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fp5hq\RestrictedFurtherEducationandSkillsRemit$\MI\2017-18\January 2018\External data\"/>
    </mc:Choice>
  </mc:AlternateContent>
  <bookViews>
    <workbookView xWindow="-180" yWindow="-228" windowWidth="13140" windowHeight="8952" tabRatio="855"/>
  </bookViews>
  <sheets>
    <sheet name="Cover" sheetId="43" r:id="rId1"/>
    <sheet name="Notes" sheetId="44" r:id="rId2"/>
    <sheet name="T1 All in-year inspections" sheetId="51" r:id="rId3"/>
    <sheet name="in-year pivots (full and short)" sheetId="52" state="hidden" r:id="rId4"/>
    <sheet name="T2 In-year full inspections" sheetId="49" r:id="rId5"/>
    <sheet name="T3 In-year short and converted" sheetId="45" r:id="rId6"/>
    <sheet name="T4 Most recent outcomes" sheetId="46" r:id="rId7"/>
    <sheet name="D1 In-year inspection data" sheetId="25" r:id="rId8"/>
    <sheet name="D2 Most recent inspection data" sheetId="42" r:id="rId9"/>
    <sheet name="in-year pivots" sheetId="47" state="hidden" r:id="rId10"/>
    <sheet name="in-year pivots (short)" sheetId="50" state="hidden" r:id="rId11"/>
    <sheet name="most recent pivots" sheetId="48" state="hidden"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7" hidden="1">'D1 In-year inspection data'!$A$4:$AF$103</definedName>
    <definedName name="_xlnm._FilterDatabase" localSheetId="8" hidden="1">'D2 Most recent inspection data'!$A$4:$AD$1318</definedName>
    <definedName name="ABSENCE">#REF!</definedName>
    <definedName name="aims_data">'[1]AIMS Data'!$A$5:$P$4931</definedName>
    <definedName name="all_conv_app_date">OFFSET('[2]All Applications Received'!#REF!,0,0,COUNTA('[2]All Applications Received'!$B:$B),1)</definedName>
    <definedName name="all_intended">OFFSET('[2]All Applications Received'!#REF!,0,0,COUNTA('[2]All Applications Received'!$B:$B),1)</definedName>
    <definedName name="all_opendate">OFFSET('[2]All Applications Received'!#REF!,0,0,COUNTA('[2]All Applications Received'!$B:$B),1)</definedName>
    <definedName name="ao_date">OFFSET('[1]Fast Track Sponsored with AOs'!$K$1,0,0,COUNTA('[1]Fast Track Sponsored with AOs'!$A:$A),1)</definedName>
    <definedName name="applied">[3]Lists!$D$1:$D$2</definedName>
    <definedName name="Applied_Brokered">'[1]Fast Track Sponsored with AOs'!$BR$1:$BS$1</definedName>
    <definedName name="as_setup">#REF!</definedName>
    <definedName name="BUDPriority">'[1]Fast Track Sponsored with AOs'!$BD$1:$BG$1</definedName>
    <definedName name="Chain_Fed">'[2]All Applications Received'!#REF!</definedName>
    <definedName name="Chain_Fed2">'[1]Converter Applications with AOs'!$ET$1:$EV$1</definedName>
    <definedName name="Chain_Type">'[2]All Applications Received'!#REF!</definedName>
    <definedName name="Chain2">'[1]Converter Applications with AOs'!$EW$1:$EY$1</definedName>
    <definedName name="Chart1x">#REF!</definedName>
    <definedName name="Chart2">#REF!</definedName>
    <definedName name="Clearance">'[1]Converter Applications with AOs'!$AR$1:$AT$1</definedName>
    <definedName name="Contextual">#REF!</definedName>
    <definedName name="conv_app_approved">OFFSET('[2]All Applications Received'!$G$2,0,0,COUNTA('[2]All Applications Received'!$B:$B),1)</definedName>
    <definedName name="conv_app_date">OFFSET('[1]Converter Applications with AOs'!$L$1,0,0,COUNTA('[1]Converter Applications with AOs'!$A:$A),1)</definedName>
    <definedName name="conv_app_leaestab">OFFSET('[1]Converter Applications with AOs'!$A$1,0,0,COUNTA('[1]Converter Applications with AOs'!$A:$A),1)</definedName>
    <definedName name="conv_app_pfi">OFFSET('[1]Converter Applications with AOs'!$V$1,0,0,COUNTA('[1]Converter Applications with AOs'!$A:$A),1)</definedName>
    <definedName name="conv_date">OFFSET('[1]Fast Track Sponsored with AOs'!$P$1,0,0,COUNTA('[1]Fast Track Sponsored with AOs'!$A:$A),1)</definedName>
    <definedName name="conv_region">OFFSET('[2]All Applications Received'!#REF!,0,0,COUNTA('[2]All Applications Received'!$B:$B),1)</definedName>
    <definedName name="conv_status">OFFSET('[2]All Applications Received'!#REF!,0,0,COUNTA('[2]All Applications Received'!$B:$B),1)</definedName>
    <definedName name="data">'[4]Inspection Outcome data'!#REF!</definedName>
    <definedName name="Date">[5]Dates!$E$3:$E$7</definedName>
    <definedName name="dcsmaster_data">'[1]DCS Master List'!$A$1:$K$153</definedName>
    <definedName name="ddla">'[4]Children''s Social Care'!$G$5</definedName>
    <definedName name="decision">[3]Lists!$E$1:$E$7</definedName>
    <definedName name="edubase_data">[1]Edubase!$A$1:$F$39453</definedName>
    <definedName name="Edubase_InYear">[6]Dates!$B$3</definedName>
    <definedName name="Edubase_SoN">[6]Dates!$B$4</definedName>
    <definedName name="GOR_regions">'[7]categories '!$F$1:$F$10</definedName>
    <definedName name="Inspection">#REF!</definedName>
    <definedName name="Inspection_Type">'[4]dropdown lookups'!$N$3:$N$6</definedName>
    <definedName name="InspectionOutcomes">'[4]dropdown lookups'!$AA$2:$AE$6</definedName>
    <definedName name="Inspections_From">[8]Dates1!$E$3</definedName>
    <definedName name="Inspections_To">[8]Dates1!$E$4</definedName>
    <definedName name="Issue">'[1]Converter Applications with AOs'!$AU$1:$CG$1</definedName>
    <definedName name="KSFOUR">#REF!</definedName>
    <definedName name="KSONE">#REF!</definedName>
    <definedName name="KSTWO">#REF!</definedName>
    <definedName name="la_lead">[9]Lists!$J$1:$J$32</definedName>
    <definedName name="lamatch">'[4]Inspection Outcome data'!#REF!</definedName>
    <definedName name="Last_Pub_Date">[6]Dates!#REF!</definedName>
    <definedName name="LocalAuthority">'[10]Drop down list'!$N$2:$N$153</definedName>
    <definedName name="Lookup_PG">[8]Lookups!$B$2:$C$11</definedName>
    <definedName name="ofsted">[11]Lists!$H$1:$H$6</definedName>
    <definedName name="ofsted_new">[3]Lists!$T$1:$T$4</definedName>
    <definedName name="OfstedRegions">'[7]categories '!$E$1:$E$4</definedName>
    <definedName name="Open">'[1]Fast Track Sponsored with AOs'!$BI$1:$BJ$1</definedName>
    <definedName name="Open_Date2">'[1]Converter Applications with AOs'!$EA$1:$ES$1</definedName>
    <definedName name="Period">'[4]dropdown lookups'!$T$3:$T$4</definedName>
    <definedName name="Period_End">[6]Dates!$B$6</definedName>
    <definedName name="Period_Start">[6]Dates!$B$5</definedName>
    <definedName name="Periodlookup">'[4]dropdown lookups'!$T$2:$U$4</definedName>
    <definedName name="Phase">[6]Pivots!$AC$92:$AC$97</definedName>
    <definedName name="postcode">#REF!</definedName>
    <definedName name="pp">'[4]dropdown lookups'!$D$3:$D$4</definedName>
    <definedName name="Provider_groups">[8]Lookups!$B$3:$B$11</definedName>
    <definedName name="Provision_Type">'[4]dropdown lookups'!$W$3:$W$14</definedName>
    <definedName name="QA_ExternalMI">#REF!</definedName>
    <definedName name="QA_InYear">#REF!</definedName>
    <definedName name="QA_Sarah">#REF!</definedName>
    <definedName name="QA_SoN">#REF!</definedName>
    <definedName name="RAG">'[1]Fast Track Sponsored with AOs'!$BK$1:$BM$1</definedName>
    <definedName name="rag_rating">OFFSET('[1]Fast Track Sponsored with AOs'!$Q$1,0,0,COUNTA('[1]Fast Track Sponsored with AOs'!$A:$A),1)</definedName>
    <definedName name="Region">'[4]dropdown lookups'!$B$15:$B$23</definedName>
    <definedName name="Reporting_Period">[8]Dates1!$E$7</definedName>
    <definedName name="route">[12]Lists!$B$1:$B$3</definedName>
    <definedName name="school_phase">OFFSET('[1]Fast Track Sponsored with AOs'!$E$1,0,0,COUNTA('[1]Fast Track Sponsored with AOs'!$A:$A),1)</definedName>
    <definedName name="Schoolinfo">#REF!</definedName>
    <definedName name="Sector">'[4]dropdown lookups'!$AG$2:$AG$7</definedName>
    <definedName name="Severity">'[1]Converter Applications with AOs'!$CI$1:$DX$1</definedName>
    <definedName name="sponsored_school">OFFSET('[1]Fast Track Sponsored with AOs'!$O$1,0,0,COUNTA('[1]Fast Track Sponsored with AOs'!$A:$A),1)</definedName>
    <definedName name="SponsorName">[10]Sponsors!$B$3:$B$661</definedName>
    <definedName name="sponsors">OFFSET([13]Lists!$F$1,0,0,COUNTA([13]Lists!$F:$F),1)</definedName>
    <definedName name="status">[3]Lists!$C$1:$C$12</definedName>
    <definedName name="store">OFFSET(#REF!,0,0,COUNTA(#REF!),20)</definedName>
    <definedName name="T2_col">INDEX([8]!Table4[#Data],,T2_col_num)</definedName>
    <definedName name="T2_col_num">MATCH(T2_PG,[8]!Table4[#Headers],0)</definedName>
    <definedName name="T2_Dropdown">INDEX(Provider_types,,MATCH([8]Lookups!$F$2:$M$2,[8]Lookups!$E$9,0))</definedName>
    <definedName name="T2_PG">'[8]T3 In-year outcomes'!$D$5</definedName>
    <definedName name="T2_PG1">IFERROR(VLOOKUP(T2_PG,Lookup_PG,2,0),0)</definedName>
    <definedName name="T2_PT">IF(T2_PG="&lt;All providers&gt;",0,'[8]T3 In-year outcomes'!$D$7)</definedName>
    <definedName name="T2_PT_DD">INDEX([8]!Table4[#Data],1,T2_col_num):INDEX([8]!Table4[#Data],COUNTA(T2_col),T2_col_num)</definedName>
    <definedName name="T2Revised">[5]DataPack!$N$17:$Y$89</definedName>
    <definedName name="Table2a">#REF!</definedName>
    <definedName name="Table2b">#REF!</definedName>
    <definedName name="Table2c">#REF!</definedName>
    <definedName name="Table2d">#REF!</definedName>
    <definedName name="Table2e">#REF!</definedName>
    <definedName name="Table5">'[5]T4 Category of concern'!#REF!</definedName>
    <definedName name="Table5a">#REF!</definedName>
    <definedName name="Table5b">#REF!</definedName>
    <definedName name="Table5c">#REF!</definedName>
    <definedName name="Table5d">#REF!</definedName>
    <definedName name="Valueadded">#REF!</definedName>
  </definedNames>
  <calcPr calcId="152511"/>
  <pivotCaches>
    <pivotCache cacheId="0" r:id="rId26"/>
    <pivotCache cacheId="1" r:id="rId27"/>
  </pivotCaches>
</workbook>
</file>

<file path=xl/calcChain.xml><?xml version="1.0" encoding="utf-8"?>
<calcChain xmlns="http://schemas.openxmlformats.org/spreadsheetml/2006/main">
  <c r="F24" i="46" l="1"/>
  <c r="F14" i="46"/>
  <c r="A1318" i="42" l="1"/>
  <c r="A1317" i="42"/>
  <c r="A1316" i="42"/>
  <c r="A1315" i="42"/>
  <c r="A1314" i="42"/>
  <c r="A1313" i="42"/>
  <c r="A1312" i="42"/>
  <c r="A1311" i="42"/>
  <c r="A1310" i="42"/>
  <c r="A1309" i="42"/>
  <c r="A1308" i="42"/>
  <c r="A1307" i="42"/>
  <c r="A1306" i="42"/>
  <c r="A1305" i="42"/>
  <c r="A1304" i="42"/>
  <c r="A1303" i="42"/>
  <c r="A1302" i="42"/>
  <c r="A1301" i="42"/>
  <c r="A1300" i="42"/>
  <c r="A1299" i="42"/>
  <c r="A1298" i="42"/>
  <c r="A1297" i="42"/>
  <c r="A1296" i="42"/>
  <c r="A1295" i="42"/>
  <c r="A1294" i="42"/>
  <c r="A1293" i="42"/>
  <c r="A1292" i="42"/>
  <c r="A1291" i="42"/>
  <c r="A1290" i="42"/>
  <c r="A1289" i="42"/>
  <c r="A1288" i="42"/>
  <c r="A1287" i="42"/>
  <c r="A1286" i="42"/>
  <c r="A1285" i="42"/>
  <c r="A1284" i="42"/>
  <c r="A1283" i="42"/>
  <c r="A1282" i="42"/>
  <c r="A1281" i="42"/>
  <c r="A1280" i="42"/>
  <c r="A1279" i="42"/>
  <c r="A1278" i="42"/>
  <c r="A1277" i="42"/>
  <c r="A1276" i="42"/>
  <c r="A1275" i="42"/>
  <c r="A1274" i="42"/>
  <c r="A1273" i="42"/>
  <c r="A1272" i="42"/>
  <c r="A1271" i="42"/>
  <c r="A1270" i="42"/>
  <c r="A1269" i="42"/>
  <c r="A1268" i="42"/>
  <c r="A1267" i="42"/>
  <c r="A1266" i="42"/>
  <c r="A1265" i="42"/>
  <c r="A1264" i="42"/>
  <c r="A1263" i="42"/>
  <c r="A1262" i="42"/>
  <c r="A1261" i="42"/>
  <c r="A1260" i="42"/>
  <c r="A1259" i="42"/>
  <c r="A1258" i="42"/>
  <c r="A1257" i="42"/>
  <c r="A1256" i="42"/>
  <c r="A1255" i="42"/>
  <c r="A1254" i="42"/>
  <c r="A1253" i="42"/>
  <c r="A1252" i="42"/>
  <c r="A1251" i="42"/>
  <c r="A1250" i="42"/>
  <c r="A1249" i="42"/>
  <c r="A1248" i="42"/>
  <c r="A1247" i="42"/>
  <c r="A1246" i="42"/>
  <c r="A1245" i="42"/>
  <c r="A1244" i="42"/>
  <c r="A1243" i="42"/>
  <c r="A1242" i="42"/>
  <c r="A1241" i="42"/>
  <c r="A1240" i="42"/>
  <c r="A1239" i="42"/>
  <c r="A1238" i="42"/>
  <c r="A1237" i="42"/>
  <c r="A1236" i="42"/>
  <c r="A1235" i="42"/>
  <c r="A1234" i="42"/>
  <c r="A1233" i="42"/>
  <c r="A1232" i="42"/>
  <c r="A1231" i="42"/>
  <c r="A1230" i="42"/>
  <c r="A1229" i="42"/>
  <c r="A1228" i="42"/>
  <c r="A1227" i="42"/>
  <c r="A1226" i="42"/>
  <c r="A1225" i="42"/>
  <c r="A1224" i="42"/>
  <c r="A1223" i="42"/>
  <c r="A1222" i="42"/>
  <c r="A1221" i="42"/>
  <c r="A1220" i="42"/>
  <c r="A1219" i="42"/>
  <c r="A1218" i="42"/>
  <c r="A1217" i="42"/>
  <c r="A1216" i="42"/>
  <c r="A1215" i="42"/>
  <c r="A1214" i="42"/>
  <c r="A1213" i="42"/>
  <c r="A1212" i="42"/>
  <c r="A1211" i="42"/>
  <c r="A1210" i="42"/>
  <c r="A1209" i="42"/>
  <c r="A1208" i="42"/>
  <c r="A1207" i="42"/>
  <c r="A1206" i="42"/>
  <c r="A1205" i="42"/>
  <c r="A1204" i="42"/>
  <c r="A1203" i="42"/>
  <c r="A1202" i="42"/>
  <c r="A1201" i="42"/>
  <c r="A1200" i="42"/>
  <c r="A1199" i="42"/>
  <c r="A1198" i="42"/>
  <c r="A1197" i="42"/>
  <c r="A1196" i="42"/>
  <c r="A1195" i="42"/>
  <c r="A1194" i="42"/>
  <c r="A1193" i="42"/>
  <c r="A1192" i="42"/>
  <c r="A1191" i="42"/>
  <c r="A1190" i="42"/>
  <c r="A1189" i="42"/>
  <c r="A1188" i="42"/>
  <c r="A1187" i="42"/>
  <c r="A1186" i="42"/>
  <c r="A1185" i="42"/>
  <c r="A1184" i="42"/>
  <c r="A1183" i="42"/>
  <c r="A1182" i="42"/>
  <c r="A1181" i="42"/>
  <c r="A1180" i="42"/>
  <c r="A1179" i="42"/>
  <c r="A1178" i="42"/>
  <c r="A1177" i="42"/>
  <c r="A1176" i="42"/>
  <c r="A1175" i="42"/>
  <c r="A1174" i="42"/>
  <c r="A1173" i="42"/>
  <c r="A1172" i="42"/>
  <c r="A1171" i="42"/>
  <c r="A1170" i="42"/>
  <c r="A1169" i="42"/>
  <c r="A1168" i="42"/>
  <c r="A1167" i="42"/>
  <c r="A1166" i="42"/>
  <c r="A1165" i="42"/>
  <c r="A1164" i="42"/>
  <c r="A1163" i="42"/>
  <c r="A1162" i="42"/>
  <c r="A1161" i="42"/>
  <c r="A1160" i="42"/>
  <c r="A1159" i="42"/>
  <c r="A1158" i="42"/>
  <c r="A1157" i="42"/>
  <c r="A1156" i="42"/>
  <c r="A1155" i="42"/>
  <c r="A1154" i="42"/>
  <c r="A1153" i="42"/>
  <c r="A1152" i="42"/>
  <c r="A1151" i="42"/>
  <c r="A1150" i="42"/>
  <c r="A1149" i="42"/>
  <c r="A1148" i="42"/>
  <c r="A1147" i="42"/>
  <c r="A1146" i="42"/>
  <c r="A1145" i="42"/>
  <c r="A1144" i="42"/>
  <c r="A1143" i="42"/>
  <c r="A1142" i="42"/>
  <c r="A1141" i="42"/>
  <c r="A1140" i="42"/>
  <c r="A1139" i="42"/>
  <c r="A1138" i="42"/>
  <c r="A1137" i="42"/>
  <c r="A1136" i="42"/>
  <c r="A1135" i="42"/>
  <c r="A1134" i="42"/>
  <c r="A1133" i="42"/>
  <c r="A1132" i="42"/>
  <c r="A1131" i="42"/>
  <c r="A1130" i="42"/>
  <c r="A1129" i="42"/>
  <c r="A1128" i="42"/>
  <c r="A1127" i="42"/>
  <c r="A1126" i="42"/>
  <c r="A1125" i="42"/>
  <c r="A1124" i="42"/>
  <c r="A1123" i="42"/>
  <c r="A1122" i="42"/>
  <c r="A1121" i="42"/>
  <c r="A1120" i="42"/>
  <c r="A1119" i="42"/>
  <c r="A1118" i="42"/>
  <c r="A1117" i="42"/>
  <c r="A1116" i="42"/>
  <c r="A1115" i="42"/>
  <c r="A1114" i="42"/>
  <c r="A1113" i="42"/>
  <c r="A1112" i="42"/>
  <c r="A1111" i="42"/>
  <c r="A1110" i="42"/>
  <c r="A1109" i="42"/>
  <c r="A1108" i="42"/>
  <c r="A1107" i="42"/>
  <c r="A1106" i="42"/>
  <c r="A1105" i="42"/>
  <c r="A1104" i="42"/>
  <c r="A1103" i="42"/>
  <c r="A1102" i="42"/>
  <c r="A1101" i="42"/>
  <c r="A1100" i="42"/>
  <c r="A1099" i="42"/>
  <c r="A1098" i="42"/>
  <c r="A1097" i="42"/>
  <c r="A1096" i="42"/>
  <c r="A1095" i="42"/>
  <c r="A1094" i="42"/>
  <c r="A1093" i="42"/>
  <c r="A1092" i="42"/>
  <c r="A1091" i="42"/>
  <c r="A1090" i="42"/>
  <c r="A1089" i="42"/>
  <c r="A1088" i="42"/>
  <c r="A1087" i="42"/>
  <c r="A1086" i="42"/>
  <c r="A1085" i="42"/>
  <c r="A1084" i="42"/>
  <c r="A1083" i="42"/>
  <c r="A1082" i="42"/>
  <c r="A1081" i="42"/>
  <c r="A1080" i="42"/>
  <c r="A1079" i="42"/>
  <c r="A1078" i="42"/>
  <c r="A1077" i="42"/>
  <c r="A1076" i="42"/>
  <c r="A1075" i="42"/>
  <c r="A1074" i="42"/>
  <c r="A1073" i="42"/>
  <c r="A1072" i="42"/>
  <c r="A1071" i="42"/>
  <c r="A1070" i="42"/>
  <c r="A1069" i="42"/>
  <c r="A1068" i="42"/>
  <c r="A1067" i="42"/>
  <c r="A1066" i="42"/>
  <c r="A1065" i="42"/>
  <c r="A1064" i="42"/>
  <c r="A1063" i="42"/>
  <c r="A1062" i="42"/>
  <c r="A1061" i="42"/>
  <c r="A1060" i="42"/>
  <c r="A1059" i="42"/>
  <c r="A1058" i="42"/>
  <c r="A1057" i="42"/>
  <c r="A1056" i="42"/>
  <c r="A1055" i="42"/>
  <c r="A1054" i="42"/>
  <c r="A1053" i="42"/>
  <c r="A1052" i="42"/>
  <c r="A1051" i="42"/>
  <c r="A1050" i="42"/>
  <c r="A1049" i="42"/>
  <c r="A1048" i="42"/>
  <c r="A1047" i="42"/>
  <c r="A1046" i="42"/>
  <c r="A1045" i="42"/>
  <c r="A1044" i="42"/>
  <c r="A1043" i="42"/>
  <c r="A1042" i="42"/>
  <c r="A1041" i="42"/>
  <c r="A1040" i="42"/>
  <c r="A1039" i="42"/>
  <c r="A1038" i="42"/>
  <c r="A1037" i="42"/>
  <c r="A1036" i="42"/>
  <c r="A1035" i="42"/>
  <c r="A1034" i="42"/>
  <c r="A1033" i="42"/>
  <c r="A1032" i="42"/>
  <c r="A1031" i="42"/>
  <c r="A1030" i="42"/>
  <c r="A1029" i="42"/>
  <c r="A1028" i="42"/>
  <c r="A1027" i="42"/>
  <c r="A1026" i="42"/>
  <c r="A1025" i="42"/>
  <c r="A1024" i="42"/>
  <c r="A1023" i="42"/>
  <c r="A1022" i="42"/>
  <c r="A1021" i="42"/>
  <c r="A1020" i="42"/>
  <c r="A1019" i="42"/>
  <c r="A1018" i="42"/>
  <c r="A1017" i="42"/>
  <c r="A1016" i="42"/>
  <c r="A1015" i="42"/>
  <c r="A1014" i="42"/>
  <c r="A1013" i="42"/>
  <c r="A1012" i="42"/>
  <c r="A1011" i="42"/>
  <c r="A1010" i="42"/>
  <c r="A1009" i="42"/>
  <c r="A1008" i="42"/>
  <c r="A1007" i="42"/>
  <c r="A1006" i="42"/>
  <c r="A1005" i="42"/>
  <c r="A1004" i="42"/>
  <c r="A1003" i="42"/>
  <c r="A1002" i="42"/>
  <c r="A1001" i="42"/>
  <c r="A1000" i="42"/>
  <c r="A999" i="42"/>
  <c r="A998" i="42"/>
  <c r="A997" i="42"/>
  <c r="A996" i="42"/>
  <c r="A995" i="42"/>
  <c r="A994" i="42"/>
  <c r="A993" i="42"/>
  <c r="A992" i="42"/>
  <c r="A991" i="42"/>
  <c r="A990" i="42"/>
  <c r="A989" i="42"/>
  <c r="A988" i="42"/>
  <c r="A987" i="42"/>
  <c r="A986" i="42"/>
  <c r="A985" i="42"/>
  <c r="A984" i="42"/>
  <c r="A983" i="42"/>
  <c r="A982" i="42"/>
  <c r="A981" i="42"/>
  <c r="A980" i="42"/>
  <c r="A979" i="42"/>
  <c r="A978" i="42"/>
  <c r="A977" i="42"/>
  <c r="A976" i="42"/>
  <c r="A975" i="42"/>
  <c r="A974" i="42"/>
  <c r="A973" i="42"/>
  <c r="A972" i="42"/>
  <c r="A971" i="42"/>
  <c r="A970" i="42"/>
  <c r="A969" i="42"/>
  <c r="A968" i="42"/>
  <c r="A967" i="42"/>
  <c r="A966" i="42"/>
  <c r="A965" i="42"/>
  <c r="A964" i="42"/>
  <c r="A963" i="42"/>
  <c r="A962" i="42"/>
  <c r="A961" i="42"/>
  <c r="A960" i="42"/>
  <c r="A959" i="42"/>
  <c r="A958" i="42"/>
  <c r="A957" i="42"/>
  <c r="A956" i="42"/>
  <c r="A955" i="42"/>
  <c r="A954" i="42"/>
  <c r="A953" i="42"/>
  <c r="A952" i="42"/>
  <c r="A951" i="42"/>
  <c r="A950" i="42"/>
  <c r="A949" i="42"/>
  <c r="A948" i="42"/>
  <c r="A947" i="42"/>
  <c r="A946" i="42"/>
  <c r="A945" i="42"/>
  <c r="A944" i="42"/>
  <c r="A943" i="42"/>
  <c r="A942" i="42"/>
  <c r="A941" i="42"/>
  <c r="A940" i="42"/>
  <c r="A939" i="42"/>
  <c r="A938" i="42"/>
  <c r="A937" i="42"/>
  <c r="A936" i="42"/>
  <c r="A935" i="42"/>
  <c r="A934" i="42"/>
  <c r="A933" i="42"/>
  <c r="A932" i="42"/>
  <c r="A931" i="42"/>
  <c r="A930" i="42"/>
  <c r="A929" i="42"/>
  <c r="A928" i="42"/>
  <c r="A927" i="42"/>
  <c r="A926" i="42"/>
  <c r="A925" i="42"/>
  <c r="A924" i="42"/>
  <c r="A923" i="42"/>
  <c r="A922" i="42"/>
  <c r="A921" i="42"/>
  <c r="A920" i="42"/>
  <c r="A919" i="42"/>
  <c r="A918" i="42"/>
  <c r="A917" i="42"/>
  <c r="A916" i="42"/>
  <c r="A915" i="42"/>
  <c r="A914" i="42"/>
  <c r="A913" i="42"/>
  <c r="A912" i="42"/>
  <c r="A911" i="42"/>
  <c r="A910" i="42"/>
  <c r="A909" i="42"/>
  <c r="A908" i="42"/>
  <c r="A907" i="42"/>
  <c r="A906" i="42"/>
  <c r="A905" i="42"/>
  <c r="A904" i="42"/>
  <c r="A903" i="42"/>
  <c r="A902" i="42"/>
  <c r="A901" i="42"/>
  <c r="A900" i="42"/>
  <c r="A899" i="42"/>
  <c r="A898" i="42"/>
  <c r="A897" i="42"/>
  <c r="A896" i="42"/>
  <c r="A895" i="42"/>
  <c r="A894" i="42"/>
  <c r="A893" i="42"/>
  <c r="A892" i="42"/>
  <c r="A891" i="42"/>
  <c r="A890" i="42"/>
  <c r="A889" i="42"/>
  <c r="A888" i="42"/>
  <c r="A887" i="42"/>
  <c r="A886" i="42"/>
  <c r="A885" i="42"/>
  <c r="A884" i="42"/>
  <c r="A883" i="42"/>
  <c r="A882" i="42"/>
  <c r="A881" i="42"/>
  <c r="A880" i="42"/>
  <c r="A879" i="42"/>
  <c r="A878" i="42"/>
  <c r="A877" i="42"/>
  <c r="A876" i="42"/>
  <c r="A875" i="42"/>
  <c r="A874" i="42"/>
  <c r="A873" i="42"/>
  <c r="A872" i="42"/>
  <c r="A871" i="42"/>
  <c r="A870" i="42"/>
  <c r="A869" i="42"/>
  <c r="A868" i="42"/>
  <c r="A867" i="42"/>
  <c r="A866" i="42"/>
  <c r="A865" i="42"/>
  <c r="A864" i="42"/>
  <c r="A863" i="42"/>
  <c r="A862" i="42"/>
  <c r="A861" i="42"/>
  <c r="A860" i="42"/>
  <c r="A859" i="42"/>
  <c r="A858" i="42"/>
  <c r="A857" i="42"/>
  <c r="A856" i="42"/>
  <c r="A855" i="42"/>
  <c r="A854" i="42"/>
  <c r="A853" i="42"/>
  <c r="A852" i="42"/>
  <c r="A851" i="42"/>
  <c r="A850" i="42"/>
  <c r="A849" i="42"/>
  <c r="A848" i="42"/>
  <c r="A847" i="42"/>
  <c r="A846" i="42"/>
  <c r="A845" i="42"/>
  <c r="A844" i="42"/>
  <c r="A843" i="42"/>
  <c r="A842" i="42"/>
  <c r="A841" i="42"/>
  <c r="A840" i="42"/>
  <c r="A839" i="42"/>
  <c r="A838" i="42"/>
  <c r="A837" i="42"/>
  <c r="A836" i="42"/>
  <c r="A835" i="42"/>
  <c r="A834" i="42"/>
  <c r="A833" i="42"/>
  <c r="A832" i="42"/>
  <c r="A831" i="42"/>
  <c r="A830" i="42"/>
  <c r="A829" i="42"/>
  <c r="A828" i="42"/>
  <c r="A827" i="42"/>
  <c r="A826" i="42"/>
  <c r="A825" i="42"/>
  <c r="A824" i="42"/>
  <c r="A823" i="42"/>
  <c r="A822" i="42"/>
  <c r="A821" i="42"/>
  <c r="A820" i="42"/>
  <c r="A819" i="42"/>
  <c r="A818" i="42"/>
  <c r="A817" i="42"/>
  <c r="A816" i="42"/>
  <c r="A815" i="42"/>
  <c r="A814" i="42"/>
  <c r="A813" i="42"/>
  <c r="A812" i="42"/>
  <c r="A811" i="42"/>
  <c r="A810" i="42"/>
  <c r="A809" i="42"/>
  <c r="A808" i="42"/>
  <c r="A807" i="42"/>
  <c r="A806" i="42"/>
  <c r="A805" i="42"/>
  <c r="A804" i="42"/>
  <c r="A803" i="42"/>
  <c r="A802" i="42"/>
  <c r="A801" i="42"/>
  <c r="A800" i="42"/>
  <c r="A799" i="42"/>
  <c r="A798" i="42"/>
  <c r="A797" i="42"/>
  <c r="A796" i="42"/>
  <c r="A795" i="42"/>
  <c r="A794" i="42"/>
  <c r="A793" i="42"/>
  <c r="A792" i="42"/>
  <c r="A791" i="42"/>
  <c r="A790" i="42"/>
  <c r="A789" i="42"/>
  <c r="A788" i="42"/>
  <c r="A787" i="42"/>
  <c r="A786" i="42"/>
  <c r="A785" i="42"/>
  <c r="A784" i="42"/>
  <c r="A783" i="42"/>
  <c r="A782" i="42"/>
  <c r="A781" i="42"/>
  <c r="A780" i="42"/>
  <c r="A779" i="42"/>
  <c r="A778" i="42"/>
  <c r="A777" i="42"/>
  <c r="A776" i="42"/>
  <c r="A775" i="42"/>
  <c r="A774" i="42"/>
  <c r="A773" i="42"/>
  <c r="A772" i="42"/>
  <c r="A771" i="42"/>
  <c r="A770" i="42"/>
  <c r="A769" i="42"/>
  <c r="A768" i="42"/>
  <c r="A767" i="42"/>
  <c r="A766" i="42"/>
  <c r="A765" i="42"/>
  <c r="A764" i="42"/>
  <c r="A763" i="42"/>
  <c r="A762" i="42"/>
  <c r="A761" i="42"/>
  <c r="A760" i="42"/>
  <c r="A759" i="42"/>
  <c r="A758" i="42"/>
  <c r="A757" i="42"/>
  <c r="A756" i="42"/>
  <c r="A755" i="42"/>
  <c r="A754" i="42"/>
  <c r="A753" i="42"/>
  <c r="A752" i="42"/>
  <c r="A751" i="42"/>
  <c r="A750" i="42"/>
  <c r="A749" i="42"/>
  <c r="A748" i="42"/>
  <c r="A747" i="42"/>
  <c r="A746" i="42"/>
  <c r="A745" i="42"/>
  <c r="A744" i="42"/>
  <c r="A743" i="42"/>
  <c r="A742" i="42"/>
  <c r="A741" i="42"/>
  <c r="A740" i="42"/>
  <c r="A739" i="42"/>
  <c r="A738" i="42"/>
  <c r="A737" i="42"/>
  <c r="A736" i="42"/>
  <c r="A735" i="42"/>
  <c r="A734" i="42"/>
  <c r="A733" i="42"/>
  <c r="A732" i="42"/>
  <c r="A731" i="42"/>
  <c r="A730" i="42"/>
  <c r="A729" i="42"/>
  <c r="A728" i="42"/>
  <c r="A727" i="42"/>
  <c r="A726" i="42"/>
  <c r="A725" i="42"/>
  <c r="A724" i="42"/>
  <c r="A723" i="42"/>
  <c r="A722" i="42"/>
  <c r="A721" i="42"/>
  <c r="A720" i="42"/>
  <c r="A719" i="42"/>
  <c r="A718" i="42"/>
  <c r="A717" i="42"/>
  <c r="A716" i="42"/>
  <c r="A715" i="42"/>
  <c r="A714" i="42"/>
  <c r="A713" i="42"/>
  <c r="A712" i="42"/>
  <c r="A711" i="42"/>
  <c r="A710" i="42"/>
  <c r="A709" i="42"/>
  <c r="A708" i="42"/>
  <c r="A707" i="42"/>
  <c r="A706" i="42"/>
  <c r="A705" i="42"/>
  <c r="A704" i="42"/>
  <c r="A703" i="42"/>
  <c r="A702" i="42"/>
  <c r="A701" i="42"/>
  <c r="A700" i="42"/>
  <c r="A699" i="42"/>
  <c r="A698" i="42"/>
  <c r="A697" i="42"/>
  <c r="A696" i="42"/>
  <c r="A695" i="42"/>
  <c r="A694" i="42"/>
  <c r="A693" i="42"/>
  <c r="A692" i="42"/>
  <c r="A691" i="42"/>
  <c r="A690" i="42"/>
  <c r="A689" i="42"/>
  <c r="A688" i="42"/>
  <c r="A687" i="42"/>
  <c r="A686" i="42"/>
  <c r="A685" i="42"/>
  <c r="A684" i="42"/>
  <c r="A683" i="42"/>
  <c r="A682" i="42"/>
  <c r="A681" i="42"/>
  <c r="A680" i="42"/>
  <c r="A679" i="42"/>
  <c r="A678" i="42"/>
  <c r="A677" i="42"/>
  <c r="A676" i="42"/>
  <c r="A675" i="42"/>
  <c r="A674" i="42"/>
  <c r="A673" i="42"/>
  <c r="A672" i="42"/>
  <c r="A671" i="42"/>
  <c r="A670" i="42"/>
  <c r="A669" i="42"/>
  <c r="A668" i="42"/>
  <c r="A667" i="42"/>
  <c r="A666" i="42"/>
  <c r="A665" i="42"/>
  <c r="A664" i="42"/>
  <c r="A663" i="42"/>
  <c r="A662" i="42"/>
  <c r="A661" i="42"/>
  <c r="A660" i="42"/>
  <c r="A659" i="42"/>
  <c r="A658" i="42"/>
  <c r="A657" i="42"/>
  <c r="A656" i="42"/>
  <c r="A655" i="42"/>
  <c r="A654" i="42"/>
  <c r="A653" i="42"/>
  <c r="A652" i="42"/>
  <c r="A651" i="42"/>
  <c r="A650" i="42"/>
  <c r="A649" i="42"/>
  <c r="A648" i="42"/>
  <c r="A647" i="42"/>
  <c r="A646" i="42"/>
  <c r="A645" i="42"/>
  <c r="A644" i="42"/>
  <c r="A643" i="42"/>
  <c r="A642" i="42"/>
  <c r="A641" i="42"/>
  <c r="A640" i="42"/>
  <c r="A639" i="42"/>
  <c r="A638" i="42"/>
  <c r="A637" i="42"/>
  <c r="A636" i="42"/>
  <c r="A635" i="42"/>
  <c r="A634" i="42"/>
  <c r="A633" i="42"/>
  <c r="A632" i="42"/>
  <c r="A631" i="42"/>
  <c r="A630" i="42"/>
  <c r="A629" i="42"/>
  <c r="A628" i="42"/>
  <c r="A627" i="42"/>
  <c r="A626" i="42"/>
  <c r="A625" i="42"/>
  <c r="A624" i="42"/>
  <c r="A623" i="42"/>
  <c r="A622" i="42"/>
  <c r="A621" i="42"/>
  <c r="A620" i="42"/>
  <c r="A619" i="42"/>
  <c r="A618" i="42"/>
  <c r="A617" i="42"/>
  <c r="A616" i="42"/>
  <c r="A615" i="42"/>
  <c r="A614" i="42"/>
  <c r="A613" i="42"/>
  <c r="A612" i="42"/>
  <c r="A611" i="42"/>
  <c r="A610" i="42"/>
  <c r="A609" i="42"/>
  <c r="A608" i="42"/>
  <c r="A607" i="42"/>
  <c r="A606" i="42"/>
  <c r="A605" i="42"/>
  <c r="A604" i="42"/>
  <c r="A603" i="42"/>
  <c r="A602" i="42"/>
  <c r="A601" i="42"/>
  <c r="A600" i="42"/>
  <c r="A599" i="42"/>
  <c r="A598" i="42"/>
  <c r="A597" i="42"/>
  <c r="A596" i="42"/>
  <c r="A595" i="42"/>
  <c r="A594" i="42"/>
  <c r="A593" i="42"/>
  <c r="A592" i="42"/>
  <c r="A591" i="42"/>
  <c r="A590" i="42"/>
  <c r="A589" i="42"/>
  <c r="A588" i="42"/>
  <c r="A587" i="42"/>
  <c r="A586" i="42"/>
  <c r="A585" i="42"/>
  <c r="A584" i="42"/>
  <c r="A583" i="42"/>
  <c r="A582" i="42"/>
  <c r="A581" i="42"/>
  <c r="A580" i="42"/>
  <c r="A579" i="42"/>
  <c r="A578" i="42"/>
  <c r="A577" i="42"/>
  <c r="A576" i="42"/>
  <c r="A575" i="42"/>
  <c r="A574" i="42"/>
  <c r="A573" i="42"/>
  <c r="A572" i="42"/>
  <c r="A571" i="42"/>
  <c r="A570" i="42"/>
  <c r="A569" i="42"/>
  <c r="A568" i="42"/>
  <c r="A567" i="42"/>
  <c r="K566" i="42"/>
  <c r="A566" i="42"/>
  <c r="A565" i="42"/>
  <c r="A564" i="42"/>
  <c r="A563" i="42"/>
  <c r="A562" i="42"/>
  <c r="K561" i="42"/>
  <c r="A561" i="42"/>
  <c r="A560" i="42"/>
  <c r="A559" i="42"/>
  <c r="A558" i="42"/>
  <c r="A557" i="42"/>
  <c r="A556" i="42"/>
  <c r="A555" i="42"/>
  <c r="A554" i="42"/>
  <c r="A553" i="42"/>
  <c r="A552" i="42"/>
  <c r="A551" i="42"/>
  <c r="A550" i="42"/>
  <c r="A549" i="42"/>
  <c r="A548" i="42"/>
  <c r="A547" i="42"/>
  <c r="A546" i="42"/>
  <c r="A545" i="42"/>
  <c r="A544" i="42"/>
  <c r="A543" i="42"/>
  <c r="A542" i="42"/>
  <c r="A541" i="42"/>
  <c r="A540" i="42"/>
  <c r="A539" i="42"/>
  <c r="A538" i="42"/>
  <c r="A537" i="42"/>
  <c r="A536" i="42"/>
  <c r="A535" i="42"/>
  <c r="A534" i="42"/>
  <c r="A533" i="42"/>
  <c r="A532" i="42"/>
  <c r="A531" i="42"/>
  <c r="A530" i="42"/>
  <c r="A529" i="42"/>
  <c r="A528" i="42"/>
  <c r="A527" i="42"/>
  <c r="A526" i="42"/>
  <c r="A525" i="42"/>
  <c r="A524" i="42"/>
  <c r="A523" i="42"/>
  <c r="A522" i="42"/>
  <c r="A521" i="42"/>
  <c r="A520" i="42"/>
  <c r="A519" i="42"/>
  <c r="A518" i="42"/>
  <c r="A517" i="42"/>
  <c r="A516" i="42"/>
  <c r="A515" i="42"/>
  <c r="A514" i="42"/>
  <c r="A513" i="42"/>
  <c r="A512" i="42"/>
  <c r="A511" i="42"/>
  <c r="A510" i="42"/>
  <c r="A509" i="42"/>
  <c r="A508" i="42"/>
  <c r="A507" i="42"/>
  <c r="A506" i="42"/>
  <c r="A505" i="42"/>
  <c r="A504" i="42"/>
  <c r="A503" i="42"/>
  <c r="A502" i="42"/>
  <c r="A501" i="42"/>
  <c r="A500" i="42"/>
  <c r="A499" i="42"/>
  <c r="A498" i="42"/>
  <c r="A497" i="42"/>
  <c r="A496" i="42"/>
  <c r="A495" i="42"/>
  <c r="A494" i="42"/>
  <c r="A493" i="42"/>
  <c r="A492" i="42"/>
  <c r="A491" i="42"/>
  <c r="A490" i="42"/>
  <c r="A489" i="42"/>
  <c r="A488" i="42"/>
  <c r="A487" i="42"/>
  <c r="A486" i="42"/>
  <c r="A485" i="42"/>
  <c r="A484" i="42"/>
  <c r="A483" i="42"/>
  <c r="A482" i="42"/>
  <c r="A481" i="42"/>
  <c r="A480" i="42"/>
  <c r="A479" i="42"/>
  <c r="A478" i="42"/>
  <c r="A477" i="42"/>
  <c r="A476" i="42"/>
  <c r="A475" i="42"/>
  <c r="A474" i="42"/>
  <c r="A473" i="42"/>
  <c r="A472" i="42"/>
  <c r="A471" i="42"/>
  <c r="A470" i="42"/>
  <c r="A469" i="42"/>
  <c r="A468" i="42"/>
  <c r="A467" i="42"/>
  <c r="A466" i="42"/>
  <c r="A465" i="42"/>
  <c r="A464" i="42"/>
  <c r="A463" i="42"/>
  <c r="A462" i="42"/>
  <c r="A461" i="42"/>
  <c r="A460" i="42"/>
  <c r="A459" i="42"/>
  <c r="A458" i="42"/>
  <c r="A457" i="42"/>
  <c r="A456" i="42"/>
  <c r="A455" i="42"/>
  <c r="A454" i="42"/>
  <c r="A453" i="42"/>
  <c r="A452" i="42"/>
  <c r="A451" i="42"/>
  <c r="A450" i="42"/>
  <c r="A449" i="42"/>
  <c r="A448" i="42"/>
  <c r="A447" i="42"/>
  <c r="A446" i="42"/>
  <c r="A445" i="42"/>
  <c r="A444" i="42"/>
  <c r="A443" i="42"/>
  <c r="A442" i="42"/>
  <c r="A441" i="42"/>
  <c r="A440" i="42"/>
  <c r="A439" i="42"/>
  <c r="A438" i="42"/>
  <c r="A437" i="42"/>
  <c r="A436" i="42"/>
  <c r="A435" i="42"/>
  <c r="A434" i="42"/>
  <c r="A433" i="42"/>
  <c r="A432" i="42"/>
  <c r="A431" i="42"/>
  <c r="A430" i="42"/>
  <c r="A429" i="42"/>
  <c r="A428" i="42"/>
  <c r="A427" i="42"/>
  <c r="A426" i="42"/>
  <c r="A425" i="42"/>
  <c r="K424" i="42"/>
  <c r="A424" i="42"/>
  <c r="A423" i="42"/>
  <c r="A422" i="42"/>
  <c r="A421" i="42"/>
  <c r="A420" i="42"/>
  <c r="A419" i="42"/>
  <c r="A418" i="42"/>
  <c r="A417" i="42"/>
  <c r="A416" i="42"/>
  <c r="A415" i="42"/>
  <c r="A414" i="42"/>
  <c r="A413" i="42"/>
  <c r="A412" i="42"/>
  <c r="A411" i="42"/>
  <c r="A410" i="42"/>
  <c r="A409" i="42"/>
  <c r="A408" i="42"/>
  <c r="A407" i="42"/>
  <c r="A406" i="42"/>
  <c r="A405" i="42"/>
  <c r="A404" i="42"/>
  <c r="A403" i="42"/>
  <c r="A402" i="42"/>
  <c r="A401" i="42"/>
  <c r="A400" i="42"/>
  <c r="A399" i="42"/>
  <c r="A398" i="42"/>
  <c r="A397" i="42"/>
  <c r="A396" i="42"/>
  <c r="A395" i="42"/>
  <c r="A394" i="42"/>
  <c r="A393" i="42"/>
  <c r="A392" i="42"/>
  <c r="A391" i="42"/>
  <c r="A390" i="42"/>
  <c r="A389" i="42"/>
  <c r="A388" i="42"/>
  <c r="A387" i="42"/>
  <c r="A386" i="42"/>
  <c r="A385" i="42"/>
  <c r="A384" i="42"/>
  <c r="A383" i="42"/>
  <c r="A382" i="42"/>
  <c r="A381" i="42"/>
  <c r="A380" i="42"/>
  <c r="A379" i="42"/>
  <c r="A378" i="42"/>
  <c r="A377" i="42"/>
  <c r="A376" i="42"/>
  <c r="A375" i="42"/>
  <c r="A374" i="42"/>
  <c r="A373" i="42"/>
  <c r="A372" i="42"/>
  <c r="A371" i="42"/>
  <c r="A370" i="42"/>
  <c r="A369" i="42"/>
  <c r="A368" i="42"/>
  <c r="A367" i="42"/>
  <c r="A366" i="42"/>
  <c r="A365" i="42"/>
  <c r="A364" i="42"/>
  <c r="A363" i="42"/>
  <c r="A362" i="42"/>
  <c r="A361" i="42"/>
  <c r="A360" i="42"/>
  <c r="A359" i="42"/>
  <c r="A358" i="42"/>
  <c r="A357" i="42"/>
  <c r="A356" i="42"/>
  <c r="A355" i="42"/>
  <c r="A354" i="42"/>
  <c r="A353" i="42"/>
  <c r="A352" i="42"/>
  <c r="A351" i="42"/>
  <c r="A350" i="42"/>
  <c r="A349" i="42"/>
  <c r="A348" i="42"/>
  <c r="A347" i="42"/>
  <c r="A346" i="42"/>
  <c r="A345" i="42"/>
  <c r="A344" i="42"/>
  <c r="A343" i="42"/>
  <c r="A342" i="42"/>
  <c r="A341" i="42"/>
  <c r="A340" i="42"/>
  <c r="A339" i="42"/>
  <c r="A338" i="42"/>
  <c r="A337" i="42"/>
  <c r="A336" i="42"/>
  <c r="A335" i="42"/>
  <c r="A334" i="42"/>
  <c r="A333" i="42"/>
  <c r="A332" i="42"/>
  <c r="A331" i="42"/>
  <c r="A330" i="42"/>
  <c r="A329" i="42"/>
  <c r="A328" i="42"/>
  <c r="A327" i="42"/>
  <c r="A326" i="42"/>
  <c r="A325" i="42"/>
  <c r="A324" i="42"/>
  <c r="A323" i="42"/>
  <c r="A322" i="42"/>
  <c r="A321" i="42"/>
  <c r="A320" i="42"/>
  <c r="A319" i="42"/>
  <c r="A318" i="42"/>
  <c r="A317" i="42"/>
  <c r="A316" i="42"/>
  <c r="A315" i="42"/>
  <c r="A314" i="42"/>
  <c r="A313" i="42"/>
  <c r="A312" i="42"/>
  <c r="A311" i="42"/>
  <c r="A310" i="42"/>
  <c r="A309" i="42"/>
  <c r="A308" i="42"/>
  <c r="A307" i="42"/>
  <c r="A306" i="42"/>
  <c r="A305" i="42"/>
  <c r="A304" i="42"/>
  <c r="A303" i="42"/>
  <c r="A302" i="42"/>
  <c r="A301" i="42"/>
  <c r="A300" i="42"/>
  <c r="A299" i="42"/>
  <c r="A298" i="42"/>
  <c r="A297" i="42"/>
  <c r="A296" i="42"/>
  <c r="A295" i="42"/>
  <c r="A294" i="42"/>
  <c r="A293" i="42"/>
  <c r="A292" i="42"/>
  <c r="A291" i="42"/>
  <c r="A290" i="42"/>
  <c r="A289" i="42"/>
  <c r="A288" i="42"/>
  <c r="A287" i="42"/>
  <c r="A286" i="42"/>
  <c r="A285" i="42"/>
  <c r="A284" i="42"/>
  <c r="A283" i="42"/>
  <c r="A282" i="42"/>
  <c r="A281" i="42"/>
  <c r="A280" i="42"/>
  <c r="A279" i="42"/>
  <c r="A278" i="42"/>
  <c r="A277" i="42"/>
  <c r="A276" i="42"/>
  <c r="A275" i="42"/>
  <c r="A274" i="42"/>
  <c r="A273" i="42"/>
  <c r="A272" i="42"/>
  <c r="A271" i="42"/>
  <c r="A270" i="42"/>
  <c r="A269" i="42"/>
  <c r="A268" i="42"/>
  <c r="A267" i="42"/>
  <c r="A266" i="42"/>
  <c r="A265" i="42"/>
  <c r="A264" i="42"/>
  <c r="A263" i="42"/>
  <c r="A262" i="42"/>
  <c r="A261" i="42"/>
  <c r="A260" i="42"/>
  <c r="A259" i="42"/>
  <c r="A258" i="42"/>
  <c r="A257" i="42"/>
  <c r="A256" i="42"/>
  <c r="A255" i="42"/>
  <c r="A254" i="42"/>
  <c r="A253" i="42"/>
  <c r="A252" i="42"/>
  <c r="A251" i="42"/>
  <c r="A250" i="42"/>
  <c r="A249" i="42"/>
  <c r="A248" i="42"/>
  <c r="A247" i="42"/>
  <c r="A246" i="42"/>
  <c r="A245" i="42"/>
  <c r="A244" i="42"/>
  <c r="A243" i="42"/>
  <c r="A242" i="42"/>
  <c r="A241" i="42"/>
  <c r="A240" i="42"/>
  <c r="A239" i="42"/>
  <c r="A238" i="42"/>
  <c r="A237" i="42"/>
  <c r="A236" i="42"/>
  <c r="A235" i="42"/>
  <c r="A234" i="42"/>
  <c r="A233" i="42"/>
  <c r="A232" i="42"/>
  <c r="A231" i="42"/>
  <c r="A230" i="42"/>
  <c r="A229" i="42"/>
  <c r="A228" i="42"/>
  <c r="A227" i="42"/>
  <c r="A226" i="42"/>
  <c r="A225" i="42"/>
  <c r="A224" i="42"/>
  <c r="A223" i="42"/>
  <c r="A222" i="42"/>
  <c r="A221" i="42"/>
  <c r="A220" i="42"/>
  <c r="A219" i="42"/>
  <c r="A218" i="42"/>
  <c r="A217" i="42"/>
  <c r="A216" i="42"/>
  <c r="A215" i="42"/>
  <c r="A214" i="42"/>
  <c r="A213" i="42"/>
  <c r="A212" i="42"/>
  <c r="A211" i="42"/>
  <c r="A210" i="42"/>
  <c r="A209" i="42"/>
  <c r="A208" i="42"/>
  <c r="A207" i="42"/>
  <c r="A206" i="42"/>
  <c r="A205" i="42"/>
  <c r="A204" i="42"/>
  <c r="A203" i="42"/>
  <c r="A202" i="42"/>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2" i="42"/>
  <c r="A151" i="42"/>
  <c r="A150" i="42"/>
  <c r="A149" i="42"/>
  <c r="A148" i="42"/>
  <c r="A147" i="42"/>
  <c r="A146" i="42"/>
  <c r="A145" i="42"/>
  <c r="A144" i="42"/>
  <c r="A143" i="42"/>
  <c r="A142" i="42"/>
  <c r="A141" i="42"/>
  <c r="A140" i="42"/>
  <c r="A139" i="42"/>
  <c r="A138" i="42"/>
  <c r="A137" i="42"/>
  <c r="A136" i="42"/>
  <c r="A135" i="42"/>
  <c r="A134" i="42"/>
  <c r="A133" i="42"/>
  <c r="A132" i="42"/>
  <c r="A131" i="42"/>
  <c r="A130" i="42"/>
  <c r="A129" i="42"/>
  <c r="A128" i="42"/>
  <c r="A127" i="42"/>
  <c r="A126" i="42"/>
  <c r="A125" i="42"/>
  <c r="A124" i="42"/>
  <c r="A123" i="42"/>
  <c r="A122" i="42"/>
  <c r="A121" i="42"/>
  <c r="A120" i="42"/>
  <c r="A119" i="42"/>
  <c r="A118" i="42"/>
  <c r="A117" i="42"/>
  <c r="A116" i="42"/>
  <c r="A115" i="42"/>
  <c r="A114" i="42"/>
  <c r="A113" i="42"/>
  <c r="A112" i="42"/>
  <c r="A111" i="42"/>
  <c r="A110" i="42"/>
  <c r="A109" i="42"/>
  <c r="A108" i="42"/>
  <c r="A107" i="42"/>
  <c r="A106" i="42"/>
  <c r="A105" i="42"/>
  <c r="A104" i="42"/>
  <c r="A103" i="42"/>
  <c r="A102" i="42"/>
  <c r="A101" i="42"/>
  <c r="A100" i="42"/>
  <c r="A99" i="42"/>
  <c r="A98" i="42"/>
  <c r="A97" i="42"/>
  <c r="A96" i="42"/>
  <c r="A95" i="42"/>
  <c r="A94" i="42"/>
  <c r="A93" i="42"/>
  <c r="A92" i="42"/>
  <c r="A91" i="42"/>
  <c r="A90" i="42"/>
  <c r="A89" i="42"/>
  <c r="A88" i="42"/>
  <c r="A87" i="42"/>
  <c r="A86" i="42"/>
  <c r="A85" i="42"/>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7" i="42"/>
  <c r="A6" i="42"/>
  <c r="A5" i="42"/>
  <c r="A50" i="25" l="1"/>
  <c r="A26" i="25"/>
  <c r="A7" i="25"/>
  <c r="A98" i="25"/>
  <c r="A40" i="25"/>
  <c r="A94" i="25"/>
  <c r="A55" i="25"/>
  <c r="A27" i="25"/>
  <c r="A83" i="25"/>
  <c r="A73" i="25"/>
  <c r="A53" i="25"/>
  <c r="A33" i="25"/>
  <c r="A38" i="25"/>
  <c r="A51" i="25"/>
  <c r="A8" i="25"/>
  <c r="A54" i="25"/>
  <c r="A84" i="25"/>
  <c r="A99" i="25"/>
  <c r="A31" i="25"/>
  <c r="A43" i="25"/>
  <c r="A56" i="25"/>
  <c r="A46" i="25"/>
  <c r="A74" i="25"/>
  <c r="A34" i="25"/>
  <c r="A9" i="25"/>
  <c r="A47" i="25"/>
  <c r="A61" i="25"/>
  <c r="A52" i="25"/>
  <c r="A20" i="25"/>
  <c r="A28" i="25"/>
  <c r="A44" i="25"/>
  <c r="A5" i="25"/>
  <c r="A16" i="25"/>
  <c r="A41" i="25"/>
  <c r="A63" i="25"/>
  <c r="A89" i="25"/>
  <c r="A59" i="25"/>
  <c r="A82" i="25"/>
  <c r="A35" i="25"/>
  <c r="A23" i="25"/>
  <c r="A92" i="25"/>
  <c r="A95" i="25"/>
  <c r="A24" i="25"/>
  <c r="A12" i="25"/>
  <c r="A6" i="25"/>
  <c r="A42" i="25"/>
  <c r="A77" i="25"/>
  <c r="A36" i="25"/>
  <c r="A29" i="25"/>
  <c r="A78" i="25"/>
  <c r="A37" i="25"/>
  <c r="A10" i="25"/>
  <c r="A79" i="25"/>
  <c r="A103" i="25"/>
  <c r="A21" i="25"/>
  <c r="A19" i="25"/>
  <c r="A93" i="25"/>
  <c r="A57" i="25"/>
  <c r="A75" i="25"/>
  <c r="A68" i="25"/>
  <c r="A64" i="25"/>
  <c r="A100" i="25"/>
  <c r="A17" i="25"/>
  <c r="A11" i="25"/>
  <c r="A45" i="25"/>
  <c r="A30" i="25"/>
  <c r="A32" i="25"/>
  <c r="A18" i="25"/>
  <c r="A48" i="25"/>
  <c r="A85" i="25"/>
  <c r="A39" i="25"/>
  <c r="A58" i="25"/>
  <c r="A65" i="25"/>
  <c r="A62" i="25"/>
  <c r="A80" i="25"/>
  <c r="A96" i="25"/>
  <c r="A101" i="25"/>
  <c r="A66" i="25"/>
  <c r="A69" i="25"/>
  <c r="A13" i="25"/>
  <c r="A70" i="25"/>
  <c r="A91" i="25"/>
  <c r="A76" i="25"/>
  <c r="A90" i="25"/>
  <c r="A81" i="25"/>
  <c r="A86" i="25"/>
  <c r="A71" i="25"/>
  <c r="A22" i="25"/>
  <c r="A97" i="25"/>
  <c r="A72" i="25"/>
  <c r="A25" i="25"/>
  <c r="A67" i="25"/>
  <c r="A14" i="25"/>
  <c r="A60" i="25"/>
  <c r="A87" i="25"/>
  <c r="A15" i="25"/>
  <c r="A102" i="25"/>
  <c r="A88" i="25"/>
  <c r="A49" i="25"/>
  <c r="A2" i="25" l="1"/>
  <c r="B2" i="46" l="1"/>
  <c r="K21" i="46"/>
  <c r="H18" i="46"/>
  <c r="I17" i="46"/>
  <c r="H14" i="46"/>
  <c r="J15" i="46"/>
  <c r="F9" i="46"/>
  <c r="F25" i="46"/>
  <c r="K26" i="46"/>
  <c r="F17" i="46"/>
  <c r="F10" i="46"/>
  <c r="F19" i="46"/>
  <c r="J14" i="46"/>
  <c r="H9" i="46"/>
  <c r="K15" i="46"/>
  <c r="J11" i="46"/>
  <c r="K9" i="46"/>
  <c r="F18" i="46"/>
  <c r="J19" i="46"/>
  <c r="J17" i="46"/>
  <c r="F11" i="46"/>
  <c r="H26" i="46"/>
  <c r="I25" i="46"/>
  <c r="K23" i="46"/>
  <c r="F21" i="46"/>
  <c r="K11" i="46"/>
  <c r="I21" i="46"/>
  <c r="I22" i="46"/>
  <c r="H21" i="46"/>
  <c r="I14" i="46"/>
  <c r="I18" i="46"/>
  <c r="K25" i="46"/>
  <c r="I23" i="46"/>
  <c r="H22" i="46"/>
  <c r="J21" i="46"/>
  <c r="K24" i="46"/>
  <c r="H19" i="46"/>
  <c r="I12" i="46"/>
  <c r="I19" i="46"/>
  <c r="F12" i="46"/>
  <c r="K14" i="46"/>
  <c r="I9" i="46"/>
  <c r="H24" i="46"/>
  <c r="J26" i="46"/>
  <c r="K19" i="46"/>
  <c r="I15" i="46"/>
  <c r="F23" i="46"/>
  <c r="I10" i="46"/>
  <c r="H17" i="46"/>
  <c r="F26" i="46"/>
  <c r="J22" i="46"/>
  <c r="H10" i="46"/>
  <c r="I24" i="46"/>
  <c r="H15" i="46"/>
  <c r="H25" i="46"/>
  <c r="F15" i="46"/>
  <c r="H12" i="46"/>
  <c r="J24" i="46"/>
  <c r="K18" i="46"/>
  <c r="I11" i="46"/>
  <c r="H23" i="46"/>
  <c r="K10" i="46"/>
  <c r="J18" i="46"/>
  <c r="J9" i="46"/>
  <c r="J23" i="46"/>
  <c r="K12" i="46"/>
  <c r="J12" i="46"/>
  <c r="K17" i="46"/>
  <c r="I26" i="46"/>
  <c r="K22" i="46"/>
  <c r="F22" i="46"/>
  <c r="J10" i="46"/>
  <c r="J25" i="46"/>
  <c r="H11" i="46"/>
  <c r="H18" i="45"/>
  <c r="G21" i="49"/>
  <c r="H23" i="51"/>
  <c r="I18" i="49"/>
  <c r="I17" i="45"/>
  <c r="I26" i="49"/>
  <c r="H18" i="51"/>
  <c r="F14" i="51"/>
  <c r="I12" i="45"/>
  <c r="H23" i="49"/>
  <c r="G25" i="45"/>
  <c r="H12" i="45"/>
  <c r="H22" i="45"/>
  <c r="I22" i="49"/>
  <c r="F22" i="49"/>
  <c r="I26" i="45"/>
  <c r="H21" i="49"/>
  <c r="I25" i="45"/>
  <c r="J10" i="45"/>
  <c r="F18" i="45"/>
  <c r="H25" i="51"/>
  <c r="F24" i="45"/>
  <c r="H25" i="45"/>
  <c r="F23" i="49"/>
  <c r="H15" i="51"/>
  <c r="H18" i="49"/>
  <c r="H17" i="49"/>
  <c r="I11" i="45"/>
  <c r="H26" i="45"/>
  <c r="H19" i="45"/>
  <c r="G18" i="45"/>
  <c r="H12" i="49"/>
  <c r="F23" i="51"/>
  <c r="H19" i="51"/>
  <c r="F9" i="45"/>
  <c r="F19" i="49"/>
  <c r="J24" i="45"/>
  <c r="I24" i="45"/>
  <c r="H24" i="49"/>
  <c r="I24" i="51"/>
  <c r="F26" i="45"/>
  <c r="F17" i="45"/>
  <c r="G15" i="45"/>
  <c r="G9" i="49"/>
  <c r="I21" i="49"/>
  <c r="G25" i="49"/>
  <c r="F10" i="51"/>
  <c r="F12" i="51"/>
  <c r="H23" i="45"/>
  <c r="F21" i="49"/>
  <c r="H21" i="45"/>
  <c r="I22" i="45"/>
  <c r="F25" i="45"/>
  <c r="F14" i="49"/>
  <c r="J17" i="45"/>
  <c r="F25" i="49"/>
  <c r="G21" i="45"/>
  <c r="G19" i="45"/>
  <c r="I23" i="51"/>
  <c r="G17" i="45"/>
  <c r="I14" i="51"/>
  <c r="I21" i="45"/>
  <c r="F15" i="51"/>
  <c r="H22" i="51"/>
  <c r="F23" i="45"/>
  <c r="J25" i="45"/>
  <c r="J14" i="45"/>
  <c r="I11" i="49"/>
  <c r="G26" i="45"/>
  <c r="F17" i="51"/>
  <c r="G19" i="49"/>
  <c r="J12" i="45"/>
  <c r="H14" i="45"/>
  <c r="J23" i="45"/>
  <c r="F19" i="45"/>
  <c r="G10" i="45"/>
  <c r="I23" i="49"/>
  <c r="I17" i="49"/>
  <c r="F15" i="49"/>
  <c r="H11" i="45"/>
  <c r="G22" i="49"/>
  <c r="H10" i="49"/>
  <c r="H11" i="51"/>
  <c r="G11" i="45"/>
  <c r="I9" i="45"/>
  <c r="H25" i="49"/>
  <c r="I15" i="49"/>
  <c r="F15" i="45"/>
  <c r="H9" i="49"/>
  <c r="I10" i="49"/>
  <c r="J19" i="45"/>
  <c r="I9" i="51"/>
  <c r="I11" i="51"/>
  <c r="G9" i="45"/>
  <c r="I22" i="51"/>
  <c r="F22" i="45"/>
  <c r="H17" i="45"/>
  <c r="I24" i="49"/>
  <c r="H19" i="49"/>
  <c r="H15" i="45"/>
  <c r="I19" i="51"/>
  <c r="H24" i="51"/>
  <c r="I17" i="51"/>
  <c r="G17" i="49"/>
  <c r="H9" i="51"/>
  <c r="G24" i="45"/>
  <c r="H10" i="45"/>
  <c r="F10" i="45"/>
  <c r="H26" i="49"/>
  <c r="G14" i="45"/>
  <c r="J11" i="45"/>
  <c r="I12" i="51"/>
  <c r="I19" i="45"/>
  <c r="H21" i="51"/>
  <c r="F21" i="45"/>
  <c r="J21" i="45"/>
  <c r="I12" i="49"/>
  <c r="I10" i="51"/>
  <c r="J18" i="45"/>
  <c r="G11" i="49"/>
  <c r="F12" i="45"/>
  <c r="I10" i="45"/>
  <c r="I19" i="49"/>
  <c r="H14" i="49"/>
  <c r="I9" i="49"/>
  <c r="F9" i="51"/>
  <c r="G15" i="49"/>
  <c r="I15" i="51"/>
  <c r="F17" i="49"/>
  <c r="G23" i="45"/>
  <c r="F21" i="51"/>
  <c r="H22" i="49"/>
  <c r="F9" i="49"/>
  <c r="G26" i="49"/>
  <c r="F14" i="45"/>
  <c r="I21" i="51"/>
  <c r="I14" i="49"/>
  <c r="H14" i="51"/>
  <c r="G12" i="49"/>
  <c r="G12" i="45"/>
  <c r="F26" i="51"/>
  <c r="H17" i="51"/>
  <c r="I25" i="49"/>
  <c r="F18" i="49"/>
  <c r="F25" i="51"/>
  <c r="J22" i="45"/>
  <c r="F22" i="51"/>
  <c r="G22" i="45"/>
  <c r="G18" i="49"/>
  <c r="I18" i="45"/>
  <c r="F18" i="51"/>
  <c r="H24" i="45"/>
  <c r="I26" i="51"/>
  <c r="H9" i="45"/>
  <c r="H26" i="51"/>
  <c r="F10" i="49"/>
  <c r="F24" i="51"/>
  <c r="F11" i="49"/>
  <c r="J15" i="45"/>
  <c r="F12" i="49"/>
  <c r="I15" i="45"/>
  <c r="H10" i="51"/>
  <c r="G10" i="49"/>
  <c r="H12" i="51"/>
  <c r="G14" i="49"/>
  <c r="I14" i="45"/>
  <c r="F19" i="51"/>
  <c r="H11" i="49"/>
  <c r="J26" i="45"/>
  <c r="I18" i="51"/>
  <c r="F11" i="45"/>
  <c r="J9" i="45"/>
  <c r="F11" i="51"/>
  <c r="F26" i="49"/>
  <c r="G24" i="49"/>
  <c r="G23" i="49"/>
  <c r="I25" i="51"/>
  <c r="H15" i="49"/>
  <c r="I23" i="45"/>
  <c r="F24" i="49"/>
  <c r="G24" i="51" l="1"/>
  <c r="G17" i="51"/>
  <c r="G12" i="51"/>
  <c r="G10" i="51"/>
  <c r="G14" i="51"/>
  <c r="G25" i="51"/>
  <c r="G21" i="51"/>
  <c r="G19" i="51"/>
  <c r="G26" i="51"/>
  <c r="G15" i="51"/>
  <c r="G11" i="51"/>
  <c r="G23" i="51"/>
  <c r="G18" i="51"/>
  <c r="G22" i="51"/>
  <c r="G9" i="51"/>
  <c r="F16" i="46"/>
  <c r="K16" i="46"/>
  <c r="A2" i="42"/>
  <c r="B2" i="45" l="1"/>
  <c r="B2" i="49"/>
  <c r="B2" i="51"/>
  <c r="D11" i="51" l="1"/>
  <c r="O11" i="51" s="1"/>
  <c r="D15" i="51"/>
  <c r="N15" i="51" s="1"/>
  <c r="D26" i="51"/>
  <c r="M26" i="51" s="1"/>
  <c r="D10" i="51"/>
  <c r="O10" i="51" s="1"/>
  <c r="D17" i="51"/>
  <c r="O17" i="51" s="1"/>
  <c r="D9" i="51"/>
  <c r="O9" i="51" s="1"/>
  <c r="D23" i="51"/>
  <c r="O23" i="51" s="1"/>
  <c r="D14" i="51"/>
  <c r="L14" i="51" s="1"/>
  <c r="D21" i="51"/>
  <c r="L21" i="51" s="1"/>
  <c r="D25" i="51"/>
  <c r="L25" i="51" s="1"/>
  <c r="D12" i="51"/>
  <c r="O12" i="51" s="1"/>
  <c r="D18" i="51"/>
  <c r="M18" i="51" s="1"/>
  <c r="D22" i="51"/>
  <c r="L22" i="51" s="1"/>
  <c r="D19" i="51"/>
  <c r="L19" i="51" s="1"/>
  <c r="D24" i="51"/>
  <c r="O24" i="51" s="1"/>
  <c r="I20" i="51"/>
  <c r="I16" i="51"/>
  <c r="I13" i="51"/>
  <c r="H20" i="51"/>
  <c r="H16" i="51"/>
  <c r="H13" i="51"/>
  <c r="G20" i="51"/>
  <c r="G16" i="51"/>
  <c r="G13" i="51"/>
  <c r="F20" i="51"/>
  <c r="F16" i="51"/>
  <c r="F13" i="51"/>
  <c r="I8" i="51"/>
  <c r="H8" i="51"/>
  <c r="G8" i="51"/>
  <c r="F8" i="51"/>
  <c r="N17" i="51" l="1"/>
  <c r="N24" i="51"/>
  <c r="L17" i="51"/>
  <c r="L24" i="51"/>
  <c r="O18" i="51"/>
  <c r="O21" i="51"/>
  <c r="L10" i="51"/>
  <c r="L11" i="51"/>
  <c r="N23" i="51"/>
  <c r="L12" i="51"/>
  <c r="L23" i="51"/>
  <c r="O14" i="51"/>
  <c r="O15" i="51"/>
  <c r="L15" i="51"/>
  <c r="O26" i="51"/>
  <c r="O19" i="51"/>
  <c r="O25" i="51"/>
  <c r="L18" i="51"/>
  <c r="L9" i="51"/>
  <c r="L26" i="51"/>
  <c r="O22" i="51"/>
  <c r="D13" i="51"/>
  <c r="K13" i="51" s="1"/>
  <c r="D16" i="51"/>
  <c r="O16" i="51" s="1"/>
  <c r="D8" i="51"/>
  <c r="L8" i="51" s="1"/>
  <c r="D20" i="51"/>
  <c r="M20" i="51" s="1"/>
  <c r="M21" i="51"/>
  <c r="M14" i="51"/>
  <c r="N21" i="51"/>
  <c r="I16" i="45"/>
  <c r="H16" i="45"/>
  <c r="G16" i="45"/>
  <c r="I20" i="45"/>
  <c r="H20" i="45"/>
  <c r="G20" i="45"/>
  <c r="J20" i="45"/>
  <c r="J16" i="45"/>
  <c r="K21" i="51"/>
  <c r="K14" i="51"/>
  <c r="I7" i="51"/>
  <c r="N14" i="51"/>
  <c r="K9" i="51"/>
  <c r="N9" i="51"/>
  <c r="F7" i="51"/>
  <c r="J20" i="46"/>
  <c r="I16" i="46"/>
  <c r="J13" i="45"/>
  <c r="G13" i="45"/>
  <c r="F13" i="46"/>
  <c r="H20" i="46"/>
  <c r="F20" i="45"/>
  <c r="F13" i="45"/>
  <c r="I13" i="45"/>
  <c r="I13" i="46"/>
  <c r="H13" i="46"/>
  <c r="K20" i="46"/>
  <c r="F16" i="45"/>
  <c r="F20" i="46"/>
  <c r="I20" i="46"/>
  <c r="J16" i="46"/>
  <c r="K13" i="46"/>
  <c r="J13" i="46"/>
  <c r="H13" i="45"/>
  <c r="F8" i="46"/>
  <c r="H16" i="46"/>
  <c r="M17" i="51"/>
  <c r="N18" i="51"/>
  <c r="G7" i="51"/>
  <c r="K18" i="51"/>
  <c r="K17" i="51"/>
  <c r="H7" i="51"/>
  <c r="K19" i="51"/>
  <c r="K23" i="51"/>
  <c r="N25" i="51"/>
  <c r="M25" i="51"/>
  <c r="M19" i="51"/>
  <c r="K15" i="51"/>
  <c r="K26" i="51"/>
  <c r="K11" i="51"/>
  <c r="M23" i="51"/>
  <c r="N19" i="51"/>
  <c r="K10" i="51"/>
  <c r="K22" i="51"/>
  <c r="K24" i="51"/>
  <c r="K25" i="51"/>
  <c r="M22" i="51"/>
  <c r="M24" i="51"/>
  <c r="N22" i="51"/>
  <c r="N11" i="51"/>
  <c r="M15" i="51"/>
  <c r="N26" i="51"/>
  <c r="M11" i="51"/>
  <c r="M9" i="51"/>
  <c r="N10" i="51"/>
  <c r="N12" i="51"/>
  <c r="M12" i="51"/>
  <c r="M10" i="51"/>
  <c r="K12" i="51"/>
  <c r="E9" i="46"/>
  <c r="F8" i="45"/>
  <c r="F20" i="49"/>
  <c r="F16" i="49"/>
  <c r="D12" i="49"/>
  <c r="F13" i="49"/>
  <c r="G13" i="49"/>
  <c r="I16" i="49"/>
  <c r="H16" i="49"/>
  <c r="I13" i="49"/>
  <c r="G20" i="49"/>
  <c r="G16" i="49"/>
  <c r="H13" i="49"/>
  <c r="H20" i="49"/>
  <c r="I20" i="49"/>
  <c r="F8" i="49"/>
  <c r="F7" i="46" l="1"/>
  <c r="L16" i="51"/>
  <c r="K16" i="51"/>
  <c r="L13" i="51"/>
  <c r="M8" i="51"/>
  <c r="O13" i="51"/>
  <c r="O20" i="51"/>
  <c r="O8" i="51"/>
  <c r="L20" i="51"/>
  <c r="D7" i="51"/>
  <c r="L7" i="51" s="1"/>
  <c r="N20" i="51"/>
  <c r="N13" i="51"/>
  <c r="N16" i="51"/>
  <c r="M16" i="51"/>
  <c r="K20" i="51"/>
  <c r="M13" i="51"/>
  <c r="F7" i="45"/>
  <c r="F7" i="49"/>
  <c r="I8" i="45"/>
  <c r="I7" i="45" s="1"/>
  <c r="H8" i="45"/>
  <c r="H7" i="45" s="1"/>
  <c r="G8" i="45"/>
  <c r="G7" i="45" s="1"/>
  <c r="J8" i="45"/>
  <c r="J7" i="45" s="1"/>
  <c r="N8" i="51"/>
  <c r="K8" i="51"/>
  <c r="D26" i="49"/>
  <c r="L26" i="49" s="1"/>
  <c r="D25" i="49"/>
  <c r="O25" i="49" s="1"/>
  <c r="D24" i="49"/>
  <c r="O24" i="49" s="1"/>
  <c r="D23" i="49"/>
  <c r="O23" i="49" s="1"/>
  <c r="D22" i="49"/>
  <c r="L22" i="49" s="1"/>
  <c r="D21" i="49"/>
  <c r="O21" i="49" s="1"/>
  <c r="D20" i="49"/>
  <c r="O20" i="49" s="1"/>
  <c r="D19" i="49"/>
  <c r="L19" i="49" s="1"/>
  <c r="D18" i="49"/>
  <c r="L18" i="49" s="1"/>
  <c r="D17" i="49"/>
  <c r="O17" i="49" s="1"/>
  <c r="D16" i="49"/>
  <c r="L16" i="49" s="1"/>
  <c r="D15" i="49"/>
  <c r="O15" i="49" s="1"/>
  <c r="D14" i="49"/>
  <c r="O14" i="49" s="1"/>
  <c r="D13" i="49"/>
  <c r="O13" i="49" s="1"/>
  <c r="O12" i="49"/>
  <c r="D11" i="49"/>
  <c r="O11" i="49" s="1"/>
  <c r="D10" i="49"/>
  <c r="L10" i="49" s="1"/>
  <c r="D9" i="49"/>
  <c r="O9" i="49" s="1"/>
  <c r="D7" i="45" l="1"/>
  <c r="K7" i="51"/>
  <c r="O7" i="51"/>
  <c r="M7" i="51"/>
  <c r="N7" i="51"/>
  <c r="L23" i="49"/>
  <c r="L14" i="49"/>
  <c r="O22" i="49"/>
  <c r="O10" i="49"/>
  <c r="O19" i="49"/>
  <c r="O26" i="49"/>
  <c r="O18" i="49"/>
  <c r="L13" i="49"/>
  <c r="L25" i="49"/>
  <c r="L21" i="49"/>
  <c r="L17" i="49"/>
  <c r="L12" i="49"/>
  <c r="L24" i="49"/>
  <c r="L20" i="49"/>
  <c r="L15" i="49"/>
  <c r="L11" i="49"/>
  <c r="L9" i="49"/>
  <c r="O16" i="49"/>
  <c r="H8" i="49" l="1"/>
  <c r="H7" i="49" s="1"/>
  <c r="K12" i="49"/>
  <c r="G8" i="49"/>
  <c r="G7" i="49" s="1"/>
  <c r="N19" i="49"/>
  <c r="N25" i="49"/>
  <c r="M17" i="49"/>
  <c r="N23" i="49"/>
  <c r="I8" i="49"/>
  <c r="I7" i="49" s="1"/>
  <c r="E25" i="46"/>
  <c r="P25" i="46" s="1"/>
  <c r="E24" i="46"/>
  <c r="D24" i="46" s="1"/>
  <c r="E12" i="46"/>
  <c r="K8" i="46"/>
  <c r="K7" i="46" s="1"/>
  <c r="I8" i="46"/>
  <c r="I7" i="46" s="1"/>
  <c r="D7" i="49" l="1"/>
  <c r="K7" i="49" s="1"/>
  <c r="D8" i="49"/>
  <c r="L8" i="49" s="1"/>
  <c r="N9" i="49"/>
  <c r="K9" i="49"/>
  <c r="M9" i="49"/>
  <c r="K24" i="49"/>
  <c r="K17" i="49"/>
  <c r="D11" i="45"/>
  <c r="N11" i="45" s="1"/>
  <c r="D15" i="45"/>
  <c r="N15" i="45" s="1"/>
  <c r="D18" i="45"/>
  <c r="N18" i="45" s="1"/>
  <c r="D21" i="45"/>
  <c r="N21" i="45" s="1"/>
  <c r="D12" i="45"/>
  <c r="D25" i="45"/>
  <c r="N25" i="45" s="1"/>
  <c r="K22" i="49"/>
  <c r="D10" i="45"/>
  <c r="N10" i="45" s="1"/>
  <c r="K14" i="49"/>
  <c r="M10" i="49"/>
  <c r="K11" i="49"/>
  <c r="D9" i="45"/>
  <c r="N9" i="45" s="1"/>
  <c r="D14" i="45"/>
  <c r="N14" i="45" s="1"/>
  <c r="D17" i="45"/>
  <c r="N17" i="45" s="1"/>
  <c r="D22" i="45"/>
  <c r="N22" i="45" s="1"/>
  <c r="D24" i="45"/>
  <c r="N24" i="45" s="1"/>
  <c r="D26" i="45"/>
  <c r="N26" i="45" s="1"/>
  <c r="D19" i="45"/>
  <c r="N19" i="45" s="1"/>
  <c r="D23" i="45"/>
  <c r="N23" i="45" s="1"/>
  <c r="K10" i="49"/>
  <c r="K23" i="49"/>
  <c r="N17" i="49"/>
  <c r="M22" i="49"/>
  <c r="K21" i="49"/>
  <c r="N21" i="49"/>
  <c r="M21" i="49"/>
  <c r="M11" i="49"/>
  <c r="N11" i="49"/>
  <c r="K25" i="49"/>
  <c r="M15" i="49"/>
  <c r="M24" i="49"/>
  <c r="N24" i="49"/>
  <c r="K15" i="49"/>
  <c r="N15" i="49"/>
  <c r="M23" i="49"/>
  <c r="M19" i="49"/>
  <c r="M14" i="49"/>
  <c r="M25" i="49"/>
  <c r="K19" i="49"/>
  <c r="K16" i="49"/>
  <c r="N18" i="49"/>
  <c r="N12" i="49"/>
  <c r="M12" i="49"/>
  <c r="K18" i="49"/>
  <c r="N10" i="49"/>
  <c r="M18" i="49"/>
  <c r="N26" i="49"/>
  <c r="N22" i="49"/>
  <c r="M26" i="49"/>
  <c r="K26" i="49"/>
  <c r="N20" i="49"/>
  <c r="N14" i="49"/>
  <c r="D12" i="46"/>
  <c r="N12" i="46"/>
  <c r="N24" i="46"/>
  <c r="N25" i="46"/>
  <c r="O12" i="46"/>
  <c r="O24" i="46"/>
  <c r="O25" i="46"/>
  <c r="J8" i="46"/>
  <c r="J7" i="46" s="1"/>
  <c r="P12" i="46"/>
  <c r="Q25" i="46"/>
  <c r="H8" i="46"/>
  <c r="H7" i="46" s="1"/>
  <c r="P24" i="46"/>
  <c r="E26" i="46"/>
  <c r="Q26" i="46" s="1"/>
  <c r="M25" i="46"/>
  <c r="M24" i="46"/>
  <c r="M12" i="46"/>
  <c r="Q24" i="46"/>
  <c r="Q12" i="46"/>
  <c r="D25" i="46"/>
  <c r="D16" i="45"/>
  <c r="N16" i="45" s="1"/>
  <c r="D13" i="45"/>
  <c r="N13" i="45" s="1"/>
  <c r="M7" i="49" l="1"/>
  <c r="O7" i="49"/>
  <c r="N7" i="49"/>
  <c r="L7" i="49"/>
  <c r="N12" i="45"/>
  <c r="M12" i="45"/>
  <c r="O8" i="49"/>
  <c r="D20" i="45"/>
  <c r="N20" i="45" s="1"/>
  <c r="D8" i="45"/>
  <c r="M13" i="49"/>
  <c r="M16" i="49"/>
  <c r="N16" i="49"/>
  <c r="K13" i="49"/>
  <c r="M20" i="49"/>
  <c r="K20" i="49"/>
  <c r="N8" i="49"/>
  <c r="K8" i="49"/>
  <c r="M8" i="49"/>
  <c r="N13" i="49"/>
  <c r="N26" i="46"/>
  <c r="D26" i="46"/>
  <c r="P26" i="46"/>
  <c r="M26" i="46"/>
  <c r="O26" i="46"/>
  <c r="M8" i="45" l="1"/>
  <c r="L8" i="45"/>
  <c r="N8" i="45"/>
  <c r="P7" i="45"/>
  <c r="N7" i="45"/>
  <c r="O7" i="45"/>
  <c r="M7" i="45"/>
  <c r="L7" i="45"/>
  <c r="L26" i="45"/>
  <c r="L25" i="45"/>
  <c r="L24" i="45"/>
  <c r="L23" i="45"/>
  <c r="L22" i="45"/>
  <c r="L21" i="45"/>
  <c r="L20" i="45"/>
  <c r="L19" i="45"/>
  <c r="L18" i="45"/>
  <c r="L17" i="45"/>
  <c r="L16" i="45"/>
  <c r="L15" i="45"/>
  <c r="L14" i="45"/>
  <c r="L13" i="45"/>
  <c r="L12" i="45"/>
  <c r="L11" i="45"/>
  <c r="L10" i="45"/>
  <c r="L9" i="45"/>
  <c r="P16" i="45" l="1"/>
  <c r="M16" i="45"/>
  <c r="O16" i="45"/>
  <c r="M24" i="45"/>
  <c r="O24" i="45"/>
  <c r="P24" i="45"/>
  <c r="P9" i="45"/>
  <c r="M9" i="45"/>
  <c r="O9" i="45"/>
  <c r="P13" i="45"/>
  <c r="O13" i="45"/>
  <c r="M13" i="45"/>
  <c r="P17" i="45"/>
  <c r="O17" i="45"/>
  <c r="M17" i="45"/>
  <c r="P21" i="45"/>
  <c r="M21" i="45"/>
  <c r="O21" i="45"/>
  <c r="P25" i="45"/>
  <c r="M25" i="45"/>
  <c r="O25" i="45"/>
  <c r="O12" i="45"/>
  <c r="P12" i="45"/>
  <c r="M10" i="45"/>
  <c r="O10" i="45"/>
  <c r="P10" i="45"/>
  <c r="P18" i="45"/>
  <c r="M18" i="45"/>
  <c r="O18" i="45"/>
  <c r="P26" i="45"/>
  <c r="M26" i="45"/>
  <c r="O26" i="45"/>
  <c r="O20" i="45"/>
  <c r="P20" i="45"/>
  <c r="M20" i="45"/>
  <c r="O14" i="45"/>
  <c r="M14" i="45"/>
  <c r="P14" i="45"/>
  <c r="M22" i="45"/>
  <c r="O22" i="45"/>
  <c r="P22" i="45"/>
  <c r="M11" i="45"/>
  <c r="P11" i="45"/>
  <c r="O11" i="45"/>
  <c r="P15" i="45"/>
  <c r="M15" i="45"/>
  <c r="O15" i="45"/>
  <c r="O19" i="45"/>
  <c r="P19" i="45"/>
  <c r="M19" i="45"/>
  <c r="P23" i="45"/>
  <c r="M23" i="45"/>
  <c r="O23" i="45"/>
  <c r="O8" i="45"/>
  <c r="P8" i="45"/>
  <c r="E13" i="46" l="1"/>
  <c r="E8" i="46"/>
  <c r="E15" i="46"/>
  <c r="E10" i="46"/>
  <c r="E16" i="46"/>
  <c r="E23" i="46"/>
  <c r="E17" i="46"/>
  <c r="E14" i="46"/>
  <c r="E11" i="46"/>
  <c r="E22" i="46"/>
  <c r="E21" i="46"/>
  <c r="E20" i="46"/>
  <c r="E18" i="46"/>
  <c r="E19" i="46"/>
  <c r="E7" i="46" l="1"/>
  <c r="D7" i="46" s="1"/>
  <c r="D8" i="46"/>
  <c r="D23" i="46"/>
  <c r="Q23" i="46"/>
  <c r="M23" i="46"/>
  <c r="P23" i="46"/>
  <c r="O23" i="46"/>
  <c r="N23" i="46"/>
  <c r="D18" i="46"/>
  <c r="M18" i="46"/>
  <c r="N18" i="46"/>
  <c r="O18" i="46"/>
  <c r="P18" i="46"/>
  <c r="Q18" i="46"/>
  <c r="D11" i="46"/>
  <c r="Q11" i="46"/>
  <c r="M11" i="46"/>
  <c r="O11" i="46"/>
  <c r="P11" i="46"/>
  <c r="N11" i="46"/>
  <c r="D16" i="46"/>
  <c r="M16" i="46"/>
  <c r="O16" i="46"/>
  <c r="Q16" i="46"/>
  <c r="P16" i="46"/>
  <c r="N16" i="46"/>
  <c r="N8" i="46"/>
  <c r="O8" i="46"/>
  <c r="P8" i="46"/>
  <c r="Q8" i="46"/>
  <c r="M8" i="46"/>
  <c r="D22" i="46"/>
  <c r="M22" i="46"/>
  <c r="O22" i="46"/>
  <c r="P22" i="46"/>
  <c r="Q22" i="46"/>
  <c r="N22" i="46"/>
  <c r="D20" i="46"/>
  <c r="N20" i="46"/>
  <c r="O20" i="46"/>
  <c r="Q20" i="46"/>
  <c r="P20" i="46"/>
  <c r="M20" i="46"/>
  <c r="D14" i="46"/>
  <c r="P14" i="46"/>
  <c r="O14" i="46"/>
  <c r="Q14" i="46"/>
  <c r="N14" i="46"/>
  <c r="M14" i="46"/>
  <c r="D10" i="46"/>
  <c r="O10" i="46"/>
  <c r="N10" i="46"/>
  <c r="M10" i="46"/>
  <c r="Q10" i="46"/>
  <c r="P10" i="46"/>
  <c r="D13" i="46"/>
  <c r="O13" i="46"/>
  <c r="M13" i="46"/>
  <c r="N13" i="46"/>
  <c r="Q13" i="46"/>
  <c r="P13" i="46"/>
  <c r="D19" i="46"/>
  <c r="Q19" i="46"/>
  <c r="O19" i="46"/>
  <c r="P19" i="46"/>
  <c r="M19" i="46"/>
  <c r="N19" i="46"/>
  <c r="D15" i="46"/>
  <c r="Q15" i="46"/>
  <c r="N15" i="46"/>
  <c r="M15" i="46"/>
  <c r="O15" i="46"/>
  <c r="P15" i="46"/>
  <c r="D21" i="46"/>
  <c r="Q21" i="46"/>
  <c r="P21" i="46"/>
  <c r="N21" i="46"/>
  <c r="M21" i="46"/>
  <c r="O21" i="46"/>
  <c r="D17" i="46"/>
  <c r="N17" i="46"/>
  <c r="O17" i="46"/>
  <c r="M17" i="46"/>
  <c r="Q17" i="46"/>
  <c r="P17" i="46"/>
  <c r="D9" i="46"/>
  <c r="P9" i="46"/>
  <c r="M9" i="46"/>
  <c r="Q9" i="46"/>
  <c r="O9" i="46"/>
  <c r="N9" i="46"/>
  <c r="M7" i="46" l="1"/>
  <c r="Q7" i="46"/>
  <c r="N7" i="46"/>
  <c r="P7" i="46"/>
  <c r="O7" i="46"/>
</calcChain>
</file>

<file path=xl/sharedStrings.xml><?xml version="1.0" encoding="utf-8"?>
<sst xmlns="http://schemas.openxmlformats.org/spreadsheetml/2006/main" count="23328" uniqueCount="3085">
  <si>
    <t>Outcomes for learners</t>
  </si>
  <si>
    <t>Overall effectiveness</t>
  </si>
  <si>
    <t>Management information</t>
  </si>
  <si>
    <t>Policy area:</t>
  </si>
  <si>
    <t>Further education and skills inspections and outcomes</t>
  </si>
  <si>
    <t>Theme:</t>
  </si>
  <si>
    <t>Education, children's services and skills</t>
  </si>
  <si>
    <t>Published on:</t>
  </si>
  <si>
    <t>Coverage:</t>
  </si>
  <si>
    <t>England</t>
  </si>
  <si>
    <t>Status:</t>
  </si>
  <si>
    <t>Provisional: Management Information</t>
  </si>
  <si>
    <t>Statistician:</t>
  </si>
  <si>
    <t>Sarah Pearce</t>
  </si>
  <si>
    <t>Public enquiries:</t>
  </si>
  <si>
    <t>enquiries@ofsted.gov.uk</t>
  </si>
  <si>
    <t>Press enquiries:</t>
  </si>
  <si>
    <t>pressenquiries@ofsted.gov.uk</t>
  </si>
  <si>
    <t>Link to FE and Skills management information web page including publication schedule:</t>
  </si>
  <si>
    <t>Link to official statistics release web page:</t>
  </si>
  <si>
    <t>https://www.gov.uk/government/collections/further-education-and-skills-inspection-outcomes</t>
  </si>
  <si>
    <t xml:space="preserve">You may use and re-use this information (not including logos) free of charge in any format or medium, </t>
  </si>
  <si>
    <t xml:space="preserve">under the terms of the Open Government Licence. </t>
  </si>
  <si>
    <t>To view this licence, visit:</t>
  </si>
  <si>
    <t>http://www.nationalarchives.gov.uk/doc/open-government-licence/</t>
  </si>
  <si>
    <t>Or write to the Information Policy Team, The National Archives, Kew, London, TW9 4DU</t>
  </si>
  <si>
    <t>Or email:</t>
  </si>
  <si>
    <t>psi@nationalarchives.gsi.gov.uk</t>
  </si>
  <si>
    <t>Quality of teaching, learning and assessment</t>
  </si>
  <si>
    <t>Personal development, behaviour and welfare</t>
  </si>
  <si>
    <t>Effectiveness of leadership and management</t>
  </si>
  <si>
    <t>Adult learning programmes</t>
  </si>
  <si>
    <t>Apprenticeships</t>
  </si>
  <si>
    <t>16 to 19 study programmes</t>
  </si>
  <si>
    <t>Provision for learners with high needs</t>
  </si>
  <si>
    <t>Traineeships</t>
  </si>
  <si>
    <t>Provider URN</t>
  </si>
  <si>
    <t>Outstanding</t>
  </si>
  <si>
    <t>Good</t>
  </si>
  <si>
    <t>Inadequate</t>
  </si>
  <si>
    <t>Previous last day of inspection</t>
  </si>
  <si>
    <t>Previous overall effectiveness</t>
  </si>
  <si>
    <t>Previous outcomes for learners</t>
  </si>
  <si>
    <t>Previous effectiveness of leadership and management</t>
  </si>
  <si>
    <t>Period covered: 
In-year inspection outcomes</t>
  </si>
  <si>
    <t>Period covered: 
Most recent inspection outcomes</t>
  </si>
  <si>
    <t>Further education and skills</t>
  </si>
  <si>
    <t>https://www.gov.uk/government/statistical-data-sets/monthly-management-information-ofsteds-further-education-and-skills-inspections-outcomes-from-december-2015</t>
  </si>
  <si>
    <t>Is safeguarding effective?</t>
  </si>
  <si>
    <t>Provider UKPRN</t>
  </si>
  <si>
    <t>Full-time provision for 14 to 16-year-olds</t>
  </si>
  <si>
    <t>Web link</t>
  </si>
  <si>
    <t>Provider name</t>
  </si>
  <si>
    <t>Provider type</t>
  </si>
  <si>
    <t>Provider group</t>
  </si>
  <si>
    <t>Local authority</t>
  </si>
  <si>
    <t>Region</t>
  </si>
  <si>
    <t>Inspection number</t>
  </si>
  <si>
    <t>Inspection type</t>
  </si>
  <si>
    <t>First day of inspection</t>
  </si>
  <si>
    <t>Last day of inspection</t>
  </si>
  <si>
    <t>Previous inspection number</t>
  </si>
  <si>
    <t>Improved/   declined/ stayed the same</t>
  </si>
  <si>
    <t>Date published</t>
  </si>
  <si>
    <t>Improved/
declined/
stayed the same</t>
  </si>
  <si>
    <t>Previous personal development, behaviour and welfare</t>
  </si>
  <si>
    <t>Previous quality of teaching, learning and assessment</t>
  </si>
  <si>
    <t>- or NULL</t>
  </si>
  <si>
    <t>Not judged</t>
  </si>
  <si>
    <t>Higher education institution</t>
  </si>
  <si>
    <t>Independent specialist college</t>
  </si>
  <si>
    <t>Independent specialist colleges</t>
  </si>
  <si>
    <t>NULL</t>
  </si>
  <si>
    <t>16-19 free school</t>
  </si>
  <si>
    <t>16-19 academies</t>
  </si>
  <si>
    <t>Local authority provider</t>
  </si>
  <si>
    <t>Community learning and skills providers</t>
  </si>
  <si>
    <t>Not for profit organisation</t>
  </si>
  <si>
    <t>Independent learning provider</t>
  </si>
  <si>
    <t>Independent learning providers (including employer providers)</t>
  </si>
  <si>
    <t>Employer provider</t>
  </si>
  <si>
    <t>General further education college</t>
  </si>
  <si>
    <t>Colleges</t>
  </si>
  <si>
    <t>Sixth form college</t>
  </si>
  <si>
    <t>Specialist designated institution</t>
  </si>
  <si>
    <t>Dance and drama college</t>
  </si>
  <si>
    <t>Dance and drama colleges</t>
  </si>
  <si>
    <t>Specialist further education college</t>
  </si>
  <si>
    <t>16-19 academy converter</t>
  </si>
  <si>
    <t>16-19 academy sponsor led</t>
  </si>
  <si>
    <t>National Careers Service contractor</t>
  </si>
  <si>
    <t>National Careers Service contractors</t>
  </si>
  <si>
    <r>
      <t>Total number of inspections</t>
    </r>
    <r>
      <rPr>
        <b/>
        <vertAlign val="superscript"/>
        <sz val="10"/>
        <color theme="1"/>
        <rFont val="Tahoma"/>
        <family val="2"/>
      </rPr>
      <t>1</t>
    </r>
  </si>
  <si>
    <t>Number</t>
  </si>
  <si>
    <t>Percentage</t>
  </si>
  <si>
    <t>Requires improvement</t>
  </si>
  <si>
    <t>Good or outstanding</t>
  </si>
  <si>
    <t>Source: Ofsted inspection data</t>
  </si>
  <si>
    <t>Overall effectiveness of further education and skills providers at their most recent inspection</t>
  </si>
  <si>
    <t>Total number of open and funded providers</t>
  </si>
  <si>
    <t>Number of providers that have not yet been inspected</t>
  </si>
  <si>
    <t>Number of providers that have been inspected</t>
  </si>
  <si>
    <t>Row Labels</t>
  </si>
  <si>
    <t>Grand Total</t>
  </si>
  <si>
    <t>Column Labels</t>
  </si>
  <si>
    <t>Count of Inspection number</t>
  </si>
  <si>
    <t>Grand total</t>
  </si>
  <si>
    <t xml:space="preserve">4. Inspection of further education provision only, not provider as a whole. </t>
  </si>
  <si>
    <r>
      <t>Higher education institutions</t>
    </r>
    <r>
      <rPr>
        <b/>
        <vertAlign val="superscript"/>
        <sz val="10"/>
        <color rgb="FF000000"/>
        <rFont val="Tahoma"/>
        <family val="2"/>
      </rPr>
      <t>4</t>
    </r>
  </si>
  <si>
    <t>grand total</t>
  </si>
  <si>
    <t>Total number of inspections</t>
  </si>
  <si>
    <t>Key</t>
  </si>
  <si>
    <t>T4 Most recent outcomes</t>
  </si>
  <si>
    <t>D1 In-year inspection data</t>
  </si>
  <si>
    <t>D2 Most recent inspection data</t>
  </si>
  <si>
    <t>Inspection type group</t>
  </si>
  <si>
    <t>T3 In-year short and converted</t>
  </si>
  <si>
    <t>Further education and skills short inspection outcomes (including those that converted to full inspections)</t>
  </si>
  <si>
    <t>Further education and skills full inspection outcomes (excluding those that converted from short inspections)</t>
  </si>
  <si>
    <t>3. Percentages are rounded and may not add to 100. Where the number of inspections is small, percentages should be treated with caution.</t>
  </si>
  <si>
    <t>In-year full and short inspection outcomes for further education and skills providers</t>
  </si>
  <si>
    <t>The completeness of the data will improve incrementally over the coming months as we progress through the reporting year.</t>
  </si>
  <si>
    <t>Full inspection (short converted): this is a short inspection that converted to become a full inspection. A full set of judgements will be made on these inspections.</t>
  </si>
  <si>
    <t>Ofsted region</t>
  </si>
  <si>
    <t>Most recent full inspection outcomes for all open and funded providers</t>
  </si>
  <si>
    <t>Provider
group</t>
  </si>
  <si>
    <r>
      <t>All further education and skills providers</t>
    </r>
    <r>
      <rPr>
        <b/>
        <vertAlign val="superscript"/>
        <sz val="10"/>
        <color rgb="FF000000"/>
        <rFont val="Tahoma"/>
        <family val="2"/>
      </rPr>
      <t>1</t>
    </r>
  </si>
  <si>
    <t>1. Does not include prison and young offender institution inspections.</t>
  </si>
  <si>
    <r>
      <t>Dance and drama colleges</t>
    </r>
    <r>
      <rPr>
        <b/>
        <vertAlign val="superscript"/>
        <sz val="10"/>
        <color rgb="FF000000"/>
        <rFont val="Tahoma"/>
        <family val="2"/>
      </rPr>
      <t>2</t>
    </r>
  </si>
  <si>
    <r>
      <t>Higher education institutions</t>
    </r>
    <r>
      <rPr>
        <b/>
        <vertAlign val="superscript"/>
        <sz val="10"/>
        <color rgb="FF000000"/>
        <rFont val="Tahoma"/>
        <family val="2"/>
      </rPr>
      <t>3</t>
    </r>
  </si>
  <si>
    <r>
      <t>Requires improvement</t>
    </r>
    <r>
      <rPr>
        <b/>
        <vertAlign val="superscript"/>
        <sz val="10"/>
        <rFont val="Tahoma"/>
        <family val="2"/>
      </rPr>
      <t>4</t>
    </r>
  </si>
  <si>
    <t xml:space="preserve">3. Inspection of further education provision only, not provider as a whole. </t>
  </si>
  <si>
    <t>4. Prior to 1 September 2012, providers with an inspection outcome of grade 3 were judged as satisfactory.</t>
  </si>
  <si>
    <t>5. Percentages are rounded and may not add to 100. Where the number of inspections is small, percentages should be treated with caution.</t>
  </si>
  <si>
    <t>2. Inspections from 1 September 2015 onwards.</t>
  </si>
  <si>
    <t>5. Percentages are rounded and may not add to 100. Where the number of providers is small, percentages should be treated with caution.</t>
  </si>
  <si>
    <t>Remained good</t>
  </si>
  <si>
    <t>Total number of short inspections</t>
  </si>
  <si>
    <t>Did not convert</t>
  </si>
  <si>
    <r>
      <t>Higher education institutions</t>
    </r>
    <r>
      <rPr>
        <b/>
        <vertAlign val="superscript"/>
        <sz val="10"/>
        <color rgb="FF000000"/>
        <rFont val="Tahoma"/>
        <family val="2"/>
      </rPr>
      <t>2</t>
    </r>
  </si>
  <si>
    <t xml:space="preserve">2. Inspection of further education provision only, not provider as a whole. </t>
  </si>
  <si>
    <r>
      <t>All further education and skills providers</t>
    </r>
    <r>
      <rPr>
        <b/>
        <vertAlign val="superscript"/>
        <sz val="10"/>
        <color rgb="FF000000"/>
        <rFont val="Tahoma"/>
        <family val="2"/>
      </rPr>
      <t>3</t>
    </r>
  </si>
  <si>
    <t>3. Does not include prison and young offender institution inspections.</t>
  </si>
  <si>
    <t>Further education and skills full and short inspection outcomes</t>
  </si>
  <si>
    <t>1. Includes the number of full inspections and the number of short inspections that did not convert.</t>
  </si>
  <si>
    <r>
      <t>Good</t>
    </r>
    <r>
      <rPr>
        <b/>
        <vertAlign val="superscript"/>
        <sz val="10"/>
        <rFont val="Tahoma"/>
        <family val="2"/>
      </rPr>
      <t>2</t>
    </r>
  </si>
  <si>
    <t>2. Includes the overall effectiveness judgement from full inspections and those that remained good after a short inspection that did not convert.</t>
  </si>
  <si>
    <t>A list of all open and funded further education and skills providers as at the date given, including the most recent full inspection outcomes for those that have been inspected.</t>
  </si>
  <si>
    <t xml:space="preserve">Only inspection outcomes from 1 September 2015 are included for dance and drama colleges. </t>
  </si>
  <si>
    <t>Overall effectiveness / Remained good: includes the overall effectiveness judgement from full inspections and those that remained good after a short inspection that did not convert.</t>
  </si>
  <si>
    <t>Inspection outcomes:</t>
  </si>
  <si>
    <t>Green tabs: D1 and D2 are the underlying inspection/provider level data</t>
  </si>
  <si>
    <t>Short inspection: a short inspection that confirms the provider's latest overall effectiveness judgement remains good and does not convert to a full inspection. No judgements are made on these inspections.</t>
  </si>
  <si>
    <t>Blue tabs: T1 to T4 are summary tables</t>
  </si>
  <si>
    <r>
      <t>Outcomes of short inspections (including those that converted to full inspections) that have taken place so far during the reporting year 2016/17, broken down by provider group and provider type.
Includes the following inspection type groups:
Full inspection (short converted)
Short inspection</t>
    </r>
    <r>
      <rPr>
        <i/>
        <sz val="10"/>
        <color theme="1"/>
        <rFont val="Tahoma"/>
        <family val="2"/>
      </rPr>
      <t xml:space="preserve">
</t>
    </r>
  </si>
  <si>
    <t>The most recent (or latest) overall effectiveness judgement for all open and funded providers as at the date given, regardless of when the inspection took place. The table counts the number of providers that have been inspected. Each provider can only appear once in the underlying data. If a provider is open and funded but has not yet been inspected then they do not appear in this measure, but are included within the underlying data.
Includes the following inspection type groups:
Full inspection
Full inspection (short converted)</t>
  </si>
  <si>
    <t>Short inspections that converted to a full inspection
Overall effectiveness</t>
  </si>
  <si>
    <t>https://www.gov.uk/government/publications/further-education-and-skills-inspection-handbook</t>
  </si>
  <si>
    <t>Requires improvement (known as 'satisfactory' prior to 1 September 2012)</t>
  </si>
  <si>
    <t xml:space="preserve">On the 1 September 2015 Ofsted introduced short inspections for previously good providers. The short inspection can either confirm that the provider is still good overall, or the lead inspector can choose to convert the inspection to a full inspection where: there is insufficient evidence to confirm that the provider remains good; there are concerns that there is evidence that the provider may no longer be good (which may include concerns about safeguarding); or if there is sufficient evidence of improved performance to suggest that the provider may be judged outstanding. As a result of the converted inspection the provider could improve, decline or remain the same. </t>
  </si>
  <si>
    <t>For details of how providers are selected for full inspections, including the frequency of inspection, please see the further education and skills inspection handbook:</t>
  </si>
  <si>
    <t>There are three different inspection type groups reported within this document. They are:</t>
  </si>
  <si>
    <t>Full inspection: full inspections of risked assessed providers and re-inspections (see the further education and skills inspection handbook). A full set of judgements will be made on these inspections.</t>
  </si>
  <si>
    <t>T1 All in-year inspections</t>
  </si>
  <si>
    <t>T2 In-year full inspections</t>
  </si>
  <si>
    <t>Outcomes of full and short inspections that have taken place so far during the reporting year 2016/17, broken down by provider group and provider type. The table counts the number of inspections that have been conducted during the reporting year. If a provider has been inspected twice, they will appear twice in the underlying data. Short inspections that convert to a full inspection are counted as one inspection event.
Includes the following inspection type groups:
Full inspection
Full inspection (short converted)
Short inspection</t>
  </si>
  <si>
    <t xml:space="preserve">Outcomes of full inspections (excluding those that converted from a short inspection) that have taken place so far during the reporting year 2016/17, broken down by provider group and provider type. The table counts the number of full inspections that have been conducted during the reporting year. If a provider has been inspected twice, they will appear twice in the underlying data. 
Includes the following inspection type group:
Full inspection
</t>
  </si>
  <si>
    <t>Date of latest short inspection</t>
  </si>
  <si>
    <t>Number of short inspections since last full inspection</t>
  </si>
  <si>
    <t>Remained good at a short inspection that did not convert</t>
  </si>
  <si>
    <t>Did the short inspection convert to a full inspection?</t>
  </si>
  <si>
    <t>Provider details as at the point of inspection</t>
  </si>
  <si>
    <t>Provider details as at the date the statistics were taken</t>
  </si>
  <si>
    <t>Shooters Hill Sixth Form College</t>
  </si>
  <si>
    <t>Greenwich</t>
  </si>
  <si>
    <t>London</t>
  </si>
  <si>
    <t>16-19 academy - Requires Improvement</t>
  </si>
  <si>
    <t>Full inspection</t>
  </si>
  <si>
    <t>-</t>
  </si>
  <si>
    <t>Yes</t>
  </si>
  <si>
    <t>Stayed the Same</t>
  </si>
  <si>
    <t>Capita PLC</t>
  </si>
  <si>
    <t>City of London</t>
  </si>
  <si>
    <t>Independent Learning Provider (National) - Full</t>
  </si>
  <si>
    <t>ITS404579</t>
  </si>
  <si>
    <t>Morthyng Group Limited</t>
  </si>
  <si>
    <t>Rotherham</t>
  </si>
  <si>
    <t>Yorkshire and The Humber</t>
  </si>
  <si>
    <t>North East, Yorkshire and the Humber</t>
  </si>
  <si>
    <t>Community Learning and Skills - Not for profit organisation - Full</t>
  </si>
  <si>
    <t>ITS452205</t>
  </si>
  <si>
    <t>Halesowen College</t>
  </si>
  <si>
    <t>Dudley</t>
  </si>
  <si>
    <t>West Midlands</t>
  </si>
  <si>
    <t>FE College - Full</t>
  </si>
  <si>
    <t>ITS409317</t>
  </si>
  <si>
    <t>First City Training Limited</t>
  </si>
  <si>
    <t>Swindon</t>
  </si>
  <si>
    <t>South West</t>
  </si>
  <si>
    <t>Independent Learning Provider (Regional) - Requires Improvement</t>
  </si>
  <si>
    <t>No</t>
  </si>
  <si>
    <t>Declined</t>
  </si>
  <si>
    <t>North East Employment &amp; Training Agency Ltd</t>
  </si>
  <si>
    <t>North Tyneside</t>
  </si>
  <si>
    <t>North East</t>
  </si>
  <si>
    <t>Independent Learning Provider (Regional) - Short</t>
  </si>
  <si>
    <t>Short inspection</t>
  </si>
  <si>
    <t>ITS429225</t>
  </si>
  <si>
    <t>Not Applicable</t>
  </si>
  <si>
    <t>Activ8 Learning</t>
  </si>
  <si>
    <t>York</t>
  </si>
  <si>
    <t>Independent Learning Provider (Regional) - Full</t>
  </si>
  <si>
    <t>Grantham College</t>
  </si>
  <si>
    <t>Lincolnshire</t>
  </si>
  <si>
    <t>East Midlands</t>
  </si>
  <si>
    <t>FE College - Requires improvement</t>
  </si>
  <si>
    <t>Improved</t>
  </si>
  <si>
    <t>Mainstream Training Limited</t>
  </si>
  <si>
    <t>Kent</t>
  </si>
  <si>
    <t>South East</t>
  </si>
  <si>
    <t>ITS446612</t>
  </si>
  <si>
    <t>University College Birmingham</t>
  </si>
  <si>
    <t>Higher education institutions</t>
  </si>
  <si>
    <t>Birmingham</t>
  </si>
  <si>
    <t>FE in HE - Full</t>
  </si>
  <si>
    <t>ITS385352</t>
  </si>
  <si>
    <t>Regent College</t>
  </si>
  <si>
    <t>Leicester</t>
  </si>
  <si>
    <t>SFC - Requires improvement</t>
  </si>
  <si>
    <t>ESG (Skills) Limited</t>
  </si>
  <si>
    <t>Sheffield</t>
  </si>
  <si>
    <t>Independent Learning Provider (National) - Short</t>
  </si>
  <si>
    <t>ITS423830</t>
  </si>
  <si>
    <t>The Marine Society College of the Sea</t>
  </si>
  <si>
    <t>Lambeth</t>
  </si>
  <si>
    <t>Community Learning and Skills - Specialist designated institution - Requires Improvement</t>
  </si>
  <si>
    <t>King George V College</t>
  </si>
  <si>
    <t>Sefton</t>
  </si>
  <si>
    <t>North West</t>
  </si>
  <si>
    <t>Trafford College</t>
  </si>
  <si>
    <t>Trafford</t>
  </si>
  <si>
    <t>FE College - Short</t>
  </si>
  <si>
    <t>ITS452485</t>
  </si>
  <si>
    <t>Inspire 2 Independence (I2I) Ltd</t>
  </si>
  <si>
    <t>Full inspection (short converted)</t>
  </si>
  <si>
    <t>ITS429265</t>
  </si>
  <si>
    <t>SYSCO BUSINESS SKILLS ACADEMY LIMITED</t>
  </si>
  <si>
    <t>Liverpool</t>
  </si>
  <si>
    <t>ITS433553</t>
  </si>
  <si>
    <t>Harrow London Borough Council</t>
  </si>
  <si>
    <t>Harrow</t>
  </si>
  <si>
    <t>Community Learning and Skills - Local authority - Short</t>
  </si>
  <si>
    <t>ITS423412</t>
  </si>
  <si>
    <t>Burton and South Derbyshire College</t>
  </si>
  <si>
    <t>Staffordshire</t>
  </si>
  <si>
    <t>Steadfast Training Ltd</t>
  </si>
  <si>
    <t>ITS434054</t>
  </si>
  <si>
    <t>Stratford-upon-Avon College</t>
  </si>
  <si>
    <t>Warwickshire</t>
  </si>
  <si>
    <t>ITS433769</t>
  </si>
  <si>
    <t>Vector Aerospace International Limited</t>
  </si>
  <si>
    <t>Hampshire</t>
  </si>
  <si>
    <t>ITS434061</t>
  </si>
  <si>
    <t>Aspect Training Ltd</t>
  </si>
  <si>
    <t>Nissan Motor Manufacturing (UK) Limited</t>
  </si>
  <si>
    <t>Sunderland</t>
  </si>
  <si>
    <t>Quality Transport Training</t>
  </si>
  <si>
    <t>Orchard Hill College of Further Education</t>
  </si>
  <si>
    <t>Sutton</t>
  </si>
  <si>
    <t>ITS423399</t>
  </si>
  <si>
    <t>ISC - Full</t>
  </si>
  <si>
    <t>ITS319868</t>
  </si>
  <si>
    <t>Buckinghamshire New University</t>
  </si>
  <si>
    <t>Buckinghamshire</t>
  </si>
  <si>
    <t>ITS410058</t>
  </si>
  <si>
    <t>Coventry University</t>
  </si>
  <si>
    <t>Coventry</t>
  </si>
  <si>
    <t>ITS429183</t>
  </si>
  <si>
    <t>De Montfort University</t>
  </si>
  <si>
    <t>ITS408444</t>
  </si>
  <si>
    <t>Harper Adams University</t>
  </si>
  <si>
    <t>Telford and Wrekin</t>
  </si>
  <si>
    <t>Harris Westminster Sixth Form</t>
  </si>
  <si>
    <t>Westminster</t>
  </si>
  <si>
    <t>16-19 academy - Full</t>
  </si>
  <si>
    <t>Kimberley 16 - 19 Stem College</t>
  </si>
  <si>
    <t>Bedford</t>
  </si>
  <si>
    <t>East of England</t>
  </si>
  <si>
    <t>ITS452501</t>
  </si>
  <si>
    <t>King's College London Maths School</t>
  </si>
  <si>
    <t>London Academy of Excellence</t>
  </si>
  <si>
    <t>Newham</t>
  </si>
  <si>
    <t>ITS430419</t>
  </si>
  <si>
    <t>Salisbury Sixth Form College</t>
  </si>
  <si>
    <t>Wiltshire</t>
  </si>
  <si>
    <t>Sir Isaac Newton Sixth Form Free School</t>
  </si>
  <si>
    <t>Norfolk</t>
  </si>
  <si>
    <t>ITS452502</t>
  </si>
  <si>
    <t>Tech City College</t>
  </si>
  <si>
    <t>Islington</t>
  </si>
  <si>
    <t>16-19 academy - Reinspection</t>
  </si>
  <si>
    <t>Medway Council</t>
  </si>
  <si>
    <t>Medway</t>
  </si>
  <si>
    <t>ITS446029</t>
  </si>
  <si>
    <t>ACL - Requires improvement</t>
  </si>
  <si>
    <t>ITS422200</t>
  </si>
  <si>
    <t>Merton Adult Education</t>
  </si>
  <si>
    <t>Merton</t>
  </si>
  <si>
    <t>Community Learning and Skills - Local authority - Full</t>
  </si>
  <si>
    <t>Middlesbrough Council</t>
  </si>
  <si>
    <t>Middlesbrough</t>
  </si>
  <si>
    <t>ITS363134</t>
  </si>
  <si>
    <t>NCC Adult Education Services</t>
  </si>
  <si>
    <t>Community Learning and Skills - Local authority - Reinspection</t>
  </si>
  <si>
    <t>ITS452610</t>
  </si>
  <si>
    <t>New Directions - The Learning and Employment Service for Reading</t>
  </si>
  <si>
    <t>Reading</t>
  </si>
  <si>
    <t>ITS375507</t>
  </si>
  <si>
    <t>Newcastle upon Tyne City Council</t>
  </si>
  <si>
    <t>Newcastle upon Tyne</t>
  </si>
  <si>
    <t>ITS434070</t>
  </si>
  <si>
    <t>ACL - Full</t>
  </si>
  <si>
    <t>ITS333338</t>
  </si>
  <si>
    <t>GI Group</t>
  </si>
  <si>
    <t>Derbyshire</t>
  </si>
  <si>
    <t>ITS452631</t>
  </si>
  <si>
    <t>Halfords</t>
  </si>
  <si>
    <t>Worcestershire</t>
  </si>
  <si>
    <t>Hob Salons</t>
  </si>
  <si>
    <t>Camden</t>
  </si>
  <si>
    <t>Honda Motor Europe Limited</t>
  </si>
  <si>
    <t>Nottinghamshire</t>
  </si>
  <si>
    <t>ITS385727</t>
  </si>
  <si>
    <t>WBL (national) - Full</t>
  </si>
  <si>
    <t>ITS307067</t>
  </si>
  <si>
    <t>HSBC Bank PLC</t>
  </si>
  <si>
    <t>Tower Hamlets</t>
  </si>
  <si>
    <t>ITS424337</t>
  </si>
  <si>
    <t>ITS321615</t>
  </si>
  <si>
    <t>Kwik-Fit (GB) Limited</t>
  </si>
  <si>
    <t>Derby</t>
  </si>
  <si>
    <t>ITS434402</t>
  </si>
  <si>
    <t>Employer - Requires improvement</t>
  </si>
  <si>
    <t>ITS423719</t>
  </si>
  <si>
    <t>McDonald's Restaurants Limited</t>
  </si>
  <si>
    <t>Barnet</t>
  </si>
  <si>
    <t>ITS345918</t>
  </si>
  <si>
    <t>Rathbone Training</t>
  </si>
  <si>
    <t>Manchester</t>
  </si>
  <si>
    <t>ITS441445</t>
  </si>
  <si>
    <t>Rochdale Training Association Limited</t>
  </si>
  <si>
    <t>Rochdale</t>
  </si>
  <si>
    <t>1</t>
  </si>
  <si>
    <t>ITS404559</t>
  </si>
  <si>
    <t>ITS330776</t>
  </si>
  <si>
    <t>Romney Resource 2000 Ltd</t>
  </si>
  <si>
    <t>Community Learning and Skills - Not for profit organisation - Requires Improvement - second inspection</t>
  </si>
  <si>
    <t>ITS434392</t>
  </si>
  <si>
    <t>Roots and Shoots</t>
  </si>
  <si>
    <t>ITS434051</t>
  </si>
  <si>
    <t>The Workforce Development Trust Limited</t>
  </si>
  <si>
    <t>Bristol</t>
  </si>
  <si>
    <t>ITS430257</t>
  </si>
  <si>
    <t>Slough Pit Stop Project Limited</t>
  </si>
  <si>
    <t>Slough</t>
  </si>
  <si>
    <t>ITS407163</t>
  </si>
  <si>
    <t>Havering College of Further and Higher Education</t>
  </si>
  <si>
    <t>Havering</t>
  </si>
  <si>
    <t>ITS363307</t>
  </si>
  <si>
    <t>College Inspection FE - Good Historic</t>
  </si>
  <si>
    <t>ITS300880</t>
  </si>
  <si>
    <t>Havering Sixth Form College</t>
  </si>
  <si>
    <t>SFC - Full</t>
  </si>
  <si>
    <t>ITS429290</t>
  </si>
  <si>
    <t>HCUC</t>
  </si>
  <si>
    <t>Hillingdon</t>
  </si>
  <si>
    <t>ITS318895</t>
  </si>
  <si>
    <t>College Inspection FE - Satisfactory Historic</t>
  </si>
  <si>
    <t>West Thames College</t>
  </si>
  <si>
    <t>Hounslow</t>
  </si>
  <si>
    <t>ITS429174</t>
  </si>
  <si>
    <t>ITS362139</t>
  </si>
  <si>
    <t>South Thames Colleges Group</t>
  </si>
  <si>
    <t>Kingston upon Thames</t>
  </si>
  <si>
    <t>ITS409319</t>
  </si>
  <si>
    <t>Newham College of Further Education</t>
  </si>
  <si>
    <t>ITS408441</t>
  </si>
  <si>
    <t>Bishop Burton College</t>
  </si>
  <si>
    <t>East Riding of Yorkshire</t>
  </si>
  <si>
    <t>ITS423370</t>
  </si>
  <si>
    <t>Grimsby Institute of Further and Higher Education</t>
  </si>
  <si>
    <t>North East Lincolnshire</t>
  </si>
  <si>
    <t>ITS423352</t>
  </si>
  <si>
    <t>Franklin College</t>
  </si>
  <si>
    <t>ITS397440</t>
  </si>
  <si>
    <t>North Lindsey College</t>
  </si>
  <si>
    <t>North Lincolnshire</t>
  </si>
  <si>
    <t>ITS434081</t>
  </si>
  <si>
    <t>ITS354441</t>
  </si>
  <si>
    <t>John Leggott Sixth Form College</t>
  </si>
  <si>
    <t>ITS429291</t>
  </si>
  <si>
    <t>ITS388326</t>
  </si>
  <si>
    <t>Farnborough College of Technology</t>
  </si>
  <si>
    <t>ITS376150</t>
  </si>
  <si>
    <t>ITS316632</t>
  </si>
  <si>
    <t>Brockenhurst College</t>
  </si>
  <si>
    <t>ITS322401</t>
  </si>
  <si>
    <t>Alton College</t>
  </si>
  <si>
    <t>ITS342292</t>
  </si>
  <si>
    <t>College Inspection SFC - Good Historic</t>
  </si>
  <si>
    <t>ITS284886</t>
  </si>
  <si>
    <t>Eastleigh College</t>
  </si>
  <si>
    <t>ITS388022</t>
  </si>
  <si>
    <t>ITS284885</t>
  </si>
  <si>
    <t>Fareham College</t>
  </si>
  <si>
    <t>ITS409445</t>
  </si>
  <si>
    <t>Havant &amp; South Downs College</t>
  </si>
  <si>
    <t>ITS316618</t>
  </si>
  <si>
    <t>Suffolk New College</t>
  </si>
  <si>
    <t>Suffolk</t>
  </si>
  <si>
    <t>North East Surrey College of Technology</t>
  </si>
  <si>
    <t>Surrey</t>
  </si>
  <si>
    <t>ITS354456</t>
  </si>
  <si>
    <t>ITS295868</t>
  </si>
  <si>
    <t>Guildford College of Further and Higher Education</t>
  </si>
  <si>
    <t>ITS455460</t>
  </si>
  <si>
    <t>East Surrey College</t>
  </si>
  <si>
    <t>ITS446540</t>
  </si>
  <si>
    <t>ITS329158</t>
  </si>
  <si>
    <t>Brooklands College</t>
  </si>
  <si>
    <t>ITS423366</t>
  </si>
  <si>
    <t>ITS385347</t>
  </si>
  <si>
    <t>Godalming College</t>
  </si>
  <si>
    <t>ITS322405</t>
  </si>
  <si>
    <t>Blake College LLP</t>
  </si>
  <si>
    <t>ITS404216</t>
  </si>
  <si>
    <t>BOSCH AUTOMOTIVE SERVICE SOLUTIONS LTD</t>
  </si>
  <si>
    <t>Nottingham</t>
  </si>
  <si>
    <t>ITS410661</t>
  </si>
  <si>
    <t>ITS330958</t>
  </si>
  <si>
    <t>BOSCO Centre</t>
  </si>
  <si>
    <t>Southwark</t>
  </si>
  <si>
    <t>ITS423756</t>
  </si>
  <si>
    <t>BPP Holdings Limited</t>
  </si>
  <si>
    <t>ITS363609</t>
  </si>
  <si>
    <t>Work based Learning - full inspection Historic</t>
  </si>
  <si>
    <t>Bridge Training Limited</t>
  </si>
  <si>
    <t>Gloucestershire</t>
  </si>
  <si>
    <t>Independent Learning Provider (Regional) - Requires Improvement - second inspection</t>
  </si>
  <si>
    <t>Brighter Futures Merseyside Limited</t>
  </si>
  <si>
    <t>ITS424462</t>
  </si>
  <si>
    <t>HIT Training Ltd</t>
  </si>
  <si>
    <t>West Sussex</t>
  </si>
  <si>
    <t>ITS455591</t>
  </si>
  <si>
    <t>Hoople Ltd</t>
  </si>
  <si>
    <t>Herefordshire</t>
  </si>
  <si>
    <t>ITS363194</t>
  </si>
  <si>
    <t>ITS306454</t>
  </si>
  <si>
    <t>Isle of Wight</t>
  </si>
  <si>
    <t>ITS321470</t>
  </si>
  <si>
    <t>Huddersfield Textile Training Limited</t>
  </si>
  <si>
    <t>Kirklees</t>
  </si>
  <si>
    <t>ITS408423</t>
  </si>
  <si>
    <t>Hudson &amp; Hughes Training Limited</t>
  </si>
  <si>
    <t>Somerset</t>
  </si>
  <si>
    <t>ITS452604</t>
  </si>
  <si>
    <t>Employer - Full</t>
  </si>
  <si>
    <t>ITS365986</t>
  </si>
  <si>
    <t>Hull Business Training Centre Limited</t>
  </si>
  <si>
    <t>Kingston upon Hull</t>
  </si>
  <si>
    <t>ITS343956</t>
  </si>
  <si>
    <t>ITS306705</t>
  </si>
  <si>
    <t>Pathway First Limited</t>
  </si>
  <si>
    <t>ITS455612</t>
  </si>
  <si>
    <t>Leeds</t>
  </si>
  <si>
    <t>Independent Learning Provider (National) - Requires improvement</t>
  </si>
  <si>
    <t>People and Business Development Ltd</t>
  </si>
  <si>
    <t>Essex</t>
  </si>
  <si>
    <t>ITS429012</t>
  </si>
  <si>
    <t>Performance Through People</t>
  </si>
  <si>
    <t>ITS388130</t>
  </si>
  <si>
    <t>APM Learning and Education Alliance Limited</t>
  </si>
  <si>
    <t>ADVANCED PERSONNEL MANAGEMENT GROUP (UK) LIMITED</t>
  </si>
  <si>
    <t>ITS424468</t>
  </si>
  <si>
    <t>The Derbyshire Network</t>
  </si>
  <si>
    <t>ITS429003</t>
  </si>
  <si>
    <t>The InTraining Group Limited</t>
  </si>
  <si>
    <t>ITS334045</t>
  </si>
  <si>
    <t>The JGA Group</t>
  </si>
  <si>
    <t>ITS429089</t>
  </si>
  <si>
    <t>The Learning Partnership for Cornwall and The Isles of Scilly Limited</t>
  </si>
  <si>
    <t>Cornwall</t>
  </si>
  <si>
    <t>ITS434062</t>
  </si>
  <si>
    <t>The London College of Beauty Therapy Limited</t>
  </si>
  <si>
    <t>ITS410656</t>
  </si>
  <si>
    <t>The Military Preparation College</t>
  </si>
  <si>
    <t>Cardiff</t>
  </si>
  <si>
    <t>Wales</t>
  </si>
  <si>
    <t>ITS434058</t>
  </si>
  <si>
    <t>ITS366072</t>
  </si>
  <si>
    <t>The Terri Brooke School Of Nails and Beauty</t>
  </si>
  <si>
    <t>Train Together</t>
  </si>
  <si>
    <t>Training Days</t>
  </si>
  <si>
    <t>The Tess Group</t>
  </si>
  <si>
    <t>Northamptonshire</t>
  </si>
  <si>
    <t>West London College Of Business &amp; Management Sciences Limited</t>
  </si>
  <si>
    <t>Be A Better You Training Limited</t>
  </si>
  <si>
    <t>Beyond 2030</t>
  </si>
  <si>
    <t>Can Training</t>
  </si>
  <si>
    <t>Ravensbourne</t>
  </si>
  <si>
    <t>ITS399006</t>
  </si>
  <si>
    <t>Southampton Solent University</t>
  </si>
  <si>
    <t>Southampton</t>
  </si>
  <si>
    <t>ITS376157</t>
  </si>
  <si>
    <t>FE in HE - New Historic</t>
  </si>
  <si>
    <t>The Arts University College At Bournemouth</t>
  </si>
  <si>
    <t>Poole</t>
  </si>
  <si>
    <t>ITS385356</t>
  </si>
  <si>
    <t>FE in HE - Good Historic</t>
  </si>
  <si>
    <t>The Manchester Metropolitan University</t>
  </si>
  <si>
    <t>ITS399007</t>
  </si>
  <si>
    <t>The Nottingham Trent University</t>
  </si>
  <si>
    <t>ITS429250</t>
  </si>
  <si>
    <t>FE in HE - Requires improvement</t>
  </si>
  <si>
    <t>ITS409295</t>
  </si>
  <si>
    <t>St John's School and College</t>
  </si>
  <si>
    <t>Brighton and Hove</t>
  </si>
  <si>
    <t>ITS408450</t>
  </si>
  <si>
    <t>St Martins Centre (St Roses School)</t>
  </si>
  <si>
    <t>Strathmore College</t>
  </si>
  <si>
    <t>Stoke-on-Trent</t>
  </si>
  <si>
    <t>ITS446033</t>
  </si>
  <si>
    <t>ISC - Requires improvement</t>
  </si>
  <si>
    <t>ITS429195</t>
  </si>
  <si>
    <t>The David Lewis Centre</t>
  </si>
  <si>
    <t>Cheshire East</t>
  </si>
  <si>
    <t>ITS399011</t>
  </si>
  <si>
    <t>The Fortune Centre of Riding Therapy</t>
  </si>
  <si>
    <t>ITS388037</t>
  </si>
  <si>
    <t>ISC - Satisfactory Historic</t>
  </si>
  <si>
    <t>ITS316864</t>
  </si>
  <si>
    <t>Expanse Group Ltd</t>
  </si>
  <si>
    <t>Wigan</t>
  </si>
  <si>
    <t>Hampshire County Council</t>
  </si>
  <si>
    <t>ITS345783</t>
  </si>
  <si>
    <t>Haringey London Borough Council</t>
  </si>
  <si>
    <t>Haringey</t>
  </si>
  <si>
    <t>Community Learning and Skills - Local authority - Requires Improvement - second inspection</t>
  </si>
  <si>
    <t>ITS430294</t>
  </si>
  <si>
    <t>Adult and Community - full (regional) Historic</t>
  </si>
  <si>
    <t>ITS316584</t>
  </si>
  <si>
    <t>Hartlepool Borough Council</t>
  </si>
  <si>
    <t>Hartlepool</t>
  </si>
  <si>
    <t>ITS423416</t>
  </si>
  <si>
    <t>ITS320068</t>
  </si>
  <si>
    <t>Havering London Borough Council</t>
  </si>
  <si>
    <t>ITS434068</t>
  </si>
  <si>
    <t>ITS387987</t>
  </si>
  <si>
    <t>Herefordshire Council</t>
  </si>
  <si>
    <t>ITS399623</t>
  </si>
  <si>
    <t>Wokingham Council</t>
  </si>
  <si>
    <t>Wokingham</t>
  </si>
  <si>
    <t>Community Learning and Skills - Local authority - Requires Improvement</t>
  </si>
  <si>
    <t>ITS452599</t>
  </si>
  <si>
    <t>Wolverhampton Adult Education Service</t>
  </si>
  <si>
    <t>Wolverhampton</t>
  </si>
  <si>
    <t>ITS446669</t>
  </si>
  <si>
    <t>ITS331468</t>
  </si>
  <si>
    <t>Worcestershire County Council</t>
  </si>
  <si>
    <t>ITS451949</t>
  </si>
  <si>
    <t>Eden College of Human Resource Development and Management Studies Limited</t>
  </si>
  <si>
    <t>Manley Summers Housing Personnel Limited</t>
  </si>
  <si>
    <t>Professional Training Solutions Limited</t>
  </si>
  <si>
    <t>Academies Enterprise Trust</t>
  </si>
  <si>
    <t>Herefordshire Group Training Association Limited</t>
  </si>
  <si>
    <t>ITS342767</t>
  </si>
  <si>
    <t>Humber Learning Consortium</t>
  </si>
  <si>
    <t>ITS387965</t>
  </si>
  <si>
    <t>Humberside Engineering Training Association Limited</t>
  </si>
  <si>
    <t>ITS423753</t>
  </si>
  <si>
    <t>ITS318252</t>
  </si>
  <si>
    <t>Independent Training Services Limited</t>
  </si>
  <si>
    <t>Barnsley</t>
  </si>
  <si>
    <t>ITS429272</t>
  </si>
  <si>
    <t>ITS420118</t>
  </si>
  <si>
    <t>ITEC North East Limited</t>
  </si>
  <si>
    <t>Durham</t>
  </si>
  <si>
    <t>ITS404563</t>
  </si>
  <si>
    <t>ITS342751</t>
  </si>
  <si>
    <t>Ruskin College</t>
  </si>
  <si>
    <t>Oxfordshire</t>
  </si>
  <si>
    <t>ITS399150</t>
  </si>
  <si>
    <t>ITS316693</t>
  </si>
  <si>
    <t>The Mary Ward Centre (AE Centre)</t>
  </si>
  <si>
    <t>ITS452634</t>
  </si>
  <si>
    <t>ITS330812</t>
  </si>
  <si>
    <t>The Working Men's College</t>
  </si>
  <si>
    <t>ITS408472</t>
  </si>
  <si>
    <t>ITS320896</t>
  </si>
  <si>
    <t>Workers' Educational Association</t>
  </si>
  <si>
    <t>Hackney</t>
  </si>
  <si>
    <t>ITS423428</t>
  </si>
  <si>
    <t>ITS318287</t>
  </si>
  <si>
    <t>Cambridge Performing Arts Course</t>
  </si>
  <si>
    <t>Cambridgeshire</t>
  </si>
  <si>
    <t>Dance and drama - Full</t>
  </si>
  <si>
    <t>ITS387995</t>
  </si>
  <si>
    <t>Cheadle and Marple Sixth Form College</t>
  </si>
  <si>
    <t>Stockport</t>
  </si>
  <si>
    <t>ITS429253</t>
  </si>
  <si>
    <t>Tameside College</t>
  </si>
  <si>
    <t>Tameside</t>
  </si>
  <si>
    <t>ITS452546</t>
  </si>
  <si>
    <t>Ashton Sixth Form College</t>
  </si>
  <si>
    <t>ITS376179</t>
  </si>
  <si>
    <t>ITS332998</t>
  </si>
  <si>
    <t>Wigan and Leigh College</t>
  </si>
  <si>
    <t>ITS446536</t>
  </si>
  <si>
    <t>Winstanley College</t>
  </si>
  <si>
    <t>ITS316657</t>
  </si>
  <si>
    <t>Weymouth College</t>
  </si>
  <si>
    <t>Dorset</t>
  </si>
  <si>
    <t>FE College - Reinspection</t>
  </si>
  <si>
    <t>ITS430282</t>
  </si>
  <si>
    <t>Kingston Maurward College</t>
  </si>
  <si>
    <t>ITS430267</t>
  </si>
  <si>
    <t>ITS410603</t>
  </si>
  <si>
    <t>Darlington College</t>
  </si>
  <si>
    <t>Darlington</t>
  </si>
  <si>
    <t>ITS452549</t>
  </si>
  <si>
    <t>Bishop Auckland College</t>
  </si>
  <si>
    <t>ITS376145</t>
  </si>
  <si>
    <t>ITS316661</t>
  </si>
  <si>
    <t>Derwentside College</t>
  </si>
  <si>
    <t>ITS385338</t>
  </si>
  <si>
    <t>New College Durham</t>
  </si>
  <si>
    <t>ITS332999</t>
  </si>
  <si>
    <t>University College for the Creative Arts</t>
  </si>
  <si>
    <t>ITS376156</t>
  </si>
  <si>
    <t>University of Bolton</t>
  </si>
  <si>
    <t>Bolton</t>
  </si>
  <si>
    <t>ITS429185</t>
  </si>
  <si>
    <t>University of Derby</t>
  </si>
  <si>
    <t>ITS429186</t>
  </si>
  <si>
    <t>University of Durham</t>
  </si>
  <si>
    <t>ITS321568</t>
  </si>
  <si>
    <t>University of Lincoln</t>
  </si>
  <si>
    <t>ITS429187</t>
  </si>
  <si>
    <t>ITS331245</t>
  </si>
  <si>
    <t>University of Sheffield</t>
  </si>
  <si>
    <t>Lakeside Early Adult Provision - Leap College (Wargrave House Ltd)</t>
  </si>
  <si>
    <t>St Helens</t>
  </si>
  <si>
    <t>Landmarks</t>
  </si>
  <si>
    <t>ITS429279</t>
  </si>
  <si>
    <t>ITS409296</t>
  </si>
  <si>
    <t>Langdon College</t>
  </si>
  <si>
    <t>Salford</t>
  </si>
  <si>
    <t>ITS410624</t>
  </si>
  <si>
    <t>Linkage Community Trust</t>
  </si>
  <si>
    <t>ITS408446</t>
  </si>
  <si>
    <t>ITS316973</t>
  </si>
  <si>
    <t>Mount Camphill Community</t>
  </si>
  <si>
    <t>East Sussex</t>
  </si>
  <si>
    <t>ITS429193</t>
  </si>
  <si>
    <t>ITS363315</t>
  </si>
  <si>
    <t>Bromley</t>
  </si>
  <si>
    <t>ITS404165</t>
  </si>
  <si>
    <t>The Maltings College</t>
  </si>
  <si>
    <t>Calderdale</t>
  </si>
  <si>
    <t>ITS452498</t>
  </si>
  <si>
    <t>Haringey Sixth Form College</t>
  </si>
  <si>
    <t>ITS430420</t>
  </si>
  <si>
    <t>Landau Forte Academy Tamworth Sixth Form</t>
  </si>
  <si>
    <t>ITS455817</t>
  </si>
  <si>
    <t>Lambeth London Borough Council</t>
  </si>
  <si>
    <t>ITS354478</t>
  </si>
  <si>
    <t>Adult &amp; Community Learning Service, Islington London Borough Council</t>
  </si>
  <si>
    <t>ITS363142</t>
  </si>
  <si>
    <t>ITS307149</t>
  </si>
  <si>
    <t>Coventry City Council</t>
  </si>
  <si>
    <t>ITS423414</t>
  </si>
  <si>
    <t>ITS316648</t>
  </si>
  <si>
    <t>Croydon London Borough Council</t>
  </si>
  <si>
    <t>Croydon</t>
  </si>
  <si>
    <t>ITS345784</t>
  </si>
  <si>
    <t>ITS306795</t>
  </si>
  <si>
    <t>Cumbria County Council</t>
  </si>
  <si>
    <t>Cumbria</t>
  </si>
  <si>
    <t>ITS363135</t>
  </si>
  <si>
    <t>Darlington Borough Council</t>
  </si>
  <si>
    <t>ITS375501</t>
  </si>
  <si>
    <t>ITS316664</t>
  </si>
  <si>
    <t>Derby City Council</t>
  </si>
  <si>
    <t>ITS364617</t>
  </si>
  <si>
    <t>Derbyshire Adult Community Education Service</t>
  </si>
  <si>
    <t>ITS387974</t>
  </si>
  <si>
    <t>ITS300649</t>
  </si>
  <si>
    <t>North East Lincolnshire Council</t>
  </si>
  <si>
    <t>ITS446860</t>
  </si>
  <si>
    <t>North Lincolnshire Council</t>
  </si>
  <si>
    <t>ITS408464</t>
  </si>
  <si>
    <t>North Tyneside Metropolitan Borough Council</t>
  </si>
  <si>
    <t>ITS408506</t>
  </si>
  <si>
    <t>ITS319224</t>
  </si>
  <si>
    <t>North Yorkshire County Council</t>
  </si>
  <si>
    <t>North Yorkshire</t>
  </si>
  <si>
    <t>ITS446660</t>
  </si>
  <si>
    <t>Northamptonshire County Council</t>
  </si>
  <si>
    <t>ITS345775</t>
  </si>
  <si>
    <t>ITS307265</t>
  </si>
  <si>
    <t>Nottingham City Council</t>
  </si>
  <si>
    <t>ITS423419</t>
  </si>
  <si>
    <t>ITS329892</t>
  </si>
  <si>
    <t>Tees Achieve</t>
  </si>
  <si>
    <t>Stockton-on-Tees</t>
  </si>
  <si>
    <t>ITS434072</t>
  </si>
  <si>
    <t>ITS387983</t>
  </si>
  <si>
    <t>TELFORD AND WREKIN BOROUGH COUNCIL</t>
  </si>
  <si>
    <t>ITS354465</t>
  </si>
  <si>
    <t>The Cornwall Council</t>
  </si>
  <si>
    <t>ITS430293</t>
  </si>
  <si>
    <t>ITS410630</t>
  </si>
  <si>
    <t>The Northumberland Council</t>
  </si>
  <si>
    <t>Northumberland</t>
  </si>
  <si>
    <t>ITS429150</t>
  </si>
  <si>
    <t>ITS385050</t>
  </si>
  <si>
    <t>The Wiltshire Council</t>
  </si>
  <si>
    <t>ITS363514</t>
  </si>
  <si>
    <t>Thurrock Adult Community College</t>
  </si>
  <si>
    <t>Thurrock</t>
  </si>
  <si>
    <t>ITS408463</t>
  </si>
  <si>
    <t>ITS333368</t>
  </si>
  <si>
    <t>Mercedes-Benz UK Limited</t>
  </si>
  <si>
    <t>Milton Keynes</t>
  </si>
  <si>
    <t>ITS404571</t>
  </si>
  <si>
    <t>ITS362080</t>
  </si>
  <si>
    <t>Ministry of Defence (Army)</t>
  </si>
  <si>
    <t>ITS408533</t>
  </si>
  <si>
    <t>ITS330257</t>
  </si>
  <si>
    <t>Ministry of Defence (Navy)</t>
  </si>
  <si>
    <t>ITS452622</t>
  </si>
  <si>
    <t>ITS330255</t>
  </si>
  <si>
    <t>Ministry of Defence (RAF)</t>
  </si>
  <si>
    <t>ITS446605</t>
  </si>
  <si>
    <t>ITS330030</t>
  </si>
  <si>
    <t>MITIE Group PLC</t>
  </si>
  <si>
    <t>ITS376252</t>
  </si>
  <si>
    <t>Momentum Training and Consultancy</t>
  </si>
  <si>
    <t>Building Crafts College</t>
  </si>
  <si>
    <t>ITS429140</t>
  </si>
  <si>
    <t>ITS330813</t>
  </si>
  <si>
    <t>City Gateway</t>
  </si>
  <si>
    <t>ITS452623</t>
  </si>
  <si>
    <t>Community Learning in Partnership (CLIP) CIC</t>
  </si>
  <si>
    <t>ITS429087</t>
  </si>
  <si>
    <t>ITS408406</t>
  </si>
  <si>
    <t>Volunteering Matters</t>
  </si>
  <si>
    <t>ITS408509</t>
  </si>
  <si>
    <t>CXK LIMITED</t>
  </si>
  <si>
    <t>Derby Skillbuild</t>
  </si>
  <si>
    <t>ITS434401</t>
  </si>
  <si>
    <t>ITS423742</t>
  </si>
  <si>
    <t>Kingston University</t>
  </si>
  <si>
    <t>ITS446542</t>
  </si>
  <si>
    <t>Leeds College of Art</t>
  </si>
  <si>
    <t>ITS363297</t>
  </si>
  <si>
    <t>ITS284872</t>
  </si>
  <si>
    <t>Loughborough University</t>
  </si>
  <si>
    <t>Leicestershire</t>
  </si>
  <si>
    <t>ITS399138</t>
  </si>
  <si>
    <t>Northern School of Contemporary Dance</t>
  </si>
  <si>
    <t>ITS444690</t>
  </si>
  <si>
    <t>Oxford Brookes University</t>
  </si>
  <si>
    <t>ITS399161</t>
  </si>
  <si>
    <t>Plymouth College of Art</t>
  </si>
  <si>
    <t>Plymouth</t>
  </si>
  <si>
    <t>ITS410605</t>
  </si>
  <si>
    <t>ITS316628</t>
  </si>
  <si>
    <t>Freeman College</t>
  </si>
  <si>
    <t>ITS345826</t>
  </si>
  <si>
    <t>Glasshouse College</t>
  </si>
  <si>
    <t>ITS342385</t>
  </si>
  <si>
    <t>Groundwork South Tyneside and Newcastle</t>
  </si>
  <si>
    <t>South Tyneside</t>
  </si>
  <si>
    <t>ITS455856</t>
  </si>
  <si>
    <t>Henshaws College</t>
  </si>
  <si>
    <t>ITS455466</t>
  </si>
  <si>
    <t xml:space="preserve">Homefield College </t>
  </si>
  <si>
    <t>ITS423398</t>
  </si>
  <si>
    <t>ITS332155</t>
  </si>
  <si>
    <t>Young Epilepsy (The National Centre for Young People with Epilepsy)</t>
  </si>
  <si>
    <t>ITS429197</t>
  </si>
  <si>
    <t>ITS363314</t>
  </si>
  <si>
    <t>Big Creative Academy</t>
  </si>
  <si>
    <t>Waltham Forest</t>
  </si>
  <si>
    <t>Chapeltown Academy</t>
  </si>
  <si>
    <t>City Gateway 14-19 Provision</t>
  </si>
  <si>
    <t>ITS443325</t>
  </si>
  <si>
    <t>Connell Sixth Form College</t>
  </si>
  <si>
    <t>ITS452499</t>
  </si>
  <si>
    <t>East London Arts &amp; Music</t>
  </si>
  <si>
    <t>Exeter Mathematics School</t>
  </si>
  <si>
    <t>Devon</t>
  </si>
  <si>
    <t>Buckinghamshire County Council</t>
  </si>
  <si>
    <t>ITS321725</t>
  </si>
  <si>
    <t>Bury Metropolitan Borough Council</t>
  </si>
  <si>
    <t>Bury</t>
  </si>
  <si>
    <t>ITS342353</t>
  </si>
  <si>
    <t>ITS306892</t>
  </si>
  <si>
    <t>Calderdale Metropolitan Borough Council</t>
  </si>
  <si>
    <t>ITS365879</t>
  </si>
  <si>
    <t>Cambridgeshire County Council</t>
  </si>
  <si>
    <t>ITS363131</t>
  </si>
  <si>
    <t>ITS307143</t>
  </si>
  <si>
    <t>Camden London Borough Council</t>
  </si>
  <si>
    <t>ITS366691</t>
  </si>
  <si>
    <t>ITS320890</t>
  </si>
  <si>
    <t>Cheshire East Council</t>
  </si>
  <si>
    <t>ITS434067</t>
  </si>
  <si>
    <t>ITS363136</t>
  </si>
  <si>
    <t>Kirklees Council Adult and Community Learning</t>
  </si>
  <si>
    <t>ITS423417</t>
  </si>
  <si>
    <t>ITS316624</t>
  </si>
  <si>
    <t>Knowsley Metropolitan Borough Council</t>
  </si>
  <si>
    <t>Knowsley</t>
  </si>
  <si>
    <t>ITS404215</t>
  </si>
  <si>
    <t>Leeds City Council</t>
  </si>
  <si>
    <t>ITS410634</t>
  </si>
  <si>
    <t>ITS333316</t>
  </si>
  <si>
    <t>Leicester Adult Skills &amp; Learning</t>
  </si>
  <si>
    <t>ITS427779</t>
  </si>
  <si>
    <t>ITS331447</t>
  </si>
  <si>
    <t>Leicestershire County Council</t>
  </si>
  <si>
    <t>ITS452656</t>
  </si>
  <si>
    <t>ITS399151</t>
  </si>
  <si>
    <t>Sefton Metropolitan Borough Council</t>
  </si>
  <si>
    <t>Sheffield City Council</t>
  </si>
  <si>
    <t>ITS429095</t>
  </si>
  <si>
    <t>Skills and Learning: Bournemouth, Dorset and Poole</t>
  </si>
  <si>
    <t>ITS455585</t>
  </si>
  <si>
    <t>ITS385054</t>
  </si>
  <si>
    <t>Slough Borough Council</t>
  </si>
  <si>
    <t>ITS363138</t>
  </si>
  <si>
    <t>South Tyneside Council</t>
  </si>
  <si>
    <t>ITS408467</t>
  </si>
  <si>
    <t>ITS333318</t>
  </si>
  <si>
    <t>Southampton City Council</t>
  </si>
  <si>
    <t>ITS410636</t>
  </si>
  <si>
    <t>ITS333092</t>
  </si>
  <si>
    <t>West Berkshire</t>
  </si>
  <si>
    <t>BAE Systems PLC</t>
  </si>
  <si>
    <t>Lancashire</t>
  </si>
  <si>
    <t>ITS345916</t>
  </si>
  <si>
    <t>ITS302807</t>
  </si>
  <si>
    <t>Barchester Healthcare Limited</t>
  </si>
  <si>
    <t>Hammersmith and Fulham</t>
  </si>
  <si>
    <t>ITS366024</t>
  </si>
  <si>
    <t>ITS329317</t>
  </si>
  <si>
    <t>Be Wiser Insurance Services</t>
  </si>
  <si>
    <t>Boots Opticians Professional Services Limited</t>
  </si>
  <si>
    <t>ITS455579</t>
  </si>
  <si>
    <t>British Gas Services Limited</t>
  </si>
  <si>
    <t>ITS317802</t>
  </si>
  <si>
    <t>Veolia Environment Development Centre Limited</t>
  </si>
  <si>
    <t>Independent Learning Provider (National) - Requires improvement - second inspection</t>
  </si>
  <si>
    <t>ITS440392</t>
  </si>
  <si>
    <t>Vision Express</t>
  </si>
  <si>
    <t>Voyage Group Limited</t>
  </si>
  <si>
    <t>ITS429236</t>
  </si>
  <si>
    <t>ITS399087</t>
  </si>
  <si>
    <t>Whitbread PLC</t>
  </si>
  <si>
    <t>Central Bedfordshire</t>
  </si>
  <si>
    <t>ITS446607</t>
  </si>
  <si>
    <t>ITS385766</t>
  </si>
  <si>
    <t>Wincanton Group Limited</t>
  </si>
  <si>
    <t>ITS376250</t>
  </si>
  <si>
    <t>Alliance Learning</t>
  </si>
  <si>
    <t>ITS408489</t>
  </si>
  <si>
    <t>ITS345910</t>
  </si>
  <si>
    <t>University of Sunderland</t>
  </si>
  <si>
    <t>ITS429188</t>
  </si>
  <si>
    <t>University of the Arts London</t>
  </si>
  <si>
    <t>ITS386024</t>
  </si>
  <si>
    <t>University of West London</t>
  </si>
  <si>
    <t>Ealing</t>
  </si>
  <si>
    <t>ITS420015</t>
  </si>
  <si>
    <t>ITS343641</t>
  </si>
  <si>
    <t>Writtle University College</t>
  </si>
  <si>
    <t>ITS429189</t>
  </si>
  <si>
    <t>ITS376152</t>
  </si>
  <si>
    <t>Activate Community and Education Services</t>
  </si>
  <si>
    <t>Ambitious College</t>
  </si>
  <si>
    <t>Thornbeck College - North East Autism Society</t>
  </si>
  <si>
    <t>ITS342595</t>
  </si>
  <si>
    <t>Treloar College</t>
  </si>
  <si>
    <t>ITS388140</t>
  </si>
  <si>
    <t>Trinity Specialist College Ltd</t>
  </si>
  <si>
    <t>ISC - Reinspection</t>
  </si>
  <si>
    <t>Uplands Educational Trust</t>
  </si>
  <si>
    <t>Wesc Foundation College</t>
  </si>
  <si>
    <t>ITS423403</t>
  </si>
  <si>
    <t>William Morris Camphill Community</t>
  </si>
  <si>
    <t>ITS385364</t>
  </si>
  <si>
    <t>ISC - Good Historic</t>
  </si>
  <si>
    <t>ITS284895</t>
  </si>
  <si>
    <t>Cheshire West and Chester Council</t>
  </si>
  <si>
    <t>Cheshire West and Chester</t>
  </si>
  <si>
    <t>ITS452624</t>
  </si>
  <si>
    <t>ITS363137</t>
  </si>
  <si>
    <t>City College Peterborough</t>
  </si>
  <si>
    <t>Peterborough</t>
  </si>
  <si>
    <t>ITS375494</t>
  </si>
  <si>
    <t>ITS319339</t>
  </si>
  <si>
    <t>City Of Bradford Metropolitan District Council</t>
  </si>
  <si>
    <t>Bradford</t>
  </si>
  <si>
    <t>ITS429146</t>
  </si>
  <si>
    <t>ITS375503</t>
  </si>
  <si>
    <t>City of London Adult Community Learning</t>
  </si>
  <si>
    <t>ITS354476</t>
  </si>
  <si>
    <t>City of York Council</t>
  </si>
  <si>
    <t>ITS365876</t>
  </si>
  <si>
    <t>ITS307138</t>
  </si>
  <si>
    <t>Council of the Isles of Scilly</t>
  </si>
  <si>
    <t>Isles of Scilly</t>
  </si>
  <si>
    <t>ITS399144</t>
  </si>
  <si>
    <t>ITS329192</t>
  </si>
  <si>
    <t>Lewisham London Borough Council</t>
  </si>
  <si>
    <t>Lewisham</t>
  </si>
  <si>
    <t>ITS429148</t>
  </si>
  <si>
    <t>ITS395177</t>
  </si>
  <si>
    <t>Lincolnshire County Council</t>
  </si>
  <si>
    <t>ITS410125</t>
  </si>
  <si>
    <t>ITS333354</t>
  </si>
  <si>
    <t>Liverpool City Council</t>
  </si>
  <si>
    <t>ITS345778</t>
  </si>
  <si>
    <t>ITS307022</t>
  </si>
  <si>
    <t>London Borough of Newham: Adult Learning Service</t>
  </si>
  <si>
    <t>ITS345787</t>
  </si>
  <si>
    <t>Luton Borough Council</t>
  </si>
  <si>
    <t>Luton</t>
  </si>
  <si>
    <t>ITS434069</t>
  </si>
  <si>
    <t>ITS387972</t>
  </si>
  <si>
    <t>Manchester City Council</t>
  </si>
  <si>
    <t>ITS423418</t>
  </si>
  <si>
    <t>ITS322475</t>
  </si>
  <si>
    <t>Suffolk County Council</t>
  </si>
  <si>
    <t>ITS429298</t>
  </si>
  <si>
    <t>ITS408510</t>
  </si>
  <si>
    <t>Sunderland City Metropolitan Borough Council</t>
  </si>
  <si>
    <t>ITS446667</t>
  </si>
  <si>
    <t>ITS320960</t>
  </si>
  <si>
    <t>Surrey County Council</t>
  </si>
  <si>
    <t>ITS354473</t>
  </si>
  <si>
    <t>ITS317570</t>
  </si>
  <si>
    <t>Sutton London Borough Council</t>
  </si>
  <si>
    <t>ITS441287</t>
  </si>
  <si>
    <t>ITS306790</t>
  </si>
  <si>
    <t>SWINDON UNITARY AUTHORITY</t>
  </si>
  <si>
    <t>ITS423429</t>
  </si>
  <si>
    <t>Tameside Metropolitan Borough Council</t>
  </si>
  <si>
    <t>ITS365409</t>
  </si>
  <si>
    <t>Defence Equipment &amp; Support, Defence Munitions (DM) Gosport</t>
  </si>
  <si>
    <t>ITS404561</t>
  </si>
  <si>
    <t>ITS342607</t>
  </si>
  <si>
    <t>DHL International (UK) Limited</t>
  </si>
  <si>
    <t>ITS385773</t>
  </si>
  <si>
    <t>Doosan Babcock Limited</t>
  </si>
  <si>
    <t>Sandwell</t>
  </si>
  <si>
    <t>ITS388103</t>
  </si>
  <si>
    <t>ITS316791</t>
  </si>
  <si>
    <t>Finmeccanica UK Limited</t>
  </si>
  <si>
    <t>ITS333554</t>
  </si>
  <si>
    <t>Finning (UK) Ltd.</t>
  </si>
  <si>
    <t>ITS354306</t>
  </si>
  <si>
    <t>Appris Charity Limited</t>
  </si>
  <si>
    <t>ATG Training</t>
  </si>
  <si>
    <t>ITS345917</t>
  </si>
  <si>
    <t>ITS306992</t>
  </si>
  <si>
    <t>Azure Charitable Enterprises</t>
  </si>
  <si>
    <t>ITS429276</t>
  </si>
  <si>
    <t>ITS408491</t>
  </si>
  <si>
    <t>Barnardo's Employment, Training and Skills</t>
  </si>
  <si>
    <t>Redbridge</t>
  </si>
  <si>
    <t>ITS434035</t>
  </si>
  <si>
    <t>Basingstoke ITEC</t>
  </si>
  <si>
    <t>ITS404581</t>
  </si>
  <si>
    <t>ITS317023</t>
  </si>
  <si>
    <t>British Racing School</t>
  </si>
  <si>
    <t>ITS345865</t>
  </si>
  <si>
    <t>ITS306839</t>
  </si>
  <si>
    <t>North West Training Council</t>
  </si>
  <si>
    <t>ITS440402</t>
  </si>
  <si>
    <t>ITS410920</t>
  </si>
  <si>
    <t>Northern Racing College</t>
  </si>
  <si>
    <t>Doncaster</t>
  </si>
  <si>
    <t>ITS364510</t>
  </si>
  <si>
    <t>Oldham Engineering Group Training Association Limited (The)</t>
  </si>
  <si>
    <t>Oldham</t>
  </si>
  <si>
    <t>ITS376225</t>
  </si>
  <si>
    <t>ITS307086</t>
  </si>
  <si>
    <t>Open Door Adult Learning Centre</t>
  </si>
  <si>
    <t>Community Learning and Skills - Not for profit organisation - Requires Improvement</t>
  </si>
  <si>
    <t>ITS452615</t>
  </si>
  <si>
    <t>PETA Limited</t>
  </si>
  <si>
    <t>Portsmouth</t>
  </si>
  <si>
    <t>ITS429859</t>
  </si>
  <si>
    <t>ITS345938</t>
  </si>
  <si>
    <t>Pre-School Learning Alliance</t>
  </si>
  <si>
    <t>ITS387971</t>
  </si>
  <si>
    <t>ITS301031</t>
  </si>
  <si>
    <t>Nottingham College</t>
  </si>
  <si>
    <t>FE College - Requires improvement - second inspection</t>
  </si>
  <si>
    <t>ITS429286</t>
  </si>
  <si>
    <t>West Nottinghamshire College</t>
  </si>
  <si>
    <t>ITS388004</t>
  </si>
  <si>
    <t>Bilborough College</t>
  </si>
  <si>
    <t>ITS452491</t>
  </si>
  <si>
    <t>The Henley College</t>
  </si>
  <si>
    <t>ITS362140</t>
  </si>
  <si>
    <t>ITS295865</t>
  </si>
  <si>
    <t>Abingdon and Witney College</t>
  </si>
  <si>
    <t>ITS429152</t>
  </si>
  <si>
    <t>Telford College of Arts and Technology</t>
  </si>
  <si>
    <t>Aurelia Training Limited</t>
  </si>
  <si>
    <t>ITS388462</t>
  </si>
  <si>
    <t>ITS329976</t>
  </si>
  <si>
    <t>Avant Partnership Limited</t>
  </si>
  <si>
    <t>ITS388124</t>
  </si>
  <si>
    <t>ITS330145</t>
  </si>
  <si>
    <t>PeoplePlus Group Limited</t>
  </si>
  <si>
    <t>Solihull</t>
  </si>
  <si>
    <t>ITS452630</t>
  </si>
  <si>
    <t>Axia Solutions Limited</t>
  </si>
  <si>
    <t>ITS375546</t>
  </si>
  <si>
    <t>ITS307056</t>
  </si>
  <si>
    <t>B L Training Limited</t>
  </si>
  <si>
    <t>ITS455578</t>
  </si>
  <si>
    <t>ITS385757</t>
  </si>
  <si>
    <t>B-Skill Limited</t>
  </si>
  <si>
    <t>ITS429260</t>
  </si>
  <si>
    <t>Focus Training Limited</t>
  </si>
  <si>
    <t>ITS333479</t>
  </si>
  <si>
    <t>Francesco Group (Holdings) Limited</t>
  </si>
  <si>
    <t>ITS388126</t>
  </si>
  <si>
    <t>G B Training (UK) Ltd</t>
  </si>
  <si>
    <t>ITS452603</t>
  </si>
  <si>
    <t>ITS307094</t>
  </si>
  <si>
    <t>GenII Engineering &amp; Technology Training Limited</t>
  </si>
  <si>
    <t>ITS363205</t>
  </si>
  <si>
    <t>GHQ Training Limited</t>
  </si>
  <si>
    <t>ITS445774</t>
  </si>
  <si>
    <t>ITS376246</t>
  </si>
  <si>
    <t>GK Training Services Limited</t>
  </si>
  <si>
    <t>ITS362387</t>
  </si>
  <si>
    <t>Michael John Training Manchester</t>
  </si>
  <si>
    <t>ITS366028</t>
  </si>
  <si>
    <t>ITS307158</t>
  </si>
  <si>
    <t>MiddletonMurray Limited</t>
  </si>
  <si>
    <t>Midland Group Training Services Limited</t>
  </si>
  <si>
    <t>ITS429002</t>
  </si>
  <si>
    <t>ITS319220</t>
  </si>
  <si>
    <t>Mobile Care Qualifications Limited</t>
  </si>
  <si>
    <t>ITS408502</t>
  </si>
  <si>
    <t>Mode Training Ltd</t>
  </si>
  <si>
    <t>ITS342651</t>
  </si>
  <si>
    <t>MPower Training Solutions Ltd</t>
  </si>
  <si>
    <t>ITS461249</t>
  </si>
  <si>
    <t>Skills UK Ltd</t>
  </si>
  <si>
    <t>ITS423813</t>
  </si>
  <si>
    <t>Smart Training and Recruitment Limited</t>
  </si>
  <si>
    <t>ITS398455</t>
  </si>
  <si>
    <t>Softmist Limited</t>
  </si>
  <si>
    <t>ITS429004</t>
  </si>
  <si>
    <t>South West Association of Training Providers Limited</t>
  </si>
  <si>
    <t>ITS408541</t>
  </si>
  <si>
    <t>South West Regional Assessment Centre Limited</t>
  </si>
  <si>
    <t>ITS408542</t>
  </si>
  <si>
    <t>ITS330382</t>
  </si>
  <si>
    <t>Span Training &amp; Development Limited</t>
  </si>
  <si>
    <t>ITS434052</t>
  </si>
  <si>
    <t>ITS364782</t>
  </si>
  <si>
    <t>Nottingham City Transport Ltd</t>
  </si>
  <si>
    <t>Specsavers Optical Superstores Limited</t>
  </si>
  <si>
    <t>Trinity Solutions Academy</t>
  </si>
  <si>
    <t>Prior Pursglove and Stockton Sixth Form College</t>
  </si>
  <si>
    <t>Redcar and Cleveland</t>
  </si>
  <si>
    <t>Academy Training Group Limited</t>
  </si>
  <si>
    <t>Adviza Partnership</t>
  </si>
  <si>
    <t>Bracknell Forest</t>
  </si>
  <si>
    <t>National Careers Service - Full</t>
  </si>
  <si>
    <t>Beacon Education Partnership Limited</t>
  </si>
  <si>
    <t>City College Nottingham</t>
  </si>
  <si>
    <t>Longley Park Sixth Form College</t>
  </si>
  <si>
    <t>SFC - Requires improvement - second inspection</t>
  </si>
  <si>
    <t>ITS429293</t>
  </si>
  <si>
    <t>City of Stoke-On-Trent Sixth Form College</t>
  </si>
  <si>
    <t>ITS446035</t>
  </si>
  <si>
    <t>ITS429257</t>
  </si>
  <si>
    <t>Reigate College</t>
  </si>
  <si>
    <t>ITS329232</t>
  </si>
  <si>
    <t>Woking College</t>
  </si>
  <si>
    <t>ITS362661</t>
  </si>
  <si>
    <t>College Inspection SFC - Satisfactory Historic</t>
  </si>
  <si>
    <t>ITS318375</t>
  </si>
  <si>
    <t>Arden College</t>
  </si>
  <si>
    <t>ITS430266</t>
  </si>
  <si>
    <t>ITS419900</t>
  </si>
  <si>
    <t>Area 51 Education Ltd</t>
  </si>
  <si>
    <t>ITS446688</t>
  </si>
  <si>
    <t>Beaumont College - A Scope College</t>
  </si>
  <si>
    <t>ITS342594</t>
  </si>
  <si>
    <t>Bridge College</t>
  </si>
  <si>
    <t>ITS423405</t>
  </si>
  <si>
    <t>ITS321920</t>
  </si>
  <si>
    <t>Heart of Birmingham Vocational College</t>
  </si>
  <si>
    <t>ITS455855</t>
  </si>
  <si>
    <t>Cambian Dilston College</t>
  </si>
  <si>
    <t>ITS408447</t>
  </si>
  <si>
    <t>ITS298688</t>
  </si>
  <si>
    <t>National Star College</t>
  </si>
  <si>
    <t>ITS388039</t>
  </si>
  <si>
    <t>ITS282841</t>
  </si>
  <si>
    <t>Nisai Virtual Academy Ltd</t>
  </si>
  <si>
    <t>Oakwood Court College (Phoenix Learning Care Ltd)</t>
  </si>
  <si>
    <t>ITS399012</t>
  </si>
  <si>
    <t>Orpheus Centre</t>
  </si>
  <si>
    <t>ITS446687</t>
  </si>
  <si>
    <t>Pennine Camphill Community</t>
  </si>
  <si>
    <t>Wakefield</t>
  </si>
  <si>
    <t>ITS434076</t>
  </si>
  <si>
    <t>ITS363313</t>
  </si>
  <si>
    <t>Percy Hedley College</t>
  </si>
  <si>
    <t>ITS376165</t>
  </si>
  <si>
    <t>ITS318803</t>
  </si>
  <si>
    <t>Adult and Community Learning Service, Isle of Wight Council</t>
  </si>
  <si>
    <t>ITS429244</t>
  </si>
  <si>
    <t>Adult College of Barking and Dagenham</t>
  </si>
  <si>
    <t>Barking and Dagenham</t>
  </si>
  <si>
    <t>ITS399158</t>
  </si>
  <si>
    <t>Essex County Council</t>
  </si>
  <si>
    <t>ITS423415</t>
  </si>
  <si>
    <t>Milton Keynes Council - Community Learning MK</t>
  </si>
  <si>
    <t>ITS399143</t>
  </si>
  <si>
    <t>ITS329180</t>
  </si>
  <si>
    <t>Adult Education In Gloucestershire</t>
  </si>
  <si>
    <t>ITS429144</t>
  </si>
  <si>
    <t>ITS385911</t>
  </si>
  <si>
    <t>Barnsley Metropolitan Borough Council</t>
  </si>
  <si>
    <t>ITS399156</t>
  </si>
  <si>
    <t>Devon County Council Adult and Community Learning</t>
  </si>
  <si>
    <t>ITS410631</t>
  </si>
  <si>
    <t>ITS366690</t>
  </si>
  <si>
    <t>Doncaster Metropolitan Borough Council</t>
  </si>
  <si>
    <t>ITS463030</t>
  </si>
  <si>
    <t>Dudley Metropolitan Borough Council</t>
  </si>
  <si>
    <t>ITS385049</t>
  </si>
  <si>
    <t>ITS316585</t>
  </si>
  <si>
    <t>Durham County Council</t>
  </si>
  <si>
    <t>ITS434393</t>
  </si>
  <si>
    <t>ITS423431</t>
  </si>
  <si>
    <t>Ealing London Borough Council</t>
  </si>
  <si>
    <t>ITS345785</t>
  </si>
  <si>
    <t>ITS317027</t>
  </si>
  <si>
    <t>East Riding of Yorkshire Council</t>
  </si>
  <si>
    <t>ITS429243</t>
  </si>
  <si>
    <t>Nottinghamshire County Council</t>
  </si>
  <si>
    <t>ITS455583</t>
  </si>
  <si>
    <t>Oldham Metropolitan Borough Council</t>
  </si>
  <si>
    <t>ITS333336</t>
  </si>
  <si>
    <t>Plymouth Adult and Community Learning Service</t>
  </si>
  <si>
    <t>ITS423420</t>
  </si>
  <si>
    <t>Portsmouth City Council</t>
  </si>
  <si>
    <t>ITS423421</t>
  </si>
  <si>
    <t>Redbridge Institute of Adult Education</t>
  </si>
  <si>
    <t>ITS452608</t>
  </si>
  <si>
    <t>ITS330815</t>
  </si>
  <si>
    <t>Redcar &amp; Cleveland Adult Learning Service</t>
  </si>
  <si>
    <t>ITS446665</t>
  </si>
  <si>
    <t>ITS329358</t>
  </si>
  <si>
    <t>Wakefield Metropolitan District Council</t>
  </si>
  <si>
    <t>Walsall Adult And Community College</t>
  </si>
  <si>
    <t>Walsall</t>
  </si>
  <si>
    <t>ITS407195</t>
  </si>
  <si>
    <t>WALTHAM FOREST LONDON BOROUGH COUNCIL</t>
  </si>
  <si>
    <t>ITS387989</t>
  </si>
  <si>
    <t>Wandsworth London Borough Council</t>
  </si>
  <si>
    <t>Wandsworth</t>
  </si>
  <si>
    <t>ITS446663</t>
  </si>
  <si>
    <t>Warwickshire County Council</t>
  </si>
  <si>
    <t>ITS366697</t>
  </si>
  <si>
    <t>ITS316650</t>
  </si>
  <si>
    <t>National Grid PLC</t>
  </si>
  <si>
    <t>ITS345454</t>
  </si>
  <si>
    <t>National Tyre Service Limited</t>
  </si>
  <si>
    <t>ITS345356</t>
  </si>
  <si>
    <t>Nestor Primecare Services Limited</t>
  </si>
  <si>
    <t>Pearson PLC</t>
  </si>
  <si>
    <t>Independent Learning Provider (National) - Reinspection</t>
  </si>
  <si>
    <t>Pizza Hut</t>
  </si>
  <si>
    <t>Hertfordshire</t>
  </si>
  <si>
    <t>Qinetiq Limited</t>
  </si>
  <si>
    <t>ITS385777</t>
  </si>
  <si>
    <t>ITS318259</t>
  </si>
  <si>
    <t>First Rung Limited</t>
  </si>
  <si>
    <t>Enfield</t>
  </si>
  <si>
    <t>ITS423795</t>
  </si>
  <si>
    <t>Forster Community College Limited</t>
  </si>
  <si>
    <t>ITS429141</t>
  </si>
  <si>
    <t>ITS365875</t>
  </si>
  <si>
    <t>Friends Centre</t>
  </si>
  <si>
    <t>ITS444482</t>
  </si>
  <si>
    <t>Gloucestershire Engineering Training Limited</t>
  </si>
  <si>
    <t>ITS382477</t>
  </si>
  <si>
    <t>Greenbank Project (The)</t>
  </si>
  <si>
    <t>ITS404118</t>
  </si>
  <si>
    <t>Social Enterprise Kent CIC</t>
  </si>
  <si>
    <t>ITS345929</t>
  </si>
  <si>
    <t>Train to Gain - full inspection Historic</t>
  </si>
  <si>
    <t>ITS306999</t>
  </si>
  <si>
    <t>Cambian Lufton College</t>
  </si>
  <si>
    <t>ITS410626</t>
  </si>
  <si>
    <t>Cambian Wing College</t>
  </si>
  <si>
    <t>Bournemouth</t>
  </si>
  <si>
    <t>Chatsworth Futures Limited</t>
  </si>
  <si>
    <t>Communication Specialist College -  Doncaster</t>
  </si>
  <si>
    <t>ITS429190</t>
  </si>
  <si>
    <t>ITS316974</t>
  </si>
  <si>
    <t>Condover College Limited</t>
  </si>
  <si>
    <t>Shropshire</t>
  </si>
  <si>
    <t>ITS429252</t>
  </si>
  <si>
    <t>ITS399010</t>
  </si>
  <si>
    <t>Derwen College</t>
  </si>
  <si>
    <t>ITS385461</t>
  </si>
  <si>
    <t>Portland College</t>
  </si>
  <si>
    <t>ITS429097</t>
  </si>
  <si>
    <t>ITS399013</t>
  </si>
  <si>
    <t>Priory College Swindon</t>
  </si>
  <si>
    <t>ITS429191</t>
  </si>
  <si>
    <t>Queen Alexandra College</t>
  </si>
  <si>
    <t>ITS365906</t>
  </si>
  <si>
    <t>ITS316866</t>
  </si>
  <si>
    <t>ITS429194</t>
  </si>
  <si>
    <t>ITS363312</t>
  </si>
  <si>
    <t>RNIB College Loughborough</t>
  </si>
  <si>
    <t>ITS423402</t>
  </si>
  <si>
    <t>ITS320298</t>
  </si>
  <si>
    <t>Bedfordshire Adult Skills &amp; Community Learning</t>
  </si>
  <si>
    <t>ITS363133</t>
  </si>
  <si>
    <t>The Learning Centre Bexley</t>
  </si>
  <si>
    <t>Bexley</t>
  </si>
  <si>
    <t>ITS410629</t>
  </si>
  <si>
    <t>Birmingham City Council</t>
  </si>
  <si>
    <t>ITS430076</t>
  </si>
  <si>
    <t>Blackburn with Darwen Borough Council</t>
  </si>
  <si>
    <t>Blackburn with Darwen</t>
  </si>
  <si>
    <t>ITS343845</t>
  </si>
  <si>
    <t>ITS306779</t>
  </si>
  <si>
    <t>BLACKPOOL UNITARY AUTHORITY</t>
  </si>
  <si>
    <t>Blackpool</t>
  </si>
  <si>
    <t>ITS404218</t>
  </si>
  <si>
    <t>Bolton Metropolitan Borough Council</t>
  </si>
  <si>
    <t>ITS342352</t>
  </si>
  <si>
    <t>East Sussex County Council</t>
  </si>
  <si>
    <t>ITS345782</t>
  </si>
  <si>
    <t>ITS301026</t>
  </si>
  <si>
    <t>Enfield London Borough Council</t>
  </si>
  <si>
    <t>ITS452607</t>
  </si>
  <si>
    <t>ITS366693</t>
  </si>
  <si>
    <t>Gateshead Council</t>
  </si>
  <si>
    <t>Gateshead</t>
  </si>
  <si>
    <t>ITS354461</t>
  </si>
  <si>
    <t>ITS307141</t>
  </si>
  <si>
    <t>Hackney London Borough Council</t>
  </si>
  <si>
    <t>Halton Borough Council</t>
  </si>
  <si>
    <t>Halton</t>
  </si>
  <si>
    <t>ITS410632</t>
  </si>
  <si>
    <t>ITS333317</t>
  </si>
  <si>
    <t>Hammersmith and Fulham Adult Learning and Skills Service</t>
  </si>
  <si>
    <t>ITS345786</t>
  </si>
  <si>
    <t>ITS306793</t>
  </si>
  <si>
    <t>Richmond Upon Thames Borough Council</t>
  </si>
  <si>
    <t>Richmond upon Thames</t>
  </si>
  <si>
    <t>ITS345788</t>
  </si>
  <si>
    <t>ITS307111</t>
  </si>
  <si>
    <t>Royal Borough of Greenwich</t>
  </si>
  <si>
    <t>ITS410635</t>
  </si>
  <si>
    <t>ITS330816</t>
  </si>
  <si>
    <t>Royal Borough of Kensington and Chelsea Council</t>
  </si>
  <si>
    <t>Kensington and Chelsea</t>
  </si>
  <si>
    <t>ITS434071</t>
  </si>
  <si>
    <t>ITS404252</t>
  </si>
  <si>
    <t>Royal Borough of Kingston upon Thames Council</t>
  </si>
  <si>
    <t>ITS434390</t>
  </si>
  <si>
    <t>Rutland County Council</t>
  </si>
  <si>
    <t>Rutland</t>
  </si>
  <si>
    <t>ITS446028</t>
  </si>
  <si>
    <t>ITS423423</t>
  </si>
  <si>
    <t>Sandwell Metropolitan Borough Council</t>
  </si>
  <si>
    <t>ITS354475</t>
  </si>
  <si>
    <t>Waverley Training Services</t>
  </si>
  <si>
    <t>ITS430262</t>
  </si>
  <si>
    <t>West Berkshire Council</t>
  </si>
  <si>
    <t>ITS408471</t>
  </si>
  <si>
    <t>ITS317525</t>
  </si>
  <si>
    <t>West Sussex County Council</t>
  </si>
  <si>
    <t>Westminster City Council</t>
  </si>
  <si>
    <t>ITS375508</t>
  </si>
  <si>
    <t>Wigan Metropolitan Borough Council</t>
  </si>
  <si>
    <t>ITS408468</t>
  </si>
  <si>
    <t>Wirral Metropolitan Borough Council</t>
  </si>
  <si>
    <t>Wirral</t>
  </si>
  <si>
    <t>ITS343858</t>
  </si>
  <si>
    <t>Rolls-Royce PLC</t>
  </si>
  <si>
    <t>ITS345544</t>
  </si>
  <si>
    <t>ITS306849</t>
  </si>
  <si>
    <t>Select Service Partner UK Limited</t>
  </si>
  <si>
    <t>ITS451098</t>
  </si>
  <si>
    <t>Siemens Public Limited Company</t>
  </si>
  <si>
    <t>ITS346074</t>
  </si>
  <si>
    <t>SSE Services PLC</t>
  </si>
  <si>
    <t>Rhondda, Cynon, Taff</t>
  </si>
  <si>
    <t>ITS404582</t>
  </si>
  <si>
    <t>ITS354699</t>
  </si>
  <si>
    <t>Superdrug Stores PLC</t>
  </si>
  <si>
    <t>ITS411372</t>
  </si>
  <si>
    <t>WBL (national) - Reinspection</t>
  </si>
  <si>
    <t>ITS399083</t>
  </si>
  <si>
    <t>Tesco Stores Limited</t>
  </si>
  <si>
    <t>ITS423718</t>
  </si>
  <si>
    <t>ITS316780</t>
  </si>
  <si>
    <t>Developing Initiatives for Support in the Community</t>
  </si>
  <si>
    <t>ITS429106</t>
  </si>
  <si>
    <t>ITS376221</t>
  </si>
  <si>
    <t>Doncaster Rotherham and District Motor Trades Group Training Association Limited</t>
  </si>
  <si>
    <t>ITS366036</t>
  </si>
  <si>
    <t>ITS316795</t>
  </si>
  <si>
    <t>East London Advanced Technology Training</t>
  </si>
  <si>
    <t>ITS452602</t>
  </si>
  <si>
    <t>ITS334063</t>
  </si>
  <si>
    <t>Education and Training Skills Ltd</t>
  </si>
  <si>
    <t>ITS366054</t>
  </si>
  <si>
    <t>ITS307156</t>
  </si>
  <si>
    <t>Enham Trust</t>
  </si>
  <si>
    <t>ITS429294</t>
  </si>
  <si>
    <t>ITS410147</t>
  </si>
  <si>
    <t>First College</t>
  </si>
  <si>
    <t>ITS343968</t>
  </si>
  <si>
    <t>ITS306830</t>
  </si>
  <si>
    <t>Dorton College</t>
  </si>
  <si>
    <t>ITS366413</t>
  </si>
  <si>
    <t>Education and Services for People with Autism</t>
  </si>
  <si>
    <t>ITS344000</t>
  </si>
  <si>
    <t>Exeter Royal Academy for Deaf Education</t>
  </si>
  <si>
    <t>ITS434075</t>
  </si>
  <si>
    <t>ITS376169</t>
  </si>
  <si>
    <t>Fairfield Farm College (Fairfield Farm Trust)</t>
  </si>
  <si>
    <t>ITS360956</t>
  </si>
  <si>
    <t>Farleigh Further Education College - Frome</t>
  </si>
  <si>
    <t>ITS408449</t>
  </si>
  <si>
    <t>ITS301121</t>
  </si>
  <si>
    <t xml:space="preserve">Foxes Academy </t>
  </si>
  <si>
    <t>ITS410623</t>
  </si>
  <si>
    <t>ITS295869</t>
  </si>
  <si>
    <t>Royal College Manchester (Seashell Trust)</t>
  </si>
  <si>
    <t>ITS408448</t>
  </si>
  <si>
    <t>Royal National College for the Blind</t>
  </si>
  <si>
    <t>ITS423404</t>
  </si>
  <si>
    <t>Ruskin Mill College</t>
  </si>
  <si>
    <t>ITS447351</t>
  </si>
  <si>
    <t>ITS443549</t>
  </si>
  <si>
    <t>Sense College</t>
  </si>
  <si>
    <t>ITS427886</t>
  </si>
  <si>
    <t>Sheiling College</t>
  </si>
  <si>
    <t>ITS451325</t>
  </si>
  <si>
    <t>St Elizabeth's College (The Congregation of the Daughters of the Cross of the Liege)</t>
  </si>
  <si>
    <t>ITS434077</t>
  </si>
  <si>
    <t>Bracknell Forest Borough Council</t>
  </si>
  <si>
    <t>ITS408817</t>
  </si>
  <si>
    <t>Brent Adult and Community Education Service</t>
  </si>
  <si>
    <t>Brent</t>
  </si>
  <si>
    <t>ITS385052</t>
  </si>
  <si>
    <t>ITS333093</t>
  </si>
  <si>
    <t>Brighton &amp; Hove City Council</t>
  </si>
  <si>
    <t>ITS333091</t>
  </si>
  <si>
    <t>ITS306780</t>
  </si>
  <si>
    <t>Bristol City Council</t>
  </si>
  <si>
    <t>ITS387988</t>
  </si>
  <si>
    <t>BROADLAND DISTRICT COUNCIL</t>
  </si>
  <si>
    <t>ITS452973</t>
  </si>
  <si>
    <t>Bromley London Borough Council</t>
  </si>
  <si>
    <t>ITS452606</t>
  </si>
  <si>
    <t>Hertfordshire County Council</t>
  </si>
  <si>
    <t>ITS387973</t>
  </si>
  <si>
    <t>ITS329820</t>
  </si>
  <si>
    <t>Hillingdon London Borough Council</t>
  </si>
  <si>
    <t>ITS363140</t>
  </si>
  <si>
    <t>ITS302906</t>
  </si>
  <si>
    <t>Hounslow Adult and Community Education</t>
  </si>
  <si>
    <t>ITS446662</t>
  </si>
  <si>
    <t>ITS329193</t>
  </si>
  <si>
    <t>Kent Community Learning and Skills</t>
  </si>
  <si>
    <t>ITS354410</t>
  </si>
  <si>
    <t>KETTERING BOROUGH COUNCIL</t>
  </si>
  <si>
    <t>Kingston Upon Hull City Council</t>
  </si>
  <si>
    <t>ITS387984</t>
  </si>
  <si>
    <t>Southend-on-Sea Borough Council</t>
  </si>
  <si>
    <t>Southend on Sea</t>
  </si>
  <si>
    <t>ITS446666</t>
  </si>
  <si>
    <t>ITS329818</t>
  </si>
  <si>
    <t>Southwark Adult Learning Service</t>
  </si>
  <si>
    <t>ITS375509</t>
  </si>
  <si>
    <t>ITS330982</t>
  </si>
  <si>
    <t>St Helens Metropolitan Borough Council</t>
  </si>
  <si>
    <t>ITS345781</t>
  </si>
  <si>
    <t>Staffordshire County Council</t>
  </si>
  <si>
    <t>ITS399146</t>
  </si>
  <si>
    <t>ITS331437</t>
  </si>
  <si>
    <t>Stockport Metropolitan Borough Council</t>
  </si>
  <si>
    <t>ITS365877</t>
  </si>
  <si>
    <t>STOKE-ON-TRENT UNITARY AUTHORITY</t>
  </si>
  <si>
    <t>British Telecommunications PLC</t>
  </si>
  <si>
    <t>ITS387963</t>
  </si>
  <si>
    <t>Busy Bees Nurseries Limited</t>
  </si>
  <si>
    <t>ITS404570</t>
  </si>
  <si>
    <t>Carillion Construction Limited</t>
  </si>
  <si>
    <t>ITS410643</t>
  </si>
  <si>
    <t>Compass Group UK &amp; Ireland</t>
  </si>
  <si>
    <t>ITS430252</t>
  </si>
  <si>
    <t>The Football Association Premier League Limited</t>
  </si>
  <si>
    <t>ITS345741</t>
  </si>
  <si>
    <t>The Headmasters Partnership Limited</t>
  </si>
  <si>
    <t>ITS429221</t>
  </si>
  <si>
    <t>ITS387977</t>
  </si>
  <si>
    <t>Thomas Cook Group UK Limited</t>
  </si>
  <si>
    <t>ITS452987</t>
  </si>
  <si>
    <t>ITS332129</t>
  </si>
  <si>
    <t>Toni &amp; Guy UK Training Limited</t>
  </si>
  <si>
    <t>ITS366045</t>
  </si>
  <si>
    <t>Travis Perkins PLC</t>
  </si>
  <si>
    <t>ITS393392</t>
  </si>
  <si>
    <t>Tui UK Limited</t>
  </si>
  <si>
    <t>ITS362677</t>
  </si>
  <si>
    <t>JTL</t>
  </si>
  <si>
    <t>ITS404574</t>
  </si>
  <si>
    <t>Kirkdale Industrial Training Services Limited</t>
  </si>
  <si>
    <t>ITS429111</t>
  </si>
  <si>
    <t>ITS388107</t>
  </si>
  <si>
    <t>Lancaster Training Services Limited</t>
  </si>
  <si>
    <t>ITS376223</t>
  </si>
  <si>
    <t>ITS306733</t>
  </si>
  <si>
    <t>League Football Education</t>
  </si>
  <si>
    <t>ITS386017</t>
  </si>
  <si>
    <t>ITS307171</t>
  </si>
  <si>
    <t>London Learning Consortium Community Interest Company</t>
  </si>
  <si>
    <t>ITS430254</t>
  </si>
  <si>
    <t>ITS399131</t>
  </si>
  <si>
    <t>METSKILL Limited</t>
  </si>
  <si>
    <t>ITS452609</t>
  </si>
  <si>
    <t>Milton Keynes Christian Foundation Limited</t>
  </si>
  <si>
    <t>ITS429273</t>
  </si>
  <si>
    <t>ITS404573</t>
  </si>
  <si>
    <t>NACRO</t>
  </si>
  <si>
    <t>ITS422202</t>
  </si>
  <si>
    <t>CITB (Construction Industry Training Board)</t>
  </si>
  <si>
    <t>ITS388432</t>
  </si>
  <si>
    <t>Newham Training and Education Centre</t>
  </si>
  <si>
    <t>ITS404219</t>
  </si>
  <si>
    <t>ITS333965</t>
  </si>
  <si>
    <t>NLT Training Services Ltd</t>
  </si>
  <si>
    <t>ITS429263</t>
  </si>
  <si>
    <t>West Berkshire Training Consortium</t>
  </si>
  <si>
    <t>ITS410698</t>
  </si>
  <si>
    <t>ITS321524</t>
  </si>
  <si>
    <t>West Yorkshire Learning Providers Ltd</t>
  </si>
  <si>
    <t>ITS429233</t>
  </si>
  <si>
    <t>ITS399117</t>
  </si>
  <si>
    <t>Westward Pathfinder</t>
  </si>
  <si>
    <t>ITS452785</t>
  </si>
  <si>
    <t>ITS429122</t>
  </si>
  <si>
    <t>Women's Technology Training Limited</t>
  </si>
  <si>
    <t>ITS423426</t>
  </si>
  <si>
    <t>YMCA Derbyshire</t>
  </si>
  <si>
    <t>ITS429123</t>
  </si>
  <si>
    <t>YMCA Training</t>
  </si>
  <si>
    <t>ITS452735</t>
  </si>
  <si>
    <t>Coulsdon Sixth Form College</t>
  </si>
  <si>
    <t>ITS421038</t>
  </si>
  <si>
    <t>SFC - Reinspection</t>
  </si>
  <si>
    <t>ITS408456</t>
  </si>
  <si>
    <t>John Ruskin College</t>
  </si>
  <si>
    <t>ITS423375</t>
  </si>
  <si>
    <t>Capel Manor College</t>
  </si>
  <si>
    <t>ITS408424</t>
  </si>
  <si>
    <t>ITS318862</t>
  </si>
  <si>
    <t>Stanmore College</t>
  </si>
  <si>
    <t>St Dominic's Sixth Form College</t>
  </si>
  <si>
    <t>ITS318860</t>
  </si>
  <si>
    <t>Wirral Metropolitan College</t>
  </si>
  <si>
    <t>Bolton College</t>
  </si>
  <si>
    <t>ITS455663</t>
  </si>
  <si>
    <t>Bury College</t>
  </si>
  <si>
    <t>ITS298681</t>
  </si>
  <si>
    <t>Holy Cross College</t>
  </si>
  <si>
    <t>ITS298683</t>
  </si>
  <si>
    <t>Loreto College</t>
  </si>
  <si>
    <t>ITS342775</t>
  </si>
  <si>
    <t>ITS283492</t>
  </si>
  <si>
    <t>Redcar &amp; Cleveland College</t>
  </si>
  <si>
    <t>Stockton Riverside College</t>
  </si>
  <si>
    <t>ITS429247</t>
  </si>
  <si>
    <t>ITS404163</t>
  </si>
  <si>
    <t>Hull College</t>
  </si>
  <si>
    <t>ITS330740</t>
  </si>
  <si>
    <t>Wilberforce College</t>
  </si>
  <si>
    <t>ITS434399</t>
  </si>
  <si>
    <t>ITS423379</t>
  </si>
  <si>
    <t>Wyke Sixth Form College</t>
  </si>
  <si>
    <t>ITS423380</t>
  </si>
  <si>
    <t>ITS318929</t>
  </si>
  <si>
    <t>East Riding College</t>
  </si>
  <si>
    <t>ITS363298</t>
  </si>
  <si>
    <t>Chesterfield College</t>
  </si>
  <si>
    <t>ITS423356</t>
  </si>
  <si>
    <t>ITS320852</t>
  </si>
  <si>
    <t>Exeter College</t>
  </si>
  <si>
    <t>ITS429162</t>
  </si>
  <si>
    <t>ITS318871</t>
  </si>
  <si>
    <t>Petroc</t>
  </si>
  <si>
    <t>ITS385350</t>
  </si>
  <si>
    <t>ITS295858</t>
  </si>
  <si>
    <t>South Devon College</t>
  </si>
  <si>
    <t>Torbay</t>
  </si>
  <si>
    <t>ITS329155</t>
  </si>
  <si>
    <t>City College Plymouth</t>
  </si>
  <si>
    <t>ITS398997</t>
  </si>
  <si>
    <t>ITS329201</t>
  </si>
  <si>
    <t>The Bournemouth and Poole College</t>
  </si>
  <si>
    <t>ITS363302</t>
  </si>
  <si>
    <t>ITS298650</t>
  </si>
  <si>
    <t xml:space="preserve">Hereford College of Arts </t>
  </si>
  <si>
    <t>ITS423372</t>
  </si>
  <si>
    <t>ITS387994</t>
  </si>
  <si>
    <t>Worcester Sixth Form College</t>
  </si>
  <si>
    <t>ITS406868</t>
  </si>
  <si>
    <t>ITS331237</t>
  </si>
  <si>
    <t>West Herts College</t>
  </si>
  <si>
    <t>ITS343695</t>
  </si>
  <si>
    <t>North Hertfordshire College</t>
  </si>
  <si>
    <t>Hertford Regional College</t>
  </si>
  <si>
    <t>ITS410614</t>
  </si>
  <si>
    <t>Oaklands College</t>
  </si>
  <si>
    <t>ITS342264</t>
  </si>
  <si>
    <t>ITS282827</t>
  </si>
  <si>
    <t>Norwich City College of Further and Higher Education</t>
  </si>
  <si>
    <t>ITS410615</t>
  </si>
  <si>
    <t>East Norfolk Sixth Form College</t>
  </si>
  <si>
    <t>ITS423386</t>
  </si>
  <si>
    <t>ITS363316</t>
  </si>
  <si>
    <t>Northampton College</t>
  </si>
  <si>
    <t>ITS408428</t>
  </si>
  <si>
    <t>Moulton College</t>
  </si>
  <si>
    <t>ITS320855</t>
  </si>
  <si>
    <t>Northumberland College</t>
  </si>
  <si>
    <t>ITS408434</t>
  </si>
  <si>
    <t>ITS342296</t>
  </si>
  <si>
    <t>City Lit</t>
  </si>
  <si>
    <t>Community Learning and Skills - Specialist designated institution - Full</t>
  </si>
  <si>
    <t>ITS365880</t>
  </si>
  <si>
    <t>Fircroft College of Adult Education</t>
  </si>
  <si>
    <t>ITS434066</t>
  </si>
  <si>
    <t>ITS316692</t>
  </si>
  <si>
    <t>Hillcroft College</t>
  </si>
  <si>
    <t>ITS420901</t>
  </si>
  <si>
    <t>Adult and Community - reinspection Historic</t>
  </si>
  <si>
    <t>ITS399157</t>
  </si>
  <si>
    <t>Morley College</t>
  </si>
  <si>
    <t>ITS363141</t>
  </si>
  <si>
    <t>ITS320897</t>
  </si>
  <si>
    <t>Northern College for Residential Adult Education Limited</t>
  </si>
  <si>
    <t>ITS411064</t>
  </si>
  <si>
    <t>ITS307140</t>
  </si>
  <si>
    <t>United Colleges Group</t>
  </si>
  <si>
    <t>ITS410609</t>
  </si>
  <si>
    <t>ITS343683</t>
  </si>
  <si>
    <t>Barking and Dagenham College</t>
  </si>
  <si>
    <t>ITS408436</t>
  </si>
  <si>
    <t>ITS300878</t>
  </si>
  <si>
    <t>Barnet and Southgate College</t>
  </si>
  <si>
    <t>ITS342311</t>
  </si>
  <si>
    <t>ITS284882</t>
  </si>
  <si>
    <t>Woodhouse College</t>
  </si>
  <si>
    <t>ITS298343</t>
  </si>
  <si>
    <t>College category 1 visit Historic</t>
  </si>
  <si>
    <t>London South East Colleges</t>
  </si>
  <si>
    <t>ITS408438</t>
  </si>
  <si>
    <t>ITS329233</t>
  </si>
  <si>
    <t>Croydon College</t>
  </si>
  <si>
    <t>ITS429245</t>
  </si>
  <si>
    <t>ITS404130</t>
  </si>
  <si>
    <t>Knowsley Community College</t>
  </si>
  <si>
    <t>ITS395074</t>
  </si>
  <si>
    <t>The City of Liverpool College</t>
  </si>
  <si>
    <t>St Helens College</t>
  </si>
  <si>
    <t>ITS429169</t>
  </si>
  <si>
    <t>Carmel College</t>
  </si>
  <si>
    <t>ITS318567</t>
  </si>
  <si>
    <t>Hugh Baird College</t>
  </si>
  <si>
    <t>ITS452484</t>
  </si>
  <si>
    <t>ITS343958</t>
  </si>
  <si>
    <t>Southport College</t>
  </si>
  <si>
    <t>ITS408435</t>
  </si>
  <si>
    <t>ITS317352</t>
  </si>
  <si>
    <t>Bath College</t>
  </si>
  <si>
    <t>Bath and North East Somerset</t>
  </si>
  <si>
    <t>ITS408439</t>
  </si>
  <si>
    <t>ITS343639</t>
  </si>
  <si>
    <t>St Brendan's Sixth Form College</t>
  </si>
  <si>
    <t>ITS399021</t>
  </si>
  <si>
    <t>ITS343645</t>
  </si>
  <si>
    <t>Weston College</t>
  </si>
  <si>
    <t>North Somerset</t>
  </si>
  <si>
    <t>ITS423351</t>
  </si>
  <si>
    <t>ITS319828</t>
  </si>
  <si>
    <t>Hartlepool College of Further Education</t>
  </si>
  <si>
    <t>ITS429289</t>
  </si>
  <si>
    <t>Middlesbrough College</t>
  </si>
  <si>
    <t>ITS363293</t>
  </si>
  <si>
    <t>Cleveland College of Art and Design</t>
  </si>
  <si>
    <t>ITS333003</t>
  </si>
  <si>
    <t>Sir John Deane's College</t>
  </si>
  <si>
    <t>ITS318908</t>
  </si>
  <si>
    <t>Cornwall College</t>
  </si>
  <si>
    <t>ITS345757</t>
  </si>
  <si>
    <t>Truro and Penwith College</t>
  </si>
  <si>
    <t>ITS295065</t>
  </si>
  <si>
    <t>Kendal College</t>
  </si>
  <si>
    <t>ITS354447</t>
  </si>
  <si>
    <t>Lakes College - West Cumbria</t>
  </si>
  <si>
    <t>ITS362660</t>
  </si>
  <si>
    <t>Furness College</t>
  </si>
  <si>
    <t>ITS452487</t>
  </si>
  <si>
    <t>ITS362659</t>
  </si>
  <si>
    <t>St Vincent College</t>
  </si>
  <si>
    <t>ITS429292</t>
  </si>
  <si>
    <t>Portsmouth College</t>
  </si>
  <si>
    <t>ITS408458</t>
  </si>
  <si>
    <t>ITS345836</t>
  </si>
  <si>
    <t>Richard Taunton Sixth Form College</t>
  </si>
  <si>
    <t>ITS423384</t>
  </si>
  <si>
    <t>Peter Symonds College</t>
  </si>
  <si>
    <t>ITS318857</t>
  </si>
  <si>
    <t>Herefordshire &amp; Ludlow College</t>
  </si>
  <si>
    <t>ITS345806</t>
  </si>
  <si>
    <t>ITS284864</t>
  </si>
  <si>
    <t>Heart of Worcestershire College</t>
  </si>
  <si>
    <t>ITS408427</t>
  </si>
  <si>
    <t xml:space="preserve">New College Stamford </t>
  </si>
  <si>
    <t>ITS452490</t>
  </si>
  <si>
    <t>Boston College</t>
  </si>
  <si>
    <t>ITS429285</t>
  </si>
  <si>
    <t>ITS409297</t>
  </si>
  <si>
    <t>Lincoln College</t>
  </si>
  <si>
    <t>ITS363289</t>
  </si>
  <si>
    <t>The College of West Anglia</t>
  </si>
  <si>
    <t>ITS408429</t>
  </si>
  <si>
    <t>City of Sunderland College</t>
  </si>
  <si>
    <t>ITS343826</t>
  </si>
  <si>
    <t>East Durham College</t>
  </si>
  <si>
    <t>ITS429161</t>
  </si>
  <si>
    <t>ITS322089</t>
  </si>
  <si>
    <t>Leicester College co Freemen's Park Campus</t>
  </si>
  <si>
    <t>ITS363285</t>
  </si>
  <si>
    <t>Bolton Sixth Form College</t>
  </si>
  <si>
    <t>ITS423391</t>
  </si>
  <si>
    <t>ITS376184</t>
  </si>
  <si>
    <t>Wiltshire College</t>
  </si>
  <si>
    <t>ITS447349</t>
  </si>
  <si>
    <t>ITS423369</t>
  </si>
  <si>
    <t>Sussex Downs College</t>
  </si>
  <si>
    <t>Performers College</t>
  </si>
  <si>
    <t>ITS376308</t>
  </si>
  <si>
    <t>SLP College Leeds</t>
  </si>
  <si>
    <t>ITS364500</t>
  </si>
  <si>
    <t>Academy of Live and Recorded Arts</t>
  </si>
  <si>
    <t>ITS367171</t>
  </si>
  <si>
    <t>Tring Park School for the Performing Arts</t>
  </si>
  <si>
    <t>ITS385313</t>
  </si>
  <si>
    <t>Arts Educational School</t>
  </si>
  <si>
    <t>ITS385316</t>
  </si>
  <si>
    <t>Doreen Bird College of Performing Arts Ltd.</t>
  </si>
  <si>
    <t>ITS387997</t>
  </si>
  <si>
    <t>English National Ballet School Limited</t>
  </si>
  <si>
    <t>ITS387996</t>
  </si>
  <si>
    <t>Xaverian College</t>
  </si>
  <si>
    <t>ITS318912</t>
  </si>
  <si>
    <t>The Oldham College</t>
  </si>
  <si>
    <t>ITS463125</t>
  </si>
  <si>
    <t>Hopwood Hall College</t>
  </si>
  <si>
    <t>ITS365902</t>
  </si>
  <si>
    <t>ITS302073</t>
  </si>
  <si>
    <t>Salford City College</t>
  </si>
  <si>
    <t>ITS346185</t>
  </si>
  <si>
    <t>Stockport College</t>
  </si>
  <si>
    <t>ITS433764</t>
  </si>
  <si>
    <t>Aquinas College</t>
  </si>
  <si>
    <t>ITS408453</t>
  </si>
  <si>
    <t>ITS329313</t>
  </si>
  <si>
    <t>Craven College</t>
  </si>
  <si>
    <t>ITS354443</t>
  </si>
  <si>
    <t>Selby College</t>
  </si>
  <si>
    <t>ITS316656</t>
  </si>
  <si>
    <t>Scarborough Sixth Form College</t>
  </si>
  <si>
    <t>ITS365908</t>
  </si>
  <si>
    <t>ITS283490</t>
  </si>
  <si>
    <t>York College</t>
  </si>
  <si>
    <t>ITS423353</t>
  </si>
  <si>
    <t>ITS318915</t>
  </si>
  <si>
    <t>Askham Bryan College</t>
  </si>
  <si>
    <t>ITS376133</t>
  </si>
  <si>
    <t>ITS316672</t>
  </si>
  <si>
    <t>Bedford College</t>
  </si>
  <si>
    <t>ITS429153</t>
  </si>
  <si>
    <t>ITS329377</t>
  </si>
  <si>
    <t>Queen Elizabeth Sixth Form College</t>
  </si>
  <si>
    <t>ITS385367</t>
  </si>
  <si>
    <t>ITS317044</t>
  </si>
  <si>
    <t>Sussex Coast College Hastings</t>
  </si>
  <si>
    <t>ITS429284</t>
  </si>
  <si>
    <t>ITS388328</t>
  </si>
  <si>
    <t>Plumpton College</t>
  </si>
  <si>
    <t>ITS376134</t>
  </si>
  <si>
    <t>Varndean College</t>
  </si>
  <si>
    <t>ITS399024</t>
  </si>
  <si>
    <t>ITS316623</t>
  </si>
  <si>
    <t>Brighton Hove and Sussex Sixth Form College</t>
  </si>
  <si>
    <t>ITS399015</t>
  </si>
  <si>
    <t>ITS316626</t>
  </si>
  <si>
    <t>Bexhill College</t>
  </si>
  <si>
    <t>ITS354453</t>
  </si>
  <si>
    <t>ITS298673</t>
  </si>
  <si>
    <t>The Isle of Wight College</t>
  </si>
  <si>
    <t>ITS302820</t>
  </si>
  <si>
    <t>North Kent College</t>
  </si>
  <si>
    <t>ITS429167</t>
  </si>
  <si>
    <t>ITS362138</t>
  </si>
  <si>
    <t>MidKent College</t>
  </si>
  <si>
    <t>ITS452489</t>
  </si>
  <si>
    <t>West Kent and Ashford College</t>
  </si>
  <si>
    <t>ITS428116</t>
  </si>
  <si>
    <t>East Kent College</t>
  </si>
  <si>
    <t>ITS409326</t>
  </si>
  <si>
    <t>Canterbury College</t>
  </si>
  <si>
    <t>ITS440396</t>
  </si>
  <si>
    <t>North Shropshire College</t>
  </si>
  <si>
    <t>Shrewsbury Colleges Group</t>
  </si>
  <si>
    <t>ITS423388</t>
  </si>
  <si>
    <t>ITS318899</t>
  </si>
  <si>
    <t>New College Telford</t>
  </si>
  <si>
    <t>ITS452492</t>
  </si>
  <si>
    <t>Bridgwater and Taunton College</t>
  </si>
  <si>
    <t>ITS295068</t>
  </si>
  <si>
    <t>Yeovil College</t>
  </si>
  <si>
    <t>ITS386116</t>
  </si>
  <si>
    <t>Strode College</t>
  </si>
  <si>
    <t>ITS446539</t>
  </si>
  <si>
    <t>ITS330974</t>
  </si>
  <si>
    <t>Lowestoft Sixth Form College</t>
  </si>
  <si>
    <t>ITS444483</t>
  </si>
  <si>
    <t>ITS429176</t>
  </si>
  <si>
    <t>Easton &amp; Otley College</t>
  </si>
  <si>
    <t>ITS423373</t>
  </si>
  <si>
    <t>South Gloucestershire and Stroud College</t>
  </si>
  <si>
    <t>South Gloucestershire</t>
  </si>
  <si>
    <t>ITS452493</t>
  </si>
  <si>
    <t>Prospects College of Advanced Technology</t>
  </si>
  <si>
    <t>5 E Ltd.</t>
  </si>
  <si>
    <t>ITS424453</t>
  </si>
  <si>
    <t>ITS321458</t>
  </si>
  <si>
    <t>Abis Resources Limited</t>
  </si>
  <si>
    <t>ITS354677</t>
  </si>
  <si>
    <t>Babcock Skills Development And Training Limited</t>
  </si>
  <si>
    <t>ITS345944</t>
  </si>
  <si>
    <t>ITS306875</t>
  </si>
  <si>
    <t>Babcock Training Limited</t>
  </si>
  <si>
    <t>ITS334913</t>
  </si>
  <si>
    <t>Babington Business College Limited</t>
  </si>
  <si>
    <t>ITS452977</t>
  </si>
  <si>
    <t>ITS375547</t>
  </si>
  <si>
    <t>Baltic Training Services Limited</t>
  </si>
  <si>
    <t>ITS452988</t>
  </si>
  <si>
    <t>ITS333485</t>
  </si>
  <si>
    <t>BCTG Limited</t>
  </si>
  <si>
    <t>ITS388125</t>
  </si>
  <si>
    <t>Be Totally You</t>
  </si>
  <si>
    <t>ITS452784</t>
  </si>
  <si>
    <t>Springboard</t>
  </si>
  <si>
    <t>ITS385748</t>
  </si>
  <si>
    <t>Steps to Work (Walsall) Ltd</t>
  </si>
  <si>
    <t>ITS455576</t>
  </si>
  <si>
    <t>Stockport Engineering Training Association Limited(The)</t>
  </si>
  <si>
    <t>ITS408543</t>
  </si>
  <si>
    <t>ITS363207</t>
  </si>
  <si>
    <t>Swarthmore Education Centre</t>
  </si>
  <si>
    <t>ITS429151</t>
  </si>
  <si>
    <t>ITS318827</t>
  </si>
  <si>
    <t>Team Wearside Limited</t>
  </si>
  <si>
    <t>ITS363214</t>
  </si>
  <si>
    <t>Liverpool Theatre School &amp; College Limited</t>
  </si>
  <si>
    <t>ITS364905</t>
  </si>
  <si>
    <t>Laine Theatre Arts Limited</t>
  </si>
  <si>
    <t>ITS364499</t>
  </si>
  <si>
    <t>Millennium Performing Arts Ltd.</t>
  </si>
  <si>
    <t>ITS409438</t>
  </si>
  <si>
    <t>The Urdang Academy</t>
  </si>
  <si>
    <t>ITS364505</t>
  </si>
  <si>
    <t>Italia Conti Academy of Theatre Arts</t>
  </si>
  <si>
    <t>ITS364504</t>
  </si>
  <si>
    <t>The Guildford School of Acting Conservatoire</t>
  </si>
  <si>
    <t>ITS376309</t>
  </si>
  <si>
    <t>Elmhurst School for Dance</t>
  </si>
  <si>
    <t>ITS367205</t>
  </si>
  <si>
    <t>Birmingham Metropolitan College</t>
  </si>
  <si>
    <t>ITS455456</t>
  </si>
  <si>
    <t>Joseph Chamberlain Sixth Form College</t>
  </si>
  <si>
    <t>ITS430285</t>
  </si>
  <si>
    <t>Cadbury Sixth Form College</t>
  </si>
  <si>
    <t>ITS429251</t>
  </si>
  <si>
    <t>Coventry College</t>
  </si>
  <si>
    <t>ITS429165</t>
  </si>
  <si>
    <t>Hereward College of Further Education</t>
  </si>
  <si>
    <t>Dudley College of Technology</t>
  </si>
  <si>
    <t>ITS409299</t>
  </si>
  <si>
    <t>Bradford College</t>
  </si>
  <si>
    <t>ITS446537</t>
  </si>
  <si>
    <t>Shipley College</t>
  </si>
  <si>
    <t>ITS409325</t>
  </si>
  <si>
    <t>ITS354439</t>
  </si>
  <si>
    <t>Calderdale College</t>
  </si>
  <si>
    <t>ITS429155</t>
  </si>
  <si>
    <t>ITS363295</t>
  </si>
  <si>
    <t>Kirklees College</t>
  </si>
  <si>
    <t>ITS385831</t>
  </si>
  <si>
    <t>ITS363294</t>
  </si>
  <si>
    <t>Greenhead College</t>
  </si>
  <si>
    <t>ITS316660</t>
  </si>
  <si>
    <t>Huddersfield New College</t>
  </si>
  <si>
    <t>ITS376180</t>
  </si>
  <si>
    <t>Long Road Sixth Form College</t>
  </si>
  <si>
    <t>ITS429175</t>
  </si>
  <si>
    <t>Warrington and Vale Royal College</t>
  </si>
  <si>
    <t>Warrington</t>
  </si>
  <si>
    <t>ITS447146</t>
  </si>
  <si>
    <t>South Cheshire College</t>
  </si>
  <si>
    <t>ITS388025</t>
  </si>
  <si>
    <t>ITS318909</t>
  </si>
  <si>
    <t>Macclesfield College</t>
  </si>
  <si>
    <t xml:space="preserve">Riverside College Halton </t>
  </si>
  <si>
    <t>ITS343721</t>
  </si>
  <si>
    <t>College Inspection FE - Inadequate Historic</t>
  </si>
  <si>
    <t>ITS329308</t>
  </si>
  <si>
    <t>Reaseheath College</t>
  </si>
  <si>
    <t>ITS343830</t>
  </si>
  <si>
    <t>ITS295740</t>
  </si>
  <si>
    <t>Southampton City College</t>
  </si>
  <si>
    <t>ITS363303</t>
  </si>
  <si>
    <t>Highbury College</t>
  </si>
  <si>
    <t>ITS375471</t>
  </si>
  <si>
    <t>ITS300881</t>
  </si>
  <si>
    <t>Sparsholt College Hampshire</t>
  </si>
  <si>
    <t>ITS429182</t>
  </si>
  <si>
    <t>ITS320948</t>
  </si>
  <si>
    <t>Totton College (Part of Nacro)</t>
  </si>
  <si>
    <t>ITS446036</t>
  </si>
  <si>
    <t>Barton Peveril Sixth Form College</t>
  </si>
  <si>
    <t>ITS343646</t>
  </si>
  <si>
    <t>ITS283496</t>
  </si>
  <si>
    <t>Itchen College</t>
  </si>
  <si>
    <t>ITS423383</t>
  </si>
  <si>
    <t>St Mary's College</t>
  </si>
  <si>
    <t>ITS423385</t>
  </si>
  <si>
    <t>Stephenson College</t>
  </si>
  <si>
    <t>ITS423362</t>
  </si>
  <si>
    <t>Loughborough College</t>
  </si>
  <si>
    <t>ITS409320</t>
  </si>
  <si>
    <t>Brooksby Melton College</t>
  </si>
  <si>
    <t>ITS404159</t>
  </si>
  <si>
    <t>ITS343693</t>
  </si>
  <si>
    <t>Gateway Sixth Form College</t>
  </si>
  <si>
    <t>ITS429098</t>
  </si>
  <si>
    <t>Wyggeston and Queen Elizabeth I College</t>
  </si>
  <si>
    <t>Chichester College</t>
  </si>
  <si>
    <t>ITS429157</t>
  </si>
  <si>
    <t>ITS319829</t>
  </si>
  <si>
    <t>Worthing College</t>
  </si>
  <si>
    <t>ITS430283</t>
  </si>
  <si>
    <t>The College of Richard Collyer In Horsham</t>
  </si>
  <si>
    <t>ITS318874</t>
  </si>
  <si>
    <t>Swindon College</t>
  </si>
  <si>
    <t>ITS408443</t>
  </si>
  <si>
    <t>ITS330820</t>
  </si>
  <si>
    <t>New College Swindon</t>
  </si>
  <si>
    <t>ITS446541</t>
  </si>
  <si>
    <t>ITS332873</t>
  </si>
  <si>
    <t xml:space="preserve">City of Bristol College  </t>
  </si>
  <si>
    <t>Alder Training Limited</t>
  </si>
  <si>
    <t>ITS354638</t>
  </si>
  <si>
    <t>Alt Valley Community Trust</t>
  </si>
  <si>
    <t>ITS455664</t>
  </si>
  <si>
    <t>The Learning Curve</t>
  </si>
  <si>
    <t>ITS404220</t>
  </si>
  <si>
    <t>ITS343088</t>
  </si>
  <si>
    <t>The Learning Partnership - Bedfordshire and Luton Limited</t>
  </si>
  <si>
    <t>ITS385042</t>
  </si>
  <si>
    <t>The Training &amp; Learning Company</t>
  </si>
  <si>
    <t>Swansea</t>
  </si>
  <si>
    <t>ITS410657</t>
  </si>
  <si>
    <t>ITS321522</t>
  </si>
  <si>
    <t>The TTE Technical Training Group</t>
  </si>
  <si>
    <t>ITS410658</t>
  </si>
  <si>
    <t>ITS316804</t>
  </si>
  <si>
    <t>The Voluntary and Community Sector Learning and Skills Consortium</t>
  </si>
  <si>
    <t>ITS410628</t>
  </si>
  <si>
    <t>Mountview Academy of Theatre Arts Limited</t>
  </si>
  <si>
    <t>ITS367206</t>
  </si>
  <si>
    <t>Northern Ballet School</t>
  </si>
  <si>
    <t>ITS364629</t>
  </si>
  <si>
    <t>The Oxford School of Drama</t>
  </si>
  <si>
    <t>ITS367204</t>
  </si>
  <si>
    <t>THE HAMMOND</t>
  </si>
  <si>
    <t>ITS385314</t>
  </si>
  <si>
    <t>Ealing, Hammersmith and West London College</t>
  </si>
  <si>
    <t>Kensington and Chelsea College</t>
  </si>
  <si>
    <t>ITS440397</t>
  </si>
  <si>
    <t>Newham Sixth Form College</t>
  </si>
  <si>
    <t>ITS452156</t>
  </si>
  <si>
    <t>Richmond-upon-Thames College</t>
  </si>
  <si>
    <t>Waltham Forest College</t>
  </si>
  <si>
    <t>ITS430281</t>
  </si>
  <si>
    <t>Leyton Sixth Form College</t>
  </si>
  <si>
    <t>ITS409401</t>
  </si>
  <si>
    <t>Sir George Monoux College</t>
  </si>
  <si>
    <t>ITS404168</t>
  </si>
  <si>
    <t>South and City College Birmingham</t>
  </si>
  <si>
    <t>ITS343696</t>
  </si>
  <si>
    <t>St John Rigby RC Sixth Form College</t>
  </si>
  <si>
    <t>ITS408455</t>
  </si>
  <si>
    <t>Barnsley College</t>
  </si>
  <si>
    <t>ITS354445</t>
  </si>
  <si>
    <t>ITS298678</t>
  </si>
  <si>
    <t>RNN Group</t>
  </si>
  <si>
    <t>ITS410616</t>
  </si>
  <si>
    <t>ITS354446</t>
  </si>
  <si>
    <t>Thomas Rotherham College</t>
  </si>
  <si>
    <t>ITS429254</t>
  </si>
  <si>
    <t>ITS399023</t>
  </si>
  <si>
    <t>The Sheffield College</t>
  </si>
  <si>
    <t>ITS410620</t>
  </si>
  <si>
    <t>Central Bedfordshire College</t>
  </si>
  <si>
    <t>ITS423354</t>
  </si>
  <si>
    <t>Barnfield College</t>
  </si>
  <si>
    <t>ITS447145</t>
  </si>
  <si>
    <t>Luton Sixth Form College</t>
  </si>
  <si>
    <t>ITS329375</t>
  </si>
  <si>
    <t>Newbury College</t>
  </si>
  <si>
    <t>ITS452486</t>
  </si>
  <si>
    <t>ITS342293</t>
  </si>
  <si>
    <t>Bracknell and Wokingham College</t>
  </si>
  <si>
    <t>ITS423355</t>
  </si>
  <si>
    <t>ITS398994</t>
  </si>
  <si>
    <t>Windsor Forest Colleges Group</t>
  </si>
  <si>
    <t>ITS409315</t>
  </si>
  <si>
    <t>South Essex College of Further and  Higher Education</t>
  </si>
  <si>
    <t>ITS440398</t>
  </si>
  <si>
    <t>Colchester Institute</t>
  </si>
  <si>
    <t>ITS429158</t>
  </si>
  <si>
    <t>Harlow College</t>
  </si>
  <si>
    <t>ITS354437</t>
  </si>
  <si>
    <t>Epping Forest College</t>
  </si>
  <si>
    <t>ITS430271</t>
  </si>
  <si>
    <t>Chelmsford College</t>
  </si>
  <si>
    <t>ITS429156</t>
  </si>
  <si>
    <t>Hadlow College</t>
  </si>
  <si>
    <t>ITS345814</t>
  </si>
  <si>
    <t>ITS282828</t>
  </si>
  <si>
    <t>Accrington and Rossendale College</t>
  </si>
  <si>
    <t>ITS331030</t>
  </si>
  <si>
    <t>Burnley College</t>
  </si>
  <si>
    <t>ITS331024</t>
  </si>
  <si>
    <t>Blackburn College</t>
  </si>
  <si>
    <t>ITS316663</t>
  </si>
  <si>
    <t>Lancaster and Morecambe College</t>
  </si>
  <si>
    <t>ITS399135</t>
  </si>
  <si>
    <t>Nelson and Colne College</t>
  </si>
  <si>
    <t>ITS322402</t>
  </si>
  <si>
    <t>Richard Huish College</t>
  </si>
  <si>
    <t>ITS316619</t>
  </si>
  <si>
    <t>Newcastle and Stafford Colleges Group</t>
  </si>
  <si>
    <t>ITS423364</t>
  </si>
  <si>
    <t>ITS316638</t>
  </si>
  <si>
    <t>Stoke-on-Trent College</t>
  </si>
  <si>
    <t>ITS423365</t>
  </si>
  <si>
    <t>West Suffolk College</t>
  </si>
  <si>
    <t>ITS345803</t>
  </si>
  <si>
    <t>ITS284866</t>
  </si>
  <si>
    <t>East Coast College</t>
  </si>
  <si>
    <t>ITS430274</t>
  </si>
  <si>
    <t>Total People Limited</t>
  </si>
  <si>
    <t>ITS385754</t>
  </si>
  <si>
    <t>Training 2000 Limited</t>
  </si>
  <si>
    <t>ITS452982</t>
  </si>
  <si>
    <t>ITS363206</t>
  </si>
  <si>
    <t>Tyne North Training Limited</t>
  </si>
  <si>
    <t>ITS388108</t>
  </si>
  <si>
    <t>ITS318241</t>
  </si>
  <si>
    <t>V Learning Net</t>
  </si>
  <si>
    <t>ITS343087</t>
  </si>
  <si>
    <t>ITS306939</t>
  </si>
  <si>
    <t>Waltham Forest Chamber of Commerce Training Trust Limited</t>
  </si>
  <si>
    <t>ITS399088</t>
  </si>
  <si>
    <t>West Anglia Training Association Limited</t>
  </si>
  <si>
    <t>ITS429092</t>
  </si>
  <si>
    <t>St Charles Catholic Sixth Form College</t>
  </si>
  <si>
    <t>ITS316625</t>
  </si>
  <si>
    <t>Lambeth College</t>
  </si>
  <si>
    <t>ITS429287</t>
  </si>
  <si>
    <t>Christ The King Sixth Form College</t>
  </si>
  <si>
    <t>ITS345837</t>
  </si>
  <si>
    <t>New City College</t>
  </si>
  <si>
    <t>ITS423349</t>
  </si>
  <si>
    <t>ITS388019</t>
  </si>
  <si>
    <t>Capital City College Group</t>
  </si>
  <si>
    <t>ITS363300</t>
  </si>
  <si>
    <t>ITS320192</t>
  </si>
  <si>
    <t>St Francis Xavier Sixth Form College</t>
  </si>
  <si>
    <t>ITS423374</t>
  </si>
  <si>
    <t>King Edward VI College Stourbridge</t>
  </si>
  <si>
    <t>ITS318902</t>
  </si>
  <si>
    <t>Sandwell College</t>
  </si>
  <si>
    <t>ITS434083</t>
  </si>
  <si>
    <t>ITS363283</t>
  </si>
  <si>
    <t>Solihull College</t>
  </si>
  <si>
    <t>ITS452547</t>
  </si>
  <si>
    <t>Walsall College</t>
  </si>
  <si>
    <t>ITS408430</t>
  </si>
  <si>
    <t>ITS322945</t>
  </si>
  <si>
    <t>City of Wolverhampton College</t>
  </si>
  <si>
    <t>ITS430270</t>
  </si>
  <si>
    <t>Leeds College of Building</t>
  </si>
  <si>
    <t>ITS429281</t>
  </si>
  <si>
    <t>ITS408432</t>
  </si>
  <si>
    <t>Notre Dame Catholic Sixth Form College</t>
  </si>
  <si>
    <t>ITS322398</t>
  </si>
  <si>
    <t>Wakefield College</t>
  </si>
  <si>
    <t>ITS429172</t>
  </si>
  <si>
    <t>Gateshead College</t>
  </si>
  <si>
    <t>ITS446027</t>
  </si>
  <si>
    <t>ITS429163</t>
  </si>
  <si>
    <t>NCG</t>
  </si>
  <si>
    <t>ITS388010</t>
  </si>
  <si>
    <t>Tyne Coast College</t>
  </si>
  <si>
    <t>ITS404161</t>
  </si>
  <si>
    <t>ITS342294</t>
  </si>
  <si>
    <t>Berkshire College of Agriculture</t>
  </si>
  <si>
    <t>Windsor and Maidenhead</t>
  </si>
  <si>
    <t>ITS447345</t>
  </si>
  <si>
    <t>Buckinghamshire College Group</t>
  </si>
  <si>
    <t>ITS410606</t>
  </si>
  <si>
    <t>ITS343637</t>
  </si>
  <si>
    <t>Milton Keynes College</t>
  </si>
  <si>
    <t>ITS447346</t>
  </si>
  <si>
    <t>Cambridge Regional College</t>
  </si>
  <si>
    <t>ITS398995</t>
  </si>
  <si>
    <t>ITS318896</t>
  </si>
  <si>
    <t>Peterborough Regional College</t>
  </si>
  <si>
    <t>ITS376139</t>
  </si>
  <si>
    <t>Hills Road Sixth Form College</t>
  </si>
  <si>
    <t>ITS295010</t>
  </si>
  <si>
    <t>The Sixth Form College Colchester</t>
  </si>
  <si>
    <t>ITS408452</t>
  </si>
  <si>
    <t>ITS316639</t>
  </si>
  <si>
    <t>SEEVIC College</t>
  </si>
  <si>
    <t>ITS430276</t>
  </si>
  <si>
    <t>Gloucestershire College</t>
  </si>
  <si>
    <t>ITS409316</t>
  </si>
  <si>
    <t>Cirencester College</t>
  </si>
  <si>
    <t>ITS295867</t>
  </si>
  <si>
    <t>Hartpury College</t>
  </si>
  <si>
    <t>ITS452550</t>
  </si>
  <si>
    <t>ITS345455</t>
  </si>
  <si>
    <t>Basingstoke College of Technology</t>
  </si>
  <si>
    <t>ITS410608</t>
  </si>
  <si>
    <t>Blackpool and the Fylde College</t>
  </si>
  <si>
    <t>ITS423360</t>
  </si>
  <si>
    <t>ITS316665</t>
  </si>
  <si>
    <t>Preston College</t>
  </si>
  <si>
    <t>ITS423361</t>
  </si>
  <si>
    <t>Runshaw College</t>
  </si>
  <si>
    <t>ITS322406</t>
  </si>
  <si>
    <t>Myerscough College</t>
  </si>
  <si>
    <t>ITS410604</t>
  </si>
  <si>
    <t>ITS345811</t>
  </si>
  <si>
    <t>The Blackpool Sixth Form College</t>
  </si>
  <si>
    <t>ITS333004</t>
  </si>
  <si>
    <t>Cardinal Newman College</t>
  </si>
  <si>
    <t>ITS333000</t>
  </si>
  <si>
    <t>Esher College</t>
  </si>
  <si>
    <t>ITS322404</t>
  </si>
  <si>
    <t>Warwickshire College Group</t>
  </si>
  <si>
    <t>ITS461394</t>
  </si>
  <si>
    <t>ITS318900</t>
  </si>
  <si>
    <t>North Warwickshire and South Leicestershire College</t>
  </si>
  <si>
    <t>ITS385329</t>
  </si>
  <si>
    <t>ITS317043</t>
  </si>
  <si>
    <t>King Edward VI College Nuneaton</t>
  </si>
  <si>
    <t>ITS443135</t>
  </si>
  <si>
    <t>ITS423390</t>
  </si>
  <si>
    <t>Greater Brighton Metropolitan College</t>
  </si>
  <si>
    <t>ITS423368</t>
  </si>
  <si>
    <t>ITS388021</t>
  </si>
  <si>
    <t>Derby College</t>
  </si>
  <si>
    <t>ITS434080</t>
  </si>
  <si>
    <t>The Brooke House Sixth Form College</t>
  </si>
  <si>
    <t>ITS408459</t>
  </si>
  <si>
    <t>Activate Learning</t>
  </si>
  <si>
    <t>ITS424324</t>
  </si>
  <si>
    <t>ITS329160</t>
  </si>
  <si>
    <t>LTE Group</t>
  </si>
  <si>
    <t>ITS409444</t>
  </si>
  <si>
    <t>South Staffordshire College</t>
  </si>
  <si>
    <t>ITS410619</t>
  </si>
  <si>
    <t>Leeds City College</t>
  </si>
  <si>
    <t>ITS388014</t>
  </si>
  <si>
    <t>Aspiration Training Limited</t>
  </si>
  <si>
    <t>ITS429796</t>
  </si>
  <si>
    <t>Aspire Achieve Advance Limited</t>
  </si>
  <si>
    <t>ITS451933</t>
  </si>
  <si>
    <t>Aspire Training Team Limited - Tops Day Nursery</t>
  </si>
  <si>
    <t>ITS342630</t>
  </si>
  <si>
    <t>Aspire-I Limited</t>
  </si>
  <si>
    <t>ITS429271</t>
  </si>
  <si>
    <t>Asset Training &amp; Consultancy Limited</t>
  </si>
  <si>
    <t>ITS342648</t>
  </si>
  <si>
    <t>Astute Minds Ltd</t>
  </si>
  <si>
    <t>ITS455611</t>
  </si>
  <si>
    <t>Crackerjack Training Limited</t>
  </si>
  <si>
    <t>ITS366023</t>
  </si>
  <si>
    <t>ITS319146</t>
  </si>
  <si>
    <t>CSM Consulting Limited</t>
  </si>
  <si>
    <t>ITS429128</t>
  </si>
  <si>
    <t>CT Skills Limited</t>
  </si>
  <si>
    <t>ITS429126</t>
  </si>
  <si>
    <t>Damar Limited</t>
  </si>
  <si>
    <t>ITS388117</t>
  </si>
  <si>
    <t>ITS307037</t>
  </si>
  <si>
    <t>DART Limited</t>
  </si>
  <si>
    <t>ITS363191</t>
  </si>
  <si>
    <t>Davidson Training UK Limited</t>
  </si>
  <si>
    <t>ITS342603</t>
  </si>
  <si>
    <t>Hair Academy South West Limited</t>
  </si>
  <si>
    <t>ITS354322</t>
  </si>
  <si>
    <t>ITS317536</t>
  </si>
  <si>
    <t>Hair and Beauty Industry Training Limited</t>
  </si>
  <si>
    <t>ITS424454</t>
  </si>
  <si>
    <t>ITS321569</t>
  </si>
  <si>
    <t>Harington Scheme Limited(The)</t>
  </si>
  <si>
    <t>Harrogate Training Services</t>
  </si>
  <si>
    <t>ITS423743</t>
  </si>
  <si>
    <t>ITS345899</t>
  </si>
  <si>
    <t>Hawk Management (UK) Limited</t>
  </si>
  <si>
    <t>ITS424455</t>
  </si>
  <si>
    <t>ITS321468</t>
  </si>
  <si>
    <t>Hays Travel Limited</t>
  </si>
  <si>
    <t>ITS399128</t>
  </si>
  <si>
    <t>KT Associates</t>
  </si>
  <si>
    <t>ITS306936</t>
  </si>
  <si>
    <t>Work Based Learning - full inspection (ALI) Historic</t>
  </si>
  <si>
    <t>L.I.T.S. Limited</t>
  </si>
  <si>
    <t>ITS434045</t>
  </si>
  <si>
    <t>LAGAT Limited</t>
  </si>
  <si>
    <t>Lawn Tennis Association Limited</t>
  </si>
  <si>
    <t>ITS446609</t>
  </si>
  <si>
    <t>ITS321537</t>
  </si>
  <si>
    <t>Learning Curve (JAA) Limited</t>
  </si>
  <si>
    <t>ITS429801</t>
  </si>
  <si>
    <t>ITS330919</t>
  </si>
  <si>
    <t>North Lancs. Training Group Limited(The)</t>
  </si>
  <si>
    <t>ITS388121</t>
  </si>
  <si>
    <t>North West Community Services Training Ltd</t>
  </si>
  <si>
    <t>ITS410687</t>
  </si>
  <si>
    <t>ITS343878</t>
  </si>
  <si>
    <t>Northern Care Training Limited</t>
  </si>
  <si>
    <t>ITS429006</t>
  </si>
  <si>
    <t>Nottinghamshire Training Network</t>
  </si>
  <si>
    <t>Nova Training</t>
  </si>
  <si>
    <t>ITS423811</t>
  </si>
  <si>
    <t>Midlands Training and Development Limited</t>
  </si>
  <si>
    <t>ITS452612</t>
  </si>
  <si>
    <t>Remit Group Limited</t>
  </si>
  <si>
    <t>ITS429794</t>
  </si>
  <si>
    <t>ITS410650</t>
  </si>
  <si>
    <t>Rewards Training Recruitment Consultancy Limited</t>
  </si>
  <si>
    <t>ITS434050</t>
  </si>
  <si>
    <t>ITS385487</t>
  </si>
  <si>
    <t>Riverside Training Limited</t>
  </si>
  <si>
    <t>ITS306860</t>
  </si>
  <si>
    <t>Rocket Training Limited</t>
  </si>
  <si>
    <t>ITS446603</t>
  </si>
  <si>
    <t>RWP Training Limited</t>
  </si>
  <si>
    <t>ITS410689</t>
  </si>
  <si>
    <t>ITS342657</t>
  </si>
  <si>
    <t>S &amp; B Automotive Academy Limited</t>
  </si>
  <si>
    <t>ITS429858</t>
  </si>
  <si>
    <t>ITS342624</t>
  </si>
  <si>
    <t>System Group Limited</t>
  </si>
  <si>
    <t>ITS455589</t>
  </si>
  <si>
    <t>t2 business solutions</t>
  </si>
  <si>
    <t>ITS455599</t>
  </si>
  <si>
    <t>TDR Training Limited</t>
  </si>
  <si>
    <t>ITS410694</t>
  </si>
  <si>
    <t>Team Enterprises Limited</t>
  </si>
  <si>
    <t>ITS445777</t>
  </si>
  <si>
    <t>The Academy Hair &amp; Beauty Ltd</t>
  </si>
  <si>
    <t>ITS452617</t>
  </si>
  <si>
    <t>ITS318271</t>
  </si>
  <si>
    <t>Andrew Collinge Training Limited</t>
  </si>
  <si>
    <t>ITS316806</t>
  </si>
  <si>
    <t>Skills Edge Training Ltd</t>
  </si>
  <si>
    <t>ITS455602</t>
  </si>
  <si>
    <t>Apprenticeships &amp; Training Services Consortium Limited</t>
  </si>
  <si>
    <t>ITS423829</t>
  </si>
  <si>
    <t>Archway Academy</t>
  </si>
  <si>
    <t>ITS446034</t>
  </si>
  <si>
    <t>Asphaleia Limited</t>
  </si>
  <si>
    <t>Chiltern Training Limited</t>
  </si>
  <si>
    <t>ITS366052</t>
  </si>
  <si>
    <t>ITS307160</t>
  </si>
  <si>
    <t>Clarkson Evans Training Limited</t>
  </si>
  <si>
    <t>ITS423751</t>
  </si>
  <si>
    <t>ITS342620</t>
  </si>
  <si>
    <t>CTS Training</t>
  </si>
  <si>
    <t>ITS452979</t>
  </si>
  <si>
    <t>Consortia Training Limited</t>
  </si>
  <si>
    <t>ITS423838</t>
  </si>
  <si>
    <t>Consortium of Vocational and Educational Trainers Limited</t>
  </si>
  <si>
    <t>ITS423822</t>
  </si>
  <si>
    <t>Coventry and Warwickshire Chambers of Commerce Training Limited</t>
  </si>
  <si>
    <t>ITS342709</t>
  </si>
  <si>
    <t>Gordon Franks Training Limited</t>
  </si>
  <si>
    <t>ITS429130</t>
  </si>
  <si>
    <t>GP Strategies Training Ltd</t>
  </si>
  <si>
    <t>ITS388118</t>
  </si>
  <si>
    <t>ITS307055</t>
  </si>
  <si>
    <t>Greater Merseyside Learning Providers' Federation Limited</t>
  </si>
  <si>
    <t>ITS410683</t>
  </si>
  <si>
    <t>Green Labyrinth</t>
  </si>
  <si>
    <t>Haddon Training Limited</t>
  </si>
  <si>
    <t>ITS363232</t>
  </si>
  <si>
    <t>John Laing Training Ltd</t>
  </si>
  <si>
    <t>ITS452605</t>
  </si>
  <si>
    <t>ITS342621</t>
  </si>
  <si>
    <t>Juniper Training Limited</t>
  </si>
  <si>
    <t>K &amp; G HAIR LLP</t>
  </si>
  <si>
    <t>ITS362099</t>
  </si>
  <si>
    <t>ITS306430</t>
  </si>
  <si>
    <t>Kaplan Financial Limited</t>
  </si>
  <si>
    <t>ITS345912</t>
  </si>
  <si>
    <t>ITS306474</t>
  </si>
  <si>
    <t>Keits Training Services Ltd</t>
  </si>
  <si>
    <t>ITS343971</t>
  </si>
  <si>
    <t>ITS306725</t>
  </si>
  <si>
    <t>Key Training Limited</t>
  </si>
  <si>
    <t>ITS343954</t>
  </si>
  <si>
    <t>N &amp; B Training Company Limited</t>
  </si>
  <si>
    <t>ITS307164</t>
  </si>
  <si>
    <t>National Business College Limited</t>
  </si>
  <si>
    <t>ITS343430</t>
  </si>
  <si>
    <t>NHTA Limited</t>
  </si>
  <si>
    <t>ITS446030</t>
  </si>
  <si>
    <t>ITS429116</t>
  </si>
  <si>
    <t>NITAL</t>
  </si>
  <si>
    <t>ITS399109</t>
  </si>
  <si>
    <t>ITS346797</t>
  </si>
  <si>
    <t>Norman Mackie &amp; Associates Limited</t>
  </si>
  <si>
    <t>ITS451204</t>
  </si>
  <si>
    <t>ITS406813</t>
  </si>
  <si>
    <t>Raytheon Professional Services</t>
  </si>
  <si>
    <t>ITS388132</t>
  </si>
  <si>
    <t>Dynamic Training UK Ltd</t>
  </si>
  <si>
    <t>ITS376254</t>
  </si>
  <si>
    <t>House of Clive (Hair and Beauty) Ltd</t>
  </si>
  <si>
    <t>ITS385762</t>
  </si>
  <si>
    <t>ITS307097</t>
  </si>
  <si>
    <t>Release Potential Ltd</t>
  </si>
  <si>
    <t>ITS429007</t>
  </si>
  <si>
    <t>Resources (N E) Limited</t>
  </si>
  <si>
    <t>ITS388113</t>
  </si>
  <si>
    <t>Straight A Training Limited</t>
  </si>
  <si>
    <t>ITS452981</t>
  </si>
  <si>
    <t>Stubbing Court Training Limited</t>
  </si>
  <si>
    <t>ITS348867</t>
  </si>
  <si>
    <t>Summerhouse Equestrian and Training Centre LLP</t>
  </si>
  <si>
    <t>ITS342627</t>
  </si>
  <si>
    <t>ITS306596</t>
  </si>
  <si>
    <t>Sunderland Engineering Training Association Limited</t>
  </si>
  <si>
    <t>ITS408522</t>
  </si>
  <si>
    <t>ITS366038</t>
  </si>
  <si>
    <t>Sutton and District Training Limited</t>
  </si>
  <si>
    <t>ITS429120</t>
  </si>
  <si>
    <t>TTE Training Limited</t>
  </si>
  <si>
    <t>ITS428258</t>
  </si>
  <si>
    <t>UK Training &amp; Development Limited</t>
  </si>
  <si>
    <t>ITS399105</t>
  </si>
  <si>
    <t>ITS342716</t>
  </si>
  <si>
    <t>Urban Futures London Limited</t>
  </si>
  <si>
    <t>ITS455610</t>
  </si>
  <si>
    <t>ITS387975</t>
  </si>
  <si>
    <t>Virgin Media Limited</t>
  </si>
  <si>
    <t>ITS387970</t>
  </si>
  <si>
    <t>VOCATIONAL TRAINING SERVICES CARE SECTOR LIMITED</t>
  </si>
  <si>
    <t>DBC Training</t>
  </si>
  <si>
    <t>ITS456390</t>
  </si>
  <si>
    <t>East Midlands Chamber (Derbyshire, Nottinghamshire, Leicestershire)</t>
  </si>
  <si>
    <t>ITS434044</t>
  </si>
  <si>
    <t>DH Associates</t>
  </si>
  <si>
    <t>ITS354662</t>
  </si>
  <si>
    <t>Didac Limited</t>
  </si>
  <si>
    <t>ITS452601</t>
  </si>
  <si>
    <t>ITS397718</t>
  </si>
  <si>
    <t>Dimensions Training Solutions Limited</t>
  </si>
  <si>
    <t>ITS429107</t>
  </si>
  <si>
    <t>DV8 TRAINING (BRIGHTON) LIMITED</t>
  </si>
  <si>
    <t>ITS455621</t>
  </si>
  <si>
    <t>Health &amp; Safety Training Limited</t>
  </si>
  <si>
    <t>ITS408497</t>
  </si>
  <si>
    <t>ITS332893</t>
  </si>
  <si>
    <t>Health Education England</t>
  </si>
  <si>
    <t>ITS452633</t>
  </si>
  <si>
    <t>Heart of England Training Limited</t>
  </si>
  <si>
    <t>ITS354613</t>
  </si>
  <si>
    <t>Heathercroft Training Services Limited</t>
  </si>
  <si>
    <t>ITS385483</t>
  </si>
  <si>
    <t>ITS363230</t>
  </si>
  <si>
    <t>Hill Holt Wood</t>
  </si>
  <si>
    <t>ITS429277</t>
  </si>
  <si>
    <t>Hillingdon Training Limited</t>
  </si>
  <si>
    <t>ITS388036</t>
  </si>
  <si>
    <t>Learning Skills Partnership Ltd</t>
  </si>
  <si>
    <t>LEO Training</t>
  </si>
  <si>
    <t>Leslie Frances (Hair Fashions) Limited</t>
  </si>
  <si>
    <t>ITS423776</t>
  </si>
  <si>
    <t>ITS318269</t>
  </si>
  <si>
    <t>Lifeskills Solutions Limited</t>
  </si>
  <si>
    <t>ITS429231</t>
  </si>
  <si>
    <t>Lifetime Training Group Limited</t>
  </si>
  <si>
    <t>ITS395225</t>
  </si>
  <si>
    <t>ITS321545</t>
  </si>
  <si>
    <t>LIGA (UK) LTD</t>
  </si>
  <si>
    <t>ITS452628</t>
  </si>
  <si>
    <t>Omega Training Services Limited</t>
  </si>
  <si>
    <t>ITS429133</t>
  </si>
  <si>
    <t>Oracle Training Consultants Limited</t>
  </si>
  <si>
    <t>ITS429264</t>
  </si>
  <si>
    <t>ITS408507</t>
  </si>
  <si>
    <t>Outsource Vocational Learning Limited</t>
  </si>
  <si>
    <t>ITS408535</t>
  </si>
  <si>
    <t>ITS346484</t>
  </si>
  <si>
    <t>Paddington Development Trust</t>
  </si>
  <si>
    <t>Paragon Education &amp; Skills Limited</t>
  </si>
  <si>
    <t>PARTNERSHIP DEVELOPMENT SOLUTIONS LTD</t>
  </si>
  <si>
    <t>S.W. Durham Training Limited</t>
  </si>
  <si>
    <t>ITS429278</t>
  </si>
  <si>
    <t>ITS408538</t>
  </si>
  <si>
    <t>S.Y.T.G. Limited</t>
  </si>
  <si>
    <t>ITS430256</t>
  </si>
  <si>
    <t>SAKS (Education) Limited</t>
  </si>
  <si>
    <t>ITS307004</t>
  </si>
  <si>
    <t>Salford and Trafford Engineering Group Training Association Limited</t>
  </si>
  <si>
    <t>ITS399130</t>
  </si>
  <si>
    <t>ITS318237</t>
  </si>
  <si>
    <t>SBC Training Limited</t>
  </si>
  <si>
    <t>ITS446604</t>
  </si>
  <si>
    <t>Seetec Business Technology Centre Limited</t>
  </si>
  <si>
    <t>ITS429135</t>
  </si>
  <si>
    <t>ITS382698</t>
  </si>
  <si>
    <t>The Apprentice Academy Limited</t>
  </si>
  <si>
    <t>ITS455607</t>
  </si>
  <si>
    <t>The Bassetlaw Training Agency Limited</t>
  </si>
  <si>
    <t>ITS408407</t>
  </si>
  <si>
    <t>ITS343979</t>
  </si>
  <si>
    <t>The Care Learning Centre (Isle of Wight) Limited</t>
  </si>
  <si>
    <t>ITS343657</t>
  </si>
  <si>
    <t>The Child Care Company (Old Windsor) Limited</t>
  </si>
  <si>
    <t>ITS446611</t>
  </si>
  <si>
    <t>The College of Animal Welfare Limited</t>
  </si>
  <si>
    <t>ITS406785</t>
  </si>
  <si>
    <t>The Consultancy Home Counties Limited</t>
  </si>
  <si>
    <t>ITS461250</t>
  </si>
  <si>
    <t>Woodspeen Training Limited</t>
  </si>
  <si>
    <t>ITS446598</t>
  </si>
  <si>
    <t>XTP International Limited</t>
  </si>
  <si>
    <t>ITS429238</t>
  </si>
  <si>
    <t>YH Training Services Limited</t>
  </si>
  <si>
    <t>ITS408548</t>
  </si>
  <si>
    <t>Yorkshire College of Beauty Limited</t>
  </si>
  <si>
    <t>ITS385752</t>
  </si>
  <si>
    <t>ITS307058</t>
  </si>
  <si>
    <t>Yorkshire Training Partnership Limited</t>
  </si>
  <si>
    <t>ITS443134</t>
  </si>
  <si>
    <t>ITS420897</t>
  </si>
  <si>
    <t>Specialist Trade Courses Ltd</t>
  </si>
  <si>
    <t>Templegate Training</t>
  </si>
  <si>
    <t>Lionheart in the Community Limited</t>
  </si>
  <si>
    <t>Mediprospects</t>
  </si>
  <si>
    <t>Millennium Academy</t>
  </si>
  <si>
    <t>Learn Plus Us</t>
  </si>
  <si>
    <t>TDLC Limited</t>
  </si>
  <si>
    <t>The Beauty Academy Ltd</t>
  </si>
  <si>
    <t>West London Mental NHS Trust</t>
  </si>
  <si>
    <t>All Trades Training Limited</t>
  </si>
  <si>
    <t>ITS440400</t>
  </si>
  <si>
    <t>ALM TRAINING SERVICES LIMITED</t>
  </si>
  <si>
    <t>Alpha Care Agency Limited</t>
  </si>
  <si>
    <t>ITS354691</t>
  </si>
  <si>
    <t>AmacSports Limited</t>
  </si>
  <si>
    <t>ITS330200</t>
  </si>
  <si>
    <t>Anderson Stockley Accredited Training Ltd</t>
  </si>
  <si>
    <t>ITS452600</t>
  </si>
  <si>
    <t>Capital Engineering Group Holdings Ltd</t>
  </si>
  <si>
    <t>ITS429239</t>
  </si>
  <si>
    <t>Catch 22 Charity Limited</t>
  </si>
  <si>
    <t>ITS429274</t>
  </si>
  <si>
    <t>Central Training Academy Limited</t>
  </si>
  <si>
    <t>ITS452978</t>
  </si>
  <si>
    <t>ITS345936</t>
  </si>
  <si>
    <t>Chamber Training (Humber) Limited</t>
  </si>
  <si>
    <t>ITS429795</t>
  </si>
  <si>
    <t>ITS404575</t>
  </si>
  <si>
    <t>Chapman Bennett Associates Limited</t>
  </si>
  <si>
    <t>ITS461247</t>
  </si>
  <si>
    <t>Cheyne's (Management) Limited</t>
  </si>
  <si>
    <t>City of Edinburgh</t>
  </si>
  <si>
    <t>Scotland</t>
  </si>
  <si>
    <t>ITS429261</t>
  </si>
  <si>
    <t>ITS408527</t>
  </si>
  <si>
    <t>EXG LIMITED</t>
  </si>
  <si>
    <t>ITS385779</t>
  </si>
  <si>
    <t>ITS329383</t>
  </si>
  <si>
    <t>Fareport Training Organisation Limited</t>
  </si>
  <si>
    <t>ITS366057</t>
  </si>
  <si>
    <t>Fashion Retail Academy</t>
  </si>
  <si>
    <t>ITS342929</t>
  </si>
  <si>
    <t>FNTC Training and Consultancy Limited</t>
  </si>
  <si>
    <t>ITS376245</t>
  </si>
  <si>
    <t>ITS306709</t>
  </si>
  <si>
    <t>Focus Training (SW) Limited</t>
  </si>
  <si>
    <t>ITS452974</t>
  </si>
  <si>
    <t>ITS376243</t>
  </si>
  <si>
    <t>IPS International Limited</t>
  </si>
  <si>
    <t>IXION Holdings (Contracts) Limited</t>
  </si>
  <si>
    <t>ITS363167</t>
  </si>
  <si>
    <t>JANCETT CHILDCARE &amp; JACE TRAINING LIMITED</t>
  </si>
  <si>
    <t>ITS423764</t>
  </si>
  <si>
    <t>Jarvis Training Management Limited</t>
  </si>
  <si>
    <t>ITS388119</t>
  </si>
  <si>
    <t>ITS329244</t>
  </si>
  <si>
    <t>JBC Skills Training Limited</t>
  </si>
  <si>
    <t>ITS446618</t>
  </si>
  <si>
    <t>Jobwise Training Limited</t>
  </si>
  <si>
    <t>ITS410645</t>
  </si>
  <si>
    <t>Matrix Training and Development Limited</t>
  </si>
  <si>
    <t>ITS446602</t>
  </si>
  <si>
    <t>McArthur Dean Training Limited</t>
  </si>
  <si>
    <t>ITS406811</t>
  </si>
  <si>
    <t>ITS354640</t>
  </si>
  <si>
    <t>Meadowhall Training Limited</t>
  </si>
  <si>
    <t>ITS463248</t>
  </si>
  <si>
    <t>Mercia Partnership (UK) Ltd</t>
  </si>
  <si>
    <t>ITS429114</t>
  </si>
  <si>
    <t>MI ComputSolutions Incorporated</t>
  </si>
  <si>
    <t>ITS451598</t>
  </si>
  <si>
    <t>ITS333284</t>
  </si>
  <si>
    <t>Michael John Academy</t>
  </si>
  <si>
    <t>ITS385756</t>
  </si>
  <si>
    <t>ITS301584</t>
  </si>
  <si>
    <t>Prostart Training</t>
  </si>
  <si>
    <t>ITS366020</t>
  </si>
  <si>
    <t>ITS318265</t>
  </si>
  <si>
    <t>Protocol Consultancy Services</t>
  </si>
  <si>
    <t>ITS307165</t>
  </si>
  <si>
    <t>ITS461246</t>
  </si>
  <si>
    <t>QA Limited</t>
  </si>
  <si>
    <t>ITS423793</t>
  </si>
  <si>
    <t>QDOS Training Limited</t>
  </si>
  <si>
    <t>ITS465164</t>
  </si>
  <si>
    <t>ITS452989</t>
  </si>
  <si>
    <t>QUBE Qualifications and Development Limited</t>
  </si>
  <si>
    <t>ITS345942</t>
  </si>
  <si>
    <t>Springfields Fuels Limited</t>
  </si>
  <si>
    <t>ITS385745</t>
  </si>
  <si>
    <t>SR Education</t>
  </si>
  <si>
    <t>ITS455617</t>
  </si>
  <si>
    <t>St Helens Chamber Limited</t>
  </si>
  <si>
    <t>ITS366034</t>
  </si>
  <si>
    <t>Start Training Ltd</t>
  </si>
  <si>
    <t>ITS410654</t>
  </si>
  <si>
    <t>ITS321577</t>
  </si>
  <si>
    <t>Starting Off (Northampton) Limited</t>
  </si>
  <si>
    <t>ITS364606</t>
  </si>
  <si>
    <t>ITS388131</t>
  </si>
  <si>
    <t>Training Futures (UK) Limited</t>
  </si>
  <si>
    <t>ITS461248</t>
  </si>
  <si>
    <t>Training Plus (Merseyside) Limited</t>
  </si>
  <si>
    <t>ITS366030</t>
  </si>
  <si>
    <t>ITS301558</t>
  </si>
  <si>
    <t>Training Services 2000 Ltd</t>
  </si>
  <si>
    <t>ITS342772</t>
  </si>
  <si>
    <t>Training Strategies Ltd.</t>
  </si>
  <si>
    <t>ITS433767</t>
  </si>
  <si>
    <t>ITS423817</t>
  </si>
  <si>
    <t>Training Synergy Limited</t>
  </si>
  <si>
    <t>ITS455609</t>
  </si>
  <si>
    <t>TRN (Train) Ltd.</t>
  </si>
  <si>
    <t>ITS410660</t>
  </si>
  <si>
    <t>ITS331668</t>
  </si>
  <si>
    <t>Simian Skill</t>
  </si>
  <si>
    <t>Touchstone Educational Solutions Ltd</t>
  </si>
  <si>
    <t>Acacia Training and Development Ltd</t>
  </si>
  <si>
    <t>ITS434034</t>
  </si>
  <si>
    <t>ITS366053</t>
  </si>
  <si>
    <t>Acacia Training Limited</t>
  </si>
  <si>
    <t>ITS430249</t>
  </si>
  <si>
    <t>Academy Education Limited</t>
  </si>
  <si>
    <t>ITS429259</t>
  </si>
  <si>
    <t>ITS408523</t>
  </si>
  <si>
    <t>Academy Transformation Trust</t>
  </si>
  <si>
    <t>Access to Music Limited</t>
  </si>
  <si>
    <t>ITS411227</t>
  </si>
  <si>
    <t>Access Training (East Midlands) Ltd</t>
  </si>
  <si>
    <t>ITS346192</t>
  </si>
  <si>
    <t>ITS300632</t>
  </si>
  <si>
    <t>Beckett Corporation Limited</t>
  </si>
  <si>
    <t>ITS393644</t>
  </si>
  <si>
    <t>ITS331016</t>
  </si>
  <si>
    <t>Bedfordshire &amp; Luton Education Business Partnership</t>
  </si>
  <si>
    <t>ITS429088</t>
  </si>
  <si>
    <t>ITS406802</t>
  </si>
  <si>
    <t>Bellis Training Limited</t>
  </si>
  <si>
    <t>ITS429000</t>
  </si>
  <si>
    <t>Bestland Solutions Limited</t>
  </si>
  <si>
    <t>ITS452620</t>
  </si>
  <si>
    <t>Bexley Youth Training Group (T/A Skills for Growth)</t>
  </si>
  <si>
    <t>ITS399122</t>
  </si>
  <si>
    <t>Birmingham Electrical Training Ltd</t>
  </si>
  <si>
    <t>ITS446037</t>
  </si>
  <si>
    <t>Employer - Requires improvement - second inspection</t>
  </si>
  <si>
    <t>ITS429219</t>
  </si>
  <si>
    <t>Big Creative Training LTD</t>
  </si>
  <si>
    <t>ITS446600</t>
  </si>
  <si>
    <t>E Training</t>
  </si>
  <si>
    <t>ITS433754</t>
  </si>
  <si>
    <t>E.Quality Training Limited</t>
  </si>
  <si>
    <t>ITS408483</t>
  </si>
  <si>
    <t>ITS345880</t>
  </si>
  <si>
    <t>The Growth Company Limited</t>
  </si>
  <si>
    <t>ITS443658</t>
  </si>
  <si>
    <t>Eden Training Solutions Limited</t>
  </si>
  <si>
    <t>ITS455616</t>
  </si>
  <si>
    <t>EEF Limited</t>
  </si>
  <si>
    <t>ITS346191</t>
  </si>
  <si>
    <t>HYA Training Limited</t>
  </si>
  <si>
    <t>ITS444472</t>
  </si>
  <si>
    <t>Icon Vocational Training Limited</t>
  </si>
  <si>
    <t>Monmouthshire</t>
  </si>
  <si>
    <t>ITS385765</t>
  </si>
  <si>
    <t>IN-COMM TRAINING AND BUSINESS SERVICES LIMITED</t>
  </si>
  <si>
    <t>ITS455575</t>
  </si>
  <si>
    <t>Ingeus Training Limited</t>
  </si>
  <si>
    <t>ITS345911</t>
  </si>
  <si>
    <t>Lite (Stockport) Limited</t>
  </si>
  <si>
    <t>ITS463358</t>
  </si>
  <si>
    <t>ITS319225</t>
  </si>
  <si>
    <t>Liverpool Chamber Training Ltd</t>
  </si>
  <si>
    <t>ITS429112</t>
  </si>
  <si>
    <t>ITS376229</t>
  </si>
  <si>
    <t>Locomotivation Ltd.</t>
  </si>
  <si>
    <t>ITS345937</t>
  </si>
  <si>
    <t>ITS320022</t>
  </si>
  <si>
    <t>London Skills &amp; Development Network Limited</t>
  </si>
  <si>
    <t>ITS429137</t>
  </si>
  <si>
    <t>London Vesta College Limited</t>
  </si>
  <si>
    <t>ITS455606</t>
  </si>
  <si>
    <t>lookfantastic Training Limited</t>
  </si>
  <si>
    <t>ITS452613</t>
  </si>
  <si>
    <t>PGL Training (Plumbing) Limited</t>
  </si>
  <si>
    <t>ITS423825</t>
  </si>
  <si>
    <t>ITS318324</t>
  </si>
  <si>
    <t>Philips Hair Salons Limited</t>
  </si>
  <si>
    <t>ITS385307</t>
  </si>
  <si>
    <t>ITS316805</t>
  </si>
  <si>
    <t>Pilot IMS Limited</t>
  </si>
  <si>
    <t>ITS434049</t>
  </si>
  <si>
    <t>Platinum Employment Advice &amp; Training Limited</t>
  </si>
  <si>
    <t>ITS408486</t>
  </si>
  <si>
    <t>Poultec Training Limited</t>
  </si>
  <si>
    <t>ITS363195</t>
  </si>
  <si>
    <t>ITS306995</t>
  </si>
  <si>
    <t>Prevista Ltd</t>
  </si>
  <si>
    <t>ITS429041</t>
  </si>
  <si>
    <t>ITS410647</t>
  </si>
  <si>
    <t>Seleta Training and Personnel Services Limited</t>
  </si>
  <si>
    <t>ITS388013</t>
  </si>
  <si>
    <t>ITS321486</t>
  </si>
  <si>
    <t>Serco Limited</t>
  </si>
  <si>
    <t>ITS429275</t>
  </si>
  <si>
    <t>SETA</t>
  </si>
  <si>
    <t>ITS404564</t>
  </si>
  <si>
    <t>Shape Accredited Training Centre</t>
  </si>
  <si>
    <t>ITS376226</t>
  </si>
  <si>
    <t>ITS316803</t>
  </si>
  <si>
    <t>Sheffield Independent Film and Television Limited</t>
  </si>
  <si>
    <t>ITS410131</t>
  </si>
  <si>
    <t>The Motor Insurance Repair Research Centre</t>
  </si>
  <si>
    <t>ITS408545</t>
  </si>
  <si>
    <t>ITS318329</t>
  </si>
  <si>
    <t>The Real Apprenticeship Company Limited</t>
  </si>
  <si>
    <t>ITS455608</t>
  </si>
  <si>
    <t>The Reynolds Group Limited</t>
  </si>
  <si>
    <t>ITS423768</t>
  </si>
  <si>
    <t>The Skills Partnership Limited</t>
  </si>
  <si>
    <t>ITS363234</t>
  </si>
  <si>
    <t>ITS317529</t>
  </si>
  <si>
    <t>The Training &amp; Recruitment Partnership Limited</t>
  </si>
  <si>
    <t>ITS452983</t>
  </si>
  <si>
    <t>Youngsave Company Limited</t>
  </si>
  <si>
    <t>ITS410686</t>
  </si>
  <si>
    <t>ITS363213</t>
  </si>
  <si>
    <t>Elliott Hudson College</t>
  </si>
  <si>
    <t>Access Training Limited</t>
  </si>
  <si>
    <t>ITS455577</t>
  </si>
  <si>
    <t>ITS385750</t>
  </si>
  <si>
    <t>ACE Training and Consultancy Limited</t>
  </si>
  <si>
    <t>ITS429230</t>
  </si>
  <si>
    <t>Achieve Through Learning Limited</t>
  </si>
  <si>
    <t>ITS354304</t>
  </si>
  <si>
    <t>Achievement Training Limited</t>
  </si>
  <si>
    <t>ITS366061</t>
  </si>
  <si>
    <t>Acorn Training Consultants Limited</t>
  </si>
  <si>
    <t>ITS388102</t>
  </si>
  <si>
    <t>Adult College for Rural East Sussex (ACRES)</t>
  </si>
  <si>
    <t>ITS429297</t>
  </si>
  <si>
    <t>ITS408460</t>
  </si>
  <si>
    <t>British Printing Industries Federation Ltd</t>
  </si>
  <si>
    <t>ITS408526</t>
  </si>
  <si>
    <t>Burleigh College</t>
  </si>
  <si>
    <t>ITS321465</t>
  </si>
  <si>
    <t>Business Management Resources (UK) Ltd</t>
  </si>
  <si>
    <t>ITS399073</t>
  </si>
  <si>
    <t>Buzz Learning Limited</t>
  </si>
  <si>
    <t>ITS434038</t>
  </si>
  <si>
    <t>ITS388109</t>
  </si>
  <si>
    <t>Cablecom Training Limited</t>
  </si>
  <si>
    <t>ITS364467</t>
  </si>
  <si>
    <t>ITS307100</t>
  </si>
  <si>
    <t>CANTO LIMITED</t>
  </si>
  <si>
    <t>ITS429270</t>
  </si>
  <si>
    <t>Elfrida Rathbone Camden - Leighton Education Project</t>
  </si>
  <si>
    <t>ITS354462</t>
  </si>
  <si>
    <t>ITS307148</t>
  </si>
  <si>
    <t>ENGINEERING TRUST TRAINING LIMITED</t>
  </si>
  <si>
    <t>ITS343654</t>
  </si>
  <si>
    <t>ITS306460</t>
  </si>
  <si>
    <t>England and Wales Cricket Board Limited</t>
  </si>
  <si>
    <t>ITS365561</t>
  </si>
  <si>
    <t>ITS320830</t>
  </si>
  <si>
    <t>INTERSERVE LEARNING &amp; EMPLOYMENT (SERVICES) LIMITED</t>
  </si>
  <si>
    <t>EMBS Community College Limited</t>
  </si>
  <si>
    <t>ITS429108</t>
  </si>
  <si>
    <t>ITS333248</t>
  </si>
  <si>
    <t>Intec Business Colleges Limited</t>
  </si>
  <si>
    <t>ITS404569</t>
  </si>
  <si>
    <t>ITS346562</t>
  </si>
  <si>
    <t>Integer Training Limited</t>
  </si>
  <si>
    <t>ITS363180</t>
  </si>
  <si>
    <t>Inter Training Services Limited</t>
  </si>
  <si>
    <t>ITS445775</t>
  </si>
  <si>
    <t>ITS364519</t>
  </si>
  <si>
    <t>Introtrain (ACE) Limited</t>
  </si>
  <si>
    <t>ITS408520</t>
  </si>
  <si>
    <t>ITS307002</t>
  </si>
  <si>
    <t>Intuitions Limited</t>
  </si>
  <si>
    <t>ITS364904</t>
  </si>
  <si>
    <t>M I T Skills Limited</t>
  </si>
  <si>
    <t>ITS429232</t>
  </si>
  <si>
    <t>ITS330084</t>
  </si>
  <si>
    <t>Mantra Learning Limited</t>
  </si>
  <si>
    <t>ITS433721</t>
  </si>
  <si>
    <t>ITS306731</t>
  </si>
  <si>
    <t>Mardell Associates Limited</t>
  </si>
  <si>
    <t>ITS407165</t>
  </si>
  <si>
    <t>Maritime + Engineering College North West</t>
  </si>
  <si>
    <t>ITS445776</t>
  </si>
  <si>
    <t>ITS385749</t>
  </si>
  <si>
    <t>Marson Garages (Wolstanton) Limited</t>
  </si>
  <si>
    <t>ITS424459</t>
  </si>
  <si>
    <t>Priority Management Limited</t>
  </si>
  <si>
    <t>ProCo NW Limited</t>
  </si>
  <si>
    <t>ITS440404</t>
  </si>
  <si>
    <t>Profound Services Limited</t>
  </si>
  <si>
    <t>ITS345909</t>
  </si>
  <si>
    <t>Progress to Excellence Ltd</t>
  </si>
  <si>
    <t>ITS410648</t>
  </si>
  <si>
    <t>Project Management (Staffordshire) Limited</t>
  </si>
  <si>
    <t>ITS452980</t>
  </si>
  <si>
    <t>ITS363196</t>
  </si>
  <si>
    <t>Prospect Training Services (Gloucester) Limited</t>
  </si>
  <si>
    <t>ITS424460</t>
  </si>
  <si>
    <t>Skegness College of Vocational Training Limited</t>
  </si>
  <si>
    <t>ITS429119</t>
  </si>
  <si>
    <t>Skillnet Limited</t>
  </si>
  <si>
    <t>ITS343658</t>
  </si>
  <si>
    <t>Skills for Security Limited</t>
  </si>
  <si>
    <t>ITS430258</t>
  </si>
  <si>
    <t>Skills Team Ltd</t>
  </si>
  <si>
    <t>ITS430259</t>
  </si>
  <si>
    <t>Skills to Group Limited</t>
  </si>
  <si>
    <t>ITS366055</t>
  </si>
  <si>
    <t>Skills Training UK Limited</t>
  </si>
  <si>
    <t>ITS429090</t>
  </si>
  <si>
    <t>The Virtual College</t>
  </si>
  <si>
    <t>ITS446608</t>
  </si>
  <si>
    <t>The Vocational College Limited</t>
  </si>
  <si>
    <t>ITS452204</t>
  </si>
  <si>
    <t>ITS345907</t>
  </si>
  <si>
    <t>TheLightbulb Ltd</t>
  </si>
  <si>
    <t>ITS434059</t>
  </si>
  <si>
    <t>TQ Workforce Development Limited</t>
  </si>
  <si>
    <t>ITS430261</t>
  </si>
  <si>
    <t>Train'd Up Railway Resourcing Limited</t>
  </si>
  <si>
    <t>Clackmannanshire</t>
  </si>
  <si>
    <t>ITS399115</t>
  </si>
  <si>
    <t>Training for Today</t>
  </si>
  <si>
    <t>ITS429218</t>
  </si>
  <si>
    <t>VQ Solutions Ltd</t>
  </si>
  <si>
    <t>ITS455597</t>
  </si>
  <si>
    <t>WS Training Ltd</t>
  </si>
  <si>
    <t>ITS408547</t>
  </si>
  <si>
    <t>Walsall NHS Trust</t>
  </si>
  <si>
    <t>Webs Training Limited</t>
  </si>
  <si>
    <t>ITS452618</t>
  </si>
  <si>
    <t>Weir Training Limited</t>
  </si>
  <si>
    <t>ITS452984</t>
  </si>
  <si>
    <t>ITS333250</t>
  </si>
  <si>
    <t>Wiltshire Transport Training &amp; Development Limited</t>
  </si>
  <si>
    <t>ITS429014</t>
  </si>
  <si>
    <t>ITS330018</t>
  </si>
  <si>
    <t>Impact College</t>
  </si>
  <si>
    <t>BOCK Consultancy &amp; Personnel Development Limited</t>
  </si>
  <si>
    <t>Results Consortium Limited</t>
  </si>
  <si>
    <t>City of London College Centre for Advanced Studies</t>
  </si>
  <si>
    <t>Encompass Consultancy</t>
  </si>
  <si>
    <t>Escala Training Academy</t>
  </si>
  <si>
    <t>Health and Fitness Education</t>
  </si>
  <si>
    <t>LD Training Services Limited</t>
  </si>
  <si>
    <t>Skills North East</t>
  </si>
  <si>
    <t>Envisage</t>
  </si>
  <si>
    <t>The London Hairdressing Apprenticeship Academy Limited</t>
  </si>
  <si>
    <t>The White Rose School Of Beauty And Complementary Therapies Limited</t>
  </si>
  <si>
    <t>Training 4 U Services (UK) Ltd</t>
  </si>
  <si>
    <t>EMD UK Limited</t>
  </si>
  <si>
    <t>Umbrella Training And Employment Solutions Limited</t>
  </si>
  <si>
    <t>Eurosource Solutions Limited</t>
  </si>
  <si>
    <t>Access Skills Ltd</t>
  </si>
  <si>
    <t>BRS Education Limited</t>
  </si>
  <si>
    <t>CVQO Ltd</t>
  </si>
  <si>
    <t>Futures Advice, Skills and Employment Central Eastern</t>
  </si>
  <si>
    <t>New London College</t>
  </si>
  <si>
    <t>Futures Advice, Skills and Employment EM</t>
  </si>
  <si>
    <t>Prospects London</t>
  </si>
  <si>
    <t>Prospects SW</t>
  </si>
  <si>
    <t>Abacus Training Group</t>
  </si>
  <si>
    <t>Prospects WM</t>
  </si>
  <si>
    <t>Associated Training Solutions Ltd</t>
  </si>
  <si>
    <t>London Professional College Ltd</t>
  </si>
  <si>
    <t>Barrett Bell Ltd</t>
  </si>
  <si>
    <t>N D A FOUNDATION LIMITED</t>
  </si>
  <si>
    <t>North West Skills Academy Limited</t>
  </si>
  <si>
    <t>Chic Beauty Academy Ltd</t>
  </si>
  <si>
    <t>Phoenix Training Services (midlands) Limited</t>
  </si>
  <si>
    <t>Civil Ceremonies Limited</t>
  </si>
  <si>
    <t>Profile Development And Training Limited</t>
  </si>
  <si>
    <t>Community Training Portal Limited</t>
  </si>
  <si>
    <t>Qts-Global Ltd</t>
  </si>
  <si>
    <t>Southern Health National Health Service Foundation Trust</t>
  </si>
  <si>
    <t>Hereford Sixth Form College</t>
  </si>
  <si>
    <t>ITS320848</t>
  </si>
  <si>
    <t>Rochdale Sixth Form College</t>
  </si>
  <si>
    <t>ITS409580</t>
  </si>
  <si>
    <t>Chadsgrove Educational Trust Learning Centre</t>
  </si>
  <si>
    <t>New College Pontefract</t>
  </si>
  <si>
    <t>ITS423377</t>
  </si>
  <si>
    <t>ITS323118</t>
  </si>
  <si>
    <t>Priestley College</t>
  </si>
  <si>
    <t>ITS298685</t>
  </si>
  <si>
    <t>Liberty Training</t>
  </si>
  <si>
    <t>Northern Construction Training &amp; Regeneration</t>
  </si>
  <si>
    <t>Education Development Trust NE</t>
  </si>
  <si>
    <t>Chosen Care Group Limited</t>
  </si>
  <si>
    <t>Education Development Trust SC</t>
  </si>
  <si>
    <t>The Growth Company Limited Liverpool</t>
  </si>
  <si>
    <t>Leap Early Years Training</t>
  </si>
  <si>
    <t>The Growth Company Limited Manchester</t>
  </si>
  <si>
    <t>Creative Support</t>
  </si>
  <si>
    <t>Greenwich Leisure Ltd</t>
  </si>
  <si>
    <t>Mitchell &amp; Butlers</t>
  </si>
  <si>
    <t>West Midlands Ambulance Service</t>
  </si>
  <si>
    <t>Birtenshaw</t>
  </si>
  <si>
    <t>Ada National College for Digital Skills</t>
  </si>
  <si>
    <t>1st Care Training Limited</t>
  </si>
  <si>
    <t>Active Lifestyles</t>
  </si>
  <si>
    <t>Any Driver Limited</t>
  </si>
  <si>
    <t>FW Solutions Limited</t>
  </si>
  <si>
    <t>Elms Associated Limited</t>
  </si>
  <si>
    <t>Enabling Development Opportunities Ltd</t>
  </si>
  <si>
    <t>Careers Yorkshire and The Humber Limited</t>
  </si>
  <si>
    <t>CXK Ltd SE</t>
  </si>
  <si>
    <t>Gao-Shan Security Limited</t>
  </si>
  <si>
    <t>JFC Training College Ltd</t>
  </si>
  <si>
    <t>Dhunay Corporation Ltd</t>
  </si>
  <si>
    <t>Tower College Of Further And Higher Education London Limited</t>
  </si>
  <si>
    <t>Elmhouse Training</t>
  </si>
  <si>
    <t>Lifebridge ASEND</t>
  </si>
  <si>
    <t>Brentwood Community College</t>
  </si>
  <si>
    <t>The Ridge Employability College</t>
  </si>
  <si>
    <t>Trinity Post 16 Solutions Ltd.</t>
  </si>
  <si>
    <t>Eat That Frog C.I.C.</t>
  </si>
  <si>
    <t>Goldwyn Sixth Form College</t>
  </si>
  <si>
    <t>Blue Arrow Limited</t>
  </si>
  <si>
    <t>United Utilities Water Limited</t>
  </si>
  <si>
    <t>Central Manchester University Hospitals NHS Foundation Trust</t>
  </si>
  <si>
    <t>Harington School</t>
  </si>
  <si>
    <t>Suffolk One</t>
  </si>
  <si>
    <t>B C Arch Limited</t>
  </si>
  <si>
    <t>THE SKILLS NETWORK LIMITED</t>
  </si>
  <si>
    <t>Somerset Skills &amp; Learning CIC</t>
  </si>
  <si>
    <t>Holts Academy of Jewellery Limited</t>
  </si>
  <si>
    <t>Construction Skills Solutions Limited</t>
  </si>
  <si>
    <t>Debut Training Academy Limited</t>
  </si>
  <si>
    <t>Lifelong Opportunities Ltd</t>
  </si>
  <si>
    <t>TBAP 16-19 Academic AP Academy</t>
  </si>
  <si>
    <t>LIPA Sixth Form College</t>
  </si>
  <si>
    <t>Wolseley UK Limited</t>
  </si>
  <si>
    <t>Care UK Community Partnerships Ltd</t>
  </si>
  <si>
    <t>Wilson Stuart University College Birmingham Partnership Trust</t>
  </si>
  <si>
    <t>Callywith College</t>
  </si>
  <si>
    <t>New College Doncaster</t>
  </si>
  <si>
    <t>Royal Mencap Society</t>
  </si>
  <si>
    <t>Community College Initiative Ltd</t>
  </si>
  <si>
    <t>Skillnet Group</t>
  </si>
  <si>
    <t>Calman Colaiste (Kisimul Group)</t>
  </si>
  <si>
    <t>SupaJam Education In Music and Media</t>
  </si>
  <si>
    <t>Birkenhead Sixth Form College</t>
  </si>
  <si>
    <t>ITS399014</t>
  </si>
  <si>
    <t>(All)</t>
  </si>
  <si>
    <t>ISC - Short</t>
  </si>
  <si>
    <t>Community Learning and Skills - Not for profit organisation - Short</t>
  </si>
  <si>
    <t>SFC - Short</t>
  </si>
  <si>
    <t>Community Learning and Skills - Specialist designated institution - Short</t>
  </si>
  <si>
    <t>FE in HE - Short</t>
  </si>
  <si>
    <t>City University</t>
  </si>
  <si>
    <t>Stella Mann College</t>
  </si>
  <si>
    <t>ITS364502</t>
  </si>
  <si>
    <t>Carlisle College</t>
  </si>
  <si>
    <t>ITS342297</t>
  </si>
  <si>
    <t>ITS283382</t>
  </si>
  <si>
    <t>Paston College</t>
  </si>
  <si>
    <t>Lomax Training Services Limited</t>
  </si>
  <si>
    <t>ITS333621</t>
  </si>
  <si>
    <t>Standguide Limited</t>
  </si>
  <si>
    <t>ITS365451</t>
  </si>
  <si>
    <t>The Teaching &amp; Learning Group</t>
  </si>
  <si>
    <t>Poplar Housing And Regeneration Community Association Limited</t>
  </si>
  <si>
    <t>United Response</t>
  </si>
  <si>
    <t>Phx Training Limited</t>
  </si>
  <si>
    <t>Numidia Education And Training Limited</t>
  </si>
  <si>
    <t>Business Training Ventures Limited</t>
  </si>
  <si>
    <t>Sps Training Solutions Limited</t>
  </si>
  <si>
    <t>Ebenezer Community Learning Centre</t>
  </si>
  <si>
    <t>The Development Manager Ltd</t>
  </si>
  <si>
    <t>Highfields Community Association</t>
  </si>
  <si>
    <t>The Federation Of Groundwork Trusts</t>
  </si>
  <si>
    <t>Ab Education Consultants Limited</t>
  </si>
  <si>
    <t>Mbkb Ltd</t>
  </si>
  <si>
    <t>Altamira Art &amp; Design Ltd</t>
  </si>
  <si>
    <t>Csj Training Limited</t>
  </si>
  <si>
    <t>Uniper Technologies Limited</t>
  </si>
  <si>
    <t>Inspira Cumbria Limited</t>
  </si>
  <si>
    <t>Prospect Training (Yorkshire) Limited</t>
  </si>
  <si>
    <t>Tempus Training Limited</t>
  </si>
  <si>
    <t>University of Salford</t>
  </si>
  <si>
    <t>University of Warwick</t>
  </si>
  <si>
    <t>University of Winchester</t>
  </si>
  <si>
    <t>East Birmingham Community Forum Ltd</t>
  </si>
  <si>
    <t>Anglia Ruskin University</t>
  </si>
  <si>
    <t>Aston University</t>
  </si>
  <si>
    <t>Birmingham City University</t>
  </si>
  <si>
    <t>ITS388028</t>
  </si>
  <si>
    <t>University of Wolverhampton</t>
  </si>
  <si>
    <t>University of Worcester</t>
  </si>
  <si>
    <t>University of Chester</t>
  </si>
  <si>
    <t>University of Chichester</t>
  </si>
  <si>
    <t>University of Cumbria</t>
  </si>
  <si>
    <t>ITS345751</t>
  </si>
  <si>
    <t>FE in HE - Inadequate Historic</t>
  </si>
  <si>
    <t>ITS331151</t>
  </si>
  <si>
    <t>University of East London</t>
  </si>
  <si>
    <t>University of Essex</t>
  </si>
  <si>
    <t>University of Exeter</t>
  </si>
  <si>
    <t>Liverpool John Moores University</t>
  </si>
  <si>
    <t>London South Bank University</t>
  </si>
  <si>
    <t>Middlesex University</t>
  </si>
  <si>
    <t>Queen Mary and Westfield College</t>
  </si>
  <si>
    <t>The Open University</t>
  </si>
  <si>
    <t>University of Bradford</t>
  </si>
  <si>
    <t>University of Brighton</t>
  </si>
  <si>
    <t>University of Central Lancashire</t>
  </si>
  <si>
    <t>Careers South West</t>
  </si>
  <si>
    <t>ITS422633</t>
  </si>
  <si>
    <t>Nextstep - inspection Historic</t>
  </si>
  <si>
    <t>ITS343625</t>
  </si>
  <si>
    <t>Easton Learning Centre</t>
  </si>
  <si>
    <t>Royal Agricultural University</t>
  </si>
  <si>
    <t>Sheffield Hallam University</t>
  </si>
  <si>
    <t>Staffordshire University</t>
  </si>
  <si>
    <t>Teesside University</t>
  </si>
  <si>
    <t>University of Gloucestershire</t>
  </si>
  <si>
    <t>University of Greenwich</t>
  </si>
  <si>
    <t>University of Hertfordshire</t>
  </si>
  <si>
    <t>University of Hull</t>
  </si>
  <si>
    <t>University of Kent</t>
  </si>
  <si>
    <t>University of Northumbria At Newcastle</t>
  </si>
  <si>
    <t>University of Plymouth</t>
  </si>
  <si>
    <t>University of Portsmouth</t>
  </si>
  <si>
    <t>Mitre Group Ltd</t>
  </si>
  <si>
    <t>ITS317509</t>
  </si>
  <si>
    <t>Adult and Community - full (regional) (ALI) Historic</t>
  </si>
  <si>
    <t>Muath Trust</t>
  </si>
  <si>
    <t>Glocestershire Enterprise Limited</t>
  </si>
  <si>
    <t>ITS354685</t>
  </si>
  <si>
    <t>LeSoCo</t>
  </si>
  <si>
    <t>ITS440233</t>
  </si>
  <si>
    <t>C &amp; G Assessments and Training Limited</t>
  </si>
  <si>
    <t>ITS354692</t>
  </si>
  <si>
    <t>Care First Training Limited</t>
  </si>
  <si>
    <t>Professional Business &amp; Training Solutions Limited</t>
  </si>
  <si>
    <t>ITS429226</t>
  </si>
  <si>
    <t>ITS399104</t>
  </si>
  <si>
    <t>London Cactus Limited</t>
  </si>
  <si>
    <t>Home Group Limited</t>
  </si>
  <si>
    <t>Geason</t>
  </si>
  <si>
    <t>City of Glasgow</t>
  </si>
  <si>
    <t>Pet-Xi Training Limited</t>
  </si>
  <si>
    <t>Centrepoint Soho</t>
  </si>
  <si>
    <t>Liral Veget Training And Recruitment Limited</t>
  </si>
  <si>
    <t>Street League</t>
  </si>
  <si>
    <t>Go Train Limited</t>
  </si>
  <si>
    <t>London School Of Commerce &amp; It Limited</t>
  </si>
  <si>
    <t>Ntg Training Ltd</t>
  </si>
  <si>
    <t>Triage Central Limited</t>
  </si>
  <si>
    <t>Stirling</t>
  </si>
  <si>
    <t>University Centre Quayside Limited</t>
  </si>
  <si>
    <t>N-Gaged Training &amp; Recruitment Limited</t>
  </si>
  <si>
    <t>AQT Ltd</t>
  </si>
  <si>
    <t>Promise Training Centre Limited</t>
  </si>
  <si>
    <t>The Finance And Management Business School Limited</t>
  </si>
  <si>
    <t>N A College Trust</t>
  </si>
  <si>
    <t>Aim Skills Development Limited</t>
  </si>
  <si>
    <t>Waltham International College Limited</t>
  </si>
  <si>
    <t>Gecko Programmes Limited</t>
  </si>
  <si>
    <t>Feligrace Limited</t>
  </si>
  <si>
    <t>Group Horizon Limited</t>
  </si>
  <si>
    <t>Scl Security Ltd</t>
  </si>
  <si>
    <t>Well Associates Limited</t>
  </si>
  <si>
    <t>Essential Learning Company</t>
  </si>
  <si>
    <t>ITS306946</t>
  </si>
  <si>
    <t>Merseyside Accredited Childcare Training and Assessment Centre</t>
  </si>
  <si>
    <t>ITS306613</t>
  </si>
  <si>
    <t>Mid Cheshire College</t>
  </si>
  <si>
    <t>ProVQ Limited</t>
  </si>
  <si>
    <t>Bauer Radio Limited</t>
  </si>
  <si>
    <t>Engage Training and Development Ltd</t>
  </si>
  <si>
    <t>HTP Apprenticeship College LTD</t>
  </si>
  <si>
    <t>Working Links (Employment) Limited</t>
  </si>
  <si>
    <t>ITS399091</t>
  </si>
  <si>
    <t>ITS330954</t>
  </si>
  <si>
    <t>STREETVIBES YOUTH LIMITED</t>
  </si>
  <si>
    <t>Questions &amp; Answers CIC</t>
  </si>
  <si>
    <t>The Autism Project - CareTrade</t>
  </si>
  <si>
    <t>Newcastle College</t>
  </si>
  <si>
    <t>Newcastle Sixth Form College</t>
  </si>
  <si>
    <t>Focus Fitness UK Limited</t>
  </si>
  <si>
    <t>Free To Learn Ltd</t>
  </si>
  <si>
    <t>The Sixth Form College Farnborough</t>
  </si>
  <si>
    <t>ITS295114</t>
  </si>
  <si>
    <t>LAE Tottenham</t>
  </si>
  <si>
    <t>Romney Resource 2000 Limited (Romney Resource Centre)</t>
  </si>
  <si>
    <t>Queen Mary's College</t>
  </si>
  <si>
    <t>ITS345838</t>
  </si>
  <si>
    <t>ITS283497</t>
  </si>
  <si>
    <t>Real Skills Training Ltd</t>
  </si>
  <si>
    <t>Personal Track Safety Ltd</t>
  </si>
  <si>
    <t>Healthcare Learning Ltd</t>
  </si>
  <si>
    <t>On Course South West Cic</t>
  </si>
  <si>
    <t>Fresh Training Services (Uk) Limited</t>
  </si>
  <si>
    <t>Vss Training And Development Limited</t>
  </si>
  <si>
    <t>Management Focus Training Solutions Limited</t>
  </si>
  <si>
    <t>Netcom Training Ltd</t>
  </si>
  <si>
    <t>Total Training Company (Uk) Limited</t>
  </si>
  <si>
    <t>Strive Training (London) Limited</t>
  </si>
  <si>
    <t>J G W Training Limited</t>
  </si>
  <si>
    <t>Back 2 Work Complete Training Limited</t>
  </si>
  <si>
    <t>The Number 4 Group Limited</t>
  </si>
  <si>
    <t>Right Track Social Enterprise Limited</t>
  </si>
  <si>
    <t>Just I.T. Training Limited</t>
  </si>
  <si>
    <t>The Training Brokers Limited</t>
  </si>
  <si>
    <t>Flt Training (Liverpool) Limited</t>
  </si>
  <si>
    <t>Absolute Care Training &amp; Education Ltd</t>
  </si>
  <si>
    <t>Quest Training South East Ltd</t>
  </si>
  <si>
    <t>Sccu Ltd</t>
  </si>
  <si>
    <t>Kidderminster College</t>
  </si>
  <si>
    <t>West Lancashire College</t>
  </si>
  <si>
    <t>Acorn Training Ltd</t>
  </si>
  <si>
    <t>Blue Apple Training Ltd</t>
  </si>
  <si>
    <t>Workpays Limited</t>
  </si>
  <si>
    <t>Train 4 Limited</t>
  </si>
  <si>
    <t>Nova Payroll Management Services Limited</t>
  </si>
  <si>
    <t>The World Of Work Limited</t>
  </si>
  <si>
    <t>The Football League (Community) Limited</t>
  </si>
  <si>
    <t>Elite Training, Assessing And Development Cic</t>
  </si>
  <si>
    <t>Jm Recruitment Education &amp; Training Ltd</t>
  </si>
  <si>
    <t>Xtol Development Services Limited</t>
  </si>
  <si>
    <t>Shreeji Training Ltd</t>
  </si>
  <si>
    <t>Brogdale Community Interest Company</t>
  </si>
  <si>
    <t>The Sixth Form College, Solihull</t>
  </si>
  <si>
    <t>ITS423376</t>
  </si>
  <si>
    <t>ITS376173</t>
  </si>
  <si>
    <t>Oldham Sixth Form College</t>
  </si>
  <si>
    <t>ITS408454</t>
  </si>
  <si>
    <t>ITS322396</t>
  </si>
  <si>
    <t>Northwest Education And Training Limited</t>
  </si>
  <si>
    <t>Aim 2 Learn Ltd</t>
  </si>
  <si>
    <t>Pearson College Limited</t>
  </si>
  <si>
    <t>Vocational Staffing Solutions Limited</t>
  </si>
  <si>
    <t>Canal Engineering Limited</t>
  </si>
  <si>
    <t>Scl Education &amp; Training Limited</t>
  </si>
  <si>
    <t>Antrec Limited</t>
  </si>
  <si>
    <t>Excellence-Solutions Limited</t>
  </si>
  <si>
    <t>Tvs Education Limited</t>
  </si>
  <si>
    <t>Optimum Skills Limited</t>
  </si>
  <si>
    <t>Apprentice Team Ltd</t>
  </si>
  <si>
    <t>Ashley Community &amp; Housing Ltd</t>
  </si>
  <si>
    <t>Best Practice Training &amp; Development Limited</t>
  </si>
  <si>
    <t>Adult Training Network Limited</t>
  </si>
  <si>
    <t>Business Advice Direct Limited</t>
  </si>
  <si>
    <t>Hct Group</t>
  </si>
  <si>
    <t>Premier Training International Limited</t>
  </si>
  <si>
    <t>Seymour Davies Ltd</t>
  </si>
  <si>
    <t>Ethames Graduate School Limited</t>
  </si>
  <si>
    <t>Innovative Alliance Ltd</t>
  </si>
  <si>
    <t>Kickstart2Employment Ltd</t>
  </si>
  <si>
    <t>Wrexham</t>
  </si>
  <si>
    <t>The Portland Training Company Limited</t>
  </si>
  <si>
    <t>Cpc Training Consultants Ltd</t>
  </si>
  <si>
    <t>Edlounge Ltd</t>
  </si>
  <si>
    <t>International Consultants Trading Ltd</t>
  </si>
  <si>
    <t>Talented Training Limited</t>
  </si>
  <si>
    <t>The Education And Skills Partnership Ltd</t>
  </si>
  <si>
    <t>Training Skills Uk Ltd</t>
  </si>
  <si>
    <t>Culture, Learning And Libraries (Midlands)</t>
  </si>
  <si>
    <t>A list of all further education and skills inspections that have taken place so far during the reporting year 2017/18.</t>
  </si>
  <si>
    <t>Inspections from 1 September 2017, published by 31 December 2017</t>
  </si>
  <si>
    <t>Inspections published by 31 December 2017</t>
  </si>
  <si>
    <t>(Multiple Items)</t>
  </si>
  <si>
    <t>Nash College</t>
  </si>
  <si>
    <t>10 January 2018</t>
  </si>
  <si>
    <t>© Crown copyright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</si>
</sst>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dd/mm/yyyy;@"/>
  </numFmts>
  <fonts count="32" x14ac:knownFonts="1">
    <font>
      <sz val="10"/>
      <color theme="1"/>
      <name val="Tahoma"/>
      <family val="2"/>
    </font>
    <font>
      <sz val="10"/>
      <name val="Arial"/>
      <family val="2"/>
    </font>
    <font>
      <b/>
      <sz val="12"/>
      <name val="Tahoma"/>
      <family val="2"/>
    </font>
    <font>
      <b/>
      <sz val="10"/>
      <name val="Tahoma"/>
      <family val="2"/>
    </font>
    <font>
      <sz val="10"/>
      <name val="Tahoma"/>
      <family val="2"/>
    </font>
    <font>
      <u/>
      <sz val="10"/>
      <color indexed="12"/>
      <name val="Tahoma"/>
      <family val="2"/>
    </font>
    <font>
      <sz val="10"/>
      <name val="Arial"/>
      <family val="4"/>
    </font>
    <font>
      <sz val="10"/>
      <color theme="1"/>
      <name val="Tahoma"/>
      <family val="2"/>
    </font>
    <font>
      <sz val="10"/>
      <color indexed="23"/>
      <name val="Tahoma"/>
      <family val="2"/>
    </font>
    <font>
      <sz val="10"/>
      <color indexed="8"/>
      <name val="Tahoma"/>
      <family val="2"/>
    </font>
    <font>
      <b/>
      <sz val="20"/>
      <color indexed="9"/>
      <name val="Tahoma"/>
      <family val="2"/>
    </font>
    <font>
      <sz val="12"/>
      <name val="Tahoma"/>
      <family val="2"/>
    </font>
    <font>
      <sz val="12"/>
      <color indexed="12"/>
      <name val="Tahoma"/>
      <family val="2"/>
    </font>
    <font>
      <u/>
      <sz val="12"/>
      <color indexed="12"/>
      <name val="Tahoma"/>
      <family val="2"/>
    </font>
    <font>
      <sz val="10"/>
      <color rgb="FFFF0000"/>
      <name val="Tahoma"/>
      <family val="2"/>
    </font>
    <font>
      <sz val="12"/>
      <color rgb="FF002060"/>
      <name val="Tahoma"/>
      <family val="2"/>
    </font>
    <font>
      <b/>
      <sz val="16"/>
      <color rgb="FF002060"/>
      <name val="Tahoma"/>
      <family val="2"/>
    </font>
    <font>
      <sz val="10"/>
      <color rgb="FF002060"/>
      <name val="Tahoma"/>
      <family val="2"/>
    </font>
    <font>
      <b/>
      <sz val="20"/>
      <name val="Tahoma"/>
      <family val="2"/>
    </font>
    <font>
      <b/>
      <sz val="10"/>
      <color theme="0"/>
      <name val="Tahoma"/>
      <family val="2"/>
    </font>
    <font>
      <b/>
      <sz val="10"/>
      <color theme="1"/>
      <name val="Tahoma"/>
      <family val="2"/>
    </font>
    <font>
      <sz val="10"/>
      <color theme="0"/>
      <name val="Tahoma"/>
      <family val="2"/>
    </font>
    <font>
      <b/>
      <vertAlign val="superscript"/>
      <sz val="10"/>
      <color theme="1"/>
      <name val="Tahoma"/>
      <family val="2"/>
    </font>
    <font>
      <b/>
      <sz val="10"/>
      <color rgb="FF000000"/>
      <name val="Tahoma"/>
      <family val="2"/>
    </font>
    <font>
      <sz val="10"/>
      <color rgb="FF000000"/>
      <name val="Tahoma"/>
      <family val="2"/>
    </font>
    <font>
      <sz val="8"/>
      <name val="Tahoma"/>
      <family val="2"/>
    </font>
    <font>
      <sz val="8"/>
      <color theme="1"/>
      <name val="Tahoma"/>
      <family val="2"/>
    </font>
    <font>
      <b/>
      <vertAlign val="superscript"/>
      <sz val="10"/>
      <name val="Tahoma"/>
      <family val="2"/>
    </font>
    <font>
      <b/>
      <vertAlign val="superscript"/>
      <sz val="10"/>
      <color rgb="FF000000"/>
      <name val="Tahoma"/>
      <family val="2"/>
    </font>
    <font>
      <i/>
      <sz val="10"/>
      <color theme="1"/>
      <name val="Tahoma"/>
      <family val="2"/>
    </font>
    <font>
      <b/>
      <u/>
      <sz val="10"/>
      <color theme="0"/>
      <name val="Tahoma"/>
      <family val="2"/>
    </font>
    <font>
      <b/>
      <u/>
      <sz val="10"/>
      <name val="Tahoma"/>
      <family val="2"/>
    </font>
  </fonts>
  <fills count="10">
    <fill>
      <patternFill patternType="none"/>
    </fill>
    <fill>
      <patternFill patternType="gray125"/>
    </fill>
    <fill>
      <patternFill patternType="solid">
        <fgColor theme="3" tint="0.79998168889431442"/>
        <bgColor indexed="64"/>
      </patternFill>
    </fill>
    <fill>
      <patternFill patternType="solid">
        <fgColor indexed="43"/>
        <bgColor indexed="64"/>
      </patternFill>
    </fill>
    <fill>
      <patternFill patternType="solid">
        <fgColor rgb="FFFFFFCC"/>
      </patternFill>
    </fill>
    <fill>
      <patternFill patternType="solid">
        <fgColor theme="0"/>
        <bgColor indexed="64"/>
      </patternFill>
    </fill>
    <fill>
      <patternFill patternType="solid">
        <fgColor theme="4" tint="0.79998168889431442"/>
        <bgColor indexed="64"/>
      </patternFill>
    </fill>
    <fill>
      <patternFill patternType="solid">
        <fgColor rgb="FF548DD5"/>
        <bgColor indexed="64"/>
      </patternFill>
    </fill>
    <fill>
      <patternFill patternType="solid">
        <fgColor rgb="FF00B0F0"/>
        <bgColor indexed="64"/>
      </patternFill>
    </fill>
    <fill>
      <patternFill patternType="solid">
        <fgColor rgb="FF92D05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rgb="FF000000"/>
      </top>
      <bottom style="thin">
        <color indexed="64"/>
      </bottom>
      <diagonal/>
    </border>
    <border>
      <left style="thin">
        <color rgb="FFB2B2B2"/>
      </left>
      <right style="thin">
        <color rgb="FFB2B2B2"/>
      </right>
      <top style="thin">
        <color rgb="FFB2B2B2"/>
      </top>
      <bottom style="thin">
        <color rgb="FFB2B2B2"/>
      </bottom>
      <diagonal/>
    </border>
    <border>
      <left/>
      <right/>
      <top/>
      <bottom style="thin">
        <color indexed="55"/>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right style="thin">
        <color indexed="55"/>
      </right>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top style="thin">
        <color theme="0"/>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14">
    <xf numFmtId="0" fontId="0" fillId="0" borderId="0"/>
    <xf numFmtId="0" fontId="5" fillId="0" borderId="0" applyNumberFormat="0" applyFill="0" applyBorder="0" applyAlignment="0" applyProtection="0">
      <alignment vertical="top"/>
      <protection locked="0"/>
    </xf>
    <xf numFmtId="15" fontId="6" fillId="3" borderId="1">
      <alignment horizontal="left" vertical="center"/>
    </xf>
    <xf numFmtId="0" fontId="4" fillId="0" borderId="0"/>
    <xf numFmtId="43" fontId="4" fillId="0" borderId="0" applyFont="0" applyFill="0" applyBorder="0" applyAlignment="0" applyProtection="0"/>
    <xf numFmtId="0" fontId="5" fillId="0" borderId="0" applyNumberFormat="0" applyFill="0" applyBorder="0" applyAlignment="0" applyProtection="0">
      <alignment vertical="top"/>
      <protection locked="0"/>
    </xf>
    <xf numFmtId="0" fontId="7" fillId="0" borderId="0"/>
    <xf numFmtId="0" fontId="4" fillId="0" borderId="0"/>
    <xf numFmtId="0" fontId="7" fillId="0" borderId="0"/>
    <xf numFmtId="0" fontId="4" fillId="0" borderId="0"/>
    <xf numFmtId="0" fontId="1" fillId="0" borderId="0"/>
    <xf numFmtId="0" fontId="8" fillId="4" borderId="9" applyNumberFormat="0" applyFont="0" applyAlignment="0" applyProtection="0"/>
    <xf numFmtId="9" fontId="4" fillId="0" borderId="0" applyFont="0" applyFill="0" applyBorder="0" applyAlignment="0" applyProtection="0"/>
    <xf numFmtId="9" fontId="9" fillId="0" borderId="0" applyFont="0" applyFill="0" applyBorder="0" applyAlignment="0" applyProtection="0"/>
  </cellStyleXfs>
  <cellXfs count="201">
    <xf numFmtId="0" fontId="0" fillId="0" borderId="0" xfId="0"/>
    <xf numFmtId="0" fontId="0" fillId="0" borderId="0" xfId="0" applyAlignment="1">
      <alignment horizontal="left"/>
    </xf>
    <xf numFmtId="14" fontId="0" fillId="0" borderId="0" xfId="0" applyNumberFormat="1" applyAlignment="1">
      <alignment horizontal="left"/>
    </xf>
    <xf numFmtId="0" fontId="0" fillId="0" borderId="0" xfId="0" applyFill="1" applyAlignment="1">
      <alignment horizontal="left"/>
    </xf>
    <xf numFmtId="0" fontId="3" fillId="2" borderId="8" xfId="0" applyNumberFormat="1" applyFont="1" applyFill="1" applyBorder="1" applyAlignment="1">
      <alignment horizontal="center" vertical="center" textRotation="90" wrapText="1"/>
    </xf>
    <xf numFmtId="14" fontId="0" fillId="0" borderId="0" xfId="0" applyNumberFormat="1" applyAlignment="1">
      <alignment horizontal="center"/>
    </xf>
    <xf numFmtId="0" fontId="0" fillId="0" borderId="0" xfId="0" applyNumberFormat="1" applyAlignment="1">
      <alignment horizontal="center"/>
    </xf>
    <xf numFmtId="0" fontId="0" fillId="0" borderId="0" xfId="0" applyFill="1" applyBorder="1"/>
    <xf numFmtId="0" fontId="3" fillId="0" borderId="0" xfId="0" applyFont="1" applyFill="1" applyBorder="1" applyAlignment="1">
      <alignment horizontal="center" vertical="center" textRotation="90" wrapText="1"/>
    </xf>
    <xf numFmtId="0" fontId="0" fillId="5" borderId="0" xfId="0" applyFill="1"/>
    <xf numFmtId="0" fontId="0" fillId="5" borderId="0" xfId="0" applyFill="1" applyAlignment="1">
      <alignment vertical="top" wrapText="1"/>
    </xf>
    <xf numFmtId="0" fontId="0" fillId="5" borderId="4" xfId="0" applyFill="1" applyBorder="1" applyAlignment="1">
      <alignment horizontal="left" vertical="top"/>
    </xf>
    <xf numFmtId="0" fontId="0" fillId="5" borderId="5" xfId="0" applyFill="1" applyBorder="1" applyAlignment="1">
      <alignment vertical="top"/>
    </xf>
    <xf numFmtId="0" fontId="0" fillId="5" borderId="7" xfId="0" applyFill="1" applyBorder="1" applyAlignment="1">
      <alignment vertical="top"/>
    </xf>
    <xf numFmtId="0" fontId="15" fillId="0" borderId="0" xfId="0" applyFont="1" applyAlignment="1">
      <alignment horizontal="left"/>
    </xf>
    <xf numFmtId="0" fontId="16" fillId="0" borderId="0" xfId="0" applyFont="1" applyAlignment="1">
      <alignment horizontal="left"/>
    </xf>
    <xf numFmtId="0" fontId="3" fillId="2" borderId="8" xfId="0" applyFont="1" applyFill="1" applyBorder="1" applyAlignment="1">
      <alignment horizontal="center" vertical="center" wrapText="1"/>
    </xf>
    <xf numFmtId="0" fontId="3" fillId="2" borderId="1" xfId="0" applyNumberFormat="1" applyFont="1" applyFill="1" applyBorder="1" applyAlignment="1">
      <alignment horizontal="center" vertical="center" textRotation="90" wrapText="1"/>
    </xf>
    <xf numFmtId="0" fontId="3" fillId="6" borderId="1" xfId="0" applyNumberFormat="1"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2" borderId="1" xfId="0" applyFont="1" applyFill="1" applyBorder="1" applyAlignment="1">
      <alignment horizontal="center" vertical="center" textRotation="90" wrapText="1"/>
    </xf>
    <xf numFmtId="0" fontId="3" fillId="6" borderId="1" xfId="0" applyNumberFormat="1" applyFont="1" applyFill="1" applyBorder="1" applyAlignment="1">
      <alignment horizontal="center" vertical="center" textRotation="90" wrapText="1"/>
    </xf>
    <xf numFmtId="0" fontId="3" fillId="6" borderId="1" xfId="0" applyFont="1" applyFill="1" applyBorder="1" applyAlignment="1">
      <alignment horizontal="center" vertical="center" textRotation="90" wrapText="1"/>
    </xf>
    <xf numFmtId="14" fontId="3" fillId="2" borderId="8" xfId="0" applyNumberFormat="1" applyFont="1" applyFill="1" applyBorder="1" applyAlignment="1">
      <alignment horizontal="center" vertical="center" wrapText="1"/>
    </xf>
    <xf numFmtId="49" fontId="16" fillId="0" borderId="0" xfId="0" applyNumberFormat="1" applyFont="1"/>
    <xf numFmtId="49" fontId="15" fillId="0" borderId="0" xfId="0" applyNumberFormat="1" applyFont="1"/>
    <xf numFmtId="49" fontId="0" fillId="0" borderId="0" xfId="0" applyNumberFormat="1" applyAlignment="1">
      <alignment horizontal="left"/>
    </xf>
    <xf numFmtId="49" fontId="3" fillId="2" borderId="1" xfId="0" applyNumberFormat="1" applyFont="1" applyFill="1" applyBorder="1" applyAlignment="1">
      <alignment horizontal="center" vertical="center" wrapText="1"/>
    </xf>
    <xf numFmtId="14" fontId="3" fillId="2" borderId="1" xfId="0" applyNumberFormat="1" applyFont="1" applyFill="1" applyBorder="1" applyAlignment="1">
      <alignment horizontal="center" vertical="center" wrapText="1"/>
    </xf>
    <xf numFmtId="14" fontId="3" fillId="6" borderId="1" xfId="0" applyNumberFormat="1" applyFont="1" applyFill="1" applyBorder="1" applyAlignment="1">
      <alignment horizontal="center" vertical="center" wrapText="1"/>
    </xf>
    <xf numFmtId="49" fontId="3" fillId="2" borderId="8" xfId="0" applyNumberFormat="1" applyFont="1" applyFill="1" applyBorder="1" applyAlignment="1">
      <alignment horizontal="center" vertical="center" wrapText="1"/>
    </xf>
    <xf numFmtId="0" fontId="11" fillId="5" borderId="15" xfId="3" applyFont="1" applyFill="1" applyBorder="1" applyAlignment="1" applyProtection="1">
      <alignment horizontal="left" vertical="center" wrapText="1"/>
      <protection locked="0" hidden="1"/>
    </xf>
    <xf numFmtId="0" fontId="4" fillId="5" borderId="11" xfId="3" applyFill="1" applyBorder="1" applyProtection="1">
      <protection locked="0" hidden="1"/>
    </xf>
    <xf numFmtId="0" fontId="4" fillId="5" borderId="12" xfId="3" applyFill="1" applyBorder="1" applyProtection="1">
      <protection locked="0" hidden="1"/>
    </xf>
    <xf numFmtId="3" fontId="4" fillId="5" borderId="11" xfId="3" applyNumberFormat="1" applyFill="1" applyBorder="1" applyProtection="1">
      <protection locked="0" hidden="1"/>
    </xf>
    <xf numFmtId="3" fontId="4" fillId="5" borderId="12" xfId="3" applyNumberFormat="1" applyFill="1" applyBorder="1" applyProtection="1">
      <protection locked="0" hidden="1"/>
    </xf>
    <xf numFmtId="3" fontId="11" fillId="5" borderId="11" xfId="3" applyNumberFormat="1" applyFont="1" applyFill="1" applyBorder="1" applyProtection="1">
      <protection locked="0" hidden="1"/>
    </xf>
    <xf numFmtId="3" fontId="11" fillId="5" borderId="12" xfId="3" applyNumberFormat="1" applyFont="1" applyFill="1" applyBorder="1" applyProtection="1">
      <protection locked="0" hidden="1"/>
    </xf>
    <xf numFmtId="3" fontId="2" fillId="5" borderId="12" xfId="3" applyNumberFormat="1" applyFont="1" applyFill="1" applyBorder="1" applyProtection="1">
      <protection locked="0" hidden="1"/>
    </xf>
    <xf numFmtId="3" fontId="11" fillId="5" borderId="12" xfId="3" applyNumberFormat="1" applyFont="1" applyFill="1" applyBorder="1" applyAlignment="1" applyProtection="1">
      <alignment wrapText="1"/>
      <protection locked="0" hidden="1"/>
    </xf>
    <xf numFmtId="3" fontId="11" fillId="5" borderId="11" xfId="3" applyNumberFormat="1" applyFont="1" applyFill="1" applyBorder="1" applyAlignment="1" applyProtection="1">
      <alignment wrapText="1"/>
      <protection locked="0" hidden="1"/>
    </xf>
    <xf numFmtId="3" fontId="12" fillId="5" borderId="11" xfId="1" applyNumberFormat="1" applyFont="1" applyFill="1" applyBorder="1" applyAlignment="1" applyProtection="1">
      <protection locked="0" hidden="1"/>
    </xf>
    <xf numFmtId="3" fontId="13" fillId="5" borderId="12" xfId="1" applyNumberFormat="1" applyFont="1" applyFill="1" applyBorder="1" applyAlignment="1" applyProtection="1">
      <protection locked="0" hidden="1"/>
    </xf>
    <xf numFmtId="3" fontId="4" fillId="5" borderId="13" xfId="3" applyNumberFormat="1" applyFill="1" applyBorder="1" applyProtection="1">
      <protection locked="0" hidden="1"/>
    </xf>
    <xf numFmtId="3" fontId="4" fillId="5" borderId="14" xfId="3" applyNumberFormat="1" applyFill="1" applyBorder="1" applyProtection="1">
      <protection locked="0" hidden="1"/>
    </xf>
    <xf numFmtId="0" fontId="0" fillId="5" borderId="6" xfId="0" quotePrefix="1" applyFill="1" applyBorder="1" applyAlignment="1">
      <alignment vertical="top"/>
    </xf>
    <xf numFmtId="49" fontId="0" fillId="0" borderId="0" xfId="0" applyNumberFormat="1" applyFont="1" applyAlignment="1">
      <alignment horizontal="left"/>
    </xf>
    <xf numFmtId="0" fontId="3" fillId="5" borderId="10" xfId="3" applyFont="1" applyFill="1" applyBorder="1" applyProtection="1">
      <protection hidden="1"/>
    </xf>
    <xf numFmtId="0" fontId="4" fillId="5" borderId="10" xfId="3" applyFill="1" applyBorder="1" applyProtection="1">
      <protection hidden="1"/>
    </xf>
    <xf numFmtId="0" fontId="18" fillId="5" borderId="11" xfId="3" applyFont="1" applyFill="1" applyBorder="1" applyProtection="1">
      <protection locked="0" hidden="1"/>
    </xf>
    <xf numFmtId="0" fontId="17" fillId="5" borderId="0" xfId="3" applyFont="1" applyFill="1" applyProtection="1">
      <protection hidden="1"/>
    </xf>
    <xf numFmtId="0" fontId="14" fillId="5" borderId="0" xfId="3" applyFont="1" applyFill="1" applyProtection="1">
      <protection hidden="1"/>
    </xf>
    <xf numFmtId="0" fontId="18" fillId="5" borderId="16" xfId="3" applyFont="1" applyFill="1" applyBorder="1" applyProtection="1">
      <protection locked="0" hidden="1"/>
    </xf>
    <xf numFmtId="0" fontId="4" fillId="5" borderId="13" xfId="3" applyFill="1" applyBorder="1" applyProtection="1">
      <protection locked="0" hidden="1"/>
    </xf>
    <xf numFmtId="0" fontId="4" fillId="5" borderId="14" xfId="3" applyFill="1" applyBorder="1" applyProtection="1">
      <protection locked="0" hidden="1"/>
    </xf>
    <xf numFmtId="0" fontId="11" fillId="5" borderId="15" xfId="3" applyFont="1" applyFill="1" applyBorder="1" applyAlignment="1" applyProtection="1">
      <alignment vertical="center" wrapText="1"/>
      <protection locked="0" hidden="1"/>
    </xf>
    <xf numFmtId="0" fontId="2" fillId="5" borderId="15" xfId="3" applyFont="1" applyFill="1" applyBorder="1" applyAlignment="1" applyProtection="1">
      <alignment vertical="center" wrapText="1"/>
      <protection locked="0" hidden="1"/>
    </xf>
    <xf numFmtId="0" fontId="12" fillId="5" borderId="15" xfId="1" applyFont="1" applyFill="1" applyBorder="1" applyAlignment="1" applyProtection="1">
      <alignment horizontal="left" vertical="center" wrapText="1"/>
      <protection locked="0" hidden="1"/>
    </xf>
    <xf numFmtId="0" fontId="0" fillId="0" borderId="0" xfId="0" applyFill="1" applyAlignment="1">
      <alignment horizontal="center"/>
    </xf>
    <xf numFmtId="0" fontId="0" fillId="0" borderId="0" xfId="0" applyFill="1" applyAlignment="1"/>
    <xf numFmtId="0" fontId="14" fillId="0" borderId="0" xfId="0" applyFont="1" applyFill="1" applyAlignment="1">
      <alignment horizontal="center"/>
    </xf>
    <xf numFmtId="49" fontId="0" fillId="0" borderId="0" xfId="0" applyNumberFormat="1" applyFont="1" applyFill="1" applyAlignment="1"/>
    <xf numFmtId="0" fontId="0" fillId="0" borderId="0" xfId="0" applyAlignment="1">
      <alignment vertical="center"/>
    </xf>
    <xf numFmtId="0" fontId="0" fillId="0" borderId="0" xfId="0" applyBorder="1"/>
    <xf numFmtId="0" fontId="0" fillId="0" borderId="0" xfId="0" applyAlignment="1"/>
    <xf numFmtId="0" fontId="0" fillId="0" borderId="0" xfId="0" applyBorder="1" applyAlignment="1">
      <alignment wrapText="1"/>
    </xf>
    <xf numFmtId="0" fontId="23" fillId="0" borderId="0" xfId="0" applyFont="1" applyFill="1" applyBorder="1" applyAlignment="1">
      <alignment vertical="center"/>
    </xf>
    <xf numFmtId="0" fontId="20" fillId="0" borderId="0" xfId="0" applyFont="1"/>
    <xf numFmtId="0" fontId="23" fillId="0" borderId="17" xfId="0" applyFont="1" applyFill="1" applyBorder="1" applyAlignment="1">
      <alignment vertical="center"/>
    </xf>
    <xf numFmtId="0" fontId="24" fillId="0" borderId="0" xfId="0" applyFont="1" applyFill="1" applyBorder="1" applyAlignment="1">
      <alignment vertical="center"/>
    </xf>
    <xf numFmtId="0" fontId="23" fillId="0" borderId="18" xfId="0" applyFont="1" applyFill="1" applyBorder="1" applyAlignment="1">
      <alignment vertical="center"/>
    </xf>
    <xf numFmtId="0" fontId="24" fillId="0" borderId="0" xfId="0" applyFont="1" applyFill="1" applyBorder="1" applyAlignment="1">
      <alignment vertical="center" wrapText="1"/>
    </xf>
    <xf numFmtId="0" fontId="23" fillId="0" borderId="19" xfId="0" applyFont="1" applyFill="1" applyBorder="1" applyAlignment="1">
      <alignment vertical="center"/>
    </xf>
    <xf numFmtId="0" fontId="0" fillId="0" borderId="0" xfId="0" applyFont="1" applyFill="1" applyBorder="1"/>
    <xf numFmtId="3" fontId="25" fillId="0" borderId="0" xfId="0" applyNumberFormat="1" applyFont="1" applyFill="1" applyBorder="1" applyAlignment="1" applyProtection="1">
      <alignment horizontal="right" vertical="center"/>
      <protection locked="0" hidden="1"/>
    </xf>
    <xf numFmtId="0" fontId="26" fillId="0" borderId="0" xfId="0" applyFont="1"/>
    <xf numFmtId="0" fontId="25" fillId="0" borderId="0" xfId="0" applyFont="1" applyFill="1" applyBorder="1" applyProtection="1">
      <protection locked="0" hidden="1"/>
    </xf>
    <xf numFmtId="0" fontId="0" fillId="0" borderId="0" xfId="0" applyFont="1" applyBorder="1"/>
    <xf numFmtId="0" fontId="0" fillId="0" borderId="0" xfId="0" applyFont="1"/>
    <xf numFmtId="0" fontId="0" fillId="0" borderId="0" xfId="0" pivotButton="1"/>
    <xf numFmtId="0" fontId="0" fillId="0" borderId="0" xfId="0" applyNumberFormat="1"/>
    <xf numFmtId="0" fontId="19" fillId="0" borderId="0" xfId="0" applyFont="1"/>
    <xf numFmtId="0" fontId="19" fillId="0" borderId="0" xfId="0" applyFont="1" applyFill="1" applyBorder="1" applyAlignment="1">
      <alignment vertical="center"/>
    </xf>
    <xf numFmtId="0" fontId="19" fillId="0" borderId="0" xfId="0" applyFont="1" applyBorder="1"/>
    <xf numFmtId="0" fontId="21" fillId="0" borderId="0" xfId="0" applyFont="1" applyBorder="1"/>
    <xf numFmtId="0" fontId="20" fillId="0" borderId="17" xfId="0" applyFont="1" applyBorder="1" applyAlignment="1">
      <alignment horizontal="center" vertical="center"/>
    </xf>
    <xf numFmtId="49" fontId="3" fillId="2" borderId="18" xfId="0" applyNumberFormat="1" applyFont="1" applyFill="1" applyBorder="1" applyAlignment="1">
      <alignment horizontal="center" vertical="center" wrapText="1"/>
    </xf>
    <xf numFmtId="0" fontId="20" fillId="0" borderId="0" xfId="0" applyFont="1" applyBorder="1" applyAlignment="1">
      <alignment horizontal="left" vertical="center" wrapText="1"/>
    </xf>
    <xf numFmtId="0" fontId="20" fillId="0" borderId="0" xfId="0" applyFont="1" applyBorder="1" applyAlignment="1">
      <alignment horizontal="center" vertical="center"/>
    </xf>
    <xf numFmtId="0" fontId="20" fillId="0" borderId="0" xfId="0" applyFont="1" applyAlignment="1">
      <alignment horizontal="center" vertical="center"/>
    </xf>
    <xf numFmtId="0" fontId="20" fillId="0" borderId="19" xfId="0" applyFont="1" applyBorder="1" applyAlignment="1">
      <alignment horizontal="center" vertical="center"/>
    </xf>
    <xf numFmtId="0" fontId="20" fillId="0" borderId="0" xfId="0" applyFont="1" applyBorder="1" applyAlignment="1">
      <alignment vertical="center"/>
    </xf>
    <xf numFmtId="1" fontId="20" fillId="0" borderId="0" xfId="0" applyNumberFormat="1" applyFont="1" applyBorder="1" applyAlignment="1">
      <alignment horizontal="center" vertical="center"/>
    </xf>
    <xf numFmtId="1" fontId="20" fillId="0" borderId="17" xfId="0" applyNumberFormat="1" applyFont="1" applyBorder="1" applyAlignment="1">
      <alignment horizontal="center" vertical="center"/>
    </xf>
    <xf numFmtId="0" fontId="0" fillId="0" borderId="0" xfId="0" applyFont="1" applyBorder="1" applyAlignment="1">
      <alignment horizontal="center" vertical="center"/>
    </xf>
    <xf numFmtId="0" fontId="0" fillId="0" borderId="0" xfId="0" applyAlignment="1">
      <alignment horizontal="center" vertical="center"/>
    </xf>
    <xf numFmtId="0" fontId="0" fillId="0" borderId="0" xfId="0" applyBorder="1" applyAlignment="1">
      <alignment vertical="center"/>
    </xf>
    <xf numFmtId="1" fontId="0" fillId="0" borderId="0" xfId="0" applyNumberFormat="1" applyFont="1" applyBorder="1" applyAlignment="1">
      <alignment horizontal="center" vertical="center"/>
    </xf>
    <xf numFmtId="0" fontId="20" fillId="0" borderId="18" xfId="0" applyFont="1" applyBorder="1" applyAlignment="1">
      <alignment horizontal="center" vertical="center"/>
    </xf>
    <xf numFmtId="0" fontId="0" fillId="0" borderId="0" xfId="0" applyBorder="1" applyAlignment="1">
      <alignment horizontal="center" vertical="center"/>
    </xf>
    <xf numFmtId="1" fontId="20" fillId="0" borderId="18" xfId="0" applyNumberFormat="1" applyFont="1" applyBorder="1" applyAlignment="1">
      <alignment horizontal="center" vertical="center"/>
    </xf>
    <xf numFmtId="0" fontId="23" fillId="0" borderId="0" xfId="0" applyFont="1" applyFill="1" applyBorder="1" applyAlignment="1">
      <alignment horizontal="center" vertical="center"/>
    </xf>
    <xf numFmtId="0" fontId="23" fillId="0" borderId="17" xfId="0" applyFont="1" applyFill="1" applyBorder="1" applyAlignment="1">
      <alignment horizontal="center" vertical="center"/>
    </xf>
    <xf numFmtId="0" fontId="24" fillId="0" borderId="0" xfId="0" applyFont="1" applyFill="1" applyBorder="1" applyAlignment="1">
      <alignment horizontal="center" vertical="center"/>
    </xf>
    <xf numFmtId="0" fontId="23" fillId="0" borderId="18" xfId="0" applyFont="1" applyFill="1" applyBorder="1" applyAlignment="1">
      <alignment horizontal="center" vertical="center"/>
    </xf>
    <xf numFmtId="0" fontId="23" fillId="0" borderId="19" xfId="0" applyFont="1" applyFill="1" applyBorder="1" applyAlignment="1">
      <alignment horizontal="center" vertical="center"/>
    </xf>
    <xf numFmtId="1" fontId="20" fillId="0" borderId="0" xfId="0" applyNumberFormat="1" applyFont="1" applyAlignment="1">
      <alignment horizontal="center" vertical="center"/>
    </xf>
    <xf numFmtId="1" fontId="0" fillId="0" borderId="19" xfId="0" applyNumberFormat="1" applyFont="1" applyBorder="1" applyAlignment="1">
      <alignment horizontal="center" vertical="center"/>
    </xf>
    <xf numFmtId="1" fontId="0" fillId="0" borderId="0" xfId="0" applyNumberFormat="1" applyAlignment="1">
      <alignment horizontal="center" vertical="center"/>
    </xf>
    <xf numFmtId="1" fontId="20" fillId="0" borderId="19" xfId="0" applyNumberFormat="1" applyFont="1" applyBorder="1" applyAlignment="1">
      <alignment horizontal="center" vertical="center"/>
    </xf>
    <xf numFmtId="0" fontId="25" fillId="0" borderId="0" xfId="0" applyFont="1" applyFill="1" applyProtection="1">
      <protection hidden="1"/>
    </xf>
    <xf numFmtId="0" fontId="25" fillId="0" borderId="0" xfId="0" applyFont="1" applyFill="1" applyBorder="1" applyAlignment="1" applyProtection="1">
      <protection hidden="1"/>
    </xf>
    <xf numFmtId="49" fontId="3" fillId="2" borderId="18" xfId="0" applyNumberFormat="1" applyFont="1" applyFill="1" applyBorder="1" applyAlignment="1">
      <alignment horizontal="center" vertical="center" wrapText="1"/>
    </xf>
    <xf numFmtId="49" fontId="3" fillId="2" borderId="18" xfId="0" applyNumberFormat="1" applyFont="1" applyFill="1" applyBorder="1" applyAlignment="1">
      <alignment horizontal="center" vertical="center" wrapText="1"/>
    </xf>
    <xf numFmtId="49" fontId="3" fillId="2" borderId="20" xfId="0" applyNumberFormat="1" applyFont="1" applyFill="1" applyBorder="1" applyAlignment="1">
      <alignment horizontal="center" vertical="center" wrapText="1"/>
    </xf>
    <xf numFmtId="0" fontId="21" fillId="0" borderId="0" xfId="0" applyFont="1"/>
    <xf numFmtId="0" fontId="21" fillId="0" borderId="0" xfId="0" applyFont="1" applyFill="1" applyBorder="1" applyAlignment="1">
      <alignment vertical="center"/>
    </xf>
    <xf numFmtId="49" fontId="0" fillId="0" borderId="0" xfId="0" applyNumberFormat="1" applyFont="1" applyFill="1" applyAlignment="1">
      <alignment horizontal="left"/>
    </xf>
    <xf numFmtId="49" fontId="0" fillId="0" borderId="0" xfId="0" applyNumberFormat="1" applyFill="1" applyAlignment="1">
      <alignment horizontal="left"/>
    </xf>
    <xf numFmtId="14" fontId="0" fillId="0" borderId="0" xfId="0" applyNumberFormat="1" applyFill="1" applyAlignment="1">
      <alignment horizontal="left"/>
    </xf>
    <xf numFmtId="0" fontId="0" fillId="0" borderId="0" xfId="0" applyNumberFormat="1" applyFill="1" applyAlignment="1">
      <alignment horizontal="center"/>
    </xf>
    <xf numFmtId="14" fontId="0" fillId="0" borderId="0" xfId="0" applyNumberFormat="1" applyFill="1" applyAlignment="1">
      <alignment horizontal="center"/>
    </xf>
    <xf numFmtId="0" fontId="0" fillId="0" borderId="0" xfId="0" quotePrefix="1" applyNumberFormat="1" applyFill="1" applyAlignment="1">
      <alignment horizontal="center"/>
    </xf>
    <xf numFmtId="49" fontId="3" fillId="2" borderId="18" xfId="0" applyNumberFormat="1" applyFont="1" applyFill="1" applyBorder="1" applyAlignment="1">
      <alignment horizontal="center" vertical="center" wrapText="1"/>
    </xf>
    <xf numFmtId="0" fontId="0" fillId="5" borderId="0" xfId="0" applyFill="1" applyBorder="1" applyAlignment="1">
      <alignment horizontal="left"/>
    </xf>
    <xf numFmtId="0" fontId="0" fillId="0" borderId="0" xfId="0" applyFill="1"/>
    <xf numFmtId="0" fontId="0" fillId="0" borderId="0" xfId="0" applyFill="1" applyAlignment="1">
      <alignment vertical="top" wrapText="1"/>
    </xf>
    <xf numFmtId="49" fontId="3" fillId="2" borderId="18" xfId="0" applyNumberFormat="1" applyFont="1" applyFill="1" applyBorder="1" applyAlignment="1">
      <alignment horizontal="center" vertical="center" wrapText="1"/>
    </xf>
    <xf numFmtId="0" fontId="20" fillId="5" borderId="21" xfId="0" applyFont="1" applyFill="1" applyBorder="1"/>
    <xf numFmtId="0" fontId="0" fillId="5" borderId="20" xfId="0" applyFill="1" applyBorder="1"/>
    <xf numFmtId="0" fontId="0" fillId="5" borderId="0" xfId="0" applyFill="1" applyAlignment="1">
      <alignment vertical="center"/>
    </xf>
    <xf numFmtId="0" fontId="0" fillId="0" borderId="0" xfId="0" applyNumberFormat="1" applyFont="1" applyAlignment="1">
      <alignment horizontal="left"/>
    </xf>
    <xf numFmtId="1" fontId="0" fillId="0" borderId="0" xfId="0" applyNumberFormat="1" applyFill="1" applyAlignment="1">
      <alignment horizontal="left"/>
    </xf>
    <xf numFmtId="164" fontId="0" fillId="0" borderId="0" xfId="0" applyNumberFormat="1" applyFill="1" applyAlignment="1">
      <alignment horizontal="left"/>
    </xf>
    <xf numFmtId="49" fontId="0" fillId="0" borderId="0" xfId="0" applyNumberFormat="1" applyAlignment="1">
      <alignment horizontal="center"/>
    </xf>
    <xf numFmtId="0" fontId="0" fillId="0" borderId="0" xfId="0" applyAlignment="1">
      <alignment horizontal="center"/>
    </xf>
    <xf numFmtId="49" fontId="0" fillId="0" borderId="0" xfId="0" applyNumberFormat="1" applyFont="1" applyAlignment="1">
      <alignment horizontal="center"/>
    </xf>
    <xf numFmtId="49" fontId="16" fillId="0" borderId="0" xfId="0" applyNumberFormat="1" applyFont="1" applyAlignment="1">
      <alignment horizontal="center"/>
    </xf>
    <xf numFmtId="0" fontId="15" fillId="0" borderId="0" xfId="0" applyFont="1" applyAlignment="1">
      <alignment horizontal="center"/>
    </xf>
    <xf numFmtId="49" fontId="0" fillId="0" borderId="0" xfId="0" applyNumberFormat="1" applyFont="1" applyFill="1" applyAlignment="1">
      <alignment horizontal="center"/>
    </xf>
    <xf numFmtId="0" fontId="0" fillId="0" borderId="0" xfId="0" applyNumberFormat="1" applyFont="1" applyAlignment="1">
      <alignment horizontal="center"/>
    </xf>
    <xf numFmtId="1" fontId="0" fillId="0" borderId="0" xfId="0" applyNumberFormat="1" applyAlignment="1">
      <alignment horizontal="left"/>
    </xf>
    <xf numFmtId="1" fontId="0" fillId="0" borderId="0" xfId="0" applyNumberFormat="1" applyFill="1" applyAlignment="1">
      <alignment horizontal="center"/>
    </xf>
    <xf numFmtId="1" fontId="0" fillId="0" borderId="0" xfId="0" applyNumberFormat="1" applyAlignment="1">
      <alignment horizontal="center"/>
    </xf>
    <xf numFmtId="0" fontId="0" fillId="0" borderId="0" xfId="0" applyNumberFormat="1" applyAlignment="1">
      <alignment horizontal="left"/>
    </xf>
    <xf numFmtId="0" fontId="5" fillId="0" borderId="0" xfId="1" applyNumberFormat="1" applyFill="1" applyAlignment="1" applyProtection="1">
      <alignment horizontal="left"/>
    </xf>
    <xf numFmtId="164" fontId="0" fillId="0" borderId="0" xfId="0" applyNumberFormat="1" applyAlignment="1">
      <alignment horizontal="left"/>
    </xf>
    <xf numFmtId="164" fontId="0" fillId="0" borderId="0" xfId="0" applyNumberFormat="1" applyFill="1" applyAlignment="1">
      <alignment horizontal="center"/>
    </xf>
    <xf numFmtId="164" fontId="0" fillId="0" borderId="0" xfId="0" applyNumberFormat="1" applyAlignment="1">
      <alignment horizontal="center"/>
    </xf>
    <xf numFmtId="49" fontId="11" fillId="0" borderId="15" xfId="3" quotePrefix="1" applyNumberFormat="1" applyFont="1" applyFill="1" applyBorder="1" applyAlignment="1" applyProtection="1">
      <alignment vertical="center" wrapText="1"/>
      <protection locked="0" hidden="1"/>
    </xf>
    <xf numFmtId="0" fontId="11" fillId="0" borderId="15" xfId="3" applyFont="1" applyFill="1" applyBorder="1" applyAlignment="1" applyProtection="1">
      <alignment vertical="center" wrapText="1"/>
      <protection locked="0" hidden="1"/>
    </xf>
    <xf numFmtId="1" fontId="0" fillId="0" borderId="0" xfId="0" applyNumberFormat="1" applyFont="1" applyAlignment="1">
      <alignment horizontal="left"/>
    </xf>
    <xf numFmtId="1" fontId="0" fillId="0" borderId="0" xfId="0" applyNumberFormat="1" applyFont="1" applyFill="1" applyAlignment="1">
      <alignment horizontal="left"/>
    </xf>
    <xf numFmtId="0" fontId="10" fillId="7" borderId="15" xfId="3" applyFont="1" applyFill="1" applyBorder="1" applyAlignment="1" applyProtection="1">
      <alignment horizontal="left" vertical="center" wrapText="1"/>
      <protection locked="0" hidden="1"/>
    </xf>
    <xf numFmtId="0" fontId="4" fillId="0" borderId="4" xfId="0" applyFont="1" applyFill="1" applyBorder="1" applyAlignment="1">
      <alignment horizontal="left" vertical="center" wrapText="1"/>
    </xf>
    <xf numFmtId="0" fontId="4" fillId="0" borderId="5" xfId="0" applyFont="1" applyFill="1" applyBorder="1" applyAlignment="1">
      <alignment horizontal="left" vertical="center" wrapText="1"/>
    </xf>
    <xf numFmtId="0" fontId="31" fillId="9" borderId="21" xfId="1" applyFont="1" applyFill="1" applyBorder="1" applyAlignment="1" applyProtection="1">
      <alignment horizontal="left" vertical="center"/>
    </xf>
    <xf numFmtId="0" fontId="31" fillId="9" borderId="20" xfId="1" applyFont="1" applyFill="1" applyBorder="1" applyAlignment="1" applyProtection="1">
      <alignment horizontal="left" vertical="center"/>
    </xf>
    <xf numFmtId="0" fontId="0" fillId="0" borderId="4" xfId="0" applyFont="1" applyFill="1" applyBorder="1" applyAlignment="1">
      <alignment horizontal="left" vertical="top" wrapText="1"/>
    </xf>
    <xf numFmtId="0" fontId="0" fillId="0" borderId="5" xfId="0" applyFont="1" applyFill="1" applyBorder="1" applyAlignment="1">
      <alignment horizontal="left" vertical="top" wrapText="1"/>
    </xf>
    <xf numFmtId="0" fontId="0" fillId="0" borderId="6" xfId="0" applyFont="1" applyFill="1" applyBorder="1" applyAlignment="1">
      <alignment horizontal="left" vertical="top" wrapText="1"/>
    </xf>
    <xf numFmtId="0" fontId="0" fillId="0" borderId="7" xfId="0" applyFont="1" applyFill="1" applyBorder="1" applyAlignment="1">
      <alignment horizontal="left" vertical="top" wrapText="1"/>
    </xf>
    <xf numFmtId="0" fontId="0" fillId="5" borderId="21" xfId="0" applyFont="1" applyFill="1" applyBorder="1" applyAlignment="1">
      <alignment horizontal="left" vertical="center" wrapText="1"/>
    </xf>
    <xf numFmtId="0" fontId="0" fillId="5" borderId="20" xfId="0" applyFont="1" applyFill="1" applyBorder="1" applyAlignment="1">
      <alignment horizontal="left" vertical="center"/>
    </xf>
    <xf numFmtId="0" fontId="30" fillId="8" borderId="21" xfId="1" applyFont="1" applyFill="1" applyBorder="1" applyAlignment="1" applyProtection="1">
      <alignment horizontal="left" vertical="center"/>
    </xf>
    <xf numFmtId="0" fontId="30" fillId="8" borderId="20" xfId="1" applyFont="1" applyFill="1" applyBorder="1" applyAlignment="1" applyProtection="1">
      <alignment horizontal="left" vertical="center"/>
    </xf>
    <xf numFmtId="0" fontId="0" fillId="5" borderId="21" xfId="0" applyFont="1" applyFill="1" applyBorder="1" applyAlignment="1">
      <alignment horizontal="left" vertical="top" wrapText="1"/>
    </xf>
    <xf numFmtId="0" fontId="0" fillId="5" borderId="20" xfId="0" applyFont="1" applyFill="1" applyBorder="1" applyAlignment="1">
      <alignment horizontal="left" vertical="top" wrapText="1"/>
    </xf>
    <xf numFmtId="0" fontId="0" fillId="0" borderId="4" xfId="0" applyFont="1" applyFill="1" applyBorder="1" applyAlignment="1">
      <alignment horizontal="left" vertical="center" wrapText="1"/>
    </xf>
    <xf numFmtId="0" fontId="0" fillId="0" borderId="5" xfId="0" applyFont="1" applyFill="1" applyBorder="1" applyAlignment="1">
      <alignment horizontal="left" vertical="center" wrapText="1"/>
    </xf>
    <xf numFmtId="0" fontId="19" fillId="8" borderId="21" xfId="1" applyFont="1" applyFill="1" applyBorder="1" applyAlignment="1" applyProtection="1">
      <alignment horizontal="left" vertical="center"/>
    </xf>
    <xf numFmtId="0" fontId="19" fillId="8" borderId="20" xfId="1" applyFont="1" applyFill="1" applyBorder="1" applyAlignment="1" applyProtection="1">
      <alignment horizontal="left" vertical="center"/>
    </xf>
    <xf numFmtId="0" fontId="3" fillId="9" borderId="2" xfId="1" applyFont="1" applyFill="1" applyBorder="1" applyAlignment="1" applyProtection="1">
      <alignment horizontal="left" vertical="center"/>
    </xf>
    <xf numFmtId="0" fontId="3" fillId="9" borderId="3" xfId="1" applyFont="1" applyFill="1" applyBorder="1" applyAlignment="1" applyProtection="1">
      <alignment horizontal="left" vertical="center"/>
    </xf>
    <xf numFmtId="0" fontId="20" fillId="5" borderId="2" xfId="0" applyFont="1" applyFill="1" applyBorder="1" applyAlignment="1">
      <alignment horizontal="left" vertical="center"/>
    </xf>
    <xf numFmtId="0" fontId="20" fillId="5" borderId="3" xfId="0" applyFont="1" applyFill="1" applyBorder="1" applyAlignment="1">
      <alignment horizontal="left" vertical="center"/>
    </xf>
    <xf numFmtId="0" fontId="0" fillId="5" borderId="0" xfId="0" applyFill="1" applyAlignment="1">
      <alignment horizontal="left" vertical="top" wrapText="1"/>
    </xf>
    <xf numFmtId="0" fontId="5" fillId="0" borderId="4" xfId="1" applyFill="1" applyBorder="1" applyAlignment="1" applyProtection="1">
      <alignment horizontal="left" vertical="center" wrapText="1"/>
    </xf>
    <xf numFmtId="0" fontId="5" fillId="0" borderId="5" xfId="1" applyFill="1" applyBorder="1" applyAlignment="1" applyProtection="1">
      <alignment horizontal="left" vertical="center" wrapText="1"/>
    </xf>
    <xf numFmtId="0" fontId="0" fillId="5" borderId="4" xfId="0" applyFill="1" applyBorder="1" applyAlignment="1">
      <alignment horizontal="left"/>
    </xf>
    <xf numFmtId="0" fontId="0" fillId="5" borderId="5" xfId="0" applyFill="1" applyBorder="1" applyAlignment="1">
      <alignment horizontal="left"/>
    </xf>
    <xf numFmtId="0" fontId="4" fillId="5" borderId="4" xfId="0" applyFont="1" applyFill="1" applyBorder="1" applyAlignment="1">
      <alignment vertical="top" wrapText="1"/>
    </xf>
    <xf numFmtId="0" fontId="4" fillId="5" borderId="5" xfId="0" applyFont="1" applyFill="1" applyBorder="1" applyAlignment="1">
      <alignment vertical="top" wrapText="1"/>
    </xf>
    <xf numFmtId="0" fontId="20" fillId="5" borderId="21" xfId="0" applyFont="1" applyFill="1" applyBorder="1" applyAlignment="1">
      <alignment horizontal="left" vertical="center"/>
    </xf>
    <xf numFmtId="0" fontId="20" fillId="5" borderId="20" xfId="0" applyFont="1" applyFill="1" applyBorder="1" applyAlignment="1">
      <alignment horizontal="left" vertical="center"/>
    </xf>
    <xf numFmtId="0" fontId="0" fillId="0" borderId="2" xfId="0" applyFont="1" applyFill="1" applyBorder="1" applyAlignment="1">
      <alignment horizontal="left" vertical="center" wrapText="1"/>
    </xf>
    <xf numFmtId="0" fontId="0" fillId="0" borderId="3" xfId="0" applyFill="1" applyBorder="1" applyAlignment="1">
      <alignment horizontal="left" vertical="center" wrapText="1"/>
    </xf>
    <xf numFmtId="0" fontId="4" fillId="5" borderId="6" xfId="0" applyFont="1" applyFill="1" applyBorder="1" applyAlignment="1">
      <alignment vertical="top" wrapText="1"/>
    </xf>
    <xf numFmtId="0" fontId="4" fillId="5" borderId="7" xfId="0" applyFont="1" applyFill="1" applyBorder="1" applyAlignment="1">
      <alignment vertical="top" wrapText="1"/>
    </xf>
    <xf numFmtId="0" fontId="4" fillId="5" borderId="2" xfId="0" applyFont="1" applyFill="1" applyBorder="1" applyAlignment="1">
      <alignment vertical="center" wrapText="1"/>
    </xf>
    <xf numFmtId="0" fontId="4" fillId="5" borderId="3" xfId="0" applyFont="1" applyFill="1" applyBorder="1" applyAlignment="1">
      <alignment vertical="center" wrapText="1"/>
    </xf>
    <xf numFmtId="0" fontId="4" fillId="0" borderId="6" xfId="0" applyFont="1" applyFill="1" applyBorder="1" applyAlignment="1">
      <alignment vertical="top" wrapText="1"/>
    </xf>
    <xf numFmtId="0" fontId="4" fillId="0" borderId="7" xfId="0" applyFont="1" applyFill="1" applyBorder="1" applyAlignment="1">
      <alignment vertical="top" wrapText="1"/>
    </xf>
    <xf numFmtId="0" fontId="3" fillId="5" borderId="0" xfId="0" applyFont="1" applyFill="1" applyBorder="1" applyAlignment="1">
      <alignment vertical="top" wrapText="1"/>
    </xf>
    <xf numFmtId="49" fontId="3" fillId="2" borderId="17" xfId="0" applyNumberFormat="1" applyFont="1" applyFill="1" applyBorder="1" applyAlignment="1">
      <alignment horizontal="left" vertical="center" wrapText="1"/>
    </xf>
    <xf numFmtId="49" fontId="3" fillId="2" borderId="0" xfId="0" applyNumberFormat="1" applyFont="1" applyFill="1" applyBorder="1" applyAlignment="1">
      <alignment horizontal="left" vertical="center" wrapText="1"/>
    </xf>
    <xf numFmtId="49" fontId="3" fillId="2" borderId="19" xfId="0" applyNumberFormat="1" applyFont="1" applyFill="1" applyBorder="1" applyAlignment="1">
      <alignment horizontal="left" vertical="center" wrapText="1"/>
    </xf>
    <xf numFmtId="49" fontId="3" fillId="2" borderId="17" xfId="0" applyNumberFormat="1" applyFont="1" applyFill="1" applyBorder="1" applyAlignment="1">
      <alignment horizontal="center" vertical="center" wrapText="1"/>
    </xf>
    <xf numFmtId="49" fontId="3" fillId="2" borderId="0" xfId="0" applyNumberFormat="1" applyFont="1" applyFill="1" applyBorder="1" applyAlignment="1">
      <alignment horizontal="center" vertical="center" wrapText="1"/>
    </xf>
    <xf numFmtId="49" fontId="3" fillId="2" borderId="19" xfId="0" applyNumberFormat="1" applyFont="1" applyFill="1" applyBorder="1" applyAlignment="1">
      <alignment horizontal="center" vertical="center" wrapText="1"/>
    </xf>
    <xf numFmtId="49" fontId="3" fillId="2" borderId="18" xfId="0" applyNumberFormat="1" applyFont="1" applyFill="1" applyBorder="1" applyAlignment="1">
      <alignment horizontal="center" vertical="center" wrapText="1"/>
    </xf>
  </cellXfs>
  <cellStyles count="14">
    <cellStyle name="Comma 2" xfId="4"/>
    <cellStyle name="Hyperlink" xfId="1" builtinId="8"/>
    <cellStyle name="Hyperlink 2" xfId="5"/>
    <cellStyle name="Normal" xfId="0" builtinId="0"/>
    <cellStyle name="Normal 2" xfId="3"/>
    <cellStyle name="Normal 2 2" xfId="6"/>
    <cellStyle name="Normal 3" xfId="7"/>
    <cellStyle name="Normal 4" xfId="8"/>
    <cellStyle name="Normal 5" xfId="9"/>
    <cellStyle name="Normal 6" xfId="10"/>
    <cellStyle name="Note 2" xfId="11"/>
    <cellStyle name="Percent 2" xfId="12"/>
    <cellStyle name="Percent 3" xfId="13"/>
    <cellStyle name="Tracking" xfId="2"/>
  </cellStyles>
  <dxfs count="0"/>
  <tableStyles count="0" defaultTableStyle="TableStyleMedium2" defaultPivotStyle="PivotStyleLight16"/>
  <colors>
    <mruColors>
      <color rgb="FF00B0F0"/>
      <color rgb="FF548DD5"/>
      <color rgb="FFFF3300"/>
      <color rgb="FFA50021"/>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externalLink" Target="externalLinks/externalLink9.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pivotCacheDefinition" Target="pivotCache/pivotCacheDefinition2.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onnetapp01\ACOD%20WORKPLACE%20EXCEPTIONS\BUD\BT%2030.11.1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bfilevs06\ACOD%20WORKPLACE%20EXCEPTIONS\Converter%20and%20Fast%20Track%20Sponsored\Converters%20Tracker%20Latest.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media.education.gov.uk/acod%20workplace%20exceptions/Converter%20and%20Fast%20Track%20Sponsored/Converters%20Tracker%20Latest.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bfilevs06\ACOD%20WORKPLACE%20EXCEPTIONS\BUD\BUD%20Tracker%20Lates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onthly%20data\2013%2001\Publication%20list%20for%20Converter%20Academies%20January%202013%20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53980/Childrens_social_care_data_in_England_2015_charts_tables_and_underlying_dat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80696/Maintained_schools_and_academies_inspections_and_outcomes_September_2014_to_August_2015_Charts_and_tabl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528207/Maintained_schools_and_academies_inspection_outcomes_as_at_31_December_2015_Charts_and_tables_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AIFP1HQ\team$\$Standards-NEW\Routine%20Work\Publication%20of%20Data\Inspection%20Outcome%20Statistics%20Publication\NEW%20output\IOMSS_InspectionOutcomesMonthlyStatsSeries_1501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Official%20Statistics/December%202016/Further_education_and_skills_inspections_and_outcomes_as_at_31_August_2016_data_tables_and_charts%20(Final).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Hsouth\AppData\Local\Microsoft\Windows\Temporary%20Internet%20Files\Content.Outlook\SL57FGME\BUD%20Tracker%203008201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Converter Applications with AOs"/>
      <sheetName val="Fast Track Sponsored with AOs"/>
      <sheetName val="Weekly Dashboard"/>
      <sheetName val="Monthly Dashboard"/>
      <sheetName val="AIMS Data"/>
      <sheetName val="Edubase"/>
      <sheetName val="DCS Master List"/>
      <sheetName val="Lists"/>
      <sheetName val="Changes Log"/>
    </sheetNames>
    <sheetDataSet>
      <sheetData sheetId="0"/>
      <sheetData sheetId="1">
        <row r="1">
          <cell r="A1" t="str">
            <v>LEA/ESTAB</v>
          </cell>
          <cell r="L1" t="str">
            <v>Conversion Date (Please ONLY select from the drop-down list)</v>
          </cell>
          <cell r="V1" t="str">
            <v>PFI (Yes/No)</v>
          </cell>
          <cell r="AR1" t="str">
            <v>Category 1</v>
          </cell>
          <cell r="AS1" t="str">
            <v>Category 2</v>
          </cell>
          <cell r="AT1" t="str">
            <v>Category 3</v>
          </cell>
          <cell r="AU1" t="str">
            <v>Pensions/LGPS (G1)</v>
          </cell>
          <cell r="AV1" t="str">
            <v>Pensions/LGPS (G2)</v>
          </cell>
          <cell r="AW1" t="str">
            <v>Pensions/LGPS (G3)</v>
          </cell>
          <cell r="AX1" t="str">
            <v>TuPE (G1)</v>
          </cell>
          <cell r="AY1" t="str">
            <v>TuPE (G2)</v>
          </cell>
          <cell r="AZ1" t="str">
            <v>TuPE (G3)</v>
          </cell>
          <cell r="BA1" t="str">
            <v>Union (G1)</v>
          </cell>
          <cell r="BB1" t="str">
            <v>Union (G2)</v>
          </cell>
          <cell r="BC1" t="str">
            <v>Union (G3)</v>
          </cell>
          <cell r="BD1" t="str">
            <v>Diocese (G1)</v>
          </cell>
          <cell r="BE1" t="str">
            <v>Diocese (G2)</v>
          </cell>
          <cell r="BF1" t="str">
            <v>Diocese (G3)</v>
          </cell>
          <cell r="BG1" t="str">
            <v>BSF (G1)</v>
          </cell>
          <cell r="BH1" t="str">
            <v>BSF (G2)</v>
          </cell>
          <cell r="BI1" t="str">
            <v>BSF (G3)</v>
          </cell>
          <cell r="BJ1" t="str">
            <v>CTAs (G1)</v>
          </cell>
          <cell r="BK1" t="str">
            <v>CTAs (G2)</v>
          </cell>
          <cell r="BL1" t="str">
            <v>CTAs (G3)</v>
          </cell>
          <cell r="BM1" t="str">
            <v>PFI (G1)</v>
          </cell>
          <cell r="BN1" t="str">
            <v>PFI (G2)</v>
          </cell>
          <cell r="BO1" t="str">
            <v>PFI (G3)</v>
          </cell>
          <cell r="BP1" t="str">
            <v>Funding (G1)</v>
          </cell>
          <cell r="BQ1" t="str">
            <v>Funding (G2)</v>
          </cell>
          <cell r="BR1" t="str">
            <v>Funding (G3)</v>
          </cell>
          <cell r="BS1" t="str">
            <v>Governance (G1)</v>
          </cell>
          <cell r="BT1" t="str">
            <v>Governance (G2)</v>
          </cell>
          <cell r="BU1" t="str">
            <v>Governance (G3)</v>
          </cell>
          <cell r="BV1" t="str">
            <v>Internal LA issues (G1)</v>
          </cell>
          <cell r="BW1" t="str">
            <v>Internal LA issues (G2)</v>
          </cell>
          <cell r="BX1" t="str">
            <v>Internal LA issues (G3)</v>
          </cell>
          <cell r="BY1" t="str">
            <v>Land (G1)</v>
          </cell>
          <cell r="BZ1" t="str">
            <v>Land (G2)</v>
          </cell>
          <cell r="CA1" t="str">
            <v>Land (G3)</v>
          </cell>
          <cell r="CB1" t="str">
            <v>Media (G1)</v>
          </cell>
          <cell r="CC1" t="str">
            <v>Media (G2)</v>
          </cell>
          <cell r="CD1" t="str">
            <v>Media (G3)</v>
          </cell>
          <cell r="CE1" t="str">
            <v>Sponsor/MAT (G1)</v>
          </cell>
          <cell r="CF1" t="str">
            <v>Sponsor/MAT (G2)</v>
          </cell>
          <cell r="CG1" t="str">
            <v>Sponsor/MAT (G3)</v>
          </cell>
          <cell r="CI1" t="str">
            <v>Pensions/LGPS (G1)</v>
          </cell>
          <cell r="CJ1" t="str">
            <v>Pensions/LGPS (G2)</v>
          </cell>
          <cell r="CK1" t="str">
            <v>Pensions/LGPS (G3)</v>
          </cell>
          <cell r="CL1" t="str">
            <v>TuPE (G1)</v>
          </cell>
          <cell r="CM1" t="str">
            <v>TuPE (G2)</v>
          </cell>
          <cell r="CN1" t="str">
            <v>TuPE (G3)</v>
          </cell>
          <cell r="CO1" t="str">
            <v>Union (G1)</v>
          </cell>
          <cell r="CP1" t="str">
            <v>Union (G2)</v>
          </cell>
          <cell r="CQ1" t="str">
            <v>Union (G3)</v>
          </cell>
          <cell r="CR1" t="str">
            <v>Diocese (G1)</v>
          </cell>
          <cell r="CS1" t="str">
            <v>Diocese (G2)</v>
          </cell>
          <cell r="CT1" t="str">
            <v>Diocese (G3)</v>
          </cell>
          <cell r="CU1" t="str">
            <v>BSF (G1)</v>
          </cell>
          <cell r="CV1" t="str">
            <v>BSF (G2)</v>
          </cell>
          <cell r="CW1" t="str">
            <v>BSF (G3)</v>
          </cell>
          <cell r="CX1" t="str">
            <v>CTAs (G1)</v>
          </cell>
          <cell r="CY1" t="str">
            <v>CTAs (G2)</v>
          </cell>
          <cell r="CZ1" t="str">
            <v>CTAs (G3)</v>
          </cell>
          <cell r="DA1" t="str">
            <v>PFI (G1)</v>
          </cell>
          <cell r="DB1" t="str">
            <v>PFI (G2)</v>
          </cell>
          <cell r="DC1" t="str">
            <v>PFI (G3)</v>
          </cell>
          <cell r="DD1" t="str">
            <v>Funding (G1)</v>
          </cell>
          <cell r="DE1" t="str">
            <v>Funding (G2)</v>
          </cell>
          <cell r="DF1" t="str">
            <v>Funding (G3)</v>
          </cell>
          <cell r="DG1" t="str">
            <v>Governance (G1)</v>
          </cell>
          <cell r="DH1" t="str">
            <v>Governance (G2)</v>
          </cell>
          <cell r="DI1" t="str">
            <v>Governance (G3)</v>
          </cell>
          <cell r="DJ1" t="str">
            <v>Internal LA issues (G1)</v>
          </cell>
          <cell r="DK1" t="str">
            <v>Internal LA issues (G2)</v>
          </cell>
          <cell r="DL1" t="str">
            <v>Internal LA issues (G3)</v>
          </cell>
          <cell r="DM1" t="str">
            <v>Land (G1)</v>
          </cell>
          <cell r="DN1" t="str">
            <v>Land (G2)</v>
          </cell>
          <cell r="DO1" t="str">
            <v>Land (G3)</v>
          </cell>
          <cell r="DP1" t="str">
            <v>Media (G1)</v>
          </cell>
          <cell r="DQ1" t="str">
            <v>Media (G2)</v>
          </cell>
          <cell r="DR1" t="str">
            <v>Media (G3)</v>
          </cell>
          <cell r="DS1" t="str">
            <v>Sponsor/MAT (G1)</v>
          </cell>
          <cell r="DT1" t="str">
            <v>Sponsor/MAT (G2)</v>
          </cell>
          <cell r="DU1" t="str">
            <v>Sponsor/MAT (G3)</v>
          </cell>
          <cell r="DV1" t="str">
            <v>Other' (G1)</v>
          </cell>
          <cell r="DW1" t="str">
            <v>Other' (G2)</v>
          </cell>
          <cell r="DX1" t="str">
            <v>Other' (G3)</v>
          </cell>
          <cell r="EA1" t="str">
            <v>On hold</v>
          </cell>
          <cell r="EB1" t="str">
            <v>Undecided</v>
          </cell>
          <cell r="EC1" t="str">
            <v>Withdrawn</v>
          </cell>
          <cell r="ED1">
            <v>41183</v>
          </cell>
          <cell r="EE1">
            <v>41214</v>
          </cell>
          <cell r="EF1">
            <v>41244</v>
          </cell>
          <cell r="EG1">
            <v>41275</v>
          </cell>
          <cell r="EH1">
            <v>41306</v>
          </cell>
          <cell r="EI1">
            <v>41334</v>
          </cell>
          <cell r="EJ1">
            <v>41365</v>
          </cell>
          <cell r="EK1">
            <v>41395</v>
          </cell>
          <cell r="EL1">
            <v>41426</v>
          </cell>
          <cell r="EM1">
            <v>41456</v>
          </cell>
          <cell r="EN1">
            <v>41487</v>
          </cell>
          <cell r="EO1">
            <v>41518</v>
          </cell>
          <cell r="EP1">
            <v>41548</v>
          </cell>
          <cell r="EQ1">
            <v>41579</v>
          </cell>
          <cell r="ER1">
            <v>41609</v>
          </cell>
          <cell r="ES1">
            <v>41640</v>
          </cell>
          <cell r="ET1" t="str">
            <v>Chain</v>
          </cell>
          <cell r="EU1" t="str">
            <v>Federation</v>
          </cell>
          <cell r="EV1" t="str">
            <v>Federation and Chain</v>
          </cell>
          <cell r="EW1" t="str">
            <v>Collaborative</v>
          </cell>
          <cell r="EX1" t="str">
            <v>UT</v>
          </cell>
          <cell r="EY1" t="str">
            <v>MAT</v>
          </cell>
        </row>
        <row r="2">
          <cell r="A2">
            <v>8833822</v>
          </cell>
        </row>
        <row r="3">
          <cell r="A3">
            <v>3302020</v>
          </cell>
        </row>
        <row r="4">
          <cell r="A4">
            <v>9372639</v>
          </cell>
        </row>
        <row r="5">
          <cell r="A5">
            <v>3365402</v>
          </cell>
        </row>
        <row r="6">
          <cell r="A6">
            <v>3334025</v>
          </cell>
        </row>
        <row r="7">
          <cell r="A7">
            <v>8954801</v>
          </cell>
        </row>
        <row r="8">
          <cell r="A8">
            <v>8084001</v>
          </cell>
        </row>
        <row r="9">
          <cell r="A9">
            <v>8233306</v>
          </cell>
        </row>
        <row r="10">
          <cell r="A10">
            <v>3543014</v>
          </cell>
        </row>
        <row r="11">
          <cell r="A11">
            <v>8604112</v>
          </cell>
        </row>
        <row r="12">
          <cell r="A12">
            <v>9294328</v>
          </cell>
        </row>
        <row r="13">
          <cell r="A13">
            <v>9292015</v>
          </cell>
        </row>
        <row r="14">
          <cell r="A14">
            <v>9294401</v>
          </cell>
        </row>
        <row r="15">
          <cell r="A15">
            <v>3302472</v>
          </cell>
        </row>
        <row r="16">
          <cell r="A16">
            <v>8101103</v>
          </cell>
        </row>
        <row r="17">
          <cell r="A17">
            <v>9373007</v>
          </cell>
        </row>
        <row r="18">
          <cell r="A18">
            <v>3192003</v>
          </cell>
        </row>
        <row r="19">
          <cell r="A19">
            <v>3701101</v>
          </cell>
        </row>
        <row r="20">
          <cell r="A20">
            <v>8847003</v>
          </cell>
        </row>
        <row r="21">
          <cell r="A21">
            <v>3804064</v>
          </cell>
        </row>
        <row r="22">
          <cell r="A22">
            <v>8503023</v>
          </cell>
        </row>
        <row r="23">
          <cell r="A23">
            <v>9167015</v>
          </cell>
        </row>
        <row r="24">
          <cell r="A24">
            <v>8102861</v>
          </cell>
        </row>
        <row r="25">
          <cell r="A25">
            <v>8614046</v>
          </cell>
        </row>
        <row r="26">
          <cell r="A26">
            <v>3822060</v>
          </cell>
        </row>
        <row r="27">
          <cell r="A27">
            <v>8524278</v>
          </cell>
        </row>
        <row r="28">
          <cell r="A28">
            <v>9163021</v>
          </cell>
        </row>
        <row r="29">
          <cell r="A29">
            <v>9254022</v>
          </cell>
        </row>
        <row r="30">
          <cell r="A30">
            <v>3304238</v>
          </cell>
        </row>
        <row r="31">
          <cell r="A31">
            <v>9162046</v>
          </cell>
        </row>
        <row r="32">
          <cell r="A32">
            <v>3114042</v>
          </cell>
        </row>
        <row r="33">
          <cell r="A33">
            <v>9252122</v>
          </cell>
        </row>
        <row r="34">
          <cell r="A34">
            <v>2107064</v>
          </cell>
        </row>
        <row r="35">
          <cell r="A35">
            <v>3072185</v>
          </cell>
        </row>
        <row r="36">
          <cell r="A36">
            <v>8234046</v>
          </cell>
        </row>
        <row r="37">
          <cell r="A37">
            <v>8934500</v>
          </cell>
        </row>
        <row r="38">
          <cell r="A38">
            <v>8253023</v>
          </cell>
        </row>
        <row r="39">
          <cell r="A39">
            <v>8034146</v>
          </cell>
        </row>
        <row r="40">
          <cell r="A40">
            <v>3302295</v>
          </cell>
        </row>
        <row r="41">
          <cell r="A41">
            <v>3354057</v>
          </cell>
        </row>
        <row r="42">
          <cell r="A42">
            <v>8102902</v>
          </cell>
        </row>
        <row r="43">
          <cell r="A43">
            <v>8234092</v>
          </cell>
        </row>
        <row r="44">
          <cell r="A44">
            <v>8912699</v>
          </cell>
        </row>
        <row r="45">
          <cell r="A45">
            <v>8074022</v>
          </cell>
        </row>
        <row r="46">
          <cell r="A46">
            <v>9265412</v>
          </cell>
        </row>
        <row r="47">
          <cell r="A47">
            <v>3445400</v>
          </cell>
        </row>
        <row r="48">
          <cell r="A48">
            <v>3314028</v>
          </cell>
        </row>
        <row r="49">
          <cell r="A49">
            <v>9163313</v>
          </cell>
        </row>
        <row r="50">
          <cell r="A50">
            <v>8843015</v>
          </cell>
        </row>
        <row r="51">
          <cell r="A51">
            <v>8524311</v>
          </cell>
        </row>
        <row r="52">
          <cell r="A52">
            <v>3844027</v>
          </cell>
        </row>
        <row r="53">
          <cell r="A53">
            <v>8612040</v>
          </cell>
        </row>
        <row r="54">
          <cell r="A54">
            <v>9081108</v>
          </cell>
        </row>
        <row r="55">
          <cell r="A55">
            <v>3357002</v>
          </cell>
        </row>
        <row r="56">
          <cell r="A56">
            <v>3842178</v>
          </cell>
        </row>
        <row r="57">
          <cell r="A57">
            <v>3947000</v>
          </cell>
        </row>
        <row r="58">
          <cell r="A58">
            <v>9373594</v>
          </cell>
        </row>
        <row r="59">
          <cell r="A59">
            <v>3125206</v>
          </cell>
        </row>
        <row r="60">
          <cell r="A60">
            <v>9314120</v>
          </cell>
        </row>
        <row r="61">
          <cell r="A61">
            <v>3144006</v>
          </cell>
        </row>
        <row r="62">
          <cell r="A62">
            <v>8352201</v>
          </cell>
        </row>
        <row r="63">
          <cell r="A63">
            <v>3524281</v>
          </cell>
        </row>
        <row r="64">
          <cell r="A64">
            <v>9195201</v>
          </cell>
        </row>
        <row r="65">
          <cell r="A65">
            <v>8552374</v>
          </cell>
        </row>
        <row r="66">
          <cell r="A66">
            <v>3065405</v>
          </cell>
        </row>
        <row r="67">
          <cell r="A67">
            <v>9081100</v>
          </cell>
        </row>
        <row r="68">
          <cell r="A68">
            <v>3204061</v>
          </cell>
        </row>
        <row r="69">
          <cell r="A69">
            <v>3574011</v>
          </cell>
        </row>
        <row r="70">
          <cell r="A70">
            <v>3332118</v>
          </cell>
        </row>
        <row r="71">
          <cell r="A71">
            <v>3122011</v>
          </cell>
        </row>
        <row r="72">
          <cell r="A72">
            <v>3123410</v>
          </cell>
        </row>
        <row r="73">
          <cell r="A73">
            <v>8774200</v>
          </cell>
        </row>
        <row r="74">
          <cell r="A74">
            <v>2112145</v>
          </cell>
        </row>
        <row r="75">
          <cell r="A75">
            <v>3022018</v>
          </cell>
        </row>
        <row r="76">
          <cell r="A76">
            <v>3364115</v>
          </cell>
        </row>
        <row r="77">
          <cell r="A77">
            <v>8404214</v>
          </cell>
        </row>
        <row r="78">
          <cell r="A78">
            <v>8232189</v>
          </cell>
        </row>
        <row r="79">
          <cell r="A79">
            <v>8034148</v>
          </cell>
        </row>
        <row r="80">
          <cell r="A80">
            <v>9353312</v>
          </cell>
        </row>
        <row r="81">
          <cell r="A81">
            <v>8232047</v>
          </cell>
        </row>
        <row r="82">
          <cell r="A82">
            <v>9092106</v>
          </cell>
        </row>
        <row r="83">
          <cell r="A83">
            <v>8912310</v>
          </cell>
        </row>
        <row r="84">
          <cell r="A84">
            <v>3302310</v>
          </cell>
        </row>
        <row r="85">
          <cell r="A85">
            <v>9364052</v>
          </cell>
        </row>
        <row r="86">
          <cell r="A86">
            <v>8504204</v>
          </cell>
        </row>
        <row r="87">
          <cell r="A87">
            <v>8212230</v>
          </cell>
        </row>
        <row r="88">
          <cell r="A88">
            <v>3822124</v>
          </cell>
        </row>
        <row r="89">
          <cell r="A89">
            <v>9317027</v>
          </cell>
        </row>
        <row r="90">
          <cell r="A90">
            <v>9192001</v>
          </cell>
        </row>
        <row r="91">
          <cell r="A91">
            <v>8863148</v>
          </cell>
        </row>
        <row r="92">
          <cell r="A92">
            <v>8863349</v>
          </cell>
        </row>
        <row r="93">
          <cell r="A93">
            <v>9162061</v>
          </cell>
        </row>
        <row r="94">
          <cell r="A94">
            <v>9283073</v>
          </cell>
        </row>
        <row r="95">
          <cell r="A95">
            <v>3024003</v>
          </cell>
        </row>
        <row r="96">
          <cell r="A96">
            <v>9334000</v>
          </cell>
        </row>
        <row r="97">
          <cell r="A97">
            <v>8743384</v>
          </cell>
        </row>
        <row r="98">
          <cell r="A98">
            <v>2054315</v>
          </cell>
        </row>
        <row r="99">
          <cell r="A99">
            <v>9252157</v>
          </cell>
        </row>
        <row r="100">
          <cell r="A100">
            <v>8457017</v>
          </cell>
        </row>
        <row r="101">
          <cell r="A101">
            <v>9081105</v>
          </cell>
        </row>
        <row r="102">
          <cell r="A102">
            <v>8222008</v>
          </cell>
        </row>
        <row r="103">
          <cell r="A103">
            <v>9365403</v>
          </cell>
        </row>
        <row r="104">
          <cell r="A104">
            <v>8232000</v>
          </cell>
        </row>
        <row r="105">
          <cell r="A105">
            <v>8832137</v>
          </cell>
        </row>
        <row r="106">
          <cell r="A106">
            <v>8227005</v>
          </cell>
        </row>
        <row r="107">
          <cell r="A107">
            <v>3804101</v>
          </cell>
        </row>
        <row r="108">
          <cell r="A108">
            <v>8232051</v>
          </cell>
        </row>
        <row r="109">
          <cell r="A109">
            <v>8774206</v>
          </cell>
        </row>
        <row r="110">
          <cell r="A110">
            <v>3302451</v>
          </cell>
        </row>
        <row r="111">
          <cell r="A111">
            <v>3707009</v>
          </cell>
        </row>
        <row r="112">
          <cell r="A112">
            <v>3732305</v>
          </cell>
        </row>
        <row r="113">
          <cell r="A113">
            <v>8221104</v>
          </cell>
        </row>
        <row r="114">
          <cell r="A114">
            <v>3404611</v>
          </cell>
        </row>
        <row r="115">
          <cell r="A115">
            <v>3814035</v>
          </cell>
        </row>
        <row r="116">
          <cell r="A116">
            <v>8552383</v>
          </cell>
        </row>
        <row r="117">
          <cell r="A117">
            <v>3094704</v>
          </cell>
        </row>
        <row r="118">
          <cell r="A118">
            <v>8232180</v>
          </cell>
        </row>
        <row r="119">
          <cell r="A119">
            <v>9312053</v>
          </cell>
        </row>
        <row r="120">
          <cell r="A120">
            <v>8151101</v>
          </cell>
        </row>
        <row r="121">
          <cell r="A121">
            <v>8862511</v>
          </cell>
        </row>
        <row r="122">
          <cell r="A122">
            <v>9192994</v>
          </cell>
        </row>
        <row r="123">
          <cell r="A123">
            <v>3807034</v>
          </cell>
        </row>
        <row r="124">
          <cell r="A124">
            <v>8222173</v>
          </cell>
        </row>
        <row r="125">
          <cell r="A125">
            <v>9263423</v>
          </cell>
        </row>
        <row r="126">
          <cell r="A126">
            <v>3702120</v>
          </cell>
        </row>
        <row r="127">
          <cell r="A127">
            <v>9197032</v>
          </cell>
        </row>
        <row r="128">
          <cell r="A128">
            <v>8814026</v>
          </cell>
        </row>
        <row r="129">
          <cell r="A129">
            <v>9372059</v>
          </cell>
        </row>
        <row r="130">
          <cell r="A130">
            <v>2054106</v>
          </cell>
        </row>
        <row r="131">
          <cell r="A131">
            <v>8262331</v>
          </cell>
        </row>
        <row r="132">
          <cell r="A132">
            <v>8102868</v>
          </cell>
        </row>
        <row r="133">
          <cell r="A133">
            <v>8812424</v>
          </cell>
        </row>
        <row r="134">
          <cell r="A134">
            <v>3303429</v>
          </cell>
        </row>
        <row r="135">
          <cell r="A135">
            <v>3734225</v>
          </cell>
        </row>
        <row r="136">
          <cell r="A136">
            <v>9194008</v>
          </cell>
        </row>
        <row r="137">
          <cell r="A137">
            <v>9264006</v>
          </cell>
        </row>
        <row r="138">
          <cell r="A138">
            <v>8614038</v>
          </cell>
        </row>
        <row r="139">
          <cell r="A139">
            <v>3545401</v>
          </cell>
        </row>
        <row r="140">
          <cell r="A140">
            <v>8522459</v>
          </cell>
        </row>
        <row r="141">
          <cell r="A141">
            <v>3304223</v>
          </cell>
        </row>
        <row r="142">
          <cell r="A142">
            <v>8792691</v>
          </cell>
        </row>
        <row r="143">
          <cell r="A143">
            <v>3702136</v>
          </cell>
        </row>
        <row r="144">
          <cell r="A144">
            <v>8122939</v>
          </cell>
        </row>
        <row r="145">
          <cell r="A145">
            <v>9317018</v>
          </cell>
        </row>
        <row r="146">
          <cell r="A146">
            <v>8664088</v>
          </cell>
        </row>
        <row r="147">
          <cell r="A147">
            <v>3307063</v>
          </cell>
        </row>
        <row r="148">
          <cell r="A148">
            <v>3044033</v>
          </cell>
        </row>
        <row r="149">
          <cell r="A149">
            <v>8233302</v>
          </cell>
        </row>
        <row r="150">
          <cell r="A150">
            <v>3834045</v>
          </cell>
        </row>
        <row r="151">
          <cell r="A151">
            <v>8812687</v>
          </cell>
        </row>
        <row r="152">
          <cell r="A152">
            <v>9082302</v>
          </cell>
        </row>
        <row r="153">
          <cell r="A153">
            <v>9352054</v>
          </cell>
        </row>
        <row r="154">
          <cell r="A154">
            <v>8813211</v>
          </cell>
        </row>
        <row r="155">
          <cell r="A155">
            <v>9374110</v>
          </cell>
        </row>
        <row r="156">
          <cell r="A156">
            <v>3523508</v>
          </cell>
        </row>
        <row r="157">
          <cell r="A157">
            <v>3174604</v>
          </cell>
        </row>
        <row r="158">
          <cell r="A158">
            <v>8863173</v>
          </cell>
        </row>
        <row r="159">
          <cell r="A159">
            <v>8842096</v>
          </cell>
        </row>
        <row r="160">
          <cell r="A160">
            <v>8863317</v>
          </cell>
        </row>
        <row r="161">
          <cell r="A161">
            <v>9197023</v>
          </cell>
        </row>
        <row r="162">
          <cell r="A162">
            <v>9084009</v>
          </cell>
        </row>
        <row r="163">
          <cell r="A163">
            <v>8842098</v>
          </cell>
        </row>
        <row r="164">
          <cell r="A164">
            <v>8575200</v>
          </cell>
        </row>
        <row r="165">
          <cell r="A165">
            <v>2084321</v>
          </cell>
        </row>
        <row r="166">
          <cell r="A166">
            <v>8843351</v>
          </cell>
        </row>
        <row r="167">
          <cell r="A167">
            <v>9162031</v>
          </cell>
        </row>
        <row r="168">
          <cell r="A168">
            <v>3304057</v>
          </cell>
        </row>
        <row r="169">
          <cell r="A169">
            <v>8653110</v>
          </cell>
        </row>
        <row r="170">
          <cell r="A170">
            <v>8515211</v>
          </cell>
        </row>
        <row r="171">
          <cell r="A171">
            <v>9284550</v>
          </cell>
        </row>
        <row r="172">
          <cell r="A172">
            <v>8653117</v>
          </cell>
        </row>
        <row r="173">
          <cell r="A173">
            <v>8154077</v>
          </cell>
        </row>
        <row r="174">
          <cell r="A174">
            <v>3514005</v>
          </cell>
        </row>
        <row r="175">
          <cell r="A175">
            <v>9192099</v>
          </cell>
        </row>
        <row r="176">
          <cell r="A176">
            <v>8224085</v>
          </cell>
        </row>
        <row r="177">
          <cell r="A177">
            <v>8224035</v>
          </cell>
        </row>
        <row r="178">
          <cell r="A178">
            <v>8517471</v>
          </cell>
        </row>
        <row r="179">
          <cell r="A179">
            <v>9314128</v>
          </cell>
        </row>
        <row r="180">
          <cell r="A180">
            <v>8737021</v>
          </cell>
        </row>
        <row r="181">
          <cell r="A181">
            <v>8552069</v>
          </cell>
        </row>
        <row r="182">
          <cell r="A182">
            <v>3302463</v>
          </cell>
        </row>
        <row r="183">
          <cell r="A183">
            <v>3544091</v>
          </cell>
        </row>
        <row r="184">
          <cell r="A184">
            <v>8514000</v>
          </cell>
        </row>
        <row r="185">
          <cell r="A185">
            <v>3302406</v>
          </cell>
        </row>
        <row r="186">
          <cell r="A186">
            <v>3932037</v>
          </cell>
        </row>
        <row r="187">
          <cell r="A187">
            <v>3732346</v>
          </cell>
        </row>
        <row r="188">
          <cell r="A188">
            <v>8843078</v>
          </cell>
        </row>
        <row r="189">
          <cell r="A189">
            <v>8663461</v>
          </cell>
        </row>
        <row r="190">
          <cell r="A190">
            <v>3574018</v>
          </cell>
        </row>
        <row r="191">
          <cell r="A191">
            <v>8253061</v>
          </cell>
        </row>
        <row r="192">
          <cell r="A192">
            <v>9373047</v>
          </cell>
        </row>
        <row r="193">
          <cell r="A193">
            <v>9081104</v>
          </cell>
        </row>
        <row r="194">
          <cell r="A194">
            <v>9081103</v>
          </cell>
        </row>
        <row r="195">
          <cell r="A195">
            <v>8412660</v>
          </cell>
        </row>
        <row r="196">
          <cell r="A196">
            <v>8664084</v>
          </cell>
        </row>
        <row r="197">
          <cell r="A197">
            <v>2112001</v>
          </cell>
        </row>
        <row r="198">
          <cell r="A198">
            <v>3302458</v>
          </cell>
        </row>
        <row r="199">
          <cell r="A199">
            <v>9312593</v>
          </cell>
        </row>
        <row r="200">
          <cell r="A200">
            <v>8774201</v>
          </cell>
        </row>
        <row r="201">
          <cell r="A201">
            <v>9081102</v>
          </cell>
        </row>
        <row r="202">
          <cell r="A202">
            <v>3357013</v>
          </cell>
        </row>
        <row r="203">
          <cell r="A203">
            <v>3593436</v>
          </cell>
        </row>
        <row r="204">
          <cell r="A204">
            <v>3842147</v>
          </cell>
        </row>
        <row r="205">
          <cell r="A205">
            <v>3842115</v>
          </cell>
        </row>
        <row r="206">
          <cell r="A206">
            <v>3842094</v>
          </cell>
        </row>
        <row r="207">
          <cell r="A207">
            <v>9163319</v>
          </cell>
        </row>
        <row r="208">
          <cell r="A208">
            <v>8825268</v>
          </cell>
        </row>
        <row r="209">
          <cell r="A209">
            <v>8222147</v>
          </cell>
        </row>
        <row r="210">
          <cell r="A210">
            <v>8214108</v>
          </cell>
        </row>
        <row r="211">
          <cell r="A211">
            <v>9194146</v>
          </cell>
        </row>
        <row r="212">
          <cell r="A212">
            <v>8552085</v>
          </cell>
        </row>
        <row r="213">
          <cell r="A213">
            <v>8812999</v>
          </cell>
        </row>
        <row r="214">
          <cell r="A214">
            <v>8233008</v>
          </cell>
        </row>
        <row r="215">
          <cell r="A215">
            <v>8552358</v>
          </cell>
        </row>
        <row r="216">
          <cell r="A216">
            <v>8524270</v>
          </cell>
        </row>
        <row r="217">
          <cell r="A217">
            <v>9081101</v>
          </cell>
        </row>
        <row r="218">
          <cell r="A218">
            <v>9194006</v>
          </cell>
        </row>
        <row r="219">
          <cell r="A219">
            <v>8552192</v>
          </cell>
        </row>
        <row r="220">
          <cell r="A220">
            <v>8553074</v>
          </cell>
        </row>
        <row r="221">
          <cell r="A221">
            <v>8655222</v>
          </cell>
        </row>
        <row r="222">
          <cell r="A222">
            <v>9364623</v>
          </cell>
        </row>
        <row r="223">
          <cell r="A223">
            <v>3303302</v>
          </cell>
        </row>
        <row r="224">
          <cell r="A224">
            <v>8234078</v>
          </cell>
        </row>
        <row r="225">
          <cell r="A225">
            <v>8253326</v>
          </cell>
        </row>
        <row r="226">
          <cell r="A226">
            <v>9165216</v>
          </cell>
        </row>
        <row r="227">
          <cell r="A227">
            <v>8222120</v>
          </cell>
        </row>
        <row r="228">
          <cell r="A228">
            <v>8832985</v>
          </cell>
        </row>
        <row r="229">
          <cell r="A229">
            <v>3802178</v>
          </cell>
        </row>
        <row r="230">
          <cell r="A230">
            <v>9375206</v>
          </cell>
        </row>
        <row r="231">
          <cell r="A231">
            <v>8552326</v>
          </cell>
        </row>
        <row r="232">
          <cell r="A232">
            <v>3734229</v>
          </cell>
        </row>
        <row r="233">
          <cell r="A233">
            <v>9194067</v>
          </cell>
        </row>
        <row r="234">
          <cell r="A234">
            <v>8604180</v>
          </cell>
        </row>
        <row r="235">
          <cell r="A235">
            <v>9255416</v>
          </cell>
        </row>
        <row r="236">
          <cell r="A236">
            <v>3714031</v>
          </cell>
        </row>
        <row r="237">
          <cell r="A237">
            <v>8554018</v>
          </cell>
        </row>
        <row r="238">
          <cell r="A238">
            <v>9374114</v>
          </cell>
        </row>
        <row r="239">
          <cell r="A239">
            <v>3807033</v>
          </cell>
        </row>
        <row r="240">
          <cell r="A240">
            <v>8232210</v>
          </cell>
        </row>
        <row r="241">
          <cell r="A241">
            <v>3707010</v>
          </cell>
        </row>
        <row r="242">
          <cell r="A242">
            <v>3947015</v>
          </cell>
        </row>
        <row r="243">
          <cell r="A243">
            <v>3093304</v>
          </cell>
        </row>
        <row r="244">
          <cell r="A244">
            <v>3533008</v>
          </cell>
        </row>
        <row r="245">
          <cell r="A245">
            <v>9165213</v>
          </cell>
        </row>
        <row r="246">
          <cell r="A246">
            <v>8863348</v>
          </cell>
        </row>
        <row r="247">
          <cell r="A247">
            <v>8604613</v>
          </cell>
        </row>
        <row r="248">
          <cell r="A248">
            <v>2134809</v>
          </cell>
        </row>
        <row r="249">
          <cell r="A249">
            <v>8232069</v>
          </cell>
        </row>
        <row r="250">
          <cell r="A250">
            <v>8865435</v>
          </cell>
        </row>
        <row r="251">
          <cell r="A251">
            <v>8224601</v>
          </cell>
        </row>
        <row r="252">
          <cell r="A252">
            <v>3545202</v>
          </cell>
        </row>
        <row r="253">
          <cell r="A253">
            <v>8223350</v>
          </cell>
        </row>
        <row r="254">
          <cell r="A254">
            <v>8855404</v>
          </cell>
        </row>
        <row r="255">
          <cell r="A255">
            <v>8003445</v>
          </cell>
        </row>
        <row r="256">
          <cell r="A256">
            <v>3303306</v>
          </cell>
        </row>
        <row r="257">
          <cell r="A257">
            <v>3735203</v>
          </cell>
        </row>
        <row r="258">
          <cell r="A258">
            <v>8223342</v>
          </cell>
        </row>
        <row r="259">
          <cell r="A259">
            <v>9283204</v>
          </cell>
        </row>
        <row r="260">
          <cell r="A260">
            <v>9283322</v>
          </cell>
        </row>
        <row r="261">
          <cell r="A261">
            <v>3303015</v>
          </cell>
        </row>
        <row r="262">
          <cell r="A262">
            <v>9093379</v>
          </cell>
        </row>
        <row r="263">
          <cell r="A263">
            <v>8233307</v>
          </cell>
        </row>
        <row r="264">
          <cell r="A264">
            <v>3123306</v>
          </cell>
        </row>
        <row r="265">
          <cell r="A265">
            <v>3303311</v>
          </cell>
        </row>
        <row r="266">
          <cell r="A266">
            <v>3093307</v>
          </cell>
        </row>
        <row r="267">
          <cell r="A267">
            <v>9373595</v>
          </cell>
        </row>
        <row r="268">
          <cell r="A268">
            <v>9373592</v>
          </cell>
        </row>
        <row r="269">
          <cell r="A269">
            <v>3055410</v>
          </cell>
        </row>
        <row r="270">
          <cell r="A270">
            <v>3735207</v>
          </cell>
        </row>
        <row r="271">
          <cell r="A271">
            <v>3093300</v>
          </cell>
        </row>
        <row r="272">
          <cell r="A272">
            <v>3093308</v>
          </cell>
        </row>
        <row r="273">
          <cell r="A273">
            <v>8613016</v>
          </cell>
        </row>
        <row r="274">
          <cell r="A274">
            <v>8784607</v>
          </cell>
        </row>
        <row r="275">
          <cell r="A275">
            <v>8224605</v>
          </cell>
        </row>
        <row r="276">
          <cell r="A276">
            <v>3094703</v>
          </cell>
        </row>
        <row r="277">
          <cell r="A277">
            <v>9253077</v>
          </cell>
        </row>
        <row r="278">
          <cell r="A278">
            <v>3194015</v>
          </cell>
        </row>
        <row r="279">
          <cell r="A279">
            <v>3195202</v>
          </cell>
        </row>
        <row r="280">
          <cell r="A280">
            <v>8552070</v>
          </cell>
        </row>
        <row r="281">
          <cell r="A281">
            <v>8013025</v>
          </cell>
        </row>
        <row r="282">
          <cell r="A282">
            <v>8782445</v>
          </cell>
        </row>
        <row r="283">
          <cell r="A283">
            <v>8232072</v>
          </cell>
        </row>
        <row r="284">
          <cell r="A284">
            <v>8552382</v>
          </cell>
        </row>
        <row r="285">
          <cell r="A285">
            <v>9162091</v>
          </cell>
        </row>
        <row r="286">
          <cell r="A286">
            <v>8235203</v>
          </cell>
        </row>
        <row r="287">
          <cell r="A287">
            <v>8934395</v>
          </cell>
        </row>
        <row r="288">
          <cell r="A288">
            <v>3352003</v>
          </cell>
        </row>
        <row r="289">
          <cell r="A289">
            <v>8102825</v>
          </cell>
        </row>
        <row r="290">
          <cell r="A290">
            <v>8814470</v>
          </cell>
        </row>
        <row r="291">
          <cell r="A291">
            <v>9264084</v>
          </cell>
        </row>
        <row r="292">
          <cell r="A292">
            <v>9163073</v>
          </cell>
        </row>
        <row r="293">
          <cell r="A293">
            <v>9367061</v>
          </cell>
        </row>
        <row r="294">
          <cell r="A294">
            <v>8254082</v>
          </cell>
        </row>
        <row r="295">
          <cell r="A295">
            <v>9255424</v>
          </cell>
        </row>
        <row r="296">
          <cell r="A296">
            <v>2051101</v>
          </cell>
        </row>
        <row r="297">
          <cell r="A297">
            <v>2067031</v>
          </cell>
        </row>
        <row r="298">
          <cell r="A298">
            <v>8815407</v>
          </cell>
        </row>
        <row r="299">
          <cell r="A299">
            <v>8034120</v>
          </cell>
        </row>
        <row r="300">
          <cell r="A300">
            <v>3815401</v>
          </cell>
        </row>
        <row r="301">
          <cell r="A301">
            <v>9354066</v>
          </cell>
        </row>
        <row r="302">
          <cell r="A302">
            <v>9294438</v>
          </cell>
        </row>
        <row r="303">
          <cell r="A303">
            <v>8782003</v>
          </cell>
        </row>
        <row r="304">
          <cell r="A304">
            <v>9257024</v>
          </cell>
        </row>
        <row r="305">
          <cell r="A305">
            <v>8222178</v>
          </cell>
        </row>
        <row r="306">
          <cell r="A306">
            <v>3844020</v>
          </cell>
        </row>
        <row r="307">
          <cell r="A307">
            <v>9257030</v>
          </cell>
        </row>
        <row r="308">
          <cell r="A308">
            <v>9094056</v>
          </cell>
        </row>
        <row r="309">
          <cell r="A309">
            <v>9191106</v>
          </cell>
        </row>
        <row r="310">
          <cell r="A310">
            <v>8864246</v>
          </cell>
        </row>
        <row r="311">
          <cell r="A311">
            <v>3302064</v>
          </cell>
        </row>
        <row r="312">
          <cell r="A312">
            <v>8735201</v>
          </cell>
        </row>
        <row r="313">
          <cell r="A313">
            <v>9257029</v>
          </cell>
        </row>
        <row r="314">
          <cell r="A314">
            <v>9194000</v>
          </cell>
        </row>
        <row r="315">
          <cell r="A315">
            <v>8361100</v>
          </cell>
        </row>
        <row r="316">
          <cell r="A316">
            <v>9254065</v>
          </cell>
        </row>
        <row r="317">
          <cell r="A317">
            <v>3842095</v>
          </cell>
        </row>
        <row r="318">
          <cell r="A318">
            <v>8157009</v>
          </cell>
        </row>
        <row r="319">
          <cell r="A319">
            <v>8552009</v>
          </cell>
        </row>
        <row r="320">
          <cell r="A320">
            <v>8007036</v>
          </cell>
        </row>
        <row r="321">
          <cell r="A321">
            <v>3724020</v>
          </cell>
        </row>
        <row r="322">
          <cell r="A322">
            <v>3332158</v>
          </cell>
        </row>
        <row r="323">
          <cell r="A323">
            <v>8233016</v>
          </cell>
        </row>
        <row r="324">
          <cell r="A324">
            <v>3302273</v>
          </cell>
        </row>
        <row r="325">
          <cell r="A325">
            <v>3917033</v>
          </cell>
        </row>
        <row r="326">
          <cell r="A326">
            <v>8107008</v>
          </cell>
        </row>
        <row r="327">
          <cell r="A327">
            <v>8857011</v>
          </cell>
        </row>
        <row r="328">
          <cell r="A328">
            <v>3944073</v>
          </cell>
        </row>
        <row r="329">
          <cell r="A329">
            <v>8102001</v>
          </cell>
        </row>
        <row r="330">
          <cell r="A330">
            <v>8764207</v>
          </cell>
        </row>
        <row r="331">
          <cell r="A331">
            <v>8854579</v>
          </cell>
        </row>
        <row r="332">
          <cell r="A332">
            <v>8652193</v>
          </cell>
        </row>
        <row r="333">
          <cell r="A333">
            <v>8862307</v>
          </cell>
        </row>
        <row r="334">
          <cell r="A334">
            <v>3545400</v>
          </cell>
        </row>
        <row r="335">
          <cell r="A335">
            <v>9373072</v>
          </cell>
        </row>
        <row r="336">
          <cell r="A336">
            <v>3522323</v>
          </cell>
        </row>
        <row r="337">
          <cell r="A337">
            <v>9253158</v>
          </cell>
        </row>
        <row r="338">
          <cell r="A338">
            <v>9193419</v>
          </cell>
        </row>
        <row r="339">
          <cell r="A339">
            <v>8893193</v>
          </cell>
        </row>
        <row r="340">
          <cell r="A340">
            <v>8784014</v>
          </cell>
        </row>
        <row r="341">
          <cell r="A341">
            <v>8052237</v>
          </cell>
        </row>
        <row r="342">
          <cell r="A342">
            <v>8832592</v>
          </cell>
        </row>
        <row r="343">
          <cell r="A343">
            <v>9354095</v>
          </cell>
        </row>
        <row r="344">
          <cell r="A344">
            <v>8804117</v>
          </cell>
        </row>
        <row r="345">
          <cell r="A345">
            <v>8212251</v>
          </cell>
        </row>
        <row r="346">
          <cell r="A346">
            <v>8844014</v>
          </cell>
        </row>
        <row r="347">
          <cell r="A347">
            <v>3202081</v>
          </cell>
        </row>
        <row r="348">
          <cell r="A348">
            <v>8792702</v>
          </cell>
        </row>
        <row r="349">
          <cell r="A349">
            <v>3302293</v>
          </cell>
        </row>
        <row r="350">
          <cell r="A350">
            <v>8934391</v>
          </cell>
        </row>
        <row r="351">
          <cell r="A351">
            <v>9093380</v>
          </cell>
        </row>
        <row r="352">
          <cell r="A352">
            <v>3724011</v>
          </cell>
        </row>
        <row r="353">
          <cell r="A353">
            <v>8104001</v>
          </cell>
        </row>
        <row r="354">
          <cell r="A354">
            <v>8872412</v>
          </cell>
        </row>
        <row r="355">
          <cell r="A355">
            <v>9372642</v>
          </cell>
        </row>
        <row r="356">
          <cell r="A356">
            <v>8932077</v>
          </cell>
        </row>
        <row r="357">
          <cell r="A357">
            <v>8884140</v>
          </cell>
        </row>
        <row r="358">
          <cell r="A358">
            <v>8865409</v>
          </cell>
        </row>
        <row r="359">
          <cell r="A359">
            <v>8603477</v>
          </cell>
        </row>
        <row r="360">
          <cell r="A360">
            <v>8613405</v>
          </cell>
        </row>
        <row r="361">
          <cell r="A361">
            <v>8854003</v>
          </cell>
        </row>
        <row r="362">
          <cell r="A362">
            <v>8613406</v>
          </cell>
        </row>
        <row r="363">
          <cell r="A363">
            <v>8613400</v>
          </cell>
        </row>
        <row r="364">
          <cell r="A364">
            <v>8614711</v>
          </cell>
        </row>
        <row r="365">
          <cell r="A365">
            <v>8613403</v>
          </cell>
        </row>
        <row r="366">
          <cell r="A366">
            <v>8613402</v>
          </cell>
        </row>
        <row r="367">
          <cell r="A367">
            <v>8613487</v>
          </cell>
        </row>
        <row r="368">
          <cell r="A368">
            <v>8733367</v>
          </cell>
        </row>
        <row r="369">
          <cell r="A369">
            <v>8613453</v>
          </cell>
        </row>
        <row r="370">
          <cell r="A370">
            <v>8603462</v>
          </cell>
        </row>
        <row r="371">
          <cell r="A371">
            <v>8084023</v>
          </cell>
        </row>
        <row r="372">
          <cell r="A372">
            <v>9252183</v>
          </cell>
        </row>
        <row r="373">
          <cell r="A373">
            <v>8954612</v>
          </cell>
        </row>
        <row r="374">
          <cell r="A374">
            <v>9252202</v>
          </cell>
        </row>
        <row r="375">
          <cell r="A375">
            <v>3324121</v>
          </cell>
        </row>
        <row r="376">
          <cell r="A376">
            <v>3304246</v>
          </cell>
        </row>
        <row r="377">
          <cell r="A377">
            <v>8602161</v>
          </cell>
        </row>
        <row r="378">
          <cell r="A378">
            <v>8882551</v>
          </cell>
        </row>
        <row r="379">
          <cell r="A379">
            <v>3834601</v>
          </cell>
        </row>
        <row r="380">
          <cell r="A380">
            <v>3833359</v>
          </cell>
        </row>
        <row r="381">
          <cell r="A381">
            <v>8964603</v>
          </cell>
        </row>
        <row r="382">
          <cell r="A382">
            <v>8924462</v>
          </cell>
        </row>
        <row r="383">
          <cell r="A383">
            <v>3803368</v>
          </cell>
        </row>
        <row r="384">
          <cell r="A384">
            <v>3833363</v>
          </cell>
        </row>
        <row r="385">
          <cell r="A385">
            <v>3833360</v>
          </cell>
        </row>
        <row r="386">
          <cell r="A386">
            <v>8952157</v>
          </cell>
        </row>
        <row r="387">
          <cell r="A387">
            <v>9252207</v>
          </cell>
        </row>
        <row r="388">
          <cell r="A388">
            <v>9252237</v>
          </cell>
        </row>
        <row r="389">
          <cell r="A389">
            <v>9252090</v>
          </cell>
        </row>
        <row r="390">
          <cell r="A390">
            <v>8852901</v>
          </cell>
        </row>
        <row r="391">
          <cell r="A391">
            <v>3304333</v>
          </cell>
        </row>
        <row r="392">
          <cell r="A392">
            <v>9362926</v>
          </cell>
        </row>
        <row r="393">
          <cell r="A393">
            <v>8934385</v>
          </cell>
        </row>
        <row r="394">
          <cell r="A394">
            <v>9287029</v>
          </cell>
        </row>
        <row r="395">
          <cell r="A395">
            <v>8522460</v>
          </cell>
        </row>
        <row r="396">
          <cell r="A396">
            <v>9362492</v>
          </cell>
        </row>
        <row r="397">
          <cell r="A397">
            <v>3523448</v>
          </cell>
        </row>
        <row r="398">
          <cell r="A398">
            <v>3524766</v>
          </cell>
        </row>
        <row r="399">
          <cell r="A399">
            <v>8553432</v>
          </cell>
        </row>
        <row r="400">
          <cell r="A400">
            <v>8865432</v>
          </cell>
        </row>
        <row r="401">
          <cell r="A401">
            <v>8522002</v>
          </cell>
        </row>
        <row r="402">
          <cell r="A402">
            <v>8552018</v>
          </cell>
        </row>
        <row r="403">
          <cell r="A403">
            <v>8304126</v>
          </cell>
        </row>
        <row r="404">
          <cell r="A404">
            <v>9254603</v>
          </cell>
        </row>
        <row r="405">
          <cell r="A405">
            <v>9283344</v>
          </cell>
        </row>
        <row r="406">
          <cell r="A406">
            <v>3343012</v>
          </cell>
        </row>
        <row r="407">
          <cell r="A407">
            <v>3523424</v>
          </cell>
        </row>
        <row r="408">
          <cell r="A408">
            <v>9362373</v>
          </cell>
        </row>
        <row r="409">
          <cell r="A409">
            <v>8803618</v>
          </cell>
        </row>
        <row r="410">
          <cell r="A410">
            <v>3302452</v>
          </cell>
        </row>
        <row r="411">
          <cell r="A411">
            <v>3352104</v>
          </cell>
        </row>
        <row r="412">
          <cell r="A412">
            <v>3833361</v>
          </cell>
        </row>
        <row r="413">
          <cell r="A413">
            <v>9365400</v>
          </cell>
        </row>
        <row r="414">
          <cell r="A414">
            <v>9264091</v>
          </cell>
        </row>
        <row r="415">
          <cell r="A415">
            <v>8552380</v>
          </cell>
        </row>
        <row r="416">
          <cell r="A416">
            <v>9283307</v>
          </cell>
        </row>
        <row r="417">
          <cell r="A417">
            <v>8944401</v>
          </cell>
        </row>
        <row r="418">
          <cell r="A418">
            <v>8944438</v>
          </cell>
        </row>
        <row r="419">
          <cell r="A419">
            <v>8944408</v>
          </cell>
        </row>
        <row r="420">
          <cell r="A420">
            <v>8712216</v>
          </cell>
        </row>
        <row r="421">
          <cell r="A421">
            <v>3324119</v>
          </cell>
        </row>
        <row r="422">
          <cell r="A422">
            <v>9382053</v>
          </cell>
        </row>
        <row r="423">
          <cell r="A423">
            <v>8313542</v>
          </cell>
        </row>
        <row r="424">
          <cell r="A424">
            <v>8313528</v>
          </cell>
        </row>
        <row r="425">
          <cell r="A425">
            <v>3032012</v>
          </cell>
        </row>
        <row r="426">
          <cell r="A426">
            <v>3045410</v>
          </cell>
        </row>
        <row r="427">
          <cell r="A427">
            <v>8372227</v>
          </cell>
        </row>
        <row r="428">
          <cell r="A428">
            <v>3303403</v>
          </cell>
        </row>
        <row r="429">
          <cell r="A429">
            <v>3303401</v>
          </cell>
        </row>
        <row r="430">
          <cell r="A430">
            <v>3303402</v>
          </cell>
        </row>
        <row r="431">
          <cell r="A431">
            <v>9312567</v>
          </cell>
        </row>
        <row r="432">
          <cell r="A432">
            <v>9312597</v>
          </cell>
        </row>
        <row r="433">
          <cell r="A433">
            <v>9312609</v>
          </cell>
        </row>
        <row r="434">
          <cell r="A434">
            <v>8862603</v>
          </cell>
        </row>
        <row r="435">
          <cell r="A435">
            <v>3304661</v>
          </cell>
        </row>
        <row r="436">
          <cell r="A436">
            <v>8923311</v>
          </cell>
        </row>
        <row r="437">
          <cell r="A437">
            <v>9262353</v>
          </cell>
        </row>
        <row r="438">
          <cell r="A438">
            <v>9362489</v>
          </cell>
        </row>
      </sheetData>
      <sheetData sheetId="2">
        <row r="1">
          <cell r="A1" t="str">
            <v>LEA/ESTAB</v>
          </cell>
          <cell r="E1" t="str">
            <v>School Phase</v>
          </cell>
          <cell r="K1" t="str">
            <v>AO date</v>
          </cell>
          <cell r="O1" t="str">
            <v>Sponsored school now an Academy?</v>
          </cell>
          <cell r="P1" t="str">
            <v>Intended Conversion Date</v>
          </cell>
          <cell r="Q1" t="str">
            <v>RAG rating</v>
          </cell>
          <cell r="BD1" t="str">
            <v>Group 1</v>
          </cell>
          <cell r="BE1" t="str">
            <v>Group 2</v>
          </cell>
          <cell r="BF1" t="str">
            <v>216 Secondary</v>
          </cell>
          <cell r="BG1" t="str">
            <v>Other</v>
          </cell>
          <cell r="BI1" t="str">
            <v>Yes</v>
          </cell>
          <cell r="BJ1" t="str">
            <v>No</v>
          </cell>
          <cell r="BK1" t="str">
            <v>R</v>
          </cell>
          <cell r="BL1" t="str">
            <v>A</v>
          </cell>
          <cell r="BM1" t="str">
            <v>G</v>
          </cell>
          <cell r="BR1" t="str">
            <v>Applied</v>
          </cell>
          <cell r="BS1" t="str">
            <v>Brokered</v>
          </cell>
        </row>
        <row r="2">
          <cell r="A2">
            <v>8735400</v>
          </cell>
        </row>
        <row r="3">
          <cell r="A3">
            <v>9383360</v>
          </cell>
        </row>
        <row r="4">
          <cell r="A4">
            <v>8802454</v>
          </cell>
        </row>
        <row r="5">
          <cell r="A5">
            <v>8812076</v>
          </cell>
        </row>
        <row r="6">
          <cell r="A6">
            <v>8832552</v>
          </cell>
        </row>
        <row r="7">
          <cell r="A7">
            <v>9382055</v>
          </cell>
        </row>
        <row r="8">
          <cell r="A8">
            <v>9282134</v>
          </cell>
        </row>
        <row r="9">
          <cell r="A9">
            <v>8863899</v>
          </cell>
        </row>
        <row r="10">
          <cell r="A10">
            <v>9382068</v>
          </cell>
        </row>
        <row r="11">
          <cell r="A11">
            <v>3732265</v>
          </cell>
        </row>
        <row r="12">
          <cell r="A12">
            <v>9352077</v>
          </cell>
        </row>
        <row r="13">
          <cell r="A13">
            <v>3302166</v>
          </cell>
        </row>
        <row r="14">
          <cell r="A14">
            <v>8862174</v>
          </cell>
        </row>
        <row r="15">
          <cell r="A15">
            <v>3722096</v>
          </cell>
        </row>
        <row r="16">
          <cell r="A16">
            <v>8122892</v>
          </cell>
        </row>
        <row r="17">
          <cell r="A17">
            <v>8732440</v>
          </cell>
        </row>
        <row r="18">
          <cell r="A18">
            <v>9314021</v>
          </cell>
        </row>
        <row r="19">
          <cell r="A19">
            <v>9312592</v>
          </cell>
        </row>
        <row r="20">
          <cell r="A20">
            <v>3842210</v>
          </cell>
        </row>
        <row r="21">
          <cell r="A21">
            <v>8012337</v>
          </cell>
        </row>
        <row r="22">
          <cell r="A22">
            <v>9283510</v>
          </cell>
        </row>
        <row r="23">
          <cell r="A23">
            <v>3352033</v>
          </cell>
        </row>
        <row r="24">
          <cell r="A24">
            <v>8312407</v>
          </cell>
        </row>
        <row r="25">
          <cell r="A25">
            <v>8062327</v>
          </cell>
        </row>
        <row r="26">
          <cell r="A26">
            <v>8504314</v>
          </cell>
        </row>
        <row r="27">
          <cell r="A27">
            <v>9382234</v>
          </cell>
        </row>
        <row r="28">
          <cell r="A28">
            <v>9162048</v>
          </cell>
        </row>
        <row r="29">
          <cell r="A29">
            <v>3414426</v>
          </cell>
        </row>
        <row r="30">
          <cell r="A30">
            <v>3302298</v>
          </cell>
        </row>
        <row r="31">
          <cell r="A31">
            <v>3823409</v>
          </cell>
        </row>
        <row r="32">
          <cell r="A32">
            <v>3832479</v>
          </cell>
        </row>
        <row r="33">
          <cell r="A33">
            <v>8802434</v>
          </cell>
        </row>
        <row r="34">
          <cell r="A34">
            <v>3552086</v>
          </cell>
        </row>
        <row r="35">
          <cell r="A35">
            <v>8913291</v>
          </cell>
        </row>
        <row r="36">
          <cell r="A36">
            <v>3812079</v>
          </cell>
        </row>
        <row r="37">
          <cell r="A37">
            <v>3582079</v>
          </cell>
        </row>
        <row r="38">
          <cell r="A38">
            <v>9262421</v>
          </cell>
        </row>
        <row r="39">
          <cell r="A39">
            <v>8812471</v>
          </cell>
        </row>
        <row r="40">
          <cell r="A40">
            <v>8102280</v>
          </cell>
        </row>
        <row r="41">
          <cell r="A41">
            <v>3352241</v>
          </cell>
        </row>
        <row r="42">
          <cell r="A42">
            <v>8505400</v>
          </cell>
        </row>
        <row r="43">
          <cell r="A43">
            <v>8862261</v>
          </cell>
        </row>
        <row r="44">
          <cell r="A44">
            <v>8012015</v>
          </cell>
        </row>
        <row r="45">
          <cell r="A45">
            <v>9252167</v>
          </cell>
        </row>
        <row r="46">
          <cell r="A46">
            <v>8803752</v>
          </cell>
        </row>
        <row r="47">
          <cell r="A47">
            <v>8234088</v>
          </cell>
        </row>
        <row r="48">
          <cell r="A48">
            <v>9252173</v>
          </cell>
        </row>
        <row r="49">
          <cell r="A49">
            <v>3922075</v>
          </cell>
        </row>
        <row r="50">
          <cell r="A50">
            <v>8312418</v>
          </cell>
        </row>
        <row r="51">
          <cell r="A51">
            <v>3302320</v>
          </cell>
        </row>
        <row r="52">
          <cell r="A52">
            <v>8913778</v>
          </cell>
        </row>
        <row r="53">
          <cell r="A53">
            <v>8102888</v>
          </cell>
        </row>
        <row r="54">
          <cell r="A54">
            <v>8862647</v>
          </cell>
        </row>
        <row r="55">
          <cell r="A55">
            <v>8862553</v>
          </cell>
        </row>
        <row r="56">
          <cell r="A56">
            <v>9162126</v>
          </cell>
        </row>
        <row r="57">
          <cell r="A57">
            <v>8012016</v>
          </cell>
        </row>
        <row r="58">
          <cell r="A58">
            <v>8062328</v>
          </cell>
        </row>
        <row r="59">
          <cell r="A59">
            <v>3302440</v>
          </cell>
        </row>
        <row r="60">
          <cell r="A60">
            <v>9372615</v>
          </cell>
        </row>
        <row r="61">
          <cell r="A61">
            <v>3802097</v>
          </cell>
        </row>
        <row r="62">
          <cell r="A62">
            <v>8862335</v>
          </cell>
        </row>
        <row r="63">
          <cell r="A63">
            <v>9252189</v>
          </cell>
        </row>
        <row r="64">
          <cell r="A64">
            <v>3302173</v>
          </cell>
        </row>
        <row r="65">
          <cell r="A65">
            <v>9383373</v>
          </cell>
        </row>
        <row r="66">
          <cell r="A66">
            <v>8313533</v>
          </cell>
        </row>
        <row r="67">
          <cell r="A67">
            <v>3532094</v>
          </cell>
        </row>
        <row r="68">
          <cell r="A68">
            <v>8102200</v>
          </cell>
        </row>
        <row r="69">
          <cell r="A69">
            <v>9312612</v>
          </cell>
        </row>
        <row r="70">
          <cell r="A70">
            <v>8914075</v>
          </cell>
        </row>
        <row r="71">
          <cell r="A71">
            <v>3302197</v>
          </cell>
        </row>
        <row r="72">
          <cell r="A72">
            <v>3912900</v>
          </cell>
        </row>
        <row r="73">
          <cell r="A73">
            <v>9284069</v>
          </cell>
        </row>
        <row r="74">
          <cell r="A74">
            <v>8122895</v>
          </cell>
        </row>
        <row r="75">
          <cell r="A75">
            <v>3302139</v>
          </cell>
        </row>
        <row r="76">
          <cell r="A76">
            <v>8804119</v>
          </cell>
        </row>
        <row r="77">
          <cell r="A77">
            <v>8372233</v>
          </cell>
        </row>
        <row r="78">
          <cell r="A78">
            <v>3204074</v>
          </cell>
        </row>
        <row r="79">
          <cell r="A79">
            <v>3303008</v>
          </cell>
        </row>
        <row r="80">
          <cell r="A80">
            <v>3303018</v>
          </cell>
        </row>
        <row r="81">
          <cell r="A81">
            <v>9262376</v>
          </cell>
        </row>
        <row r="82">
          <cell r="A82">
            <v>3302476</v>
          </cell>
        </row>
        <row r="83">
          <cell r="A83">
            <v>9282199</v>
          </cell>
        </row>
        <row r="84">
          <cell r="A84">
            <v>8812089</v>
          </cell>
        </row>
        <row r="85">
          <cell r="A85">
            <v>9372018</v>
          </cell>
        </row>
        <row r="86">
          <cell r="A86">
            <v>3802177</v>
          </cell>
        </row>
        <row r="87">
          <cell r="A87">
            <v>3302151</v>
          </cell>
        </row>
        <row r="88">
          <cell r="A88">
            <v>9282186</v>
          </cell>
        </row>
        <row r="89">
          <cell r="A89">
            <v>8123520</v>
          </cell>
        </row>
        <row r="90">
          <cell r="A90">
            <v>9372627</v>
          </cell>
        </row>
        <row r="91">
          <cell r="A91">
            <v>9372419</v>
          </cell>
        </row>
        <row r="92">
          <cell r="A92">
            <v>8563433</v>
          </cell>
        </row>
        <row r="93">
          <cell r="A93">
            <v>9282135</v>
          </cell>
        </row>
        <row r="94">
          <cell r="A94">
            <v>3302172</v>
          </cell>
        </row>
        <row r="95">
          <cell r="A95">
            <v>9282171</v>
          </cell>
        </row>
        <row r="96">
          <cell r="A96">
            <v>3303011</v>
          </cell>
        </row>
        <row r="97">
          <cell r="A97">
            <v>3803310</v>
          </cell>
        </row>
        <row r="98">
          <cell r="A98">
            <v>9264086</v>
          </cell>
        </row>
        <row r="99">
          <cell r="A99">
            <v>9282122</v>
          </cell>
        </row>
        <row r="100">
          <cell r="A100">
            <v>8402539</v>
          </cell>
        </row>
        <row r="101">
          <cell r="A101">
            <v>8605204</v>
          </cell>
        </row>
        <row r="102">
          <cell r="A102">
            <v>3122000</v>
          </cell>
        </row>
        <row r="103">
          <cell r="A103">
            <v>9282195</v>
          </cell>
        </row>
        <row r="104">
          <cell r="A104">
            <v>8004131</v>
          </cell>
        </row>
        <row r="105">
          <cell r="A105">
            <v>3832445</v>
          </cell>
        </row>
        <row r="106">
          <cell r="A106">
            <v>8402402</v>
          </cell>
        </row>
        <row r="107">
          <cell r="A107">
            <v>8412004</v>
          </cell>
        </row>
        <row r="108">
          <cell r="A108">
            <v>8372265</v>
          </cell>
        </row>
        <row r="109">
          <cell r="A109">
            <v>8312515</v>
          </cell>
        </row>
        <row r="110">
          <cell r="A110">
            <v>8732056</v>
          </cell>
        </row>
        <row r="111">
          <cell r="A111">
            <v>8132134</v>
          </cell>
        </row>
        <row r="112">
          <cell r="A112">
            <v>8815256</v>
          </cell>
        </row>
        <row r="113">
          <cell r="A113">
            <v>3912350</v>
          </cell>
        </row>
        <row r="114">
          <cell r="A114">
            <v>8812021</v>
          </cell>
        </row>
        <row r="115">
          <cell r="A115">
            <v>8913785</v>
          </cell>
        </row>
        <row r="116">
          <cell r="A116">
            <v>8133509</v>
          </cell>
        </row>
        <row r="117">
          <cell r="A117">
            <v>8853395</v>
          </cell>
        </row>
        <row r="118">
          <cell r="A118">
            <v>3302468</v>
          </cell>
        </row>
        <row r="119">
          <cell r="A119">
            <v>3302446</v>
          </cell>
        </row>
        <row r="120">
          <cell r="A120">
            <v>3702131</v>
          </cell>
        </row>
        <row r="121">
          <cell r="A121">
            <v>8552350</v>
          </cell>
        </row>
        <row r="122">
          <cell r="A122">
            <v>3702128</v>
          </cell>
        </row>
        <row r="123">
          <cell r="A123">
            <v>8863371</v>
          </cell>
        </row>
        <row r="124">
          <cell r="A124">
            <v>8123515</v>
          </cell>
        </row>
        <row r="125">
          <cell r="A125">
            <v>8403521</v>
          </cell>
        </row>
        <row r="126">
          <cell r="A126">
            <v>3302439</v>
          </cell>
        </row>
        <row r="127">
          <cell r="A127">
            <v>8654069</v>
          </cell>
        </row>
        <row r="128">
          <cell r="A128">
            <v>9284098</v>
          </cell>
        </row>
        <row r="129">
          <cell r="A129">
            <v>3802073</v>
          </cell>
        </row>
        <row r="130">
          <cell r="A130">
            <v>3832461</v>
          </cell>
        </row>
        <row r="131">
          <cell r="A131">
            <v>3202013</v>
          </cell>
        </row>
        <row r="132">
          <cell r="A132">
            <v>8922122</v>
          </cell>
        </row>
        <row r="133">
          <cell r="A133">
            <v>8884019</v>
          </cell>
        </row>
        <row r="134">
          <cell r="A134">
            <v>8652032</v>
          </cell>
        </row>
        <row r="135">
          <cell r="A135">
            <v>9282110</v>
          </cell>
        </row>
        <row r="136">
          <cell r="A136">
            <v>3303420</v>
          </cell>
        </row>
        <row r="137">
          <cell r="A137">
            <v>3302461</v>
          </cell>
        </row>
        <row r="138">
          <cell r="A138">
            <v>8552133</v>
          </cell>
        </row>
        <row r="139">
          <cell r="A139">
            <v>3302028</v>
          </cell>
        </row>
        <row r="140">
          <cell r="A140">
            <v>3302027</v>
          </cell>
        </row>
        <row r="141">
          <cell r="A141">
            <v>3303434</v>
          </cell>
        </row>
        <row r="142">
          <cell r="A142">
            <v>3352244</v>
          </cell>
        </row>
        <row r="143">
          <cell r="A143">
            <v>3733431</v>
          </cell>
        </row>
        <row r="144">
          <cell r="A144">
            <v>3303026</v>
          </cell>
        </row>
        <row r="145">
          <cell r="A145">
            <v>3932005</v>
          </cell>
        </row>
        <row r="146">
          <cell r="A146">
            <v>3302203</v>
          </cell>
        </row>
        <row r="147">
          <cell r="A147">
            <v>3343304</v>
          </cell>
        </row>
        <row r="148">
          <cell r="A148">
            <v>9373209</v>
          </cell>
        </row>
        <row r="149">
          <cell r="A149">
            <v>3302483</v>
          </cell>
        </row>
        <row r="150">
          <cell r="A150">
            <v>3702112</v>
          </cell>
        </row>
        <row r="151">
          <cell r="A151">
            <v>3302444</v>
          </cell>
        </row>
        <row r="152">
          <cell r="A152">
            <v>3732330</v>
          </cell>
        </row>
        <row r="153">
          <cell r="A153">
            <v>3702031</v>
          </cell>
        </row>
        <row r="154">
          <cell r="A154">
            <v>3732345</v>
          </cell>
        </row>
        <row r="155">
          <cell r="A155">
            <v>8553062</v>
          </cell>
        </row>
        <row r="156">
          <cell r="A156">
            <v>8412000</v>
          </cell>
        </row>
        <row r="157">
          <cell r="A157">
            <v>9282185</v>
          </cell>
        </row>
        <row r="158">
          <cell r="A158">
            <v>8774228</v>
          </cell>
        </row>
        <row r="159">
          <cell r="A159">
            <v>8712195</v>
          </cell>
        </row>
        <row r="160">
          <cell r="A160">
            <v>3362114</v>
          </cell>
        </row>
        <row r="161">
          <cell r="A161">
            <v>8553030</v>
          </cell>
        </row>
        <row r="162">
          <cell r="A162">
            <v>9282212</v>
          </cell>
        </row>
        <row r="163">
          <cell r="A163">
            <v>3803030</v>
          </cell>
        </row>
        <row r="164">
          <cell r="A164">
            <v>3722008</v>
          </cell>
        </row>
        <row r="165">
          <cell r="A165">
            <v>3722010</v>
          </cell>
        </row>
        <row r="166">
          <cell r="A166">
            <v>8612057</v>
          </cell>
        </row>
        <row r="167">
          <cell r="A167">
            <v>8612011</v>
          </cell>
        </row>
        <row r="168">
          <cell r="A168">
            <v>8612095</v>
          </cell>
        </row>
        <row r="169">
          <cell r="A169">
            <v>3802154</v>
          </cell>
        </row>
        <row r="170">
          <cell r="A170">
            <v>3823011</v>
          </cell>
        </row>
        <row r="171">
          <cell r="A171">
            <v>3702014</v>
          </cell>
        </row>
        <row r="172">
          <cell r="A172">
            <v>8912838</v>
          </cell>
        </row>
        <row r="173">
          <cell r="A173">
            <v>3302051</v>
          </cell>
        </row>
        <row r="174">
          <cell r="A174">
            <v>3302127</v>
          </cell>
        </row>
        <row r="175">
          <cell r="A175">
            <v>8934418</v>
          </cell>
        </row>
        <row r="176">
          <cell r="A176">
            <v>8712815</v>
          </cell>
        </row>
        <row r="177">
          <cell r="A177">
            <v>9282127</v>
          </cell>
        </row>
        <row r="178">
          <cell r="A178">
            <v>3702059</v>
          </cell>
        </row>
        <row r="179">
          <cell r="A179">
            <v>3734256</v>
          </cell>
        </row>
        <row r="180">
          <cell r="A180">
            <v>3844016</v>
          </cell>
        </row>
        <row r="181">
          <cell r="A181">
            <v>3732083</v>
          </cell>
        </row>
        <row r="182">
          <cell r="A182">
            <v>9163032</v>
          </cell>
        </row>
        <row r="183">
          <cell r="A183">
            <v>3303305</v>
          </cell>
        </row>
        <row r="184">
          <cell r="A184">
            <v>9333400</v>
          </cell>
        </row>
        <row r="185">
          <cell r="A185">
            <v>8863177</v>
          </cell>
        </row>
        <row r="186">
          <cell r="A186">
            <v>3093301</v>
          </cell>
        </row>
        <row r="187">
          <cell r="A187">
            <v>3302229</v>
          </cell>
        </row>
        <row r="188">
          <cell r="A188">
            <v>8962193</v>
          </cell>
        </row>
        <row r="189">
          <cell r="A189">
            <v>3522127</v>
          </cell>
        </row>
        <row r="190">
          <cell r="A190">
            <v>8832492</v>
          </cell>
        </row>
        <row r="191">
          <cell r="A191">
            <v>8652216</v>
          </cell>
        </row>
        <row r="192">
          <cell r="A192">
            <v>8832502</v>
          </cell>
        </row>
        <row r="193">
          <cell r="A193">
            <v>3313001</v>
          </cell>
        </row>
        <row r="194">
          <cell r="A194">
            <v>3313007</v>
          </cell>
        </row>
        <row r="195">
          <cell r="A195">
            <v>8902824</v>
          </cell>
        </row>
        <row r="196">
          <cell r="A196">
            <v>3353114</v>
          </cell>
        </row>
        <row r="197">
          <cell r="A197">
            <v>9332089</v>
          </cell>
        </row>
        <row r="198">
          <cell r="A198">
            <v>8652192</v>
          </cell>
        </row>
        <row r="199">
          <cell r="A199">
            <v>9332118</v>
          </cell>
        </row>
        <row r="200">
          <cell r="A200">
            <v>3302044</v>
          </cell>
        </row>
        <row r="201">
          <cell r="A201">
            <v>8613000</v>
          </cell>
        </row>
        <row r="202">
          <cell r="A202">
            <v>3302200</v>
          </cell>
        </row>
        <row r="203">
          <cell r="A203">
            <v>3322045</v>
          </cell>
        </row>
        <row r="204">
          <cell r="A204">
            <v>8833823</v>
          </cell>
        </row>
        <row r="205">
          <cell r="A205">
            <v>3125202</v>
          </cell>
        </row>
        <row r="206">
          <cell r="A206">
            <v>9253086</v>
          </cell>
        </row>
        <row r="207">
          <cell r="A207">
            <v>3902182</v>
          </cell>
        </row>
        <row r="208">
          <cell r="A208">
            <v>8655202</v>
          </cell>
        </row>
        <row r="209">
          <cell r="A209">
            <v>8872408</v>
          </cell>
        </row>
        <row r="210">
          <cell r="A210">
            <v>8012070</v>
          </cell>
        </row>
        <row r="211">
          <cell r="A211">
            <v>8882841</v>
          </cell>
        </row>
        <row r="212">
          <cell r="A212">
            <v>2102142</v>
          </cell>
        </row>
        <row r="213">
          <cell r="A213">
            <v>8505200</v>
          </cell>
        </row>
        <row r="214">
          <cell r="A214">
            <v>3734225</v>
          </cell>
        </row>
        <row r="215">
          <cell r="A215">
            <v>8902201</v>
          </cell>
        </row>
        <row r="216">
          <cell r="A216">
            <v>9332219</v>
          </cell>
        </row>
        <row r="217">
          <cell r="A217">
            <v>3942103</v>
          </cell>
        </row>
        <row r="218">
          <cell r="A218">
            <v>3942164</v>
          </cell>
        </row>
        <row r="219">
          <cell r="A219">
            <v>8082051</v>
          </cell>
        </row>
        <row r="220">
          <cell r="A220">
            <v>8922064</v>
          </cell>
        </row>
        <row r="221">
          <cell r="A221">
            <v>3062074</v>
          </cell>
        </row>
        <row r="222">
          <cell r="A222">
            <v>8783326</v>
          </cell>
        </row>
        <row r="223">
          <cell r="A223">
            <v>8863891</v>
          </cell>
        </row>
        <row r="224">
          <cell r="A224">
            <v>8862251</v>
          </cell>
        </row>
        <row r="225">
          <cell r="A225">
            <v>8812675</v>
          </cell>
        </row>
        <row r="226">
          <cell r="A226">
            <v>8812583</v>
          </cell>
        </row>
        <row r="227">
          <cell r="A227">
            <v>9262352</v>
          </cell>
        </row>
        <row r="228">
          <cell r="A228">
            <v>8734057</v>
          </cell>
        </row>
        <row r="229">
          <cell r="A229">
            <v>8814350</v>
          </cell>
        </row>
        <row r="230">
          <cell r="A230">
            <v>9354066</v>
          </cell>
        </row>
        <row r="231">
          <cell r="A231">
            <v>8954803</v>
          </cell>
        </row>
      </sheetData>
      <sheetData sheetId="3" refreshError="1"/>
      <sheetData sheetId="4" refreshError="1"/>
      <sheetData sheetId="5">
        <row r="5">
          <cell r="A5">
            <v>2122107</v>
          </cell>
          <cell r="B5">
            <v>101003</v>
          </cell>
          <cell r="C5">
            <v>212</v>
          </cell>
          <cell r="D5" t="str">
            <v>Wandsworth</v>
          </cell>
          <cell r="E5">
            <v>2107</v>
          </cell>
          <cell r="F5" t="str">
            <v>Tahir Shams</v>
          </cell>
          <cell r="G5" t="str">
            <v xml:space="preserve">Chesterton Primary School </v>
          </cell>
          <cell r="H5" t="str">
            <v>London</v>
          </cell>
          <cell r="I5" t="str">
            <v>Dagnall Street</v>
          </cell>
          <cell r="J5" t="str">
            <v>Battersea</v>
          </cell>
          <cell r="L5" t="str">
            <v>London</v>
          </cell>
          <cell r="N5" t="str">
            <v>SW11 5DT</v>
          </cell>
          <cell r="O5" t="str">
            <v>office@chesterton.wandsworth.sch.uk</v>
          </cell>
        </row>
        <row r="6">
          <cell r="A6">
            <v>3352235</v>
          </cell>
          <cell r="B6">
            <v>104212</v>
          </cell>
          <cell r="C6">
            <v>335</v>
          </cell>
          <cell r="D6" t="str">
            <v>Walsall</v>
          </cell>
          <cell r="E6">
            <v>2235</v>
          </cell>
          <cell r="F6" t="str">
            <v>Stephen Bagnall</v>
          </cell>
          <cell r="G6" t="str">
            <v>Lindens Primary School</v>
          </cell>
          <cell r="H6" t="str">
            <v>West Midlands</v>
          </cell>
          <cell r="I6" t="str">
            <v>Hundred Acre Road</v>
          </cell>
          <cell r="J6" t="str">
            <v>Streetly</v>
          </cell>
          <cell r="L6" t="str">
            <v>Sutton Coldfield</v>
          </cell>
          <cell r="M6" t="str">
            <v>West Midlands</v>
          </cell>
          <cell r="N6" t="str">
            <v>B74 2BB</v>
          </cell>
          <cell r="O6" t="str">
            <v>s_griffiths30@hotmail.com</v>
          </cell>
        </row>
        <row r="7">
          <cell r="A7">
            <v>8862307</v>
          </cell>
          <cell r="B7">
            <v>118390</v>
          </cell>
          <cell r="C7">
            <v>886</v>
          </cell>
          <cell r="D7" t="str">
            <v>Kent</v>
          </cell>
          <cell r="E7">
            <v>2307</v>
          </cell>
          <cell r="F7" t="str">
            <v>Tony Dunne</v>
          </cell>
          <cell r="G7" t="str">
            <v>Warden House Primary School</v>
          </cell>
          <cell r="H7" t="str">
            <v>South East</v>
          </cell>
          <cell r="I7" t="str">
            <v>Birdwood Avenue</v>
          </cell>
          <cell r="L7" t="str">
            <v>Deal</v>
          </cell>
          <cell r="M7" t="str">
            <v>Kent</v>
          </cell>
          <cell r="N7" t="str">
            <v>CT14 9SF</v>
          </cell>
          <cell r="O7" t="str">
            <v>headteacher@warden-house.kent.sch.uk</v>
          </cell>
          <cell r="P7">
            <v>41103</v>
          </cell>
        </row>
        <row r="8">
          <cell r="A8">
            <v>3834056</v>
          </cell>
          <cell r="B8">
            <v>108071</v>
          </cell>
          <cell r="C8">
            <v>383</v>
          </cell>
          <cell r="D8" t="str">
            <v>Leeds</v>
          </cell>
          <cell r="E8">
            <v>4056</v>
          </cell>
          <cell r="G8" t="str">
            <v>Farnley Park High School</v>
          </cell>
          <cell r="H8" t="str">
            <v>Yorkshire and the Humber</v>
          </cell>
          <cell r="I8" t="str">
            <v>Chapel Lane</v>
          </cell>
          <cell r="J8" t="str">
            <v>Farnley</v>
          </cell>
          <cell r="L8" t="str">
            <v>Leeds</v>
          </cell>
          <cell r="M8" t="str">
            <v>West Yorkshire</v>
          </cell>
          <cell r="N8" t="str">
            <v>LS12 5EU</v>
          </cell>
          <cell r="O8" t="str">
            <v>watsonc09@leedslearning.net</v>
          </cell>
        </row>
        <row r="9">
          <cell r="A9">
            <v>8883348</v>
          </cell>
          <cell r="B9">
            <v>119448</v>
          </cell>
          <cell r="C9">
            <v>888</v>
          </cell>
          <cell r="D9" t="str">
            <v>Lancashire</v>
          </cell>
          <cell r="E9">
            <v>3348</v>
          </cell>
          <cell r="F9" t="str">
            <v>Pat Murison</v>
          </cell>
          <cell r="G9" t="str">
            <v>Clayton-le-Moors All Saints Church of England Primary School</v>
          </cell>
          <cell r="H9" t="str">
            <v>North West</v>
          </cell>
          <cell r="I9" t="str">
            <v>Church Street</v>
          </cell>
          <cell r="J9" t="str">
            <v>Clayton-le-Moors</v>
          </cell>
          <cell r="L9" t="str">
            <v>Accrington</v>
          </cell>
          <cell r="M9" t="str">
            <v>Lancashire</v>
          </cell>
          <cell r="N9" t="str">
            <v>BB5 5HT</v>
          </cell>
          <cell r="O9" t="str">
            <v>head@allsaints-clm.lancs.sch.uk</v>
          </cell>
          <cell r="P9">
            <v>40711</v>
          </cell>
        </row>
        <row r="10">
          <cell r="A10">
            <v>8054131</v>
          </cell>
          <cell r="B10">
            <v>111746</v>
          </cell>
          <cell r="C10">
            <v>805</v>
          </cell>
          <cell r="D10" t="str">
            <v>Hartlepool</v>
          </cell>
          <cell r="E10">
            <v>4131</v>
          </cell>
          <cell r="F10" t="str">
            <v>Janet Smith</v>
          </cell>
          <cell r="G10" t="str">
            <v>Dyke House Sports and Technology College</v>
          </cell>
          <cell r="H10" t="str">
            <v>North East</v>
          </cell>
          <cell r="I10" t="str">
            <v>Mapleton Road</v>
          </cell>
          <cell r="L10" t="str">
            <v>Hartlepool</v>
          </cell>
          <cell r="N10" t="str">
            <v>TS24 8NQ</v>
          </cell>
          <cell r="O10" t="str">
            <v>wejordon@dykehouse.hartlepool.sch.uk</v>
          </cell>
          <cell r="P10">
            <v>40339</v>
          </cell>
        </row>
        <row r="11">
          <cell r="A11">
            <v>8883301</v>
          </cell>
          <cell r="B11">
            <v>119416</v>
          </cell>
          <cell r="C11">
            <v>888</v>
          </cell>
          <cell r="D11" t="str">
            <v>Lancashire</v>
          </cell>
          <cell r="E11">
            <v>3301</v>
          </cell>
          <cell r="F11" t="str">
            <v>Viv Clutton</v>
          </cell>
          <cell r="G11" t="str">
            <v>Fulwood St Peters CE Primary School</v>
          </cell>
          <cell r="H11" t="str">
            <v>North West</v>
          </cell>
          <cell r="I11" t="str">
            <v>Meadowfield</v>
          </cell>
          <cell r="J11" t="str">
            <v>Fulwood</v>
          </cell>
          <cell r="L11" t="str">
            <v>Preston</v>
          </cell>
          <cell r="M11" t="str">
            <v>Lancashire</v>
          </cell>
          <cell r="N11" t="str">
            <v>PR2 9RE</v>
          </cell>
          <cell r="O11" t="str">
            <v>head@st-peterscofe.lancs.sch.uk</v>
          </cell>
        </row>
        <row r="12">
          <cell r="A12">
            <v>9283032</v>
          </cell>
          <cell r="B12">
            <v>121974</v>
          </cell>
          <cell r="C12">
            <v>928</v>
          </cell>
          <cell r="D12" t="str">
            <v>Northamptonshire</v>
          </cell>
          <cell r="E12">
            <v>3032</v>
          </cell>
          <cell r="F12" t="str">
            <v>Sue Harp</v>
          </cell>
          <cell r="G12" t="str">
            <v>Greens Norton Church of England Primary School</v>
          </cell>
          <cell r="H12" t="str">
            <v>East Midlands</v>
          </cell>
          <cell r="I12" t="str">
            <v>Calvert Road</v>
          </cell>
          <cell r="J12" t="str">
            <v>Greens Norton</v>
          </cell>
          <cell r="L12" t="str">
            <v>Towcester</v>
          </cell>
          <cell r="M12" t="str">
            <v>Northamptonshire</v>
          </cell>
          <cell r="N12" t="str">
            <v>NN12 8DD</v>
          </cell>
          <cell r="O12" t="str">
            <v>head@greensnorton.northants-ecl.gov.uk</v>
          </cell>
        </row>
        <row r="13">
          <cell r="A13">
            <v>3432032</v>
          </cell>
          <cell r="B13">
            <v>104861</v>
          </cell>
          <cell r="C13">
            <v>343</v>
          </cell>
          <cell r="D13" t="str">
            <v>Sefton</v>
          </cell>
          <cell r="E13">
            <v>2032</v>
          </cell>
          <cell r="F13" t="str">
            <v>Maria Sabberton</v>
          </cell>
          <cell r="G13" t="str">
            <v>Churchtown Primary School</v>
          </cell>
          <cell r="H13" t="str">
            <v>North West</v>
          </cell>
          <cell r="I13" t="str">
            <v>St Cuthbert's Road</v>
          </cell>
          <cell r="J13" t="str">
            <v>Churchtown</v>
          </cell>
          <cell r="L13" t="str">
            <v>Southport</v>
          </cell>
          <cell r="M13" t="str">
            <v>Merseyside</v>
          </cell>
          <cell r="N13" t="str">
            <v>PR9 7NN</v>
          </cell>
          <cell r="O13" t="str">
            <v>dew@churchtown.org.uk</v>
          </cell>
        </row>
        <row r="14">
          <cell r="A14">
            <v>8605402</v>
          </cell>
          <cell r="B14">
            <v>124467</v>
          </cell>
          <cell r="C14">
            <v>860</v>
          </cell>
          <cell r="D14" t="str">
            <v>Staffordshire</v>
          </cell>
          <cell r="E14">
            <v>5402</v>
          </cell>
          <cell r="F14" t="str">
            <v>Hannah Copp</v>
          </cell>
          <cell r="G14" t="str">
            <v>Stafford Sports College</v>
          </cell>
          <cell r="H14" t="str">
            <v>West Midlands</v>
          </cell>
          <cell r="I14" t="str">
            <v>Wolverhampton Road</v>
          </cell>
          <cell r="L14" t="str">
            <v>Stafford</v>
          </cell>
          <cell r="M14" t="str">
            <v>Staffordshire</v>
          </cell>
          <cell r="N14" t="str">
            <v>ST17 9DJ</v>
          </cell>
          <cell r="O14" t="str">
            <v>rmb@staffordsportscollege.staffs.sch.uk</v>
          </cell>
          <cell r="P14">
            <v>40690</v>
          </cell>
        </row>
        <row r="15">
          <cell r="A15">
            <v>3932005</v>
          </cell>
          <cell r="B15">
            <v>108669</v>
          </cell>
          <cell r="C15">
            <v>393</v>
          </cell>
          <cell r="D15" t="str">
            <v>South Tyneside</v>
          </cell>
          <cell r="E15">
            <v>2005</v>
          </cell>
          <cell r="F15" t="str">
            <v>Bev Mullin</v>
          </cell>
          <cell r="G15" t="str">
            <v>Ridgeway Primary School</v>
          </cell>
          <cell r="H15" t="str">
            <v>North East</v>
          </cell>
          <cell r="I15" t="str">
            <v>Park Avenue</v>
          </cell>
          <cell r="L15" t="str">
            <v>South Shields</v>
          </cell>
          <cell r="M15" t="str">
            <v>Tyne and Wear</v>
          </cell>
          <cell r="N15" t="str">
            <v>NE34 8AB</v>
          </cell>
          <cell r="O15" t="str">
            <v>ridgeway@southtyneside.northerngrid.org</v>
          </cell>
        </row>
        <row r="16">
          <cell r="A16">
            <v>9362279</v>
          </cell>
          <cell r="B16">
            <v>125003</v>
          </cell>
          <cell r="C16">
            <v>936</v>
          </cell>
          <cell r="D16" t="str">
            <v>Surrey</v>
          </cell>
          <cell r="E16">
            <v>2279</v>
          </cell>
          <cell r="F16" t="str">
            <v>Gabriela Grimley</v>
          </cell>
          <cell r="G16" t="str">
            <v>West Byfleet Infant School</v>
          </cell>
          <cell r="H16" t="str">
            <v>South East</v>
          </cell>
          <cell r="I16" t="str">
            <v>Camphill Road</v>
          </cell>
          <cell r="L16" t="str">
            <v>West Byfleet</v>
          </cell>
          <cell r="M16" t="str">
            <v>Surrey</v>
          </cell>
          <cell r="N16" t="str">
            <v>KT14 6EF</v>
          </cell>
          <cell r="O16" t="str">
            <v>head@west-byfleet-infant.surrey.sch.uk</v>
          </cell>
        </row>
        <row r="17">
          <cell r="A17">
            <v>8832542</v>
          </cell>
          <cell r="B17">
            <v>114885</v>
          </cell>
          <cell r="C17">
            <v>883</v>
          </cell>
          <cell r="D17" t="str">
            <v>Thurrock</v>
          </cell>
          <cell r="E17">
            <v>2542</v>
          </cell>
          <cell r="F17" t="str">
            <v>Aminat Alli</v>
          </cell>
          <cell r="G17" t="str">
            <v>Stifford Primary School</v>
          </cell>
          <cell r="H17" t="str">
            <v>East of England</v>
          </cell>
          <cell r="I17" t="str">
            <v>Parker Road</v>
          </cell>
          <cell r="L17" t="str">
            <v>Grays</v>
          </cell>
          <cell r="M17" t="str">
            <v>Essex</v>
          </cell>
          <cell r="N17" t="str">
            <v>RM17 5YN</v>
          </cell>
          <cell r="O17" t="str">
            <v>headteacher@stiffordprimary.thurrock.sch.uk</v>
          </cell>
          <cell r="P17">
            <v>41022</v>
          </cell>
        </row>
        <row r="18">
          <cell r="A18">
            <v>3304300</v>
          </cell>
          <cell r="B18">
            <v>103521</v>
          </cell>
          <cell r="C18">
            <v>330</v>
          </cell>
          <cell r="D18" t="str">
            <v>Birmingham</v>
          </cell>
          <cell r="E18">
            <v>4300</v>
          </cell>
          <cell r="F18" t="str">
            <v>Lilian Da Cunha</v>
          </cell>
          <cell r="G18" t="str">
            <v>Sutton Coldfield Grammar School for Girls</v>
          </cell>
          <cell r="H18" t="str">
            <v>West Midlands</v>
          </cell>
          <cell r="I18" t="str">
            <v>Jockey Road</v>
          </cell>
          <cell r="L18" t="str">
            <v>Sutton Coldfield</v>
          </cell>
          <cell r="M18" t="str">
            <v>West Midlands</v>
          </cell>
          <cell r="N18" t="str">
            <v>B73 5PT</v>
          </cell>
          <cell r="O18" t="str">
            <v>msh@suttcold.bham.sch.uk</v>
          </cell>
          <cell r="P18">
            <v>40557</v>
          </cell>
        </row>
        <row r="19">
          <cell r="A19">
            <v>8553027</v>
          </cell>
          <cell r="B19">
            <v>120125</v>
          </cell>
          <cell r="C19">
            <v>855</v>
          </cell>
          <cell r="D19" t="str">
            <v>Leicestershire</v>
          </cell>
          <cell r="E19">
            <v>3027</v>
          </cell>
          <cell r="F19" t="str">
            <v>Sue Harp</v>
          </cell>
          <cell r="G19" t="str">
            <v>Croft Church of England Primary School</v>
          </cell>
          <cell r="H19" t="str">
            <v>East Midlands</v>
          </cell>
          <cell r="I19" t="str">
            <v>Brookes Avenue</v>
          </cell>
          <cell r="J19" t="str">
            <v>Croft</v>
          </cell>
          <cell r="L19" t="str">
            <v>Leicester</v>
          </cell>
          <cell r="M19" t="str">
            <v>Leicestershire</v>
          </cell>
          <cell r="N19" t="str">
            <v>LE9 3GJ</v>
          </cell>
          <cell r="O19" t="str">
            <v>gylesa2@croft.leics.sch.uk</v>
          </cell>
        </row>
        <row r="20">
          <cell r="A20">
            <v>9354056</v>
          </cell>
          <cell r="B20">
            <v>124817</v>
          </cell>
          <cell r="C20">
            <v>935</v>
          </cell>
          <cell r="D20" t="str">
            <v>Suffolk</v>
          </cell>
          <cell r="E20">
            <v>4056</v>
          </cell>
          <cell r="F20" t="str">
            <v>Struan Mackenzie</v>
          </cell>
          <cell r="G20" t="str">
            <v>Sir John Leman High School</v>
          </cell>
          <cell r="H20" t="str">
            <v>East of England</v>
          </cell>
          <cell r="I20" t="str">
            <v>Ringsfield Road</v>
          </cell>
          <cell r="L20" t="str">
            <v>Beccles</v>
          </cell>
          <cell r="M20" t="str">
            <v>Suffolk</v>
          </cell>
          <cell r="N20" t="str">
            <v>NR34 9PG</v>
          </cell>
          <cell r="O20" t="str">
            <v>jrowe@sjlhs.suffolk.sch.uk</v>
          </cell>
          <cell r="P20">
            <v>40640</v>
          </cell>
        </row>
        <row r="21">
          <cell r="A21">
            <v>8954121</v>
          </cell>
          <cell r="B21">
            <v>111404</v>
          </cell>
          <cell r="C21">
            <v>895</v>
          </cell>
          <cell r="D21" t="str">
            <v>Cheshire East</v>
          </cell>
          <cell r="E21">
            <v>4121</v>
          </cell>
          <cell r="F21" t="str">
            <v>Jane McCusker</v>
          </cell>
          <cell r="G21" t="str">
            <v>Alsager School</v>
          </cell>
          <cell r="H21" t="str">
            <v>North West</v>
          </cell>
          <cell r="I21" t="str">
            <v>Hassall Road</v>
          </cell>
          <cell r="J21" t="str">
            <v>Alsager</v>
          </cell>
          <cell r="L21" t="str">
            <v>Stoke-on-Trent</v>
          </cell>
          <cell r="M21" t="str">
            <v>Cheshire</v>
          </cell>
          <cell r="N21" t="str">
            <v>ST7 2HR</v>
          </cell>
          <cell r="O21" t="str">
            <v>David.Black@alsagerschool.co.uk</v>
          </cell>
        </row>
        <row r="22">
          <cell r="A22">
            <v>8555402</v>
          </cell>
          <cell r="B22">
            <v>120310</v>
          </cell>
          <cell r="C22">
            <v>855</v>
          </cell>
          <cell r="D22" t="str">
            <v>Leicestershire</v>
          </cell>
          <cell r="E22">
            <v>5402</v>
          </cell>
          <cell r="F22" t="str">
            <v>Stephen Standret</v>
          </cell>
          <cell r="G22" t="str">
            <v>South Wigston High School</v>
          </cell>
          <cell r="H22" t="str">
            <v>East Midlands</v>
          </cell>
          <cell r="I22" t="str">
            <v>St Thomas Road</v>
          </cell>
          <cell r="L22" t="str">
            <v>Wigston</v>
          </cell>
          <cell r="M22" t="str">
            <v>Leicestershire</v>
          </cell>
          <cell r="N22" t="str">
            <v>LE18 4TA</v>
          </cell>
          <cell r="O22" t="str">
            <v>gtoward1@southwigston.leics.sch.uk</v>
          </cell>
          <cell r="P22">
            <v>40858</v>
          </cell>
        </row>
        <row r="23">
          <cell r="A23">
            <v>3364731</v>
          </cell>
          <cell r="B23">
            <v>131547</v>
          </cell>
          <cell r="C23">
            <v>336</v>
          </cell>
          <cell r="D23" t="str">
            <v>Wolverhampton</v>
          </cell>
          <cell r="E23">
            <v>4731</v>
          </cell>
          <cell r="F23" t="str">
            <v>Hannah Copp</v>
          </cell>
          <cell r="G23" t="str">
            <v>The King's Church of England School</v>
          </cell>
          <cell r="H23" t="str">
            <v>West Midlands</v>
          </cell>
          <cell r="I23" t="str">
            <v>Regis Road</v>
          </cell>
          <cell r="J23" t="str">
            <v>Tettenhall</v>
          </cell>
          <cell r="L23" t="str">
            <v>Wolverhampton</v>
          </cell>
          <cell r="M23" t="str">
            <v>West Midlands</v>
          </cell>
          <cell r="N23" t="str">
            <v>WV6 8XG</v>
          </cell>
          <cell r="O23" t="str">
            <v>jallin@kings-wton.co.uk</v>
          </cell>
        </row>
        <row r="24">
          <cell r="A24">
            <v>8013431</v>
          </cell>
          <cell r="B24">
            <v>134862</v>
          </cell>
          <cell r="C24">
            <v>801</v>
          </cell>
          <cell r="D24" t="str">
            <v>Bristol City of</v>
          </cell>
          <cell r="E24">
            <v>3431</v>
          </cell>
          <cell r="F24" t="str">
            <v>Lilian Da Cunha</v>
          </cell>
          <cell r="G24" t="str">
            <v>Greenfield Primary School</v>
          </cell>
          <cell r="H24" t="str">
            <v>South West</v>
          </cell>
          <cell r="I24" t="str">
            <v>Novers Lane</v>
          </cell>
          <cell r="J24" t="str">
            <v>Novers Park</v>
          </cell>
          <cell r="L24" t="str">
            <v>Bristol</v>
          </cell>
          <cell r="N24" t="str">
            <v>BS4 1QW</v>
          </cell>
          <cell r="O24" t="str">
            <v>head.greenfield.p@bristol.gov.uk</v>
          </cell>
          <cell r="P24">
            <v>40949</v>
          </cell>
        </row>
        <row r="25">
          <cell r="A25">
            <v>9373591</v>
          </cell>
          <cell r="B25">
            <v>130877</v>
          </cell>
          <cell r="C25">
            <v>937</v>
          </cell>
          <cell r="D25" t="str">
            <v>Warwickshire</v>
          </cell>
          <cell r="E25">
            <v>3591</v>
          </cell>
          <cell r="F25" t="str">
            <v>Julia Waterhouse</v>
          </cell>
          <cell r="G25" t="str">
            <v>St Andrew's Benn CofE (Voluntary Aided) Primary School</v>
          </cell>
          <cell r="H25" t="str">
            <v>West Midlands</v>
          </cell>
          <cell r="I25" t="str">
            <v>Chester Street</v>
          </cell>
          <cell r="L25" t="str">
            <v>Rugby</v>
          </cell>
          <cell r="M25" t="str">
            <v>Warwickshire</v>
          </cell>
          <cell r="N25" t="str">
            <v>CV21 3NX</v>
          </cell>
          <cell r="O25" t="str">
            <v>head3591@we-learn.com</v>
          </cell>
          <cell r="P25">
            <v>41087</v>
          </cell>
        </row>
        <row r="26">
          <cell r="A26">
            <v>8913586</v>
          </cell>
          <cell r="B26">
            <v>122808</v>
          </cell>
          <cell r="C26">
            <v>891</v>
          </cell>
          <cell r="D26" t="str">
            <v>Nottinghamshire</v>
          </cell>
          <cell r="E26">
            <v>3586</v>
          </cell>
          <cell r="G26" t="str">
            <v>Sturton Le Steeple Church of England Primary School</v>
          </cell>
          <cell r="H26" t="str">
            <v>East Midlands</v>
          </cell>
          <cell r="I26" t="str">
            <v>Church Street</v>
          </cell>
          <cell r="J26" t="str">
            <v>Sturton-le-Steeple</v>
          </cell>
          <cell r="L26" t="str">
            <v>Retford</v>
          </cell>
          <cell r="M26" t="str">
            <v>Nottinghamshire</v>
          </cell>
          <cell r="N26" t="str">
            <v>DN22 9HQ</v>
          </cell>
          <cell r="O26" t="str">
            <v>head@sturton.notts.sch.uk</v>
          </cell>
        </row>
        <row r="27">
          <cell r="A27">
            <v>8101106</v>
          </cell>
          <cell r="B27">
            <v>117707</v>
          </cell>
          <cell r="C27">
            <v>810</v>
          </cell>
          <cell r="D27" t="str">
            <v>Kingston upon Hull City of</v>
          </cell>
          <cell r="E27">
            <v>1106</v>
          </cell>
          <cell r="F27" t="str">
            <v>Eric Mcewen</v>
          </cell>
          <cell r="G27" t="str">
            <v>The Schoolgirl Mums' Unit, Boulevard Centre</v>
          </cell>
          <cell r="H27" t="str">
            <v>Yorkshire and the Humber</v>
          </cell>
          <cell r="I27" t="str">
            <v>172 Boulevard</v>
          </cell>
          <cell r="J27" t="str">
            <v>Kingston-upon-Hull</v>
          </cell>
          <cell r="L27" t="str">
            <v>Hull</v>
          </cell>
          <cell r="N27" t="str">
            <v>HU3 3EL</v>
          </cell>
        </row>
        <row r="28">
          <cell r="A28">
            <v>3125407</v>
          </cell>
          <cell r="B28">
            <v>102447</v>
          </cell>
          <cell r="C28">
            <v>312</v>
          </cell>
          <cell r="D28" t="str">
            <v>Hillingdon</v>
          </cell>
          <cell r="E28">
            <v>5407</v>
          </cell>
          <cell r="F28" t="str">
            <v>Sheila Longstaff</v>
          </cell>
          <cell r="G28" t="str">
            <v>Mellow Lane School</v>
          </cell>
          <cell r="H28" t="str">
            <v>London</v>
          </cell>
          <cell r="I28" t="str">
            <v>Hewens Road</v>
          </cell>
          <cell r="L28" t="str">
            <v>Hayes</v>
          </cell>
          <cell r="N28" t="str">
            <v>UB4 8JP</v>
          </cell>
          <cell r="P28">
            <v>40612</v>
          </cell>
        </row>
        <row r="29">
          <cell r="A29">
            <v>3182039</v>
          </cell>
          <cell r="B29">
            <v>133343</v>
          </cell>
          <cell r="C29">
            <v>318</v>
          </cell>
          <cell r="D29" t="str">
            <v>Richmond upon Thames</v>
          </cell>
          <cell r="E29">
            <v>2039</v>
          </cell>
          <cell r="F29" t="str">
            <v>Tahir Shams</v>
          </cell>
          <cell r="G29" t="str">
            <v>Kew Riverside Primary School</v>
          </cell>
          <cell r="H29" t="str">
            <v>London</v>
          </cell>
          <cell r="I29" t="str">
            <v>37 Courtlands Avenue</v>
          </cell>
          <cell r="L29" t="str">
            <v>Richmond</v>
          </cell>
          <cell r="M29" t="str">
            <v>Surrey</v>
          </cell>
          <cell r="N29" t="str">
            <v>TW9 4ES</v>
          </cell>
          <cell r="O29" t="str">
            <v>debbieknight@kewriverside.richmond.sch.uk</v>
          </cell>
        </row>
        <row r="30">
          <cell r="A30">
            <v>8552192</v>
          </cell>
          <cell r="B30">
            <v>119992</v>
          </cell>
          <cell r="C30">
            <v>855</v>
          </cell>
          <cell r="D30" t="str">
            <v>Leicestershire</v>
          </cell>
          <cell r="E30">
            <v>2192</v>
          </cell>
          <cell r="F30" t="str">
            <v>Sue Harp</v>
          </cell>
          <cell r="G30" t="str">
            <v>Robert Bakewell Primary School and Community Centre</v>
          </cell>
          <cell r="H30" t="str">
            <v>East Midlands</v>
          </cell>
          <cell r="I30" t="str">
            <v>Barsby Drive</v>
          </cell>
          <cell r="L30" t="str">
            <v>Loughborough</v>
          </cell>
          <cell r="M30" t="str">
            <v>Leicestershire</v>
          </cell>
          <cell r="N30" t="str">
            <v>LE11 5UJ</v>
          </cell>
          <cell r="O30" t="str">
            <v>nikkiparkinson@robertbakewell.leics.sch.uk</v>
          </cell>
          <cell r="P30">
            <v>41047</v>
          </cell>
        </row>
        <row r="31">
          <cell r="A31">
            <v>3733431</v>
          </cell>
          <cell r="B31">
            <v>134959</v>
          </cell>
          <cell r="C31">
            <v>373</v>
          </cell>
          <cell r="D31" t="str">
            <v>Sheffield</v>
          </cell>
          <cell r="E31">
            <v>3431</v>
          </cell>
          <cell r="F31" t="str">
            <v>Bev Annables</v>
          </cell>
          <cell r="G31" t="str">
            <v>Southey Green Community Primary School and Nurseries</v>
          </cell>
          <cell r="H31" t="str">
            <v>Yorkshire and the Humber</v>
          </cell>
          <cell r="I31" t="str">
            <v>Crowder Avenue</v>
          </cell>
          <cell r="L31" t="str">
            <v>Sheffield</v>
          </cell>
          <cell r="M31" t="str">
            <v>South Yorkshire</v>
          </cell>
          <cell r="N31" t="str">
            <v>S5 7QG</v>
          </cell>
          <cell r="O31" t="str">
            <v>headteacher@southeygreen.sheffield.sch.uk</v>
          </cell>
          <cell r="P31">
            <v>40676</v>
          </cell>
        </row>
        <row r="32">
          <cell r="A32">
            <v>9364165</v>
          </cell>
          <cell r="B32">
            <v>125260</v>
          </cell>
          <cell r="C32">
            <v>936</v>
          </cell>
          <cell r="D32" t="str">
            <v>Surrey</v>
          </cell>
          <cell r="E32">
            <v>4165</v>
          </cell>
          <cell r="F32" t="str">
            <v>Gabriela Grimley</v>
          </cell>
          <cell r="G32" t="str">
            <v>Rodborough - a Specialist Technology School</v>
          </cell>
          <cell r="H32" t="str">
            <v>South East</v>
          </cell>
          <cell r="I32" t="str">
            <v>Rake Lane</v>
          </cell>
          <cell r="J32" t="str">
            <v>Milford</v>
          </cell>
          <cell r="L32" t="str">
            <v>Godalming</v>
          </cell>
          <cell r="M32" t="str">
            <v>Surrey</v>
          </cell>
          <cell r="N32" t="str">
            <v>GU8 5BZ</v>
          </cell>
          <cell r="O32" t="str">
            <v>asmith@rodborough.surrey.sch.uk</v>
          </cell>
          <cell r="P32">
            <v>40584</v>
          </cell>
        </row>
        <row r="33">
          <cell r="A33">
            <v>8864534</v>
          </cell>
          <cell r="B33">
            <v>118840</v>
          </cell>
          <cell r="C33">
            <v>886</v>
          </cell>
          <cell r="D33" t="str">
            <v>Kent</v>
          </cell>
          <cell r="E33">
            <v>4534</v>
          </cell>
          <cell r="F33" t="str">
            <v>Nicky Edwards</v>
          </cell>
          <cell r="G33" t="str">
            <v>Simon Langton Girls' Grammar School</v>
          </cell>
          <cell r="H33" t="str">
            <v>South East</v>
          </cell>
          <cell r="I33" t="str">
            <v>Old Dover Road</v>
          </cell>
          <cell r="L33" t="str">
            <v>Canterbury</v>
          </cell>
          <cell r="M33" t="str">
            <v>Kent</v>
          </cell>
          <cell r="N33" t="str">
            <v>CT1 3EW</v>
          </cell>
          <cell r="O33" t="str">
            <v>jrobinson@langton.kent.sch.uk</v>
          </cell>
        </row>
        <row r="34">
          <cell r="A34">
            <v>8505418</v>
          </cell>
          <cell r="B34">
            <v>116510</v>
          </cell>
          <cell r="C34">
            <v>850</v>
          </cell>
          <cell r="D34" t="str">
            <v>Hampshire</v>
          </cell>
          <cell r="E34">
            <v>5418</v>
          </cell>
          <cell r="F34" t="str">
            <v>Linda Brooks</v>
          </cell>
          <cell r="G34" t="str">
            <v>The Petersfield School</v>
          </cell>
          <cell r="H34" t="str">
            <v>South East</v>
          </cell>
          <cell r="I34" t="str">
            <v>Cranford Road</v>
          </cell>
          <cell r="L34" t="str">
            <v>Petersfield</v>
          </cell>
          <cell r="M34" t="str">
            <v>Hampshire</v>
          </cell>
          <cell r="N34" t="str">
            <v>GU32 3LU</v>
          </cell>
          <cell r="O34" t="str">
            <v>npoole@petersfieldschool.com</v>
          </cell>
          <cell r="P34">
            <v>40569</v>
          </cell>
        </row>
        <row r="35">
          <cell r="A35">
            <v>8774200</v>
          </cell>
          <cell r="B35">
            <v>111430</v>
          </cell>
          <cell r="C35">
            <v>877</v>
          </cell>
          <cell r="D35" t="str">
            <v>Warrington</v>
          </cell>
          <cell r="E35">
            <v>4200</v>
          </cell>
          <cell r="F35" t="str">
            <v>Maria Sabberton</v>
          </cell>
          <cell r="G35" t="str">
            <v>Culcheth High School</v>
          </cell>
          <cell r="H35" t="str">
            <v>North West</v>
          </cell>
          <cell r="I35" t="str">
            <v>Withington Avenue</v>
          </cell>
          <cell r="J35" t="str">
            <v>Culcheth</v>
          </cell>
          <cell r="L35" t="str">
            <v>Warrington</v>
          </cell>
          <cell r="M35" t="str">
            <v>Cheshire</v>
          </cell>
          <cell r="N35" t="str">
            <v>WA3 4JQ</v>
          </cell>
          <cell r="O35" t="str">
            <v>MF@culchethhigh.org.uk</v>
          </cell>
          <cell r="P35">
            <v>40654</v>
          </cell>
        </row>
        <row r="36">
          <cell r="A36">
            <v>3412001</v>
          </cell>
          <cell r="B36">
            <v>134210</v>
          </cell>
          <cell r="C36">
            <v>341</v>
          </cell>
          <cell r="D36" t="str">
            <v>Liverpool</v>
          </cell>
          <cell r="E36">
            <v>2001</v>
          </cell>
          <cell r="F36" t="str">
            <v>Maria Sabberton</v>
          </cell>
          <cell r="G36" t="str">
            <v>Childwall Valley Primary School</v>
          </cell>
          <cell r="H36" t="str">
            <v>North West</v>
          </cell>
          <cell r="I36" t="str">
            <v>Craighurst Road</v>
          </cell>
          <cell r="L36" t="str">
            <v>Liverpool</v>
          </cell>
          <cell r="M36" t="str">
            <v>Merseyside</v>
          </cell>
          <cell r="N36" t="str">
            <v>L25 1NW</v>
          </cell>
          <cell r="O36" t="str">
            <v>k.basnett@childwallvalley.liverpool.sch.uk</v>
          </cell>
        </row>
        <row r="37">
          <cell r="A37">
            <v>8894001</v>
          </cell>
          <cell r="B37">
            <v>119708</v>
          </cell>
          <cell r="C37">
            <v>889</v>
          </cell>
          <cell r="D37" t="str">
            <v>Blackburn with Darwen</v>
          </cell>
          <cell r="E37">
            <v>4001</v>
          </cell>
          <cell r="F37" t="str">
            <v>Jane McCusker</v>
          </cell>
          <cell r="G37" t="str">
            <v>Beardwood Humanities College</v>
          </cell>
          <cell r="H37" t="str">
            <v>North West</v>
          </cell>
          <cell r="I37" t="str">
            <v>Preston New Road</v>
          </cell>
          <cell r="L37" t="str">
            <v>Blackburn</v>
          </cell>
          <cell r="M37" t="str">
            <v>Lancashire</v>
          </cell>
          <cell r="N37" t="str">
            <v>BB2 7AD</v>
          </cell>
          <cell r="P37">
            <v>40686</v>
          </cell>
        </row>
        <row r="38">
          <cell r="A38">
            <v>8503014</v>
          </cell>
          <cell r="B38">
            <v>116273</v>
          </cell>
          <cell r="C38">
            <v>850</v>
          </cell>
          <cell r="D38" t="str">
            <v>Hampshire</v>
          </cell>
          <cell r="E38">
            <v>3014</v>
          </cell>
          <cell r="F38" t="str">
            <v>Amanda Barrett</v>
          </cell>
          <cell r="G38" t="str">
            <v>Botley Church of England Controlled Primary School</v>
          </cell>
          <cell r="H38" t="str">
            <v>South East</v>
          </cell>
          <cell r="I38" t="str">
            <v>52 High Street</v>
          </cell>
          <cell r="J38" t="str">
            <v>Botley</v>
          </cell>
          <cell r="L38" t="str">
            <v>Southampton</v>
          </cell>
          <cell r="M38" t="str">
            <v>Hampshire</v>
          </cell>
          <cell r="N38" t="str">
            <v>SO30 2EA</v>
          </cell>
          <cell r="O38" t="str">
            <v>sian.tomlin@botley.hants.sch.uk</v>
          </cell>
        </row>
        <row r="39">
          <cell r="A39">
            <v>8652226</v>
          </cell>
          <cell r="B39">
            <v>126292</v>
          </cell>
          <cell r="C39">
            <v>865</v>
          </cell>
          <cell r="D39" t="str">
            <v>Wiltshire</v>
          </cell>
          <cell r="E39">
            <v>2226</v>
          </cell>
          <cell r="F39" t="str">
            <v>Theresa Oddelm</v>
          </cell>
          <cell r="G39" t="str">
            <v>Charter Primary School</v>
          </cell>
          <cell r="H39" t="str">
            <v>South West</v>
          </cell>
          <cell r="I39" t="str">
            <v>Wood Lane</v>
          </cell>
          <cell r="L39" t="str">
            <v>Chippenham</v>
          </cell>
          <cell r="M39" t="str">
            <v>Wiltshire</v>
          </cell>
          <cell r="N39" t="str">
            <v>SN15 3EA</v>
          </cell>
          <cell r="O39" t="str">
            <v>head@charter.wilts.sch.uk</v>
          </cell>
        </row>
        <row r="40">
          <cell r="A40">
            <v>8552078</v>
          </cell>
          <cell r="B40">
            <v>119942</v>
          </cell>
          <cell r="C40">
            <v>855</v>
          </cell>
          <cell r="D40" t="str">
            <v>Leicestershire</v>
          </cell>
          <cell r="E40">
            <v>2078</v>
          </cell>
          <cell r="F40" t="str">
            <v>Stephen Standret</v>
          </cell>
          <cell r="G40" t="str">
            <v>Newbold Verdon Primary School</v>
          </cell>
          <cell r="H40" t="str">
            <v>East Midlands</v>
          </cell>
          <cell r="I40" t="str">
            <v>Dragon Lane</v>
          </cell>
          <cell r="J40" t="str">
            <v>Newbold Verdon</v>
          </cell>
          <cell r="L40" t="str">
            <v>Leicester</v>
          </cell>
          <cell r="M40" t="str">
            <v>Leicestershire</v>
          </cell>
          <cell r="N40" t="str">
            <v>LE9 9NG</v>
          </cell>
          <cell r="O40" t="str">
            <v xml:space="preserve"> ict.admin@newboldverdon.leics.sch.uk</v>
          </cell>
        </row>
        <row r="41">
          <cell r="A41">
            <v>8822123</v>
          </cell>
          <cell r="B41">
            <v>114786</v>
          </cell>
          <cell r="C41">
            <v>882</v>
          </cell>
          <cell r="D41" t="str">
            <v>Southend-on-Sea</v>
          </cell>
          <cell r="E41">
            <v>2123</v>
          </cell>
          <cell r="F41" t="str">
            <v>Michael Cook</v>
          </cell>
          <cell r="G41" t="str">
            <v>Bournes Green Junior School</v>
          </cell>
          <cell r="H41" t="str">
            <v>East of England</v>
          </cell>
          <cell r="I41" t="str">
            <v>Ladram Road</v>
          </cell>
          <cell r="L41" t="str">
            <v>Southend-on-Sea</v>
          </cell>
          <cell r="M41" t="str">
            <v>Essex</v>
          </cell>
          <cell r="N41" t="str">
            <v>SS1 3PX</v>
          </cell>
          <cell r="O41" t="str">
            <v>whitestewartw@aol.com</v>
          </cell>
        </row>
        <row r="42">
          <cell r="A42">
            <v>8554034</v>
          </cell>
          <cell r="B42">
            <v>120257</v>
          </cell>
          <cell r="C42">
            <v>855</v>
          </cell>
          <cell r="D42" t="str">
            <v>Leicestershire</v>
          </cell>
          <cell r="E42">
            <v>4034</v>
          </cell>
          <cell r="F42" t="str">
            <v>Colin McGuffie</v>
          </cell>
          <cell r="G42" t="str">
            <v>Shepshed High School</v>
          </cell>
          <cell r="H42" t="str">
            <v>East Midlands</v>
          </cell>
          <cell r="I42" t="str">
            <v>Forest Street</v>
          </cell>
          <cell r="J42" t="str">
            <v>Shepshed</v>
          </cell>
          <cell r="L42" t="str">
            <v>Loughborough</v>
          </cell>
          <cell r="M42" t="str">
            <v>Leicestershire</v>
          </cell>
          <cell r="N42" t="str">
            <v>LE12 9DA</v>
          </cell>
          <cell r="O42" t="str">
            <v>astephenson2@shepshed-high.leics.sch.uk</v>
          </cell>
          <cell r="P42">
            <v>41179</v>
          </cell>
        </row>
        <row r="43">
          <cell r="A43">
            <v>8554015</v>
          </cell>
          <cell r="B43">
            <v>120244</v>
          </cell>
          <cell r="C43">
            <v>855</v>
          </cell>
          <cell r="D43" t="str">
            <v>Leicestershire</v>
          </cell>
          <cell r="E43">
            <v>4015</v>
          </cell>
          <cell r="F43" t="str">
            <v>Stephen Standret</v>
          </cell>
          <cell r="G43" t="str">
            <v>Lutterworth High School</v>
          </cell>
          <cell r="H43" t="str">
            <v>East Midlands</v>
          </cell>
          <cell r="I43" t="str">
            <v>Woodway Road</v>
          </cell>
          <cell r="L43" t="str">
            <v>Lutterworth</v>
          </cell>
          <cell r="M43" t="str">
            <v>Leicestershire</v>
          </cell>
          <cell r="N43" t="str">
            <v>LE17 4QH</v>
          </cell>
          <cell r="O43" t="str">
            <v>nparker@lutterworthhigh.leics.sch.uk</v>
          </cell>
          <cell r="P43">
            <v>40603</v>
          </cell>
        </row>
        <row r="44">
          <cell r="A44">
            <v>8373675</v>
          </cell>
          <cell r="B44">
            <v>113838</v>
          </cell>
          <cell r="C44">
            <v>837</v>
          </cell>
          <cell r="D44" t="str">
            <v>Bournemouth</v>
          </cell>
          <cell r="E44">
            <v>3675</v>
          </cell>
          <cell r="F44" t="str">
            <v>Theresa Oddelm</v>
          </cell>
          <cell r="G44" t="str">
            <v>Moordown St John's Church of England Primary School</v>
          </cell>
          <cell r="H44" t="str">
            <v>South West</v>
          </cell>
          <cell r="I44" t="str">
            <v>Vicarage Road</v>
          </cell>
          <cell r="J44" t="str">
            <v>Moordown</v>
          </cell>
          <cell r="L44" t="str">
            <v>Bournemouth</v>
          </cell>
          <cell r="M44" t="str">
            <v>Dorset</v>
          </cell>
          <cell r="N44" t="str">
            <v>BH9 2SA</v>
          </cell>
          <cell r="O44" t="str">
            <v>peter.herbert@bournemouth.gov.uk</v>
          </cell>
        </row>
        <row r="45">
          <cell r="A45">
            <v>8865431</v>
          </cell>
          <cell r="B45">
            <v>118903</v>
          </cell>
          <cell r="C45">
            <v>886</v>
          </cell>
          <cell r="D45" t="str">
            <v>Kent</v>
          </cell>
          <cell r="E45">
            <v>5431</v>
          </cell>
          <cell r="F45" t="str">
            <v>Tony Dunne</v>
          </cell>
          <cell r="G45" t="str">
            <v>Hugh Christie Technology College</v>
          </cell>
          <cell r="H45" t="str">
            <v>South East</v>
          </cell>
          <cell r="I45" t="str">
            <v>White Cottage Road</v>
          </cell>
          <cell r="L45" t="str">
            <v>Tonbridge</v>
          </cell>
          <cell r="M45" t="str">
            <v>Kent</v>
          </cell>
          <cell r="N45" t="str">
            <v>TN10 4PU</v>
          </cell>
          <cell r="O45" t="str">
            <v>jbarker@hughchristie.kent.sch.uk</v>
          </cell>
        </row>
        <row r="46">
          <cell r="A46">
            <v>8815454</v>
          </cell>
          <cell r="B46">
            <v>115370</v>
          </cell>
          <cell r="C46">
            <v>881</v>
          </cell>
          <cell r="D46" t="str">
            <v>Essex</v>
          </cell>
          <cell r="E46">
            <v>5454</v>
          </cell>
          <cell r="F46" t="str">
            <v>Claire Ivie</v>
          </cell>
          <cell r="G46" t="str">
            <v>Colchester County High School for Girls</v>
          </cell>
          <cell r="H46" t="str">
            <v>East of England</v>
          </cell>
          <cell r="I46" t="str">
            <v>Norman Way</v>
          </cell>
          <cell r="L46" t="str">
            <v>Colchester</v>
          </cell>
          <cell r="M46" t="str">
            <v>Essex</v>
          </cell>
          <cell r="N46" t="str">
            <v>CO3 3US</v>
          </cell>
          <cell r="O46" t="str">
            <v>gmarshall@colchestergirls.essex.sch.uk</v>
          </cell>
          <cell r="P46">
            <v>40674</v>
          </cell>
        </row>
        <row r="47">
          <cell r="A47">
            <v>9084144</v>
          </cell>
          <cell r="B47">
            <v>112041</v>
          </cell>
          <cell r="C47">
            <v>908</v>
          </cell>
          <cell r="D47" t="str">
            <v>Cornwall</v>
          </cell>
          <cell r="E47">
            <v>4144</v>
          </cell>
          <cell r="F47" t="str">
            <v>Kate Bosher</v>
          </cell>
          <cell r="G47" t="str">
            <v>Torpoint Community College</v>
          </cell>
          <cell r="H47" t="str">
            <v>South West</v>
          </cell>
          <cell r="I47" t="str">
            <v>Trevol Road</v>
          </cell>
          <cell r="L47" t="str">
            <v>Torpoint</v>
          </cell>
          <cell r="M47" t="str">
            <v>Cornwall</v>
          </cell>
          <cell r="N47" t="str">
            <v>PL11 2NH</v>
          </cell>
          <cell r="O47" t="str">
            <v>hazeldine@torpoint.cornwall.sch.uk</v>
          </cell>
        </row>
        <row r="48">
          <cell r="A48">
            <v>3123409</v>
          </cell>
          <cell r="B48">
            <v>131927</v>
          </cell>
          <cell r="C48">
            <v>312</v>
          </cell>
          <cell r="D48" t="str">
            <v>Hillingdon</v>
          </cell>
          <cell r="E48">
            <v>3409</v>
          </cell>
          <cell r="F48" t="str">
            <v>Martin Rowley</v>
          </cell>
          <cell r="G48" t="str">
            <v>Guru Nanak Sikh Primary School</v>
          </cell>
          <cell r="H48" t="str">
            <v>London</v>
          </cell>
          <cell r="I48" t="str">
            <v>Springfield Road</v>
          </cell>
          <cell r="L48" t="str">
            <v>Hayes</v>
          </cell>
          <cell r="N48" t="str">
            <v>UB4 0LT</v>
          </cell>
          <cell r="O48" t="str">
            <v>rsandhu@hillingdongrid.org</v>
          </cell>
        </row>
        <row r="49">
          <cell r="A49">
            <v>8012323</v>
          </cell>
          <cell r="B49">
            <v>109127</v>
          </cell>
          <cell r="C49">
            <v>801</v>
          </cell>
          <cell r="D49" t="str">
            <v>Bristol City of</v>
          </cell>
          <cell r="E49">
            <v>2323</v>
          </cell>
          <cell r="G49" t="str">
            <v>Bridge Learning Campus Primary</v>
          </cell>
          <cell r="H49" t="str">
            <v>South West</v>
          </cell>
          <cell r="I49" t="str">
            <v>Bridge Learning Campus</v>
          </cell>
          <cell r="J49" t="str">
            <v>Bishport Avenue</v>
          </cell>
          <cell r="L49" t="str">
            <v>Hartcliffe</v>
          </cell>
          <cell r="M49" t="str">
            <v>Bristol</v>
          </cell>
          <cell r="N49" t="str">
            <v>BS13 0RH</v>
          </cell>
          <cell r="O49" t="str">
            <v>mdavies@bridgelearningcampus.com</v>
          </cell>
        </row>
        <row r="50">
          <cell r="A50">
            <v>8804119</v>
          </cell>
          <cell r="B50">
            <v>113528</v>
          </cell>
          <cell r="C50">
            <v>880</v>
          </cell>
          <cell r="D50" t="str">
            <v>Torbay</v>
          </cell>
          <cell r="E50">
            <v>4119</v>
          </cell>
          <cell r="F50" t="str">
            <v>Bola Bakrin</v>
          </cell>
          <cell r="G50" t="str">
            <v>Paignton Community and Sports College</v>
          </cell>
          <cell r="H50" t="str">
            <v>South West</v>
          </cell>
          <cell r="I50" t="str">
            <v>Waterleat Road</v>
          </cell>
          <cell r="L50" t="str">
            <v>Paignton</v>
          </cell>
          <cell r="M50" t="str">
            <v>Devon</v>
          </cell>
          <cell r="N50" t="str">
            <v>TQ3 3WA</v>
          </cell>
          <cell r="O50" t="str">
            <v>mjenglish@blueyonder.co.uk</v>
          </cell>
        </row>
        <row r="51">
          <cell r="A51">
            <v>3524281</v>
          </cell>
          <cell r="B51">
            <v>105569</v>
          </cell>
          <cell r="C51">
            <v>352</v>
          </cell>
          <cell r="D51" t="str">
            <v>Manchester</v>
          </cell>
          <cell r="E51">
            <v>4281</v>
          </cell>
          <cell r="F51" t="str">
            <v>Viv Clutton</v>
          </cell>
          <cell r="G51" t="str">
            <v>Chorlton High School</v>
          </cell>
          <cell r="H51" t="str">
            <v>North West</v>
          </cell>
          <cell r="I51" t="str">
            <v>Nell Lane</v>
          </cell>
          <cell r="J51" t="str">
            <v>Chorlton-Cum-Hardy</v>
          </cell>
          <cell r="L51" t="str">
            <v>Manchester</v>
          </cell>
          <cell r="N51" t="str">
            <v>M21 7SL</v>
          </cell>
          <cell r="O51" t="str">
            <v>a.park@chorltonhigh.manchester.sch.uk</v>
          </cell>
          <cell r="P51">
            <v>41086</v>
          </cell>
        </row>
        <row r="52">
          <cell r="A52">
            <v>3733406</v>
          </cell>
          <cell r="B52">
            <v>107113</v>
          </cell>
          <cell r="C52">
            <v>373</v>
          </cell>
          <cell r="D52" t="str">
            <v>Sheffield</v>
          </cell>
          <cell r="E52">
            <v>3406</v>
          </cell>
          <cell r="F52" t="str">
            <v>Michael Corner</v>
          </cell>
          <cell r="G52" t="str">
            <v>St Marie's Catholic Primary School</v>
          </cell>
          <cell r="H52" t="str">
            <v>Yorkshire and the Humber</v>
          </cell>
          <cell r="I52" t="str">
            <v>Fulwood Road</v>
          </cell>
          <cell r="L52" t="str">
            <v>Sheffield</v>
          </cell>
          <cell r="M52" t="str">
            <v>South Yorkshire</v>
          </cell>
          <cell r="N52" t="str">
            <v>S10 3DQ</v>
          </cell>
          <cell r="O52" t="str">
            <v>headteacher@stmarieslearning.co.uk</v>
          </cell>
          <cell r="P52">
            <v>41061</v>
          </cell>
        </row>
        <row r="53">
          <cell r="A53">
            <v>3344014</v>
          </cell>
          <cell r="B53">
            <v>104109</v>
          </cell>
          <cell r="C53">
            <v>334</v>
          </cell>
          <cell r="D53" t="str">
            <v>Solihull</v>
          </cell>
          <cell r="E53">
            <v>4014</v>
          </cell>
          <cell r="F53" t="str">
            <v>Beverley Samuel</v>
          </cell>
          <cell r="G53" t="str">
            <v>Tudor Grange School</v>
          </cell>
          <cell r="H53" t="str">
            <v>West Midlands</v>
          </cell>
          <cell r="I53" t="str">
            <v>Dingle Lane</v>
          </cell>
          <cell r="L53" t="str">
            <v>Solihull</v>
          </cell>
          <cell r="M53" t="str">
            <v>West Midlands</v>
          </cell>
          <cell r="N53" t="str">
            <v>B91 3PD</v>
          </cell>
          <cell r="O53" t="str">
            <v>jbexon-smith@tudor-grange.solihull.sch.uk</v>
          </cell>
          <cell r="P53">
            <v>40346</v>
          </cell>
        </row>
        <row r="54">
          <cell r="A54">
            <v>8733011</v>
          </cell>
          <cell r="B54">
            <v>110786</v>
          </cell>
          <cell r="C54">
            <v>873</v>
          </cell>
          <cell r="D54" t="str">
            <v>Cambridgeshire</v>
          </cell>
          <cell r="E54">
            <v>3011</v>
          </cell>
          <cell r="F54" t="str">
            <v>Claire Ivie</v>
          </cell>
          <cell r="G54" t="str">
            <v>Coton Church of England (Voluntary Controlled) Primary School</v>
          </cell>
          <cell r="H54" t="str">
            <v>East of England</v>
          </cell>
          <cell r="I54" t="str">
            <v>Whitwell Way</v>
          </cell>
          <cell r="J54" t="str">
            <v>Coton</v>
          </cell>
          <cell r="L54" t="str">
            <v>Cambridge</v>
          </cell>
          <cell r="M54" t="str">
            <v>Cambridgeshire</v>
          </cell>
          <cell r="N54" t="str">
            <v>CB23 7PW</v>
          </cell>
          <cell r="O54" t="str">
            <v>head@coton.cambs.sch.uk</v>
          </cell>
        </row>
        <row r="55">
          <cell r="A55">
            <v>9162168</v>
          </cell>
          <cell r="B55">
            <v>115599</v>
          </cell>
          <cell r="C55">
            <v>916</v>
          </cell>
          <cell r="D55" t="str">
            <v>Gloucestershire</v>
          </cell>
          <cell r="E55">
            <v>2168</v>
          </cell>
          <cell r="F55" t="str">
            <v>Nigel Mills</v>
          </cell>
          <cell r="G55" t="str">
            <v>Field Court Junior School</v>
          </cell>
          <cell r="H55" t="str">
            <v>South West</v>
          </cell>
          <cell r="I55" t="str">
            <v>Courtfield Road</v>
          </cell>
          <cell r="J55" t="str">
            <v>Quedgeley</v>
          </cell>
          <cell r="L55" t="str">
            <v>Gloucester</v>
          </cell>
          <cell r="M55" t="str">
            <v>Gloucestershire</v>
          </cell>
          <cell r="N55" t="str">
            <v>GL2 4UF</v>
          </cell>
          <cell r="O55" t="str">
            <v>head@fieldcourt-jun.gloucs.sch.uk</v>
          </cell>
          <cell r="P55">
            <v>40675</v>
          </cell>
        </row>
        <row r="56">
          <cell r="A56">
            <v>8825447</v>
          </cell>
          <cell r="B56">
            <v>115363</v>
          </cell>
          <cell r="C56">
            <v>882</v>
          </cell>
          <cell r="D56" t="str">
            <v>Southend-on-Sea</v>
          </cell>
          <cell r="E56">
            <v>5447</v>
          </cell>
          <cell r="F56" t="str">
            <v>Michael Cook</v>
          </cell>
          <cell r="G56" t="str">
            <v>St Thomas More High School for Boys</v>
          </cell>
          <cell r="H56" t="str">
            <v>East of England</v>
          </cell>
          <cell r="I56" t="str">
            <v>Kenilworth Gardens</v>
          </cell>
          <cell r="L56" t="str">
            <v>Westcliff-on-Sea</v>
          </cell>
          <cell r="M56" t="str">
            <v>Essex</v>
          </cell>
          <cell r="N56" t="str">
            <v>SS0 0BW</v>
          </cell>
          <cell r="P56">
            <v>40673</v>
          </cell>
        </row>
        <row r="57">
          <cell r="A57">
            <v>8305415</v>
          </cell>
          <cell r="B57">
            <v>113000</v>
          </cell>
          <cell r="C57">
            <v>830</v>
          </cell>
          <cell r="D57" t="str">
            <v>Derbyshire</v>
          </cell>
          <cell r="E57">
            <v>5415</v>
          </cell>
          <cell r="F57" t="str">
            <v>Pauline Cole</v>
          </cell>
          <cell r="G57" t="str">
            <v>Saint John Houghton Catholic School</v>
          </cell>
          <cell r="H57" t="str">
            <v>East Midlands</v>
          </cell>
          <cell r="I57" t="str">
            <v>Abbot Road</v>
          </cell>
          <cell r="J57" t="str">
            <v>Kirk Hallam</v>
          </cell>
          <cell r="L57" t="str">
            <v>Ilkeston</v>
          </cell>
          <cell r="M57" t="str">
            <v>Derbyshire</v>
          </cell>
          <cell r="N57" t="str">
            <v>DE7 4HX</v>
          </cell>
          <cell r="O57" t="str">
            <v>head@st-johnhoughton.derbyshire.sch.uk</v>
          </cell>
          <cell r="P57">
            <v>40857</v>
          </cell>
        </row>
        <row r="58">
          <cell r="A58">
            <v>8302358</v>
          </cell>
          <cell r="B58">
            <v>112696</v>
          </cell>
          <cell r="C58">
            <v>830</v>
          </cell>
          <cell r="D58" t="str">
            <v>Derbyshire</v>
          </cell>
          <cell r="E58">
            <v>2358</v>
          </cell>
          <cell r="F58" t="str">
            <v>Gabriela Grimley</v>
          </cell>
          <cell r="G58" t="str">
            <v>Lenthall Infant and Nursery School</v>
          </cell>
          <cell r="H58" t="str">
            <v>East Midlands</v>
          </cell>
          <cell r="I58" t="str">
            <v>Marsh Avenue</v>
          </cell>
          <cell r="L58" t="str">
            <v>Dronfield</v>
          </cell>
          <cell r="M58" t="str">
            <v>Derbyshire</v>
          </cell>
          <cell r="N58" t="str">
            <v>S18 2HB</v>
          </cell>
          <cell r="O58" t="str">
            <v>HEADTEACHER@LENTHALL.DERBYSHIRE.SCH.UK</v>
          </cell>
        </row>
        <row r="59">
          <cell r="A59">
            <v>8863329</v>
          </cell>
          <cell r="B59">
            <v>118731</v>
          </cell>
          <cell r="C59">
            <v>886</v>
          </cell>
          <cell r="D59" t="str">
            <v>Kent</v>
          </cell>
          <cell r="E59">
            <v>3329</v>
          </cell>
          <cell r="F59" t="str">
            <v>Nicky Edwards</v>
          </cell>
          <cell r="G59" t="str">
            <v>Borden Church of England Primary School</v>
          </cell>
          <cell r="H59" t="str">
            <v>South East</v>
          </cell>
          <cell r="I59" t="str">
            <v>School Lane</v>
          </cell>
          <cell r="J59" t="str">
            <v>Borden</v>
          </cell>
          <cell r="L59" t="str">
            <v>Sittingbourne</v>
          </cell>
          <cell r="M59" t="str">
            <v>Kent</v>
          </cell>
          <cell r="N59" t="str">
            <v>ME9 8JS</v>
          </cell>
          <cell r="O59" t="str">
            <v>headteacher@borden.kent.sch.uk</v>
          </cell>
        </row>
        <row r="60">
          <cell r="A60">
            <v>8107028</v>
          </cell>
          <cell r="B60">
            <v>134626</v>
          </cell>
          <cell r="C60">
            <v>810</v>
          </cell>
          <cell r="D60" t="str">
            <v>Kingston upon Hull City of</v>
          </cell>
          <cell r="E60">
            <v>7028</v>
          </cell>
          <cell r="F60" t="str">
            <v>Glyn Newton</v>
          </cell>
          <cell r="G60" t="str">
            <v>Ganton Special School</v>
          </cell>
          <cell r="H60" t="str">
            <v>Yorkshire and the Humber</v>
          </cell>
          <cell r="I60" t="str">
            <v>Springhead Lane</v>
          </cell>
          <cell r="J60" t="str">
            <v>Willerby Road</v>
          </cell>
          <cell r="L60" t="str">
            <v>Hull</v>
          </cell>
          <cell r="N60" t="str">
            <v>HU5 5YJ</v>
          </cell>
          <cell r="O60" t="str">
            <v>tpriestley@ganton.hull.sch.uk</v>
          </cell>
        </row>
        <row r="61">
          <cell r="A61">
            <v>8912611</v>
          </cell>
          <cell r="B61">
            <v>122603</v>
          </cell>
          <cell r="C61">
            <v>891</v>
          </cell>
          <cell r="D61" t="str">
            <v>Nottinghamshire</v>
          </cell>
          <cell r="E61">
            <v>2611</v>
          </cell>
          <cell r="F61" t="str">
            <v>Sue Harp</v>
          </cell>
          <cell r="G61" t="str">
            <v>Redlands Primary and Nursery School</v>
          </cell>
          <cell r="H61" t="str">
            <v>East Midlands</v>
          </cell>
          <cell r="I61" t="str">
            <v>Crown Street</v>
          </cell>
          <cell r="L61" t="str">
            <v>Worksop</v>
          </cell>
          <cell r="M61" t="str">
            <v>Nottinghamshire</v>
          </cell>
          <cell r="N61" t="str">
            <v>S80 1TH</v>
          </cell>
          <cell r="O61" t="str">
            <v>head@redlands.notts.sch.uk</v>
          </cell>
        </row>
        <row r="62">
          <cell r="A62">
            <v>9354030</v>
          </cell>
          <cell r="B62">
            <v>124807</v>
          </cell>
          <cell r="C62">
            <v>935</v>
          </cell>
          <cell r="D62" t="str">
            <v>Suffolk</v>
          </cell>
          <cell r="E62">
            <v>4030</v>
          </cell>
          <cell r="F62" t="str">
            <v>Claire Ivie</v>
          </cell>
          <cell r="G62" t="str">
            <v>Westley Middle School</v>
          </cell>
          <cell r="H62" t="str">
            <v>East of England</v>
          </cell>
          <cell r="I62" t="str">
            <v>Oliver Road</v>
          </cell>
          <cell r="L62" t="str">
            <v>Bury St Edmunds</v>
          </cell>
          <cell r="M62" t="str">
            <v>Suffolk</v>
          </cell>
          <cell r="N62" t="str">
            <v>IP33 3JB</v>
          </cell>
          <cell r="O62" t="str">
            <v>ht.westley.m@talk21.com</v>
          </cell>
          <cell r="P62">
            <v>40557</v>
          </cell>
        </row>
        <row r="63">
          <cell r="A63">
            <v>3734280</v>
          </cell>
          <cell r="B63">
            <v>131546</v>
          </cell>
          <cell r="C63">
            <v>373</v>
          </cell>
          <cell r="D63" t="str">
            <v>Sheffield</v>
          </cell>
          <cell r="E63">
            <v>4280</v>
          </cell>
          <cell r="F63" t="str">
            <v>Bev Annables</v>
          </cell>
          <cell r="G63" t="str">
            <v>Fir Vale School</v>
          </cell>
          <cell r="H63" t="str">
            <v>Yorkshire and the Humber</v>
          </cell>
          <cell r="I63" t="str">
            <v>Owler Lane</v>
          </cell>
          <cell r="L63" t="str">
            <v>Sheffield</v>
          </cell>
          <cell r="M63" t="str">
            <v>South Yorkshire</v>
          </cell>
          <cell r="N63" t="str">
            <v>S4 8GB</v>
          </cell>
          <cell r="O63" t="str">
            <v>bmartin@firvale.com</v>
          </cell>
          <cell r="P63">
            <v>40725</v>
          </cell>
        </row>
        <row r="64">
          <cell r="A64">
            <v>8712256</v>
          </cell>
          <cell r="B64">
            <v>132089</v>
          </cell>
          <cell r="C64">
            <v>871</v>
          </cell>
          <cell r="D64" t="str">
            <v>Slough</v>
          </cell>
          <cell r="E64">
            <v>2256</v>
          </cell>
          <cell r="F64" t="str">
            <v>Lindsay Morris</v>
          </cell>
          <cell r="G64" t="str">
            <v>Claycots School</v>
          </cell>
          <cell r="H64" t="str">
            <v>South East</v>
          </cell>
          <cell r="I64" t="str">
            <v>Monksfield Way</v>
          </cell>
          <cell r="L64" t="str">
            <v>Slough</v>
          </cell>
          <cell r="M64" t="str">
            <v>Berkshire</v>
          </cell>
          <cell r="N64" t="str">
            <v>SL2 1QX</v>
          </cell>
          <cell r="O64" t="str">
            <v xml:space="preserve"> m.rodgers@claycots.slough.sch.uk</v>
          </cell>
        </row>
        <row r="65">
          <cell r="A65">
            <v>8842095</v>
          </cell>
          <cell r="B65">
            <v>116700</v>
          </cell>
          <cell r="C65">
            <v>884</v>
          </cell>
          <cell r="D65" t="str">
            <v>Herefordshire</v>
          </cell>
          <cell r="E65">
            <v>2095</v>
          </cell>
          <cell r="F65" t="str">
            <v>Anita Turnbull</v>
          </cell>
          <cell r="G65" t="str">
            <v>Kingstone and Thruxton Primary School</v>
          </cell>
          <cell r="H65" t="str">
            <v>West Midlands</v>
          </cell>
          <cell r="I65" t="str">
            <v>Kingstone</v>
          </cell>
          <cell r="L65" t="str">
            <v>Hereford</v>
          </cell>
          <cell r="M65" t="str">
            <v>Herefordshire</v>
          </cell>
          <cell r="N65" t="str">
            <v>HR2 9HJ</v>
          </cell>
          <cell r="O65" t="str">
            <v>cmutton@kingstone-thruxton.hereford.sch.uk</v>
          </cell>
          <cell r="P65">
            <v>40620</v>
          </cell>
        </row>
        <row r="66">
          <cell r="A66">
            <v>3302460</v>
          </cell>
          <cell r="B66">
            <v>103386</v>
          </cell>
          <cell r="C66">
            <v>330</v>
          </cell>
          <cell r="D66" t="str">
            <v>Birmingham</v>
          </cell>
          <cell r="E66">
            <v>2460</v>
          </cell>
          <cell r="F66" t="str">
            <v>Hannah Copp</v>
          </cell>
          <cell r="G66" t="str">
            <v>Robin Hood Junior and Infant School</v>
          </cell>
          <cell r="H66" t="str">
            <v>West Midlands</v>
          </cell>
          <cell r="I66" t="str">
            <v>Pitmaston Road</v>
          </cell>
          <cell r="J66" t="str">
            <v>Hall Green</v>
          </cell>
          <cell r="L66" t="str">
            <v>Birmingham</v>
          </cell>
          <cell r="M66" t="str">
            <v>West Midlands</v>
          </cell>
          <cell r="N66" t="str">
            <v>B28 9PP</v>
          </cell>
          <cell r="O66" t="str">
            <v>rhunter@robinhood.bham.sch.uk</v>
          </cell>
        </row>
        <row r="67">
          <cell r="A67">
            <v>3122016</v>
          </cell>
          <cell r="B67">
            <v>102377</v>
          </cell>
          <cell r="C67">
            <v>312</v>
          </cell>
          <cell r="D67" t="str">
            <v>Hillingdon</v>
          </cell>
          <cell r="E67">
            <v>2016</v>
          </cell>
          <cell r="F67" t="str">
            <v>Martin Rowley</v>
          </cell>
          <cell r="G67" t="str">
            <v>Deanesfield Primary School</v>
          </cell>
          <cell r="H67" t="str">
            <v>London</v>
          </cell>
          <cell r="I67" t="str">
            <v>Queen's Walk</v>
          </cell>
          <cell r="J67" t="str">
            <v>South Ruislip</v>
          </cell>
          <cell r="M67" t="str">
            <v>Middlesex</v>
          </cell>
          <cell r="N67" t="str">
            <v>HA4 0LR</v>
          </cell>
          <cell r="O67" t="str">
            <v>kosullivan@deanesfieldschool.org.uk</v>
          </cell>
        </row>
        <row r="68">
          <cell r="A68">
            <v>8103421</v>
          </cell>
          <cell r="B68">
            <v>118048</v>
          </cell>
          <cell r="C68">
            <v>810</v>
          </cell>
          <cell r="D68" t="str">
            <v>Kingston upon Hull City of</v>
          </cell>
          <cell r="E68">
            <v>3421</v>
          </cell>
          <cell r="F68" t="str">
            <v>Glyn Newton</v>
          </cell>
          <cell r="G68" t="str">
            <v>St Charles' Roman Catholic Voluntary Aided Primary School</v>
          </cell>
          <cell r="H68" t="str">
            <v>Yorkshire and the Humber</v>
          </cell>
          <cell r="I68" t="str">
            <v>Norfolk Street</v>
          </cell>
          <cell r="L68" t="str">
            <v>Hull</v>
          </cell>
          <cell r="N68" t="str">
            <v>HU2 9AA</v>
          </cell>
          <cell r="O68" t="str">
            <v>head@st-charles.hull.sch.uk</v>
          </cell>
        </row>
        <row r="69">
          <cell r="A69">
            <v>3132062</v>
          </cell>
          <cell r="B69">
            <v>102513</v>
          </cell>
          <cell r="C69">
            <v>313</v>
          </cell>
          <cell r="D69" t="str">
            <v>Hounslow</v>
          </cell>
          <cell r="E69">
            <v>2062</v>
          </cell>
          <cell r="F69" t="str">
            <v>Sheila Longstaff</v>
          </cell>
          <cell r="G69" t="str">
            <v>Westbrook Primary</v>
          </cell>
          <cell r="H69" t="str">
            <v>London</v>
          </cell>
          <cell r="I69" t="str">
            <v>Westbrook Road</v>
          </cell>
          <cell r="J69" t="str">
            <v>Heston</v>
          </cell>
          <cell r="L69" t="str">
            <v>Hounslow</v>
          </cell>
          <cell r="N69" t="str">
            <v>TW5 0NB</v>
          </cell>
          <cell r="O69" t="str">
            <v>head@westbrookprimary.co.uk</v>
          </cell>
          <cell r="P69">
            <v>41234</v>
          </cell>
        </row>
        <row r="70">
          <cell r="A70">
            <v>3944073</v>
          </cell>
          <cell r="B70">
            <v>133391</v>
          </cell>
          <cell r="C70">
            <v>394</v>
          </cell>
          <cell r="D70" t="str">
            <v>Sunderland</v>
          </cell>
          <cell r="E70">
            <v>4073</v>
          </cell>
          <cell r="F70" t="str">
            <v>June Laughton</v>
          </cell>
          <cell r="G70" t="str">
            <v>Venerable Bede Church of England [Aided] Secondary School</v>
          </cell>
          <cell r="H70" t="str">
            <v>North East</v>
          </cell>
          <cell r="I70" t="str">
            <v>Tunstall Bank</v>
          </cell>
          <cell r="L70" t="str">
            <v>Sunderland</v>
          </cell>
          <cell r="M70" t="str">
            <v>Tyne and Wear</v>
          </cell>
          <cell r="N70" t="str">
            <v>SR2 0SX</v>
          </cell>
          <cell r="O70" t="str">
            <v>gill.booth@venerablebede.co.uk</v>
          </cell>
          <cell r="P70">
            <v>41180</v>
          </cell>
        </row>
        <row r="71">
          <cell r="A71">
            <v>3045410</v>
          </cell>
          <cell r="B71">
            <v>101567</v>
          </cell>
          <cell r="C71">
            <v>304</v>
          </cell>
          <cell r="D71" t="str">
            <v>Brent</v>
          </cell>
          <cell r="E71">
            <v>5410</v>
          </cell>
          <cell r="F71" t="str">
            <v>Martin Rowley</v>
          </cell>
          <cell r="G71" t="str">
            <v>Preston Manor School</v>
          </cell>
          <cell r="H71" t="str">
            <v>London</v>
          </cell>
          <cell r="I71" t="str">
            <v>Carlton Avenue East</v>
          </cell>
          <cell r="L71" t="str">
            <v>Wembley</v>
          </cell>
          <cell r="M71" t="str">
            <v>Middlesex</v>
          </cell>
          <cell r="N71" t="str">
            <v>HA9 8NA</v>
          </cell>
          <cell r="O71" t="str">
            <v>matthewlantos@pmanor.brent.sch.uk</v>
          </cell>
          <cell r="P71">
            <v>41235</v>
          </cell>
        </row>
        <row r="72">
          <cell r="A72">
            <v>8782727</v>
          </cell>
          <cell r="B72">
            <v>131273</v>
          </cell>
          <cell r="C72">
            <v>878</v>
          </cell>
          <cell r="D72" t="str">
            <v>Devon</v>
          </cell>
          <cell r="E72">
            <v>2727</v>
          </cell>
          <cell r="F72" t="str">
            <v>Lilian Da Cunha</v>
          </cell>
          <cell r="G72" t="str">
            <v>Orchard Vale Community School</v>
          </cell>
          <cell r="H72" t="str">
            <v>South West</v>
          </cell>
          <cell r="I72" t="str">
            <v>Westacott Road</v>
          </cell>
          <cell r="J72" t="str">
            <v>Whiddon Valley</v>
          </cell>
          <cell r="L72" t="str">
            <v>Barnstaple</v>
          </cell>
          <cell r="M72" t="str">
            <v>Devon</v>
          </cell>
          <cell r="N72" t="str">
            <v>EX32 8QY</v>
          </cell>
          <cell r="O72" t="str">
            <v>paul.jones@firstfederation.org</v>
          </cell>
          <cell r="P72">
            <v>40672</v>
          </cell>
        </row>
        <row r="73">
          <cell r="A73">
            <v>8505406</v>
          </cell>
          <cell r="B73">
            <v>116499</v>
          </cell>
          <cell r="C73">
            <v>850</v>
          </cell>
          <cell r="D73" t="str">
            <v>Hampshire</v>
          </cell>
          <cell r="E73">
            <v>5406</v>
          </cell>
          <cell r="F73" t="str">
            <v>Lindsay Morris</v>
          </cell>
          <cell r="G73" t="str">
            <v>Testwood Sports College</v>
          </cell>
          <cell r="H73" t="str">
            <v>South East</v>
          </cell>
          <cell r="I73" t="str">
            <v>Testwood Lane</v>
          </cell>
          <cell r="J73" t="str">
            <v>Totton</v>
          </cell>
          <cell r="L73" t="str">
            <v>Southampton</v>
          </cell>
          <cell r="M73" t="str">
            <v>Hampshire</v>
          </cell>
          <cell r="N73" t="str">
            <v>SO40 3ZW</v>
          </cell>
          <cell r="O73" t="str">
            <v>appletoni@testwood.hants.sch.uk</v>
          </cell>
          <cell r="P73">
            <v>40668</v>
          </cell>
        </row>
        <row r="74">
          <cell r="A74">
            <v>8612090</v>
          </cell>
          <cell r="B74">
            <v>124016</v>
          </cell>
          <cell r="C74">
            <v>861</v>
          </cell>
          <cell r="D74" t="str">
            <v>Stoke-on-Trent</v>
          </cell>
          <cell r="E74">
            <v>2090</v>
          </cell>
          <cell r="F74" t="str">
            <v>Bev Mullin</v>
          </cell>
          <cell r="G74" t="str">
            <v>Sutherland Primary School</v>
          </cell>
          <cell r="H74" t="str">
            <v>West Midlands</v>
          </cell>
          <cell r="I74" t="str">
            <v>Beaconsfield Drive</v>
          </cell>
          <cell r="J74" t="str">
            <v>Blurton</v>
          </cell>
          <cell r="L74" t="str">
            <v>Stoke-on-Trent</v>
          </cell>
          <cell r="M74" t="str">
            <v>Staffordshire</v>
          </cell>
          <cell r="N74" t="str">
            <v>ST3 3DY</v>
          </cell>
          <cell r="O74" t="str">
            <v>gboote@sgfl.org.uk</v>
          </cell>
          <cell r="P74">
            <v>40743</v>
          </cell>
        </row>
        <row r="75">
          <cell r="A75">
            <v>3303429</v>
          </cell>
          <cell r="B75">
            <v>134477</v>
          </cell>
          <cell r="C75">
            <v>330</v>
          </cell>
          <cell r="D75" t="str">
            <v>Birmingham</v>
          </cell>
          <cell r="E75">
            <v>3429</v>
          </cell>
          <cell r="F75" t="str">
            <v>Alison Middleton</v>
          </cell>
          <cell r="G75" t="str">
            <v>Hill West Primary School</v>
          </cell>
          <cell r="H75" t="str">
            <v>West Midlands</v>
          </cell>
          <cell r="I75" t="str">
            <v>Clarence Road</v>
          </cell>
          <cell r="J75" t="str">
            <v>Four Oaks</v>
          </cell>
          <cell r="L75" t="str">
            <v>Sutton Coldfield</v>
          </cell>
          <cell r="M75" t="str">
            <v>West Midlands</v>
          </cell>
          <cell r="N75" t="str">
            <v>B74 4LD</v>
          </cell>
          <cell r="P75">
            <v>41033</v>
          </cell>
        </row>
        <row r="76">
          <cell r="A76">
            <v>9252232</v>
          </cell>
          <cell r="B76">
            <v>120499</v>
          </cell>
          <cell r="C76">
            <v>925</v>
          </cell>
          <cell r="D76" t="str">
            <v>Lincolnshire</v>
          </cell>
          <cell r="E76">
            <v>2232</v>
          </cell>
          <cell r="F76" t="str">
            <v>Grant Dyson</v>
          </cell>
          <cell r="G76" t="str">
            <v>Linchfield Community School</v>
          </cell>
          <cell r="H76" t="str">
            <v>East Midlands</v>
          </cell>
          <cell r="I76" t="str">
            <v>Crowson Way</v>
          </cell>
          <cell r="J76" t="str">
            <v>Deeping St James</v>
          </cell>
          <cell r="L76" t="str">
            <v>Peterborough</v>
          </cell>
          <cell r="M76" t="str">
            <v>Lincolnshire</v>
          </cell>
          <cell r="N76" t="str">
            <v>PE6 8EY</v>
          </cell>
          <cell r="O76" t="str">
            <v>simon.chandler@linchfield.lincs.sch.uk</v>
          </cell>
        </row>
        <row r="77">
          <cell r="A77">
            <v>8304169</v>
          </cell>
          <cell r="B77">
            <v>112947</v>
          </cell>
          <cell r="C77">
            <v>830</v>
          </cell>
          <cell r="D77" t="str">
            <v>Derbyshire</v>
          </cell>
          <cell r="E77">
            <v>4169</v>
          </cell>
          <cell r="F77" t="str">
            <v>Tahir Shams</v>
          </cell>
          <cell r="G77" t="str">
            <v>Kirk Hallam Community Technology &amp; Sports College</v>
          </cell>
          <cell r="H77" t="str">
            <v>East Midlands</v>
          </cell>
          <cell r="I77" t="str">
            <v>Godfrey Drive</v>
          </cell>
          <cell r="J77" t="str">
            <v>Kirk Hallam</v>
          </cell>
          <cell r="L77" t="str">
            <v>Ilkeston</v>
          </cell>
          <cell r="M77" t="str">
            <v>Derbyshire</v>
          </cell>
          <cell r="N77" t="str">
            <v>DE7 4HH</v>
          </cell>
          <cell r="O77" t="str">
            <v>phamer@kirkhallam.derbyshire.sch.uk</v>
          </cell>
          <cell r="P77">
            <v>40470</v>
          </cell>
        </row>
        <row r="78">
          <cell r="A78">
            <v>9192098</v>
          </cell>
          <cell r="B78">
            <v>117141</v>
          </cell>
          <cell r="C78">
            <v>919</v>
          </cell>
          <cell r="D78" t="str">
            <v>Hertfordshire</v>
          </cell>
          <cell r="E78">
            <v>2098</v>
          </cell>
          <cell r="F78" t="str">
            <v>Joe Farrell</v>
          </cell>
          <cell r="G78" t="str">
            <v>Aboyne Lodge Junior Mixed and Infant School</v>
          </cell>
          <cell r="H78" t="str">
            <v>East of England</v>
          </cell>
          <cell r="I78" t="str">
            <v>Etna Road</v>
          </cell>
          <cell r="L78" t="str">
            <v>St Albans</v>
          </cell>
          <cell r="M78" t="str">
            <v>Hertfordshire</v>
          </cell>
          <cell r="N78" t="str">
            <v>AL3 5NL</v>
          </cell>
          <cell r="O78" t="str">
            <v xml:space="preserve"> jmduxbury@hotmail.co.uk</v>
          </cell>
        </row>
        <row r="79">
          <cell r="A79">
            <v>8785405</v>
          </cell>
          <cell r="B79">
            <v>113560</v>
          </cell>
          <cell r="C79">
            <v>878</v>
          </cell>
          <cell r="D79" t="str">
            <v>Devon</v>
          </cell>
          <cell r="E79">
            <v>5405</v>
          </cell>
          <cell r="F79" t="str">
            <v>Nigel Hutchins</v>
          </cell>
          <cell r="G79" t="str">
            <v>Uffculme School</v>
          </cell>
          <cell r="H79" t="str">
            <v>South West</v>
          </cell>
          <cell r="I79" t="str">
            <v>Chapel Hill</v>
          </cell>
          <cell r="J79" t="str">
            <v>Uffculme</v>
          </cell>
          <cell r="L79" t="str">
            <v>Cullompton</v>
          </cell>
          <cell r="M79" t="str">
            <v>Devon</v>
          </cell>
          <cell r="N79" t="str">
            <v>EX15 3AG</v>
          </cell>
          <cell r="O79" t="str">
            <v>secretary@uffculmeschool.net</v>
          </cell>
          <cell r="P79">
            <v>40345</v>
          </cell>
        </row>
        <row r="80">
          <cell r="A80">
            <v>9312574</v>
          </cell>
          <cell r="B80">
            <v>123070</v>
          </cell>
          <cell r="C80">
            <v>931</v>
          </cell>
          <cell r="D80" t="str">
            <v>Oxfordshire</v>
          </cell>
          <cell r="E80">
            <v>2574</v>
          </cell>
          <cell r="F80" t="str">
            <v>Sarah Nairne</v>
          </cell>
          <cell r="G80" t="str">
            <v>Rush Common School</v>
          </cell>
          <cell r="H80" t="str">
            <v>South East</v>
          </cell>
          <cell r="I80" t="str">
            <v>Hendred Way</v>
          </cell>
          <cell r="L80" t="str">
            <v>Abingdon</v>
          </cell>
          <cell r="M80" t="str">
            <v>Oxfordshire</v>
          </cell>
          <cell r="N80" t="str">
            <v>OX14 2AW</v>
          </cell>
          <cell r="O80" t="str">
            <v>headteacher.2574@rush-common.oxon.sch.uk</v>
          </cell>
          <cell r="P80">
            <v>40837</v>
          </cell>
        </row>
        <row r="81">
          <cell r="A81">
            <v>9282212</v>
          </cell>
          <cell r="B81">
            <v>121946</v>
          </cell>
          <cell r="C81">
            <v>928</v>
          </cell>
          <cell r="D81" t="str">
            <v>Northamptonshire</v>
          </cell>
          <cell r="E81">
            <v>2212</v>
          </cell>
          <cell r="F81" t="str">
            <v>Helen Whetter</v>
          </cell>
          <cell r="G81" t="str">
            <v>Woodvale Primary School</v>
          </cell>
          <cell r="H81" t="str">
            <v>East Midlands</v>
          </cell>
          <cell r="I81" t="str">
            <v>Crestwood Road</v>
          </cell>
          <cell r="J81" t="str">
            <v>Lings Way</v>
          </cell>
          <cell r="L81" t="str">
            <v>Northampton</v>
          </cell>
          <cell r="M81" t="str">
            <v>Northamptonshire</v>
          </cell>
          <cell r="N81" t="str">
            <v>NN3 8JJ</v>
          </cell>
          <cell r="O81" t="str">
            <v>head@woodvale.northants-ecl.gov.uk</v>
          </cell>
        </row>
        <row r="82">
          <cell r="A82">
            <v>3733412</v>
          </cell>
          <cell r="B82">
            <v>107115</v>
          </cell>
          <cell r="C82">
            <v>373</v>
          </cell>
          <cell r="D82" t="str">
            <v>Sheffield</v>
          </cell>
          <cell r="E82">
            <v>3412</v>
          </cell>
          <cell r="F82" t="str">
            <v>Michael Corner</v>
          </cell>
          <cell r="G82" t="str">
            <v>St Wilfrid's Catholic Primary school</v>
          </cell>
          <cell r="H82" t="str">
            <v>Yorkshire and the Humber</v>
          </cell>
          <cell r="I82" t="str">
            <v>Millhouses Lane</v>
          </cell>
          <cell r="L82" t="str">
            <v>Sheffield</v>
          </cell>
          <cell r="M82" t="str">
            <v>South Yorkshire</v>
          </cell>
          <cell r="N82" t="str">
            <v>S7 2HE</v>
          </cell>
          <cell r="O82" t="str">
            <v>b.jarrett@stwilfridslearning.co.uk</v>
          </cell>
          <cell r="P82">
            <v>41043</v>
          </cell>
        </row>
        <row r="83">
          <cell r="A83">
            <v>3192009</v>
          </cell>
          <cell r="B83">
            <v>102964</v>
          </cell>
          <cell r="C83">
            <v>319</v>
          </cell>
          <cell r="D83" t="str">
            <v>Sutton</v>
          </cell>
          <cell r="E83">
            <v>2009</v>
          </cell>
          <cell r="F83" t="str">
            <v>Helen Barry</v>
          </cell>
          <cell r="G83" t="str">
            <v>Cheam Fields Primary School</v>
          </cell>
          <cell r="H83" t="str">
            <v>London</v>
          </cell>
          <cell r="I83" t="str">
            <v>Stoughton Avenue</v>
          </cell>
          <cell r="J83" t="str">
            <v>Cheam</v>
          </cell>
          <cell r="L83" t="str">
            <v>Sutton</v>
          </cell>
          <cell r="M83" t="str">
            <v>Surrey</v>
          </cell>
          <cell r="N83" t="str">
            <v>SM3 8PQ</v>
          </cell>
          <cell r="O83" t="str">
            <v>clester@suttonlea.org</v>
          </cell>
        </row>
        <row r="84">
          <cell r="A84">
            <v>8863740</v>
          </cell>
          <cell r="B84">
            <v>118771</v>
          </cell>
          <cell r="C84">
            <v>886</v>
          </cell>
          <cell r="D84" t="str">
            <v>Kent</v>
          </cell>
          <cell r="E84">
            <v>3740</v>
          </cell>
          <cell r="F84" t="str">
            <v>Tony Dunne</v>
          </cell>
          <cell r="G84" t="str">
            <v>St Richard's Catholic Primary School</v>
          </cell>
          <cell r="H84" t="str">
            <v>South East</v>
          </cell>
          <cell r="I84" t="str">
            <v>Castle Avenue</v>
          </cell>
          <cell r="L84" t="str">
            <v>Dover</v>
          </cell>
          <cell r="M84" t="str">
            <v>Kent</v>
          </cell>
          <cell r="N84" t="str">
            <v>CT16 1EZ</v>
          </cell>
          <cell r="O84" t="str">
            <v>jchapman@st-richards.kent.sch.uk</v>
          </cell>
        </row>
        <row r="85">
          <cell r="A85">
            <v>8815264</v>
          </cell>
          <cell r="B85">
            <v>115304</v>
          </cell>
          <cell r="C85">
            <v>881</v>
          </cell>
          <cell r="D85" t="str">
            <v>Essex</v>
          </cell>
          <cell r="E85">
            <v>5264</v>
          </cell>
          <cell r="F85" t="str">
            <v>Joe Farrell</v>
          </cell>
          <cell r="G85" t="str">
            <v>R A Butler Junior School</v>
          </cell>
          <cell r="H85" t="str">
            <v>East of England</v>
          </cell>
          <cell r="I85" t="str">
            <v>South Road</v>
          </cell>
          <cell r="L85" t="str">
            <v>Saffron Walden</v>
          </cell>
          <cell r="M85" t="str">
            <v>Essex</v>
          </cell>
          <cell r="N85" t="str">
            <v>CB11 3DG</v>
          </cell>
          <cell r="O85" t="str">
            <v>gmawson@rabutler.essex.sch.uk</v>
          </cell>
          <cell r="P85">
            <v>40358</v>
          </cell>
        </row>
        <row r="86">
          <cell r="A86">
            <v>3205401</v>
          </cell>
          <cell r="B86">
            <v>103108</v>
          </cell>
          <cell r="C86">
            <v>320</v>
          </cell>
          <cell r="D86" t="str">
            <v>Waltham Forest</v>
          </cell>
          <cell r="E86">
            <v>5401</v>
          </cell>
          <cell r="F86" t="str">
            <v>Bola Bakrin</v>
          </cell>
          <cell r="G86" t="str">
            <v>Chingford Foundation School</v>
          </cell>
          <cell r="H86" t="str">
            <v>London</v>
          </cell>
          <cell r="I86" t="str">
            <v>Nevin Drive</v>
          </cell>
          <cell r="J86" t="str">
            <v>Chingford</v>
          </cell>
          <cell r="L86" t="str">
            <v>London</v>
          </cell>
          <cell r="N86" t="str">
            <v>E4 7LT</v>
          </cell>
          <cell r="O86" t="str">
            <v>s.baker@chingford.waltham.sch.uk</v>
          </cell>
          <cell r="P86">
            <v>40984</v>
          </cell>
        </row>
        <row r="87">
          <cell r="A87">
            <v>3447010</v>
          </cell>
          <cell r="B87">
            <v>105134</v>
          </cell>
          <cell r="C87">
            <v>344</v>
          </cell>
          <cell r="D87" t="str">
            <v>Wirral</v>
          </cell>
          <cell r="E87">
            <v>7010</v>
          </cell>
          <cell r="F87" t="str">
            <v>Maria Sabberton</v>
          </cell>
          <cell r="G87" t="str">
            <v>Gilbrook School</v>
          </cell>
          <cell r="H87" t="str">
            <v>North West</v>
          </cell>
          <cell r="I87" t="str">
            <v>Glebe Hey Road</v>
          </cell>
          <cell r="J87" t="str">
            <v>Woodchurch</v>
          </cell>
          <cell r="L87" t="str">
            <v>Wirral</v>
          </cell>
          <cell r="M87" t="str">
            <v>Merseyside</v>
          </cell>
          <cell r="N87" t="str">
            <v>CH49 8HE</v>
          </cell>
          <cell r="O87" t="str">
            <v>headteacher@gilbrook.wirral.sch.uk</v>
          </cell>
        </row>
        <row r="88">
          <cell r="A88">
            <v>8932035</v>
          </cell>
          <cell r="B88">
            <v>123360</v>
          </cell>
          <cell r="C88">
            <v>893</v>
          </cell>
          <cell r="D88" t="str">
            <v>Shropshire</v>
          </cell>
          <cell r="E88">
            <v>2035</v>
          </cell>
          <cell r="F88" t="str">
            <v>Julia Waterhouse</v>
          </cell>
          <cell r="G88" t="str">
            <v>Clee Hill Community Primary School</v>
          </cell>
          <cell r="H88" t="str">
            <v>West Midlands</v>
          </cell>
          <cell r="I88" t="str">
            <v>Tenbury Road</v>
          </cell>
          <cell r="J88" t="str">
            <v>Clee Hill</v>
          </cell>
          <cell r="L88" t="str">
            <v>Ludlow</v>
          </cell>
          <cell r="M88" t="str">
            <v>Shropshire</v>
          </cell>
          <cell r="N88" t="str">
            <v>SY8 3NE</v>
          </cell>
          <cell r="O88" t="str">
            <v>head.cleehill@shropshirelg.net</v>
          </cell>
        </row>
        <row r="89">
          <cell r="A89">
            <v>9093052</v>
          </cell>
          <cell r="B89">
            <v>112261</v>
          </cell>
          <cell r="C89">
            <v>909</v>
          </cell>
          <cell r="D89" t="str">
            <v>Cumbria</v>
          </cell>
          <cell r="E89">
            <v>3052</v>
          </cell>
          <cell r="F89" t="str">
            <v>Linda Tiley</v>
          </cell>
          <cell r="G89" t="str">
            <v>Burton Morewood CofE Primary School</v>
          </cell>
          <cell r="H89" t="str">
            <v>North West</v>
          </cell>
          <cell r="I89" t="str">
            <v>Main Street</v>
          </cell>
          <cell r="J89" t="str">
            <v>Burton</v>
          </cell>
          <cell r="L89" t="str">
            <v>Carnforth</v>
          </cell>
          <cell r="M89" t="str">
            <v>Lancashire</v>
          </cell>
          <cell r="N89" t="str">
            <v>LA6 1ND</v>
          </cell>
          <cell r="O89" t="str">
            <v>head@burtonmorewood.cumbria.sch.uk</v>
          </cell>
          <cell r="P89">
            <v>40674</v>
          </cell>
        </row>
        <row r="90">
          <cell r="A90">
            <v>3593436</v>
          </cell>
          <cell r="B90">
            <v>134703</v>
          </cell>
          <cell r="C90">
            <v>359</v>
          </cell>
          <cell r="D90" t="str">
            <v>Wigan</v>
          </cell>
          <cell r="E90">
            <v>3436</v>
          </cell>
          <cell r="F90" t="str">
            <v>Viv Clutton</v>
          </cell>
          <cell r="G90" t="str">
            <v>Platt Bridge Community Primary School</v>
          </cell>
          <cell r="H90" t="str">
            <v>North West</v>
          </cell>
          <cell r="I90" t="str">
            <v>Rivington Avenue</v>
          </cell>
          <cell r="J90" t="str">
            <v>Platt Bridge</v>
          </cell>
          <cell r="L90" t="str">
            <v>Wigan</v>
          </cell>
          <cell r="M90" t="str">
            <v>Lancashire</v>
          </cell>
          <cell r="N90" t="str">
            <v>WN2 5NG</v>
          </cell>
          <cell r="O90" t="str">
            <v>Headteacher@admin.plattbridge.wigan.sch.uk</v>
          </cell>
          <cell r="P90">
            <v>41173</v>
          </cell>
        </row>
        <row r="91">
          <cell r="A91">
            <v>8602152</v>
          </cell>
          <cell r="B91">
            <v>124053</v>
          </cell>
          <cell r="C91">
            <v>860</v>
          </cell>
          <cell r="D91" t="str">
            <v>Staffordshire</v>
          </cell>
          <cell r="E91">
            <v>2152</v>
          </cell>
          <cell r="F91" t="str">
            <v>Nicole Felicien</v>
          </cell>
          <cell r="G91" t="str">
            <v>Mosley Primary School</v>
          </cell>
          <cell r="H91" t="str">
            <v>West Midlands</v>
          </cell>
          <cell r="I91" t="str">
            <v>Main Road</v>
          </cell>
          <cell r="J91" t="str">
            <v>Anslow</v>
          </cell>
          <cell r="L91" t="str">
            <v>Burton-on-Trent</v>
          </cell>
          <cell r="M91" t="str">
            <v>Staffordshire</v>
          </cell>
          <cell r="N91" t="str">
            <v>DE13 9QD</v>
          </cell>
          <cell r="O91" t="str">
            <v>headteacher@mosley.staffs.sch.uk</v>
          </cell>
          <cell r="P91">
            <v>41015</v>
          </cell>
        </row>
        <row r="92">
          <cell r="A92">
            <v>3513333</v>
          </cell>
          <cell r="B92">
            <v>105341</v>
          </cell>
          <cell r="C92">
            <v>351</v>
          </cell>
          <cell r="D92" t="str">
            <v>Bury</v>
          </cell>
          <cell r="E92">
            <v>3333</v>
          </cell>
          <cell r="F92" t="str">
            <v>Viv Clutton</v>
          </cell>
          <cell r="G92" t="str">
            <v>Christ Church CofE (Aided) Primary School</v>
          </cell>
          <cell r="H92" t="str">
            <v>North West</v>
          </cell>
          <cell r="I92" t="str">
            <v>Church Street</v>
          </cell>
          <cell r="J92" t="str">
            <v>Walshaw</v>
          </cell>
          <cell r="L92" t="str">
            <v>Bury</v>
          </cell>
          <cell r="M92" t="str">
            <v>Lancashire</v>
          </cell>
          <cell r="N92" t="str">
            <v>BL8 3AX</v>
          </cell>
          <cell r="O92" t="str">
            <v>i.young@bury.gov.uk</v>
          </cell>
        </row>
        <row r="93">
          <cell r="A93">
            <v>8552002</v>
          </cell>
          <cell r="B93">
            <v>132010</v>
          </cell>
          <cell r="C93">
            <v>855</v>
          </cell>
          <cell r="D93" t="str">
            <v>Leicestershire</v>
          </cell>
          <cell r="E93">
            <v>2002</v>
          </cell>
          <cell r="F93" t="str">
            <v>Sue Harp</v>
          </cell>
          <cell r="G93" t="str">
            <v>Meadowdale Primary School</v>
          </cell>
          <cell r="H93" t="str">
            <v>East Midlands</v>
          </cell>
          <cell r="I93" t="str">
            <v>Meadowdale Road</v>
          </cell>
          <cell r="L93" t="str">
            <v>Market Harborough</v>
          </cell>
          <cell r="M93" t="str">
            <v>Leicestershire</v>
          </cell>
          <cell r="N93" t="str">
            <v>LE16 7XQ</v>
          </cell>
          <cell r="O93" t="str">
            <v>head@meadowdale.leics.sch.uk</v>
          </cell>
          <cell r="P93">
            <v>40928</v>
          </cell>
        </row>
        <row r="94">
          <cell r="A94">
            <v>3302320</v>
          </cell>
          <cell r="B94">
            <v>103338</v>
          </cell>
          <cell r="C94">
            <v>330</v>
          </cell>
          <cell r="D94" t="str">
            <v>Birmingham</v>
          </cell>
          <cell r="E94">
            <v>2320</v>
          </cell>
          <cell r="F94" t="str">
            <v>Ruth Pallister</v>
          </cell>
          <cell r="G94" t="str">
            <v>Nechells Junior and Infant School (NC)</v>
          </cell>
          <cell r="H94" t="str">
            <v>West Midlands</v>
          </cell>
          <cell r="I94" t="str">
            <v>Eliot Street</v>
          </cell>
          <cell r="J94" t="str">
            <v>Nechells</v>
          </cell>
          <cell r="L94" t="str">
            <v>Birmingham</v>
          </cell>
          <cell r="M94" t="str">
            <v>West Midlands</v>
          </cell>
          <cell r="N94" t="str">
            <v>B7 5LB</v>
          </cell>
          <cell r="O94" t="str">
            <v>d.thomas@nechells.bham.sch.uk</v>
          </cell>
          <cell r="P94">
            <v>40962</v>
          </cell>
        </row>
        <row r="95">
          <cell r="A95">
            <v>9365400</v>
          </cell>
          <cell r="B95">
            <v>125300</v>
          </cell>
          <cell r="C95">
            <v>936</v>
          </cell>
          <cell r="D95" t="str">
            <v>Surrey</v>
          </cell>
          <cell r="E95">
            <v>5400</v>
          </cell>
          <cell r="F95" t="str">
            <v>Eric Mcewen</v>
          </cell>
          <cell r="G95" t="str">
            <v>Guildford County School</v>
          </cell>
          <cell r="H95" t="str">
            <v>South East</v>
          </cell>
          <cell r="I95" t="str">
            <v>Farnham Road</v>
          </cell>
          <cell r="L95" t="str">
            <v>Guildford</v>
          </cell>
          <cell r="M95" t="str">
            <v>Surrey</v>
          </cell>
          <cell r="N95" t="str">
            <v>GU2 4LU</v>
          </cell>
          <cell r="O95" t="str">
            <v>pcostello@guildfordcounty.surrey.sch.uk</v>
          </cell>
          <cell r="P95">
            <v>41011</v>
          </cell>
        </row>
        <row r="96">
          <cell r="A96">
            <v>9253050</v>
          </cell>
          <cell r="B96">
            <v>120534</v>
          </cell>
          <cell r="C96">
            <v>925</v>
          </cell>
          <cell r="D96" t="str">
            <v>Lincolnshire</v>
          </cell>
          <cell r="E96">
            <v>3050</v>
          </cell>
          <cell r="G96" t="str">
            <v>The Potterhanworth Church of England Primary School</v>
          </cell>
          <cell r="H96" t="str">
            <v>East Midlands</v>
          </cell>
          <cell r="I96" t="str">
            <v>Main Road</v>
          </cell>
          <cell r="J96" t="str">
            <v>Potterhanworth</v>
          </cell>
          <cell r="L96" t="str">
            <v>Lincoln</v>
          </cell>
          <cell r="M96" t="str">
            <v>Lincolnshire</v>
          </cell>
          <cell r="N96" t="str">
            <v>LN4 2DT</v>
          </cell>
          <cell r="O96" t="str">
            <v>janet.reeder@potterhanworth.lincs.sch.uk</v>
          </cell>
        </row>
        <row r="97">
          <cell r="A97">
            <v>8352245</v>
          </cell>
          <cell r="B97">
            <v>113738</v>
          </cell>
          <cell r="C97">
            <v>835</v>
          </cell>
          <cell r="D97" t="str">
            <v>Dorset</v>
          </cell>
          <cell r="E97">
            <v>2245</v>
          </cell>
          <cell r="F97" t="str">
            <v>Tahamina Khan</v>
          </cell>
          <cell r="G97" t="str">
            <v>Mudeford Community Infants' School</v>
          </cell>
          <cell r="H97" t="str">
            <v>South West</v>
          </cell>
          <cell r="I97" t="str">
            <v>Queen's Road</v>
          </cell>
          <cell r="J97" t="str">
            <v>Mudeford</v>
          </cell>
          <cell r="L97" t="str">
            <v>Christchurch</v>
          </cell>
          <cell r="M97" t="str">
            <v>Dorset</v>
          </cell>
          <cell r="N97" t="str">
            <v>BH23 3HH</v>
          </cell>
          <cell r="O97" t="str">
            <v>office@mudefordinf.dorset.sch.uk</v>
          </cell>
        </row>
        <row r="98">
          <cell r="A98">
            <v>8552322</v>
          </cell>
          <cell r="B98">
            <v>120052</v>
          </cell>
          <cell r="C98">
            <v>855</v>
          </cell>
          <cell r="D98" t="str">
            <v>Leicestershire</v>
          </cell>
          <cell r="E98">
            <v>2322</v>
          </cell>
          <cell r="F98" t="str">
            <v>Stephen Standret</v>
          </cell>
          <cell r="G98" t="str">
            <v>Glen Hills Primary School</v>
          </cell>
          <cell r="H98" t="str">
            <v>East Midlands</v>
          </cell>
          <cell r="I98" t="str">
            <v>Featherby Drive</v>
          </cell>
          <cell r="J98" t="str">
            <v>Glen Parva</v>
          </cell>
          <cell r="L98" t="str">
            <v>Leicester</v>
          </cell>
          <cell r="M98" t="str">
            <v>Leicestershire</v>
          </cell>
          <cell r="N98" t="str">
            <v>LE2 9NY</v>
          </cell>
          <cell r="O98" t="str">
            <v xml:space="preserve"> tsutcliffe@glen-hills.leics.sch.uk</v>
          </cell>
          <cell r="P98">
            <v>40861</v>
          </cell>
        </row>
        <row r="99">
          <cell r="A99">
            <v>8013408</v>
          </cell>
          <cell r="B99">
            <v>109248</v>
          </cell>
          <cell r="C99">
            <v>801</v>
          </cell>
          <cell r="D99" t="str">
            <v>Bristol City of</v>
          </cell>
          <cell r="E99">
            <v>3408</v>
          </cell>
          <cell r="F99" t="str">
            <v>Nigel Mills</v>
          </cell>
          <cell r="G99" t="str">
            <v>St Nicholas of Tolentine Catholic Primary School</v>
          </cell>
          <cell r="H99" t="str">
            <v>South West</v>
          </cell>
          <cell r="I99" t="str">
            <v>Pennywell Road</v>
          </cell>
          <cell r="L99" t="str">
            <v>Bristol</v>
          </cell>
          <cell r="N99" t="str">
            <v>BS5 0TJ</v>
          </cell>
          <cell r="O99" t="str">
            <v>headstnicholasp@bristol.gov.uk</v>
          </cell>
          <cell r="P99">
            <v>41078</v>
          </cell>
        </row>
        <row r="100">
          <cell r="A100">
            <v>8552024</v>
          </cell>
          <cell r="B100">
            <v>119915</v>
          </cell>
          <cell r="C100">
            <v>855</v>
          </cell>
          <cell r="D100" t="str">
            <v>Leicestershire</v>
          </cell>
          <cell r="E100">
            <v>2024</v>
          </cell>
          <cell r="F100" t="str">
            <v>Sue Harp</v>
          </cell>
          <cell r="G100" t="str">
            <v>Hugglescote Community Primary School</v>
          </cell>
          <cell r="H100" t="str">
            <v>East Midlands</v>
          </cell>
          <cell r="I100" t="str">
            <v>Ashburton Road</v>
          </cell>
          <cell r="J100" t="str">
            <v>Hugglescote</v>
          </cell>
          <cell r="L100" t="str">
            <v>Coalville</v>
          </cell>
          <cell r="M100" t="str">
            <v>Leicestershire</v>
          </cell>
          <cell r="N100" t="str">
            <v>LE67 2HA</v>
          </cell>
          <cell r="O100" t="str">
            <v>jbell6@hugglescote.leics.sch.uk</v>
          </cell>
        </row>
        <row r="101">
          <cell r="A101">
            <v>9363424</v>
          </cell>
          <cell r="B101">
            <v>125206</v>
          </cell>
          <cell r="C101">
            <v>936</v>
          </cell>
          <cell r="D101" t="str">
            <v>Surrey</v>
          </cell>
          <cell r="E101">
            <v>3424</v>
          </cell>
          <cell r="F101" t="str">
            <v>Gabriela Grimley</v>
          </cell>
          <cell r="G101" t="str">
            <v>St Polycarp's Catholic Primary School, Farnham</v>
          </cell>
          <cell r="H101" t="str">
            <v>South East</v>
          </cell>
          <cell r="I101" t="str">
            <v>Waverley Lane</v>
          </cell>
          <cell r="L101" t="str">
            <v>Farnham</v>
          </cell>
          <cell r="M101" t="str">
            <v>Surrey</v>
          </cell>
          <cell r="N101" t="str">
            <v>GU9 8BQ</v>
          </cell>
          <cell r="O101" t="str">
            <v>head@stpolycarps.surrey.sch.uk</v>
          </cell>
        </row>
        <row r="102">
          <cell r="A102">
            <v>8123520</v>
          </cell>
          <cell r="B102">
            <v>131254</v>
          </cell>
          <cell r="C102">
            <v>812</v>
          </cell>
          <cell r="D102" t="str">
            <v>North East Lincolnshire</v>
          </cell>
          <cell r="E102">
            <v>3520</v>
          </cell>
          <cell r="F102" t="str">
            <v>Lisa Sargeant</v>
          </cell>
          <cell r="G102" t="str">
            <v>Macaulay School</v>
          </cell>
          <cell r="H102" t="str">
            <v>Yorkshire and the Humber</v>
          </cell>
          <cell r="I102" t="str">
            <v>Macaulay Street</v>
          </cell>
          <cell r="L102" t="str">
            <v>Grimsby</v>
          </cell>
          <cell r="M102" t="str">
            <v>Lincolnshire</v>
          </cell>
          <cell r="N102" t="str">
            <v>DN31 2ES</v>
          </cell>
          <cell r="O102" t="str">
            <v>office@mp.nelcmail.co.uk</v>
          </cell>
        </row>
        <row r="103">
          <cell r="A103">
            <v>3094029</v>
          </cell>
          <cell r="B103">
            <v>102153</v>
          </cell>
          <cell r="C103">
            <v>309</v>
          </cell>
          <cell r="D103" t="str">
            <v>Haringey</v>
          </cell>
          <cell r="E103">
            <v>4029</v>
          </cell>
          <cell r="F103" t="str">
            <v>Sheila Longstaff</v>
          </cell>
          <cell r="G103" t="str">
            <v>Hornsey School for Girls</v>
          </cell>
          <cell r="H103" t="str">
            <v>London</v>
          </cell>
          <cell r="I103" t="str">
            <v>Inderwick Road</v>
          </cell>
          <cell r="L103" t="str">
            <v>London</v>
          </cell>
          <cell r="N103" t="str">
            <v>N8 9JF</v>
          </cell>
        </row>
        <row r="104">
          <cell r="A104">
            <v>3205400</v>
          </cell>
          <cell r="B104">
            <v>103107</v>
          </cell>
          <cell r="C104">
            <v>320</v>
          </cell>
          <cell r="D104" t="str">
            <v>Waltham Forest</v>
          </cell>
          <cell r="E104">
            <v>5400</v>
          </cell>
          <cell r="F104" t="str">
            <v>Bola Bakrin</v>
          </cell>
          <cell r="G104" t="str">
            <v>Highams Park School</v>
          </cell>
          <cell r="H104" t="str">
            <v>London</v>
          </cell>
          <cell r="I104" t="str">
            <v>Handsworth Avenue</v>
          </cell>
          <cell r="J104" t="str">
            <v>Highams Park</v>
          </cell>
          <cell r="L104" t="str">
            <v>London</v>
          </cell>
          <cell r="N104" t="str">
            <v>E4 9PJ</v>
          </cell>
          <cell r="O104" t="str">
            <v>aperrett@highamspark.waltham.sch.uk</v>
          </cell>
          <cell r="P104">
            <v>40347</v>
          </cell>
        </row>
        <row r="105">
          <cell r="A105">
            <v>8863112</v>
          </cell>
          <cell r="B105">
            <v>118650</v>
          </cell>
          <cell r="C105">
            <v>886</v>
          </cell>
          <cell r="D105" t="str">
            <v>Kent</v>
          </cell>
          <cell r="E105">
            <v>3112</v>
          </cell>
          <cell r="F105" t="str">
            <v>Maryam Jabbari</v>
          </cell>
          <cell r="G105" t="str">
            <v>Selling Church of England Primary School/ The Village Academy</v>
          </cell>
          <cell r="H105" t="str">
            <v>South East</v>
          </cell>
          <cell r="I105" t="str">
            <v>The Street</v>
          </cell>
          <cell r="J105" t="str">
            <v>Selling</v>
          </cell>
          <cell r="L105" t="str">
            <v>Faversham</v>
          </cell>
          <cell r="M105" t="str">
            <v>Kent</v>
          </cell>
          <cell r="N105" t="str">
            <v>ME13 9RQ</v>
          </cell>
          <cell r="O105" t="str">
            <v xml:space="preserve"> ian.fidge@klz.org.uk</v>
          </cell>
          <cell r="P105">
            <v>40618</v>
          </cell>
        </row>
        <row r="106">
          <cell r="A106">
            <v>8567003</v>
          </cell>
          <cell r="B106">
            <v>120349</v>
          </cell>
          <cell r="C106">
            <v>856</v>
          </cell>
          <cell r="D106" t="str">
            <v>Leicester</v>
          </cell>
          <cell r="E106">
            <v>7003</v>
          </cell>
          <cell r="F106" t="str">
            <v>Stella Mascarenhas-Keys</v>
          </cell>
          <cell r="G106" t="str">
            <v>Ash Field School</v>
          </cell>
          <cell r="H106" t="str">
            <v>East Midlands</v>
          </cell>
          <cell r="I106" t="str">
            <v>Broad Avenue</v>
          </cell>
          <cell r="L106" t="str">
            <v>Leicester</v>
          </cell>
          <cell r="M106" t="str">
            <v>Leicestershire</v>
          </cell>
          <cell r="N106" t="str">
            <v>LE5 4PY</v>
          </cell>
          <cell r="O106" t="str">
            <v>batesons@yahoo.com</v>
          </cell>
          <cell r="P106">
            <v>40850</v>
          </cell>
        </row>
        <row r="107">
          <cell r="A107">
            <v>8603473</v>
          </cell>
          <cell r="B107">
            <v>124365</v>
          </cell>
          <cell r="C107">
            <v>860</v>
          </cell>
          <cell r="D107" t="str">
            <v>Staffordshire</v>
          </cell>
          <cell r="E107">
            <v>3473</v>
          </cell>
          <cell r="F107" t="str">
            <v>Hannah Copp</v>
          </cell>
          <cell r="G107" t="str">
            <v>St Thomas' Catholic Primary School</v>
          </cell>
          <cell r="H107" t="str">
            <v>West Midlands</v>
          </cell>
          <cell r="I107" t="str">
            <v>Parklands Road</v>
          </cell>
          <cell r="J107" t="str">
            <v>Tean</v>
          </cell>
          <cell r="L107" t="str">
            <v>Stoke-on-Trent</v>
          </cell>
          <cell r="M107" t="str">
            <v>Staffordshire</v>
          </cell>
          <cell r="N107" t="str">
            <v>ST10 4DS</v>
          </cell>
          <cell r="O107" t="str">
            <v>headteacher@st-thomas-tean.staffs.sch.uk</v>
          </cell>
          <cell r="P107">
            <v>41057</v>
          </cell>
        </row>
        <row r="108">
          <cell r="A108">
            <v>3302476</v>
          </cell>
          <cell r="B108">
            <v>131942</v>
          </cell>
          <cell r="C108">
            <v>330</v>
          </cell>
          <cell r="D108" t="str">
            <v>Birmingham</v>
          </cell>
          <cell r="E108">
            <v>2476</v>
          </cell>
          <cell r="F108" t="str">
            <v>Ruth Pallister</v>
          </cell>
          <cell r="G108" t="str">
            <v>Billesley Primary School</v>
          </cell>
          <cell r="H108" t="str">
            <v>West Midlands</v>
          </cell>
          <cell r="I108" t="str">
            <v>Trittiford Road</v>
          </cell>
          <cell r="J108" t="str">
            <v>Billesley</v>
          </cell>
          <cell r="L108" t="str">
            <v>Birmingham</v>
          </cell>
          <cell r="M108" t="str">
            <v>West Midlands</v>
          </cell>
          <cell r="N108" t="str">
            <v>B13 0ES</v>
          </cell>
          <cell r="O108" t="str">
            <v>enquiry@billesley.bham.sch.uk</v>
          </cell>
        </row>
        <row r="109">
          <cell r="A109">
            <v>8811120</v>
          </cell>
          <cell r="B109">
            <v>136035</v>
          </cell>
          <cell r="C109">
            <v>881</v>
          </cell>
          <cell r="D109" t="str">
            <v>Essex</v>
          </cell>
          <cell r="E109">
            <v>1120</v>
          </cell>
          <cell r="F109" t="str">
            <v>Linda Tiley</v>
          </cell>
          <cell r="G109" t="str">
            <v>Children's Support Centre Langdon Hills Basildon</v>
          </cell>
          <cell r="H109" t="str">
            <v>East of England</v>
          </cell>
          <cell r="I109" t="str">
            <v>High Road</v>
          </cell>
          <cell r="J109" t="str">
            <v>Langdon Hills</v>
          </cell>
          <cell r="L109" t="str">
            <v>Basildon</v>
          </cell>
          <cell r="M109" t="str">
            <v>Essex</v>
          </cell>
          <cell r="N109" t="str">
            <v>SS16 6HG</v>
          </cell>
          <cell r="O109" t="str">
            <v>sharon.wilson@essex.gov.uk</v>
          </cell>
        </row>
        <row r="110">
          <cell r="A110">
            <v>3197005</v>
          </cell>
          <cell r="B110">
            <v>103026</v>
          </cell>
          <cell r="C110">
            <v>319</v>
          </cell>
          <cell r="D110" t="str">
            <v>Sutton</v>
          </cell>
          <cell r="E110">
            <v>7005</v>
          </cell>
          <cell r="F110" t="str">
            <v>Bola Bakrin</v>
          </cell>
          <cell r="G110" t="str">
            <v>Wandle Valley School</v>
          </cell>
          <cell r="H110" t="str">
            <v>London</v>
          </cell>
          <cell r="I110" t="str">
            <v>Welbeck Road</v>
          </cell>
          <cell r="L110" t="str">
            <v>Carshalton</v>
          </cell>
          <cell r="M110" t="str">
            <v>Surrey</v>
          </cell>
          <cell r="N110" t="str">
            <v>SM5 1LW</v>
          </cell>
          <cell r="O110" t="str">
            <v>douglas.bone@btconnect.com</v>
          </cell>
          <cell r="P110">
            <v>40632</v>
          </cell>
        </row>
        <row r="111">
          <cell r="A111">
            <v>8553107</v>
          </cell>
          <cell r="B111">
            <v>120176</v>
          </cell>
          <cell r="C111">
            <v>855</v>
          </cell>
          <cell r="D111" t="str">
            <v>Leicestershire</v>
          </cell>
          <cell r="E111">
            <v>3107</v>
          </cell>
          <cell r="F111" t="str">
            <v>Sue Harp</v>
          </cell>
          <cell r="G111" t="str">
            <v>Hallaton Church of England Primary School</v>
          </cell>
          <cell r="H111" t="str">
            <v>East Midlands</v>
          </cell>
          <cell r="I111" t="str">
            <v>Churchgate</v>
          </cell>
          <cell r="J111" t="str">
            <v>Hallaton</v>
          </cell>
          <cell r="L111" t="str">
            <v>Market Harborough</v>
          </cell>
          <cell r="M111" t="str">
            <v>Leicestershire</v>
          </cell>
          <cell r="N111" t="str">
            <v>LE16 8TY</v>
          </cell>
          <cell r="O111" t="str">
            <v>dianer8@hallatonprimary.leics.sch.uk</v>
          </cell>
        </row>
        <row r="112">
          <cell r="A112">
            <v>9281105</v>
          </cell>
          <cell r="B112">
            <v>133717</v>
          </cell>
          <cell r="C112">
            <v>928</v>
          </cell>
          <cell r="D112" t="str">
            <v>Northamptonshire</v>
          </cell>
          <cell r="E112">
            <v>1105</v>
          </cell>
          <cell r="F112" t="str">
            <v>Tahir Shams</v>
          </cell>
          <cell r="G112" t="str">
            <v>Hospital and Outreach Education PRU</v>
          </cell>
          <cell r="H112" t="str">
            <v>East Midlands</v>
          </cell>
          <cell r="I112" t="str">
            <v>Delapre Learning Centre</v>
          </cell>
          <cell r="J112" t="str">
            <v>Alton St, Off Main Rd</v>
          </cell>
          <cell r="K112" t="str">
            <v>Far Cotton</v>
          </cell>
          <cell r="L112" t="str">
            <v>Northampton</v>
          </cell>
          <cell r="M112" t="str">
            <v>Northamptonshire</v>
          </cell>
          <cell r="N112" t="str">
            <v>NN4 8EN</v>
          </cell>
          <cell r="O112" t="str">
            <v>lmayer@northamptonshire.gov.uk</v>
          </cell>
          <cell r="P112">
            <v>41255</v>
          </cell>
        </row>
        <row r="113">
          <cell r="A113">
            <v>8464016</v>
          </cell>
          <cell r="B113">
            <v>114580</v>
          </cell>
          <cell r="C113">
            <v>846</v>
          </cell>
          <cell r="D113" t="str">
            <v>Brighton and Hove</v>
          </cell>
          <cell r="E113">
            <v>4016</v>
          </cell>
          <cell r="F113" t="str">
            <v>Sarah Mitchell</v>
          </cell>
          <cell r="G113" t="str">
            <v>Dorothy Stringer High School</v>
          </cell>
          <cell r="H113" t="str">
            <v>South East</v>
          </cell>
          <cell r="I113" t="str">
            <v>Loder Road</v>
          </cell>
          <cell r="L113" t="str">
            <v>Brighton</v>
          </cell>
          <cell r="M113" t="str">
            <v>East Sussex</v>
          </cell>
          <cell r="N113" t="str">
            <v>BN1 6PZ</v>
          </cell>
          <cell r="O113" t="str">
            <v>head@dorothy-stringer.co.uk</v>
          </cell>
        </row>
        <row r="114">
          <cell r="A114">
            <v>9192436</v>
          </cell>
          <cell r="B114">
            <v>117341</v>
          </cell>
          <cell r="C114">
            <v>919</v>
          </cell>
          <cell r="D114" t="str">
            <v>Hertfordshire</v>
          </cell>
          <cell r="E114">
            <v>2436</v>
          </cell>
          <cell r="F114" t="str">
            <v>Joe Farrell</v>
          </cell>
          <cell r="G114" t="str">
            <v>Grove Road Primary School</v>
          </cell>
          <cell r="H114" t="str">
            <v>East of England</v>
          </cell>
          <cell r="I114" t="str">
            <v>Grove Road</v>
          </cell>
          <cell r="L114" t="str">
            <v>Tring</v>
          </cell>
          <cell r="M114" t="str">
            <v>Hertfordshire</v>
          </cell>
          <cell r="N114" t="str">
            <v>HP23 5PD</v>
          </cell>
          <cell r="O114" t="str">
            <v>head@groveroad.herts.sch.uk</v>
          </cell>
        </row>
        <row r="115">
          <cell r="A115">
            <v>8844032</v>
          </cell>
          <cell r="B115">
            <v>116944</v>
          </cell>
          <cell r="C115">
            <v>884</v>
          </cell>
          <cell r="D115" t="str">
            <v>Herefordshire</v>
          </cell>
          <cell r="E115">
            <v>4032</v>
          </cell>
          <cell r="F115" t="str">
            <v>Elinor Harman</v>
          </cell>
          <cell r="G115" t="str">
            <v>Fairfield High School</v>
          </cell>
          <cell r="H115" t="str">
            <v>West Midlands</v>
          </cell>
          <cell r="I115" t="str">
            <v>Peterchurch</v>
          </cell>
          <cell r="L115" t="str">
            <v>Hereford</v>
          </cell>
          <cell r="M115" t="str">
            <v>Herefordshire</v>
          </cell>
          <cell r="N115" t="str">
            <v>HR2 0SG</v>
          </cell>
          <cell r="O115" t="str">
            <v>sbrearley@fairfield.hereford.sch.uk</v>
          </cell>
          <cell r="P115">
            <v>40679</v>
          </cell>
        </row>
        <row r="116">
          <cell r="A116">
            <v>9257030</v>
          </cell>
          <cell r="B116">
            <v>134228</v>
          </cell>
          <cell r="C116">
            <v>925</v>
          </cell>
          <cell r="D116" t="str">
            <v>Lincolnshire</v>
          </cell>
          <cell r="E116">
            <v>7030</v>
          </cell>
          <cell r="F116" t="str">
            <v>Grant Dyson</v>
          </cell>
          <cell r="G116" t="str">
            <v>Lady Jane Franklin School</v>
          </cell>
          <cell r="H116" t="str">
            <v>East Midlands</v>
          </cell>
          <cell r="I116" t="str">
            <v>Partney Road</v>
          </cell>
          <cell r="L116" t="str">
            <v>Spilsby</v>
          </cell>
          <cell r="M116" t="str">
            <v>Lincolnshire</v>
          </cell>
          <cell r="N116" t="str">
            <v>PE23 5EJ</v>
          </cell>
          <cell r="O116" t="str">
            <v>john.craig@ljfs.lincs.sch.uk</v>
          </cell>
          <cell r="P116">
            <v>40869</v>
          </cell>
        </row>
        <row r="117">
          <cell r="A117">
            <v>8863708</v>
          </cell>
          <cell r="B117">
            <v>118755</v>
          </cell>
          <cell r="C117">
            <v>886</v>
          </cell>
          <cell r="D117" t="str">
            <v>Kent</v>
          </cell>
          <cell r="E117">
            <v>3708</v>
          </cell>
          <cell r="F117" t="str">
            <v>Nicky Edwards</v>
          </cell>
          <cell r="G117" t="str">
            <v>St John's Catholic Primary School</v>
          </cell>
          <cell r="H117" t="str">
            <v>South East</v>
          </cell>
          <cell r="I117" t="str">
            <v>Rochester Road</v>
          </cell>
          <cell r="L117" t="str">
            <v>Gravesend</v>
          </cell>
          <cell r="M117" t="str">
            <v>Kent</v>
          </cell>
          <cell r="N117" t="str">
            <v>DA12 2SY</v>
          </cell>
          <cell r="O117" t="str">
            <v>head@stjohnsprimary.kent.sch.uk</v>
          </cell>
        </row>
        <row r="118">
          <cell r="A118">
            <v>3325401</v>
          </cell>
          <cell r="B118">
            <v>103871</v>
          </cell>
          <cell r="C118">
            <v>332</v>
          </cell>
          <cell r="D118" t="str">
            <v>Dudley</v>
          </cell>
          <cell r="E118">
            <v>5401</v>
          </cell>
          <cell r="F118" t="str">
            <v>Stephen Bagnall</v>
          </cell>
          <cell r="G118" t="str">
            <v>Ellowes Hall Sports College</v>
          </cell>
          <cell r="H118" t="str">
            <v>West Midlands</v>
          </cell>
          <cell r="I118" t="str">
            <v>Stickley Lane</v>
          </cell>
          <cell r="J118" t="str">
            <v>Lower Gornal</v>
          </cell>
          <cell r="L118" t="str">
            <v>Dudley</v>
          </cell>
          <cell r="M118" t="str">
            <v>West Midlands</v>
          </cell>
          <cell r="N118" t="str">
            <v>DY3 2JH</v>
          </cell>
          <cell r="O118" t="str">
            <v>ajasper@ellowes.dudley.sch.uk</v>
          </cell>
        </row>
        <row r="119">
          <cell r="A119">
            <v>9194080</v>
          </cell>
          <cell r="B119">
            <v>117523</v>
          </cell>
          <cell r="C119">
            <v>919</v>
          </cell>
          <cell r="D119" t="str">
            <v>Hertfordshire</v>
          </cell>
          <cell r="E119">
            <v>4080</v>
          </cell>
          <cell r="F119" t="str">
            <v>Beverley Samuel</v>
          </cell>
          <cell r="G119" t="str">
            <v>Longdean School</v>
          </cell>
          <cell r="H119" t="str">
            <v>East of England</v>
          </cell>
          <cell r="I119" t="str">
            <v>Rumballs Road</v>
          </cell>
          <cell r="J119" t="str">
            <v>Bennetts End</v>
          </cell>
          <cell r="L119" t="str">
            <v>Hemel Hempstead</v>
          </cell>
          <cell r="M119" t="str">
            <v>Hertfordshire</v>
          </cell>
          <cell r="N119" t="str">
            <v>HP3 8JB</v>
          </cell>
          <cell r="O119" t="str">
            <v>head@longdean.herts.sch.uk</v>
          </cell>
          <cell r="P119">
            <v>40616</v>
          </cell>
        </row>
        <row r="120">
          <cell r="A120">
            <v>8804118</v>
          </cell>
          <cell r="B120">
            <v>113527</v>
          </cell>
          <cell r="C120">
            <v>880</v>
          </cell>
          <cell r="D120" t="str">
            <v>Torbay</v>
          </cell>
          <cell r="E120">
            <v>4118</v>
          </cell>
          <cell r="F120" t="str">
            <v>Ali Bushell</v>
          </cell>
          <cell r="G120" t="str">
            <v>Brixham College</v>
          </cell>
          <cell r="H120" t="str">
            <v>South West</v>
          </cell>
          <cell r="I120" t="str">
            <v>Higher Ranscombe Road</v>
          </cell>
          <cell r="L120" t="str">
            <v>Brixham</v>
          </cell>
          <cell r="M120" t="str">
            <v>Devon</v>
          </cell>
          <cell r="N120" t="str">
            <v>TQ5 9HF</v>
          </cell>
          <cell r="O120" t="str">
            <v>meager@brixhamcollege.co.uk</v>
          </cell>
          <cell r="P120">
            <v>40744</v>
          </cell>
        </row>
        <row r="121">
          <cell r="A121">
            <v>8684036</v>
          </cell>
          <cell r="B121">
            <v>110051</v>
          </cell>
          <cell r="C121">
            <v>868</v>
          </cell>
          <cell r="D121" t="str">
            <v>Windsor and Maidenhead</v>
          </cell>
          <cell r="E121">
            <v>4036</v>
          </cell>
          <cell r="F121" t="str">
            <v>Darren Francis</v>
          </cell>
          <cell r="G121" t="str">
            <v>Newlands Girls' School</v>
          </cell>
          <cell r="H121" t="str">
            <v>South East</v>
          </cell>
          <cell r="I121" t="str">
            <v>Farm Road</v>
          </cell>
          <cell r="L121" t="str">
            <v>Maidenhead</v>
          </cell>
          <cell r="M121" t="str">
            <v>Berkshire</v>
          </cell>
          <cell r="N121" t="str">
            <v>SL6 5JB</v>
          </cell>
          <cell r="O121" t="str">
            <v>ceskl001@rbwm.org</v>
          </cell>
        </row>
        <row r="122">
          <cell r="A122">
            <v>9352003</v>
          </cell>
          <cell r="B122">
            <v>124532</v>
          </cell>
          <cell r="C122">
            <v>935</v>
          </cell>
          <cell r="D122" t="str">
            <v>Suffolk</v>
          </cell>
          <cell r="E122">
            <v>2003</v>
          </cell>
          <cell r="F122" t="str">
            <v>Claire Read</v>
          </cell>
          <cell r="G122" t="str">
            <v>Forest Community Primary School</v>
          </cell>
          <cell r="H122" t="str">
            <v>East of England</v>
          </cell>
          <cell r="I122" t="str">
            <v>Bury Road</v>
          </cell>
          <cell r="L122" t="str">
            <v>Brandon</v>
          </cell>
          <cell r="M122" t="str">
            <v>Suffolk</v>
          </cell>
          <cell r="N122" t="str">
            <v>IP27 0FP</v>
          </cell>
          <cell r="O122" t="str">
            <v>curryforest@waitrose.com</v>
          </cell>
          <cell r="P122">
            <v>40359</v>
          </cell>
        </row>
        <row r="123">
          <cell r="A123">
            <v>3714014</v>
          </cell>
          <cell r="B123">
            <v>106780</v>
          </cell>
          <cell r="C123">
            <v>371</v>
          </cell>
          <cell r="D123" t="str">
            <v>Doncaster</v>
          </cell>
          <cell r="E123">
            <v>4014</v>
          </cell>
          <cell r="F123" t="str">
            <v>Carol Ions</v>
          </cell>
          <cell r="G123" t="str">
            <v>Danum School Technology College</v>
          </cell>
          <cell r="H123" t="str">
            <v>Yorkshire and the Humber</v>
          </cell>
          <cell r="I123" t="str">
            <v>Armthorpe Road</v>
          </cell>
          <cell r="L123" t="str">
            <v>Doncaster</v>
          </cell>
          <cell r="M123" t="str">
            <v>South Yorkshire</v>
          </cell>
          <cell r="N123" t="str">
            <v>DN2 5QD</v>
          </cell>
          <cell r="O123" t="str">
            <v>CIB@danum.doncaster.sch.uk</v>
          </cell>
          <cell r="P123">
            <v>40701</v>
          </cell>
        </row>
        <row r="124">
          <cell r="A124">
            <v>8515211</v>
          </cell>
          <cell r="B124">
            <v>116491</v>
          </cell>
          <cell r="C124">
            <v>851</v>
          </cell>
          <cell r="D124" t="str">
            <v>Portsmouth</v>
          </cell>
          <cell r="E124">
            <v>5211</v>
          </cell>
          <cell r="F124" t="str">
            <v>Eric Mcewen</v>
          </cell>
          <cell r="G124" t="str">
            <v>Lyndhurst Junior School (Foundation)</v>
          </cell>
          <cell r="H124" t="str">
            <v>South East</v>
          </cell>
          <cell r="I124" t="str">
            <v>Crofton Road</v>
          </cell>
          <cell r="J124" t="str">
            <v>North End</v>
          </cell>
          <cell r="L124" t="str">
            <v>Portsmouth</v>
          </cell>
          <cell r="M124" t="str">
            <v>Hampshire</v>
          </cell>
          <cell r="N124" t="str">
            <v>PO2 0NT</v>
          </cell>
          <cell r="O124" t="str">
            <v>head@lyndhurst.portsmouth.sch.uk</v>
          </cell>
          <cell r="P124">
            <v>41099</v>
          </cell>
        </row>
        <row r="125">
          <cell r="A125">
            <v>3904043</v>
          </cell>
          <cell r="B125">
            <v>131048</v>
          </cell>
          <cell r="C125">
            <v>390</v>
          </cell>
          <cell r="D125" t="str">
            <v>Gateshead</v>
          </cell>
          <cell r="E125">
            <v>4043</v>
          </cell>
          <cell r="F125" t="str">
            <v>Alan Large</v>
          </cell>
          <cell r="G125" t="str">
            <v>Joseph Swan School</v>
          </cell>
          <cell r="H125" t="str">
            <v>North East</v>
          </cell>
          <cell r="I125" t="str">
            <v>Saltwell Road South</v>
          </cell>
          <cell r="L125" t="str">
            <v>Gateshead</v>
          </cell>
          <cell r="M125" t="str">
            <v>Tyne and Wear</v>
          </cell>
          <cell r="N125" t="str">
            <v>NE9 6LE</v>
          </cell>
          <cell r="O125" t="str">
            <v>allanfuller@josephswan.org.uk</v>
          </cell>
          <cell r="P125">
            <v>40826</v>
          </cell>
        </row>
        <row r="126">
          <cell r="A126">
            <v>9257029</v>
          </cell>
          <cell r="B126">
            <v>134227</v>
          </cell>
          <cell r="C126">
            <v>925</v>
          </cell>
          <cell r="D126" t="str">
            <v>Lincolnshire</v>
          </cell>
          <cell r="E126">
            <v>7029</v>
          </cell>
          <cell r="F126" t="str">
            <v>Grant Dyson</v>
          </cell>
          <cell r="G126" t="str">
            <v>The Phoenix School</v>
          </cell>
          <cell r="H126" t="str">
            <v>East Midlands</v>
          </cell>
          <cell r="I126" t="str">
            <v>Great North Road</v>
          </cell>
          <cell r="L126" t="str">
            <v>Grantham</v>
          </cell>
          <cell r="M126" t="str">
            <v>Lincolnshire</v>
          </cell>
          <cell r="N126" t="str">
            <v>NG31 7US</v>
          </cell>
          <cell r="O126" t="str">
            <v>Bill.Bush@phoenix.lincs.sch.uk</v>
          </cell>
          <cell r="P126">
            <v>40673</v>
          </cell>
        </row>
        <row r="127">
          <cell r="A127">
            <v>9083876</v>
          </cell>
          <cell r="B127">
            <v>112025</v>
          </cell>
          <cell r="C127">
            <v>908</v>
          </cell>
          <cell r="D127" t="str">
            <v>Cornwall</v>
          </cell>
          <cell r="E127">
            <v>3876</v>
          </cell>
          <cell r="F127" t="str">
            <v>Kate Bosher</v>
          </cell>
          <cell r="G127" t="str">
            <v>Sir Robert Geffery's Voluntary Aided Church of England Primary School</v>
          </cell>
          <cell r="H127" t="str">
            <v>South West</v>
          </cell>
          <cell r="I127" t="str">
            <v>School Road</v>
          </cell>
          <cell r="J127" t="str">
            <v>Landrake</v>
          </cell>
          <cell r="L127" t="str">
            <v>Saltash</v>
          </cell>
          <cell r="M127" t="str">
            <v>Cornwall</v>
          </cell>
          <cell r="N127" t="str">
            <v>PL12 5EA</v>
          </cell>
          <cell r="O127" t="str">
            <v>head@sir-robert-gefferys.cornwall.sch.uk</v>
          </cell>
          <cell r="P127">
            <v>40624</v>
          </cell>
        </row>
        <row r="128">
          <cell r="A128">
            <v>3834109</v>
          </cell>
          <cell r="B128">
            <v>108086</v>
          </cell>
          <cell r="C128">
            <v>383</v>
          </cell>
          <cell r="D128" t="str">
            <v>Leeds</v>
          </cell>
          <cell r="E128">
            <v>4109</v>
          </cell>
          <cell r="G128" t="str">
            <v>Bruntcliffe School</v>
          </cell>
          <cell r="H128" t="str">
            <v>Yorkshire and the Humber</v>
          </cell>
          <cell r="I128" t="str">
            <v>Bruntcliffe Lane</v>
          </cell>
          <cell r="J128" t="str">
            <v>Morley</v>
          </cell>
          <cell r="L128" t="str">
            <v>Leeds</v>
          </cell>
          <cell r="M128" t="str">
            <v>West Yorkshire</v>
          </cell>
          <cell r="N128" t="str">
            <v>LS27 0LZ</v>
          </cell>
          <cell r="O128" t="str">
            <v>johnsol12@leedslearning.net</v>
          </cell>
        </row>
        <row r="129">
          <cell r="A129">
            <v>2072594</v>
          </cell>
          <cell r="B129">
            <v>100488</v>
          </cell>
          <cell r="C129">
            <v>207</v>
          </cell>
          <cell r="D129" t="str">
            <v>Kensington and Chelsea</v>
          </cell>
          <cell r="E129">
            <v>2594</v>
          </cell>
          <cell r="F129" t="str">
            <v>Anita Bihal</v>
          </cell>
          <cell r="G129" t="str">
            <v>Thomas Jones Primary School</v>
          </cell>
          <cell r="H129" t="str">
            <v>London</v>
          </cell>
          <cell r="I129" t="str">
            <v>St Mark's Road</v>
          </cell>
          <cell r="L129" t="str">
            <v>London</v>
          </cell>
          <cell r="N129" t="str">
            <v>W11 1RQ</v>
          </cell>
        </row>
        <row r="130">
          <cell r="A130">
            <v>9312106</v>
          </cell>
          <cell r="B130">
            <v>123003</v>
          </cell>
          <cell r="C130">
            <v>931</v>
          </cell>
          <cell r="D130" t="str">
            <v>Oxfordshire</v>
          </cell>
          <cell r="E130">
            <v>2106</v>
          </cell>
          <cell r="F130" t="str">
            <v>Sarah Nairne</v>
          </cell>
          <cell r="G130" t="str">
            <v>Kingham Primary School</v>
          </cell>
          <cell r="H130" t="str">
            <v>South East</v>
          </cell>
          <cell r="I130" t="str">
            <v>Kingham</v>
          </cell>
          <cell r="L130" t="str">
            <v>Chipping Norton</v>
          </cell>
          <cell r="M130" t="str">
            <v>Oxfordshire</v>
          </cell>
          <cell r="N130" t="str">
            <v>OX7 6YD</v>
          </cell>
          <cell r="O130" t="str">
            <v>head.2106@kingham.oxon.sch.uk</v>
          </cell>
        </row>
        <row r="131">
          <cell r="A131">
            <v>8815250</v>
          </cell>
          <cell r="B131">
            <v>115290</v>
          </cell>
          <cell r="C131">
            <v>881</v>
          </cell>
          <cell r="D131" t="str">
            <v>Essex</v>
          </cell>
          <cell r="E131">
            <v>5250</v>
          </cell>
          <cell r="F131" t="str">
            <v>Claire Ivie</v>
          </cell>
          <cell r="G131" t="str">
            <v>Our Lady Immaculate Catholic Primary School</v>
          </cell>
          <cell r="H131" t="str">
            <v>East of England</v>
          </cell>
          <cell r="I131" t="str">
            <v>New London Road</v>
          </cell>
          <cell r="L131" t="str">
            <v>Chelmsford</v>
          </cell>
          <cell r="M131" t="str">
            <v>Essex</v>
          </cell>
          <cell r="N131" t="str">
            <v>CM2 0RG</v>
          </cell>
          <cell r="O131" t="str">
            <v>head@ourladyimmaculate.essex.sch.uk</v>
          </cell>
          <cell r="P131">
            <v>40744</v>
          </cell>
        </row>
        <row r="132">
          <cell r="A132">
            <v>9167024</v>
          </cell>
          <cell r="B132">
            <v>131557</v>
          </cell>
          <cell r="C132">
            <v>916</v>
          </cell>
          <cell r="D132" t="str">
            <v>Gloucestershire</v>
          </cell>
          <cell r="E132">
            <v>7024</v>
          </cell>
          <cell r="F132" t="str">
            <v>Ed Schuldt</v>
          </cell>
          <cell r="G132" t="str">
            <v>The Milestone School</v>
          </cell>
          <cell r="H132" t="str">
            <v>South West</v>
          </cell>
          <cell r="I132" t="str">
            <v>Longford Lane</v>
          </cell>
          <cell r="L132" t="str">
            <v>Gloucester</v>
          </cell>
          <cell r="M132" t="str">
            <v>Gloucestershire</v>
          </cell>
          <cell r="N132" t="str">
            <v>GL2 9EU</v>
          </cell>
          <cell r="O132" t="str">
            <v>head@milestone.gloucs.sch.uk</v>
          </cell>
        </row>
        <row r="133">
          <cell r="A133">
            <v>3052071</v>
          </cell>
          <cell r="B133">
            <v>101636</v>
          </cell>
          <cell r="C133">
            <v>305</v>
          </cell>
          <cell r="D133" t="str">
            <v>Bromley</v>
          </cell>
          <cell r="E133">
            <v>2071</v>
          </cell>
          <cell r="F133" t="str">
            <v>Helen Fisher</v>
          </cell>
          <cell r="G133" t="str">
            <v>Scotts Park Primary School</v>
          </cell>
          <cell r="H133" t="str">
            <v>London</v>
          </cell>
          <cell r="I133" t="str">
            <v>Orchard Road</v>
          </cell>
          <cell r="L133" t="str">
            <v>Bromley</v>
          </cell>
          <cell r="M133" t="str">
            <v>Kent</v>
          </cell>
          <cell r="N133" t="str">
            <v>BR1 2PR</v>
          </cell>
          <cell r="O133" t="str">
            <v>amanda.buck@scottspark.bromley.sch.uk</v>
          </cell>
        </row>
        <row r="134">
          <cell r="A134">
            <v>9354076</v>
          </cell>
          <cell r="B134">
            <v>124836</v>
          </cell>
          <cell r="C134">
            <v>935</v>
          </cell>
          <cell r="D134" t="str">
            <v>Suffolk</v>
          </cell>
          <cell r="E134">
            <v>4076</v>
          </cell>
          <cell r="F134" t="str">
            <v>Struan Mackenzie</v>
          </cell>
          <cell r="G134" t="str">
            <v>Farlingaye High School</v>
          </cell>
          <cell r="H134" t="str">
            <v>East of England</v>
          </cell>
          <cell r="I134" t="str">
            <v>Ransom Road</v>
          </cell>
          <cell r="L134" t="str">
            <v>Woodbridge</v>
          </cell>
          <cell r="M134" t="str">
            <v>Suffolk</v>
          </cell>
          <cell r="N134" t="str">
            <v>IP12 4JX</v>
          </cell>
          <cell r="O134" t="str">
            <v xml:space="preserve"> mail@farlingaye.suffolk.sch.uk</v>
          </cell>
          <cell r="P134">
            <v>40611</v>
          </cell>
        </row>
        <row r="135">
          <cell r="A135">
            <v>9195401</v>
          </cell>
          <cell r="B135">
            <v>117573</v>
          </cell>
          <cell r="C135">
            <v>919</v>
          </cell>
          <cell r="D135" t="str">
            <v>Hertfordshire</v>
          </cell>
          <cell r="E135">
            <v>5401</v>
          </cell>
          <cell r="F135" t="str">
            <v>Joe Farrell</v>
          </cell>
          <cell r="G135" t="str">
            <v>Watford Grammar School for Boys</v>
          </cell>
          <cell r="H135" t="str">
            <v>East of England</v>
          </cell>
          <cell r="I135" t="str">
            <v>Rickmansworth Road</v>
          </cell>
          <cell r="L135" t="str">
            <v>Watford</v>
          </cell>
          <cell r="M135" t="str">
            <v>Hertfordshire</v>
          </cell>
          <cell r="N135" t="str">
            <v>WD18 7JF</v>
          </cell>
          <cell r="O135" t="str">
            <v>postm@watfordboys.herts.sch.uk</v>
          </cell>
          <cell r="P135">
            <v>40357</v>
          </cell>
        </row>
        <row r="136">
          <cell r="A136">
            <v>8914009</v>
          </cell>
          <cell r="B136">
            <v>122827</v>
          </cell>
          <cell r="C136">
            <v>891</v>
          </cell>
          <cell r="D136" t="str">
            <v>Nottinghamshire</v>
          </cell>
          <cell r="E136">
            <v>4009</v>
          </cell>
          <cell r="F136" t="str">
            <v>Grant Dyson</v>
          </cell>
          <cell r="G136" t="str">
            <v>Ashfield Comprehensive School</v>
          </cell>
          <cell r="H136" t="str">
            <v>East Midlands</v>
          </cell>
          <cell r="I136" t="str">
            <v>Sutton Road</v>
          </cell>
          <cell r="J136" t="str">
            <v>Kirkby-in-Ashfield</v>
          </cell>
          <cell r="L136" t="str">
            <v>Nottingham</v>
          </cell>
          <cell r="M136" t="str">
            <v>Nottinghamshire</v>
          </cell>
          <cell r="N136" t="str">
            <v>NG17 8HP</v>
          </cell>
          <cell r="O136" t="str">
            <v>richard.vasey@ashfield.notts.sch.uk</v>
          </cell>
          <cell r="P136">
            <v>40865</v>
          </cell>
        </row>
        <row r="137">
          <cell r="A137">
            <v>8232289</v>
          </cell>
          <cell r="B137">
            <v>109591</v>
          </cell>
          <cell r="C137">
            <v>823</v>
          </cell>
          <cell r="D137" t="str">
            <v>Central Bedfordshire</v>
          </cell>
          <cell r="E137">
            <v>2289</v>
          </cell>
          <cell r="F137" t="str">
            <v>Michael Cook</v>
          </cell>
          <cell r="G137" t="str">
            <v>Greenleas Lower School</v>
          </cell>
          <cell r="H137" t="str">
            <v>East of England</v>
          </cell>
          <cell r="I137" t="str">
            <v>Derwent Road</v>
          </cell>
          <cell r="J137" t="str">
            <v>Linslade</v>
          </cell>
          <cell r="L137" t="str">
            <v>Leighton Buzzard</v>
          </cell>
          <cell r="M137" t="str">
            <v>Bedfordshire</v>
          </cell>
          <cell r="N137" t="str">
            <v>LU7 2AB</v>
          </cell>
          <cell r="O137" t="str">
            <v>greenleas@deal.bedfordshire.gov.uk</v>
          </cell>
        </row>
        <row r="138">
          <cell r="A138">
            <v>9262015</v>
          </cell>
          <cell r="B138">
            <v>120787</v>
          </cell>
          <cell r="C138">
            <v>926</v>
          </cell>
          <cell r="D138" t="str">
            <v>Norfolk</v>
          </cell>
          <cell r="E138">
            <v>2015</v>
          </cell>
          <cell r="F138" t="str">
            <v>Not yet assigned</v>
          </cell>
          <cell r="G138" t="str">
            <v>Beeston Primary</v>
          </cell>
          <cell r="H138" t="str">
            <v>East of England</v>
          </cell>
          <cell r="I138" t="str">
            <v>Chapel Lane</v>
          </cell>
          <cell r="J138" t="str">
            <v>Beeston</v>
          </cell>
          <cell r="L138" t="str">
            <v>King's Lynn</v>
          </cell>
          <cell r="M138" t="str">
            <v>Norfolk</v>
          </cell>
          <cell r="N138" t="str">
            <v>PE32 2NQ</v>
          </cell>
          <cell r="O138" t="str">
            <v>head@beeston.norfolk.sch.uk</v>
          </cell>
        </row>
        <row r="139">
          <cell r="A139">
            <v>8815467</v>
          </cell>
          <cell r="B139">
            <v>115383</v>
          </cell>
          <cell r="C139">
            <v>881</v>
          </cell>
          <cell r="D139" t="str">
            <v>Essex</v>
          </cell>
          <cell r="E139">
            <v>5467</v>
          </cell>
          <cell r="F139" t="str">
            <v>Kish Chetty</v>
          </cell>
          <cell r="G139" t="str">
            <v>Shenfield High School</v>
          </cell>
          <cell r="H139" t="str">
            <v>East of England</v>
          </cell>
          <cell r="I139" t="str">
            <v>Alexander Lane</v>
          </cell>
          <cell r="J139" t="str">
            <v>Shenfield</v>
          </cell>
          <cell r="L139" t="str">
            <v>Brentwood</v>
          </cell>
          <cell r="M139" t="str">
            <v>Essex</v>
          </cell>
          <cell r="N139" t="str">
            <v>CM15 8RY</v>
          </cell>
          <cell r="O139" t="str">
            <v>c.owens@shenfield.essex.sch.uk</v>
          </cell>
          <cell r="P139">
            <v>40833</v>
          </cell>
        </row>
        <row r="140">
          <cell r="A140">
            <v>9262289</v>
          </cell>
          <cell r="B140">
            <v>120927</v>
          </cell>
          <cell r="C140">
            <v>926</v>
          </cell>
          <cell r="D140" t="str">
            <v>Norfolk</v>
          </cell>
          <cell r="E140">
            <v>2289</v>
          </cell>
          <cell r="F140" t="str">
            <v>Aminat Alli</v>
          </cell>
          <cell r="G140" t="str">
            <v>Arden Grove Infant and Nursery School</v>
          </cell>
          <cell r="H140" t="str">
            <v>East of England</v>
          </cell>
          <cell r="I140" t="str">
            <v>Arden Grove</v>
          </cell>
          <cell r="J140" t="str">
            <v>Hellesdon</v>
          </cell>
          <cell r="L140" t="str">
            <v>Norwich</v>
          </cell>
          <cell r="M140" t="str">
            <v>Norfolk</v>
          </cell>
          <cell r="N140" t="str">
            <v>NR6 6QA</v>
          </cell>
        </row>
        <row r="141">
          <cell r="A141">
            <v>8152331</v>
          </cell>
          <cell r="B141">
            <v>121397</v>
          </cell>
          <cell r="C141">
            <v>815</v>
          </cell>
          <cell r="D141" t="str">
            <v>North Yorkshire</v>
          </cell>
          <cell r="E141">
            <v>2331</v>
          </cell>
          <cell r="F141" t="str">
            <v>Jane Moore</v>
          </cell>
          <cell r="G141" t="str">
            <v>Oatlands Community Infant School</v>
          </cell>
          <cell r="H141" t="str">
            <v>Yorkshire and the Humber</v>
          </cell>
          <cell r="I141" t="str">
            <v>Hookstone Road</v>
          </cell>
          <cell r="L141" t="str">
            <v>Harrogate</v>
          </cell>
          <cell r="M141" t="str">
            <v>North Yorkshire</v>
          </cell>
          <cell r="N141" t="str">
            <v>HG2 8BT</v>
          </cell>
          <cell r="O141" t="str">
            <v>headteacher@oatlands-inf.n-yorks.sch.uk</v>
          </cell>
        </row>
        <row r="142">
          <cell r="A142">
            <v>2042487</v>
          </cell>
          <cell r="B142">
            <v>100235</v>
          </cell>
          <cell r="C142">
            <v>204</v>
          </cell>
          <cell r="D142" t="str">
            <v>Hackney</v>
          </cell>
          <cell r="E142">
            <v>2487</v>
          </cell>
          <cell r="F142" t="str">
            <v>Bola Bakrin</v>
          </cell>
          <cell r="G142" t="str">
            <v>Queensbridge Primary School</v>
          </cell>
          <cell r="H142" t="str">
            <v>London</v>
          </cell>
          <cell r="I142" t="str">
            <v>Albion Drive</v>
          </cell>
          <cell r="J142" t="str">
            <v>Dalston</v>
          </cell>
          <cell r="K142" t="str">
            <v>Hackney</v>
          </cell>
          <cell r="L142" t="str">
            <v>London</v>
          </cell>
          <cell r="N142" t="str">
            <v>E8 4ET</v>
          </cell>
          <cell r="O142" t="str">
            <v>sbailey@queensbridge.hackney.sch.uk</v>
          </cell>
        </row>
        <row r="143">
          <cell r="A143">
            <v>9164039</v>
          </cell>
          <cell r="B143">
            <v>115724</v>
          </cell>
          <cell r="C143">
            <v>916</v>
          </cell>
          <cell r="D143" t="str">
            <v>Gloucestershire</v>
          </cell>
          <cell r="E143">
            <v>4039</v>
          </cell>
          <cell r="F143" t="str">
            <v>Not yet assigned</v>
          </cell>
          <cell r="G143" t="str">
            <v>Vale of Berkeley College</v>
          </cell>
          <cell r="H143" t="str">
            <v>South West</v>
          </cell>
          <cell r="I143" t="str">
            <v>Wanswell</v>
          </cell>
          <cell r="L143" t="str">
            <v>Berkeley</v>
          </cell>
          <cell r="M143" t="str">
            <v>Gloucestershire</v>
          </cell>
          <cell r="N143" t="str">
            <v>GL13 9RS</v>
          </cell>
          <cell r="O143" t="str">
            <v>nicross@lilac22.fsnet.co.uk</v>
          </cell>
        </row>
        <row r="144">
          <cell r="A144">
            <v>2132244</v>
          </cell>
          <cell r="B144">
            <v>101112</v>
          </cell>
          <cell r="C144">
            <v>213</v>
          </cell>
          <cell r="D144" t="str">
            <v>Westminster</v>
          </cell>
          <cell r="E144">
            <v>2244</v>
          </cell>
          <cell r="F144" t="str">
            <v>Martin Rowley</v>
          </cell>
          <cell r="G144" t="str">
            <v>Gateway Primary School</v>
          </cell>
          <cell r="H144" t="str">
            <v>London</v>
          </cell>
          <cell r="I144" t="str">
            <v>Capland Street</v>
          </cell>
          <cell r="L144" t="str">
            <v>London</v>
          </cell>
          <cell r="N144" t="str">
            <v>NW8 8LN</v>
          </cell>
          <cell r="O144" t="str">
            <v>llochner@gatewayprimary.co.uk</v>
          </cell>
        </row>
        <row r="145">
          <cell r="A145">
            <v>9363357</v>
          </cell>
          <cell r="B145">
            <v>125189</v>
          </cell>
          <cell r="C145">
            <v>936</v>
          </cell>
          <cell r="D145" t="str">
            <v>Surrey</v>
          </cell>
          <cell r="E145">
            <v>3357</v>
          </cell>
          <cell r="F145" t="str">
            <v>Gabriela Grimley</v>
          </cell>
          <cell r="G145" t="str">
            <v>St Nicolas CofE Aided Infant School</v>
          </cell>
          <cell r="H145" t="str">
            <v>South East</v>
          </cell>
          <cell r="I145" t="str">
            <v>Portsmouth Road</v>
          </cell>
          <cell r="L145" t="str">
            <v>Guildford</v>
          </cell>
          <cell r="M145" t="str">
            <v>Surrey</v>
          </cell>
          <cell r="N145" t="str">
            <v>GU2 4YD</v>
          </cell>
          <cell r="O145" t="str">
            <v>head@st-nicolas.surrey.sch.uk</v>
          </cell>
        </row>
        <row r="146">
          <cell r="A146">
            <v>3832297</v>
          </cell>
          <cell r="B146">
            <v>107825</v>
          </cell>
          <cell r="C146">
            <v>383</v>
          </cell>
          <cell r="D146" t="str">
            <v>Leeds</v>
          </cell>
          <cell r="E146">
            <v>2297</v>
          </cell>
          <cell r="F146" t="str">
            <v>Bev Annables</v>
          </cell>
          <cell r="G146" t="str">
            <v>Westerton Primary School</v>
          </cell>
          <cell r="H146" t="str">
            <v>Yorkshire and the Humber</v>
          </cell>
          <cell r="I146" t="str">
            <v>Hesketh Lane</v>
          </cell>
          <cell r="J146" t="str">
            <v>Tingley</v>
          </cell>
          <cell r="L146" t="str">
            <v>Wakefield</v>
          </cell>
          <cell r="M146" t="str">
            <v>West Yorkshire</v>
          </cell>
          <cell r="N146" t="str">
            <v>WF3 1AR</v>
          </cell>
          <cell r="O146" t="str">
            <v>reidj04@leedslearning.net</v>
          </cell>
        </row>
        <row r="147">
          <cell r="A147">
            <v>8214102</v>
          </cell>
          <cell r="B147">
            <v>109681</v>
          </cell>
          <cell r="C147">
            <v>821</v>
          </cell>
          <cell r="D147" t="str">
            <v>Luton</v>
          </cell>
          <cell r="E147">
            <v>4102</v>
          </cell>
          <cell r="F147" t="str">
            <v>Yvonne Reddington</v>
          </cell>
          <cell r="G147" t="str">
            <v>Challney High School For Boys &amp; Community College Foundation School</v>
          </cell>
          <cell r="H147" t="str">
            <v>East of England</v>
          </cell>
          <cell r="I147" t="str">
            <v>Stoneygate Road</v>
          </cell>
          <cell r="L147" t="str">
            <v>Luton</v>
          </cell>
          <cell r="M147" t="str">
            <v>Bedfordshire</v>
          </cell>
          <cell r="N147" t="str">
            <v>LU4 9TJ</v>
          </cell>
          <cell r="O147" t="str">
            <v>challney.high.boys.head@luton.gov.uk</v>
          </cell>
          <cell r="P147">
            <v>40353</v>
          </cell>
        </row>
        <row r="148">
          <cell r="A148">
            <v>2103313</v>
          </cell>
          <cell r="B148">
            <v>100822</v>
          </cell>
          <cell r="C148">
            <v>210</v>
          </cell>
          <cell r="D148" t="str">
            <v>Southwark</v>
          </cell>
          <cell r="E148">
            <v>3313</v>
          </cell>
          <cell r="F148" t="str">
            <v>Helen Barry</v>
          </cell>
          <cell r="G148" t="str">
            <v>Boutcher Church of England Primary School</v>
          </cell>
          <cell r="H148" t="str">
            <v>London</v>
          </cell>
          <cell r="I148" t="str">
            <v>93 Grange Road</v>
          </cell>
          <cell r="J148" t="str">
            <v>Bermondsey</v>
          </cell>
          <cell r="L148" t="str">
            <v>London</v>
          </cell>
          <cell r="N148" t="str">
            <v>SE1 3BW</v>
          </cell>
          <cell r="O148" t="str">
            <v>headteacher@boutcher.southwark.sch.uk</v>
          </cell>
        </row>
        <row r="149">
          <cell r="A149">
            <v>8554054</v>
          </cell>
          <cell r="B149">
            <v>120272</v>
          </cell>
          <cell r="C149">
            <v>855</v>
          </cell>
          <cell r="D149" t="str">
            <v>Leicestershire</v>
          </cell>
          <cell r="E149">
            <v>4054</v>
          </cell>
          <cell r="F149" t="str">
            <v>Pauline Cole</v>
          </cell>
          <cell r="G149" t="str">
            <v>Leysland High School</v>
          </cell>
          <cell r="H149" t="str">
            <v>East Midlands</v>
          </cell>
          <cell r="I149" t="str">
            <v>Winchester Road</v>
          </cell>
          <cell r="J149" t="str">
            <v>Countesthorpe</v>
          </cell>
          <cell r="L149" t="str">
            <v>Leicester</v>
          </cell>
          <cell r="M149" t="str">
            <v>Leicestershire</v>
          </cell>
          <cell r="N149" t="str">
            <v>LE8 5PR</v>
          </cell>
          <cell r="O149" t="str">
            <v>rosechard@leysland.leics.sch.uk</v>
          </cell>
          <cell r="P149">
            <v>40995</v>
          </cell>
        </row>
        <row r="150">
          <cell r="A150">
            <v>3532008</v>
          </cell>
          <cell r="B150">
            <v>105630</v>
          </cell>
          <cell r="C150">
            <v>353</v>
          </cell>
          <cell r="D150" t="str">
            <v>Oldham</v>
          </cell>
          <cell r="E150">
            <v>2008</v>
          </cell>
          <cell r="F150" t="str">
            <v>Jane McCusker</v>
          </cell>
          <cell r="G150" t="str">
            <v>Freehold Community Junior Infant and Nursery School</v>
          </cell>
          <cell r="H150" t="str">
            <v>North West</v>
          </cell>
          <cell r="I150" t="str">
            <v>Sidmouth Street</v>
          </cell>
          <cell r="L150" t="str">
            <v>Oldham</v>
          </cell>
          <cell r="M150" t="str">
            <v>Greater Manchester</v>
          </cell>
          <cell r="N150" t="str">
            <v>OL9 7RG</v>
          </cell>
        </row>
        <row r="151">
          <cell r="A151">
            <v>3093301</v>
          </cell>
          <cell r="B151">
            <v>102134</v>
          </cell>
          <cell r="C151">
            <v>309</v>
          </cell>
          <cell r="D151" t="str">
            <v>Haringey</v>
          </cell>
          <cell r="E151">
            <v>3301</v>
          </cell>
          <cell r="F151" t="str">
            <v>Sheila Longstaff</v>
          </cell>
          <cell r="G151" t="str">
            <v>The Green CofE Primary School</v>
          </cell>
          <cell r="H151" t="str">
            <v>London</v>
          </cell>
          <cell r="I151" t="str">
            <v>Somerset Road</v>
          </cell>
          <cell r="L151" t="str">
            <v>London</v>
          </cell>
          <cell r="N151" t="str">
            <v>N17 9EJ</v>
          </cell>
          <cell r="O151" t="str">
            <v>jjay.309@lgflmail.org</v>
          </cell>
        </row>
        <row r="152">
          <cell r="A152">
            <v>8857011</v>
          </cell>
          <cell r="B152">
            <v>117058</v>
          </cell>
          <cell r="C152">
            <v>885</v>
          </cell>
          <cell r="D152" t="str">
            <v>Worcestershire</v>
          </cell>
          <cell r="E152">
            <v>7011</v>
          </cell>
          <cell r="F152" t="str">
            <v>Tony Bretherick</v>
          </cell>
          <cell r="G152" t="str">
            <v>Vale of Evesham School</v>
          </cell>
          <cell r="H152" t="str">
            <v>West Midlands</v>
          </cell>
          <cell r="I152" t="str">
            <v>Four Pools Lane</v>
          </cell>
          <cell r="L152" t="str">
            <v>Evesham</v>
          </cell>
          <cell r="M152" t="str">
            <v>Worcestershire</v>
          </cell>
          <cell r="N152" t="str">
            <v>WR11 1BN</v>
          </cell>
          <cell r="O152" t="str">
            <v>office@valeofevesham.worcs.sch.uk</v>
          </cell>
          <cell r="P152">
            <v>41093</v>
          </cell>
        </row>
        <row r="153">
          <cell r="A153">
            <v>3544083</v>
          </cell>
          <cell r="B153">
            <v>105834</v>
          </cell>
          <cell r="C153">
            <v>354</v>
          </cell>
          <cell r="D153" t="str">
            <v>Rochdale</v>
          </cell>
          <cell r="E153">
            <v>4083</v>
          </cell>
          <cell r="F153" t="str">
            <v>Jane McCusker</v>
          </cell>
          <cell r="G153" t="str">
            <v>Siddal Moor Sports College</v>
          </cell>
          <cell r="H153" t="str">
            <v>North West</v>
          </cell>
          <cell r="I153" t="str">
            <v>Newhouse Road</v>
          </cell>
          <cell r="L153" t="str">
            <v>Heywood</v>
          </cell>
          <cell r="M153" t="str">
            <v>Lancashire</v>
          </cell>
          <cell r="N153" t="str">
            <v>OL10 2NT</v>
          </cell>
          <cell r="O153" t="str">
            <v>head@siddalmoor.rochdale.sch.uk</v>
          </cell>
        </row>
        <row r="154">
          <cell r="A154">
            <v>9351110</v>
          </cell>
          <cell r="B154">
            <v>134874</v>
          </cell>
          <cell r="C154">
            <v>935</v>
          </cell>
          <cell r="D154" t="str">
            <v>Suffolk</v>
          </cell>
          <cell r="E154">
            <v>1110</v>
          </cell>
          <cell r="F154" t="str">
            <v>Eric Mcewen</v>
          </cell>
          <cell r="G154" t="str">
            <v>St Christopher's</v>
          </cell>
          <cell r="H154" t="str">
            <v>East of England</v>
          </cell>
          <cell r="I154" t="str">
            <v>St Christopher's Hall</v>
          </cell>
          <cell r="J154" t="str">
            <v>Renfrew Road</v>
          </cell>
          <cell r="L154" t="str">
            <v>Ipswich</v>
          </cell>
          <cell r="M154" t="str">
            <v>Suffolk</v>
          </cell>
          <cell r="N154" t="str">
            <v>IP4 3HG</v>
          </cell>
          <cell r="O154" t="str">
            <v>simon.whitney@stchristophers.suffolk.sch.uk</v>
          </cell>
        </row>
        <row r="155">
          <cell r="A155">
            <v>8694038</v>
          </cell>
          <cell r="B155">
            <v>110052</v>
          </cell>
          <cell r="C155">
            <v>869</v>
          </cell>
          <cell r="D155" t="str">
            <v>West Berkshire</v>
          </cell>
          <cell r="E155">
            <v>4038</v>
          </cell>
          <cell r="F155" t="str">
            <v>Darren Francis</v>
          </cell>
          <cell r="G155" t="str">
            <v>Park House School &amp; Sports College</v>
          </cell>
          <cell r="H155" t="str">
            <v>South East</v>
          </cell>
          <cell r="I155" t="str">
            <v>Andover Road</v>
          </cell>
          <cell r="L155" t="str">
            <v>Newbury</v>
          </cell>
          <cell r="M155" t="str">
            <v>Berkshire</v>
          </cell>
          <cell r="N155" t="str">
            <v>RG14 6NQ</v>
          </cell>
          <cell r="O155" t="str">
            <v>dpeaple@westberks.org</v>
          </cell>
          <cell r="P155">
            <v>40529</v>
          </cell>
        </row>
        <row r="156">
          <cell r="A156">
            <v>3042067</v>
          </cell>
          <cell r="B156">
            <v>101525</v>
          </cell>
          <cell r="C156">
            <v>304</v>
          </cell>
          <cell r="D156" t="str">
            <v>Brent</v>
          </cell>
          <cell r="E156">
            <v>2067</v>
          </cell>
          <cell r="F156" t="str">
            <v>Martin Rowley</v>
          </cell>
          <cell r="G156" t="str">
            <v>Furness Primary School</v>
          </cell>
          <cell r="H156" t="str">
            <v>London</v>
          </cell>
          <cell r="I156" t="str">
            <v>Furness Road</v>
          </cell>
          <cell r="L156" t="str">
            <v>London</v>
          </cell>
          <cell r="N156" t="str">
            <v>NW10 5YT</v>
          </cell>
          <cell r="O156" t="str">
            <v>alan.pking@tiscali.co.uk</v>
          </cell>
        </row>
        <row r="157">
          <cell r="A157">
            <v>8315402</v>
          </cell>
          <cell r="B157">
            <v>112987</v>
          </cell>
          <cell r="C157">
            <v>831</v>
          </cell>
          <cell r="D157" t="str">
            <v>Derby</v>
          </cell>
          <cell r="E157">
            <v>5402</v>
          </cell>
          <cell r="F157" t="str">
            <v>Jane Balderstone</v>
          </cell>
          <cell r="G157" t="str">
            <v>Chellaston Foundation School</v>
          </cell>
          <cell r="H157" t="str">
            <v>East Midlands</v>
          </cell>
          <cell r="I157" t="str">
            <v>Swarkestone Road</v>
          </cell>
          <cell r="J157" t="str">
            <v>Chellaston</v>
          </cell>
          <cell r="L157" t="str">
            <v>Derby</v>
          </cell>
          <cell r="M157" t="str">
            <v>Derbyshire</v>
          </cell>
          <cell r="N157" t="str">
            <v>DE73 5UB</v>
          </cell>
          <cell r="O157" t="str">
            <v>donna@chellaston.derby.sch.uk</v>
          </cell>
          <cell r="P157">
            <v>40330</v>
          </cell>
        </row>
        <row r="158">
          <cell r="A158">
            <v>8812200</v>
          </cell>
          <cell r="B158">
            <v>114803</v>
          </cell>
          <cell r="C158">
            <v>881</v>
          </cell>
          <cell r="D158" t="str">
            <v>Essex</v>
          </cell>
          <cell r="E158">
            <v>2200</v>
          </cell>
          <cell r="F158" t="str">
            <v>Claire Ivie</v>
          </cell>
          <cell r="G158" t="str">
            <v>Moulsham Infant School</v>
          </cell>
          <cell r="H158" t="str">
            <v>East of England</v>
          </cell>
          <cell r="I158" t="str">
            <v>Princes Road</v>
          </cell>
          <cell r="L158" t="str">
            <v>Chelmsford</v>
          </cell>
          <cell r="M158" t="str">
            <v>Essex</v>
          </cell>
          <cell r="N158" t="str">
            <v>CM2 9DG</v>
          </cell>
          <cell r="O158" t="str">
            <v>admin@moulsham-inf.essex.sch.uk</v>
          </cell>
          <cell r="P158">
            <v>40568</v>
          </cell>
        </row>
        <row r="159">
          <cell r="A159">
            <v>8934406</v>
          </cell>
          <cell r="B159">
            <v>123575</v>
          </cell>
          <cell r="C159">
            <v>893</v>
          </cell>
          <cell r="D159" t="str">
            <v>Shropshire</v>
          </cell>
          <cell r="E159">
            <v>4406</v>
          </cell>
          <cell r="F159" t="str">
            <v>Julia Waterhouse</v>
          </cell>
          <cell r="G159" t="str">
            <v>Rhyn Park School and Performing Arts College</v>
          </cell>
          <cell r="H159" t="str">
            <v>West Midlands</v>
          </cell>
          <cell r="I159" t="str">
            <v>St Martin's</v>
          </cell>
          <cell r="L159" t="str">
            <v>Oswestry</v>
          </cell>
          <cell r="M159" t="str">
            <v>Shropshire</v>
          </cell>
          <cell r="N159" t="str">
            <v>SY10 7BD</v>
          </cell>
          <cell r="O159" t="str">
            <v>head@rhynpark.shropshire.sch.uk</v>
          </cell>
        </row>
        <row r="160">
          <cell r="A160">
            <v>8654071</v>
          </cell>
          <cell r="B160">
            <v>126459</v>
          </cell>
          <cell r="C160">
            <v>865</v>
          </cell>
          <cell r="D160" t="str">
            <v>Wiltshire</v>
          </cell>
          <cell r="E160">
            <v>4071</v>
          </cell>
          <cell r="F160" t="str">
            <v>Theresa Oddelm</v>
          </cell>
          <cell r="G160" t="str">
            <v>Avon Valley College</v>
          </cell>
          <cell r="H160" t="str">
            <v>South West</v>
          </cell>
          <cell r="I160" t="str">
            <v>Recreation Road</v>
          </cell>
          <cell r="J160" t="str">
            <v>Durrington</v>
          </cell>
          <cell r="L160" t="str">
            <v>Salisbury</v>
          </cell>
          <cell r="M160" t="str">
            <v>Wiltshire</v>
          </cell>
          <cell r="N160" t="str">
            <v>SP4 8HH</v>
          </cell>
          <cell r="O160" t="str">
            <v>mavoth@avonvalleycollege.com</v>
          </cell>
        </row>
        <row r="161">
          <cell r="A161">
            <v>8154077</v>
          </cell>
          <cell r="B161">
            <v>121681</v>
          </cell>
          <cell r="C161">
            <v>815</v>
          </cell>
          <cell r="D161" t="str">
            <v>North Yorkshire</v>
          </cell>
          <cell r="E161">
            <v>4077</v>
          </cell>
          <cell r="F161" t="str">
            <v>Carol Ions</v>
          </cell>
          <cell r="G161" t="str">
            <v>Malton School</v>
          </cell>
          <cell r="H161" t="str">
            <v>Yorkshire and the Humber</v>
          </cell>
          <cell r="I161" t="str">
            <v>Middlecave Road</v>
          </cell>
          <cell r="L161" t="str">
            <v>Malton</v>
          </cell>
          <cell r="M161" t="str">
            <v>North Yorkshire</v>
          </cell>
          <cell r="N161" t="str">
            <v>YO17 7NH</v>
          </cell>
          <cell r="O161" t="str">
            <v>rwilliams67@yahoo.co.uk</v>
          </cell>
          <cell r="P161">
            <v>40641</v>
          </cell>
        </row>
        <row r="162">
          <cell r="A162">
            <v>8865462</v>
          </cell>
          <cell r="B162">
            <v>118934</v>
          </cell>
          <cell r="C162">
            <v>886</v>
          </cell>
          <cell r="D162" t="str">
            <v>Kent</v>
          </cell>
          <cell r="E162">
            <v>5462</v>
          </cell>
          <cell r="F162" t="str">
            <v>Sarah Mitchell</v>
          </cell>
          <cell r="G162" t="str">
            <v>Chatham House Grammar School Federation, Ramsgate</v>
          </cell>
          <cell r="H162" t="str">
            <v>South East</v>
          </cell>
          <cell r="I162" t="str">
            <v>Chatham Street</v>
          </cell>
          <cell r="L162" t="str">
            <v>Ramsgate</v>
          </cell>
          <cell r="M162" t="str">
            <v>Kent</v>
          </cell>
          <cell r="N162" t="str">
            <v>CT11 7PS</v>
          </cell>
          <cell r="O162" t="str">
            <v>headteacher@federationramsgategrammars.kent.sch.uk</v>
          </cell>
          <cell r="P162">
            <v>40400</v>
          </cell>
        </row>
        <row r="163">
          <cell r="A163">
            <v>8663175</v>
          </cell>
          <cell r="B163">
            <v>126363</v>
          </cell>
          <cell r="C163">
            <v>866</v>
          </cell>
          <cell r="D163" t="str">
            <v>Swindon</v>
          </cell>
          <cell r="E163">
            <v>3175</v>
          </cell>
          <cell r="F163" t="str">
            <v>Maria Whiting</v>
          </cell>
          <cell r="G163" t="str">
            <v>King William Street Church of England Primary School</v>
          </cell>
          <cell r="H163" t="str">
            <v>South West</v>
          </cell>
          <cell r="I163" t="str">
            <v>King William Street</v>
          </cell>
          <cell r="L163" t="str">
            <v>Swindon</v>
          </cell>
          <cell r="M163" t="str">
            <v>Wiltshire</v>
          </cell>
          <cell r="N163" t="str">
            <v>SN1 3LB</v>
          </cell>
          <cell r="O163" t="str">
            <v>head@kingwilliam.swindon.sch.uk</v>
          </cell>
          <cell r="P163">
            <v>40879</v>
          </cell>
        </row>
        <row r="164">
          <cell r="A164">
            <v>9165417</v>
          </cell>
          <cell r="B164">
            <v>115768</v>
          </cell>
          <cell r="C164">
            <v>916</v>
          </cell>
          <cell r="D164" t="str">
            <v>Gloucestershire</v>
          </cell>
          <cell r="E164">
            <v>5417</v>
          </cell>
          <cell r="F164" t="str">
            <v>Nigel Mills</v>
          </cell>
          <cell r="G164" t="str">
            <v>Winchcombe School</v>
          </cell>
          <cell r="H164" t="str">
            <v>South West</v>
          </cell>
          <cell r="I164" t="str">
            <v>Greet Road</v>
          </cell>
          <cell r="J164" t="str">
            <v>Winchcombe</v>
          </cell>
          <cell r="L164" t="str">
            <v>Cheltenham</v>
          </cell>
          <cell r="M164" t="str">
            <v>Gloucestershire</v>
          </cell>
          <cell r="N164" t="str">
            <v>GL54 5LB</v>
          </cell>
          <cell r="O164" t="str">
            <v>ADMIN@WINCHCOMBE.GLOUCS.SCH.UK</v>
          </cell>
          <cell r="P164">
            <v>40550</v>
          </cell>
        </row>
        <row r="165">
          <cell r="A165">
            <v>3192003</v>
          </cell>
          <cell r="B165">
            <v>102960</v>
          </cell>
          <cell r="C165">
            <v>319</v>
          </cell>
          <cell r="D165" t="str">
            <v>Sutton</v>
          </cell>
          <cell r="E165">
            <v>2003</v>
          </cell>
          <cell r="F165" t="str">
            <v>Anita Bihal</v>
          </cell>
          <cell r="G165" t="str">
            <v>Avenue Primary School</v>
          </cell>
          <cell r="H165" t="str">
            <v>London</v>
          </cell>
          <cell r="I165" t="str">
            <v>Avenue Road</v>
          </cell>
          <cell r="J165" t="str">
            <v>Belmont</v>
          </cell>
          <cell r="L165" t="str">
            <v>Sutton</v>
          </cell>
          <cell r="M165" t="str">
            <v>Surrey</v>
          </cell>
          <cell r="N165" t="str">
            <v>SM2 6JE</v>
          </cell>
          <cell r="O165" t="str">
            <v>aclark54@suttonlea.org</v>
          </cell>
          <cell r="P165">
            <v>40882</v>
          </cell>
        </row>
        <row r="166">
          <cell r="A166">
            <v>3195401</v>
          </cell>
          <cell r="B166">
            <v>103008</v>
          </cell>
          <cell r="C166">
            <v>319</v>
          </cell>
          <cell r="D166" t="str">
            <v>Sutton</v>
          </cell>
          <cell r="E166">
            <v>5401</v>
          </cell>
          <cell r="F166" t="str">
            <v>Helen Barry</v>
          </cell>
          <cell r="G166" t="str">
            <v>Nonsuch High School for Girls</v>
          </cell>
          <cell r="H166" t="str">
            <v>London</v>
          </cell>
          <cell r="I166" t="str">
            <v>Ewell Road</v>
          </cell>
          <cell r="J166" t="str">
            <v>Cheam</v>
          </cell>
          <cell r="L166" t="str">
            <v>Sutton</v>
          </cell>
          <cell r="M166" t="str">
            <v>Surrey</v>
          </cell>
          <cell r="N166" t="str">
            <v>SM3 8AB</v>
          </cell>
          <cell r="O166" t="str">
            <v>rowsell-k@nonsuch.sutton.sch.uk</v>
          </cell>
          <cell r="P166">
            <v>40577</v>
          </cell>
        </row>
        <row r="167">
          <cell r="A167">
            <v>8032006</v>
          </cell>
          <cell r="B167">
            <v>131768</v>
          </cell>
          <cell r="C167">
            <v>803</v>
          </cell>
          <cell r="D167" t="str">
            <v>South Gloucestershire</v>
          </cell>
          <cell r="E167">
            <v>2006</v>
          </cell>
          <cell r="F167" t="str">
            <v>Not yet assigned</v>
          </cell>
          <cell r="G167" t="str">
            <v>Woodlands Primary School</v>
          </cell>
          <cell r="H167" t="str">
            <v>South West</v>
          </cell>
          <cell r="I167" t="str">
            <v>Sundridge Park</v>
          </cell>
          <cell r="J167" t="str">
            <v>Yate</v>
          </cell>
          <cell r="L167" t="str">
            <v>Bristol</v>
          </cell>
          <cell r="N167" t="str">
            <v>BS37 4HB</v>
          </cell>
        </row>
        <row r="168">
          <cell r="A168">
            <v>3104022</v>
          </cell>
          <cell r="B168">
            <v>102237</v>
          </cell>
          <cell r="C168">
            <v>310</v>
          </cell>
          <cell r="D168" t="str">
            <v>Harrow</v>
          </cell>
          <cell r="E168">
            <v>4022</v>
          </cell>
          <cell r="F168" t="str">
            <v>Sheila Longstaff</v>
          </cell>
          <cell r="G168" t="str">
            <v>Canons High School</v>
          </cell>
          <cell r="H168" t="str">
            <v>London</v>
          </cell>
          <cell r="I168" t="str">
            <v>Shaldon Road</v>
          </cell>
          <cell r="L168" t="str">
            <v>Edgware</v>
          </cell>
          <cell r="N168" t="str">
            <v>HA8 6AN</v>
          </cell>
          <cell r="O168" t="str">
            <v>lrowlands@canons.harrow.sch.uk</v>
          </cell>
          <cell r="P168">
            <v>40620</v>
          </cell>
        </row>
        <row r="169">
          <cell r="A169">
            <v>8012022</v>
          </cell>
          <cell r="B169">
            <v>108922</v>
          </cell>
          <cell r="C169">
            <v>801</v>
          </cell>
          <cell r="D169" t="str">
            <v>Bristol City of</v>
          </cell>
          <cell r="E169">
            <v>2022</v>
          </cell>
          <cell r="F169" t="str">
            <v>Lilian Da Cunha</v>
          </cell>
          <cell r="G169" t="str">
            <v>Colston's Primary School</v>
          </cell>
          <cell r="H169" t="str">
            <v>South West</v>
          </cell>
          <cell r="I169" t="str">
            <v>18 Cotham Grove</v>
          </cell>
          <cell r="L169" t="str">
            <v>Bristol</v>
          </cell>
          <cell r="N169" t="str">
            <v>BS6 6AL</v>
          </cell>
          <cell r="O169" t="str">
            <v>head.colstons.p@bristol.gov.uk</v>
          </cell>
          <cell r="P169">
            <v>40714</v>
          </cell>
        </row>
        <row r="170">
          <cell r="A170">
            <v>9354023</v>
          </cell>
          <cell r="B170">
            <v>124801</v>
          </cell>
          <cell r="C170">
            <v>935</v>
          </cell>
          <cell r="D170" t="str">
            <v>Suffolk</v>
          </cell>
          <cell r="E170">
            <v>4023</v>
          </cell>
          <cell r="F170" t="str">
            <v>Claire Ivie</v>
          </cell>
          <cell r="G170" t="str">
            <v>Howard Middle School</v>
          </cell>
          <cell r="H170" t="str">
            <v>East of England</v>
          </cell>
          <cell r="I170" t="str">
            <v>Beard Road</v>
          </cell>
          <cell r="L170" t="str">
            <v>Bury St Edmunds</v>
          </cell>
          <cell r="M170" t="str">
            <v>Suffolk</v>
          </cell>
          <cell r="N170" t="str">
            <v>IP32 6SA</v>
          </cell>
          <cell r="O170" t="str">
            <v>csinclair@howardms.org.uk</v>
          </cell>
          <cell r="P170">
            <v>40962</v>
          </cell>
        </row>
        <row r="171">
          <cell r="A171">
            <v>9161106</v>
          </cell>
          <cell r="B171">
            <v>135330</v>
          </cell>
          <cell r="C171">
            <v>916</v>
          </cell>
          <cell r="D171" t="str">
            <v>Gloucestershire</v>
          </cell>
          <cell r="E171">
            <v>1106</v>
          </cell>
          <cell r="F171" t="str">
            <v>Not yet assigned</v>
          </cell>
          <cell r="G171" t="str">
            <v>Gloucester and Forest Pupil Referral Services</v>
          </cell>
          <cell r="H171" t="str">
            <v>South West</v>
          </cell>
          <cell r="I171" t="str">
            <v>Russett House</v>
          </cell>
          <cell r="J171" t="str">
            <v>35 Russett Close</v>
          </cell>
          <cell r="K171" t="str">
            <v>Tuffley</v>
          </cell>
          <cell r="L171" t="str">
            <v>Gloucester</v>
          </cell>
          <cell r="M171" t="str">
            <v>Gloucestershire</v>
          </cell>
          <cell r="N171" t="str">
            <v>GL4 0RQ</v>
          </cell>
          <cell r="O171" t="str">
            <v>paul.holroyd@gloucestershire.gov.uk</v>
          </cell>
        </row>
        <row r="172">
          <cell r="A172">
            <v>2125401</v>
          </cell>
          <cell r="B172">
            <v>101059</v>
          </cell>
          <cell r="C172">
            <v>212</v>
          </cell>
          <cell r="D172" t="str">
            <v>Wandsworth</v>
          </cell>
          <cell r="E172">
            <v>5401</v>
          </cell>
          <cell r="F172" t="str">
            <v>Tahir Shams</v>
          </cell>
          <cell r="G172" t="str">
            <v>Burntwood School</v>
          </cell>
          <cell r="H172" t="str">
            <v>London</v>
          </cell>
          <cell r="I172" t="str">
            <v>Burntwood Lane</v>
          </cell>
          <cell r="L172" t="str">
            <v>London</v>
          </cell>
          <cell r="N172" t="str">
            <v>SW17 0AQ</v>
          </cell>
          <cell r="O172" t="str">
            <v>hdorfman.212@lgflmail.org</v>
          </cell>
        </row>
        <row r="173">
          <cell r="A173">
            <v>3702101</v>
          </cell>
          <cell r="B173">
            <v>106600</v>
          </cell>
          <cell r="C173">
            <v>370</v>
          </cell>
          <cell r="D173" t="str">
            <v>Barnsley</v>
          </cell>
          <cell r="E173">
            <v>2101</v>
          </cell>
          <cell r="F173" t="str">
            <v>Lisa Sargeant</v>
          </cell>
          <cell r="G173" t="str">
            <v>Darfield Upperwood Primary School</v>
          </cell>
          <cell r="H173" t="str">
            <v>Yorkshire and the Humber</v>
          </cell>
          <cell r="I173" t="str">
            <v>Dartree Walk</v>
          </cell>
          <cell r="J173" t="str">
            <v>Darfield</v>
          </cell>
          <cell r="L173" t="str">
            <v>Barnsley</v>
          </cell>
          <cell r="M173" t="str">
            <v>South Yorkshire</v>
          </cell>
          <cell r="N173" t="str">
            <v>S73 9NL</v>
          </cell>
          <cell r="O173" t="str">
            <v>alistairbudd@blueyonder.co.uk</v>
          </cell>
          <cell r="P173">
            <v>40673</v>
          </cell>
        </row>
        <row r="174">
          <cell r="A174">
            <v>8504117</v>
          </cell>
          <cell r="B174">
            <v>116412</v>
          </cell>
          <cell r="C174">
            <v>850</v>
          </cell>
          <cell r="D174" t="str">
            <v>Hampshire</v>
          </cell>
          <cell r="E174">
            <v>4117</v>
          </cell>
          <cell r="F174" t="str">
            <v>Amanda Barrett</v>
          </cell>
          <cell r="G174" t="str">
            <v>Court Moor School</v>
          </cell>
          <cell r="H174" t="str">
            <v>South East</v>
          </cell>
          <cell r="I174" t="str">
            <v>Spring Woods</v>
          </cell>
          <cell r="L174" t="str">
            <v>Fleet</v>
          </cell>
          <cell r="M174" t="str">
            <v>Hampshire</v>
          </cell>
          <cell r="N174" t="str">
            <v>GU52 7RY</v>
          </cell>
          <cell r="O174" t="str">
            <v>Beverley.Stevens@court-moor.hants.sch.uk</v>
          </cell>
        </row>
        <row r="175">
          <cell r="A175">
            <v>9082704</v>
          </cell>
          <cell r="B175">
            <v>111953</v>
          </cell>
          <cell r="C175">
            <v>908</v>
          </cell>
          <cell r="D175" t="str">
            <v>Cornwall</v>
          </cell>
          <cell r="E175">
            <v>2704</v>
          </cell>
          <cell r="F175" t="str">
            <v>Kate Bosher</v>
          </cell>
          <cell r="G175" t="str">
            <v>Harrowbarrow School</v>
          </cell>
          <cell r="H175" t="str">
            <v>South West</v>
          </cell>
          <cell r="I175" t="str">
            <v>School Road</v>
          </cell>
          <cell r="J175" t="str">
            <v>Harrowbarrow</v>
          </cell>
          <cell r="L175" t="str">
            <v>Callington</v>
          </cell>
          <cell r="M175" t="str">
            <v>Cornwall</v>
          </cell>
          <cell r="N175" t="str">
            <v>PL17 8BQ</v>
          </cell>
          <cell r="O175" t="str">
            <v>head@harrowbarrow.cornwall.sch.uk</v>
          </cell>
          <cell r="P175">
            <v>40638</v>
          </cell>
        </row>
        <row r="176">
          <cell r="A176">
            <v>8237007</v>
          </cell>
          <cell r="B176">
            <v>109737</v>
          </cell>
          <cell r="C176">
            <v>823</v>
          </cell>
          <cell r="D176" t="str">
            <v>Central Bedfordshire</v>
          </cell>
          <cell r="E176">
            <v>7007</v>
          </cell>
          <cell r="F176" t="str">
            <v>Michael Cook</v>
          </cell>
          <cell r="G176" t="str">
            <v>Hitchmead School</v>
          </cell>
          <cell r="H176" t="str">
            <v>East of England</v>
          </cell>
          <cell r="I176" t="str">
            <v>Hitchmead Road</v>
          </cell>
          <cell r="L176" t="str">
            <v>Biggleswade</v>
          </cell>
          <cell r="M176" t="str">
            <v>Bedfordshire</v>
          </cell>
          <cell r="N176" t="str">
            <v>SG18 0NL</v>
          </cell>
          <cell r="O176" t="str">
            <v>tim.e.walker@btinternet.com</v>
          </cell>
        </row>
        <row r="177">
          <cell r="A177">
            <v>3024212</v>
          </cell>
          <cell r="B177">
            <v>101351</v>
          </cell>
          <cell r="C177">
            <v>302</v>
          </cell>
          <cell r="D177" t="str">
            <v>Barnet</v>
          </cell>
          <cell r="E177">
            <v>4212</v>
          </cell>
          <cell r="F177" t="str">
            <v>Sheila Longstaff</v>
          </cell>
          <cell r="G177" t="str">
            <v>East Barnet School</v>
          </cell>
          <cell r="H177" t="str">
            <v>London</v>
          </cell>
          <cell r="I177" t="str">
            <v>Chestnut Grove</v>
          </cell>
          <cell r="J177" t="str">
            <v>East Barnet</v>
          </cell>
          <cell r="L177" t="str">
            <v>Barnet</v>
          </cell>
          <cell r="M177" t="str">
            <v>Hertfordshire</v>
          </cell>
          <cell r="N177" t="str">
            <v>EN4 8PU</v>
          </cell>
          <cell r="O177" t="str">
            <v>nchristou@eastbarnet.barnet.sch.uk</v>
          </cell>
          <cell r="P177">
            <v>40358</v>
          </cell>
        </row>
        <row r="178">
          <cell r="A178">
            <v>3844800</v>
          </cell>
          <cell r="B178">
            <v>108299</v>
          </cell>
          <cell r="C178">
            <v>384</v>
          </cell>
          <cell r="D178" t="str">
            <v>Wakefield</v>
          </cell>
          <cell r="E178">
            <v>4800</v>
          </cell>
          <cell r="F178" t="str">
            <v>Tony Bretherick</v>
          </cell>
          <cell r="G178" t="str">
            <v>St Thomas A Becket Catholic College Specialist Status In Humanities: With Autism Resource</v>
          </cell>
          <cell r="H178" t="str">
            <v>Yorkshire and the Humber</v>
          </cell>
          <cell r="I178" t="str">
            <v>Barnsley Road</v>
          </cell>
          <cell r="J178" t="str">
            <v>Sandal</v>
          </cell>
          <cell r="L178" t="str">
            <v>Wakefield</v>
          </cell>
          <cell r="M178" t="str">
            <v>West Yorkshire</v>
          </cell>
          <cell r="N178" t="str">
            <v>WF2 6EQ</v>
          </cell>
          <cell r="O178" t="str">
            <v>jrooney@St-Thomasabecket.wakefield.sch.uk</v>
          </cell>
          <cell r="P178">
            <v>41017</v>
          </cell>
        </row>
        <row r="179">
          <cell r="A179">
            <v>8215407</v>
          </cell>
          <cell r="B179">
            <v>109711</v>
          </cell>
          <cell r="C179">
            <v>821</v>
          </cell>
          <cell r="D179" t="str">
            <v>Luton</v>
          </cell>
          <cell r="E179">
            <v>5407</v>
          </cell>
          <cell r="F179" t="str">
            <v>Yvonne Reddington</v>
          </cell>
          <cell r="G179" t="str">
            <v>Icknield High School</v>
          </cell>
          <cell r="H179" t="str">
            <v>East of England</v>
          </cell>
          <cell r="I179" t="str">
            <v>Riddy Lane</v>
          </cell>
          <cell r="L179" t="str">
            <v>Luton</v>
          </cell>
          <cell r="M179" t="str">
            <v>Bedfordshire</v>
          </cell>
          <cell r="N179" t="str">
            <v>LU3 2AH</v>
          </cell>
          <cell r="O179" t="str">
            <v>Icknield.High.Head@luton.gov.uk</v>
          </cell>
          <cell r="P179">
            <v>40687</v>
          </cell>
        </row>
        <row r="180">
          <cell r="A180">
            <v>8865467</v>
          </cell>
          <cell r="B180">
            <v>118787</v>
          </cell>
          <cell r="C180">
            <v>886</v>
          </cell>
          <cell r="D180" t="str">
            <v>Kent</v>
          </cell>
          <cell r="E180">
            <v>5467</v>
          </cell>
          <cell r="F180" t="str">
            <v>Bukky Sawyerr</v>
          </cell>
          <cell r="G180" t="str">
            <v>Mayfield Grammar School,Gravesend (formerly Gravesnd Grammar schl for Girls)</v>
          </cell>
          <cell r="H180" t="str">
            <v>South East</v>
          </cell>
          <cell r="I180" t="str">
            <v>Pelham Road</v>
          </cell>
          <cell r="L180" t="str">
            <v>Gravesend</v>
          </cell>
          <cell r="M180" t="str">
            <v>Kent</v>
          </cell>
          <cell r="N180" t="str">
            <v>DA11 0JE</v>
          </cell>
          <cell r="O180" t="str">
            <v>wilsone@mgsg.kent.sch.uk</v>
          </cell>
          <cell r="P180">
            <v>40675</v>
          </cell>
        </row>
        <row r="181">
          <cell r="A181">
            <v>8862272</v>
          </cell>
          <cell r="B181">
            <v>118367</v>
          </cell>
          <cell r="C181">
            <v>886</v>
          </cell>
          <cell r="D181" t="str">
            <v>Kent</v>
          </cell>
          <cell r="E181">
            <v>2272</v>
          </cell>
          <cell r="F181" t="str">
            <v>Nicky Edwards</v>
          </cell>
          <cell r="G181" t="str">
            <v>East Stour Primary School</v>
          </cell>
          <cell r="H181" t="str">
            <v>South East</v>
          </cell>
          <cell r="I181" t="str">
            <v>Earlsworth Road</v>
          </cell>
          <cell r="J181" t="str">
            <v>South Willesborough</v>
          </cell>
          <cell r="L181" t="str">
            <v>Ashford</v>
          </cell>
          <cell r="M181" t="str">
            <v>Kent</v>
          </cell>
          <cell r="N181" t="str">
            <v>TN24 0DW</v>
          </cell>
          <cell r="O181" t="str">
            <v>headteacher@east-stour.kent.sch.uk</v>
          </cell>
        </row>
        <row r="182">
          <cell r="A182">
            <v>2125205</v>
          </cell>
          <cell r="B182">
            <v>101032</v>
          </cell>
          <cell r="C182">
            <v>212</v>
          </cell>
          <cell r="D182" t="str">
            <v>Wandsworth</v>
          </cell>
          <cell r="E182">
            <v>5205</v>
          </cell>
          <cell r="F182" t="str">
            <v>Tahir Shams</v>
          </cell>
          <cell r="G182" t="str">
            <v>Albemarle Primary School</v>
          </cell>
          <cell r="H182" t="str">
            <v>London</v>
          </cell>
          <cell r="I182" t="str">
            <v>Princes Way</v>
          </cell>
          <cell r="L182" t="str">
            <v>London</v>
          </cell>
          <cell r="N182" t="str">
            <v>SW19 6JP</v>
          </cell>
          <cell r="O182" t="str">
            <v>head@albemarle.wandsworth.sch.uk</v>
          </cell>
        </row>
        <row r="183">
          <cell r="A183">
            <v>3024012</v>
          </cell>
          <cell r="B183">
            <v>101347</v>
          </cell>
          <cell r="C183">
            <v>302</v>
          </cell>
          <cell r="D183" t="str">
            <v>Barnet</v>
          </cell>
          <cell r="E183">
            <v>4012</v>
          </cell>
          <cell r="F183" t="str">
            <v>Helen Barry</v>
          </cell>
          <cell r="G183" t="str">
            <v>Whitefield School</v>
          </cell>
          <cell r="H183" t="str">
            <v>London</v>
          </cell>
          <cell r="I183" t="str">
            <v>Claremont Road</v>
          </cell>
          <cell r="J183" t="str">
            <v>Cricklewood</v>
          </cell>
          <cell r="L183" t="str">
            <v>London</v>
          </cell>
          <cell r="N183" t="str">
            <v>NW2 1TR</v>
          </cell>
          <cell r="O183" t="str">
            <v xml:space="preserve"> mla@whitefield.barnet.sch.uk</v>
          </cell>
          <cell r="P183">
            <v>40463</v>
          </cell>
        </row>
        <row r="184">
          <cell r="A184">
            <v>8952131</v>
          </cell>
          <cell r="B184">
            <v>111009</v>
          </cell>
          <cell r="C184">
            <v>895</v>
          </cell>
          <cell r="D184" t="str">
            <v>Cheshire East</v>
          </cell>
          <cell r="E184">
            <v>2131</v>
          </cell>
          <cell r="F184" t="str">
            <v>Jane McCusker</v>
          </cell>
          <cell r="G184" t="str">
            <v>Styal Primary School</v>
          </cell>
          <cell r="H184" t="str">
            <v>North West</v>
          </cell>
          <cell r="I184" t="str">
            <v>Altrincham Road</v>
          </cell>
          <cell r="J184" t="str">
            <v>Styal</v>
          </cell>
          <cell r="L184" t="str">
            <v>Wilmslow</v>
          </cell>
          <cell r="M184" t="str">
            <v>Cheshire</v>
          </cell>
          <cell r="N184" t="str">
            <v>SK9 4JE</v>
          </cell>
          <cell r="O184" t="str">
            <v>head@styal.cheshire.sch.uk</v>
          </cell>
        </row>
        <row r="185">
          <cell r="A185">
            <v>3594017</v>
          </cell>
          <cell r="B185">
            <v>106522</v>
          </cell>
          <cell r="C185">
            <v>359</v>
          </cell>
          <cell r="D185" t="str">
            <v>Wigan</v>
          </cell>
          <cell r="E185">
            <v>4017</v>
          </cell>
          <cell r="F185" t="str">
            <v>Viv Clutton</v>
          </cell>
          <cell r="G185" t="str">
            <v>Rose Bridge High School</v>
          </cell>
          <cell r="H185" t="str">
            <v>North West</v>
          </cell>
          <cell r="I185" t="str">
            <v>Holt Street</v>
          </cell>
          <cell r="J185" t="str">
            <v>Ince</v>
          </cell>
          <cell r="L185" t="str">
            <v>Wigan</v>
          </cell>
          <cell r="M185" t="str">
            <v>Lancashire</v>
          </cell>
          <cell r="N185" t="str">
            <v>WN1 3HD</v>
          </cell>
          <cell r="O185" t="str">
            <v>keulemans@rosebridge.wigan.sch.uk</v>
          </cell>
        </row>
        <row r="186">
          <cell r="A186">
            <v>9082241</v>
          </cell>
          <cell r="B186">
            <v>111858</v>
          </cell>
          <cell r="C186">
            <v>908</v>
          </cell>
          <cell r="D186" t="str">
            <v>Cornwall</v>
          </cell>
          <cell r="E186">
            <v>2241</v>
          </cell>
          <cell r="F186" t="str">
            <v>Tahamina Khan</v>
          </cell>
          <cell r="G186" t="str">
            <v>Rosemellin Community Primary School</v>
          </cell>
          <cell r="H186" t="str">
            <v>South West</v>
          </cell>
          <cell r="I186" t="str">
            <v>Cliff View Road</v>
          </cell>
          <cell r="L186" t="str">
            <v>Camborne</v>
          </cell>
          <cell r="M186" t="str">
            <v>Cornwall</v>
          </cell>
          <cell r="N186" t="str">
            <v>TR14 8PG</v>
          </cell>
          <cell r="O186" t="str">
            <v>head@rosemellin.cornwall.sch.uk</v>
          </cell>
        </row>
        <row r="187">
          <cell r="A187">
            <v>3904029</v>
          </cell>
          <cell r="B187">
            <v>108404</v>
          </cell>
          <cell r="C187">
            <v>390</v>
          </cell>
          <cell r="D187" t="str">
            <v>Gateshead</v>
          </cell>
          <cell r="E187">
            <v>4029</v>
          </cell>
          <cell r="F187" t="str">
            <v>Lisa Sargeant</v>
          </cell>
          <cell r="G187" t="str">
            <v>Whickham School</v>
          </cell>
          <cell r="H187" t="str">
            <v>North East</v>
          </cell>
          <cell r="I187" t="str">
            <v>Burnthouse Lane</v>
          </cell>
          <cell r="J187" t="str">
            <v>Whickham</v>
          </cell>
          <cell r="L187" t="str">
            <v>Newcastle-upon-Tyne</v>
          </cell>
          <cell r="M187" t="str">
            <v>Tyne and Wear</v>
          </cell>
          <cell r="N187" t="str">
            <v>NE16 5AR</v>
          </cell>
          <cell r="O187" t="str">
            <v>stevehaigh@gateshead.gov.uk</v>
          </cell>
          <cell r="P187">
            <v>40683</v>
          </cell>
        </row>
        <row r="188">
          <cell r="A188">
            <v>8872421</v>
          </cell>
          <cell r="B188">
            <v>118434</v>
          </cell>
          <cell r="C188">
            <v>887</v>
          </cell>
          <cell r="D188" t="str">
            <v>Medway</v>
          </cell>
          <cell r="E188">
            <v>2421</v>
          </cell>
          <cell r="F188" t="str">
            <v>Sarah Mitchell</v>
          </cell>
          <cell r="G188" t="str">
            <v>High Halstow Primary School</v>
          </cell>
          <cell r="H188" t="str">
            <v>South East</v>
          </cell>
          <cell r="I188" t="str">
            <v>Harrison Drive</v>
          </cell>
          <cell r="J188" t="str">
            <v>High Halstow</v>
          </cell>
          <cell r="L188" t="str">
            <v>Rochester</v>
          </cell>
          <cell r="M188" t="str">
            <v>Kent</v>
          </cell>
          <cell r="N188" t="str">
            <v>ME3 8TF</v>
          </cell>
          <cell r="O188" t="str">
            <v>sanfp001@medway.org.uk</v>
          </cell>
          <cell r="P188">
            <v>40876</v>
          </cell>
        </row>
        <row r="189">
          <cell r="A189">
            <v>3362041</v>
          </cell>
          <cell r="B189">
            <v>104309</v>
          </cell>
          <cell r="C189">
            <v>336</v>
          </cell>
          <cell r="D189" t="str">
            <v>Wolverhampton</v>
          </cell>
          <cell r="E189">
            <v>2041</v>
          </cell>
          <cell r="F189" t="str">
            <v>Hannah Copp</v>
          </cell>
          <cell r="G189" t="str">
            <v>Palmers Cross Primary School</v>
          </cell>
          <cell r="H189" t="str">
            <v>West Midlands</v>
          </cell>
          <cell r="I189" t="str">
            <v>Windermere Road</v>
          </cell>
          <cell r="J189" t="str">
            <v>Tettenhall</v>
          </cell>
          <cell r="L189" t="str">
            <v>Wolverhampton</v>
          </cell>
          <cell r="M189" t="str">
            <v>West Midlands</v>
          </cell>
          <cell r="N189" t="str">
            <v>WV6 9DF</v>
          </cell>
          <cell r="O189" t="str">
            <v>cfenton@palmerscross-pri.lpplus.net</v>
          </cell>
        </row>
        <row r="190">
          <cell r="A190">
            <v>8864247</v>
          </cell>
          <cell r="B190">
            <v>118833</v>
          </cell>
          <cell r="C190">
            <v>886</v>
          </cell>
          <cell r="D190" t="str">
            <v>Kent</v>
          </cell>
          <cell r="E190">
            <v>4247</v>
          </cell>
          <cell r="F190" t="str">
            <v>Nicky Edwards</v>
          </cell>
          <cell r="G190" t="str">
            <v>The Sittingbourne Community College</v>
          </cell>
          <cell r="H190" t="str">
            <v>South East</v>
          </cell>
          <cell r="I190" t="str">
            <v>Swanstree Avenue</v>
          </cell>
          <cell r="L190" t="str">
            <v>Sittingbourne</v>
          </cell>
          <cell r="M190" t="str">
            <v>Kent</v>
          </cell>
          <cell r="N190" t="str">
            <v>ME10 4NL</v>
          </cell>
          <cell r="O190" t="str">
            <v>Alan.Barham@sittingbourne.kent.sch.uk</v>
          </cell>
        </row>
        <row r="191">
          <cell r="A191">
            <v>9283057</v>
          </cell>
          <cell r="B191">
            <v>121990</v>
          </cell>
          <cell r="C191">
            <v>928</v>
          </cell>
          <cell r="D191" t="str">
            <v>Northamptonshire</v>
          </cell>
          <cell r="E191">
            <v>3057</v>
          </cell>
          <cell r="F191" t="str">
            <v>Sue Harp</v>
          </cell>
          <cell r="G191" t="str">
            <v>Silverstone Church of England Junior School</v>
          </cell>
          <cell r="H191" t="str">
            <v>East Midlands</v>
          </cell>
          <cell r="I191" t="str">
            <v>Green Lane</v>
          </cell>
          <cell r="J191" t="str">
            <v>Silverstone</v>
          </cell>
          <cell r="L191" t="str">
            <v>Towcester</v>
          </cell>
          <cell r="M191" t="str">
            <v>Northamptonshire</v>
          </cell>
          <cell r="N191" t="str">
            <v>NN12 8ES</v>
          </cell>
          <cell r="O191" t="str">
            <v>head@silverstone-jun.northants-ecl.gov.uk</v>
          </cell>
        </row>
        <row r="192">
          <cell r="A192">
            <v>8862656</v>
          </cell>
          <cell r="B192">
            <v>118570</v>
          </cell>
          <cell r="C192">
            <v>886</v>
          </cell>
          <cell r="D192" t="str">
            <v>Kent</v>
          </cell>
          <cell r="E192">
            <v>2656</v>
          </cell>
          <cell r="F192" t="str">
            <v>Bukky Sawyer</v>
          </cell>
          <cell r="G192" t="str">
            <v>Meopham Community Primary School</v>
          </cell>
          <cell r="H192" t="str">
            <v>South East</v>
          </cell>
          <cell r="I192" t="str">
            <v>Longfield Road</v>
          </cell>
          <cell r="J192" t="str">
            <v>Meopham</v>
          </cell>
          <cell r="L192" t="str">
            <v>Gravesend</v>
          </cell>
          <cell r="M192" t="str">
            <v>Kent</v>
          </cell>
          <cell r="N192" t="str">
            <v>DA13 0JW</v>
          </cell>
          <cell r="O192" t="str">
            <v>m.clinton@meopham-primary.kent.sch.uk</v>
          </cell>
          <cell r="P192">
            <v>40367</v>
          </cell>
        </row>
        <row r="193">
          <cell r="A193">
            <v>9253158</v>
          </cell>
          <cell r="B193">
            <v>120591</v>
          </cell>
          <cell r="C193">
            <v>925</v>
          </cell>
          <cell r="D193" t="str">
            <v>Lincolnshire</v>
          </cell>
          <cell r="E193">
            <v>3158</v>
          </cell>
          <cell r="F193" t="str">
            <v>Frances Blow</v>
          </cell>
          <cell r="G193" t="str">
            <v>Welton St Mary's Church of England Primary School</v>
          </cell>
          <cell r="H193" t="str">
            <v>East Midlands</v>
          </cell>
          <cell r="I193" t="str">
            <v>School Drive</v>
          </cell>
          <cell r="J193" t="str">
            <v>Welton</v>
          </cell>
          <cell r="L193" t="str">
            <v>Lincoln</v>
          </cell>
          <cell r="M193" t="str">
            <v>Lincolnshire</v>
          </cell>
          <cell r="N193" t="str">
            <v>LN2 3LA</v>
          </cell>
          <cell r="O193" t="str">
            <v>Michelle.Harkness@welton-st-marys.lincs.sch.uk</v>
          </cell>
          <cell r="P193">
            <v>41046</v>
          </cell>
        </row>
        <row r="194">
          <cell r="A194">
            <v>9351101</v>
          </cell>
          <cell r="B194">
            <v>124527</v>
          </cell>
          <cell r="C194">
            <v>935</v>
          </cell>
          <cell r="D194" t="str">
            <v>Suffolk</v>
          </cell>
          <cell r="E194">
            <v>1101</v>
          </cell>
          <cell r="F194" t="str">
            <v>Eric Mcewen</v>
          </cell>
          <cell r="G194" t="str">
            <v>Parkside Pupil Referral Unit</v>
          </cell>
          <cell r="H194" t="str">
            <v>East of England</v>
          </cell>
          <cell r="I194" t="str">
            <v>291 Spring Road</v>
          </cell>
          <cell r="L194" t="str">
            <v>Ipswich</v>
          </cell>
          <cell r="M194" t="str">
            <v>Suffolk</v>
          </cell>
          <cell r="N194" t="str">
            <v>IP4 5ND</v>
          </cell>
          <cell r="O194" t="str">
            <v>sbailey@parkside.suffolk.sch.uk</v>
          </cell>
        </row>
        <row r="195">
          <cell r="A195">
            <v>8062328</v>
          </cell>
          <cell r="B195">
            <v>111628</v>
          </cell>
          <cell r="C195">
            <v>806</v>
          </cell>
          <cell r="D195" t="str">
            <v>Middlesbrough</v>
          </cell>
          <cell r="E195">
            <v>2328</v>
          </cell>
          <cell r="F195" t="str">
            <v>Alan Large</v>
          </cell>
          <cell r="G195" t="str">
            <v>Pennyman Primary School</v>
          </cell>
          <cell r="H195" t="str">
            <v>North East</v>
          </cell>
          <cell r="I195" t="str">
            <v>Fulbeck Road</v>
          </cell>
          <cell r="J195" t="str">
            <v>Ormesby</v>
          </cell>
          <cell r="L195" t="str">
            <v>Middlesbrough</v>
          </cell>
          <cell r="N195" t="str">
            <v>TS3 0QS</v>
          </cell>
          <cell r="O195" t="str">
            <v>katrina_morley@middlesbrough.gov.uk</v>
          </cell>
        </row>
        <row r="196">
          <cell r="A196">
            <v>8955401</v>
          </cell>
          <cell r="B196">
            <v>111464</v>
          </cell>
          <cell r="C196">
            <v>895</v>
          </cell>
          <cell r="D196" t="str">
            <v>Cheshire East</v>
          </cell>
          <cell r="E196">
            <v>5401</v>
          </cell>
          <cell r="F196" t="str">
            <v>Kris Nursiah</v>
          </cell>
          <cell r="G196" t="str">
            <v>Fallibroome High School</v>
          </cell>
          <cell r="H196" t="str">
            <v>North West</v>
          </cell>
          <cell r="I196" t="str">
            <v>Priory Lane</v>
          </cell>
          <cell r="J196" t="str">
            <v>Upton</v>
          </cell>
          <cell r="L196" t="str">
            <v>Macclesfield</v>
          </cell>
          <cell r="M196" t="str">
            <v>Cheshire</v>
          </cell>
          <cell r="N196" t="str">
            <v>SK10 4AF</v>
          </cell>
          <cell r="O196" t="str">
            <v>pwr@fallibroome.cheshire.sch.uk</v>
          </cell>
          <cell r="P196">
            <v>40347</v>
          </cell>
        </row>
        <row r="197">
          <cell r="A197">
            <v>8815238</v>
          </cell>
          <cell r="B197">
            <v>115278</v>
          </cell>
          <cell r="C197">
            <v>881</v>
          </cell>
          <cell r="D197" t="str">
            <v>Essex</v>
          </cell>
          <cell r="E197">
            <v>5238</v>
          </cell>
          <cell r="F197" t="str">
            <v>Claire Ivie</v>
          </cell>
          <cell r="G197" t="str">
            <v>The Buttsbury Junior School</v>
          </cell>
          <cell r="H197" t="str">
            <v>East of England</v>
          </cell>
          <cell r="I197" t="str">
            <v>Norsey View Drive</v>
          </cell>
          <cell r="L197" t="str">
            <v>Billericay</v>
          </cell>
          <cell r="M197" t="str">
            <v>Essex</v>
          </cell>
          <cell r="N197" t="str">
            <v>CM12 0QR</v>
          </cell>
          <cell r="O197" t="str">
            <v>head@buttsbury-jun.essex.sch.uk</v>
          </cell>
          <cell r="P197">
            <v>40462</v>
          </cell>
        </row>
        <row r="198">
          <cell r="A198">
            <v>8527035</v>
          </cell>
          <cell r="B198">
            <v>116620</v>
          </cell>
          <cell r="C198">
            <v>852</v>
          </cell>
          <cell r="D198" t="str">
            <v>Southampton</v>
          </cell>
          <cell r="E198">
            <v>7035</v>
          </cell>
          <cell r="F198" t="str">
            <v>Lindsay Morris</v>
          </cell>
          <cell r="G198" t="str">
            <v>Springwell School</v>
          </cell>
          <cell r="H198" t="str">
            <v>South East</v>
          </cell>
          <cell r="I198" t="str">
            <v>Hinkler Road</v>
          </cell>
          <cell r="J198" t="str">
            <v>Thornhill</v>
          </cell>
          <cell r="L198" t="str">
            <v>Southampton</v>
          </cell>
          <cell r="M198" t="str">
            <v>Hampshire</v>
          </cell>
          <cell r="N198" t="str">
            <v>SO19 6DH</v>
          </cell>
          <cell r="O198" t="str">
            <v>head@springwellschool.net</v>
          </cell>
        </row>
        <row r="199">
          <cell r="A199">
            <v>8615400</v>
          </cell>
          <cell r="B199">
            <v>124465</v>
          </cell>
          <cell r="C199">
            <v>861</v>
          </cell>
          <cell r="D199" t="str">
            <v>Stoke-on-Trent</v>
          </cell>
          <cell r="E199">
            <v>5400</v>
          </cell>
          <cell r="F199" t="str">
            <v>Susan Shakespeare</v>
          </cell>
          <cell r="G199" t="str">
            <v>St Thomas More Catholic College</v>
          </cell>
          <cell r="H199" t="str">
            <v>West Midlands</v>
          </cell>
          <cell r="I199" t="str">
            <v>Longton Hall Road</v>
          </cell>
          <cell r="J199" t="str">
            <v>Longton</v>
          </cell>
          <cell r="L199" t="str">
            <v>Stoke-on-Trent</v>
          </cell>
          <cell r="M199" t="str">
            <v>Staffordshire</v>
          </cell>
          <cell r="N199" t="str">
            <v>ST3 2NJ</v>
          </cell>
          <cell r="O199" t="str">
            <v>headteacher@stmcc.net</v>
          </cell>
          <cell r="P199">
            <v>40414</v>
          </cell>
        </row>
        <row r="200">
          <cell r="A200">
            <v>8782249</v>
          </cell>
          <cell r="B200">
            <v>113172</v>
          </cell>
          <cell r="C200">
            <v>878</v>
          </cell>
          <cell r="D200" t="str">
            <v>Devon</v>
          </cell>
          <cell r="E200">
            <v>2249</v>
          </cell>
          <cell r="F200" t="str">
            <v>Nigel Hutchins</v>
          </cell>
          <cell r="G200" t="str">
            <v>West Down School</v>
          </cell>
          <cell r="H200" t="str">
            <v>South West</v>
          </cell>
          <cell r="I200" t="str">
            <v>West Down</v>
          </cell>
          <cell r="L200" t="str">
            <v>Ilfracombe</v>
          </cell>
          <cell r="M200" t="str">
            <v>Devon</v>
          </cell>
          <cell r="N200" t="str">
            <v>EX34 8NF</v>
          </cell>
          <cell r="O200" t="str">
            <v>admin@west-down.devon.sch.uk</v>
          </cell>
        </row>
        <row r="201">
          <cell r="A201">
            <v>9313239</v>
          </cell>
          <cell r="B201">
            <v>123158</v>
          </cell>
          <cell r="C201">
            <v>931</v>
          </cell>
          <cell r="D201" t="str">
            <v>Oxfordshire</v>
          </cell>
          <cell r="E201">
            <v>3239</v>
          </cell>
          <cell r="F201" t="str">
            <v>Sarah Nairne</v>
          </cell>
          <cell r="G201" t="str">
            <v>Shrivenham Church of England Controlled School</v>
          </cell>
          <cell r="H201" t="str">
            <v>South East</v>
          </cell>
          <cell r="I201" t="str">
            <v>High Street</v>
          </cell>
          <cell r="J201" t="str">
            <v>Shrivenham</v>
          </cell>
          <cell r="L201" t="str">
            <v>Swindon</v>
          </cell>
          <cell r="M201" t="str">
            <v>Wiltshire</v>
          </cell>
          <cell r="N201" t="str">
            <v>SN6 8AA</v>
          </cell>
          <cell r="O201" t="str">
            <v>head.3239@shrivenham.oxon.sch.uk</v>
          </cell>
        </row>
        <row r="202">
          <cell r="A202">
            <v>9283076</v>
          </cell>
          <cell r="B202">
            <v>122001</v>
          </cell>
          <cell r="C202">
            <v>928</v>
          </cell>
          <cell r="D202" t="str">
            <v>Northamptonshire</v>
          </cell>
          <cell r="E202">
            <v>3076</v>
          </cell>
          <cell r="F202" t="str">
            <v>Stephen Standret</v>
          </cell>
          <cell r="G202" t="str">
            <v>Welton Church of England Primary School</v>
          </cell>
          <cell r="H202" t="str">
            <v>East Midlands</v>
          </cell>
          <cell r="I202" t="str">
            <v>Well Lane</v>
          </cell>
          <cell r="J202" t="str">
            <v>Welton</v>
          </cell>
          <cell r="L202" t="str">
            <v>Daventry</v>
          </cell>
          <cell r="M202" t="str">
            <v>Northamptonshire</v>
          </cell>
          <cell r="N202" t="str">
            <v>NN11 2JZ</v>
          </cell>
          <cell r="O202" t="str">
            <v>head@welton-ce.northants-ecl.gov.uk</v>
          </cell>
          <cell r="P202">
            <v>40935</v>
          </cell>
        </row>
        <row r="203">
          <cell r="A203">
            <v>8552176</v>
          </cell>
          <cell r="B203">
            <v>119980</v>
          </cell>
          <cell r="C203">
            <v>855</v>
          </cell>
          <cell r="D203" t="str">
            <v>Leicestershire</v>
          </cell>
          <cell r="E203">
            <v>2176</v>
          </cell>
          <cell r="F203" t="str">
            <v>Stephen Standret</v>
          </cell>
          <cell r="G203" t="str">
            <v>Farndon Fields Primary School</v>
          </cell>
          <cell r="H203" t="str">
            <v>East Midlands</v>
          </cell>
          <cell r="I203" t="str">
            <v>Argyle Park</v>
          </cell>
          <cell r="L203" t="str">
            <v>Market Harborough</v>
          </cell>
          <cell r="M203" t="str">
            <v>Leicestershire</v>
          </cell>
          <cell r="N203" t="str">
            <v>LE16 9JH</v>
          </cell>
          <cell r="O203" t="str">
            <v>head@farndonfields.leics.sch.uk</v>
          </cell>
          <cell r="P203">
            <v>40928</v>
          </cell>
        </row>
        <row r="204">
          <cell r="A204">
            <v>9257003</v>
          </cell>
          <cell r="B204">
            <v>120747</v>
          </cell>
          <cell r="C204">
            <v>925</v>
          </cell>
          <cell r="D204" t="str">
            <v>Lincolnshire</v>
          </cell>
          <cell r="E204">
            <v>7003</v>
          </cell>
          <cell r="F204" t="str">
            <v>Not yet assigned</v>
          </cell>
          <cell r="G204" t="str">
            <v>The Ash Villa South Rauceby</v>
          </cell>
          <cell r="H204" t="str">
            <v>East Midlands</v>
          </cell>
          <cell r="I204" t="str">
            <v>Willoughby Road</v>
          </cell>
          <cell r="J204" t="str">
            <v>Greylees</v>
          </cell>
          <cell r="L204" t="str">
            <v>Sleaford</v>
          </cell>
          <cell r="M204" t="str">
            <v>Lincolnshire</v>
          </cell>
          <cell r="N204" t="str">
            <v>NG34 8QA</v>
          </cell>
          <cell r="O204" t="str">
            <v>neil.barton@ashvilla.lincs.sch.uk</v>
          </cell>
        </row>
        <row r="205">
          <cell r="A205">
            <v>3324119</v>
          </cell>
          <cell r="B205">
            <v>103865</v>
          </cell>
          <cell r="C205">
            <v>332</v>
          </cell>
          <cell r="D205" t="str">
            <v>Dudley</v>
          </cell>
          <cell r="E205">
            <v>4119</v>
          </cell>
          <cell r="F205" t="str">
            <v>Hannah Copp</v>
          </cell>
          <cell r="G205" t="str">
            <v>Redhill School and Specialist Language College</v>
          </cell>
          <cell r="H205" t="str">
            <v>West Midlands</v>
          </cell>
          <cell r="I205" t="str">
            <v>Junction Road</v>
          </cell>
          <cell r="L205" t="str">
            <v>Stourbridge</v>
          </cell>
          <cell r="M205" t="str">
            <v>West Midlands</v>
          </cell>
          <cell r="N205" t="str">
            <v>DY8 1JX</v>
          </cell>
          <cell r="O205" t="str">
            <v>sdunster@redhill.dudley.sch.uk</v>
          </cell>
          <cell r="P205">
            <v>41240</v>
          </cell>
        </row>
        <row r="206">
          <cell r="A206">
            <v>9197023</v>
          </cell>
          <cell r="B206">
            <v>117680</v>
          </cell>
          <cell r="C206">
            <v>919</v>
          </cell>
          <cell r="D206" t="str">
            <v>Hertfordshire</v>
          </cell>
          <cell r="E206">
            <v>7023</v>
          </cell>
          <cell r="F206" t="str">
            <v>Beverley Samuel</v>
          </cell>
          <cell r="G206" t="str">
            <v>Lakeside School</v>
          </cell>
          <cell r="H206" t="str">
            <v>East of England</v>
          </cell>
          <cell r="I206" t="str">
            <v>Lemsford Lane</v>
          </cell>
          <cell r="L206" t="str">
            <v>Welwyn Garden City</v>
          </cell>
          <cell r="M206" t="str">
            <v>Hertfordshire</v>
          </cell>
          <cell r="N206" t="str">
            <v>AL8 6YN</v>
          </cell>
          <cell r="O206" t="str">
            <v>head@lakeside.herts.sch.uk</v>
          </cell>
          <cell r="P206">
            <v>40739</v>
          </cell>
        </row>
        <row r="207">
          <cell r="A207">
            <v>8362151</v>
          </cell>
          <cell r="B207">
            <v>113687</v>
          </cell>
          <cell r="C207">
            <v>836</v>
          </cell>
          <cell r="D207" t="str">
            <v>Poole</v>
          </cell>
          <cell r="E207">
            <v>2151</v>
          </cell>
          <cell r="F207" t="str">
            <v>Lilian Da Cunha</v>
          </cell>
          <cell r="G207" t="str">
            <v>Broadstone First School</v>
          </cell>
          <cell r="H207" t="str">
            <v>South West</v>
          </cell>
          <cell r="I207" t="str">
            <v>Tudor Road</v>
          </cell>
          <cell r="L207" t="str">
            <v>Broadstone</v>
          </cell>
          <cell r="M207" t="str">
            <v>Dorset</v>
          </cell>
          <cell r="N207" t="str">
            <v>BH18 8AA</v>
          </cell>
          <cell r="O207" t="str">
            <v>r.moore@poole.gov.uk</v>
          </cell>
        </row>
        <row r="208">
          <cell r="A208">
            <v>8815464</v>
          </cell>
          <cell r="B208">
            <v>115380</v>
          </cell>
          <cell r="C208">
            <v>881</v>
          </cell>
          <cell r="D208" t="str">
            <v>Essex</v>
          </cell>
          <cell r="E208">
            <v>5464</v>
          </cell>
          <cell r="F208" t="str">
            <v>Claire Ivie</v>
          </cell>
          <cell r="G208" t="str">
            <v>Alderman Blaxill School</v>
          </cell>
          <cell r="H208" t="str">
            <v>East of England</v>
          </cell>
          <cell r="I208" t="str">
            <v>Paxman Avenue</v>
          </cell>
          <cell r="L208" t="str">
            <v>Colchester</v>
          </cell>
          <cell r="M208" t="str">
            <v>Essex</v>
          </cell>
          <cell r="N208" t="str">
            <v>CO2 9DQ</v>
          </cell>
          <cell r="O208" t="str">
            <v>castle@blaxill.net</v>
          </cell>
        </row>
        <row r="209">
          <cell r="A209">
            <v>3413528</v>
          </cell>
          <cell r="B209">
            <v>104641</v>
          </cell>
          <cell r="C209">
            <v>341</v>
          </cell>
          <cell r="D209" t="str">
            <v>Liverpool</v>
          </cell>
          <cell r="E209">
            <v>3528</v>
          </cell>
          <cell r="F209" t="str">
            <v>Maria Sabberton</v>
          </cell>
          <cell r="G209" t="str">
            <v>Sacred Heart Catholic Primary School</v>
          </cell>
          <cell r="H209" t="str">
            <v>North West</v>
          </cell>
          <cell r="I209" t="str">
            <v>Hall Lane</v>
          </cell>
          <cell r="L209" t="str">
            <v>Liverpool</v>
          </cell>
          <cell r="M209" t="str">
            <v>Merseyside</v>
          </cell>
          <cell r="N209" t="str">
            <v>L7 8TQ</v>
          </cell>
          <cell r="O209" t="str">
            <v>c.daniels@sacredheart.liverpool.sch.uk</v>
          </cell>
        </row>
        <row r="210">
          <cell r="A210">
            <v>3114042</v>
          </cell>
          <cell r="B210">
            <v>102348</v>
          </cell>
          <cell r="C210">
            <v>311</v>
          </cell>
          <cell r="D210" t="str">
            <v>Havering</v>
          </cell>
          <cell r="E210">
            <v>4042</v>
          </cell>
          <cell r="F210" t="str">
            <v>Martin Rowley</v>
          </cell>
          <cell r="G210" t="str">
            <v>Bower Park School</v>
          </cell>
          <cell r="H210" t="str">
            <v>London</v>
          </cell>
          <cell r="I210" t="str">
            <v>Havering Road North</v>
          </cell>
          <cell r="L210" t="str">
            <v>Romford</v>
          </cell>
          <cell r="M210" t="str">
            <v>Essex</v>
          </cell>
          <cell r="N210" t="str">
            <v>RM1 4YY</v>
          </cell>
          <cell r="O210" t="str">
            <v>morrisonm@bowerpark.havering.sch.uk</v>
          </cell>
          <cell r="P210">
            <v>40882</v>
          </cell>
        </row>
        <row r="211">
          <cell r="A211">
            <v>8524264</v>
          </cell>
          <cell r="B211">
            <v>116451</v>
          </cell>
          <cell r="C211">
            <v>852</v>
          </cell>
          <cell r="D211" t="str">
            <v>Southampton</v>
          </cell>
          <cell r="E211">
            <v>4264</v>
          </cell>
          <cell r="F211" t="str">
            <v>Lindsay Morris</v>
          </cell>
          <cell r="G211" t="str">
            <v>The Sholing Technology College</v>
          </cell>
          <cell r="H211" t="str">
            <v>South East</v>
          </cell>
          <cell r="I211" t="str">
            <v>Middle Road</v>
          </cell>
          <cell r="J211" t="str">
            <v>Sholing</v>
          </cell>
          <cell r="L211" t="str">
            <v>Southampton</v>
          </cell>
          <cell r="M211" t="str">
            <v>Hampshire</v>
          </cell>
          <cell r="N211" t="str">
            <v>SO19 8PH</v>
          </cell>
          <cell r="O211" t="str">
            <v>kdagwell@yahoo.co.uk</v>
          </cell>
        </row>
        <row r="212">
          <cell r="A212">
            <v>3302085</v>
          </cell>
          <cell r="B212">
            <v>103203</v>
          </cell>
          <cell r="C212">
            <v>330</v>
          </cell>
          <cell r="D212" t="str">
            <v>Birmingham</v>
          </cell>
          <cell r="E212">
            <v>2085</v>
          </cell>
          <cell r="F212" t="str">
            <v>Ruth Pallister</v>
          </cell>
          <cell r="G212" t="str">
            <v>Greenholm Primary School</v>
          </cell>
          <cell r="H212" t="str">
            <v>West Midlands</v>
          </cell>
          <cell r="I212" t="str">
            <v>Greenholm Road</v>
          </cell>
          <cell r="L212" t="str">
            <v>Birmingham</v>
          </cell>
          <cell r="M212" t="str">
            <v>West Midlands</v>
          </cell>
          <cell r="N212" t="str">
            <v>B44 8HS</v>
          </cell>
          <cell r="O212" t="str">
            <v>g.turner@grnholm.bham.sch.uk</v>
          </cell>
          <cell r="P212">
            <v>40946</v>
          </cell>
        </row>
        <row r="213">
          <cell r="A213">
            <v>8234056</v>
          </cell>
          <cell r="B213">
            <v>109663</v>
          </cell>
          <cell r="C213">
            <v>823</v>
          </cell>
          <cell r="D213" t="str">
            <v>Central Bedfordshire</v>
          </cell>
          <cell r="E213">
            <v>4056</v>
          </cell>
          <cell r="F213" t="str">
            <v>Susan Dean</v>
          </cell>
          <cell r="G213" t="str">
            <v>Mill Vale School</v>
          </cell>
          <cell r="H213" t="str">
            <v>East of England</v>
          </cell>
          <cell r="I213" t="str">
            <v>Wilbury Drive</v>
          </cell>
          <cell r="L213" t="str">
            <v>Dunstable</v>
          </cell>
          <cell r="M213" t="str">
            <v>Bedfordshire</v>
          </cell>
          <cell r="N213" t="str">
            <v>LU5 4QP</v>
          </cell>
          <cell r="O213" t="str">
            <v>gellyard@millvale.cbeds.co.uk</v>
          </cell>
        </row>
        <row r="214">
          <cell r="A214">
            <v>3045402</v>
          </cell>
          <cell r="B214">
            <v>101559</v>
          </cell>
          <cell r="C214">
            <v>304</v>
          </cell>
          <cell r="D214" t="str">
            <v>Brent</v>
          </cell>
          <cell r="E214">
            <v>5402</v>
          </cell>
          <cell r="F214" t="str">
            <v>Sheila Longstaff</v>
          </cell>
          <cell r="G214" t="str">
            <v>Kingsbury High School</v>
          </cell>
          <cell r="H214" t="str">
            <v>London</v>
          </cell>
          <cell r="I214" t="str">
            <v>Princes Avenue</v>
          </cell>
          <cell r="J214" t="str">
            <v>Kingsbury</v>
          </cell>
          <cell r="L214" t="str">
            <v>London</v>
          </cell>
          <cell r="N214" t="str">
            <v>NW9 9JR</v>
          </cell>
          <cell r="O214" t="str">
            <v>jeremy.waxman@kingsburyhigh.org.uk</v>
          </cell>
          <cell r="P214">
            <v>40749</v>
          </cell>
        </row>
        <row r="215">
          <cell r="A215">
            <v>9292323</v>
          </cell>
          <cell r="B215">
            <v>122243</v>
          </cell>
          <cell r="C215">
            <v>929</v>
          </cell>
          <cell r="D215" t="str">
            <v>Northumberland</v>
          </cell>
          <cell r="E215">
            <v>2323</v>
          </cell>
          <cell r="F215" t="str">
            <v>Lisa Sargeant</v>
          </cell>
          <cell r="G215" t="str">
            <v>Mowbray First School</v>
          </cell>
          <cell r="H215" t="str">
            <v>North East</v>
          </cell>
          <cell r="I215" t="str">
            <v>Stakeford Lane</v>
          </cell>
          <cell r="J215" t="str">
            <v>Guide Post</v>
          </cell>
          <cell r="L215" t="str">
            <v>Choppington</v>
          </cell>
          <cell r="M215" t="str">
            <v>Northumberland</v>
          </cell>
          <cell r="N215" t="str">
            <v>NE62 5HQ</v>
          </cell>
          <cell r="O215" t="str">
            <v>Christine.Ramm@northumberland.gov.uk</v>
          </cell>
        </row>
        <row r="216">
          <cell r="A216">
            <v>8813710</v>
          </cell>
          <cell r="B216">
            <v>115190</v>
          </cell>
          <cell r="C216">
            <v>881</v>
          </cell>
          <cell r="D216" t="str">
            <v>Essex</v>
          </cell>
          <cell r="E216">
            <v>3710</v>
          </cell>
          <cell r="F216" t="str">
            <v>Claire Ivie</v>
          </cell>
          <cell r="G216" t="str">
            <v>Great Chesterford Church of England Voluntary Aided Primary School</v>
          </cell>
          <cell r="H216" t="str">
            <v>East of England</v>
          </cell>
          <cell r="I216" t="str">
            <v>School Street</v>
          </cell>
          <cell r="J216" t="str">
            <v>Great Chesterford</v>
          </cell>
          <cell r="L216" t="str">
            <v>Saffron Walden</v>
          </cell>
          <cell r="M216" t="str">
            <v>Essex</v>
          </cell>
          <cell r="N216" t="str">
            <v>CB10 1NN</v>
          </cell>
          <cell r="O216" t="str">
            <v>headteacher@greatchesterford.essex.sch.uk</v>
          </cell>
          <cell r="P216">
            <v>40714</v>
          </cell>
        </row>
        <row r="217">
          <cell r="A217">
            <v>9082754</v>
          </cell>
          <cell r="B217">
            <v>131248</v>
          </cell>
          <cell r="C217">
            <v>908</v>
          </cell>
          <cell r="D217" t="str">
            <v>Cornwall</v>
          </cell>
          <cell r="E217">
            <v>2754</v>
          </cell>
          <cell r="F217" t="str">
            <v>Parul Agarwal</v>
          </cell>
          <cell r="G217" t="str">
            <v>Brunel Primary and Nursery School</v>
          </cell>
          <cell r="H217" t="str">
            <v>South West</v>
          </cell>
          <cell r="I217" t="str">
            <v>Callington Road</v>
          </cell>
          <cell r="L217" t="str">
            <v>Saltash</v>
          </cell>
          <cell r="M217" t="str">
            <v>Cornwall</v>
          </cell>
          <cell r="N217" t="str">
            <v>PL12 6DX</v>
          </cell>
          <cell r="O217" t="str">
            <v>head@brunel.cornwall.sch.uk</v>
          </cell>
          <cell r="P217">
            <v>40634</v>
          </cell>
        </row>
        <row r="218">
          <cell r="A218">
            <v>8082000</v>
          </cell>
          <cell r="B218">
            <v>131409</v>
          </cell>
          <cell r="C218">
            <v>808</v>
          </cell>
          <cell r="D218" t="str">
            <v>Stockton-on-Tees</v>
          </cell>
          <cell r="E218">
            <v>2000</v>
          </cell>
          <cell r="F218" t="str">
            <v>Glyn Newton</v>
          </cell>
          <cell r="G218" t="str">
            <v>Oakdene Primary School</v>
          </cell>
          <cell r="H218" t="str">
            <v>North East</v>
          </cell>
          <cell r="I218" t="str">
            <v>Low Grange Avenue</v>
          </cell>
          <cell r="L218" t="str">
            <v>Billingham</v>
          </cell>
          <cell r="N218" t="str">
            <v>TS23 3NR</v>
          </cell>
          <cell r="O218" t="str">
            <v>liz.hopper@stockton.gov.uk</v>
          </cell>
        </row>
        <row r="219">
          <cell r="A219">
            <v>3175400</v>
          </cell>
          <cell r="B219">
            <v>102863</v>
          </cell>
          <cell r="C219">
            <v>317</v>
          </cell>
          <cell r="D219" t="str">
            <v>Redbridge</v>
          </cell>
          <cell r="E219">
            <v>5400</v>
          </cell>
          <cell r="F219" t="str">
            <v>Nigel Mills</v>
          </cell>
          <cell r="G219" t="str">
            <v>The Chadwell Heath Foundation School</v>
          </cell>
          <cell r="H219" t="str">
            <v>London</v>
          </cell>
          <cell r="I219" t="str">
            <v>Christie Gardens</v>
          </cell>
          <cell r="J219" t="str">
            <v>Chadwell Heath</v>
          </cell>
          <cell r="L219" t="str">
            <v>Romford</v>
          </cell>
          <cell r="M219" t="str">
            <v>Essex</v>
          </cell>
          <cell r="N219" t="str">
            <v>RM6 4RS</v>
          </cell>
          <cell r="O219" t="str">
            <v>kwilkinson@chfs.org.uk</v>
          </cell>
          <cell r="P219">
            <v>40354</v>
          </cell>
        </row>
        <row r="220">
          <cell r="A220">
            <v>9284076</v>
          </cell>
          <cell r="B220">
            <v>122083</v>
          </cell>
          <cell r="C220">
            <v>928</v>
          </cell>
          <cell r="D220" t="str">
            <v>Northamptonshire</v>
          </cell>
          <cell r="E220">
            <v>4076</v>
          </cell>
          <cell r="F220" t="str">
            <v>Stephen Standret</v>
          </cell>
          <cell r="G220" t="str">
            <v>Northampton School for Girls</v>
          </cell>
          <cell r="H220" t="str">
            <v>East Midlands</v>
          </cell>
          <cell r="I220" t="str">
            <v>Spinney Hill Road</v>
          </cell>
          <cell r="L220" t="str">
            <v>Northampton</v>
          </cell>
          <cell r="M220" t="str">
            <v>Northamptonshire</v>
          </cell>
          <cell r="N220" t="str">
            <v>NN3 6DG</v>
          </cell>
          <cell r="O220" t="str">
            <v>nsghead@nsg.northants.sch.uk</v>
          </cell>
        </row>
        <row r="221">
          <cell r="A221">
            <v>9383374</v>
          </cell>
          <cell r="B221">
            <v>135808</v>
          </cell>
          <cell r="C221">
            <v>938</v>
          </cell>
          <cell r="D221" t="str">
            <v>West Sussex</v>
          </cell>
          <cell r="E221">
            <v>3374</v>
          </cell>
          <cell r="F221" t="str">
            <v>Sarah Mitchell</v>
          </cell>
          <cell r="G221" t="str">
            <v>River Beach Primary School</v>
          </cell>
          <cell r="H221" t="str">
            <v>South East</v>
          </cell>
          <cell r="I221" t="str">
            <v>York Road</v>
          </cell>
          <cell r="L221" t="str">
            <v>Littlehampton</v>
          </cell>
          <cell r="M221" t="str">
            <v>West Sussex</v>
          </cell>
          <cell r="N221" t="str">
            <v>BN17 6EW</v>
          </cell>
          <cell r="O221" t="str">
            <v>head@riverbeach.w-sussex.sch.uk</v>
          </cell>
        </row>
        <row r="222">
          <cell r="A222">
            <v>3024211</v>
          </cell>
          <cell r="B222">
            <v>101350</v>
          </cell>
          <cell r="C222">
            <v>302</v>
          </cell>
          <cell r="D222" t="str">
            <v>Barnet</v>
          </cell>
          <cell r="E222">
            <v>4211</v>
          </cell>
          <cell r="F222" t="str">
            <v>Bola Bakrin</v>
          </cell>
          <cell r="G222" t="str">
            <v>Christ's College Finchley</v>
          </cell>
          <cell r="H222" t="str">
            <v>London</v>
          </cell>
          <cell r="I222" t="str">
            <v>East End Road</v>
          </cell>
          <cell r="J222" t="str">
            <v>East Finchley</v>
          </cell>
          <cell r="L222" t="str">
            <v>London</v>
          </cell>
          <cell r="N222" t="str">
            <v>N2 0SE</v>
          </cell>
          <cell r="O222" t="str">
            <v>gt@ccfplus.com</v>
          </cell>
          <cell r="P222">
            <v>40641</v>
          </cell>
        </row>
        <row r="223">
          <cell r="A223">
            <v>3443362</v>
          </cell>
          <cell r="B223">
            <v>105082</v>
          </cell>
          <cell r="C223">
            <v>344</v>
          </cell>
          <cell r="D223" t="str">
            <v>Wirral</v>
          </cell>
          <cell r="E223">
            <v>3362</v>
          </cell>
          <cell r="F223" t="str">
            <v>Maria Sabberton</v>
          </cell>
          <cell r="G223" t="str">
            <v>St John's Catholic Infant School</v>
          </cell>
          <cell r="H223" t="str">
            <v>North West</v>
          </cell>
          <cell r="I223" t="str">
            <v>Old Chester Road</v>
          </cell>
          <cell r="J223" t="str">
            <v>Bebington</v>
          </cell>
          <cell r="L223" t="str">
            <v>Wirral</v>
          </cell>
          <cell r="M223" t="str">
            <v>Merseyside</v>
          </cell>
          <cell r="N223" t="str">
            <v>CH63 7LH</v>
          </cell>
          <cell r="O223" t="str">
            <v>headteacher@stjohns-infant.wirral.sch.uk</v>
          </cell>
        </row>
        <row r="224">
          <cell r="A224">
            <v>9083462</v>
          </cell>
          <cell r="B224">
            <v>112007</v>
          </cell>
          <cell r="C224">
            <v>908</v>
          </cell>
          <cell r="D224" t="str">
            <v>Cornwall</v>
          </cell>
          <cell r="E224">
            <v>3462</v>
          </cell>
          <cell r="F224" t="str">
            <v>Kate Bosher</v>
          </cell>
          <cell r="G224" t="str">
            <v>St Meriadoc CofE Nursery and Infant School</v>
          </cell>
          <cell r="H224" t="str">
            <v>South West</v>
          </cell>
          <cell r="I224" t="str">
            <v>Rectory Road</v>
          </cell>
          <cell r="L224" t="str">
            <v>Camborne</v>
          </cell>
          <cell r="M224" t="str">
            <v>Cornwall</v>
          </cell>
          <cell r="N224" t="str">
            <v>TR14 7DW</v>
          </cell>
          <cell r="O224" t="str">
            <v>head@st-meriadoc-inf.cornwall.sch.uk</v>
          </cell>
        </row>
        <row r="225">
          <cell r="A225">
            <v>9093057</v>
          </cell>
          <cell r="B225">
            <v>112264</v>
          </cell>
          <cell r="C225">
            <v>909</v>
          </cell>
          <cell r="D225" t="str">
            <v>Cumbria</v>
          </cell>
          <cell r="E225">
            <v>3057</v>
          </cell>
          <cell r="G225" t="str">
            <v>Staveley CofE School</v>
          </cell>
          <cell r="H225" t="str">
            <v>North West</v>
          </cell>
          <cell r="I225" t="str">
            <v>Brow Lane</v>
          </cell>
          <cell r="J225" t="str">
            <v>Staveley</v>
          </cell>
          <cell r="L225" t="str">
            <v>Kendal</v>
          </cell>
          <cell r="M225" t="str">
            <v>Cumbria</v>
          </cell>
          <cell r="N225" t="str">
            <v>LA8 9PH</v>
          </cell>
          <cell r="O225" t="str">
            <v>head@staveley.cumbria.sch.uk</v>
          </cell>
        </row>
        <row r="226">
          <cell r="A226">
            <v>8884686</v>
          </cell>
          <cell r="B226">
            <v>119795</v>
          </cell>
          <cell r="C226">
            <v>888</v>
          </cell>
          <cell r="D226" t="str">
            <v>Lancashire</v>
          </cell>
          <cell r="E226">
            <v>4686</v>
          </cell>
          <cell r="F226" t="str">
            <v>Christine West</v>
          </cell>
          <cell r="G226" t="str">
            <v>St Michael C of E High School</v>
          </cell>
          <cell r="H226" t="str">
            <v>North West</v>
          </cell>
          <cell r="I226" t="str">
            <v>Astley Road</v>
          </cell>
          <cell r="L226" t="str">
            <v>Chorley</v>
          </cell>
          <cell r="M226" t="str">
            <v>Lancashire</v>
          </cell>
          <cell r="N226" t="str">
            <v>PR7 1RS</v>
          </cell>
          <cell r="O226" t="str">
            <v>head@saint-michaels.lancs.sch.uk</v>
          </cell>
          <cell r="P226">
            <v>40557</v>
          </cell>
        </row>
        <row r="227">
          <cell r="A227">
            <v>3192000</v>
          </cell>
          <cell r="B227">
            <v>102958</v>
          </cell>
          <cell r="C227">
            <v>319</v>
          </cell>
          <cell r="D227" t="str">
            <v>Sutton</v>
          </cell>
          <cell r="E227">
            <v>2000</v>
          </cell>
          <cell r="F227" t="str">
            <v>Helen Barry</v>
          </cell>
          <cell r="G227" t="str">
            <v>Bandon Hill Primary School</v>
          </cell>
          <cell r="H227" t="str">
            <v>London</v>
          </cell>
          <cell r="I227" t="str">
            <v>Sandy Lane South</v>
          </cell>
          <cell r="L227" t="str">
            <v>Wallington</v>
          </cell>
          <cell r="M227" t="str">
            <v>Surrey</v>
          </cell>
          <cell r="N227" t="str">
            <v>SM6 9QU</v>
          </cell>
          <cell r="O227" t="str">
            <v>iramsay@suttonlea.org</v>
          </cell>
        </row>
        <row r="228">
          <cell r="A228">
            <v>9384604</v>
          </cell>
          <cell r="B228">
            <v>126097</v>
          </cell>
          <cell r="C228">
            <v>938</v>
          </cell>
          <cell r="D228" t="str">
            <v>West Sussex</v>
          </cell>
          <cell r="E228">
            <v>4604</v>
          </cell>
          <cell r="F228" t="str">
            <v>Sarah Mitchell</v>
          </cell>
          <cell r="G228" t="str">
            <v>Bishop Luffa Church of England School, Chichester</v>
          </cell>
          <cell r="H228" t="str">
            <v>South East</v>
          </cell>
          <cell r="I228" t="str">
            <v>Bishop Luffa Close</v>
          </cell>
          <cell r="L228" t="str">
            <v>Chichester</v>
          </cell>
          <cell r="M228" t="str">
            <v>West Sussex</v>
          </cell>
          <cell r="N228" t="str">
            <v>PO19 3LT</v>
          </cell>
          <cell r="O228" t="str">
            <v>tauntn@bishopluffa.org.uk</v>
          </cell>
        </row>
        <row r="229">
          <cell r="A229">
            <v>8652032</v>
          </cell>
          <cell r="B229">
            <v>126187</v>
          </cell>
          <cell r="C229">
            <v>865</v>
          </cell>
          <cell r="D229" t="str">
            <v>Wiltshire</v>
          </cell>
          <cell r="E229">
            <v>2032</v>
          </cell>
          <cell r="F229" t="str">
            <v>Niko Thomas</v>
          </cell>
          <cell r="G229" t="str">
            <v>Corsham Regis Primary School</v>
          </cell>
          <cell r="H229" t="str">
            <v>South West</v>
          </cell>
          <cell r="I229" t="str">
            <v>Kings Avenue</v>
          </cell>
          <cell r="L229" t="str">
            <v>Corsham</v>
          </cell>
          <cell r="M229" t="str">
            <v>Wiltshire</v>
          </cell>
          <cell r="N229" t="str">
            <v>SN13 0EG</v>
          </cell>
          <cell r="O229" t="str">
            <v>admin@corshamregis.wilts.sch.uk</v>
          </cell>
        </row>
        <row r="230">
          <cell r="A230">
            <v>8553300</v>
          </cell>
          <cell r="B230">
            <v>120192</v>
          </cell>
          <cell r="C230">
            <v>855</v>
          </cell>
          <cell r="D230" t="str">
            <v>Leicestershire</v>
          </cell>
          <cell r="E230">
            <v>3300</v>
          </cell>
          <cell r="F230" t="str">
            <v>Sue Harp</v>
          </cell>
          <cell r="G230" t="str">
            <v>Sir John Moore Church of England Primary School</v>
          </cell>
          <cell r="H230" t="str">
            <v>East Midlands</v>
          </cell>
          <cell r="I230" t="str">
            <v>Top Street</v>
          </cell>
          <cell r="J230" t="str">
            <v>Appleby Magna</v>
          </cell>
          <cell r="L230" t="str">
            <v>Swadlincote</v>
          </cell>
          <cell r="M230" t="str">
            <v>Derbyshire</v>
          </cell>
          <cell r="N230" t="str">
            <v>DE12 7AH</v>
          </cell>
        </row>
        <row r="231">
          <cell r="A231">
            <v>8774228</v>
          </cell>
          <cell r="B231">
            <v>111446</v>
          </cell>
          <cell r="C231">
            <v>877</v>
          </cell>
          <cell r="D231" t="str">
            <v>Warrington</v>
          </cell>
          <cell r="E231">
            <v>4228</v>
          </cell>
          <cell r="F231" t="str">
            <v>Maria Sabberton</v>
          </cell>
          <cell r="G231" t="str">
            <v>William Beamont Community High School</v>
          </cell>
          <cell r="H231" t="str">
            <v>North West</v>
          </cell>
          <cell r="I231" t="str">
            <v>Long Lane</v>
          </cell>
          <cell r="J231" t="str">
            <v>Orford</v>
          </cell>
          <cell r="L231" t="str">
            <v>Warrington</v>
          </cell>
          <cell r="M231" t="str">
            <v>Cheshire</v>
          </cell>
          <cell r="N231" t="str">
            <v>WA2 8PX</v>
          </cell>
        </row>
        <row r="232">
          <cell r="A232">
            <v>3434100</v>
          </cell>
          <cell r="B232">
            <v>104948</v>
          </cell>
          <cell r="C232">
            <v>343</v>
          </cell>
          <cell r="D232" t="str">
            <v>Sefton</v>
          </cell>
          <cell r="E232">
            <v>4100</v>
          </cell>
          <cell r="F232" t="str">
            <v>Maria Sabberton</v>
          </cell>
          <cell r="G232" t="str">
            <v>Deyes High School</v>
          </cell>
          <cell r="H232" t="str">
            <v>North West</v>
          </cell>
          <cell r="I232" t="str">
            <v>Deyes Lane</v>
          </cell>
          <cell r="J232" t="str">
            <v>Maghull</v>
          </cell>
          <cell r="L232" t="str">
            <v>Liverpool</v>
          </cell>
          <cell r="M232" t="str">
            <v>Merseyside</v>
          </cell>
          <cell r="N232" t="str">
            <v>L31 6DE</v>
          </cell>
          <cell r="O232" t="str">
            <v>ann.stahler@btinternet.com</v>
          </cell>
          <cell r="P232">
            <v>40606</v>
          </cell>
        </row>
        <row r="233">
          <cell r="A233">
            <v>9332309</v>
          </cell>
          <cell r="B233">
            <v>123722</v>
          </cell>
          <cell r="C233">
            <v>933</v>
          </cell>
          <cell r="D233" t="str">
            <v>Somerset</v>
          </cell>
          <cell r="E233">
            <v>2309</v>
          </cell>
          <cell r="F233" t="str">
            <v>Kate Bosher</v>
          </cell>
          <cell r="G233" t="str">
            <v>Huish Primary School</v>
          </cell>
          <cell r="H233" t="str">
            <v>South West</v>
          </cell>
          <cell r="I233" t="str">
            <v>Carisbrooke Gardens</v>
          </cell>
          <cell r="L233" t="str">
            <v>Yeovil</v>
          </cell>
          <cell r="M233" t="str">
            <v>Somerset</v>
          </cell>
          <cell r="N233" t="str">
            <v>BA20 1AY</v>
          </cell>
        </row>
        <row r="234">
          <cell r="A234">
            <v>9213005</v>
          </cell>
          <cell r="B234">
            <v>118184</v>
          </cell>
          <cell r="C234">
            <v>921</v>
          </cell>
          <cell r="D234" t="str">
            <v>Isle of Wight</v>
          </cell>
          <cell r="E234">
            <v>3005</v>
          </cell>
          <cell r="F234" t="str">
            <v>Lindsay Morris</v>
          </cell>
          <cell r="G234" t="str">
            <v>Chale Cof E Primary School (NOW CLOSED)</v>
          </cell>
          <cell r="H234" t="str">
            <v>South East</v>
          </cell>
          <cell r="I234" t="str">
            <v>Church Place</v>
          </cell>
          <cell r="J234" t="str">
            <v>Chale</v>
          </cell>
          <cell r="L234" t="str">
            <v>Ventnor</v>
          </cell>
          <cell r="M234" t="str">
            <v>Isle of Wight</v>
          </cell>
          <cell r="N234" t="str">
            <v>PO38 2HA</v>
          </cell>
          <cell r="O234" t="str">
            <v>islandretreatman@aol.com</v>
          </cell>
        </row>
        <row r="235">
          <cell r="A235">
            <v>3074602</v>
          </cell>
          <cell r="B235">
            <v>101933</v>
          </cell>
          <cell r="C235">
            <v>307</v>
          </cell>
          <cell r="D235" t="str">
            <v>Ealing</v>
          </cell>
          <cell r="E235">
            <v>4602</v>
          </cell>
          <cell r="F235" t="str">
            <v>Sheila Longstaff</v>
          </cell>
          <cell r="G235" t="str">
            <v>Twyford Church of England High School</v>
          </cell>
          <cell r="H235" t="str">
            <v>London</v>
          </cell>
          <cell r="I235" t="str">
            <v>Twyford Crescent</v>
          </cell>
          <cell r="K235" t="str">
            <v>Acton</v>
          </cell>
          <cell r="L235" t="str">
            <v>London</v>
          </cell>
          <cell r="N235" t="str">
            <v>W3 9PP</v>
          </cell>
          <cell r="O235" t="str">
            <v>ahudson@twyford.ealing.sch.uk</v>
          </cell>
          <cell r="P235">
            <v>40707</v>
          </cell>
        </row>
        <row r="236">
          <cell r="A236">
            <v>8865401</v>
          </cell>
          <cell r="B236">
            <v>118873</v>
          </cell>
          <cell r="C236">
            <v>886</v>
          </cell>
          <cell r="D236" t="str">
            <v>Kent</v>
          </cell>
          <cell r="E236">
            <v>5401</v>
          </cell>
          <cell r="F236" t="str">
            <v>Sarah Mitchell</v>
          </cell>
          <cell r="G236" t="str">
            <v>The Maplesden Noakes School</v>
          </cell>
          <cell r="H236" t="str">
            <v>South East</v>
          </cell>
          <cell r="I236" t="str">
            <v>Buckland Road</v>
          </cell>
          <cell r="L236" t="str">
            <v>Maidstone</v>
          </cell>
          <cell r="M236" t="str">
            <v>Kent</v>
          </cell>
          <cell r="N236" t="str">
            <v>ME16 0TJ</v>
          </cell>
          <cell r="O236" t="str">
            <v>prideaux.j@maplesden.kent.sch.uk</v>
          </cell>
          <cell r="P236">
            <v>40723</v>
          </cell>
        </row>
        <row r="237">
          <cell r="A237">
            <v>8552173</v>
          </cell>
          <cell r="B237">
            <v>119979</v>
          </cell>
          <cell r="C237">
            <v>855</v>
          </cell>
          <cell r="D237" t="str">
            <v>Leicestershire</v>
          </cell>
          <cell r="E237">
            <v>2173</v>
          </cell>
          <cell r="F237" t="str">
            <v>Stephen Standret</v>
          </cell>
          <cell r="G237" t="str">
            <v>Huncote Community Primary School</v>
          </cell>
          <cell r="H237" t="str">
            <v>East Midlands</v>
          </cell>
          <cell r="I237" t="str">
            <v>Denman Lane</v>
          </cell>
          <cell r="J237" t="str">
            <v>Huncote</v>
          </cell>
          <cell r="L237" t="str">
            <v>Leicester</v>
          </cell>
          <cell r="M237" t="str">
            <v>Leicestershire</v>
          </cell>
          <cell r="N237" t="str">
            <v>LE9 3BS</v>
          </cell>
          <cell r="O237" t="str">
            <v>asmythe@huncote.leics.sch.uk</v>
          </cell>
          <cell r="P237">
            <v>40939</v>
          </cell>
        </row>
        <row r="238">
          <cell r="A238">
            <v>9313850</v>
          </cell>
          <cell r="B238">
            <v>123219</v>
          </cell>
          <cell r="C238">
            <v>931</v>
          </cell>
          <cell r="D238" t="str">
            <v>Oxfordshire</v>
          </cell>
          <cell r="E238">
            <v>3850</v>
          </cell>
          <cell r="F238" t="str">
            <v>Jenny Baker</v>
          </cell>
          <cell r="G238" t="str">
            <v>Appleton Church of England (A) Primary School</v>
          </cell>
          <cell r="H238" t="str">
            <v>South East</v>
          </cell>
          <cell r="I238" t="str">
            <v>Church Road</v>
          </cell>
          <cell r="J238" t="str">
            <v>Appleton</v>
          </cell>
          <cell r="L238" t="str">
            <v>Abingdon</v>
          </cell>
          <cell r="M238" t="str">
            <v>Oxfordshire</v>
          </cell>
          <cell r="N238" t="str">
            <v>OX13 5JL</v>
          </cell>
          <cell r="O238" t="str">
            <v>head.3850@appleton.oxon.sch.uk</v>
          </cell>
        </row>
        <row r="239">
          <cell r="A239">
            <v>3413523</v>
          </cell>
          <cell r="B239">
            <v>104638</v>
          </cell>
          <cell r="C239">
            <v>341</v>
          </cell>
          <cell r="D239" t="str">
            <v>Liverpool</v>
          </cell>
          <cell r="E239">
            <v>3523</v>
          </cell>
          <cell r="F239" t="str">
            <v>Maria Sabberton</v>
          </cell>
          <cell r="G239" t="str">
            <v>Our Lady Immaculate Catholic Primary School</v>
          </cell>
          <cell r="H239" t="str">
            <v>North West</v>
          </cell>
          <cell r="I239" t="str">
            <v>Northumberland Terrace</v>
          </cell>
          <cell r="J239" t="str">
            <v>Everton</v>
          </cell>
          <cell r="L239" t="str">
            <v>Liverpool</v>
          </cell>
          <cell r="M239" t="str">
            <v>Merseyside</v>
          </cell>
          <cell r="N239" t="str">
            <v>L5 3QF</v>
          </cell>
          <cell r="O239" t="str">
            <v>a.brodie@ourladyimmaculate.liverpool.sch.uk</v>
          </cell>
        </row>
        <row r="240">
          <cell r="A240">
            <v>9262418</v>
          </cell>
          <cell r="B240">
            <v>121020</v>
          </cell>
          <cell r="C240">
            <v>926</v>
          </cell>
          <cell r="D240" t="str">
            <v>Norfolk</v>
          </cell>
          <cell r="E240">
            <v>2418</v>
          </cell>
          <cell r="F240" t="str">
            <v>William Thursfield</v>
          </cell>
          <cell r="G240" t="str">
            <v>Eastgate Community Primary School</v>
          </cell>
          <cell r="H240" t="str">
            <v>East of England</v>
          </cell>
          <cell r="I240" t="str">
            <v>Littleport Terrace</v>
          </cell>
          <cell r="L240" t="str">
            <v>King's Lynn</v>
          </cell>
          <cell r="M240" t="str">
            <v>Norfolk</v>
          </cell>
          <cell r="N240" t="str">
            <v>PE30 1QA</v>
          </cell>
          <cell r="O240" t="str">
            <v>head@eastgate.norfolk.sch.uk</v>
          </cell>
        </row>
        <row r="241">
          <cell r="A241">
            <v>8314181</v>
          </cell>
          <cell r="B241">
            <v>112955</v>
          </cell>
          <cell r="C241">
            <v>831</v>
          </cell>
          <cell r="D241" t="str">
            <v>Derby</v>
          </cell>
          <cell r="E241">
            <v>4181</v>
          </cell>
          <cell r="F241" t="str">
            <v>Grant Dyson</v>
          </cell>
          <cell r="G241" t="str">
            <v>Lees Brook Community Sports College</v>
          </cell>
          <cell r="H241" t="str">
            <v>East Midlands</v>
          </cell>
          <cell r="I241" t="str">
            <v>Morley Road</v>
          </cell>
          <cell r="J241" t="str">
            <v>Chaddesden</v>
          </cell>
          <cell r="L241" t="str">
            <v>Derby</v>
          </cell>
          <cell r="M241" t="str">
            <v>Derbyshire</v>
          </cell>
          <cell r="N241" t="str">
            <v>DE21 4QX</v>
          </cell>
          <cell r="O241" t="str">
            <v>Philipdover@leesbrook.derby.sch.uk</v>
          </cell>
          <cell r="P241">
            <v>40668</v>
          </cell>
        </row>
        <row r="242">
          <cell r="A242">
            <v>9253311</v>
          </cell>
          <cell r="B242">
            <v>120600</v>
          </cell>
          <cell r="C242">
            <v>925</v>
          </cell>
          <cell r="D242" t="str">
            <v>Lincolnshire</v>
          </cell>
          <cell r="E242">
            <v>3311</v>
          </cell>
          <cell r="F242" t="str">
            <v>Jacki Couch</v>
          </cell>
          <cell r="G242" t="str">
            <v>The Little Gonerby Church of England Infant School, Grantham</v>
          </cell>
          <cell r="H242" t="str">
            <v>East Midlands</v>
          </cell>
          <cell r="I242" t="str">
            <v>Sandon Road</v>
          </cell>
          <cell r="L242" t="str">
            <v>Grantham</v>
          </cell>
          <cell r="M242" t="str">
            <v>Lincolnshire</v>
          </cell>
          <cell r="N242" t="str">
            <v>NG31 9AZ</v>
          </cell>
          <cell r="O242" t="str">
            <v>helen.hilton@little-gonerby.lincs.sch.uk</v>
          </cell>
          <cell r="P242">
            <v>41039</v>
          </cell>
        </row>
        <row r="243">
          <cell r="A243">
            <v>9285400</v>
          </cell>
          <cell r="B243">
            <v>122113</v>
          </cell>
          <cell r="C243">
            <v>928</v>
          </cell>
          <cell r="D243" t="str">
            <v>Northamptonshire</v>
          </cell>
          <cell r="E243">
            <v>5400</v>
          </cell>
          <cell r="F243" t="str">
            <v>Linda Brooks</v>
          </cell>
          <cell r="G243" t="str">
            <v>Southfield School for Girls</v>
          </cell>
          <cell r="H243" t="str">
            <v>East Midlands</v>
          </cell>
          <cell r="I243" t="str">
            <v>Lewis Road</v>
          </cell>
          <cell r="L243" t="str">
            <v>Kettering</v>
          </cell>
          <cell r="M243" t="str">
            <v>Northamptonshire</v>
          </cell>
          <cell r="N243" t="str">
            <v>NN15 6HE</v>
          </cell>
          <cell r="O243" t="str">
            <v>sue.dunford@southfield.northants.sch.uk</v>
          </cell>
          <cell r="P243">
            <v>40641</v>
          </cell>
        </row>
        <row r="244">
          <cell r="A244">
            <v>8154076</v>
          </cell>
          <cell r="B244">
            <v>121680</v>
          </cell>
          <cell r="C244">
            <v>815</v>
          </cell>
          <cell r="D244" t="str">
            <v>North Yorkshire</v>
          </cell>
          <cell r="E244">
            <v>4076</v>
          </cell>
          <cell r="G244" t="str">
            <v>Richmond School</v>
          </cell>
          <cell r="H244" t="str">
            <v>Yorkshire and the Humber</v>
          </cell>
          <cell r="I244" t="str">
            <v>Darlington Road</v>
          </cell>
          <cell r="L244" t="str">
            <v>Richmond</v>
          </cell>
          <cell r="M244" t="str">
            <v>North Yorkshire</v>
          </cell>
          <cell r="N244" t="str">
            <v>DL10 7BQ</v>
          </cell>
          <cell r="O244" t="str">
            <v>irobertson@richmondschool.net</v>
          </cell>
        </row>
        <row r="245">
          <cell r="A245">
            <v>8132172</v>
          </cell>
          <cell r="B245">
            <v>117779</v>
          </cell>
          <cell r="C245">
            <v>813</v>
          </cell>
          <cell r="D245" t="str">
            <v>North Lincolnshire</v>
          </cell>
          <cell r="E245">
            <v>2172</v>
          </cell>
          <cell r="F245" t="str">
            <v>Bev Annables</v>
          </cell>
          <cell r="G245" t="str">
            <v>Berkeley Infant School</v>
          </cell>
          <cell r="H245" t="str">
            <v>Yorkshire and the Humber</v>
          </cell>
          <cell r="I245" t="str">
            <v>Marsden Drive</v>
          </cell>
          <cell r="L245" t="str">
            <v>Scunthorpe</v>
          </cell>
          <cell r="M245" t="str">
            <v>Lincolnshire</v>
          </cell>
          <cell r="N245" t="str">
            <v>DN15 8AH</v>
          </cell>
        </row>
        <row r="246">
          <cell r="A246">
            <v>3125400</v>
          </cell>
          <cell r="B246">
            <v>102440</v>
          </cell>
          <cell r="C246">
            <v>312</v>
          </cell>
          <cell r="D246" t="str">
            <v>Hillingdon</v>
          </cell>
          <cell r="E246">
            <v>5400</v>
          </cell>
          <cell r="F246" t="str">
            <v>Martin Rowley</v>
          </cell>
          <cell r="G246" t="str">
            <v>Bishopshalt School</v>
          </cell>
          <cell r="H246" t="str">
            <v>London</v>
          </cell>
          <cell r="I246" t="str">
            <v>Royal Lane</v>
          </cell>
          <cell r="J246" t="str">
            <v>Hillingdon</v>
          </cell>
          <cell r="L246" t="str">
            <v>Uxbridge</v>
          </cell>
          <cell r="N246" t="str">
            <v>UB8 3RF</v>
          </cell>
          <cell r="O246" t="str">
            <v>krowe.312@lgflmail.org</v>
          </cell>
          <cell r="P246">
            <v>40710</v>
          </cell>
        </row>
        <row r="247">
          <cell r="A247">
            <v>8843015</v>
          </cell>
          <cell r="B247">
            <v>116790</v>
          </cell>
          <cell r="C247">
            <v>884</v>
          </cell>
          <cell r="D247" t="str">
            <v>Herefordshire</v>
          </cell>
          <cell r="E247">
            <v>3015</v>
          </cell>
          <cell r="F247" t="str">
            <v>Julia Waterhouse</v>
          </cell>
          <cell r="G247" t="str">
            <v>Canon Pyon CofE Primary School</v>
          </cell>
          <cell r="H247" t="str">
            <v>West Midlands</v>
          </cell>
          <cell r="I247" t="str">
            <v>Canon Pyon</v>
          </cell>
          <cell r="L247" t="str">
            <v>Hereford</v>
          </cell>
          <cell r="M247" t="str">
            <v>Herefordshire</v>
          </cell>
          <cell r="N247" t="str">
            <v>HR4 8PF</v>
          </cell>
          <cell r="O247" t="str">
            <v>pbox@lordscudamore.hereford.sch.uk &amp; pwhitcombe@lordscudamore.hereford.sch.uk</v>
          </cell>
          <cell r="P247">
            <v>40841</v>
          </cell>
        </row>
        <row r="248">
          <cell r="A248">
            <v>8962730</v>
          </cell>
          <cell r="B248">
            <v>131681</v>
          </cell>
          <cell r="C248">
            <v>896</v>
          </cell>
          <cell r="D248" t="str">
            <v>Cheshire West and Chester</v>
          </cell>
          <cell r="E248">
            <v>2730</v>
          </cell>
          <cell r="F248" t="str">
            <v>Kris Nursiah</v>
          </cell>
          <cell r="G248" t="str">
            <v>Barnton Community Primary School</v>
          </cell>
          <cell r="H248" t="str">
            <v>North West</v>
          </cell>
          <cell r="I248" t="str">
            <v>Townfield Lane</v>
          </cell>
          <cell r="J248" t="str">
            <v>Barnton</v>
          </cell>
          <cell r="L248" t="str">
            <v>Northwich</v>
          </cell>
          <cell r="M248" t="str">
            <v>Cheshire</v>
          </cell>
          <cell r="N248" t="str">
            <v>CW8 4QL</v>
          </cell>
          <cell r="O248" t="str">
            <v>head@barnton.cheshire.sch.uk</v>
          </cell>
        </row>
        <row r="249">
          <cell r="A249">
            <v>8914119</v>
          </cell>
          <cell r="B249">
            <v>122853</v>
          </cell>
          <cell r="C249">
            <v>891</v>
          </cell>
          <cell r="D249" t="str">
            <v>Nottinghamshire</v>
          </cell>
          <cell r="E249">
            <v>4119</v>
          </cell>
          <cell r="F249" t="str">
            <v>Stephen Standret</v>
          </cell>
          <cell r="G249" t="str">
            <v>The Bramcote Park Sport,Business and Enterprise School</v>
          </cell>
          <cell r="H249" t="str">
            <v>East Midlands</v>
          </cell>
          <cell r="I249" t="str">
            <v>Bramcote</v>
          </cell>
          <cell r="L249" t="str">
            <v>Nottingham</v>
          </cell>
          <cell r="M249" t="str">
            <v>Nottinghamshire</v>
          </cell>
          <cell r="N249" t="str">
            <v>NG9 3GD</v>
          </cell>
          <cell r="O249" t="str">
            <v>kdean@whpfederation.org</v>
          </cell>
          <cell r="P249">
            <v>40991</v>
          </cell>
        </row>
        <row r="250">
          <cell r="A250">
            <v>8914449</v>
          </cell>
          <cell r="B250">
            <v>122881</v>
          </cell>
          <cell r="C250">
            <v>891</v>
          </cell>
          <cell r="D250" t="str">
            <v>Nottinghamshire</v>
          </cell>
          <cell r="E250">
            <v>4449</v>
          </cell>
          <cell r="G250" t="str">
            <v>Dayncourt School Specialist Sports College</v>
          </cell>
          <cell r="H250" t="str">
            <v>East Midlands</v>
          </cell>
          <cell r="I250" t="str">
            <v>Cropwell Road</v>
          </cell>
          <cell r="J250" t="str">
            <v>Radcliffe-on-Trent</v>
          </cell>
          <cell r="L250" t="str">
            <v>Nottingham</v>
          </cell>
          <cell r="M250" t="str">
            <v>Nottinghamshire</v>
          </cell>
          <cell r="N250" t="str">
            <v>NG12 2FQ</v>
          </cell>
          <cell r="O250" t="str">
            <v>t.mitchell@dayncourt.notts.sch.uk</v>
          </cell>
        </row>
        <row r="251">
          <cell r="A251">
            <v>3115402</v>
          </cell>
          <cell r="B251">
            <v>102353</v>
          </cell>
          <cell r="C251">
            <v>311</v>
          </cell>
          <cell r="D251" t="str">
            <v>Havering</v>
          </cell>
          <cell r="E251">
            <v>5402</v>
          </cell>
          <cell r="F251" t="str">
            <v>Lara Shepherd</v>
          </cell>
          <cell r="G251" t="str">
            <v>The Coopers' Company and Coborn School</v>
          </cell>
          <cell r="H251" t="str">
            <v>London</v>
          </cell>
          <cell r="I251" t="str">
            <v>St Mary's Lane</v>
          </cell>
          <cell r="L251" t="str">
            <v>Upminster</v>
          </cell>
          <cell r="M251" t="str">
            <v>Essex</v>
          </cell>
          <cell r="N251" t="str">
            <v>RM14 3HS</v>
          </cell>
          <cell r="O251" t="str">
            <v>dma@cooperscoborn.co.uk</v>
          </cell>
          <cell r="P251">
            <v>40553</v>
          </cell>
        </row>
        <row r="252">
          <cell r="A252">
            <v>3115403</v>
          </cell>
          <cell r="B252">
            <v>102354</v>
          </cell>
          <cell r="C252">
            <v>311</v>
          </cell>
          <cell r="D252" t="str">
            <v>Havering</v>
          </cell>
          <cell r="E252">
            <v>5403</v>
          </cell>
          <cell r="F252" t="str">
            <v>Sheila Longstaff</v>
          </cell>
          <cell r="G252" t="str">
            <v>Sacred Heart of Mary Girls' School</v>
          </cell>
          <cell r="H252" t="str">
            <v>London</v>
          </cell>
          <cell r="I252" t="str">
            <v>St Mary's Lane</v>
          </cell>
          <cell r="L252" t="str">
            <v>Upminster</v>
          </cell>
          <cell r="M252" t="str">
            <v>Essex</v>
          </cell>
          <cell r="N252" t="str">
            <v>RM14 2QR</v>
          </cell>
          <cell r="O252" t="str">
            <v>bw@mary.havering.sch.uk</v>
          </cell>
          <cell r="P252">
            <v>40673</v>
          </cell>
        </row>
        <row r="253">
          <cell r="A253">
            <v>8552380</v>
          </cell>
          <cell r="B253">
            <v>120102</v>
          </cell>
          <cell r="C253">
            <v>855</v>
          </cell>
          <cell r="D253" t="str">
            <v>Leicestershire</v>
          </cell>
          <cell r="E253">
            <v>2380</v>
          </cell>
          <cell r="F253" t="str">
            <v>Stephen Standret</v>
          </cell>
          <cell r="G253" t="str">
            <v>Narborough The Pastures Primary School</v>
          </cell>
          <cell r="H253" t="str">
            <v>East Midlands</v>
          </cell>
          <cell r="I253" t="str">
            <v>Thornhills</v>
          </cell>
          <cell r="J253" t="str">
            <v>Narborough</v>
          </cell>
          <cell r="L253" t="str">
            <v>Leicester</v>
          </cell>
          <cell r="M253" t="str">
            <v>Leicestershire</v>
          </cell>
          <cell r="N253" t="str">
            <v>LE19 3YP</v>
          </cell>
          <cell r="O253" t="str">
            <v>office@pastures-primary.leics.sch.uk</v>
          </cell>
          <cell r="P253">
            <v>41233</v>
          </cell>
        </row>
        <row r="254">
          <cell r="A254">
            <v>3324121</v>
          </cell>
          <cell r="B254">
            <v>103866</v>
          </cell>
          <cell r="C254">
            <v>332</v>
          </cell>
          <cell r="D254" t="str">
            <v>Dudley</v>
          </cell>
          <cell r="E254">
            <v>4121</v>
          </cell>
          <cell r="F254" t="str">
            <v>Maria Sabberton</v>
          </cell>
          <cell r="G254" t="str">
            <v>Ridgewood High School</v>
          </cell>
          <cell r="H254" t="str">
            <v>West Midlands</v>
          </cell>
          <cell r="I254" t="str">
            <v>Park Road West</v>
          </cell>
          <cell r="J254" t="str">
            <v>Wollaston</v>
          </cell>
          <cell r="L254" t="str">
            <v>Stourbridge</v>
          </cell>
          <cell r="M254" t="str">
            <v>West Midlands</v>
          </cell>
          <cell r="N254" t="str">
            <v>DY8 3NQ</v>
          </cell>
          <cell r="O254" t="str">
            <v>cnutting@ridgewood.dudley.sch.uk</v>
          </cell>
          <cell r="P254">
            <v>41212</v>
          </cell>
        </row>
        <row r="255">
          <cell r="A255">
            <v>8377021</v>
          </cell>
          <cell r="B255">
            <v>130390</v>
          </cell>
          <cell r="C255">
            <v>837</v>
          </cell>
          <cell r="D255" t="str">
            <v>Bournemouth</v>
          </cell>
          <cell r="E255">
            <v>7021</v>
          </cell>
          <cell r="F255" t="str">
            <v>Ed Schuldt</v>
          </cell>
          <cell r="G255" t="str">
            <v>The Bicknell School/Tregonwell Academy</v>
          </cell>
          <cell r="H255" t="str">
            <v>South West</v>
          </cell>
          <cell r="I255" t="str">
            <v>Petersfield Road</v>
          </cell>
          <cell r="L255" t="str">
            <v>Bournemouth</v>
          </cell>
          <cell r="M255" t="str">
            <v>Dorset</v>
          </cell>
          <cell r="N255" t="str">
            <v>BH7 6QP</v>
          </cell>
          <cell r="O255" t="str">
            <v>bicknell.headteacher@bournemouth.gov.uk</v>
          </cell>
          <cell r="P255">
            <v>40827</v>
          </cell>
        </row>
        <row r="256">
          <cell r="A256">
            <v>8124084</v>
          </cell>
          <cell r="B256">
            <v>118095</v>
          </cell>
          <cell r="C256">
            <v>812</v>
          </cell>
          <cell r="D256" t="str">
            <v>North East Lincolnshire</v>
          </cell>
          <cell r="E256">
            <v>4084</v>
          </cell>
          <cell r="F256" t="str">
            <v>Debbie Garbutt</v>
          </cell>
          <cell r="G256" t="str">
            <v>Healing School, A Science Academy</v>
          </cell>
          <cell r="H256" t="str">
            <v>Yorkshire and the Humber</v>
          </cell>
          <cell r="I256" t="str">
            <v>Low Road</v>
          </cell>
          <cell r="J256" t="str">
            <v>Healing</v>
          </cell>
          <cell r="L256" t="str">
            <v>Grimsby</v>
          </cell>
          <cell r="M256" t="str">
            <v>Lincolnshire</v>
          </cell>
          <cell r="N256" t="str">
            <v>DN41 7QD</v>
          </cell>
          <cell r="O256" t="str">
            <v>AddisonA@healingssc.co.uk</v>
          </cell>
          <cell r="P256">
            <v>40345</v>
          </cell>
        </row>
        <row r="257">
          <cell r="A257">
            <v>8255407</v>
          </cell>
          <cell r="B257">
            <v>110533</v>
          </cell>
          <cell r="C257">
            <v>825</v>
          </cell>
          <cell r="D257" t="str">
            <v>Buckinghamshire</v>
          </cell>
          <cell r="E257">
            <v>5407</v>
          </cell>
          <cell r="F257" t="str">
            <v>Darren Francis</v>
          </cell>
          <cell r="G257" t="str">
            <v>The Cottesloe School</v>
          </cell>
          <cell r="H257" t="str">
            <v>South East</v>
          </cell>
          <cell r="I257" t="str">
            <v>Aylesbury Road</v>
          </cell>
          <cell r="J257" t="str">
            <v>Wing</v>
          </cell>
          <cell r="L257" t="str">
            <v>Leighton Buzzard</v>
          </cell>
          <cell r="M257" t="str">
            <v>Bedfordshire</v>
          </cell>
          <cell r="N257" t="str">
            <v>LU7 0NY</v>
          </cell>
          <cell r="O257" t="str">
            <v>nfox@bucksgfl.org.uk</v>
          </cell>
        </row>
        <row r="258">
          <cell r="A258">
            <v>3822048</v>
          </cell>
          <cell r="B258">
            <v>107632</v>
          </cell>
          <cell r="C258">
            <v>382</v>
          </cell>
          <cell r="D258" t="str">
            <v>Kirklees</v>
          </cell>
          <cell r="E258">
            <v>2048</v>
          </cell>
          <cell r="F258" t="str">
            <v>Bev Annables</v>
          </cell>
          <cell r="G258" t="str">
            <v>Lindley Junior School</v>
          </cell>
          <cell r="H258" t="str">
            <v>Yorkshire and the Humber</v>
          </cell>
          <cell r="I258" t="str">
            <v>George Street</v>
          </cell>
          <cell r="J258" t="str">
            <v>Lindley</v>
          </cell>
          <cell r="L258" t="str">
            <v>Huddersfield</v>
          </cell>
          <cell r="M258" t="str">
            <v>West Yorkshire</v>
          </cell>
          <cell r="N258" t="str">
            <v>HD3 3LY</v>
          </cell>
          <cell r="O258" t="str">
            <v>head.lindleyjunior@edukirklees.net</v>
          </cell>
          <cell r="P258">
            <v>40647</v>
          </cell>
        </row>
        <row r="259">
          <cell r="A259">
            <v>8554038</v>
          </cell>
          <cell r="B259">
            <v>120260</v>
          </cell>
          <cell r="C259">
            <v>855</v>
          </cell>
          <cell r="D259" t="str">
            <v>Leicestershire</v>
          </cell>
          <cell r="E259">
            <v>4038</v>
          </cell>
          <cell r="F259" t="str">
            <v>Pauline Cole</v>
          </cell>
          <cell r="G259" t="str">
            <v>Winstanley Community College</v>
          </cell>
          <cell r="H259" t="str">
            <v>East Midlands</v>
          </cell>
          <cell r="I259" t="str">
            <v>Kingsway North</v>
          </cell>
          <cell r="L259" t="str">
            <v>Leicester</v>
          </cell>
          <cell r="M259" t="str">
            <v>Leicestershire</v>
          </cell>
          <cell r="N259" t="str">
            <v>LE3 3BD</v>
          </cell>
          <cell r="O259" t="str">
            <v>rnixon@winstanley.leics.sch.uk</v>
          </cell>
          <cell r="P259">
            <v>40969</v>
          </cell>
        </row>
        <row r="260">
          <cell r="A260">
            <v>3593425</v>
          </cell>
          <cell r="B260">
            <v>106517</v>
          </cell>
          <cell r="C260">
            <v>359</v>
          </cell>
          <cell r="D260" t="str">
            <v>Wigan</v>
          </cell>
          <cell r="E260">
            <v>3425</v>
          </cell>
          <cell r="F260" t="str">
            <v>Viv Clutton</v>
          </cell>
          <cell r="G260" t="str">
            <v>Leigh St. John's C.E. Infant School</v>
          </cell>
          <cell r="H260" t="str">
            <v>North West</v>
          </cell>
          <cell r="I260" t="str">
            <v>Kirkhall Lane</v>
          </cell>
          <cell r="L260" t="str">
            <v>Leigh</v>
          </cell>
          <cell r="M260" t="str">
            <v>Lancashire</v>
          </cell>
          <cell r="N260" t="str">
            <v>WN7 1RY</v>
          </cell>
          <cell r="O260" t="str">
            <v>enquiries@admin.leighsaintjohnsinfant.wigan.sch.uk</v>
          </cell>
        </row>
        <row r="261">
          <cell r="A261">
            <v>9255423</v>
          </cell>
          <cell r="B261">
            <v>120719</v>
          </cell>
          <cell r="C261">
            <v>925</v>
          </cell>
          <cell r="D261" t="str">
            <v>Lincolnshire</v>
          </cell>
          <cell r="E261">
            <v>5423</v>
          </cell>
          <cell r="F261" t="str">
            <v>Servet Bicer</v>
          </cell>
          <cell r="G261" t="str">
            <v>The Giles School</v>
          </cell>
          <cell r="H261" t="str">
            <v>East Midlands</v>
          </cell>
          <cell r="I261" t="str">
            <v>Church Lane</v>
          </cell>
          <cell r="J261" t="str">
            <v>Old Leake</v>
          </cell>
          <cell r="L261" t="str">
            <v>Boston</v>
          </cell>
          <cell r="M261" t="str">
            <v>Lincolnshire</v>
          </cell>
          <cell r="N261" t="str">
            <v>PE22 9LD</v>
          </cell>
          <cell r="O261" t="str">
            <v>iwiddows@giles.lincs.sch.uk</v>
          </cell>
          <cell r="P261">
            <v>40353</v>
          </cell>
        </row>
        <row r="262">
          <cell r="A262">
            <v>8732048</v>
          </cell>
          <cell r="B262">
            <v>110621</v>
          </cell>
          <cell r="C262">
            <v>873</v>
          </cell>
          <cell r="D262" t="str">
            <v>Cambridgeshire</v>
          </cell>
          <cell r="E262">
            <v>2048</v>
          </cell>
          <cell r="F262" t="str">
            <v>Claire Ivie</v>
          </cell>
          <cell r="G262" t="str">
            <v>Waterbeach Community Primary School</v>
          </cell>
          <cell r="H262" t="str">
            <v>East of England</v>
          </cell>
          <cell r="I262" t="str">
            <v>High Street</v>
          </cell>
          <cell r="J262" t="str">
            <v>Waterbeach</v>
          </cell>
          <cell r="L262" t="str">
            <v>Cambridge</v>
          </cell>
          <cell r="M262" t="str">
            <v>Cambridgeshire</v>
          </cell>
          <cell r="N262" t="str">
            <v>CB5 9JU</v>
          </cell>
          <cell r="O262" t="str">
            <v>head@waterbeach.cambs.sch.uk</v>
          </cell>
        </row>
        <row r="263">
          <cell r="A263">
            <v>9163316</v>
          </cell>
          <cell r="B263">
            <v>115679</v>
          </cell>
          <cell r="C263">
            <v>916</v>
          </cell>
          <cell r="D263" t="str">
            <v>Gloucestershire</v>
          </cell>
          <cell r="E263">
            <v>3316</v>
          </cell>
          <cell r="F263" t="str">
            <v>Theresa Oddelm</v>
          </cell>
          <cell r="G263" t="str">
            <v>Holy Apostles' Church of England Primary School</v>
          </cell>
          <cell r="H263" t="str">
            <v>South West</v>
          </cell>
          <cell r="I263" t="str">
            <v>Battledown Approach</v>
          </cell>
          <cell r="J263" t="str">
            <v>Charlton Kings</v>
          </cell>
          <cell r="L263" t="str">
            <v>Cheltenham</v>
          </cell>
          <cell r="M263" t="str">
            <v>Gloucestershire</v>
          </cell>
          <cell r="N263" t="str">
            <v>GL52 6QZ</v>
          </cell>
          <cell r="O263" t="str">
            <v>head@holyapostles.gloucs.sch.uk</v>
          </cell>
        </row>
        <row r="264">
          <cell r="A264">
            <v>8854409</v>
          </cell>
          <cell r="B264">
            <v>116961</v>
          </cell>
          <cell r="C264">
            <v>885</v>
          </cell>
          <cell r="D264" t="str">
            <v>Worcestershire</v>
          </cell>
          <cell r="E264">
            <v>4409</v>
          </cell>
          <cell r="F264" t="str">
            <v>Nicole Felicien</v>
          </cell>
          <cell r="G264" t="str">
            <v>Simon de Montfort Middle School</v>
          </cell>
          <cell r="H264" t="str">
            <v>West Midlands</v>
          </cell>
          <cell r="I264" t="str">
            <v>Four Pools Lane</v>
          </cell>
          <cell r="L264" t="str">
            <v>Evesham</v>
          </cell>
          <cell r="M264" t="str">
            <v>Worcestershire</v>
          </cell>
          <cell r="N264" t="str">
            <v>WR11 1DL</v>
          </cell>
          <cell r="O264" t="str">
            <v>head@eveshamhigh.worcs.sch.uk</v>
          </cell>
          <cell r="P264">
            <v>41256</v>
          </cell>
        </row>
        <row r="265">
          <cell r="A265">
            <v>8503023</v>
          </cell>
          <cell r="B265">
            <v>116279</v>
          </cell>
          <cell r="C265">
            <v>850</v>
          </cell>
          <cell r="D265" t="str">
            <v>Hampshire</v>
          </cell>
          <cell r="E265">
            <v>3023</v>
          </cell>
          <cell r="F265" t="str">
            <v>Amanda Barrett</v>
          </cell>
          <cell r="G265" t="str">
            <v>Bentley Primary School</v>
          </cell>
          <cell r="H265" t="str">
            <v>South East</v>
          </cell>
          <cell r="I265" t="str">
            <v>School Lane</v>
          </cell>
          <cell r="J265" t="str">
            <v>Bentley</v>
          </cell>
          <cell r="L265" t="str">
            <v>Farnham</v>
          </cell>
          <cell r="M265" t="str">
            <v>Surrey</v>
          </cell>
          <cell r="N265" t="str">
            <v>GU10 5JP</v>
          </cell>
          <cell r="O265" t="str">
            <v>phil.callaway@bentley.hants.sch.uk</v>
          </cell>
          <cell r="P265">
            <v>40996</v>
          </cell>
        </row>
        <row r="266">
          <cell r="A266">
            <v>9373209</v>
          </cell>
          <cell r="B266">
            <v>125686</v>
          </cell>
          <cell r="C266">
            <v>937</v>
          </cell>
          <cell r="D266" t="str">
            <v>Warwickshire</v>
          </cell>
          <cell r="E266">
            <v>3209</v>
          </cell>
          <cell r="F266" t="str">
            <v>Julia Waterhouse</v>
          </cell>
          <cell r="G266" t="str">
            <v>The Nethersole CofE Primary School</v>
          </cell>
          <cell r="H266" t="str">
            <v>West Midlands</v>
          </cell>
          <cell r="I266" t="str">
            <v>High Street</v>
          </cell>
          <cell r="J266" t="str">
            <v>Polesworth</v>
          </cell>
          <cell r="L266" t="str">
            <v>Tamworth</v>
          </cell>
          <cell r="M266" t="str">
            <v>Staffordshire</v>
          </cell>
          <cell r="N266" t="str">
            <v>B78 1DZ</v>
          </cell>
          <cell r="O266" t="str">
            <v>admin3209@we-learn.com</v>
          </cell>
        </row>
        <row r="267">
          <cell r="A267">
            <v>3062109</v>
          </cell>
          <cell r="B267">
            <v>131464</v>
          </cell>
          <cell r="C267">
            <v>306</v>
          </cell>
          <cell r="D267" t="str">
            <v>Croydon</v>
          </cell>
          <cell r="E267">
            <v>2109</v>
          </cell>
          <cell r="F267" t="str">
            <v>Kiran Teli</v>
          </cell>
          <cell r="G267" t="str">
            <v>Spring Park Primary School</v>
          </cell>
          <cell r="H267" t="str">
            <v>London</v>
          </cell>
          <cell r="I267" t="str">
            <v>Bridle Road</v>
          </cell>
          <cell r="J267" t="str">
            <v>Shirley</v>
          </cell>
          <cell r="L267" t="str">
            <v>Croydon</v>
          </cell>
          <cell r="M267" t="str">
            <v>Surrey</v>
          </cell>
          <cell r="N267" t="str">
            <v>CR0 8HQ</v>
          </cell>
          <cell r="O267" t="str">
            <v>Stuartrobs64@gmail.com</v>
          </cell>
          <cell r="P267">
            <v>41232</v>
          </cell>
        </row>
        <row r="268">
          <cell r="A268">
            <v>8234088</v>
          </cell>
          <cell r="B268">
            <v>109675</v>
          </cell>
          <cell r="C268">
            <v>823</v>
          </cell>
          <cell r="D268" t="str">
            <v>Central Bedfordshire</v>
          </cell>
          <cell r="E268">
            <v>4088</v>
          </cell>
          <cell r="F268" t="str">
            <v>Shreena Patel</v>
          </cell>
          <cell r="G268" t="str">
            <v>King's Houghton Middle School</v>
          </cell>
          <cell r="H268" t="str">
            <v>East of England</v>
          </cell>
          <cell r="I268" t="str">
            <v>Parkside Drive</v>
          </cell>
          <cell r="J268" t="str">
            <v>Houghton Regis</v>
          </cell>
          <cell r="L268" t="str">
            <v>Dunstable</v>
          </cell>
          <cell r="M268" t="str">
            <v>Bedfordshire</v>
          </cell>
          <cell r="N268" t="str">
            <v>LU5 5PX</v>
          </cell>
          <cell r="O268" t="str">
            <v>stmgill@kingshoughton.beds.sch.uk</v>
          </cell>
        </row>
        <row r="269">
          <cell r="A269">
            <v>8852904</v>
          </cell>
          <cell r="B269">
            <v>135044</v>
          </cell>
          <cell r="C269">
            <v>885</v>
          </cell>
          <cell r="D269" t="str">
            <v>Worcestershire</v>
          </cell>
          <cell r="E269">
            <v>2904</v>
          </cell>
          <cell r="F269" t="str">
            <v>Michael Corner</v>
          </cell>
          <cell r="G269" t="str">
            <v>Lickhill Primary School</v>
          </cell>
          <cell r="H269" t="str">
            <v>West Midlands</v>
          </cell>
          <cell r="I269" t="str">
            <v>Almond Way</v>
          </cell>
          <cell r="L269" t="str">
            <v>Stourport-on-Severn</v>
          </cell>
          <cell r="M269" t="str">
            <v>Worcestershire</v>
          </cell>
          <cell r="N269" t="str">
            <v>DY13 8UA</v>
          </cell>
          <cell r="O269" t="str">
            <v>head@lickhill.worcs.sch.uk</v>
          </cell>
          <cell r="P269">
            <v>40679</v>
          </cell>
        </row>
        <row r="270">
          <cell r="A270">
            <v>8787006</v>
          </cell>
          <cell r="B270">
            <v>113635</v>
          </cell>
          <cell r="C270">
            <v>878</v>
          </cell>
          <cell r="D270" t="str">
            <v>Devon</v>
          </cell>
          <cell r="E270">
            <v>7006</v>
          </cell>
          <cell r="F270" t="str">
            <v>Ed Schuldt</v>
          </cell>
          <cell r="G270" t="str">
            <v>Mill Water Special School</v>
          </cell>
          <cell r="H270" t="str">
            <v>South West</v>
          </cell>
          <cell r="I270" t="str">
            <v>Honiton Bottom Road</v>
          </cell>
          <cell r="L270" t="str">
            <v>Honiton</v>
          </cell>
          <cell r="M270" t="str">
            <v>Devon</v>
          </cell>
          <cell r="N270" t="str">
            <v>EX14 2ER</v>
          </cell>
          <cell r="O270" t="str">
            <v>asheppard@millwater.devon.sch.uk</v>
          </cell>
        </row>
        <row r="271">
          <cell r="A271">
            <v>9282218</v>
          </cell>
          <cell r="B271">
            <v>121952</v>
          </cell>
          <cell r="C271">
            <v>928</v>
          </cell>
          <cell r="D271" t="str">
            <v>Northamptonshire</v>
          </cell>
          <cell r="E271">
            <v>2218</v>
          </cell>
          <cell r="F271" t="str">
            <v>Sue Harp</v>
          </cell>
          <cell r="G271" t="str">
            <v>Hunsbury Park Primary School</v>
          </cell>
          <cell r="H271" t="str">
            <v>East Midlands</v>
          </cell>
          <cell r="I271" t="str">
            <v>Dayrell Road</v>
          </cell>
          <cell r="J271" t="str">
            <v>Camp Hill</v>
          </cell>
          <cell r="L271" t="str">
            <v>Northampton</v>
          </cell>
          <cell r="M271" t="str">
            <v>Northamptonshire</v>
          </cell>
          <cell r="N271" t="str">
            <v>NN4 9RR</v>
          </cell>
          <cell r="O271" t="str">
            <v>head@hunsburypark.northants-ecl.gov.uk</v>
          </cell>
        </row>
        <row r="272">
          <cell r="A272">
            <v>3554050</v>
          </cell>
          <cell r="B272">
            <v>105983</v>
          </cell>
          <cell r="C272">
            <v>355</v>
          </cell>
          <cell r="D272" t="str">
            <v>Salford</v>
          </cell>
          <cell r="E272">
            <v>4050</v>
          </cell>
          <cell r="F272" t="str">
            <v>Struan Mackenzie</v>
          </cell>
          <cell r="G272" t="str">
            <v>The Swinton High School</v>
          </cell>
          <cell r="H272" t="str">
            <v>North West</v>
          </cell>
          <cell r="I272" t="str">
            <v>Sefton Road</v>
          </cell>
          <cell r="K272" t="str">
            <v>Swinton</v>
          </cell>
          <cell r="L272" t="str">
            <v>Salford</v>
          </cell>
          <cell r="M272" t="str">
            <v>Greater Manchester</v>
          </cell>
          <cell r="N272" t="str">
            <v>M27 6JU</v>
          </cell>
          <cell r="O272" t="str">
            <v>john.biddlestone@salford.gov.uk</v>
          </cell>
          <cell r="P272">
            <v>40520</v>
          </cell>
        </row>
        <row r="273">
          <cell r="A273">
            <v>8553339</v>
          </cell>
          <cell r="B273">
            <v>120213</v>
          </cell>
          <cell r="C273">
            <v>855</v>
          </cell>
          <cell r="D273" t="str">
            <v>Leicestershire</v>
          </cell>
          <cell r="E273">
            <v>3339</v>
          </cell>
          <cell r="F273" t="str">
            <v>Grant Dyson</v>
          </cell>
          <cell r="G273" t="str">
            <v>Saint Winefride's Catholic Primary School, Shepshed, Leicestershire</v>
          </cell>
          <cell r="H273" t="str">
            <v>East Midlands</v>
          </cell>
          <cell r="I273" t="str">
            <v>Britannia Street</v>
          </cell>
          <cell r="J273" t="str">
            <v>Shepshed</v>
          </cell>
          <cell r="L273" t="str">
            <v>Loughborough</v>
          </cell>
          <cell r="M273" t="str">
            <v>Leicestershire</v>
          </cell>
          <cell r="N273" t="str">
            <v>LE12 9AE</v>
          </cell>
          <cell r="O273" t="str">
            <v>dshiels@winefrides-rc.leics.sch.uk</v>
          </cell>
          <cell r="P273">
            <v>41017</v>
          </cell>
        </row>
        <row r="274">
          <cell r="A274">
            <v>3093308</v>
          </cell>
          <cell r="B274">
            <v>102141</v>
          </cell>
          <cell r="C274">
            <v>309</v>
          </cell>
          <cell r="D274" t="str">
            <v>Haringey</v>
          </cell>
          <cell r="E274">
            <v>3308</v>
          </cell>
          <cell r="F274" t="str">
            <v>Anita Bihal</v>
          </cell>
          <cell r="G274" t="str">
            <v>St Paul's and All Hallows CofE Junior School</v>
          </cell>
          <cell r="H274" t="str">
            <v>London</v>
          </cell>
          <cell r="I274" t="str">
            <v>Worcester Avenue</v>
          </cell>
          <cell r="L274" t="str">
            <v>London</v>
          </cell>
          <cell r="N274" t="str">
            <v>N17 0TU</v>
          </cell>
          <cell r="O274" t="str">
            <v>sharon.easton@stpaulsinf.haringey.sch.uk</v>
          </cell>
          <cell r="P274">
            <v>41197</v>
          </cell>
        </row>
        <row r="275">
          <cell r="A275">
            <v>3344018</v>
          </cell>
          <cell r="B275">
            <v>104112</v>
          </cell>
          <cell r="C275">
            <v>334</v>
          </cell>
          <cell r="D275" t="str">
            <v>Solihull</v>
          </cell>
          <cell r="E275">
            <v>4018</v>
          </cell>
          <cell r="F275" t="str">
            <v>Carol Ions</v>
          </cell>
          <cell r="G275" t="str">
            <v>Light Hall School Specialist Mathematics and Computing College</v>
          </cell>
          <cell r="H275" t="str">
            <v>West Midlands</v>
          </cell>
          <cell r="I275" t="str">
            <v>Hathaway Road</v>
          </cell>
          <cell r="J275" t="str">
            <v>Shirley</v>
          </cell>
          <cell r="L275" t="str">
            <v>Solihull</v>
          </cell>
          <cell r="M275" t="str">
            <v>West Midlands</v>
          </cell>
          <cell r="N275" t="str">
            <v>B90 2PZ</v>
          </cell>
          <cell r="O275" t="str">
            <v>s207vscutt@lighthall.solihull.sch.uk</v>
          </cell>
          <cell r="P275">
            <v>40634</v>
          </cell>
        </row>
        <row r="276">
          <cell r="A276">
            <v>8604094</v>
          </cell>
          <cell r="B276">
            <v>124412</v>
          </cell>
          <cell r="C276">
            <v>860</v>
          </cell>
          <cell r="D276" t="str">
            <v>Staffordshire</v>
          </cell>
          <cell r="E276">
            <v>4094</v>
          </cell>
          <cell r="G276" t="str">
            <v>Clayton Business and Language College</v>
          </cell>
          <cell r="H276" t="str">
            <v>West Midlands</v>
          </cell>
          <cell r="I276" t="str">
            <v>Clayton Lane</v>
          </cell>
          <cell r="J276" t="str">
            <v>Clayton</v>
          </cell>
          <cell r="L276" t="str">
            <v>Newcastle-under-Lyme</v>
          </cell>
          <cell r="M276" t="str">
            <v>Staffordshire</v>
          </cell>
          <cell r="N276" t="str">
            <v>ST5 3DN</v>
          </cell>
          <cell r="O276" t="str">
            <v>headteacher@clayton.staffs.sch.uk</v>
          </cell>
        </row>
        <row r="277">
          <cell r="A277">
            <v>3814035</v>
          </cell>
          <cell r="B277">
            <v>107566</v>
          </cell>
          <cell r="C277">
            <v>381</v>
          </cell>
          <cell r="D277" t="str">
            <v>Calderdale</v>
          </cell>
          <cell r="E277">
            <v>4035</v>
          </cell>
          <cell r="F277" t="str">
            <v>Lisa Sargeant</v>
          </cell>
          <cell r="G277" t="str">
            <v>Halifax High at Wellesley Park</v>
          </cell>
          <cell r="H277" t="str">
            <v>Yorkshire and the Humber</v>
          </cell>
          <cell r="I277" t="str">
            <v>Gibbet Street</v>
          </cell>
          <cell r="L277" t="str">
            <v>Halifax</v>
          </cell>
          <cell r="M277" t="str">
            <v>West Yorkshire</v>
          </cell>
          <cell r="N277" t="str">
            <v>HX2 0BA</v>
          </cell>
          <cell r="P277">
            <v>41019</v>
          </cell>
        </row>
        <row r="278">
          <cell r="A278">
            <v>8852153</v>
          </cell>
          <cell r="B278">
            <v>116741</v>
          </cell>
          <cell r="C278">
            <v>885</v>
          </cell>
          <cell r="D278" t="str">
            <v>Worcestershire</v>
          </cell>
          <cell r="E278">
            <v>2153</v>
          </cell>
          <cell r="F278" t="str">
            <v>Stephen Bagnall</v>
          </cell>
          <cell r="G278" t="str">
            <v>Suckley Primary School</v>
          </cell>
          <cell r="H278" t="str">
            <v>West Midlands</v>
          </cell>
          <cell r="I278" t="str">
            <v>Church Lane</v>
          </cell>
          <cell r="J278" t="str">
            <v>Suckley</v>
          </cell>
          <cell r="L278" t="str">
            <v>Worcester</v>
          </cell>
          <cell r="M278" t="str">
            <v>Worcestershire</v>
          </cell>
          <cell r="N278" t="str">
            <v>WR6 5DE</v>
          </cell>
          <cell r="O278" t="str">
            <v>head@suckley.worcs.sch.uk</v>
          </cell>
          <cell r="P278">
            <v>40632</v>
          </cell>
        </row>
        <row r="279">
          <cell r="A279">
            <v>8251106</v>
          </cell>
          <cell r="B279">
            <v>110205</v>
          </cell>
          <cell r="C279">
            <v>825</v>
          </cell>
          <cell r="D279" t="str">
            <v>Buckinghamshire</v>
          </cell>
          <cell r="E279">
            <v>1106</v>
          </cell>
          <cell r="F279" t="str">
            <v>Eric Mcewen</v>
          </cell>
          <cell r="G279" t="str">
            <v>The Wycombe Grange Pupil Referral Unit</v>
          </cell>
          <cell r="H279" t="str">
            <v>South East</v>
          </cell>
          <cell r="I279" t="str">
            <v>56 Amersham Hill</v>
          </cell>
          <cell r="L279" t="str">
            <v>High Wycombe</v>
          </cell>
          <cell r="M279" t="str">
            <v>Buckinghamshire</v>
          </cell>
          <cell r="N279" t="str">
            <v>HP13 6PQ</v>
          </cell>
          <cell r="O279" t="str">
            <v>office@wycombegrange.org.uk</v>
          </cell>
        </row>
        <row r="280">
          <cell r="A280">
            <v>3534600</v>
          </cell>
          <cell r="B280">
            <v>105739</v>
          </cell>
          <cell r="C280">
            <v>353</v>
          </cell>
          <cell r="D280" t="str">
            <v>Oldham</v>
          </cell>
          <cell r="E280">
            <v>4600</v>
          </cell>
          <cell r="F280" t="str">
            <v>Alan Large</v>
          </cell>
          <cell r="G280" t="str">
            <v>The Blue Coat CofE School</v>
          </cell>
          <cell r="H280" t="str">
            <v>North West</v>
          </cell>
          <cell r="I280" t="str">
            <v>Egerton Street</v>
          </cell>
          <cell r="L280" t="str">
            <v>Oldham</v>
          </cell>
          <cell r="M280" t="str">
            <v>Lancashire</v>
          </cell>
          <cell r="N280" t="str">
            <v>OL1 3SQ</v>
          </cell>
          <cell r="O280" t="str">
            <v>jah@blue-coat.org</v>
          </cell>
          <cell r="P280">
            <v>40415</v>
          </cell>
        </row>
        <row r="281">
          <cell r="A281">
            <v>8733081</v>
          </cell>
          <cell r="B281">
            <v>110827</v>
          </cell>
          <cell r="C281">
            <v>873</v>
          </cell>
          <cell r="D281" t="str">
            <v>Cambridgeshire</v>
          </cell>
          <cell r="E281">
            <v>3081</v>
          </cell>
          <cell r="F281" t="str">
            <v>Yvonne Reddington</v>
          </cell>
          <cell r="G281" t="str">
            <v>Brington CofE Primary School</v>
          </cell>
          <cell r="H281" t="str">
            <v>East of England</v>
          </cell>
          <cell r="I281" t="str">
            <v>Church Lane</v>
          </cell>
          <cell r="J281" t="str">
            <v>Brington</v>
          </cell>
          <cell r="L281" t="str">
            <v>Huntingdon</v>
          </cell>
          <cell r="M281" t="str">
            <v>Cambridgeshire</v>
          </cell>
          <cell r="N281" t="str">
            <v>PE28 5AE</v>
          </cell>
          <cell r="O281" t="str">
            <v>head@brington.cambs.sch.uk</v>
          </cell>
        </row>
        <row r="282">
          <cell r="A282">
            <v>8814343</v>
          </cell>
          <cell r="B282">
            <v>115220</v>
          </cell>
          <cell r="C282">
            <v>881</v>
          </cell>
          <cell r="D282" t="str">
            <v>Essex</v>
          </cell>
          <cell r="E282">
            <v>4343</v>
          </cell>
          <cell r="F282" t="str">
            <v>Claire Ivie</v>
          </cell>
          <cell r="G282" t="str">
            <v>Stewards School - Science Specialist, Harlow</v>
          </cell>
          <cell r="H282" t="str">
            <v>East of England</v>
          </cell>
          <cell r="I282" t="str">
            <v>Parnall Road</v>
          </cell>
          <cell r="L282" t="str">
            <v>Harlow</v>
          </cell>
          <cell r="M282" t="str">
            <v>Essex</v>
          </cell>
          <cell r="N282" t="str">
            <v>CM18 7NQ</v>
          </cell>
          <cell r="O282" t="str">
            <v>jwood@stewardsschool.co.uk</v>
          </cell>
          <cell r="P282">
            <v>40672</v>
          </cell>
        </row>
        <row r="283">
          <cell r="A283">
            <v>8612106</v>
          </cell>
          <cell r="B283">
            <v>124022</v>
          </cell>
          <cell r="C283">
            <v>861</v>
          </cell>
          <cell r="D283" t="str">
            <v>Stoke-on-Trent</v>
          </cell>
          <cell r="E283">
            <v>2106</v>
          </cell>
          <cell r="F283" t="str">
            <v>Janet Smith</v>
          </cell>
          <cell r="G283" t="str">
            <v>Eaton Park Primary School</v>
          </cell>
          <cell r="H283" t="str">
            <v>West Midlands</v>
          </cell>
          <cell r="I283" t="str">
            <v>Arbourfield Drive</v>
          </cell>
          <cell r="J283" t="str">
            <v>Bucknall</v>
          </cell>
          <cell r="L283" t="str">
            <v>Stoke-on-Trent</v>
          </cell>
          <cell r="M283" t="str">
            <v>Staffordshire</v>
          </cell>
          <cell r="N283" t="str">
            <v>ST2 9PF</v>
          </cell>
          <cell r="O283" t="str">
            <v>lbradbury@sgfl.org.uk</v>
          </cell>
          <cell r="P283">
            <v>40641</v>
          </cell>
        </row>
        <row r="284">
          <cell r="A284">
            <v>8863715</v>
          </cell>
          <cell r="B284">
            <v>118759</v>
          </cell>
          <cell r="C284">
            <v>886</v>
          </cell>
          <cell r="D284" t="str">
            <v>Kent</v>
          </cell>
          <cell r="E284">
            <v>3715</v>
          </cell>
          <cell r="F284" t="str">
            <v>Tony Dunne</v>
          </cell>
          <cell r="G284" t="str">
            <v>St Mary's Catholic Primary School</v>
          </cell>
          <cell r="H284" t="str">
            <v>South East</v>
          </cell>
          <cell r="I284" t="str">
            <v>Northwood Road</v>
          </cell>
          <cell r="L284" t="str">
            <v>Whitstable</v>
          </cell>
          <cell r="M284" t="str">
            <v>Kent</v>
          </cell>
          <cell r="N284" t="str">
            <v>CT5 2EY</v>
          </cell>
        </row>
        <row r="285">
          <cell r="A285">
            <v>9194620</v>
          </cell>
          <cell r="B285">
            <v>117558</v>
          </cell>
          <cell r="C285">
            <v>919</v>
          </cell>
          <cell r="D285" t="str">
            <v>Hertfordshire</v>
          </cell>
          <cell r="E285">
            <v>4620</v>
          </cell>
          <cell r="F285" t="str">
            <v>William Thursfield</v>
          </cell>
          <cell r="G285" t="str">
            <v>Loreto College</v>
          </cell>
          <cell r="H285" t="str">
            <v>East of England</v>
          </cell>
          <cell r="I285" t="str">
            <v>Hatfield Road</v>
          </cell>
          <cell r="L285" t="str">
            <v>St Albans</v>
          </cell>
          <cell r="M285" t="str">
            <v>Hertfordshire</v>
          </cell>
          <cell r="N285" t="str">
            <v>AL1 3RQ</v>
          </cell>
          <cell r="O285" t="str">
            <v>head@loreto.herts.sch.uk</v>
          </cell>
          <cell r="P285">
            <v>40914</v>
          </cell>
        </row>
        <row r="286">
          <cell r="A286">
            <v>8554026</v>
          </cell>
          <cell r="B286">
            <v>120250</v>
          </cell>
          <cell r="C286">
            <v>855</v>
          </cell>
          <cell r="D286" t="str">
            <v>Leicestershire</v>
          </cell>
          <cell r="E286">
            <v>4026</v>
          </cell>
          <cell r="F286" t="str">
            <v>Not yet assigned</v>
          </cell>
          <cell r="G286" t="str">
            <v>Hastings High School</v>
          </cell>
          <cell r="H286" t="str">
            <v>East Midlands</v>
          </cell>
          <cell r="I286" t="str">
            <v>St Catherine's Close</v>
          </cell>
          <cell r="J286" t="str">
            <v>Burbage</v>
          </cell>
          <cell r="L286" t="str">
            <v>Hinckley</v>
          </cell>
          <cell r="M286" t="str">
            <v>Leicestershire</v>
          </cell>
          <cell r="N286" t="str">
            <v>LE10 2QE</v>
          </cell>
          <cell r="O286" t="str">
            <v>goforthn@hastings.leics.sch.uk</v>
          </cell>
        </row>
        <row r="287">
          <cell r="A287">
            <v>3724020</v>
          </cell>
          <cell r="B287">
            <v>106956</v>
          </cell>
          <cell r="C287">
            <v>372</v>
          </cell>
          <cell r="D287" t="str">
            <v>Rotherham</v>
          </cell>
          <cell r="E287">
            <v>4020</v>
          </cell>
          <cell r="F287" t="str">
            <v>Nick Monton</v>
          </cell>
          <cell r="G287" t="str">
            <v>Thrybergh School and Sports College</v>
          </cell>
          <cell r="H287" t="str">
            <v>Yorkshire and the Humber</v>
          </cell>
          <cell r="I287" t="str">
            <v>Arran Hill</v>
          </cell>
          <cell r="J287" t="str">
            <v>Thrybergh</v>
          </cell>
          <cell r="L287" t="str">
            <v>Rotherham</v>
          </cell>
          <cell r="M287" t="str">
            <v>South Yorkshire</v>
          </cell>
          <cell r="N287" t="str">
            <v>S65 4BJ</v>
          </cell>
          <cell r="O287" t="str">
            <v>b.clubley@thrybergh.com</v>
          </cell>
          <cell r="P287">
            <v>41061</v>
          </cell>
        </row>
        <row r="288">
          <cell r="A288">
            <v>3055409</v>
          </cell>
          <cell r="B288">
            <v>101675</v>
          </cell>
          <cell r="C288">
            <v>305</v>
          </cell>
          <cell r="D288" t="str">
            <v>Bromley</v>
          </cell>
          <cell r="E288">
            <v>5409</v>
          </cell>
          <cell r="F288" t="str">
            <v>Dervise Ali-Riza</v>
          </cell>
          <cell r="G288" t="str">
            <v>Charles Darwin School</v>
          </cell>
          <cell r="H288" t="str">
            <v>London</v>
          </cell>
          <cell r="I288" t="str">
            <v>Jail Lane</v>
          </cell>
          <cell r="J288" t="str">
            <v>Biggin Hill</v>
          </cell>
          <cell r="L288" t="str">
            <v>Westerham</v>
          </cell>
          <cell r="M288" t="str">
            <v>Kent</v>
          </cell>
          <cell r="N288" t="str">
            <v>TN16 3AU</v>
          </cell>
          <cell r="O288" t="str">
            <v>rob.higgins@cdarwin.com</v>
          </cell>
          <cell r="P288">
            <v>40535</v>
          </cell>
        </row>
        <row r="289">
          <cell r="A289">
            <v>3103512</v>
          </cell>
          <cell r="B289">
            <v>131577</v>
          </cell>
          <cell r="C289">
            <v>310</v>
          </cell>
          <cell r="D289" t="str">
            <v>Harrow</v>
          </cell>
          <cell r="E289">
            <v>3512</v>
          </cell>
          <cell r="F289" t="str">
            <v>Sheila Longstaff</v>
          </cell>
          <cell r="G289" t="str">
            <v>Pinner Wood School</v>
          </cell>
          <cell r="H289" t="str">
            <v>London</v>
          </cell>
          <cell r="I289" t="str">
            <v>Latimer Gardens</v>
          </cell>
          <cell r="L289" t="str">
            <v>Pinner</v>
          </cell>
          <cell r="N289" t="str">
            <v>HA5 3RA</v>
          </cell>
        </row>
        <row r="290">
          <cell r="A290">
            <v>8815226</v>
          </cell>
          <cell r="B290">
            <v>115266</v>
          </cell>
          <cell r="C290">
            <v>881</v>
          </cell>
          <cell r="D290" t="str">
            <v>Essex</v>
          </cell>
          <cell r="E290">
            <v>5226</v>
          </cell>
          <cell r="F290" t="str">
            <v>Claire Ivie</v>
          </cell>
          <cell r="G290" t="str">
            <v>Rodings Primary School</v>
          </cell>
          <cell r="H290" t="str">
            <v>East of England</v>
          </cell>
          <cell r="I290" t="str">
            <v>Dunmow Road</v>
          </cell>
          <cell r="K290" t="str">
            <v>Leaden Roding</v>
          </cell>
          <cell r="L290" t="str">
            <v>Dunmow</v>
          </cell>
          <cell r="M290" t="str">
            <v>Essex</v>
          </cell>
          <cell r="N290" t="str">
            <v>CM6 1PZ</v>
          </cell>
          <cell r="O290" t="str">
            <v>cyates@rodings.essex.sch.uk</v>
          </cell>
        </row>
        <row r="291">
          <cell r="A291">
            <v>8714082</v>
          </cell>
          <cell r="B291">
            <v>110074</v>
          </cell>
          <cell r="C291">
            <v>871</v>
          </cell>
          <cell r="D291" t="str">
            <v>Slough</v>
          </cell>
          <cell r="E291">
            <v>4082</v>
          </cell>
          <cell r="F291" t="str">
            <v>Darren Francis</v>
          </cell>
          <cell r="G291" t="str">
            <v>Baylis Court School</v>
          </cell>
          <cell r="H291" t="str">
            <v>South East</v>
          </cell>
          <cell r="I291" t="str">
            <v>Gloucester Avenue</v>
          </cell>
          <cell r="L291" t="str">
            <v>Slough</v>
          </cell>
          <cell r="M291" t="str">
            <v>Berkshire</v>
          </cell>
          <cell r="N291" t="str">
            <v>SL1 3AH</v>
          </cell>
          <cell r="O291" t="str">
            <v>mba@bayliscourt.slough.sch.uk</v>
          </cell>
          <cell r="P291">
            <v>40631</v>
          </cell>
        </row>
        <row r="292">
          <cell r="A292">
            <v>3075404</v>
          </cell>
          <cell r="B292">
            <v>101943</v>
          </cell>
          <cell r="C292">
            <v>307</v>
          </cell>
          <cell r="D292" t="str">
            <v>Ealing</v>
          </cell>
          <cell r="E292">
            <v>5404</v>
          </cell>
          <cell r="F292" t="str">
            <v>Helen Fisher</v>
          </cell>
          <cell r="G292" t="str">
            <v>Northolt High School</v>
          </cell>
          <cell r="H292" t="str">
            <v>London</v>
          </cell>
          <cell r="I292" t="str">
            <v>Eastcote Lane</v>
          </cell>
          <cell r="L292" t="str">
            <v>Northolt</v>
          </cell>
          <cell r="N292" t="str">
            <v>UB5 4HP</v>
          </cell>
          <cell r="O292" t="str">
            <v>cmodi@northolthigh.org.uk</v>
          </cell>
        </row>
        <row r="293">
          <cell r="A293">
            <v>8552185</v>
          </cell>
          <cell r="B293">
            <v>119987</v>
          </cell>
          <cell r="C293">
            <v>855</v>
          </cell>
          <cell r="D293" t="str">
            <v>Leicestershire</v>
          </cell>
          <cell r="E293">
            <v>2185</v>
          </cell>
          <cell r="F293" t="str">
            <v>Stephen Standret</v>
          </cell>
          <cell r="G293" t="str">
            <v>Swallowdale Primary School and Community Centre</v>
          </cell>
          <cell r="H293" t="str">
            <v>East Midlands</v>
          </cell>
          <cell r="I293" t="str">
            <v>Dalby Road</v>
          </cell>
          <cell r="L293" t="str">
            <v>Melton Mowbray</v>
          </cell>
          <cell r="M293" t="str">
            <v>Leicestershire</v>
          </cell>
          <cell r="N293" t="str">
            <v>LE13 0BJ</v>
          </cell>
          <cell r="O293" t="str">
            <v>headteacher@swallowdale.leics.sch.uk</v>
          </cell>
          <cell r="P293">
            <v>41226</v>
          </cell>
        </row>
        <row r="294">
          <cell r="A294">
            <v>8354029</v>
          </cell>
          <cell r="B294">
            <v>113859</v>
          </cell>
          <cell r="C294">
            <v>835</v>
          </cell>
          <cell r="D294" t="str">
            <v>Dorset</v>
          </cell>
          <cell r="E294">
            <v>4029</v>
          </cell>
          <cell r="F294" t="str">
            <v>Tahamina Khan</v>
          </cell>
          <cell r="G294" t="str">
            <v>Allenbourn Middle School</v>
          </cell>
          <cell r="H294" t="str">
            <v>South West</v>
          </cell>
          <cell r="I294" t="str">
            <v>East Borough</v>
          </cell>
          <cell r="L294" t="str">
            <v>Wimborne</v>
          </cell>
          <cell r="M294" t="str">
            <v>Dorset</v>
          </cell>
          <cell r="N294" t="str">
            <v>BH21 1PL</v>
          </cell>
          <cell r="O294" t="str">
            <v>derekbrooks@allenbourn.dorset.sch.uk</v>
          </cell>
        </row>
        <row r="295">
          <cell r="A295">
            <v>2117168</v>
          </cell>
          <cell r="B295">
            <v>100989</v>
          </cell>
          <cell r="C295">
            <v>211</v>
          </cell>
          <cell r="D295" t="str">
            <v>Tower Hamlets</v>
          </cell>
          <cell r="E295">
            <v>7168</v>
          </cell>
          <cell r="F295" t="str">
            <v>Martin Rowley</v>
          </cell>
          <cell r="G295" t="str">
            <v>Beatrice Tate School</v>
          </cell>
          <cell r="H295" t="str">
            <v>London</v>
          </cell>
          <cell r="I295" t="str">
            <v>St Jude's Road</v>
          </cell>
          <cell r="L295" t="str">
            <v>London</v>
          </cell>
          <cell r="N295" t="str">
            <v>E2 9RW</v>
          </cell>
          <cell r="O295" t="str">
            <v>head@beatricetate.towerhamlets.sch.uk</v>
          </cell>
        </row>
        <row r="296">
          <cell r="A296">
            <v>8705401</v>
          </cell>
          <cell r="B296">
            <v>110097</v>
          </cell>
          <cell r="C296">
            <v>870</v>
          </cell>
          <cell r="D296" t="str">
            <v>Reading</v>
          </cell>
          <cell r="E296">
            <v>5401</v>
          </cell>
          <cell r="F296" t="str">
            <v>Susan Shakespeare</v>
          </cell>
          <cell r="G296" t="str">
            <v>Reading School (Boarding)</v>
          </cell>
          <cell r="H296" t="str">
            <v>South East</v>
          </cell>
          <cell r="I296" t="str">
            <v>Erleigh Road</v>
          </cell>
          <cell r="L296" t="str">
            <v>Reading</v>
          </cell>
          <cell r="M296" t="str">
            <v>Berkshire</v>
          </cell>
          <cell r="N296" t="str">
            <v>RG1 5LW</v>
          </cell>
          <cell r="O296" t="str">
            <v>headspa@readingschool.reading.sch.uk</v>
          </cell>
          <cell r="P296">
            <v>40383</v>
          </cell>
        </row>
        <row r="297">
          <cell r="A297">
            <v>8602141</v>
          </cell>
          <cell r="B297">
            <v>124047</v>
          </cell>
          <cell r="C297">
            <v>860</v>
          </cell>
          <cell r="D297" t="str">
            <v>Staffordshire</v>
          </cell>
          <cell r="E297">
            <v>2141</v>
          </cell>
          <cell r="F297" t="str">
            <v>Alison Middleton</v>
          </cell>
          <cell r="G297" t="str">
            <v>Violet Lane School</v>
          </cell>
          <cell r="H297" t="str">
            <v>West Midlands</v>
          </cell>
          <cell r="I297" t="str">
            <v>Violet Lane</v>
          </cell>
          <cell r="L297" t="str">
            <v>Burton-on-Trent</v>
          </cell>
          <cell r="M297" t="str">
            <v>Staffordshire</v>
          </cell>
          <cell r="N297" t="str">
            <v>DE15 9ES</v>
          </cell>
          <cell r="O297" t="str">
            <v>office@violetlane.staffs.sch.uk</v>
          </cell>
          <cell r="P297">
            <v>40570</v>
          </cell>
        </row>
        <row r="298">
          <cell r="A298">
            <v>2054314</v>
          </cell>
          <cell r="B298">
            <v>100359</v>
          </cell>
          <cell r="C298">
            <v>205</v>
          </cell>
          <cell r="D298" t="str">
            <v>Hammersmith and Fulham</v>
          </cell>
          <cell r="E298">
            <v>4314</v>
          </cell>
          <cell r="F298" t="str">
            <v>Sheila Longstaff</v>
          </cell>
          <cell r="G298" t="str">
            <v>Phoenix High School</v>
          </cell>
          <cell r="H298" t="str">
            <v>London</v>
          </cell>
          <cell r="I298" t="str">
            <v>The Curve</v>
          </cell>
          <cell r="L298" t="str">
            <v>London</v>
          </cell>
          <cell r="N298" t="str">
            <v>W12 0RQ</v>
          </cell>
          <cell r="P298">
            <v>41059</v>
          </cell>
        </row>
        <row r="299">
          <cell r="A299">
            <v>8367015</v>
          </cell>
          <cell r="B299">
            <v>113963</v>
          </cell>
          <cell r="C299">
            <v>836</v>
          </cell>
          <cell r="D299" t="str">
            <v>Poole</v>
          </cell>
          <cell r="E299">
            <v>7015</v>
          </cell>
          <cell r="F299" t="str">
            <v>Pat Murison</v>
          </cell>
          <cell r="G299" t="str">
            <v>Longspee School</v>
          </cell>
          <cell r="H299" t="str">
            <v>South West</v>
          </cell>
          <cell r="I299" t="str">
            <v>Learoyd Road</v>
          </cell>
          <cell r="J299" t="str">
            <v>Canford Heath</v>
          </cell>
          <cell r="L299" t="str">
            <v>Poole</v>
          </cell>
          <cell r="M299" t="str">
            <v>Dorset</v>
          </cell>
          <cell r="N299" t="str">
            <v>BH17 8PJ</v>
          </cell>
          <cell r="O299" t="str">
            <v>s.bullen@poole.gov.uk</v>
          </cell>
          <cell r="P299">
            <v>41247</v>
          </cell>
        </row>
        <row r="300">
          <cell r="A300">
            <v>3702031</v>
          </cell>
          <cell r="B300">
            <v>106568</v>
          </cell>
          <cell r="C300">
            <v>370</v>
          </cell>
          <cell r="D300" t="str">
            <v>Barnsley</v>
          </cell>
          <cell r="E300">
            <v>2031</v>
          </cell>
          <cell r="F300" t="str">
            <v>Lisa Sargeant</v>
          </cell>
          <cell r="G300" t="str">
            <v>Kendray Primary School</v>
          </cell>
          <cell r="H300" t="str">
            <v>Yorkshire and the Humber</v>
          </cell>
          <cell r="I300" t="str">
            <v>Thornton Road</v>
          </cell>
          <cell r="J300" t="str">
            <v>Kendray</v>
          </cell>
          <cell r="L300" t="str">
            <v>Barnsley</v>
          </cell>
          <cell r="M300" t="str">
            <v>South Yorkshire</v>
          </cell>
          <cell r="N300" t="str">
            <v>S70 3NG</v>
          </cell>
          <cell r="O300" t="str">
            <v>d.collierwood@barnsley.org</v>
          </cell>
        </row>
        <row r="301">
          <cell r="A301">
            <v>3834101</v>
          </cell>
          <cell r="B301">
            <v>108078</v>
          </cell>
          <cell r="C301">
            <v>383</v>
          </cell>
          <cell r="D301" t="str">
            <v>Leeds</v>
          </cell>
          <cell r="E301">
            <v>4101</v>
          </cell>
          <cell r="F301" t="str">
            <v>Christine Kane</v>
          </cell>
          <cell r="G301" t="str">
            <v>Morley High School</v>
          </cell>
          <cell r="H301" t="str">
            <v>Yorkshire and the Humber</v>
          </cell>
          <cell r="I301" t="str">
            <v>Fountain Street</v>
          </cell>
          <cell r="J301" t="str">
            <v>Morley</v>
          </cell>
          <cell r="L301" t="str">
            <v>Leeds</v>
          </cell>
          <cell r="M301" t="str">
            <v>West Yorkshire</v>
          </cell>
          <cell r="N301" t="str">
            <v>LS27 0PD</v>
          </cell>
          <cell r="O301" t="str">
            <v>watsonc09@leedslearning.net</v>
          </cell>
          <cell r="P301">
            <v>40457</v>
          </cell>
        </row>
        <row r="302">
          <cell r="A302">
            <v>8312515</v>
          </cell>
          <cell r="B302">
            <v>112776</v>
          </cell>
          <cell r="C302">
            <v>831</v>
          </cell>
          <cell r="D302" t="str">
            <v>Derby</v>
          </cell>
          <cell r="E302">
            <v>2515</v>
          </cell>
          <cell r="F302" t="str">
            <v>Jacki Couch</v>
          </cell>
          <cell r="G302" t="str">
            <v>Grampian Primary School</v>
          </cell>
          <cell r="H302" t="str">
            <v>East Midlands</v>
          </cell>
          <cell r="I302" t="str">
            <v>Grampian Way</v>
          </cell>
          <cell r="J302" t="str">
            <v>Sinfin</v>
          </cell>
          <cell r="L302" t="str">
            <v>Derby</v>
          </cell>
          <cell r="M302" t="str">
            <v>Derbyshire</v>
          </cell>
          <cell r="N302" t="str">
            <v>DE24 9LU</v>
          </cell>
          <cell r="O302" t="str">
            <v>Csans@cfbt.com</v>
          </cell>
        </row>
        <row r="303">
          <cell r="A303">
            <v>9252136</v>
          </cell>
          <cell r="B303">
            <v>120437</v>
          </cell>
          <cell r="C303">
            <v>925</v>
          </cell>
          <cell r="D303" t="str">
            <v>Lincolnshire</v>
          </cell>
          <cell r="E303">
            <v>2136</v>
          </cell>
          <cell r="F303" t="str">
            <v>Sue Harp</v>
          </cell>
          <cell r="G303" t="str">
            <v>The Lincoln Manor Leas Junior School</v>
          </cell>
          <cell r="H303" t="str">
            <v>East Midlands</v>
          </cell>
          <cell r="I303" t="str">
            <v>Hykeham Road</v>
          </cell>
          <cell r="L303" t="str">
            <v>Lincoln</v>
          </cell>
          <cell r="M303" t="str">
            <v>Lincolnshire</v>
          </cell>
          <cell r="N303" t="str">
            <v>LN6 8BE</v>
          </cell>
        </row>
        <row r="304">
          <cell r="A304">
            <v>8502146</v>
          </cell>
          <cell r="B304">
            <v>115930</v>
          </cell>
          <cell r="C304">
            <v>850</v>
          </cell>
          <cell r="D304" t="str">
            <v>Hampshire</v>
          </cell>
          <cell r="E304">
            <v>2146</v>
          </cell>
          <cell r="F304" t="str">
            <v>Amanda Barrett</v>
          </cell>
          <cell r="G304" t="str">
            <v>Sun Hill Junior School</v>
          </cell>
          <cell r="H304" t="str">
            <v>South East</v>
          </cell>
          <cell r="I304" t="str">
            <v>Sun Lane</v>
          </cell>
          <cell r="L304" t="str">
            <v>Alresford</v>
          </cell>
          <cell r="M304" t="str">
            <v>Hampshire</v>
          </cell>
          <cell r="N304" t="str">
            <v>SO24 9NB</v>
          </cell>
          <cell r="O304" t="str">
            <v>neil.mackenzie@sunhill-jun.hants.sch.uk</v>
          </cell>
          <cell r="P304">
            <v>40715</v>
          </cell>
        </row>
        <row r="305">
          <cell r="A305">
            <v>8794181</v>
          </cell>
          <cell r="B305">
            <v>113538</v>
          </cell>
          <cell r="C305">
            <v>879</v>
          </cell>
          <cell r="D305" t="str">
            <v>Plymouth</v>
          </cell>
          <cell r="E305">
            <v>4181</v>
          </cell>
          <cell r="F305" t="str">
            <v>Susan Phillips</v>
          </cell>
          <cell r="G305" t="str">
            <v>Coombe Dean School</v>
          </cell>
          <cell r="H305" t="str">
            <v>South West</v>
          </cell>
          <cell r="I305" t="str">
            <v>Charnhill Way</v>
          </cell>
          <cell r="J305" t="str">
            <v>Elburton</v>
          </cell>
          <cell r="L305" t="str">
            <v>Plymouth</v>
          </cell>
          <cell r="M305" t="str">
            <v>Devon</v>
          </cell>
          <cell r="N305" t="str">
            <v>PL9 8ES</v>
          </cell>
          <cell r="O305" t="str">
            <v>e.cranstone@coombedean.plymouth.sch.uk</v>
          </cell>
          <cell r="P305">
            <v>40522</v>
          </cell>
        </row>
        <row r="306">
          <cell r="A306">
            <v>8782463</v>
          </cell>
          <cell r="B306">
            <v>113235</v>
          </cell>
          <cell r="C306">
            <v>878</v>
          </cell>
          <cell r="D306" t="str">
            <v>Devon</v>
          </cell>
          <cell r="E306">
            <v>2463</v>
          </cell>
          <cell r="F306" t="str">
            <v>Susan Phillips</v>
          </cell>
          <cell r="G306" t="str">
            <v>Widecombe-in-the-Moor Primary</v>
          </cell>
          <cell r="H306" t="str">
            <v>South West</v>
          </cell>
          <cell r="I306" t="str">
            <v>Widecombe-in-the-Moor</v>
          </cell>
          <cell r="L306" t="str">
            <v>Newton Abbot</v>
          </cell>
          <cell r="M306" t="str">
            <v>Devon</v>
          </cell>
          <cell r="N306" t="str">
            <v>TQ13 7TB</v>
          </cell>
          <cell r="O306" t="str">
            <v>mwhite@southdartmore.devon.sch.uk</v>
          </cell>
          <cell r="P306">
            <v>40578</v>
          </cell>
        </row>
        <row r="307">
          <cell r="A307">
            <v>8372232</v>
          </cell>
          <cell r="B307">
            <v>113731</v>
          </cell>
          <cell r="C307">
            <v>837</v>
          </cell>
          <cell r="D307" t="str">
            <v>Bournemouth</v>
          </cell>
          <cell r="E307">
            <v>2232</v>
          </cell>
          <cell r="F307" t="str">
            <v>Theresa Oddelm</v>
          </cell>
          <cell r="G307" t="str">
            <v>Queens Park Infant School</v>
          </cell>
          <cell r="H307" t="str">
            <v>South West</v>
          </cell>
          <cell r="I307" t="str">
            <v>East Way</v>
          </cell>
          <cell r="L307" t="str">
            <v>Bournemouth</v>
          </cell>
          <cell r="M307" t="str">
            <v>Dorset</v>
          </cell>
          <cell r="N307" t="str">
            <v>BH8 9PU</v>
          </cell>
          <cell r="O307" t="str">
            <v xml:space="preserve"> pat.whitehead@bournemouth.gov.uk</v>
          </cell>
          <cell r="P307">
            <v>41225</v>
          </cell>
        </row>
        <row r="308">
          <cell r="A308">
            <v>8782224</v>
          </cell>
          <cell r="B308">
            <v>113147</v>
          </cell>
          <cell r="C308">
            <v>878</v>
          </cell>
          <cell r="D308" t="str">
            <v>Devon</v>
          </cell>
          <cell r="E308">
            <v>2224</v>
          </cell>
          <cell r="F308" t="str">
            <v>Dominic Wilson</v>
          </cell>
          <cell r="G308" t="str">
            <v>East Worlington Primary School</v>
          </cell>
          <cell r="H308" t="str">
            <v>South West</v>
          </cell>
          <cell r="I308" t="str">
            <v>East Worlington</v>
          </cell>
          <cell r="L308" t="str">
            <v>Crediton</v>
          </cell>
          <cell r="M308" t="str">
            <v>Devon</v>
          </cell>
          <cell r="N308" t="str">
            <v>EX17 4TS</v>
          </cell>
          <cell r="O308" t="str">
            <v>admin@chulmleigh.devon.sch.uk</v>
          </cell>
          <cell r="P308">
            <v>40641</v>
          </cell>
        </row>
        <row r="309">
          <cell r="A309">
            <v>8815457</v>
          </cell>
          <cell r="B309">
            <v>115373</v>
          </cell>
          <cell r="C309">
            <v>881</v>
          </cell>
          <cell r="D309" t="str">
            <v>Essex</v>
          </cell>
          <cell r="E309">
            <v>5457</v>
          </cell>
          <cell r="F309" t="str">
            <v>Janet Smith</v>
          </cell>
          <cell r="G309" t="str">
            <v>Helena Romanes School and Sixth Form Centre</v>
          </cell>
          <cell r="H309" t="str">
            <v>East of England</v>
          </cell>
          <cell r="I309" t="str">
            <v>Parsonage Downs</v>
          </cell>
          <cell r="L309" t="str">
            <v>Dunmow</v>
          </cell>
          <cell r="M309" t="str">
            <v>Essex</v>
          </cell>
          <cell r="N309" t="str">
            <v>CM6 2AU</v>
          </cell>
          <cell r="O309" t="str">
            <v>sknight@helena-romanes.essex.sch.uk</v>
          </cell>
          <cell r="P309">
            <v>40820</v>
          </cell>
        </row>
        <row r="310">
          <cell r="A310">
            <v>2105403</v>
          </cell>
          <cell r="B310">
            <v>100858</v>
          </cell>
          <cell r="C310">
            <v>210</v>
          </cell>
          <cell r="D310" t="str">
            <v>Southwark</v>
          </cell>
          <cell r="E310">
            <v>5403</v>
          </cell>
          <cell r="F310" t="str">
            <v>Kiran Teli</v>
          </cell>
          <cell r="G310" t="str">
            <v>St Michaels Catholic College</v>
          </cell>
          <cell r="H310" t="str">
            <v>London</v>
          </cell>
          <cell r="I310" t="str">
            <v>John Felton Road</v>
          </cell>
          <cell r="J310" t="str">
            <v>Bermondsey</v>
          </cell>
          <cell r="L310" t="str">
            <v>London</v>
          </cell>
          <cell r="N310" t="str">
            <v>SE16 4UN</v>
          </cell>
          <cell r="O310" t="str">
            <v>grainne.grabowski@stmichaelsschool.org.uk</v>
          </cell>
          <cell r="P310">
            <v>40715</v>
          </cell>
        </row>
        <row r="311">
          <cell r="A311">
            <v>8782401</v>
          </cell>
          <cell r="B311">
            <v>113184</v>
          </cell>
          <cell r="C311">
            <v>878</v>
          </cell>
          <cell r="D311" t="str">
            <v>Devon</v>
          </cell>
          <cell r="E311">
            <v>2401</v>
          </cell>
          <cell r="F311" t="str">
            <v>Susan Phillips</v>
          </cell>
          <cell r="G311" t="str">
            <v>Ashburton Primary School / South Dartmoor Trust</v>
          </cell>
          <cell r="H311" t="str">
            <v>South West</v>
          </cell>
          <cell r="I311" t="str">
            <v>Whistley Hill</v>
          </cell>
          <cell r="J311" t="str">
            <v>Ashburton</v>
          </cell>
          <cell r="L311" t="str">
            <v>Newton Abbot</v>
          </cell>
          <cell r="M311" t="str">
            <v>Devon</v>
          </cell>
          <cell r="N311" t="str">
            <v>TQ13 7DW</v>
          </cell>
          <cell r="O311" t="str">
            <v xml:space="preserve"> rshaw@ashburton-primary.devon.sch.uk</v>
          </cell>
          <cell r="P311">
            <v>40578</v>
          </cell>
        </row>
        <row r="312">
          <cell r="A312">
            <v>3842061</v>
          </cell>
          <cell r="B312">
            <v>108153</v>
          </cell>
          <cell r="C312">
            <v>384</v>
          </cell>
          <cell r="D312" t="str">
            <v>Wakefield</v>
          </cell>
          <cell r="E312">
            <v>2061</v>
          </cell>
          <cell r="F312" t="str">
            <v>Frances Blow</v>
          </cell>
          <cell r="G312" t="str">
            <v>Gawthorpe Community Primary School</v>
          </cell>
          <cell r="H312" t="str">
            <v>Yorkshire and the Humber</v>
          </cell>
          <cell r="I312" t="str">
            <v>High Street</v>
          </cell>
          <cell r="J312" t="str">
            <v>Gawthorpe</v>
          </cell>
          <cell r="L312" t="str">
            <v>Ossett</v>
          </cell>
          <cell r="M312" t="str">
            <v>West Yorkshire</v>
          </cell>
          <cell r="N312" t="str">
            <v>WF5 9QP</v>
          </cell>
          <cell r="O312" t="str">
            <v>headteacher@gawthorpe.wakefield.sch.uk</v>
          </cell>
          <cell r="P312">
            <v>40675</v>
          </cell>
        </row>
        <row r="313">
          <cell r="A313">
            <v>3907002</v>
          </cell>
          <cell r="B313">
            <v>108422</v>
          </cell>
          <cell r="C313">
            <v>390</v>
          </cell>
          <cell r="D313" t="str">
            <v>Gateshead</v>
          </cell>
          <cell r="E313">
            <v>7002</v>
          </cell>
          <cell r="F313" t="str">
            <v>Pat Murison</v>
          </cell>
          <cell r="G313" t="str">
            <v>The Cedars School</v>
          </cell>
          <cell r="H313" t="str">
            <v>North East</v>
          </cell>
          <cell r="I313" t="str">
            <v>Ivy Lane</v>
          </cell>
          <cell r="J313" t="str">
            <v>Low Fell</v>
          </cell>
          <cell r="L313" t="str">
            <v>Gateshead</v>
          </cell>
          <cell r="M313" t="str">
            <v>Tyne and Wear</v>
          </cell>
          <cell r="N313" t="str">
            <v>NE9 6QD</v>
          </cell>
          <cell r="O313" t="str">
            <v>janefraser@gateshead.gov.uk</v>
          </cell>
          <cell r="P313">
            <v>41044</v>
          </cell>
        </row>
        <row r="314">
          <cell r="A314">
            <v>8013010</v>
          </cell>
          <cell r="B314">
            <v>109144</v>
          </cell>
          <cell r="C314">
            <v>801</v>
          </cell>
          <cell r="D314" t="str">
            <v>Bristol City of</v>
          </cell>
          <cell r="E314">
            <v>3010</v>
          </cell>
          <cell r="F314" t="str">
            <v>Theresa Oddelm</v>
          </cell>
          <cell r="G314" t="str">
            <v>St Barnabas Church of England VC Primary School</v>
          </cell>
          <cell r="H314" t="str">
            <v>South West</v>
          </cell>
          <cell r="I314" t="str">
            <v>Albany Road</v>
          </cell>
          <cell r="J314" t="str">
            <v>Montpelier</v>
          </cell>
          <cell r="L314" t="str">
            <v>Bristol</v>
          </cell>
          <cell r="N314" t="str">
            <v>BS6 5LQ</v>
          </cell>
        </row>
        <row r="315">
          <cell r="A315">
            <v>8835439</v>
          </cell>
          <cell r="B315">
            <v>115355</v>
          </cell>
          <cell r="C315">
            <v>883</v>
          </cell>
          <cell r="D315" t="str">
            <v>Thurrock</v>
          </cell>
          <cell r="E315">
            <v>5439</v>
          </cell>
          <cell r="F315" t="str">
            <v>Struan Mackenzie</v>
          </cell>
          <cell r="G315" t="str">
            <v>Gable Hall School</v>
          </cell>
          <cell r="H315" t="str">
            <v>East of England</v>
          </cell>
          <cell r="I315" t="str">
            <v>Southend Road</v>
          </cell>
          <cell r="J315" t="str">
            <v>Corringham</v>
          </cell>
          <cell r="L315" t="str">
            <v>Stanford-le-Hope</v>
          </cell>
          <cell r="M315" t="str">
            <v>Essex</v>
          </cell>
          <cell r="N315" t="str">
            <v>SS17 8JT</v>
          </cell>
          <cell r="O315" t="str">
            <v>ghsking@hotmail.com</v>
          </cell>
          <cell r="P315">
            <v>40511</v>
          </cell>
        </row>
        <row r="316">
          <cell r="A316">
            <v>8004131</v>
          </cell>
          <cell r="B316">
            <v>109304</v>
          </cell>
          <cell r="C316">
            <v>800</v>
          </cell>
          <cell r="D316" t="str">
            <v>Bath and North East Somerset</v>
          </cell>
          <cell r="E316">
            <v>4131</v>
          </cell>
          <cell r="F316" t="str">
            <v>Kate Bosher</v>
          </cell>
          <cell r="G316" t="str">
            <v>Broadlands School</v>
          </cell>
          <cell r="H316" t="str">
            <v>South West</v>
          </cell>
          <cell r="I316" t="str">
            <v>St Francis Road</v>
          </cell>
          <cell r="J316" t="str">
            <v>Keynsham</v>
          </cell>
          <cell r="L316" t="str">
            <v>Bristol</v>
          </cell>
          <cell r="N316" t="str">
            <v>BS31 2DY</v>
          </cell>
          <cell r="O316" t="str">
            <v>jhocking@broadlands.bathnes.sch.uk</v>
          </cell>
          <cell r="P316">
            <v>40709</v>
          </cell>
        </row>
        <row r="317">
          <cell r="A317">
            <v>9255403</v>
          </cell>
          <cell r="B317">
            <v>120699</v>
          </cell>
          <cell r="C317">
            <v>925</v>
          </cell>
          <cell r="D317" t="str">
            <v>Lincolnshire</v>
          </cell>
          <cell r="E317">
            <v>5403</v>
          </cell>
          <cell r="F317" t="str">
            <v>Grant Dyson</v>
          </cell>
          <cell r="G317" t="str">
            <v>Carre's Grammar School</v>
          </cell>
          <cell r="H317" t="str">
            <v>East Midlands</v>
          </cell>
          <cell r="I317" t="str">
            <v>Northgate</v>
          </cell>
          <cell r="L317" t="str">
            <v>Sleaford</v>
          </cell>
          <cell r="M317" t="str">
            <v>Lincolnshire</v>
          </cell>
          <cell r="N317" t="str">
            <v>NG34 7DD</v>
          </cell>
          <cell r="O317" t="str">
            <v>nick.law@carres.lincs.sch.uk</v>
          </cell>
          <cell r="P317">
            <v>40590</v>
          </cell>
        </row>
        <row r="318">
          <cell r="A318">
            <v>3163508</v>
          </cell>
          <cell r="B318">
            <v>102774</v>
          </cell>
          <cell r="C318">
            <v>316</v>
          </cell>
          <cell r="D318" t="str">
            <v>Newham</v>
          </cell>
          <cell r="E318">
            <v>3508</v>
          </cell>
          <cell r="F318" t="str">
            <v>Sheila Longstaff</v>
          </cell>
          <cell r="G318" t="str">
            <v>St Winefride's RC Primary School</v>
          </cell>
          <cell r="H318" t="str">
            <v>London</v>
          </cell>
          <cell r="I318" t="str">
            <v>Church Road</v>
          </cell>
          <cell r="J318" t="str">
            <v>Manor Park</v>
          </cell>
          <cell r="L318" t="str">
            <v>London</v>
          </cell>
          <cell r="N318" t="str">
            <v>E12 6HB</v>
          </cell>
          <cell r="O318" t="str">
            <v>paul.underwood@st-winefrides.newham.sch.uk</v>
          </cell>
        </row>
        <row r="319">
          <cell r="A319">
            <v>9362309</v>
          </cell>
          <cell r="B319">
            <v>125011</v>
          </cell>
          <cell r="C319">
            <v>936</v>
          </cell>
          <cell r="D319" t="str">
            <v>Surrey</v>
          </cell>
          <cell r="E319">
            <v>2309</v>
          </cell>
          <cell r="F319" t="str">
            <v>Gabriela Grimley</v>
          </cell>
          <cell r="G319" t="str">
            <v>The Raleigh School</v>
          </cell>
          <cell r="H319" t="str">
            <v>South East</v>
          </cell>
          <cell r="I319" t="str">
            <v>Northcote Crescent</v>
          </cell>
          <cell r="J319" t="str">
            <v>West Horsley</v>
          </cell>
          <cell r="L319" t="str">
            <v>Leatherhead</v>
          </cell>
          <cell r="M319" t="str">
            <v>Surrey</v>
          </cell>
          <cell r="N319" t="str">
            <v>KT24 6LX</v>
          </cell>
          <cell r="O319" t="str">
            <v>head@raleigh.surrey.sch.uk</v>
          </cell>
          <cell r="P319">
            <v>40604</v>
          </cell>
        </row>
        <row r="320">
          <cell r="A320">
            <v>8863718</v>
          </cell>
          <cell r="B320">
            <v>118761</v>
          </cell>
          <cell r="C320">
            <v>886</v>
          </cell>
          <cell r="D320" t="str">
            <v>Kent</v>
          </cell>
          <cell r="E320">
            <v>3718</v>
          </cell>
          <cell r="F320" t="str">
            <v>Tony Dunne</v>
          </cell>
          <cell r="G320" t="str">
            <v>St Augustine's Catholic Primary School</v>
          </cell>
          <cell r="H320" t="str">
            <v>South East</v>
          </cell>
          <cell r="I320" t="str">
            <v>St John's Road</v>
          </cell>
          <cell r="L320" t="str">
            <v>Hythe</v>
          </cell>
          <cell r="M320" t="str">
            <v>Kent</v>
          </cell>
          <cell r="N320" t="str">
            <v>CT21 4BE</v>
          </cell>
          <cell r="O320" t="str">
            <v>headteacher@st-augustines-hythe.kent.sch.uk</v>
          </cell>
        </row>
        <row r="321">
          <cell r="A321">
            <v>3532094</v>
          </cell>
          <cell r="B321">
            <v>105675</v>
          </cell>
          <cell r="C321">
            <v>353</v>
          </cell>
          <cell r="D321" t="str">
            <v>Oldham</v>
          </cell>
          <cell r="E321">
            <v>2094</v>
          </cell>
          <cell r="F321" t="str">
            <v>Jane McCusker</v>
          </cell>
          <cell r="G321" t="str">
            <v>Stoneleigh Primary School</v>
          </cell>
          <cell r="H321" t="str">
            <v>North West</v>
          </cell>
          <cell r="I321" t="str">
            <v>Vulcan Street</v>
          </cell>
          <cell r="J321" t="str">
            <v>Derker</v>
          </cell>
          <cell r="L321" t="str">
            <v>Oldham</v>
          </cell>
          <cell r="M321" t="str">
            <v>Greater Manchester</v>
          </cell>
          <cell r="N321" t="str">
            <v>OL1 4LJ</v>
          </cell>
        </row>
        <row r="322">
          <cell r="A322">
            <v>8952715</v>
          </cell>
          <cell r="B322">
            <v>111232</v>
          </cell>
          <cell r="C322">
            <v>895</v>
          </cell>
          <cell r="D322" t="str">
            <v>Cheshire East</v>
          </cell>
          <cell r="E322">
            <v>2715</v>
          </cell>
          <cell r="F322" t="str">
            <v>Jane McCusker</v>
          </cell>
          <cell r="G322" t="str">
            <v>Bexton Primary School</v>
          </cell>
          <cell r="H322" t="str">
            <v>North West</v>
          </cell>
          <cell r="I322" t="str">
            <v>Blackhill Lane</v>
          </cell>
          <cell r="L322" t="str">
            <v>Knutsford</v>
          </cell>
          <cell r="M322" t="str">
            <v>Cheshire</v>
          </cell>
          <cell r="N322" t="str">
            <v>WA16 9DB</v>
          </cell>
          <cell r="O322" t="str">
            <v>head@bexton.cheshire.sch.uk</v>
          </cell>
        </row>
        <row r="323">
          <cell r="A323">
            <v>8904601</v>
          </cell>
          <cell r="B323">
            <v>119778</v>
          </cell>
          <cell r="C323">
            <v>890</v>
          </cell>
          <cell r="D323" t="str">
            <v>Blackpool</v>
          </cell>
          <cell r="E323">
            <v>4601</v>
          </cell>
          <cell r="F323" t="str">
            <v>Viv Clutton</v>
          </cell>
          <cell r="G323" t="str">
            <v>St Mary's Catholic College</v>
          </cell>
          <cell r="H323" t="str">
            <v>North West</v>
          </cell>
          <cell r="I323" t="str">
            <v>St Walburga's Road</v>
          </cell>
          <cell r="L323" t="str">
            <v>Blackpool</v>
          </cell>
          <cell r="M323" t="str">
            <v>Lancashire</v>
          </cell>
          <cell r="N323" t="str">
            <v>FY3 7EQ</v>
          </cell>
          <cell r="O323" t="str">
            <v>stephen.tierney@st-mary.blackpool.sch.uk</v>
          </cell>
        </row>
        <row r="324">
          <cell r="A324">
            <v>3194015</v>
          </cell>
          <cell r="B324">
            <v>103003</v>
          </cell>
          <cell r="C324">
            <v>319</v>
          </cell>
          <cell r="D324" t="str">
            <v>Sutton</v>
          </cell>
          <cell r="E324">
            <v>4015</v>
          </cell>
          <cell r="F324" t="str">
            <v>Kiran Teli</v>
          </cell>
          <cell r="G324" t="str">
            <v>Stanley Park High School</v>
          </cell>
          <cell r="H324" t="str">
            <v>London</v>
          </cell>
          <cell r="I324" t="str">
            <v>Stanley Park Road</v>
          </cell>
          <cell r="L324" t="str">
            <v>Carshalton</v>
          </cell>
          <cell r="M324" t="str">
            <v>Surrey</v>
          </cell>
          <cell r="N324" t="str">
            <v>SM5 3HP</v>
          </cell>
          <cell r="O324" t="str">
            <v>dtaylor@suttonlea.org</v>
          </cell>
          <cell r="P324">
            <v>40619</v>
          </cell>
        </row>
        <row r="325">
          <cell r="A325">
            <v>3734256</v>
          </cell>
          <cell r="B325">
            <v>107138</v>
          </cell>
          <cell r="C325">
            <v>373</v>
          </cell>
          <cell r="D325" t="str">
            <v>Sheffield</v>
          </cell>
          <cell r="E325">
            <v>4256</v>
          </cell>
          <cell r="F325" t="str">
            <v>Bev Annables</v>
          </cell>
          <cell r="G325" t="str">
            <v>Firth Park Community Arts College</v>
          </cell>
          <cell r="H325" t="str">
            <v>Yorkshire and the Humber</v>
          </cell>
          <cell r="I325" t="str">
            <v>Fircroft Avenue</v>
          </cell>
          <cell r="L325" t="str">
            <v>Sheffield</v>
          </cell>
          <cell r="M325" t="str">
            <v>South Yorkshire</v>
          </cell>
          <cell r="N325" t="str">
            <v>S5 0SD</v>
          </cell>
          <cell r="O325" t="str">
            <v>c.keen@firthpark.sheffield.sch.uk</v>
          </cell>
          <cell r="P325">
            <v>41191</v>
          </cell>
        </row>
        <row r="326">
          <cell r="A326">
            <v>2032920</v>
          </cell>
          <cell r="B326">
            <v>131183</v>
          </cell>
          <cell r="C326">
            <v>203</v>
          </cell>
          <cell r="D326" t="str">
            <v>Greenwich</v>
          </cell>
          <cell r="E326">
            <v>2920</v>
          </cell>
          <cell r="F326" t="str">
            <v>Tahir Shams</v>
          </cell>
          <cell r="G326" t="str">
            <v>South Rise Primary School</v>
          </cell>
          <cell r="H326" t="str">
            <v>London</v>
          </cell>
          <cell r="I326" t="str">
            <v>Brewery Road</v>
          </cell>
          <cell r="J326" t="str">
            <v>Plumstead</v>
          </cell>
          <cell r="L326" t="str">
            <v>London</v>
          </cell>
          <cell r="N326" t="str">
            <v>SE18 7PX</v>
          </cell>
          <cell r="O326" t="str">
            <v>headteachher@southrise.greenwich.sch.uk</v>
          </cell>
        </row>
        <row r="327">
          <cell r="A327">
            <v>8865414</v>
          </cell>
          <cell r="B327">
            <v>118886</v>
          </cell>
          <cell r="C327">
            <v>886</v>
          </cell>
          <cell r="D327" t="str">
            <v>Kent</v>
          </cell>
          <cell r="E327">
            <v>5414</v>
          </cell>
          <cell r="F327" t="str">
            <v>Sarah Mitchell</v>
          </cell>
          <cell r="G327" t="str">
            <v>Fulston Manor School</v>
          </cell>
          <cell r="H327" t="str">
            <v>South East</v>
          </cell>
          <cell r="I327" t="str">
            <v>Brenchley Road</v>
          </cell>
          <cell r="L327" t="str">
            <v>Sittingbourne</v>
          </cell>
          <cell r="M327" t="str">
            <v>Kent</v>
          </cell>
          <cell r="N327" t="str">
            <v>ME10 4EG</v>
          </cell>
          <cell r="O327" t="str">
            <v>agbrookes@fulstonmanor.kent.sch.uk</v>
          </cell>
          <cell r="P327">
            <v>40344</v>
          </cell>
        </row>
        <row r="328">
          <cell r="A328">
            <v>9263426</v>
          </cell>
          <cell r="B328">
            <v>134962</v>
          </cell>
          <cell r="C328">
            <v>926</v>
          </cell>
          <cell r="D328" t="str">
            <v>Norfolk</v>
          </cell>
          <cell r="E328">
            <v>3426</v>
          </cell>
          <cell r="F328" t="str">
            <v>Not yet assigned</v>
          </cell>
          <cell r="G328" t="str">
            <v>Eaton Primary School</v>
          </cell>
          <cell r="H328" t="str">
            <v>East of England</v>
          </cell>
          <cell r="I328" t="str">
            <v>Purtingay Close</v>
          </cell>
          <cell r="L328" t="str">
            <v>Norwich</v>
          </cell>
          <cell r="M328" t="str">
            <v>Norfolk</v>
          </cell>
          <cell r="N328" t="str">
            <v>NR4 6HU</v>
          </cell>
          <cell r="O328" t="str">
            <v>office@eaton.norfolk.sch.uk</v>
          </cell>
        </row>
        <row r="329">
          <cell r="A329">
            <v>8552179</v>
          </cell>
          <cell r="B329">
            <v>119983</v>
          </cell>
          <cell r="C329">
            <v>855</v>
          </cell>
          <cell r="D329" t="str">
            <v>Leicestershire</v>
          </cell>
          <cell r="E329">
            <v>2179</v>
          </cell>
          <cell r="F329" t="str">
            <v>Sue Harp</v>
          </cell>
          <cell r="G329" t="str">
            <v>Market Harborough Ridgeway Primary School</v>
          </cell>
          <cell r="H329" t="str">
            <v>East Midlands</v>
          </cell>
          <cell r="I329" t="str">
            <v>The Ridgeway</v>
          </cell>
          <cell r="L329" t="str">
            <v>Market Harborough</v>
          </cell>
          <cell r="M329" t="str">
            <v>Leicestershire</v>
          </cell>
          <cell r="N329" t="str">
            <v>LE16 7HQ</v>
          </cell>
          <cell r="O329" t="str">
            <v>dfox@ridgeway.leics.sch.uk</v>
          </cell>
          <cell r="P329">
            <v>40933</v>
          </cell>
        </row>
        <row r="330">
          <cell r="A330">
            <v>9192203</v>
          </cell>
          <cell r="B330">
            <v>117211</v>
          </cell>
          <cell r="C330">
            <v>919</v>
          </cell>
          <cell r="D330" t="str">
            <v>Hertfordshire</v>
          </cell>
          <cell r="E330">
            <v>2203</v>
          </cell>
          <cell r="F330" t="str">
            <v>Joe Farrell</v>
          </cell>
          <cell r="G330" t="str">
            <v>Roundwood Primary School</v>
          </cell>
          <cell r="H330" t="str">
            <v>East of England</v>
          </cell>
          <cell r="I330" t="str">
            <v>Roundwood Park</v>
          </cell>
          <cell r="L330" t="str">
            <v>Harpenden</v>
          </cell>
          <cell r="M330" t="str">
            <v>Hertfordshire</v>
          </cell>
          <cell r="N330" t="str">
            <v>AL5 3AD</v>
          </cell>
          <cell r="O330" t="str">
            <v>head@roundwoodprimary.herts.sch.uk</v>
          </cell>
        </row>
        <row r="331">
          <cell r="A331">
            <v>8454035</v>
          </cell>
          <cell r="B331">
            <v>114588</v>
          </cell>
          <cell r="C331">
            <v>845</v>
          </cell>
          <cell r="D331" t="str">
            <v>East Sussex</v>
          </cell>
          <cell r="E331">
            <v>4035</v>
          </cell>
          <cell r="F331" t="str">
            <v>Sarah Mitchell</v>
          </cell>
          <cell r="G331" t="str">
            <v>Robertsbridge Community College</v>
          </cell>
          <cell r="H331" t="str">
            <v>South East</v>
          </cell>
          <cell r="I331" t="str">
            <v>Knelle Road</v>
          </cell>
          <cell r="L331" t="str">
            <v>Robertsbridge</v>
          </cell>
          <cell r="M331" t="str">
            <v>East Sussex</v>
          </cell>
          <cell r="N331" t="str">
            <v>TN32 5EA</v>
          </cell>
          <cell r="O331" t="str">
            <v>spotten@robertsbridge.org.uk</v>
          </cell>
        </row>
        <row r="332">
          <cell r="A332">
            <v>8863918</v>
          </cell>
          <cell r="B332">
            <v>135214</v>
          </cell>
          <cell r="C332">
            <v>886</v>
          </cell>
          <cell r="D332" t="str">
            <v>Kent</v>
          </cell>
          <cell r="E332">
            <v>3918</v>
          </cell>
          <cell r="F332" t="str">
            <v>Tony Dunne</v>
          </cell>
          <cell r="G332" t="str">
            <v>Newington Community Primary School</v>
          </cell>
          <cell r="H332" t="str">
            <v>South East</v>
          </cell>
          <cell r="I332" t="str">
            <v>Princess Margaret Avenue</v>
          </cell>
          <cell r="J332" t="str">
            <v>Newington</v>
          </cell>
          <cell r="L332" t="str">
            <v>Ramsgate</v>
          </cell>
          <cell r="M332" t="str">
            <v>Kent</v>
          </cell>
          <cell r="N332" t="str">
            <v>CT12 6HX</v>
          </cell>
          <cell r="O332" t="str">
            <v>headteacher@upton.kent.sch.uk</v>
          </cell>
        </row>
        <row r="333">
          <cell r="A333">
            <v>8605404</v>
          </cell>
          <cell r="B333">
            <v>124469</v>
          </cell>
          <cell r="C333">
            <v>860</v>
          </cell>
          <cell r="D333" t="str">
            <v>Staffordshire</v>
          </cell>
          <cell r="E333">
            <v>5404</v>
          </cell>
          <cell r="F333" t="str">
            <v>Hannah Copp</v>
          </cell>
          <cell r="G333" t="str">
            <v>Chasetown Specialist Sports College</v>
          </cell>
          <cell r="H333" t="str">
            <v>West Midlands</v>
          </cell>
          <cell r="I333" t="str">
            <v>Pool Road</v>
          </cell>
          <cell r="L333" t="str">
            <v>Burntwood</v>
          </cell>
          <cell r="M333" t="str">
            <v>Staffordshire</v>
          </cell>
          <cell r="N333" t="str">
            <v>WS7 3QW</v>
          </cell>
          <cell r="O333" t="str">
            <v>headteacher@chasetown.staffs.sch.uk</v>
          </cell>
          <cell r="P333">
            <v>40595</v>
          </cell>
        </row>
        <row r="334">
          <cell r="A334">
            <v>9312207</v>
          </cell>
          <cell r="B334">
            <v>123008</v>
          </cell>
          <cell r="C334">
            <v>931</v>
          </cell>
          <cell r="D334" t="str">
            <v>Oxfordshire</v>
          </cell>
          <cell r="E334">
            <v>2207</v>
          </cell>
          <cell r="F334" t="str">
            <v>Sarah Nairne</v>
          </cell>
          <cell r="G334" t="str">
            <v>Longfields Primary and Nursery School</v>
          </cell>
          <cell r="H334" t="str">
            <v>South East</v>
          </cell>
          <cell r="I334" t="str">
            <v>Longfields</v>
          </cell>
          <cell r="L334" t="str">
            <v>Bicester</v>
          </cell>
          <cell r="M334" t="str">
            <v>Oxfordshire</v>
          </cell>
          <cell r="N334" t="str">
            <v>OX26 6QL</v>
          </cell>
          <cell r="O334" t="str">
            <v>head.2207@longfields.oxon.sch.uk</v>
          </cell>
        </row>
        <row r="335">
          <cell r="A335">
            <v>8102001</v>
          </cell>
          <cell r="B335">
            <v>131510</v>
          </cell>
          <cell r="C335">
            <v>810</v>
          </cell>
          <cell r="D335" t="str">
            <v>Kingston upon Hull City of</v>
          </cell>
          <cell r="E335">
            <v>2001</v>
          </cell>
          <cell r="F335" t="str">
            <v>John Edmunds</v>
          </cell>
          <cell r="G335" t="str">
            <v>Victoria Dock Primary School</v>
          </cell>
          <cell r="H335" t="str">
            <v>Yorkshire and the Humber</v>
          </cell>
          <cell r="I335" t="str">
            <v>South Bridge Road</v>
          </cell>
          <cell r="J335" t="str">
            <v>Victoria Dock</v>
          </cell>
          <cell r="L335" t="str">
            <v>Hull</v>
          </cell>
          <cell r="N335" t="str">
            <v>HU9 1TL</v>
          </cell>
          <cell r="O335" t="str">
            <v>dkite@victoriadock.hull.sch.uk</v>
          </cell>
          <cell r="P335">
            <v>40647</v>
          </cell>
        </row>
        <row r="336">
          <cell r="A336">
            <v>9283068</v>
          </cell>
          <cell r="B336">
            <v>121996</v>
          </cell>
          <cell r="C336">
            <v>928</v>
          </cell>
          <cell r="D336" t="str">
            <v>Northamptonshire</v>
          </cell>
          <cell r="E336">
            <v>3068</v>
          </cell>
          <cell r="F336" t="str">
            <v>Sue Harp</v>
          </cell>
          <cell r="G336" t="str">
            <v>Weldon Church of England Primary School</v>
          </cell>
          <cell r="H336" t="str">
            <v>East Midlands</v>
          </cell>
          <cell r="I336" t="str">
            <v>Chapel Road</v>
          </cell>
          <cell r="J336" t="str">
            <v>Weldon</v>
          </cell>
          <cell r="L336" t="str">
            <v>Corby</v>
          </cell>
          <cell r="M336" t="str">
            <v>Northamptonshire</v>
          </cell>
          <cell r="N336" t="str">
            <v>NN17 3HP</v>
          </cell>
          <cell r="O336" t="str">
            <v>head@weldon-ce.northants-ecl.gov.uk</v>
          </cell>
        </row>
        <row r="337">
          <cell r="A337">
            <v>8602273</v>
          </cell>
          <cell r="B337">
            <v>124125</v>
          </cell>
          <cell r="C337">
            <v>860</v>
          </cell>
          <cell r="D337" t="str">
            <v>Staffordshire</v>
          </cell>
          <cell r="E337">
            <v>2273</v>
          </cell>
          <cell r="F337" t="str">
            <v>Stephen Bagnall</v>
          </cell>
          <cell r="G337" t="str">
            <v>Western Springs Primary School</v>
          </cell>
          <cell r="H337" t="str">
            <v>West Midlands</v>
          </cell>
          <cell r="I337" t="str">
            <v>School Road</v>
          </cell>
          <cell r="L337" t="str">
            <v>Rugeley</v>
          </cell>
          <cell r="M337" t="str">
            <v>Staffordshire</v>
          </cell>
          <cell r="N337" t="str">
            <v>WS15 2PD</v>
          </cell>
          <cell r="O337" t="str">
            <v>swellings@hotmail.com</v>
          </cell>
        </row>
        <row r="338">
          <cell r="A338">
            <v>8013436</v>
          </cell>
          <cell r="B338">
            <v>132150</v>
          </cell>
          <cell r="C338">
            <v>801</v>
          </cell>
          <cell r="D338" t="str">
            <v>Bristol City of</v>
          </cell>
          <cell r="E338">
            <v>3436</v>
          </cell>
          <cell r="F338" t="str">
            <v>Niko Thomas</v>
          </cell>
          <cell r="G338" t="str">
            <v>West Town Lane Primary School</v>
          </cell>
          <cell r="H338" t="str">
            <v>South West</v>
          </cell>
          <cell r="I338" t="str">
            <v>West Town Lane</v>
          </cell>
          <cell r="J338" t="str">
            <v>Brislington</v>
          </cell>
          <cell r="L338" t="str">
            <v>Bristol</v>
          </cell>
          <cell r="N338" t="str">
            <v>BS4 5DT</v>
          </cell>
          <cell r="O338" t="str">
            <v>headwtlp@bristol.gov.uk</v>
          </cell>
          <cell r="P338">
            <v>40603</v>
          </cell>
        </row>
        <row r="339">
          <cell r="A339">
            <v>8003440</v>
          </cell>
          <cell r="B339">
            <v>109270</v>
          </cell>
          <cell r="C339">
            <v>800</v>
          </cell>
          <cell r="D339" t="str">
            <v>Bath and North East Somerset</v>
          </cell>
          <cell r="E339">
            <v>3440</v>
          </cell>
          <cell r="F339" t="str">
            <v>Maria Whiting</v>
          </cell>
          <cell r="G339" t="str">
            <v>Chew Stoke CofE VA Primary School</v>
          </cell>
          <cell r="H339" t="str">
            <v>South West</v>
          </cell>
          <cell r="I339" t="str">
            <v>School Lane</v>
          </cell>
          <cell r="J339" t="str">
            <v>Chew Stoke</v>
          </cell>
          <cell r="L339" t="str">
            <v>Bristol</v>
          </cell>
          <cell r="M339" t="str">
            <v>Somerset</v>
          </cell>
          <cell r="N339" t="str">
            <v>BS40 8UY</v>
          </cell>
          <cell r="O339" t="str">
            <v>Steve_Bailey@BATHNES.gov.uk</v>
          </cell>
          <cell r="P339">
            <v>40961</v>
          </cell>
        </row>
        <row r="340">
          <cell r="A340">
            <v>3332060</v>
          </cell>
          <cell r="B340">
            <v>103919</v>
          </cell>
          <cell r="C340">
            <v>333</v>
          </cell>
          <cell r="D340" t="str">
            <v>Sandwell</v>
          </cell>
          <cell r="E340">
            <v>2060</v>
          </cell>
          <cell r="F340" t="str">
            <v>Hannah Copp</v>
          </cell>
          <cell r="G340" t="str">
            <v>Ocker Hill Infant School</v>
          </cell>
          <cell r="H340" t="str">
            <v>West Midlands</v>
          </cell>
          <cell r="I340" t="str">
            <v>Gospel Oak Road</v>
          </cell>
          <cell r="L340" t="str">
            <v>Tipton</v>
          </cell>
          <cell r="M340" t="str">
            <v>West Midlands</v>
          </cell>
          <cell r="N340" t="str">
            <v>DY4 0DS</v>
          </cell>
          <cell r="O340" t="str">
            <v>heidi.faulkner@ockerhill-inf.sandwell.sch.uk</v>
          </cell>
        </row>
        <row r="341">
          <cell r="A341">
            <v>3304109</v>
          </cell>
          <cell r="B341">
            <v>103492</v>
          </cell>
          <cell r="C341">
            <v>330</v>
          </cell>
          <cell r="D341" t="str">
            <v>Birmingham</v>
          </cell>
          <cell r="E341">
            <v>4109</v>
          </cell>
          <cell r="F341" t="str">
            <v>Christine West</v>
          </cell>
          <cell r="G341" t="str">
            <v>Perry Beeches School</v>
          </cell>
          <cell r="H341" t="str">
            <v>West Midlands</v>
          </cell>
          <cell r="I341" t="str">
            <v>Beeches Road</v>
          </cell>
          <cell r="L341" t="str">
            <v>Birmingham</v>
          </cell>
          <cell r="M341" t="str">
            <v>West Midlands</v>
          </cell>
          <cell r="N341" t="str">
            <v>B42 2PY</v>
          </cell>
          <cell r="O341" t="str">
            <v>lnolan@pb-the academy.co.uk</v>
          </cell>
          <cell r="P341">
            <v>40575</v>
          </cell>
        </row>
        <row r="342">
          <cell r="A342">
            <v>8234077</v>
          </cell>
          <cell r="B342">
            <v>109668</v>
          </cell>
          <cell r="C342">
            <v>823</v>
          </cell>
          <cell r="D342" t="str">
            <v>Central Bedfordshire</v>
          </cell>
          <cell r="E342">
            <v>4077</v>
          </cell>
          <cell r="F342" t="str">
            <v>Michael Cook</v>
          </cell>
          <cell r="G342" t="str">
            <v>Linslade Middle School</v>
          </cell>
          <cell r="H342" t="str">
            <v>East of England</v>
          </cell>
          <cell r="I342" t="str">
            <v>Mentmore Road</v>
          </cell>
          <cell r="J342" t="str">
            <v>Linslade</v>
          </cell>
          <cell r="L342" t="str">
            <v>Leighton Buzzard</v>
          </cell>
          <cell r="M342" t="str">
            <v>Bedfordshire</v>
          </cell>
          <cell r="N342" t="str">
            <v>LU7 2PA</v>
          </cell>
          <cell r="O342" t="str">
            <v>pbird@bfm.md.e2bn.net</v>
          </cell>
          <cell r="P342">
            <v>40511</v>
          </cell>
        </row>
        <row r="343">
          <cell r="A343">
            <v>9282184</v>
          </cell>
          <cell r="B343">
            <v>121927</v>
          </cell>
          <cell r="C343">
            <v>928</v>
          </cell>
          <cell r="D343" t="str">
            <v>Northamptonshire</v>
          </cell>
          <cell r="E343">
            <v>2184</v>
          </cell>
          <cell r="F343" t="str">
            <v>Stephen Standret</v>
          </cell>
          <cell r="G343" t="str">
            <v>Hopping Hill Primary School</v>
          </cell>
          <cell r="H343" t="str">
            <v>East Midlands</v>
          </cell>
          <cell r="I343" t="str">
            <v>Pendle Road</v>
          </cell>
          <cell r="J343" t="str">
            <v>Duston</v>
          </cell>
          <cell r="L343" t="str">
            <v>Northampton</v>
          </cell>
          <cell r="M343" t="str">
            <v>Northamptonshire</v>
          </cell>
          <cell r="N343" t="str">
            <v>NN5 6DT</v>
          </cell>
        </row>
        <row r="344">
          <cell r="A344">
            <v>2085402</v>
          </cell>
          <cell r="B344">
            <v>100639</v>
          </cell>
          <cell r="C344">
            <v>208</v>
          </cell>
          <cell r="D344" t="str">
            <v>Lambeth</v>
          </cell>
          <cell r="E344">
            <v>5402</v>
          </cell>
          <cell r="F344" t="str">
            <v>Bola Bakrin</v>
          </cell>
          <cell r="G344" t="str">
            <v>Dunraven School</v>
          </cell>
          <cell r="H344" t="str">
            <v>London</v>
          </cell>
          <cell r="I344" t="str">
            <v>94-98 Leigham Court Road</v>
          </cell>
          <cell r="J344" t="str">
            <v>Streatham</v>
          </cell>
          <cell r="L344" t="str">
            <v>London</v>
          </cell>
          <cell r="N344" t="str">
            <v>SW16 2QB</v>
          </cell>
          <cell r="O344" t="str">
            <v>dboyle@dunraven-school.org.uk</v>
          </cell>
          <cell r="P344">
            <v>40581</v>
          </cell>
        </row>
        <row r="345">
          <cell r="A345">
            <v>8954139</v>
          </cell>
          <cell r="B345">
            <v>111417</v>
          </cell>
          <cell r="C345">
            <v>895</v>
          </cell>
          <cell r="D345" t="str">
            <v>Cheshire East</v>
          </cell>
          <cell r="E345">
            <v>4139</v>
          </cell>
          <cell r="F345" t="str">
            <v>Linda Quinn</v>
          </cell>
          <cell r="G345" t="str">
            <v>Ruskin Sports College - A Community High School</v>
          </cell>
          <cell r="H345" t="str">
            <v>North West</v>
          </cell>
          <cell r="I345" t="str">
            <v>Ruskin Road</v>
          </cell>
          <cell r="L345" t="str">
            <v>Crewe</v>
          </cell>
          <cell r="M345" t="str">
            <v>Cheshire</v>
          </cell>
          <cell r="N345" t="str">
            <v>CW2 7JT</v>
          </cell>
          <cell r="O345" t="str">
            <v>head@ruskin.cheshire.sch.uk</v>
          </cell>
          <cell r="P345">
            <v>41171</v>
          </cell>
        </row>
        <row r="346">
          <cell r="A346">
            <v>3053501</v>
          </cell>
          <cell r="B346">
            <v>101652</v>
          </cell>
          <cell r="C346">
            <v>305</v>
          </cell>
          <cell r="D346" t="str">
            <v>Bromley</v>
          </cell>
          <cell r="E346">
            <v>3501</v>
          </cell>
          <cell r="F346" t="str">
            <v>Sheila Longstaff</v>
          </cell>
          <cell r="G346" t="str">
            <v>St Vincent's Catholic Primary School</v>
          </cell>
          <cell r="H346" t="str">
            <v>London</v>
          </cell>
          <cell r="I346" t="str">
            <v>Harting Road</v>
          </cell>
          <cell r="J346" t="str">
            <v>Mottingham</v>
          </cell>
          <cell r="L346" t="str">
            <v>London</v>
          </cell>
          <cell r="N346" t="str">
            <v>SE9 4JR</v>
          </cell>
          <cell r="O346" t="str">
            <v>deirdre.wright@st-vincents.bromley.sch.uk</v>
          </cell>
        </row>
        <row r="347">
          <cell r="A347">
            <v>3415402</v>
          </cell>
          <cell r="B347">
            <v>104720</v>
          </cell>
          <cell r="C347">
            <v>341</v>
          </cell>
          <cell r="D347" t="str">
            <v>Liverpool</v>
          </cell>
          <cell r="E347">
            <v>5402</v>
          </cell>
          <cell r="F347" t="str">
            <v>Cathy Dudley</v>
          </cell>
          <cell r="G347" t="str">
            <v>St Margaret's Church of England High School</v>
          </cell>
          <cell r="H347" t="str">
            <v>North West</v>
          </cell>
          <cell r="I347" t="str">
            <v>Aigburth Road</v>
          </cell>
          <cell r="L347" t="str">
            <v>Liverpool</v>
          </cell>
          <cell r="M347" t="str">
            <v>Merseyside</v>
          </cell>
          <cell r="N347" t="str">
            <v>L17 6AB</v>
          </cell>
          <cell r="O347" t="str">
            <v>dfdennison@stmargaretshigh.com</v>
          </cell>
          <cell r="P347">
            <v>40987</v>
          </cell>
        </row>
        <row r="348">
          <cell r="A348">
            <v>9354061</v>
          </cell>
          <cell r="B348">
            <v>124821</v>
          </cell>
          <cell r="C348">
            <v>935</v>
          </cell>
          <cell r="D348" t="str">
            <v>Suffolk</v>
          </cell>
          <cell r="E348">
            <v>4061</v>
          </cell>
          <cell r="F348" t="str">
            <v>Claire Ivie</v>
          </cell>
          <cell r="G348" t="str">
            <v>Stowmarket Middle School</v>
          </cell>
          <cell r="H348" t="str">
            <v>East of England</v>
          </cell>
          <cell r="I348" t="str">
            <v>Walnut Tree Walk</v>
          </cell>
          <cell r="L348" t="str">
            <v>Stowmarket</v>
          </cell>
          <cell r="M348" t="str">
            <v>Suffolk</v>
          </cell>
          <cell r="N348" t="str">
            <v>IP14 1JP</v>
          </cell>
          <cell r="O348" t="str">
            <v>head@stowmarketmiddle.suffolk.sch.uk</v>
          </cell>
          <cell r="P348">
            <v>40571</v>
          </cell>
        </row>
        <row r="349">
          <cell r="A349">
            <v>3055413</v>
          </cell>
          <cell r="B349">
            <v>101679</v>
          </cell>
          <cell r="C349">
            <v>305</v>
          </cell>
          <cell r="D349" t="str">
            <v>Bromley</v>
          </cell>
          <cell r="E349">
            <v>5413</v>
          </cell>
          <cell r="F349" t="str">
            <v>Tahir Shams</v>
          </cell>
          <cell r="G349" t="str">
            <v>The Ravensbourne School</v>
          </cell>
          <cell r="H349" t="str">
            <v>London</v>
          </cell>
          <cell r="I349" t="str">
            <v>Hayes Lane</v>
          </cell>
          <cell r="L349" t="str">
            <v>Bromley</v>
          </cell>
          <cell r="M349" t="str">
            <v>Kent</v>
          </cell>
          <cell r="N349" t="str">
            <v>BR2 9EH</v>
          </cell>
          <cell r="O349" t="str">
            <v>pmurphy@ravensbourne.info</v>
          </cell>
          <cell r="P349">
            <v>40534</v>
          </cell>
        </row>
        <row r="350">
          <cell r="A350">
            <v>3722135</v>
          </cell>
          <cell r="B350">
            <v>106927</v>
          </cell>
          <cell r="C350">
            <v>372</v>
          </cell>
          <cell r="D350" t="str">
            <v>Rotherham</v>
          </cell>
          <cell r="E350">
            <v>2135</v>
          </cell>
          <cell r="F350" t="str">
            <v>Glyn Newton</v>
          </cell>
          <cell r="G350" t="str">
            <v>Greasbrough Primary School</v>
          </cell>
          <cell r="H350" t="str">
            <v>Yorkshire and the Humber</v>
          </cell>
          <cell r="I350" t="str">
            <v>Munsbrough Rise</v>
          </cell>
          <cell r="J350" t="str">
            <v>Greasbrough</v>
          </cell>
          <cell r="L350" t="str">
            <v>Rotherham</v>
          </cell>
          <cell r="M350" t="str">
            <v>South Yorkshire</v>
          </cell>
          <cell r="N350" t="str">
            <v>S61 4RB</v>
          </cell>
          <cell r="O350" t="str">
            <v>gjijcrawford@rgfl.org</v>
          </cell>
        </row>
        <row r="351">
          <cell r="A351">
            <v>9163348</v>
          </cell>
          <cell r="B351">
            <v>115700</v>
          </cell>
          <cell r="C351">
            <v>916</v>
          </cell>
          <cell r="D351" t="str">
            <v>Gloucestershire</v>
          </cell>
          <cell r="E351">
            <v>3348</v>
          </cell>
          <cell r="F351" t="str">
            <v>Not yet assigned</v>
          </cell>
          <cell r="G351" t="str">
            <v>St Mary's Church of England VA Primary School</v>
          </cell>
          <cell r="H351" t="str">
            <v>South West</v>
          </cell>
          <cell r="I351" t="str">
            <v>St Mary's Road</v>
          </cell>
          <cell r="L351" t="str">
            <v>Tetbury</v>
          </cell>
          <cell r="M351" t="str">
            <v>Gloucestershire</v>
          </cell>
          <cell r="N351" t="str">
            <v>GL8 8BW</v>
          </cell>
          <cell r="O351" t="str">
            <v>head@st-marys-tetbury.gloucs.sch.uk</v>
          </cell>
        </row>
        <row r="352">
          <cell r="A352">
            <v>9365404</v>
          </cell>
          <cell r="B352">
            <v>125304</v>
          </cell>
          <cell r="C352">
            <v>936</v>
          </cell>
          <cell r="D352" t="str">
            <v>Surrey</v>
          </cell>
          <cell r="E352">
            <v>5404</v>
          </cell>
          <cell r="F352" t="str">
            <v>Gabriela Grimley</v>
          </cell>
          <cell r="G352" t="str">
            <v>Glyn Technology School</v>
          </cell>
          <cell r="H352" t="str">
            <v>South East</v>
          </cell>
          <cell r="I352" t="str">
            <v>The Kingsway</v>
          </cell>
          <cell r="J352" t="str">
            <v>Ewell</v>
          </cell>
          <cell r="L352" t="str">
            <v>Epsom</v>
          </cell>
          <cell r="M352" t="str">
            <v>Surrey</v>
          </cell>
          <cell r="N352" t="str">
            <v>KT17 1NB</v>
          </cell>
          <cell r="O352" t="str">
            <v>chalonerj@glyn.surrey.sch.uk</v>
          </cell>
          <cell r="P352">
            <v>40354</v>
          </cell>
        </row>
        <row r="353">
          <cell r="A353">
            <v>8864065</v>
          </cell>
          <cell r="B353">
            <v>118796</v>
          </cell>
          <cell r="C353">
            <v>886</v>
          </cell>
          <cell r="D353" t="str">
            <v>Kent</v>
          </cell>
          <cell r="E353">
            <v>4065</v>
          </cell>
          <cell r="F353" t="str">
            <v>Nicky Edwards</v>
          </cell>
          <cell r="G353" t="str">
            <v>Holmesdale technology College and The Malling school</v>
          </cell>
          <cell r="H353" t="str">
            <v>South East</v>
          </cell>
          <cell r="I353" t="str">
            <v>Malling Road</v>
          </cell>
          <cell r="L353" t="str">
            <v>Snodland</v>
          </cell>
          <cell r="M353" t="str">
            <v>Kent</v>
          </cell>
          <cell r="N353" t="str">
            <v>ME6 5HS</v>
          </cell>
          <cell r="O353" t="str">
            <v>ian.hobson@mhfederation.co.uk</v>
          </cell>
          <cell r="P353">
            <v>40571</v>
          </cell>
        </row>
        <row r="354">
          <cell r="A354">
            <v>8223350</v>
          </cell>
          <cell r="B354">
            <v>109632</v>
          </cell>
          <cell r="C354">
            <v>822</v>
          </cell>
          <cell r="D354" t="str">
            <v>Bedford</v>
          </cell>
          <cell r="E354">
            <v>3350</v>
          </cell>
          <cell r="F354" t="str">
            <v>Michael Cook</v>
          </cell>
          <cell r="G354" t="str">
            <v>St John Rigby RC VA Lower School</v>
          </cell>
          <cell r="H354" t="str">
            <v>East of England</v>
          </cell>
          <cell r="I354" t="str">
            <v>Polhill Avenue</v>
          </cell>
          <cell r="L354" t="str">
            <v>Bedford</v>
          </cell>
          <cell r="M354" t="str">
            <v>Bedfordshire</v>
          </cell>
          <cell r="N354" t="str">
            <v>MK41 9DQ</v>
          </cell>
          <cell r="O354" t="str">
            <v>ALee@stm.beds.sch.uk</v>
          </cell>
          <cell r="P354">
            <v>41165</v>
          </cell>
        </row>
        <row r="355">
          <cell r="A355">
            <v>9254062</v>
          </cell>
          <cell r="B355">
            <v>120654</v>
          </cell>
          <cell r="C355">
            <v>925</v>
          </cell>
          <cell r="D355" t="str">
            <v>Lincolnshire</v>
          </cell>
          <cell r="E355">
            <v>4062</v>
          </cell>
          <cell r="F355" t="str">
            <v>Pauline Cole</v>
          </cell>
          <cell r="G355" t="str">
            <v>Cherry Willingham Community School</v>
          </cell>
          <cell r="H355" t="str">
            <v>East Midlands</v>
          </cell>
          <cell r="I355" t="str">
            <v>Croft Lane</v>
          </cell>
          <cell r="J355" t="str">
            <v>Cherry Willingham</v>
          </cell>
          <cell r="L355" t="str">
            <v>Lincoln</v>
          </cell>
          <cell r="M355" t="str">
            <v>Lincolnshire</v>
          </cell>
          <cell r="N355" t="str">
            <v>LN3 4JP</v>
          </cell>
          <cell r="O355" t="str">
            <v>E.Stiles@cwcs.lincs.sch.uk</v>
          </cell>
          <cell r="P355">
            <v>41224</v>
          </cell>
        </row>
        <row r="356">
          <cell r="A356">
            <v>9192994</v>
          </cell>
          <cell r="B356">
            <v>117376</v>
          </cell>
          <cell r="C356">
            <v>919</v>
          </cell>
          <cell r="D356" t="str">
            <v>Hertfordshire</v>
          </cell>
          <cell r="E356">
            <v>2994</v>
          </cell>
          <cell r="F356" t="str">
            <v>Julie McDowall</v>
          </cell>
          <cell r="G356" t="str">
            <v>Hartsfield JMI School</v>
          </cell>
          <cell r="H356" t="str">
            <v>East of England</v>
          </cell>
          <cell r="I356" t="str">
            <v>Clothall Road</v>
          </cell>
          <cell r="L356" t="str">
            <v>Baldock</v>
          </cell>
          <cell r="M356" t="str">
            <v>Hertfordshire</v>
          </cell>
          <cell r="N356" t="str">
            <v>SG7 6PB</v>
          </cell>
          <cell r="O356" t="str">
            <v>ianjknighton@aol.com (Chair of Govs)</v>
          </cell>
          <cell r="P356">
            <v>40927</v>
          </cell>
        </row>
        <row r="357">
          <cell r="A357">
            <v>8812297</v>
          </cell>
          <cell r="B357">
            <v>114817</v>
          </cell>
          <cell r="C357">
            <v>881</v>
          </cell>
          <cell r="D357" t="str">
            <v>Essex</v>
          </cell>
          <cell r="E357">
            <v>2297</v>
          </cell>
          <cell r="F357" t="str">
            <v>Claire Ivie</v>
          </cell>
          <cell r="G357" t="str">
            <v>St Michael's Primary School and Nursery, Colchester</v>
          </cell>
          <cell r="H357" t="str">
            <v>East of England</v>
          </cell>
          <cell r="I357" t="str">
            <v>Camulodunum Way</v>
          </cell>
          <cell r="J357" t="str">
            <v>Berechurch Hall Road</v>
          </cell>
          <cell r="L357" t="str">
            <v>Colchester</v>
          </cell>
          <cell r="M357" t="str">
            <v>Essex</v>
          </cell>
          <cell r="N357" t="str">
            <v>CO2 9RA</v>
          </cell>
          <cell r="O357" t="str">
            <v>gail.thomas33@btinternet.com</v>
          </cell>
        </row>
        <row r="358">
          <cell r="A358">
            <v>8914452</v>
          </cell>
          <cell r="B358">
            <v>122882</v>
          </cell>
          <cell r="C358">
            <v>891</v>
          </cell>
          <cell r="D358" t="str">
            <v>Nottinghamshire</v>
          </cell>
          <cell r="E358">
            <v>4452</v>
          </cell>
          <cell r="F358" t="str">
            <v>Louise Green</v>
          </cell>
          <cell r="G358" t="str">
            <v>Tuxford School</v>
          </cell>
          <cell r="H358" t="str">
            <v>East Midlands</v>
          </cell>
          <cell r="I358" t="str">
            <v>Marnham Road</v>
          </cell>
          <cell r="K358" t="str">
            <v>Tuxford</v>
          </cell>
          <cell r="L358" t="str">
            <v>Newark</v>
          </cell>
          <cell r="M358" t="str">
            <v>Nottinghamshire</v>
          </cell>
          <cell r="N358" t="str">
            <v>NG22 0JH</v>
          </cell>
          <cell r="O358" t="str">
            <v xml:space="preserve"> chris.pickering@tuxford-comp.notts.sch.uk</v>
          </cell>
          <cell r="P358">
            <v>40358</v>
          </cell>
        </row>
        <row r="359">
          <cell r="A359">
            <v>9253506</v>
          </cell>
          <cell r="B359">
            <v>134868</v>
          </cell>
          <cell r="C359">
            <v>925</v>
          </cell>
          <cell r="D359" t="str">
            <v>Lincolnshire</v>
          </cell>
          <cell r="E359">
            <v>3506</v>
          </cell>
          <cell r="F359" t="str">
            <v>Grant Dyson</v>
          </cell>
          <cell r="G359" t="str">
            <v>Witham St Hughs Primary School</v>
          </cell>
          <cell r="H359" t="str">
            <v>East Midlands</v>
          </cell>
          <cell r="I359" t="str">
            <v>Muntjac Way</v>
          </cell>
          <cell r="J359" t="str">
            <v>Witham St Hughs</v>
          </cell>
          <cell r="L359" t="str">
            <v>Lincoln</v>
          </cell>
          <cell r="M359" t="str">
            <v>Lincolnshire</v>
          </cell>
          <cell r="N359" t="str">
            <v>LN6 9WF</v>
          </cell>
          <cell r="O359" t="str">
            <v>Neil.Spencelayh@witham-st-hughs.lincs.sch.uk</v>
          </cell>
          <cell r="P359">
            <v>40938</v>
          </cell>
        </row>
        <row r="360">
          <cell r="A360">
            <v>9382000</v>
          </cell>
          <cell r="B360">
            <v>125816</v>
          </cell>
          <cell r="C360">
            <v>938</v>
          </cell>
          <cell r="D360" t="str">
            <v>West Sussex</v>
          </cell>
          <cell r="E360">
            <v>2000</v>
          </cell>
          <cell r="F360" t="str">
            <v>Sarah Mitchell</v>
          </cell>
          <cell r="G360" t="str">
            <v>Aldingbourne Primary School</v>
          </cell>
          <cell r="H360" t="str">
            <v>South East</v>
          </cell>
          <cell r="I360" t="str">
            <v>Westergate Street</v>
          </cell>
          <cell r="J360" t="str">
            <v>Westergate</v>
          </cell>
          <cell r="L360" t="str">
            <v>Chichester</v>
          </cell>
          <cell r="M360" t="str">
            <v>West Sussex</v>
          </cell>
          <cell r="N360" t="str">
            <v>PO20 3QR</v>
          </cell>
          <cell r="O360" t="str">
            <v>head@aldingbourne.w-sussex.sch.uk</v>
          </cell>
        </row>
        <row r="361">
          <cell r="A361">
            <v>3325400</v>
          </cell>
          <cell r="B361">
            <v>103870</v>
          </cell>
          <cell r="C361">
            <v>332</v>
          </cell>
          <cell r="D361" t="str">
            <v>Dudley</v>
          </cell>
          <cell r="E361">
            <v>5400</v>
          </cell>
          <cell r="F361" t="str">
            <v>Susan Shakespeare</v>
          </cell>
          <cell r="G361" t="str">
            <v>Old Swinford Hospital (This school has boarding)</v>
          </cell>
          <cell r="H361" t="str">
            <v>West Midlands</v>
          </cell>
          <cell r="I361" t="str">
            <v>Heath Lane</v>
          </cell>
          <cell r="L361" t="str">
            <v>Stourbridge</v>
          </cell>
          <cell r="M361" t="str">
            <v>West Midlands</v>
          </cell>
          <cell r="N361" t="str">
            <v>DY8 1QX</v>
          </cell>
          <cell r="O361" t="str">
            <v>lroden@oshsch.com</v>
          </cell>
          <cell r="P361">
            <v>40735</v>
          </cell>
        </row>
        <row r="362">
          <cell r="A362">
            <v>3843019</v>
          </cell>
          <cell r="B362">
            <v>108250</v>
          </cell>
          <cell r="C362">
            <v>384</v>
          </cell>
          <cell r="D362" t="str">
            <v>Wakefield</v>
          </cell>
          <cell r="E362">
            <v>3019</v>
          </cell>
          <cell r="F362" t="str">
            <v>Frances Blow</v>
          </cell>
          <cell r="G362" t="str">
            <v>Crigglestone St James Church of England Voluntary Controlled Junior and Infant School</v>
          </cell>
          <cell r="H362" t="str">
            <v>Yorkshire and the Humber</v>
          </cell>
          <cell r="I362" t="str">
            <v>St James Way</v>
          </cell>
          <cell r="J362" t="str">
            <v>Crigglestone</v>
          </cell>
          <cell r="L362" t="str">
            <v>Wakefield</v>
          </cell>
          <cell r="M362" t="str">
            <v>West Yorkshire</v>
          </cell>
          <cell r="N362" t="str">
            <v>WF4 3HY</v>
          </cell>
          <cell r="O362" t="str">
            <v>headteacher@st-james.wakefield.sch.uk</v>
          </cell>
          <cell r="P362">
            <v>40949</v>
          </cell>
        </row>
        <row r="363">
          <cell r="A363">
            <v>8305405</v>
          </cell>
          <cell r="B363">
            <v>112990</v>
          </cell>
          <cell r="C363">
            <v>830</v>
          </cell>
          <cell r="D363" t="str">
            <v>Derbyshire</v>
          </cell>
          <cell r="E363">
            <v>5405</v>
          </cell>
          <cell r="F363" t="str">
            <v>Stephen Standret</v>
          </cell>
          <cell r="G363" t="str">
            <v>John Port School</v>
          </cell>
          <cell r="H363" t="str">
            <v>East Midlands</v>
          </cell>
          <cell r="I363" t="str">
            <v>Main Street</v>
          </cell>
          <cell r="J363" t="str">
            <v>Etwall</v>
          </cell>
          <cell r="L363" t="str">
            <v>Derby</v>
          </cell>
          <cell r="M363" t="str">
            <v>Derbyshire</v>
          </cell>
          <cell r="N363" t="str">
            <v>DE65 6LU</v>
          </cell>
          <cell r="O363" t="str">
            <v>wsh@johnport.derbyshire.sch.uk</v>
          </cell>
          <cell r="P363">
            <v>40550</v>
          </cell>
        </row>
        <row r="364">
          <cell r="A364">
            <v>8302062</v>
          </cell>
          <cell r="B364">
            <v>112523</v>
          </cell>
          <cell r="C364">
            <v>830</v>
          </cell>
          <cell r="D364" t="str">
            <v>Derbyshire</v>
          </cell>
          <cell r="E364">
            <v>2062</v>
          </cell>
          <cell r="F364" t="str">
            <v>Stephen Standret</v>
          </cell>
          <cell r="G364" t="str">
            <v>Harpur Hill Primary</v>
          </cell>
          <cell r="H364" t="str">
            <v>East Midlands</v>
          </cell>
          <cell r="I364" t="str">
            <v>Trent Avenue</v>
          </cell>
          <cell r="J364" t="str">
            <v>Harpur Hill</v>
          </cell>
          <cell r="L364" t="str">
            <v>Buxton</v>
          </cell>
          <cell r="M364" t="str">
            <v>Derbyshire</v>
          </cell>
          <cell r="N364" t="str">
            <v>SK17 9LP</v>
          </cell>
          <cell r="O364" t="str">
            <v>info@harpurhill.derbyshire.sch.uk</v>
          </cell>
        </row>
        <row r="365">
          <cell r="A365">
            <v>8522460</v>
          </cell>
          <cell r="B365">
            <v>116131</v>
          </cell>
          <cell r="C365">
            <v>852</v>
          </cell>
          <cell r="D365" t="str">
            <v>Southampton</v>
          </cell>
          <cell r="E365">
            <v>2460</v>
          </cell>
          <cell r="F365" t="str">
            <v>Amanda Barrett</v>
          </cell>
          <cell r="G365" t="str">
            <v>Kanes Hill Primary School</v>
          </cell>
          <cell r="H365" t="str">
            <v>South East</v>
          </cell>
          <cell r="I365" t="str">
            <v>Fairfax Court</v>
          </cell>
          <cell r="J365" t="str">
            <v>Hinkler Road</v>
          </cell>
          <cell r="K365" t="str">
            <v>Thornhill</v>
          </cell>
          <cell r="L365" t="str">
            <v>Southampton</v>
          </cell>
          <cell r="M365" t="str">
            <v>Hampshire</v>
          </cell>
          <cell r="N365" t="str">
            <v>SO19 6FW</v>
          </cell>
          <cell r="O365" t="str">
            <v>sallyanne.stanton@btinternet.com</v>
          </cell>
          <cell r="P365">
            <v>41205</v>
          </cell>
        </row>
        <row r="366">
          <cell r="A366">
            <v>3334023</v>
          </cell>
          <cell r="B366">
            <v>104006</v>
          </cell>
          <cell r="C366">
            <v>333</v>
          </cell>
          <cell r="D366" t="str">
            <v>Sandwell</v>
          </cell>
          <cell r="E366">
            <v>4023</v>
          </cell>
          <cell r="F366" t="str">
            <v>Hannah Copp</v>
          </cell>
          <cell r="G366" t="str">
            <v>Wodensborough Community Technology College</v>
          </cell>
          <cell r="H366" t="str">
            <v>West Midlands</v>
          </cell>
          <cell r="I366" t="str">
            <v>Hydes Road</v>
          </cell>
          <cell r="L366" t="str">
            <v>Wednesbury</v>
          </cell>
          <cell r="M366" t="str">
            <v>West Midlands</v>
          </cell>
          <cell r="N366" t="str">
            <v>WS10 0DR</v>
          </cell>
          <cell r="O366" t="str">
            <v>head@wodensborough.sandwell.sch.uk</v>
          </cell>
        </row>
        <row r="367">
          <cell r="A367">
            <v>9194067</v>
          </cell>
          <cell r="B367">
            <v>117519</v>
          </cell>
          <cell r="C367">
            <v>919</v>
          </cell>
          <cell r="D367" t="str">
            <v>Hertfordshire</v>
          </cell>
          <cell r="E367">
            <v>4067</v>
          </cell>
          <cell r="F367" t="str">
            <v>Beverley Samuel</v>
          </cell>
          <cell r="G367" t="str">
            <v>Simon Balle School</v>
          </cell>
          <cell r="H367" t="str">
            <v>East of England</v>
          </cell>
          <cell r="I367" t="str">
            <v>Mangrove Road</v>
          </cell>
          <cell r="L367" t="str">
            <v>Hertford</v>
          </cell>
          <cell r="M367" t="str">
            <v>Hertfordshire</v>
          </cell>
          <cell r="N367" t="str">
            <v>SG13 8AJ</v>
          </cell>
          <cell r="O367" t="str">
            <v>head@simonballe.herts.sch.uk</v>
          </cell>
          <cell r="P367">
            <v>40892</v>
          </cell>
        </row>
        <row r="368">
          <cell r="A368">
            <v>9252090</v>
          </cell>
          <cell r="B368">
            <v>120411</v>
          </cell>
          <cell r="C368">
            <v>925</v>
          </cell>
          <cell r="D368" t="str">
            <v>Lincolnshire</v>
          </cell>
          <cell r="E368">
            <v>2090</v>
          </cell>
          <cell r="F368" t="str">
            <v>Helen Whetter</v>
          </cell>
          <cell r="G368" t="str">
            <v>Gosberton CP School</v>
          </cell>
          <cell r="H368" t="str">
            <v>East Midlands</v>
          </cell>
          <cell r="I368" t="str">
            <v>High Street</v>
          </cell>
          <cell r="J368" t="str">
            <v>Gosberton</v>
          </cell>
          <cell r="L368" t="str">
            <v>Spalding</v>
          </cell>
          <cell r="M368" t="str">
            <v>Lincolnshire</v>
          </cell>
          <cell r="N368" t="str">
            <v>PE11 4NW</v>
          </cell>
          <cell r="O368" t="str">
            <v>carol.clare@phoenixfederation.co.uk</v>
          </cell>
          <cell r="P368">
            <v>41165</v>
          </cell>
        </row>
        <row r="369">
          <cell r="A369">
            <v>9375400</v>
          </cell>
          <cell r="B369">
            <v>125764</v>
          </cell>
          <cell r="C369">
            <v>937</v>
          </cell>
          <cell r="D369" t="str">
            <v>Warwickshire</v>
          </cell>
          <cell r="E369">
            <v>5400</v>
          </cell>
          <cell r="F369" t="str">
            <v>Sally Gardiner</v>
          </cell>
          <cell r="G369" t="str">
            <v xml:space="preserve">The Avon Valley School </v>
          </cell>
          <cell r="H369" t="str">
            <v>West Midlands</v>
          </cell>
          <cell r="I369" t="str">
            <v>Newbold Road</v>
          </cell>
          <cell r="J369" t="str">
            <v>Newbold-on-Avon</v>
          </cell>
          <cell r="L369" t="str">
            <v>Rugby</v>
          </cell>
          <cell r="M369" t="str">
            <v>Warwickshire</v>
          </cell>
          <cell r="N369" t="str">
            <v>CV21 1EH</v>
          </cell>
          <cell r="O369" t="str">
            <v>head@avonvalleyschool.org</v>
          </cell>
          <cell r="P369">
            <v>40795</v>
          </cell>
        </row>
        <row r="370">
          <cell r="A370">
            <v>8814333</v>
          </cell>
          <cell r="B370">
            <v>115219</v>
          </cell>
          <cell r="C370">
            <v>881</v>
          </cell>
          <cell r="D370" t="str">
            <v>Essex</v>
          </cell>
          <cell r="E370">
            <v>4333</v>
          </cell>
          <cell r="F370" t="str">
            <v>Claire Ivie</v>
          </cell>
          <cell r="G370" t="str">
            <v>Burnt Mill Comprehensive School</v>
          </cell>
          <cell r="H370" t="str">
            <v>East of England</v>
          </cell>
          <cell r="I370" t="str">
            <v>First Avenue</v>
          </cell>
          <cell r="L370" t="str">
            <v>Harlow</v>
          </cell>
          <cell r="M370" t="str">
            <v>Essex</v>
          </cell>
          <cell r="N370" t="str">
            <v>CM20 2NR</v>
          </cell>
          <cell r="O370" t="str">
            <v>millsh@burntmill.essex.sch.uk</v>
          </cell>
          <cell r="P370">
            <v>40673</v>
          </cell>
        </row>
        <row r="371">
          <cell r="A371">
            <v>8573119</v>
          </cell>
          <cell r="B371">
            <v>120184</v>
          </cell>
          <cell r="C371">
            <v>857</v>
          </cell>
          <cell r="D371" t="str">
            <v>Rutland</v>
          </cell>
          <cell r="E371">
            <v>3119</v>
          </cell>
          <cell r="F371" t="str">
            <v>Sue Harp</v>
          </cell>
          <cell r="G371" t="str">
            <v>Uppingham CofE Primary School</v>
          </cell>
          <cell r="H371" t="str">
            <v>East Midlands</v>
          </cell>
          <cell r="I371" t="str">
            <v>Belgrave Road</v>
          </cell>
          <cell r="J371" t="str">
            <v>Uppingham</v>
          </cell>
          <cell r="L371" t="str">
            <v>Oakham</v>
          </cell>
          <cell r="M371" t="str">
            <v>Rutland</v>
          </cell>
          <cell r="N371" t="str">
            <v>LE15 9RT</v>
          </cell>
          <cell r="O371" t="str">
            <v>head@uppingham.rutland.sch.uk</v>
          </cell>
        </row>
        <row r="372">
          <cell r="A372">
            <v>8854408</v>
          </cell>
          <cell r="B372">
            <v>116960</v>
          </cell>
          <cell r="C372">
            <v>885</v>
          </cell>
          <cell r="D372" t="str">
            <v>Worcestershire</v>
          </cell>
          <cell r="E372">
            <v>4408</v>
          </cell>
          <cell r="F372" t="str">
            <v>Carla Spink</v>
          </cell>
          <cell r="G372" t="str">
            <v>Blackminster Middle School</v>
          </cell>
          <cell r="H372" t="str">
            <v>West Midlands</v>
          </cell>
          <cell r="I372" t="str">
            <v>Station Road</v>
          </cell>
          <cell r="J372" t="str">
            <v>South Littleton</v>
          </cell>
          <cell r="L372" t="str">
            <v>Evesham</v>
          </cell>
          <cell r="M372" t="str">
            <v>Worcestershire</v>
          </cell>
          <cell r="N372" t="str">
            <v>WR11 8TG</v>
          </cell>
          <cell r="O372" t="str">
            <v>head@blackminster.worcs.sch.uk</v>
          </cell>
        </row>
        <row r="373">
          <cell r="A373">
            <v>9093360</v>
          </cell>
          <cell r="B373">
            <v>112319</v>
          </cell>
          <cell r="C373">
            <v>909</v>
          </cell>
          <cell r="D373" t="str">
            <v>Cumbria</v>
          </cell>
          <cell r="E373">
            <v>3360</v>
          </cell>
          <cell r="F373" t="str">
            <v>Elaine Howard</v>
          </cell>
          <cell r="G373" t="str">
            <v>Grasmere CofE Primary School</v>
          </cell>
          <cell r="H373" t="str">
            <v>North West</v>
          </cell>
          <cell r="I373" t="str">
            <v>Stock Lane</v>
          </cell>
          <cell r="J373" t="str">
            <v>Grasmere</v>
          </cell>
          <cell r="L373" t="str">
            <v>Ambleside</v>
          </cell>
          <cell r="M373" t="str">
            <v>Cumbria</v>
          </cell>
          <cell r="N373" t="str">
            <v>LA22 9SJ</v>
          </cell>
          <cell r="O373" t="str">
            <v>Admin@Grasmere.Cumbria.sch.uk</v>
          </cell>
          <cell r="P373">
            <v>40647</v>
          </cell>
        </row>
        <row r="374">
          <cell r="A374">
            <v>9262347</v>
          </cell>
          <cell r="B374">
            <v>120974</v>
          </cell>
          <cell r="C374">
            <v>926</v>
          </cell>
          <cell r="D374" t="str">
            <v>Norfolk</v>
          </cell>
          <cell r="E374">
            <v>2347</v>
          </cell>
          <cell r="F374" t="str">
            <v>Not yet assigned</v>
          </cell>
          <cell r="G374" t="str">
            <v>Alderman Swindell School</v>
          </cell>
          <cell r="H374" t="str">
            <v>East of England</v>
          </cell>
          <cell r="I374" t="str">
            <v>Beresford Road</v>
          </cell>
          <cell r="L374" t="str">
            <v>Great Yarmouth</v>
          </cell>
          <cell r="M374" t="str">
            <v>Norfolk</v>
          </cell>
          <cell r="N374" t="str">
            <v>NR30 4AB</v>
          </cell>
          <cell r="O374" t="str">
            <v>head@aldermanswindell.norfolk.sch.uk</v>
          </cell>
        </row>
        <row r="375">
          <cell r="A375">
            <v>9082743</v>
          </cell>
          <cell r="B375">
            <v>111980</v>
          </cell>
          <cell r="C375">
            <v>908</v>
          </cell>
          <cell r="D375" t="str">
            <v>Cornwall</v>
          </cell>
          <cell r="E375">
            <v>2743</v>
          </cell>
          <cell r="F375" t="str">
            <v>Tahamina Khan</v>
          </cell>
          <cell r="G375" t="str">
            <v>Trevithick Primary School</v>
          </cell>
          <cell r="H375" t="str">
            <v>South West</v>
          </cell>
          <cell r="I375" t="str">
            <v>Mount Pleasant Road</v>
          </cell>
          <cell r="L375" t="str">
            <v>Camborne</v>
          </cell>
          <cell r="M375" t="str">
            <v>Cornwall</v>
          </cell>
          <cell r="N375" t="str">
            <v>TR14 7RH</v>
          </cell>
          <cell r="O375" t="str">
            <v>head@trevithick.cornwall.sch.uk</v>
          </cell>
          <cell r="P375">
            <v>40533</v>
          </cell>
        </row>
        <row r="376">
          <cell r="A376">
            <v>9372627</v>
          </cell>
          <cell r="B376">
            <v>130888</v>
          </cell>
          <cell r="C376">
            <v>937</v>
          </cell>
          <cell r="D376" t="str">
            <v>Warwickshire</v>
          </cell>
          <cell r="E376">
            <v>2627</v>
          </cell>
          <cell r="F376" t="str">
            <v>Julia Waterhouse</v>
          </cell>
          <cell r="G376" t="str">
            <v>Newbold Riverside Primary School</v>
          </cell>
          <cell r="H376" t="str">
            <v>West Midlands</v>
          </cell>
          <cell r="I376" t="str">
            <v>Newbold Road</v>
          </cell>
          <cell r="J376" t="str">
            <v>Newbold-on-Avon</v>
          </cell>
          <cell r="L376" t="str">
            <v>Rugby</v>
          </cell>
          <cell r="M376" t="str">
            <v>Warwickshire</v>
          </cell>
          <cell r="N376" t="str">
            <v>CV21 1EH</v>
          </cell>
          <cell r="O376" t="str">
            <v>admin2627@we-learn.com</v>
          </cell>
        </row>
        <row r="377">
          <cell r="A377">
            <v>3302197</v>
          </cell>
          <cell r="B377">
            <v>103270</v>
          </cell>
          <cell r="C377">
            <v>330</v>
          </cell>
          <cell r="D377" t="str">
            <v>Birmingham</v>
          </cell>
          <cell r="E377">
            <v>2197</v>
          </cell>
          <cell r="F377" t="str">
            <v>Ruth Pallister</v>
          </cell>
          <cell r="G377" t="str">
            <v>Tindal Junior and Infant School</v>
          </cell>
          <cell r="H377" t="str">
            <v>West Midlands</v>
          </cell>
          <cell r="I377" t="str">
            <v>Tindal Street</v>
          </cell>
          <cell r="J377" t="str">
            <v>Balsall Heath</v>
          </cell>
          <cell r="L377" t="str">
            <v>Birmingham</v>
          </cell>
          <cell r="M377" t="str">
            <v>West Midlands</v>
          </cell>
          <cell r="N377" t="str">
            <v>B12 9QS</v>
          </cell>
        </row>
        <row r="378">
          <cell r="A378">
            <v>8862261</v>
          </cell>
          <cell r="B378">
            <v>118358</v>
          </cell>
          <cell r="C378">
            <v>886</v>
          </cell>
          <cell r="D378" t="str">
            <v>Kent</v>
          </cell>
          <cell r="E378">
            <v>2261</v>
          </cell>
          <cell r="F378" t="str">
            <v>Tony Dunne</v>
          </cell>
          <cell r="G378" t="str">
            <v>Hersden Community Primary School</v>
          </cell>
          <cell r="H378" t="str">
            <v>South East</v>
          </cell>
          <cell r="I378" t="str">
            <v>Shaftesbury Road</v>
          </cell>
          <cell r="J378" t="str">
            <v>Hersden</v>
          </cell>
          <cell r="L378" t="str">
            <v>Canterbury</v>
          </cell>
          <cell r="M378" t="str">
            <v>Kent</v>
          </cell>
          <cell r="N378" t="str">
            <v>CT3 4HS</v>
          </cell>
          <cell r="O378" t="str">
            <v>headteacher@sturry.kent.sch.uk</v>
          </cell>
        </row>
        <row r="379">
          <cell r="A379">
            <v>3303401</v>
          </cell>
          <cell r="B379">
            <v>103473</v>
          </cell>
          <cell r="C379">
            <v>330</v>
          </cell>
          <cell r="D379" t="str">
            <v>Birmingham</v>
          </cell>
          <cell r="E379">
            <v>3401</v>
          </cell>
          <cell r="F379" t="str">
            <v>Ruth Pallister</v>
          </cell>
          <cell r="G379" t="str">
            <v>St Joseph's RC Primary School</v>
          </cell>
          <cell r="H379" t="str">
            <v>West Midlands</v>
          </cell>
          <cell r="I379" t="str">
            <v>Little Sutton Lane</v>
          </cell>
          <cell r="L379" t="str">
            <v>Sutton Coldfield</v>
          </cell>
          <cell r="M379" t="str">
            <v>West Midlands</v>
          </cell>
          <cell r="N379" t="str">
            <v>B75 6PB</v>
          </cell>
          <cell r="O379" t="str">
            <v>_x000D_
g.ohara@stjosb75.bham.sch.uk</v>
          </cell>
          <cell r="P379">
            <v>41243</v>
          </cell>
        </row>
        <row r="380">
          <cell r="A380">
            <v>8357008</v>
          </cell>
          <cell r="B380">
            <v>113958</v>
          </cell>
          <cell r="C380">
            <v>835</v>
          </cell>
          <cell r="D380" t="str">
            <v>Dorset</v>
          </cell>
          <cell r="E380">
            <v>7008</v>
          </cell>
          <cell r="F380" t="str">
            <v>Maria Whiting</v>
          </cell>
          <cell r="G380" t="str">
            <v>Wyvern School</v>
          </cell>
          <cell r="H380" t="str">
            <v>South West</v>
          </cell>
          <cell r="I380" t="str">
            <v>Dorchester Road</v>
          </cell>
          <cell r="L380" t="str">
            <v>Weymouth</v>
          </cell>
          <cell r="M380" t="str">
            <v>Dorset</v>
          </cell>
          <cell r="N380" t="str">
            <v>DT3 5AL</v>
          </cell>
          <cell r="O380" t="str">
            <v>shoxey@wyvern.dorset.sch.uk</v>
          </cell>
          <cell r="P380">
            <v>41019</v>
          </cell>
        </row>
        <row r="381">
          <cell r="A381">
            <v>8514303</v>
          </cell>
          <cell r="B381">
            <v>116463</v>
          </cell>
          <cell r="C381">
            <v>851</v>
          </cell>
          <cell r="D381" t="str">
            <v>Portsmouth</v>
          </cell>
          <cell r="E381">
            <v>4303</v>
          </cell>
          <cell r="F381" t="str">
            <v>Eric Mcewen</v>
          </cell>
          <cell r="G381" t="str">
            <v>Mayfield school</v>
          </cell>
          <cell r="H381" t="str">
            <v>South East</v>
          </cell>
          <cell r="I381" t="str">
            <v>Mayfield Road</v>
          </cell>
          <cell r="J381" t="str">
            <v>North End</v>
          </cell>
          <cell r="L381" t="str">
            <v>Portsmouth</v>
          </cell>
          <cell r="M381" t="str">
            <v>Hampshire</v>
          </cell>
          <cell r="N381" t="str">
            <v>PO2 0RH</v>
          </cell>
          <cell r="O381" t="str">
            <v>trimmer@mayfield.portsmouth.sch.uk</v>
          </cell>
        </row>
        <row r="382">
          <cell r="A382">
            <v>9284550</v>
          </cell>
          <cell r="B382">
            <v>122094</v>
          </cell>
          <cell r="C382">
            <v>928</v>
          </cell>
          <cell r="D382" t="str">
            <v>Northamptonshire</v>
          </cell>
          <cell r="E382">
            <v>4550</v>
          </cell>
          <cell r="F382" t="str">
            <v>Stephen Standret</v>
          </cell>
          <cell r="G382" t="str">
            <v>Magdalen College School</v>
          </cell>
          <cell r="H382" t="str">
            <v>East Midlands</v>
          </cell>
          <cell r="I382" t="str">
            <v>Waynflete Avenue</v>
          </cell>
          <cell r="L382" t="str">
            <v>Brackley</v>
          </cell>
          <cell r="M382" t="str">
            <v>Northamptonshire</v>
          </cell>
          <cell r="N382" t="str">
            <v>NN13 6FB</v>
          </cell>
          <cell r="O382" t="str">
            <v>ianc6@magdalen.northants.sch.uk</v>
          </cell>
          <cell r="P382">
            <v>40939</v>
          </cell>
        </row>
        <row r="383">
          <cell r="A383">
            <v>9334201</v>
          </cell>
          <cell r="B383">
            <v>123864</v>
          </cell>
          <cell r="C383">
            <v>933</v>
          </cell>
          <cell r="D383" t="str">
            <v>Somerset</v>
          </cell>
          <cell r="E383">
            <v>4201</v>
          </cell>
          <cell r="F383" t="str">
            <v>Susan Phillips</v>
          </cell>
          <cell r="G383" t="str">
            <v>Westfield Community School</v>
          </cell>
          <cell r="H383" t="str">
            <v>South West</v>
          </cell>
          <cell r="I383" t="str">
            <v>Stiby Road</v>
          </cell>
          <cell r="L383" t="str">
            <v>Yeovil</v>
          </cell>
          <cell r="M383" t="str">
            <v>Somerset</v>
          </cell>
          <cell r="N383" t="str">
            <v>BA21 3EP</v>
          </cell>
          <cell r="O383" t="str">
            <v>chunt1@educ.somerset.gov.uk</v>
          </cell>
          <cell r="P383">
            <v>40632</v>
          </cell>
        </row>
        <row r="384">
          <cell r="A384">
            <v>8854422</v>
          </cell>
          <cell r="B384">
            <v>116971</v>
          </cell>
          <cell r="C384">
            <v>885</v>
          </cell>
          <cell r="D384" t="str">
            <v>Worcestershire</v>
          </cell>
          <cell r="E384">
            <v>4422</v>
          </cell>
          <cell r="F384" t="str">
            <v>Nicole Felicien</v>
          </cell>
          <cell r="G384" t="str">
            <v>Redditch, Ridgeway Middle School</v>
          </cell>
          <cell r="H384" t="str">
            <v>West Midlands</v>
          </cell>
          <cell r="I384" t="str">
            <v>Evesham Road</v>
          </cell>
          <cell r="J384" t="str">
            <v>Astwood Bank</v>
          </cell>
          <cell r="L384" t="str">
            <v>Redditch</v>
          </cell>
          <cell r="M384" t="str">
            <v>Worcestershire</v>
          </cell>
          <cell r="N384" t="str">
            <v>B96 6BD</v>
          </cell>
          <cell r="O384" t="str">
            <v>mrb76@ridgeway.worcs.sch.uk</v>
          </cell>
          <cell r="P384">
            <v>41053</v>
          </cell>
        </row>
        <row r="385">
          <cell r="A385">
            <v>8553035</v>
          </cell>
          <cell r="B385">
            <v>120130</v>
          </cell>
          <cell r="C385">
            <v>855</v>
          </cell>
          <cell r="D385" t="str">
            <v>Leicestershire</v>
          </cell>
          <cell r="E385">
            <v>3035</v>
          </cell>
          <cell r="F385" t="str">
            <v>Stephen Standret</v>
          </cell>
          <cell r="G385" t="str">
            <v>Frisby Church of England Primary School</v>
          </cell>
          <cell r="H385" t="str">
            <v>East Midlands</v>
          </cell>
          <cell r="I385" t="str">
            <v>Hall Orchard Lane</v>
          </cell>
          <cell r="J385" t="str">
            <v>Frisby-on-the-Wreake</v>
          </cell>
          <cell r="L385" t="str">
            <v>Melton Mowbray</v>
          </cell>
          <cell r="M385" t="str">
            <v>Leicestershire</v>
          </cell>
          <cell r="N385" t="str">
            <v>LE14 2NH</v>
          </cell>
          <cell r="O385" t="str">
            <v>stuartn6@frisby.leics.sch.uk</v>
          </cell>
          <cell r="P385">
            <v>41228</v>
          </cell>
        </row>
        <row r="386">
          <cell r="A386">
            <v>8134700</v>
          </cell>
          <cell r="B386">
            <v>118119</v>
          </cell>
          <cell r="C386">
            <v>813</v>
          </cell>
          <cell r="D386" t="str">
            <v>North Lincolnshire</v>
          </cell>
          <cell r="E386">
            <v>4700</v>
          </cell>
          <cell r="F386" t="str">
            <v>Nick Monton</v>
          </cell>
          <cell r="G386" t="str">
            <v>St Bedes Catholic School</v>
          </cell>
          <cell r="H386" t="str">
            <v>Yorkshire and the Humber</v>
          </cell>
          <cell r="I386" t="str">
            <v>Collum Avenue</v>
          </cell>
          <cell r="L386" t="str">
            <v>Scunthorpe</v>
          </cell>
          <cell r="M386" t="str">
            <v>Lincolnshire</v>
          </cell>
          <cell r="N386" t="str">
            <v>DN16 2TF</v>
          </cell>
          <cell r="O386" t="str">
            <v>mtravers@stbedesscunthorpe.org.uk</v>
          </cell>
          <cell r="P386">
            <v>40872</v>
          </cell>
        </row>
        <row r="387">
          <cell r="A387">
            <v>9193016</v>
          </cell>
          <cell r="B387">
            <v>117394</v>
          </cell>
          <cell r="C387">
            <v>919</v>
          </cell>
          <cell r="D387" t="str">
            <v>Hertfordshire</v>
          </cell>
          <cell r="E387">
            <v>3016</v>
          </cell>
          <cell r="F387" t="str">
            <v>Joe Farrell</v>
          </cell>
          <cell r="G387" t="str">
            <v>Furneux Pelham Church of England School</v>
          </cell>
          <cell r="H387" t="str">
            <v>East of England</v>
          </cell>
          <cell r="I387" t="str">
            <v>Furneux Pelham</v>
          </cell>
          <cell r="L387" t="str">
            <v>Buntingford</v>
          </cell>
          <cell r="M387" t="str">
            <v>Hertfordshire</v>
          </cell>
          <cell r="N387" t="str">
            <v>SG9 0LH</v>
          </cell>
          <cell r="O387" t="str">
            <v>head@furneuxp.herts.sch.uk</v>
          </cell>
        </row>
        <row r="388">
          <cell r="A388">
            <v>9365406</v>
          </cell>
          <cell r="B388">
            <v>125306</v>
          </cell>
          <cell r="C388">
            <v>936</v>
          </cell>
          <cell r="D388" t="str">
            <v>Surrey</v>
          </cell>
          <cell r="E388">
            <v>5406</v>
          </cell>
          <cell r="F388" t="str">
            <v>Tony Dunne</v>
          </cell>
          <cell r="G388" t="str">
            <v>The Beacon School</v>
          </cell>
          <cell r="H388" t="str">
            <v>South East</v>
          </cell>
          <cell r="I388" t="str">
            <v>Picquets Way</v>
          </cell>
          <cell r="L388" t="str">
            <v>Banstead</v>
          </cell>
          <cell r="M388" t="str">
            <v>Surrey</v>
          </cell>
          <cell r="N388" t="str">
            <v>SM7 1AG</v>
          </cell>
          <cell r="O388" t="str">
            <v xml:space="preserve"> lcroke@beacon.surrey.sch.uk</v>
          </cell>
          <cell r="P388">
            <v>40673</v>
          </cell>
        </row>
        <row r="389">
          <cell r="A389">
            <v>3052000</v>
          </cell>
          <cell r="B389">
            <v>101585</v>
          </cell>
          <cell r="C389">
            <v>305</v>
          </cell>
          <cell r="D389" t="str">
            <v>Bromley</v>
          </cell>
          <cell r="E389">
            <v>2000</v>
          </cell>
          <cell r="F389" t="str">
            <v>Helen Fisher</v>
          </cell>
          <cell r="G389" t="str">
            <v>Alexandra Junior School</v>
          </cell>
          <cell r="H389" t="str">
            <v>London</v>
          </cell>
          <cell r="I389" t="str">
            <v>Cator Road</v>
          </cell>
          <cell r="J389" t="str">
            <v>Sydenham</v>
          </cell>
          <cell r="L389" t="str">
            <v>London</v>
          </cell>
          <cell r="N389" t="str">
            <v>SE26 5DS</v>
          </cell>
          <cell r="O389" t="str">
            <v>claudette.maragh@alexandra-jun.bromley.sch.uk</v>
          </cell>
        </row>
        <row r="390">
          <cell r="A390">
            <v>8903814</v>
          </cell>
          <cell r="B390">
            <v>134743</v>
          </cell>
          <cell r="C390">
            <v>890</v>
          </cell>
          <cell r="D390" t="str">
            <v>Blackpool</v>
          </cell>
          <cell r="E390">
            <v>3814</v>
          </cell>
          <cell r="F390" t="str">
            <v>Viv Clutton</v>
          </cell>
          <cell r="G390" t="str">
            <v>Devonshire Primary School</v>
          </cell>
          <cell r="H390" t="str">
            <v>North West</v>
          </cell>
          <cell r="I390" t="str">
            <v>Devonshire Road</v>
          </cell>
          <cell r="L390" t="str">
            <v>Blackpool</v>
          </cell>
          <cell r="M390" t="str">
            <v>Lancashire</v>
          </cell>
          <cell r="N390" t="str">
            <v>FY3 8AF</v>
          </cell>
          <cell r="O390" t="str">
            <v>neil.hodgkins@devonshire.blackpool.sch.uk</v>
          </cell>
          <cell r="P390">
            <v>41228</v>
          </cell>
        </row>
        <row r="391">
          <cell r="A391">
            <v>3334110</v>
          </cell>
          <cell r="B391">
            <v>104011</v>
          </cell>
          <cell r="C391">
            <v>333</v>
          </cell>
          <cell r="D391" t="str">
            <v>Sandwell</v>
          </cell>
          <cell r="E391">
            <v>4110</v>
          </cell>
          <cell r="F391" t="str">
            <v>Christine West</v>
          </cell>
          <cell r="G391" t="str">
            <v>Oldbury College of Sport</v>
          </cell>
          <cell r="H391" t="str">
            <v>West Midlands</v>
          </cell>
          <cell r="I391" t="str">
            <v>Pound Road</v>
          </cell>
          <cell r="L391" t="str">
            <v>Oldbury</v>
          </cell>
          <cell r="M391" t="str">
            <v>West Midlands</v>
          </cell>
          <cell r="N391" t="str">
            <v>B68 8NE</v>
          </cell>
          <cell r="O391" t="str">
            <v>johnamartinis@yahoo.co.uk</v>
          </cell>
          <cell r="P391">
            <v>40605</v>
          </cell>
        </row>
        <row r="392">
          <cell r="A392">
            <v>8852078</v>
          </cell>
          <cell r="B392">
            <v>116688</v>
          </cell>
          <cell r="C392">
            <v>885</v>
          </cell>
          <cell r="D392" t="str">
            <v>Worcestershire</v>
          </cell>
          <cell r="E392">
            <v>2078</v>
          </cell>
          <cell r="F392" t="str">
            <v>Alison Middleton</v>
          </cell>
          <cell r="G392" t="str">
            <v>Honeybourne First School</v>
          </cell>
          <cell r="H392" t="str">
            <v>West Midlands</v>
          </cell>
          <cell r="I392" t="str">
            <v>School Street</v>
          </cell>
          <cell r="J392" t="str">
            <v>Honeybourne</v>
          </cell>
          <cell r="L392" t="str">
            <v>Evesham</v>
          </cell>
          <cell r="M392" t="str">
            <v>Worcestershire</v>
          </cell>
          <cell r="N392" t="str">
            <v>WR11 7PJ</v>
          </cell>
          <cell r="O392" t="str">
            <v>head@honeybourne.worcs.sch.uk</v>
          </cell>
          <cell r="P392">
            <v>41257</v>
          </cell>
        </row>
        <row r="393">
          <cell r="A393">
            <v>8557002</v>
          </cell>
          <cell r="B393">
            <v>120348</v>
          </cell>
          <cell r="C393">
            <v>855</v>
          </cell>
          <cell r="D393" t="str">
            <v>Leicestershire</v>
          </cell>
          <cell r="E393">
            <v>7002</v>
          </cell>
          <cell r="F393" t="str">
            <v>Not yet assigned</v>
          </cell>
          <cell r="G393" t="str">
            <v>Maplewell Hall School</v>
          </cell>
          <cell r="H393" t="str">
            <v>East Midlands</v>
          </cell>
          <cell r="I393" t="str">
            <v>Maplewell Road</v>
          </cell>
          <cell r="J393" t="str">
            <v>Woodhouse Eaves</v>
          </cell>
          <cell r="L393" t="str">
            <v>Loughborough</v>
          </cell>
          <cell r="M393" t="str">
            <v>Leicestershire</v>
          </cell>
          <cell r="N393" t="str">
            <v>LE12 8QY</v>
          </cell>
          <cell r="O393" t="str">
            <v>stindal@maplewell.leics.sch.uk</v>
          </cell>
        </row>
        <row r="394">
          <cell r="A394">
            <v>8694052</v>
          </cell>
          <cell r="B394">
            <v>110063</v>
          </cell>
          <cell r="C394">
            <v>869</v>
          </cell>
          <cell r="D394" t="str">
            <v>West Berkshire</v>
          </cell>
          <cell r="E394">
            <v>4052</v>
          </cell>
          <cell r="F394" t="str">
            <v>Darren Francis</v>
          </cell>
          <cell r="G394" t="str">
            <v>Little Heath School</v>
          </cell>
          <cell r="H394" t="str">
            <v>South East</v>
          </cell>
          <cell r="I394" t="str">
            <v>Little Heath Road</v>
          </cell>
          <cell r="J394" t="str">
            <v>Tilehurst</v>
          </cell>
          <cell r="L394" t="str">
            <v>Reading</v>
          </cell>
          <cell r="M394" t="str">
            <v>Berkshire</v>
          </cell>
          <cell r="N394" t="str">
            <v>RG31 5TY</v>
          </cell>
          <cell r="O394" t="str">
            <v>dramsden@westberks.org</v>
          </cell>
        </row>
        <row r="395">
          <cell r="A395">
            <v>8865416</v>
          </cell>
          <cell r="B395">
            <v>118888</v>
          </cell>
          <cell r="C395">
            <v>886</v>
          </cell>
          <cell r="D395" t="str">
            <v>Kent</v>
          </cell>
          <cell r="E395">
            <v>5416</v>
          </cell>
          <cell r="F395" t="str">
            <v>Susan Shakespeare</v>
          </cell>
          <cell r="G395" t="str">
            <v>Cranbrook School  this school has boarding</v>
          </cell>
          <cell r="H395" t="str">
            <v>South East</v>
          </cell>
          <cell r="I395" t="str">
            <v>Waterloo Road</v>
          </cell>
          <cell r="L395" t="str">
            <v>Cranbrook</v>
          </cell>
          <cell r="M395" t="str">
            <v>Kent</v>
          </cell>
          <cell r="N395" t="str">
            <v>TN17 3JD</v>
          </cell>
          <cell r="O395" t="str">
            <v>dalya@cranbrook.kent.sch.uk</v>
          </cell>
          <cell r="P395">
            <v>40715</v>
          </cell>
        </row>
        <row r="396">
          <cell r="A396">
            <v>8552068</v>
          </cell>
          <cell r="B396">
            <v>119936</v>
          </cell>
          <cell r="C396">
            <v>855</v>
          </cell>
          <cell r="D396" t="str">
            <v>Leicestershire</v>
          </cell>
          <cell r="E396">
            <v>2068</v>
          </cell>
          <cell r="F396" t="str">
            <v>Sue Harp</v>
          </cell>
          <cell r="G396" t="str">
            <v>Little Bowden School</v>
          </cell>
          <cell r="H396" t="str">
            <v>East Midlands</v>
          </cell>
          <cell r="I396" t="str">
            <v>Scotland Road</v>
          </cell>
          <cell r="J396" t="str">
            <v>Little Bowden</v>
          </cell>
          <cell r="L396" t="str">
            <v>Market Harborough</v>
          </cell>
          <cell r="M396" t="str">
            <v>Leicestershire</v>
          </cell>
          <cell r="N396" t="str">
            <v>LE16 8AY</v>
          </cell>
        </row>
        <row r="397">
          <cell r="A397">
            <v>8507043</v>
          </cell>
          <cell r="B397">
            <v>116626</v>
          </cell>
          <cell r="C397">
            <v>850</v>
          </cell>
          <cell r="D397" t="str">
            <v>Hampshire</v>
          </cell>
          <cell r="E397">
            <v>7043</v>
          </cell>
          <cell r="F397" t="str">
            <v>Gabriela Grimley</v>
          </cell>
          <cell r="G397" t="str">
            <v>Dove House School</v>
          </cell>
          <cell r="H397" t="str">
            <v>South East</v>
          </cell>
          <cell r="I397" t="str">
            <v>Sutton Road</v>
          </cell>
          <cell r="L397" t="str">
            <v>Basingstoke</v>
          </cell>
          <cell r="M397" t="str">
            <v>Hampshire</v>
          </cell>
          <cell r="N397" t="str">
            <v>RG21 5SU</v>
          </cell>
          <cell r="O397" t="str">
            <v>colin.house@dovehouse.hants.sch.uk</v>
          </cell>
          <cell r="P397">
            <v>40574</v>
          </cell>
        </row>
        <row r="398">
          <cell r="A398">
            <v>9165216</v>
          </cell>
          <cell r="B398">
            <v>115746</v>
          </cell>
          <cell r="C398">
            <v>916</v>
          </cell>
          <cell r="D398" t="str">
            <v>Gloucestershire</v>
          </cell>
          <cell r="E398">
            <v>5216</v>
          </cell>
          <cell r="F398" t="str">
            <v>Lilian Da Cunha</v>
          </cell>
          <cell r="G398" t="str">
            <v>Severnbanks Primary School</v>
          </cell>
          <cell r="H398" t="str">
            <v>South West</v>
          </cell>
          <cell r="I398" t="str">
            <v>Naas Lane</v>
          </cell>
          <cell r="L398" t="str">
            <v>Lydney</v>
          </cell>
          <cell r="M398" t="str">
            <v>Gloucestershire</v>
          </cell>
          <cell r="N398" t="str">
            <v>GL15 5AU</v>
          </cell>
          <cell r="O398" t="str">
            <v>head@severnbanks.gloucs.sch.uk</v>
          </cell>
          <cell r="P398">
            <v>41182</v>
          </cell>
        </row>
        <row r="399">
          <cell r="A399">
            <v>9095414</v>
          </cell>
          <cell r="B399">
            <v>112441</v>
          </cell>
          <cell r="C399">
            <v>909</v>
          </cell>
          <cell r="D399" t="str">
            <v>Cumbria</v>
          </cell>
          <cell r="E399">
            <v>5414</v>
          </cell>
          <cell r="F399" t="str">
            <v>Susan Shakespeare</v>
          </cell>
          <cell r="G399" t="str">
            <v>Keswick School with boarding</v>
          </cell>
          <cell r="H399" t="str">
            <v>North West</v>
          </cell>
          <cell r="I399" t="str">
            <v>Vicarage Hill</v>
          </cell>
          <cell r="L399" t="str">
            <v>Keswick</v>
          </cell>
          <cell r="M399" t="str">
            <v>Cumbria</v>
          </cell>
          <cell r="N399" t="str">
            <v>CA12 5QB</v>
          </cell>
          <cell r="O399" t="str">
            <v>mikechapman@keswick.cumbria.sch.uk</v>
          </cell>
          <cell r="P399">
            <v>40640</v>
          </cell>
        </row>
        <row r="400">
          <cell r="A400">
            <v>3714040</v>
          </cell>
          <cell r="B400">
            <v>106795</v>
          </cell>
          <cell r="C400">
            <v>371</v>
          </cell>
          <cell r="D400" t="str">
            <v>Doncaster</v>
          </cell>
          <cell r="E400">
            <v>4040</v>
          </cell>
          <cell r="F400" t="str">
            <v>Glyn Newton</v>
          </cell>
          <cell r="G400" t="str">
            <v>Hungerhill School A Specialist Centre for Science, Mathematics and Computing</v>
          </cell>
          <cell r="H400" t="str">
            <v>Yorkshire and the Humber</v>
          </cell>
          <cell r="I400" t="str">
            <v>Hungerhill Lane</v>
          </cell>
          <cell r="J400" t="str">
            <v>Edenthorpe</v>
          </cell>
          <cell r="L400" t="str">
            <v>Doncaster</v>
          </cell>
          <cell r="M400" t="str">
            <v>South Yorkshire</v>
          </cell>
          <cell r="N400" t="str">
            <v>DN3 2JY</v>
          </cell>
          <cell r="O400" t="str">
            <v>wakeling.g@hungerhillschool.com</v>
          </cell>
          <cell r="P400">
            <v>40837</v>
          </cell>
        </row>
        <row r="401">
          <cell r="A401">
            <v>9084163</v>
          </cell>
          <cell r="B401">
            <v>112057</v>
          </cell>
          <cell r="C401">
            <v>908</v>
          </cell>
          <cell r="D401" t="str">
            <v>Cornwall</v>
          </cell>
          <cell r="E401">
            <v>4163</v>
          </cell>
          <cell r="F401" t="str">
            <v>Tahamina Khan</v>
          </cell>
          <cell r="G401" t="str">
            <v>Pool Business and Enterprise College</v>
          </cell>
          <cell r="H401" t="str">
            <v>South West</v>
          </cell>
          <cell r="I401" t="str">
            <v>Church Road</v>
          </cell>
          <cell r="J401" t="str">
            <v>Pool</v>
          </cell>
          <cell r="L401" t="str">
            <v>Redruth</v>
          </cell>
          <cell r="M401" t="str">
            <v>Cornwall</v>
          </cell>
          <cell r="N401" t="str">
            <v>TR15 3PZ</v>
          </cell>
          <cell r="O401" t="str">
            <v>zh@pool.cornwall.sch.uk</v>
          </cell>
          <cell r="P401">
            <v>40457</v>
          </cell>
        </row>
        <row r="402">
          <cell r="A402">
            <v>8862595</v>
          </cell>
          <cell r="B402">
            <v>118529</v>
          </cell>
          <cell r="C402">
            <v>886</v>
          </cell>
          <cell r="D402" t="str">
            <v>Kent</v>
          </cell>
          <cell r="E402">
            <v>2595</v>
          </cell>
          <cell r="F402" t="str">
            <v>Maryam Jabbari</v>
          </cell>
          <cell r="G402" t="str">
            <v>Grove Park Community Primary School</v>
          </cell>
          <cell r="H402" t="str">
            <v>South East</v>
          </cell>
          <cell r="I402" t="str">
            <v>Hilton Drive</v>
          </cell>
          <cell r="L402" t="str">
            <v>Sittingbourne</v>
          </cell>
          <cell r="M402" t="str">
            <v>Kent</v>
          </cell>
          <cell r="N402" t="str">
            <v>ME10 1PT</v>
          </cell>
          <cell r="O402" t="str">
            <v>headteacher@grove-park.kent.sch.uk</v>
          </cell>
          <cell r="P402">
            <v>40928</v>
          </cell>
        </row>
        <row r="403">
          <cell r="A403">
            <v>3902229</v>
          </cell>
          <cell r="B403">
            <v>108376</v>
          </cell>
          <cell r="C403">
            <v>390</v>
          </cell>
          <cell r="D403" t="str">
            <v>Gateshead</v>
          </cell>
          <cell r="E403">
            <v>2229</v>
          </cell>
          <cell r="F403" t="str">
            <v>Carol Blain</v>
          </cell>
          <cell r="G403" t="str">
            <v>Roman Road Primary School</v>
          </cell>
          <cell r="H403" t="str">
            <v>North East</v>
          </cell>
          <cell r="I403" t="str">
            <v>Leam Lane Estate</v>
          </cell>
          <cell r="J403" t="str">
            <v>Felling</v>
          </cell>
          <cell r="L403" t="str">
            <v>Gateshead</v>
          </cell>
          <cell r="M403" t="str">
            <v>Tyne and Wear</v>
          </cell>
          <cell r="N403" t="str">
            <v>NE10 8SA</v>
          </cell>
          <cell r="O403" t="str">
            <v>christinemckeown@gateshead.gov.uk</v>
          </cell>
        </row>
        <row r="404">
          <cell r="A404">
            <v>8504128</v>
          </cell>
          <cell r="B404">
            <v>116415</v>
          </cell>
          <cell r="C404">
            <v>850</v>
          </cell>
          <cell r="D404" t="str">
            <v>Hampshire</v>
          </cell>
          <cell r="E404">
            <v>4128</v>
          </cell>
          <cell r="F404" t="str">
            <v>Lindsay Morris</v>
          </cell>
          <cell r="G404" t="str">
            <v>Noadswood School</v>
          </cell>
          <cell r="H404" t="str">
            <v>South East</v>
          </cell>
          <cell r="I404" t="str">
            <v>North Road</v>
          </cell>
          <cell r="J404" t="str">
            <v>Dibden Purlieu</v>
          </cell>
          <cell r="L404" t="str">
            <v>Southampton</v>
          </cell>
          <cell r="M404" t="str">
            <v>Hampshire</v>
          </cell>
          <cell r="N404" t="str">
            <v>SO45 4ZF</v>
          </cell>
          <cell r="O404" t="str">
            <v>alex.bernard@noadswood.hants.sch.uk</v>
          </cell>
          <cell r="P404">
            <v>40638</v>
          </cell>
        </row>
        <row r="405">
          <cell r="A405">
            <v>9082515</v>
          </cell>
          <cell r="B405">
            <v>111920</v>
          </cell>
          <cell r="C405">
            <v>908</v>
          </cell>
          <cell r="D405" t="str">
            <v>Cornwall</v>
          </cell>
          <cell r="E405">
            <v>2515</v>
          </cell>
          <cell r="F405" t="str">
            <v>John Soysa</v>
          </cell>
          <cell r="G405" t="str">
            <v>St Merryn School</v>
          </cell>
          <cell r="H405" t="str">
            <v>South West</v>
          </cell>
          <cell r="I405" t="str">
            <v>St Merryn</v>
          </cell>
          <cell r="L405" t="str">
            <v>Padstow</v>
          </cell>
          <cell r="M405" t="str">
            <v>Cornwall</v>
          </cell>
          <cell r="N405" t="str">
            <v>PL28 8NP</v>
          </cell>
          <cell r="O405" t="str">
            <v>head@st-merryn.cornwall.sch.uk</v>
          </cell>
          <cell r="P405">
            <v>40675</v>
          </cell>
        </row>
        <row r="406">
          <cell r="A406">
            <v>8062333</v>
          </cell>
          <cell r="B406">
            <v>111633</v>
          </cell>
          <cell r="C406">
            <v>806</v>
          </cell>
          <cell r="D406" t="str">
            <v>Middlesbrough</v>
          </cell>
          <cell r="E406">
            <v>2333</v>
          </cell>
          <cell r="F406" t="str">
            <v>Carol Blain</v>
          </cell>
          <cell r="G406" t="str">
            <v>Thorntree Primary School</v>
          </cell>
          <cell r="H406" t="str">
            <v>North East</v>
          </cell>
          <cell r="I406" t="str">
            <v>The Greenway</v>
          </cell>
          <cell r="J406" t="str">
            <v>Thorntree</v>
          </cell>
          <cell r="L406" t="str">
            <v>Middlesbrough</v>
          </cell>
          <cell r="N406" t="str">
            <v>TS3 9NH</v>
          </cell>
          <cell r="O406" t="str">
            <v>sue_picknett@middlesbrough.gov.uk</v>
          </cell>
        </row>
        <row r="407">
          <cell r="A407">
            <v>3835400</v>
          </cell>
          <cell r="B407">
            <v>108101</v>
          </cell>
          <cell r="C407">
            <v>383</v>
          </cell>
          <cell r="D407" t="str">
            <v>Leeds</v>
          </cell>
          <cell r="E407">
            <v>5400</v>
          </cell>
          <cell r="F407" t="str">
            <v>Bev Annables</v>
          </cell>
          <cell r="G407" t="str">
            <v>Abbey Grange Church of England High School</v>
          </cell>
          <cell r="H407" t="str">
            <v>Yorkshire and the Humber</v>
          </cell>
          <cell r="I407" t="str">
            <v>Butcher Hill</v>
          </cell>
          <cell r="L407" t="str">
            <v>Leeds</v>
          </cell>
          <cell r="M407" t="str">
            <v>West Yorkshire</v>
          </cell>
          <cell r="N407" t="str">
            <v>LS16 5EA</v>
          </cell>
          <cell r="O407" t="str">
            <v>kitsonc03@leedslearning.net</v>
          </cell>
          <cell r="P407">
            <v>40627</v>
          </cell>
        </row>
        <row r="408">
          <cell r="A408">
            <v>9294328</v>
          </cell>
          <cell r="B408">
            <v>122347</v>
          </cell>
          <cell r="C408">
            <v>929</v>
          </cell>
          <cell r="D408" t="str">
            <v>Northumberland</v>
          </cell>
          <cell r="E408">
            <v>4328</v>
          </cell>
          <cell r="F408" t="str">
            <v>Alan Large</v>
          </cell>
          <cell r="G408" t="str">
            <v>Alnwick Lindisfarne Middle School</v>
          </cell>
          <cell r="H408" t="str">
            <v>North East</v>
          </cell>
          <cell r="I408" t="str">
            <v>Lindisfarne Road</v>
          </cell>
          <cell r="L408" t="str">
            <v>Alnwick</v>
          </cell>
          <cell r="M408" t="str">
            <v>Northumberland</v>
          </cell>
          <cell r="N408" t="str">
            <v>NE66 1AX</v>
          </cell>
          <cell r="P408">
            <v>40648</v>
          </cell>
        </row>
        <row r="409">
          <cell r="A409">
            <v>9283339</v>
          </cell>
          <cell r="B409">
            <v>122030</v>
          </cell>
          <cell r="C409">
            <v>928</v>
          </cell>
          <cell r="D409" t="str">
            <v>Northamptonshire</v>
          </cell>
          <cell r="E409">
            <v>3339</v>
          </cell>
          <cell r="F409" t="str">
            <v>Sue Harp</v>
          </cell>
          <cell r="G409" t="str">
            <v>Sywell Church of England Voluntary Aided Primary School</v>
          </cell>
          <cell r="H409" t="str">
            <v>East Midlands</v>
          </cell>
          <cell r="I409" t="str">
            <v>Overstone Road</v>
          </cell>
          <cell r="J409" t="str">
            <v>Sywell</v>
          </cell>
          <cell r="L409" t="str">
            <v>Northampton</v>
          </cell>
          <cell r="M409" t="str">
            <v>Northamptonshire</v>
          </cell>
          <cell r="N409" t="str">
            <v>NN6 0AW</v>
          </cell>
          <cell r="O409" t="str">
            <v>head@sywell-ce.northants-ecl.gov.uk</v>
          </cell>
        </row>
        <row r="410">
          <cell r="A410">
            <v>9282074</v>
          </cell>
          <cell r="B410">
            <v>121849</v>
          </cell>
          <cell r="C410">
            <v>928</v>
          </cell>
          <cell r="D410" t="str">
            <v>Northamptonshire</v>
          </cell>
          <cell r="E410">
            <v>2074</v>
          </cell>
          <cell r="F410" t="str">
            <v>Sue Harp</v>
          </cell>
          <cell r="G410" t="str">
            <v>Overstone Primary School</v>
          </cell>
          <cell r="H410" t="str">
            <v>East Midlands</v>
          </cell>
          <cell r="I410" t="str">
            <v>Sywell Road</v>
          </cell>
          <cell r="J410" t="str">
            <v>Overstone</v>
          </cell>
          <cell r="L410" t="str">
            <v>Northampton</v>
          </cell>
          <cell r="M410" t="str">
            <v>Northamptonshire</v>
          </cell>
          <cell r="N410" t="str">
            <v>NN6 0AG</v>
          </cell>
          <cell r="O410" t="str">
            <v>head@overstone.northants-ecl.gov.uk</v>
          </cell>
        </row>
        <row r="411">
          <cell r="A411">
            <v>9332064</v>
          </cell>
          <cell r="B411">
            <v>123661</v>
          </cell>
          <cell r="C411">
            <v>933</v>
          </cell>
          <cell r="D411" t="str">
            <v>Somerset</v>
          </cell>
          <cell r="E411">
            <v>2064</v>
          </cell>
          <cell r="F411" t="str">
            <v>Ali Bushell</v>
          </cell>
          <cell r="G411" t="str">
            <v>Somerton Infant School</v>
          </cell>
          <cell r="H411" t="str">
            <v>South West</v>
          </cell>
          <cell r="I411" t="str">
            <v>Etsome Terrace</v>
          </cell>
          <cell r="L411" t="str">
            <v>Somerton</v>
          </cell>
          <cell r="M411" t="str">
            <v>Somerset</v>
          </cell>
          <cell r="N411" t="str">
            <v>TA11 6LY</v>
          </cell>
          <cell r="O411" t="str">
            <v>bquinton-tulloch@educ.somerset.gov.uk</v>
          </cell>
        </row>
        <row r="412">
          <cell r="A412">
            <v>3832428</v>
          </cell>
          <cell r="B412">
            <v>107904</v>
          </cell>
          <cell r="C412">
            <v>383</v>
          </cell>
          <cell r="D412" t="str">
            <v>Leeds</v>
          </cell>
          <cell r="E412">
            <v>2428</v>
          </cell>
          <cell r="F412" t="str">
            <v>Bev Annables</v>
          </cell>
          <cell r="G412" t="str">
            <v>Gledhow Primary School</v>
          </cell>
          <cell r="H412" t="str">
            <v>Yorkshire and the Humber</v>
          </cell>
          <cell r="I412" t="str">
            <v>Lidgett Lane</v>
          </cell>
          <cell r="L412" t="str">
            <v>Leeds</v>
          </cell>
          <cell r="M412" t="str">
            <v>West Yorkshire</v>
          </cell>
          <cell r="N412" t="str">
            <v>LS8 1PL</v>
          </cell>
          <cell r="O412" t="str">
            <v>archers03@leedslearning.net</v>
          </cell>
        </row>
        <row r="413">
          <cell r="A413">
            <v>8835449</v>
          </cell>
          <cell r="B413">
            <v>115365</v>
          </cell>
          <cell r="C413">
            <v>883</v>
          </cell>
          <cell r="D413" t="str">
            <v>Thurrock</v>
          </cell>
          <cell r="E413">
            <v>5449</v>
          </cell>
          <cell r="F413" t="str">
            <v>Jenny Baker</v>
          </cell>
          <cell r="G413" t="str">
            <v>Hassenbrook School Specialist Technology College</v>
          </cell>
          <cell r="H413" t="str">
            <v>East of England</v>
          </cell>
          <cell r="I413" t="str">
            <v>Hassenbrook Road</v>
          </cell>
          <cell r="L413" t="str">
            <v>Stanford-le-Hope</v>
          </cell>
          <cell r="M413" t="str">
            <v>Essex</v>
          </cell>
          <cell r="N413" t="str">
            <v>SS17 0NS</v>
          </cell>
          <cell r="O413" t="str">
            <v>rglasby@hassenbrook.org.uk</v>
          </cell>
          <cell r="P413">
            <v>40646</v>
          </cell>
        </row>
        <row r="414">
          <cell r="A414">
            <v>8815271</v>
          </cell>
          <cell r="B414">
            <v>115311</v>
          </cell>
          <cell r="C414">
            <v>881</v>
          </cell>
          <cell r="D414" t="str">
            <v>Essex</v>
          </cell>
          <cell r="E414">
            <v>5271</v>
          </cell>
          <cell r="F414" t="str">
            <v>Michael Cook</v>
          </cell>
          <cell r="G414" t="str">
            <v>Mersea Island School</v>
          </cell>
          <cell r="H414" t="str">
            <v>East of England</v>
          </cell>
          <cell r="I414" t="str">
            <v>Barfield Road</v>
          </cell>
          <cell r="J414" t="str">
            <v>West Mersea</v>
          </cell>
          <cell r="L414" t="str">
            <v>Colchester</v>
          </cell>
          <cell r="M414" t="str">
            <v>Essex</v>
          </cell>
          <cell r="N414" t="str">
            <v>CO5 8QX</v>
          </cell>
          <cell r="O414" t="str">
            <v>ht.mersea@googlemail.com</v>
          </cell>
        </row>
        <row r="415">
          <cell r="A415">
            <v>9354027</v>
          </cell>
          <cell r="B415">
            <v>124804</v>
          </cell>
          <cell r="C415">
            <v>935</v>
          </cell>
          <cell r="D415" t="str">
            <v>Suffolk</v>
          </cell>
          <cell r="E415">
            <v>4027</v>
          </cell>
          <cell r="F415" t="str">
            <v>Kish Chetty</v>
          </cell>
          <cell r="G415" t="str">
            <v>Newmarket College</v>
          </cell>
          <cell r="H415" t="str">
            <v>East of England</v>
          </cell>
          <cell r="I415" t="str">
            <v>Exning Road</v>
          </cell>
          <cell r="L415" t="str">
            <v>Newmarket</v>
          </cell>
          <cell r="M415" t="str">
            <v>Suffolk</v>
          </cell>
          <cell r="N415" t="str">
            <v>CB8 0EB</v>
          </cell>
          <cell r="O415" t="str">
            <v>robert.cadwalladr@newmarketcollege.co.uk</v>
          </cell>
          <cell r="P415">
            <v>40872</v>
          </cell>
        </row>
        <row r="416">
          <cell r="A416">
            <v>8902207</v>
          </cell>
          <cell r="B416">
            <v>119245</v>
          </cell>
          <cell r="C416">
            <v>890</v>
          </cell>
          <cell r="D416" t="str">
            <v>Blackpool</v>
          </cell>
          <cell r="E416">
            <v>2207</v>
          </cell>
          <cell r="F416" t="str">
            <v>Stuart Mepham</v>
          </cell>
          <cell r="G416" t="str">
            <v>Hawes Side Primary School</v>
          </cell>
          <cell r="H416" t="str">
            <v>North West</v>
          </cell>
          <cell r="I416" t="str">
            <v>Pedders Lane</v>
          </cell>
          <cell r="L416" t="str">
            <v>Blackpool</v>
          </cell>
          <cell r="M416" t="str">
            <v>Lancashire</v>
          </cell>
          <cell r="N416" t="str">
            <v>FY4 3HZ</v>
          </cell>
          <cell r="O416" t="str">
            <v>michael.shepherd@hawes-side.blackpool.sch.uk</v>
          </cell>
          <cell r="P416">
            <v>40962</v>
          </cell>
        </row>
        <row r="417">
          <cell r="A417">
            <v>9364622</v>
          </cell>
          <cell r="B417">
            <v>125278</v>
          </cell>
          <cell r="C417">
            <v>936</v>
          </cell>
          <cell r="D417" t="str">
            <v>Surrey</v>
          </cell>
          <cell r="E417">
            <v>4622</v>
          </cell>
          <cell r="F417" t="str">
            <v>Gabriela Grimley</v>
          </cell>
          <cell r="G417" t="str">
            <v>St Bede's School</v>
          </cell>
          <cell r="H417" t="str">
            <v>South East</v>
          </cell>
          <cell r="I417" t="str">
            <v>Carlton Road</v>
          </cell>
          <cell r="L417" t="str">
            <v>Redhill</v>
          </cell>
          <cell r="M417" t="str">
            <v>Surrey</v>
          </cell>
          <cell r="N417" t="str">
            <v>RH1 2LQ</v>
          </cell>
          <cell r="O417" t="str">
            <v>chris.curtis@st-bedes.surrey.sch.uk</v>
          </cell>
        </row>
        <row r="418">
          <cell r="A418">
            <v>9255201</v>
          </cell>
          <cell r="B418">
            <v>120668</v>
          </cell>
          <cell r="C418">
            <v>925</v>
          </cell>
          <cell r="D418" t="str">
            <v>Lincolnshire</v>
          </cell>
          <cell r="E418">
            <v>5201</v>
          </cell>
          <cell r="F418" t="str">
            <v>Grant Dyson</v>
          </cell>
          <cell r="G418" t="str">
            <v>The Wainfleet Magdalen Church of England/Methodist School</v>
          </cell>
          <cell r="H418" t="str">
            <v>East Midlands</v>
          </cell>
          <cell r="I418" t="str">
            <v>Magdalen Road</v>
          </cell>
          <cell r="J418" t="str">
            <v>Wainfleet</v>
          </cell>
          <cell r="L418" t="str">
            <v>Skegness</v>
          </cell>
          <cell r="M418" t="str">
            <v>Lincolnshire</v>
          </cell>
          <cell r="N418" t="str">
            <v>PE24 4DD</v>
          </cell>
          <cell r="O418" t="str">
            <v>peter.beveridge@magdalen.lincs.sch.uk</v>
          </cell>
        </row>
        <row r="419">
          <cell r="A419">
            <v>8314607</v>
          </cell>
          <cell r="B419">
            <v>112973</v>
          </cell>
          <cell r="C419">
            <v>831</v>
          </cell>
          <cell r="D419" t="str">
            <v>Derby</v>
          </cell>
          <cell r="E419">
            <v>4607</v>
          </cell>
          <cell r="F419" t="str">
            <v>Frances Blow</v>
          </cell>
          <cell r="G419" t="str">
            <v>Saint Benedict Catholic School and Performing Arts College</v>
          </cell>
          <cell r="H419" t="str">
            <v>East Midlands</v>
          </cell>
          <cell r="I419" t="str">
            <v>Duffield Road</v>
          </cell>
          <cell r="J419" t="str">
            <v>Darley Abbey</v>
          </cell>
          <cell r="L419" t="str">
            <v>Derby</v>
          </cell>
          <cell r="M419" t="str">
            <v>Derbyshire</v>
          </cell>
          <cell r="N419" t="str">
            <v>DE22 1JD</v>
          </cell>
          <cell r="O419" t="str">
            <v>jwallage@saintben.derby.sch.uk</v>
          </cell>
          <cell r="P419">
            <v>41026</v>
          </cell>
        </row>
        <row r="420">
          <cell r="A420">
            <v>3067001</v>
          </cell>
          <cell r="B420">
            <v>101852</v>
          </cell>
          <cell r="C420">
            <v>306</v>
          </cell>
          <cell r="D420" t="str">
            <v>Croydon</v>
          </cell>
          <cell r="E420">
            <v>7001</v>
          </cell>
          <cell r="F420" t="str">
            <v>Helen Barry</v>
          </cell>
          <cell r="G420" t="str">
            <v>St Giles School</v>
          </cell>
          <cell r="H420" t="str">
            <v>London</v>
          </cell>
          <cell r="I420" t="str">
            <v>Pampisford Road</v>
          </cell>
          <cell r="L420" t="str">
            <v>South Croydon</v>
          </cell>
          <cell r="M420" t="str">
            <v>Surrey</v>
          </cell>
          <cell r="N420" t="str">
            <v>CR2 6DF</v>
          </cell>
          <cell r="O420" t="str">
            <v>aknight.306@lgflmail.org</v>
          </cell>
        </row>
        <row r="421">
          <cell r="A421">
            <v>8553432</v>
          </cell>
          <cell r="B421">
            <v>120231</v>
          </cell>
          <cell r="C421">
            <v>855</v>
          </cell>
          <cell r="D421" t="str">
            <v>Leicestershire</v>
          </cell>
          <cell r="E421">
            <v>3432</v>
          </cell>
          <cell r="F421" t="str">
            <v>Pauline Cole</v>
          </cell>
          <cell r="G421" t="str">
            <v>St Peter and St Paul Church of England Primary School</v>
          </cell>
          <cell r="H421" t="str">
            <v>East Midlands</v>
          </cell>
          <cell r="I421" t="str">
            <v>Upper Church Street</v>
          </cell>
          <cell r="J421" t="str">
            <v>Syston</v>
          </cell>
          <cell r="L421" t="str">
            <v>Leicester</v>
          </cell>
          <cell r="M421" t="str">
            <v>Leicestershire</v>
          </cell>
          <cell r="N421" t="str">
            <v>LE7 1HR</v>
          </cell>
          <cell r="O421" t="str">
            <v>fbuchan01@st-peters-st-pauls.leics.sch.uk</v>
          </cell>
          <cell r="P421">
            <v>40977</v>
          </cell>
        </row>
        <row r="422">
          <cell r="A422">
            <v>9293922</v>
          </cell>
          <cell r="B422">
            <v>131221</v>
          </cell>
          <cell r="C422">
            <v>929</v>
          </cell>
          <cell r="D422" t="str">
            <v>Northumberland</v>
          </cell>
          <cell r="E422">
            <v>3922</v>
          </cell>
          <cell r="F422" t="str">
            <v>Lisa Sargeant</v>
          </cell>
          <cell r="G422" t="str">
            <v>Lowick Church of England Voluntary Controlled First School</v>
          </cell>
          <cell r="H422" t="str">
            <v>North East</v>
          </cell>
          <cell r="I422" t="str">
            <v>30 Main Street</v>
          </cell>
          <cell r="L422" t="str">
            <v>Lowick</v>
          </cell>
          <cell r="M422" t="str">
            <v>Northumberland</v>
          </cell>
          <cell r="N422" t="str">
            <v>TD15 2UA</v>
          </cell>
          <cell r="O422" t="str">
            <v>Admin@lowick.northumberland.sch.uk</v>
          </cell>
        </row>
        <row r="423">
          <cell r="A423">
            <v>3585407</v>
          </cell>
          <cell r="B423">
            <v>106362</v>
          </cell>
          <cell r="C423">
            <v>358</v>
          </cell>
          <cell r="D423" t="str">
            <v>Trafford</v>
          </cell>
          <cell r="E423">
            <v>5407</v>
          </cell>
          <cell r="F423" t="str">
            <v>Elaine Howard</v>
          </cell>
          <cell r="G423" t="str">
            <v>Altrincham Grammar School for Girls</v>
          </cell>
          <cell r="H423" t="str">
            <v>North West</v>
          </cell>
          <cell r="I423" t="str">
            <v>Cavendish Road</v>
          </cell>
          <cell r="J423" t="str">
            <v>Bowdon</v>
          </cell>
          <cell r="L423" t="str">
            <v>Altrincham</v>
          </cell>
          <cell r="M423" t="str">
            <v>Cheshire</v>
          </cell>
          <cell r="N423" t="str">
            <v>WA14 2NL</v>
          </cell>
          <cell r="O423" t="str">
            <v>admin@aggs.trafford.sch.uk</v>
          </cell>
          <cell r="P423">
            <v>40609</v>
          </cell>
        </row>
        <row r="424">
          <cell r="A424">
            <v>8004133</v>
          </cell>
          <cell r="B424">
            <v>109307</v>
          </cell>
          <cell r="C424">
            <v>800</v>
          </cell>
          <cell r="D424" t="str">
            <v>Bath and North East Somerset</v>
          </cell>
          <cell r="E424">
            <v>4133</v>
          </cell>
          <cell r="F424" t="str">
            <v>Ed Schuldt</v>
          </cell>
          <cell r="G424" t="str">
            <v>Somervale School</v>
          </cell>
          <cell r="H424" t="str">
            <v>South West</v>
          </cell>
          <cell r="I424" t="str">
            <v>Redfield Road</v>
          </cell>
          <cell r="J424" t="str">
            <v>Midsomer Norton</v>
          </cell>
          <cell r="L424" t="str">
            <v>Radstock</v>
          </cell>
          <cell r="M424" t="str">
            <v>Somerset</v>
          </cell>
          <cell r="N424" t="str">
            <v>BA3 2JD</v>
          </cell>
          <cell r="O424" t="str">
            <v>pbeaven@somervale.bathnes.sch.uk</v>
          </cell>
          <cell r="P424">
            <v>40347</v>
          </cell>
        </row>
        <row r="425">
          <cell r="A425">
            <v>8884628</v>
          </cell>
          <cell r="B425">
            <v>119789</v>
          </cell>
          <cell r="C425">
            <v>888</v>
          </cell>
          <cell r="D425" t="str">
            <v>Lancashire</v>
          </cell>
          <cell r="E425">
            <v>4628</v>
          </cell>
          <cell r="F425" t="str">
            <v>Viv Clutton</v>
          </cell>
          <cell r="G425" t="str">
            <v>Saint Aidan's Church of England Technology College</v>
          </cell>
          <cell r="H425" t="str">
            <v>North West</v>
          </cell>
          <cell r="I425" t="str">
            <v>Cartgate</v>
          </cell>
          <cell r="J425" t="str">
            <v>Preesall</v>
          </cell>
          <cell r="L425" t="str">
            <v>Poulton-le-Fylde</v>
          </cell>
          <cell r="M425" t="str">
            <v>Lancashire</v>
          </cell>
          <cell r="N425" t="str">
            <v>FY6 0NP</v>
          </cell>
          <cell r="O425" t="str">
            <v>head@st-aidans.lancs.sch.uk</v>
          </cell>
        </row>
        <row r="426">
          <cell r="A426">
            <v>8553006</v>
          </cell>
          <cell r="B426">
            <v>120110</v>
          </cell>
          <cell r="C426">
            <v>855</v>
          </cell>
          <cell r="D426" t="str">
            <v>Leicestershire</v>
          </cell>
          <cell r="E426">
            <v>3006</v>
          </cell>
          <cell r="F426" t="str">
            <v>Stephen Standret</v>
          </cell>
          <cell r="G426" t="str">
            <v>The Pochin School</v>
          </cell>
          <cell r="H426" t="str">
            <v>East Midlands</v>
          </cell>
          <cell r="I426" t="str">
            <v>School Lane</v>
          </cell>
          <cell r="J426" t="str">
            <v>Barkby</v>
          </cell>
          <cell r="L426" t="str">
            <v>Leicester</v>
          </cell>
          <cell r="M426" t="str">
            <v>Leicestershire</v>
          </cell>
          <cell r="N426" t="str">
            <v>LE7 3QL</v>
          </cell>
          <cell r="O426" t="str">
            <v>stephen.cotton@pochin.leics.sch.uk</v>
          </cell>
          <cell r="P426">
            <v>40980</v>
          </cell>
        </row>
        <row r="427">
          <cell r="A427">
            <v>3122084</v>
          </cell>
          <cell r="B427">
            <v>131638</v>
          </cell>
          <cell r="C427">
            <v>312</v>
          </cell>
          <cell r="D427" t="str">
            <v>Hillingdon</v>
          </cell>
          <cell r="E427">
            <v>2084</v>
          </cell>
          <cell r="F427" t="str">
            <v>Martin Rowley</v>
          </cell>
          <cell r="G427" t="str">
            <v>Cherry Lane Primary School</v>
          </cell>
          <cell r="H427" t="str">
            <v>London</v>
          </cell>
          <cell r="I427" t="str">
            <v>Sipson Road</v>
          </cell>
          <cell r="L427" t="str">
            <v>West Drayton</v>
          </cell>
          <cell r="N427" t="str">
            <v>UB7 9DL</v>
          </cell>
          <cell r="O427" t="str">
            <v>philhaigh@hotmail.com</v>
          </cell>
        </row>
        <row r="428">
          <cell r="A428">
            <v>8553011</v>
          </cell>
          <cell r="B428">
            <v>120115</v>
          </cell>
          <cell r="C428">
            <v>855</v>
          </cell>
          <cell r="D428" t="str">
            <v>Leicestershire</v>
          </cell>
          <cell r="E428">
            <v>3011</v>
          </cell>
          <cell r="F428" t="str">
            <v>Sue Harp</v>
          </cell>
          <cell r="G428" t="str">
            <v>Billesdon Parochial Primary School</v>
          </cell>
          <cell r="H428" t="str">
            <v>East Midlands</v>
          </cell>
          <cell r="I428" t="str">
            <v>Gaulby Road</v>
          </cell>
          <cell r="J428" t="str">
            <v>Billesdon</v>
          </cell>
          <cell r="L428" t="str">
            <v>Leicester</v>
          </cell>
          <cell r="M428" t="str">
            <v>Leicestershire</v>
          </cell>
          <cell r="N428" t="str">
            <v>LE7 9AG</v>
          </cell>
          <cell r="O428" t="str">
            <v>headteacher@billesdon.leics.sch.uk</v>
          </cell>
        </row>
        <row r="429">
          <cell r="A429">
            <v>8867021</v>
          </cell>
          <cell r="B429">
            <v>119032</v>
          </cell>
          <cell r="C429">
            <v>886</v>
          </cell>
          <cell r="D429" t="str">
            <v>Kent</v>
          </cell>
          <cell r="E429">
            <v>7021</v>
          </cell>
          <cell r="F429" t="str">
            <v>Nicky Edwards</v>
          </cell>
          <cell r="G429" t="str">
            <v>Valence School</v>
          </cell>
          <cell r="H429" t="str">
            <v>South East</v>
          </cell>
          <cell r="I429" t="str">
            <v>Westerham Road</v>
          </cell>
          <cell r="L429" t="str">
            <v>Westerham</v>
          </cell>
          <cell r="M429" t="str">
            <v>Kent</v>
          </cell>
          <cell r="N429" t="str">
            <v>TN16 1QN</v>
          </cell>
          <cell r="O429" t="str">
            <v>rgooding@valence.kent.sch.uk</v>
          </cell>
        </row>
        <row r="430">
          <cell r="A430">
            <v>8854400</v>
          </cell>
          <cell r="B430">
            <v>116956</v>
          </cell>
          <cell r="C430">
            <v>885</v>
          </cell>
          <cell r="D430" t="str">
            <v>Worcestershire</v>
          </cell>
          <cell r="E430">
            <v>4400</v>
          </cell>
          <cell r="F430" t="str">
            <v>Carla Spink</v>
          </cell>
          <cell r="G430" t="str">
            <v>Bredon Hill Middle School</v>
          </cell>
          <cell r="H430" t="str">
            <v>West Midlands</v>
          </cell>
          <cell r="I430" t="str">
            <v>Elmley Road</v>
          </cell>
          <cell r="J430" t="str">
            <v>Ashton-Under-Hill</v>
          </cell>
          <cell r="L430" t="str">
            <v>Evesham</v>
          </cell>
          <cell r="M430" t="str">
            <v>Worcestershire</v>
          </cell>
          <cell r="N430" t="str">
            <v>WR11 7SW</v>
          </cell>
          <cell r="O430" t="str">
            <v>swc@bredon.worcs.sch.uk</v>
          </cell>
        </row>
        <row r="431">
          <cell r="A431">
            <v>8842029</v>
          </cell>
          <cell r="B431">
            <v>116667</v>
          </cell>
          <cell r="C431">
            <v>884</v>
          </cell>
          <cell r="D431" t="str">
            <v>Herefordshire</v>
          </cell>
          <cell r="E431">
            <v>2029</v>
          </cell>
          <cell r="F431" t="str">
            <v>Ruth Pallister</v>
          </cell>
          <cell r="G431" t="str">
            <v>Burghill Community Primary School</v>
          </cell>
          <cell r="H431" t="str">
            <v>West Midlands</v>
          </cell>
          <cell r="I431" t="str">
            <v>Burghill</v>
          </cell>
          <cell r="L431" t="str">
            <v>Hereford</v>
          </cell>
          <cell r="M431" t="str">
            <v>Herefordshire</v>
          </cell>
          <cell r="N431" t="str">
            <v>HR4 7RP</v>
          </cell>
          <cell r="O431" t="str">
            <v>vwalker@burghill.hereford.sch.uk</v>
          </cell>
          <cell r="P431">
            <v>40730</v>
          </cell>
        </row>
        <row r="432">
          <cell r="A432">
            <v>8963128</v>
          </cell>
          <cell r="B432">
            <v>111259</v>
          </cell>
          <cell r="C432">
            <v>896</v>
          </cell>
          <cell r="D432" t="str">
            <v>Cheshire West and Chester</v>
          </cell>
          <cell r="E432">
            <v>3128</v>
          </cell>
          <cell r="F432" t="str">
            <v>Gabriela Grimley</v>
          </cell>
          <cell r="G432" t="str">
            <v>Delamere CofE Primary School</v>
          </cell>
          <cell r="H432" t="str">
            <v>North West</v>
          </cell>
          <cell r="I432" t="str">
            <v>Stoney Lane</v>
          </cell>
          <cell r="J432" t="str">
            <v>Kelsall</v>
          </cell>
          <cell r="L432" t="str">
            <v>Tarporley</v>
          </cell>
          <cell r="M432" t="str">
            <v>Cheshire</v>
          </cell>
          <cell r="N432" t="str">
            <v>CW6 0ST</v>
          </cell>
          <cell r="O432" t="str">
            <v>head@delamere.cheshire.sch.uk</v>
          </cell>
          <cell r="P432">
            <v>40511</v>
          </cell>
        </row>
        <row r="433">
          <cell r="A433">
            <v>3302406</v>
          </cell>
          <cell r="B433">
            <v>103345</v>
          </cell>
          <cell r="C433">
            <v>330</v>
          </cell>
          <cell r="D433" t="str">
            <v>Birmingham</v>
          </cell>
          <cell r="E433">
            <v>2406</v>
          </cell>
          <cell r="F433" t="str">
            <v>Alison Middleton</v>
          </cell>
          <cell r="G433" t="str">
            <v>Minworth Junior and Infant School</v>
          </cell>
          <cell r="H433" t="str">
            <v>West Midlands</v>
          </cell>
          <cell r="I433" t="str">
            <v>Water Orton Lane</v>
          </cell>
          <cell r="J433" t="str">
            <v>Minworth</v>
          </cell>
          <cell r="L433" t="str">
            <v>Sutton Coldfield</v>
          </cell>
          <cell r="M433" t="str">
            <v>West Midlands</v>
          </cell>
          <cell r="N433" t="str">
            <v>B76 9BU</v>
          </cell>
          <cell r="O433" t="str">
            <v>j.leese@minworth.bham.sch.uk</v>
          </cell>
          <cell r="P433">
            <v>41040</v>
          </cell>
        </row>
        <row r="434">
          <cell r="A434">
            <v>3712161</v>
          </cell>
          <cell r="B434">
            <v>106725</v>
          </cell>
          <cell r="C434">
            <v>371</v>
          </cell>
          <cell r="D434" t="str">
            <v>Doncaster</v>
          </cell>
          <cell r="E434">
            <v>2161</v>
          </cell>
          <cell r="F434" t="str">
            <v>Anita Turnbull</v>
          </cell>
          <cell r="G434" t="str">
            <v>Tickhill Estfeld Primary School</v>
          </cell>
          <cell r="H434" t="str">
            <v>Yorkshire and the Humber</v>
          </cell>
          <cell r="I434" t="str">
            <v>Common Lane</v>
          </cell>
          <cell r="J434" t="str">
            <v>Tickhill</v>
          </cell>
          <cell r="L434" t="str">
            <v>Doncaster</v>
          </cell>
          <cell r="M434" t="str">
            <v>South Yorkshire</v>
          </cell>
          <cell r="N434" t="str">
            <v>DN11 9JA</v>
          </cell>
          <cell r="O434" t="str">
            <v>dianerisley@hotmail.com</v>
          </cell>
        </row>
        <row r="435">
          <cell r="A435">
            <v>3085404</v>
          </cell>
          <cell r="B435">
            <v>102059</v>
          </cell>
          <cell r="C435">
            <v>308</v>
          </cell>
          <cell r="D435" t="str">
            <v>Enfield</v>
          </cell>
          <cell r="E435">
            <v>5404</v>
          </cell>
          <cell r="F435" t="str">
            <v>Sheila Longstaff</v>
          </cell>
          <cell r="G435" t="str">
            <v>Enfield Grammar School</v>
          </cell>
          <cell r="H435" t="str">
            <v>London</v>
          </cell>
          <cell r="I435" t="str">
            <v>Market Place</v>
          </cell>
          <cell r="L435" t="str">
            <v>Enfield</v>
          </cell>
          <cell r="N435" t="str">
            <v>EN2 6LN</v>
          </cell>
          <cell r="O435" t="str">
            <v>jkerr@enfieldgrammar.com</v>
          </cell>
          <cell r="P435">
            <v>40676</v>
          </cell>
        </row>
        <row r="436">
          <cell r="A436">
            <v>8512719</v>
          </cell>
          <cell r="B436">
            <v>116226</v>
          </cell>
          <cell r="C436">
            <v>851</v>
          </cell>
          <cell r="D436" t="str">
            <v>Portsmouth</v>
          </cell>
          <cell r="E436">
            <v>2719</v>
          </cell>
          <cell r="F436" t="str">
            <v>Eric Mcewen</v>
          </cell>
          <cell r="G436" t="str">
            <v>Manor Infant School</v>
          </cell>
          <cell r="H436" t="str">
            <v>South East</v>
          </cell>
          <cell r="I436" t="str">
            <v>Inverness Road</v>
          </cell>
          <cell r="L436" t="str">
            <v>Portsmouth</v>
          </cell>
          <cell r="M436" t="str">
            <v>Hampshire</v>
          </cell>
          <cell r="N436" t="str">
            <v>PO1 5QR</v>
          </cell>
          <cell r="O436" t="str">
            <v>jchristie@manor-inf.portsmouth.sch.uk</v>
          </cell>
        </row>
        <row r="437">
          <cell r="A437">
            <v>9254061</v>
          </cell>
          <cell r="B437">
            <v>120653</v>
          </cell>
          <cell r="C437">
            <v>925</v>
          </cell>
          <cell r="D437" t="str">
            <v>Lincolnshire</v>
          </cell>
          <cell r="E437">
            <v>4061</v>
          </cell>
          <cell r="G437" t="str">
            <v>Birkbeck School and Community Arts College</v>
          </cell>
          <cell r="H437" t="str">
            <v>East Midlands</v>
          </cell>
          <cell r="I437" t="str">
            <v>Keeling Street</v>
          </cell>
          <cell r="J437" t="str">
            <v>North Somercotes</v>
          </cell>
          <cell r="L437" t="str">
            <v>Louth</v>
          </cell>
          <cell r="M437" t="str">
            <v>Lincolnshire</v>
          </cell>
          <cell r="N437" t="str">
            <v>LN11 7PN</v>
          </cell>
          <cell r="O437" t="str">
            <v>Lynda.Dobson@birkbeck.lincs.sch.uk</v>
          </cell>
        </row>
        <row r="438">
          <cell r="A438">
            <v>3707009</v>
          </cell>
          <cell r="B438">
            <v>133394</v>
          </cell>
          <cell r="C438">
            <v>370</v>
          </cell>
          <cell r="D438" t="str">
            <v>Barnsley</v>
          </cell>
          <cell r="E438">
            <v>7009</v>
          </cell>
          <cell r="F438" t="str">
            <v>Frances Blow</v>
          </cell>
          <cell r="G438" t="str">
            <v>Greenacre School</v>
          </cell>
          <cell r="H438" t="str">
            <v>Yorkshire and the Humber</v>
          </cell>
          <cell r="I438" t="str">
            <v>Keresforth Hill Road</v>
          </cell>
          <cell r="L438" t="str">
            <v>Barnsley</v>
          </cell>
          <cell r="M438" t="str">
            <v>South Yorkshire</v>
          </cell>
          <cell r="N438" t="str">
            <v>S70 6RG</v>
          </cell>
          <cell r="O438" t="str">
            <v>s.hayter@barnsley.org</v>
          </cell>
          <cell r="P438">
            <v>40715</v>
          </cell>
        </row>
        <row r="439">
          <cell r="A439">
            <v>3332146</v>
          </cell>
          <cell r="B439">
            <v>103955</v>
          </cell>
          <cell r="C439">
            <v>333</v>
          </cell>
          <cell r="D439" t="str">
            <v>Sandwell</v>
          </cell>
          <cell r="E439">
            <v>2146</v>
          </cell>
          <cell r="F439" t="str">
            <v>Stephen Bagnall</v>
          </cell>
          <cell r="G439" t="str">
            <v>Rowley Hall Primary</v>
          </cell>
          <cell r="H439" t="str">
            <v>West Midlands</v>
          </cell>
          <cell r="I439" t="str">
            <v>Windsor Road</v>
          </cell>
          <cell r="L439" t="str">
            <v>Rowley Regis</v>
          </cell>
          <cell r="M439" t="str">
            <v>West Midlands</v>
          </cell>
          <cell r="N439" t="str">
            <v>B65 9HU</v>
          </cell>
          <cell r="O439" t="str">
            <v>lynda.townsend@rowleyhall.sandwell.sch.uk</v>
          </cell>
        </row>
        <row r="440">
          <cell r="A440">
            <v>3122069</v>
          </cell>
          <cell r="B440">
            <v>102411</v>
          </cell>
          <cell r="C440">
            <v>312</v>
          </cell>
          <cell r="D440" t="str">
            <v>Hillingdon</v>
          </cell>
          <cell r="E440">
            <v>2069</v>
          </cell>
          <cell r="F440" t="str">
            <v>Martin Rowley</v>
          </cell>
          <cell r="G440" t="str">
            <v>Whitehall Infant School</v>
          </cell>
          <cell r="H440" t="str">
            <v>London</v>
          </cell>
          <cell r="I440" t="str">
            <v>Cowley Road</v>
          </cell>
          <cell r="L440" t="str">
            <v>Uxbridge</v>
          </cell>
          <cell r="N440" t="str">
            <v>UB8 2LX</v>
          </cell>
          <cell r="O440" t="str">
            <v>mbringan@hillingdongrid.org</v>
          </cell>
        </row>
        <row r="441">
          <cell r="A441">
            <v>8114102</v>
          </cell>
          <cell r="B441">
            <v>118102</v>
          </cell>
          <cell r="C441">
            <v>811</v>
          </cell>
          <cell r="D441" t="str">
            <v>East Riding of Yorkshire</v>
          </cell>
          <cell r="E441">
            <v>4102</v>
          </cell>
          <cell r="F441" t="str">
            <v>Lisa Sargeant</v>
          </cell>
          <cell r="G441" t="str">
            <v>The Snaith School</v>
          </cell>
          <cell r="H441" t="str">
            <v>Yorkshire and the Humber</v>
          </cell>
          <cell r="I441" t="str">
            <v>Pontefract Road</v>
          </cell>
          <cell r="J441" t="str">
            <v>Snaith</v>
          </cell>
          <cell r="L441" t="str">
            <v>Goole</v>
          </cell>
          <cell r="N441" t="str">
            <v>DN14 9LB</v>
          </cell>
          <cell r="O441" t="str">
            <v>jean.pickerill@tss.eriding.net</v>
          </cell>
          <cell r="P441">
            <v>40991</v>
          </cell>
        </row>
        <row r="442">
          <cell r="A442">
            <v>8034146</v>
          </cell>
          <cell r="B442">
            <v>109319</v>
          </cell>
          <cell r="C442">
            <v>803</v>
          </cell>
          <cell r="D442" t="str">
            <v>South Gloucestershire</v>
          </cell>
          <cell r="E442">
            <v>4146</v>
          </cell>
          <cell r="F442" t="str">
            <v>Simon Foster</v>
          </cell>
          <cell r="G442" t="str">
            <v>Brimsham Green School</v>
          </cell>
          <cell r="H442" t="str">
            <v>South West</v>
          </cell>
          <cell r="I442" t="str">
            <v>Broad Lane</v>
          </cell>
          <cell r="J442" t="str">
            <v>Yate</v>
          </cell>
          <cell r="L442" t="str">
            <v>Bristol</v>
          </cell>
          <cell r="N442" t="str">
            <v>BS37 7LB</v>
          </cell>
          <cell r="O442" t="str">
            <v>awilliams@brimsham.com</v>
          </cell>
          <cell r="P442">
            <v>40600</v>
          </cell>
        </row>
        <row r="443">
          <cell r="A443">
            <v>8884193</v>
          </cell>
          <cell r="B443">
            <v>119755</v>
          </cell>
          <cell r="C443">
            <v>888</v>
          </cell>
          <cell r="D443" t="str">
            <v>Lancashire</v>
          </cell>
          <cell r="E443">
            <v>4193</v>
          </cell>
          <cell r="F443" t="str">
            <v>Viv Clutton</v>
          </cell>
          <cell r="G443" t="str">
            <v>Lostock Hall Community High School</v>
          </cell>
          <cell r="H443" t="str">
            <v>North West</v>
          </cell>
          <cell r="I443" t="str">
            <v>Todd Lane North</v>
          </cell>
          <cell r="J443" t="str">
            <v>Lostock Hall</v>
          </cell>
          <cell r="L443" t="str">
            <v>Preston</v>
          </cell>
          <cell r="M443" t="str">
            <v>Lancashire</v>
          </cell>
          <cell r="N443" t="str">
            <v>PR5 5UR</v>
          </cell>
          <cell r="O443" t="str">
            <v>head@lostockhallhigh.lancs.sch.uk</v>
          </cell>
          <cell r="P443">
            <v>40574</v>
          </cell>
        </row>
        <row r="444">
          <cell r="A444">
            <v>8815211</v>
          </cell>
          <cell r="B444">
            <v>115251</v>
          </cell>
          <cell r="C444">
            <v>881</v>
          </cell>
          <cell r="D444" t="str">
            <v>Essex</v>
          </cell>
          <cell r="E444">
            <v>5211</v>
          </cell>
          <cell r="F444" t="str">
            <v>Tony Bretherick</v>
          </cell>
          <cell r="G444" t="str">
            <v>Jotmans Hall Primary School</v>
          </cell>
          <cell r="H444" t="str">
            <v>East of England</v>
          </cell>
          <cell r="I444" t="str">
            <v>High Road</v>
          </cell>
          <cell r="L444" t="str">
            <v>Benfleet</v>
          </cell>
          <cell r="M444" t="str">
            <v>Essex</v>
          </cell>
          <cell r="N444" t="str">
            <v>SS7 5RG</v>
          </cell>
          <cell r="O444" t="str">
            <v>head@jotmanshall.essex.sch.uk</v>
          </cell>
          <cell r="P444">
            <v>40631</v>
          </cell>
        </row>
        <row r="445">
          <cell r="A445">
            <v>8682109</v>
          </cell>
          <cell r="B445">
            <v>109843</v>
          </cell>
          <cell r="C445">
            <v>868</v>
          </cell>
          <cell r="D445" t="str">
            <v>Windsor and Maidenhead</v>
          </cell>
          <cell r="E445">
            <v>2109</v>
          </cell>
          <cell r="F445" t="str">
            <v>Darren Francis</v>
          </cell>
          <cell r="G445" t="str">
            <v>South Ascot Village Primary School</v>
          </cell>
          <cell r="H445" t="str">
            <v>South East</v>
          </cell>
          <cell r="I445" t="str">
            <v>All Souls Road</v>
          </cell>
          <cell r="L445" t="str">
            <v>Ascot</v>
          </cell>
          <cell r="M445" t="str">
            <v>Berkshire</v>
          </cell>
          <cell r="N445" t="str">
            <v>SL5 9EA</v>
          </cell>
          <cell r="O445" t="str">
            <v>cockg001@rbwm.org</v>
          </cell>
        </row>
        <row r="446">
          <cell r="A446">
            <v>3844506</v>
          </cell>
          <cell r="B446">
            <v>108296</v>
          </cell>
          <cell r="C446">
            <v>384</v>
          </cell>
          <cell r="D446" t="str">
            <v>Wakefield</v>
          </cell>
          <cell r="E446">
            <v>4506</v>
          </cell>
          <cell r="F446" t="str">
            <v>Claire Ryan</v>
          </cell>
          <cell r="G446" t="str">
            <v>Cathedral School, Wakefield's School of the Arts</v>
          </cell>
          <cell r="H446" t="str">
            <v>Yorkshire and the Humber</v>
          </cell>
          <cell r="I446" t="str">
            <v>Thornes Road</v>
          </cell>
          <cell r="L446" t="str">
            <v>Wakefield</v>
          </cell>
          <cell r="M446" t="str">
            <v>West Yorkshire</v>
          </cell>
          <cell r="N446" t="str">
            <v>WF2 8QF</v>
          </cell>
          <cell r="O446" t="str">
            <v>twarren@tcseuro.co.uk</v>
          </cell>
          <cell r="P446">
            <v>40739</v>
          </cell>
        </row>
        <row r="447">
          <cell r="A447">
            <v>9333225</v>
          </cell>
          <cell r="B447">
            <v>123806</v>
          </cell>
          <cell r="C447">
            <v>933</v>
          </cell>
          <cell r="D447" t="str">
            <v>Somerset</v>
          </cell>
          <cell r="E447">
            <v>3225</v>
          </cell>
          <cell r="F447" t="str">
            <v>Kate Bosher</v>
          </cell>
          <cell r="G447" t="str">
            <v>Axbridge Church of England First School</v>
          </cell>
          <cell r="H447" t="str">
            <v>South West</v>
          </cell>
          <cell r="I447" t="str">
            <v>Moorland Street</v>
          </cell>
          <cell r="L447" t="str">
            <v>Axbridge</v>
          </cell>
          <cell r="M447" t="str">
            <v>Somerset</v>
          </cell>
          <cell r="N447" t="str">
            <v>BS26 2BA</v>
          </cell>
          <cell r="O447" t="str">
            <v>LWallace@educ.somerset.gov.uk</v>
          </cell>
          <cell r="P447">
            <v>40995</v>
          </cell>
        </row>
        <row r="448">
          <cell r="A448">
            <v>8552164</v>
          </cell>
          <cell r="B448">
            <v>119972</v>
          </cell>
          <cell r="C448">
            <v>855</v>
          </cell>
          <cell r="D448" t="str">
            <v>Leicestershire</v>
          </cell>
          <cell r="E448">
            <v>2164</v>
          </cell>
          <cell r="F448" t="str">
            <v>Sue Harp</v>
          </cell>
          <cell r="G448" t="str">
            <v>Thringstone Primary School</v>
          </cell>
          <cell r="H448" t="str">
            <v>East Midlands</v>
          </cell>
          <cell r="I448" t="str">
            <v>Hensons Lane</v>
          </cell>
          <cell r="J448" t="str">
            <v>Thringstone</v>
          </cell>
          <cell r="L448" t="str">
            <v>Coalville</v>
          </cell>
          <cell r="M448" t="str">
            <v>Leicestershire</v>
          </cell>
          <cell r="N448" t="str">
            <v>LE67 8LJ</v>
          </cell>
          <cell r="O448" t="str">
            <v>office@thringstone.leics.sch.uk</v>
          </cell>
        </row>
        <row r="449">
          <cell r="A449">
            <v>8262319</v>
          </cell>
          <cell r="B449">
            <v>110378</v>
          </cell>
          <cell r="C449">
            <v>826</v>
          </cell>
          <cell r="D449" t="str">
            <v>Milton Keynes</v>
          </cell>
          <cell r="E449">
            <v>2319</v>
          </cell>
          <cell r="F449" t="str">
            <v>Nicky Edwards</v>
          </cell>
          <cell r="G449" t="str">
            <v>Shepherdswell School</v>
          </cell>
          <cell r="H449" t="str">
            <v>South East</v>
          </cell>
          <cell r="I449" t="str">
            <v>Billingwell Place</v>
          </cell>
          <cell r="J449" t="str">
            <v>Springfield</v>
          </cell>
          <cell r="L449" t="str">
            <v>Milton Keynes</v>
          </cell>
          <cell r="M449" t="str">
            <v>Buckinghamshire</v>
          </cell>
          <cell r="N449" t="str">
            <v>MK6 3NP</v>
          </cell>
          <cell r="O449" t="str">
            <v>anne.mccormick@milton-keynes.gov.uk</v>
          </cell>
        </row>
        <row r="450">
          <cell r="A450">
            <v>8234092</v>
          </cell>
          <cell r="B450">
            <v>109676</v>
          </cell>
          <cell r="C450">
            <v>823</v>
          </cell>
          <cell r="D450" t="str">
            <v>Central Bedfordshire</v>
          </cell>
          <cell r="E450">
            <v>4092</v>
          </cell>
          <cell r="F450" t="str">
            <v>Julie McDowall</v>
          </cell>
          <cell r="G450" t="str">
            <v>Burgoyne Middle School</v>
          </cell>
          <cell r="H450" t="str">
            <v>East of England</v>
          </cell>
          <cell r="I450" t="str">
            <v>Mill Lane</v>
          </cell>
          <cell r="J450" t="str">
            <v>Potton</v>
          </cell>
          <cell r="L450" t="str">
            <v>Sandy</v>
          </cell>
          <cell r="M450" t="str">
            <v>Bedfordshire</v>
          </cell>
          <cell r="N450" t="str">
            <v>SG19 2PG</v>
          </cell>
          <cell r="P450">
            <v>40973</v>
          </cell>
        </row>
        <row r="451">
          <cell r="A451">
            <v>8933116</v>
          </cell>
          <cell r="B451">
            <v>123511</v>
          </cell>
          <cell r="C451">
            <v>893</v>
          </cell>
          <cell r="D451" t="str">
            <v>Shropshire</v>
          </cell>
          <cell r="E451">
            <v>3116</v>
          </cell>
          <cell r="F451" t="str">
            <v>Julia Waterhouse</v>
          </cell>
          <cell r="G451" t="str">
            <v>St Peter's CofE Primary School</v>
          </cell>
          <cell r="H451" t="str">
            <v>West Midlands</v>
          </cell>
          <cell r="I451" t="str">
            <v>Shrubbery Gardens</v>
          </cell>
          <cell r="J451" t="str">
            <v>Wem</v>
          </cell>
          <cell r="L451" t="str">
            <v>Shrewsbury</v>
          </cell>
          <cell r="M451" t="str">
            <v>Shropshire</v>
          </cell>
          <cell r="N451" t="str">
            <v>SY4 5BX</v>
          </cell>
          <cell r="O451" t="str">
            <v>head@st-peters.shropshire.sch.uk</v>
          </cell>
        </row>
        <row r="452">
          <cell r="A452">
            <v>8124009</v>
          </cell>
          <cell r="B452">
            <v>118066</v>
          </cell>
          <cell r="C452">
            <v>812</v>
          </cell>
          <cell r="D452" t="str">
            <v>North East Lincolnshire</v>
          </cell>
          <cell r="E452">
            <v>4009</v>
          </cell>
          <cell r="F452" t="str">
            <v>Bev Annables</v>
          </cell>
          <cell r="G452" t="str">
            <v>Hereford Technology School</v>
          </cell>
          <cell r="H452" t="str">
            <v>Yorkshire and the Humber</v>
          </cell>
          <cell r="I452" t="str">
            <v>Westward Ho</v>
          </cell>
          <cell r="L452" t="str">
            <v>Grimsby</v>
          </cell>
          <cell r="M452" t="str">
            <v>Lincolnshire</v>
          </cell>
          <cell r="N452" t="str">
            <v>DN34 5AH</v>
          </cell>
          <cell r="O452" t="str">
            <v>mcmullanh@herefordtechnologyschool.co.uk</v>
          </cell>
          <cell r="P452">
            <v>40639</v>
          </cell>
        </row>
        <row r="453">
          <cell r="A453">
            <v>9352147</v>
          </cell>
          <cell r="B453">
            <v>124639</v>
          </cell>
          <cell r="C453">
            <v>935</v>
          </cell>
          <cell r="D453" t="str">
            <v>Suffolk</v>
          </cell>
          <cell r="E453">
            <v>2147</v>
          </cell>
          <cell r="F453" t="str">
            <v>Joe Farrell</v>
          </cell>
          <cell r="G453" t="str">
            <v>The Poplars C P School</v>
          </cell>
          <cell r="H453" t="str">
            <v>East of England</v>
          </cell>
          <cell r="I453" t="str">
            <v>St Margaret's Road</v>
          </cell>
          <cell r="L453" t="str">
            <v>Lowestoft</v>
          </cell>
          <cell r="M453" t="str">
            <v>Suffolk</v>
          </cell>
          <cell r="N453" t="str">
            <v>NR32 4HN</v>
          </cell>
          <cell r="O453" t="str">
            <v>ht.poplars.p@talk21.com</v>
          </cell>
        </row>
        <row r="454">
          <cell r="A454">
            <v>8554030</v>
          </cell>
          <cell r="B454">
            <v>120253</v>
          </cell>
          <cell r="C454">
            <v>855</v>
          </cell>
          <cell r="D454" t="str">
            <v>Leicestershire</v>
          </cell>
          <cell r="E454">
            <v>4030</v>
          </cell>
          <cell r="F454" t="str">
            <v>Not yet assigned</v>
          </cell>
          <cell r="G454" t="str">
            <v>Gardendon High School</v>
          </cell>
          <cell r="H454" t="str">
            <v>East Midlands</v>
          </cell>
          <cell r="I454" t="str">
            <v>Thorpe Hill</v>
          </cell>
          <cell r="L454" t="str">
            <v>Loughborough</v>
          </cell>
          <cell r="M454" t="str">
            <v>Leicestershire</v>
          </cell>
          <cell r="N454" t="str">
            <v>LE11 4SQ</v>
          </cell>
          <cell r="O454" t="str">
            <v>smelbourne01@garendon.leics.sch.uk</v>
          </cell>
        </row>
        <row r="455">
          <cell r="A455">
            <v>8553307</v>
          </cell>
          <cell r="B455">
            <v>120195</v>
          </cell>
          <cell r="C455">
            <v>855</v>
          </cell>
          <cell r="D455" t="str">
            <v>Leicestershire</v>
          </cell>
          <cell r="E455">
            <v>3307</v>
          </cell>
          <cell r="F455" t="str">
            <v>Sue Harp</v>
          </cell>
          <cell r="G455" t="str">
            <v>Kilby St Mary's Church of England Primary School</v>
          </cell>
          <cell r="H455" t="str">
            <v>East Midlands</v>
          </cell>
          <cell r="I455" t="str">
            <v>Main Street</v>
          </cell>
          <cell r="J455" t="str">
            <v>Kilby</v>
          </cell>
          <cell r="L455" t="str">
            <v>Wigston</v>
          </cell>
          <cell r="M455" t="str">
            <v>Leicestershire</v>
          </cell>
          <cell r="N455" t="str">
            <v>LE18 3TD</v>
          </cell>
          <cell r="O455" t="str">
            <v>pdenney@kilby.leics.sch.uk</v>
          </cell>
        </row>
        <row r="456">
          <cell r="A456">
            <v>9374108</v>
          </cell>
          <cell r="B456">
            <v>125733</v>
          </cell>
          <cell r="C456">
            <v>937</v>
          </cell>
          <cell r="D456" t="str">
            <v>Warwickshire</v>
          </cell>
          <cell r="E456">
            <v>4108</v>
          </cell>
          <cell r="F456" t="str">
            <v>Carla Spink</v>
          </cell>
          <cell r="G456" t="str">
            <v>Henley-In-Arden High School</v>
          </cell>
          <cell r="H456" t="str">
            <v>West Midlands</v>
          </cell>
          <cell r="I456" t="str">
            <v>Stratford Road</v>
          </cell>
          <cell r="L456" t="str">
            <v>Henley-in-Arden</v>
          </cell>
          <cell r="M456" t="str">
            <v>Warwickshire</v>
          </cell>
          <cell r="N456" t="str">
            <v>B95 6AF</v>
          </cell>
          <cell r="O456" t="str">
            <v>pwright@henleyhigh.com</v>
          </cell>
          <cell r="P456">
            <v>40606</v>
          </cell>
        </row>
        <row r="457">
          <cell r="A457">
            <v>8652006</v>
          </cell>
          <cell r="B457">
            <v>132092</v>
          </cell>
          <cell r="C457">
            <v>865</v>
          </cell>
          <cell r="D457" t="str">
            <v>Wiltshire</v>
          </cell>
          <cell r="E457">
            <v>2006</v>
          </cell>
          <cell r="F457" t="str">
            <v>Lilian Da Cunha</v>
          </cell>
          <cell r="G457" t="str">
            <v>The Mead Community Primary School</v>
          </cell>
          <cell r="H457" t="str">
            <v>South West</v>
          </cell>
          <cell r="I457" t="str">
            <v>Hackett Place</v>
          </cell>
          <cell r="J457" t="str">
            <v>Hilperton</v>
          </cell>
          <cell r="L457" t="str">
            <v>Trowbridge</v>
          </cell>
          <cell r="M457" t="str">
            <v>Wiltshire</v>
          </cell>
          <cell r="N457" t="str">
            <v>BA14 7GN</v>
          </cell>
          <cell r="O457" t="str">
            <v>head@themead.wilts.sch.uk</v>
          </cell>
          <cell r="P457">
            <v>40854</v>
          </cell>
        </row>
        <row r="458">
          <cell r="A458">
            <v>3943323</v>
          </cell>
          <cell r="B458">
            <v>108849</v>
          </cell>
          <cell r="C458">
            <v>394</v>
          </cell>
          <cell r="D458" t="str">
            <v>Sunderland</v>
          </cell>
          <cell r="E458">
            <v>3323</v>
          </cell>
          <cell r="F458" t="str">
            <v>Glyn Newton</v>
          </cell>
          <cell r="G458" t="str">
            <v>St Michael's Roman Catholic Voluntary Aided Primary School</v>
          </cell>
          <cell r="H458" t="str">
            <v>North East</v>
          </cell>
          <cell r="I458" t="str">
            <v>Durham Road</v>
          </cell>
          <cell r="L458" t="str">
            <v>Houghton le Spring</v>
          </cell>
          <cell r="M458" t="str">
            <v>Tyne and Wear</v>
          </cell>
          <cell r="N458" t="str">
            <v>DH5 8NF</v>
          </cell>
          <cell r="O458" t="str">
            <v>paulfoster27@yahoo.co.uk</v>
          </cell>
        </row>
        <row r="459">
          <cell r="A459">
            <v>9333115</v>
          </cell>
          <cell r="B459">
            <v>123778</v>
          </cell>
          <cell r="C459">
            <v>933</v>
          </cell>
          <cell r="D459" t="str">
            <v>Somerset</v>
          </cell>
          <cell r="E459">
            <v>3115</v>
          </cell>
          <cell r="F459" t="str">
            <v>Simon Foster</v>
          </cell>
          <cell r="G459" t="str">
            <v>St Cuthbert's Church of England Infants School</v>
          </cell>
          <cell r="H459" t="str">
            <v>South West</v>
          </cell>
          <cell r="I459" t="str">
            <v>Keward Walk</v>
          </cell>
          <cell r="L459" t="str">
            <v>Wells</v>
          </cell>
          <cell r="M459" t="str">
            <v>Somerset</v>
          </cell>
          <cell r="N459" t="str">
            <v>BA5 1TZ</v>
          </cell>
          <cell r="O459" t="str">
            <v>vflicker@educ.somerset.gov.uk</v>
          </cell>
          <cell r="P459">
            <v>40763</v>
          </cell>
        </row>
        <row r="460">
          <cell r="A460">
            <v>9262016</v>
          </cell>
          <cell r="B460">
            <v>134052</v>
          </cell>
          <cell r="C460">
            <v>926</v>
          </cell>
          <cell r="D460" t="str">
            <v>Norfolk</v>
          </cell>
          <cell r="E460">
            <v>2016</v>
          </cell>
          <cell r="F460" t="str">
            <v>Joe Farrell</v>
          </cell>
          <cell r="G460" t="str">
            <v>Peterhouse Primary School</v>
          </cell>
          <cell r="H460" t="str">
            <v>East of England</v>
          </cell>
          <cell r="I460" t="str">
            <v>Peterhouse Avenue</v>
          </cell>
          <cell r="J460" t="str">
            <v>Gorleston</v>
          </cell>
          <cell r="L460" t="str">
            <v>Great Yarmouth</v>
          </cell>
          <cell r="M460" t="str">
            <v>Norfolk</v>
          </cell>
          <cell r="N460" t="str">
            <v>NR31 7PZ</v>
          </cell>
          <cell r="O460" t="str">
            <v>head@peterhouse.norfolk.sch.uk</v>
          </cell>
        </row>
        <row r="461">
          <cell r="A461">
            <v>8912201</v>
          </cell>
          <cell r="B461">
            <v>122510</v>
          </cell>
          <cell r="C461">
            <v>891</v>
          </cell>
          <cell r="D461" t="str">
            <v>Nottinghamshire</v>
          </cell>
          <cell r="E461">
            <v>2201</v>
          </cell>
          <cell r="G461" t="str">
            <v>Ernehale Junior School</v>
          </cell>
          <cell r="H461" t="str">
            <v>East Midlands</v>
          </cell>
          <cell r="I461" t="str">
            <v>Derwent Crescent</v>
          </cell>
          <cell r="J461" t="str">
            <v>Gedling Road</v>
          </cell>
          <cell r="K461" t="str">
            <v>Arnold</v>
          </cell>
          <cell r="L461" t="str">
            <v>Nottingham</v>
          </cell>
          <cell r="M461" t="str">
            <v>Nottinghamshire</v>
          </cell>
          <cell r="N461" t="str">
            <v>NG5 6TA</v>
          </cell>
          <cell r="O461" t="str">
            <v>head@ernehale-jun.notts.sch.uk</v>
          </cell>
        </row>
        <row r="462">
          <cell r="A462">
            <v>8923318</v>
          </cell>
          <cell r="B462">
            <v>122782</v>
          </cell>
          <cell r="C462">
            <v>892</v>
          </cell>
          <cell r="D462" t="str">
            <v>Nottingham</v>
          </cell>
          <cell r="E462">
            <v>3318</v>
          </cell>
          <cell r="F462" t="str">
            <v>Stella Mascarenhas-Keys</v>
          </cell>
          <cell r="G462" t="str">
            <v>Our Lady of Perpetual Succour Catholic Primary School</v>
          </cell>
          <cell r="H462" t="str">
            <v>East Midlands</v>
          </cell>
          <cell r="I462" t="str">
            <v>Piccadilly</v>
          </cell>
          <cell r="J462" t="str">
            <v>Bulwell</v>
          </cell>
          <cell r="L462" t="str">
            <v>Nottingham</v>
          </cell>
          <cell r="M462" t="str">
            <v>Nottinghamshire</v>
          </cell>
          <cell r="N462" t="str">
            <v>NG6 9FN</v>
          </cell>
          <cell r="O462" t="str">
            <v>headteacher@ourladyops.nottingham.sch.uk</v>
          </cell>
          <cell r="P462">
            <v>40942</v>
          </cell>
        </row>
        <row r="463">
          <cell r="A463">
            <v>9361120</v>
          </cell>
          <cell r="B463">
            <v>134108</v>
          </cell>
          <cell r="C463">
            <v>936</v>
          </cell>
          <cell r="D463" t="str">
            <v>Surrey</v>
          </cell>
          <cell r="E463">
            <v>1120</v>
          </cell>
          <cell r="F463" t="str">
            <v>Eric Mcewen</v>
          </cell>
          <cell r="G463" t="str">
            <v>The Surrey Teaching Centre</v>
          </cell>
          <cell r="H463" t="str">
            <v>South East</v>
          </cell>
          <cell r="I463" t="str">
            <v>The Children's Trust</v>
          </cell>
          <cell r="J463" t="str">
            <v>Tadworth Court</v>
          </cell>
          <cell r="L463" t="str">
            <v>Tadworth</v>
          </cell>
          <cell r="M463" t="str">
            <v>Surrey</v>
          </cell>
          <cell r="N463" t="str">
            <v>KT20 5RU</v>
          </cell>
          <cell r="P463">
            <v>40991</v>
          </cell>
        </row>
        <row r="464">
          <cell r="A464">
            <v>8842102</v>
          </cell>
          <cell r="B464">
            <v>116706</v>
          </cell>
          <cell r="C464">
            <v>884</v>
          </cell>
          <cell r="D464" t="str">
            <v>Herefordshire</v>
          </cell>
          <cell r="E464">
            <v>2102</v>
          </cell>
          <cell r="F464" t="str">
            <v>Julia Waterhouse</v>
          </cell>
          <cell r="G464" t="str">
            <v>Lugwardine Primary School</v>
          </cell>
          <cell r="H464" t="str">
            <v>West Midlands</v>
          </cell>
          <cell r="I464" t="str">
            <v>Barneby Avenue</v>
          </cell>
          <cell r="J464" t="str">
            <v>Bartestree</v>
          </cell>
          <cell r="L464" t="str">
            <v>Hereford</v>
          </cell>
          <cell r="M464" t="str">
            <v>Herefordshire</v>
          </cell>
          <cell r="N464" t="str">
            <v>HR1 4DH</v>
          </cell>
          <cell r="O464" t="str">
            <v>jpowell@lugwardine.hereford.sch.uk</v>
          </cell>
          <cell r="P464">
            <v>40882</v>
          </cell>
        </row>
        <row r="465">
          <cell r="A465">
            <v>8964623</v>
          </cell>
          <cell r="B465">
            <v>111455</v>
          </cell>
          <cell r="C465">
            <v>896</v>
          </cell>
          <cell r="D465" t="str">
            <v>Cheshire West and Chester</v>
          </cell>
          <cell r="E465">
            <v>4623</v>
          </cell>
          <cell r="F465" t="str">
            <v>Maria Sabberton</v>
          </cell>
          <cell r="G465" t="str">
            <v>The Bishops' Blue Coat Church of England High School</v>
          </cell>
          <cell r="H465" t="str">
            <v>North West</v>
          </cell>
          <cell r="I465" t="str">
            <v>Vaughans Lane</v>
          </cell>
          <cell r="J465" t="str">
            <v>Great Boughton</v>
          </cell>
          <cell r="L465" t="str">
            <v>Chester</v>
          </cell>
          <cell r="M465" t="str">
            <v>Cheshire</v>
          </cell>
          <cell r="N465" t="str">
            <v>CH3 5XF</v>
          </cell>
          <cell r="O465" t="str">
            <v xml:space="preserve"> jblakebrough@bishopschester.co.uk</v>
          </cell>
          <cell r="P465">
            <v>40557</v>
          </cell>
        </row>
        <row r="466">
          <cell r="A466">
            <v>8614173</v>
          </cell>
          <cell r="B466">
            <v>124440</v>
          </cell>
          <cell r="C466">
            <v>861</v>
          </cell>
          <cell r="D466" t="str">
            <v>Stoke-on-Trent</v>
          </cell>
          <cell r="E466">
            <v>4173</v>
          </cell>
          <cell r="F466" t="str">
            <v>Julia Waterhouse</v>
          </cell>
          <cell r="G466" t="str">
            <v>Haywood Engineering College</v>
          </cell>
          <cell r="H466" t="str">
            <v>West Midlands</v>
          </cell>
          <cell r="I466" t="str">
            <v>High Lane</v>
          </cell>
          <cell r="J466" t="str">
            <v>Burslem</v>
          </cell>
          <cell r="L466" t="str">
            <v>Stoke-on-Trent</v>
          </cell>
          <cell r="M466" t="str">
            <v>Staffordshire</v>
          </cell>
          <cell r="N466" t="str">
            <v>ST6 7AB</v>
          </cell>
          <cell r="O466" t="str">
            <v>ddickinson@sgfl.org.uk</v>
          </cell>
          <cell r="P466">
            <v>40683</v>
          </cell>
        </row>
        <row r="467">
          <cell r="A467">
            <v>8523202</v>
          </cell>
          <cell r="B467">
            <v>116341</v>
          </cell>
          <cell r="C467">
            <v>852</v>
          </cell>
          <cell r="D467" t="str">
            <v>Southampton</v>
          </cell>
          <cell r="E467">
            <v>3202</v>
          </cell>
          <cell r="F467" t="str">
            <v>Sarah Hall</v>
          </cell>
          <cell r="G467" t="str">
            <v>Freemantle C.E.School</v>
          </cell>
          <cell r="H467" t="str">
            <v>South East</v>
          </cell>
          <cell r="I467" t="str">
            <v>Mansion Road</v>
          </cell>
          <cell r="J467" t="str">
            <v>Freemantle</v>
          </cell>
          <cell r="L467" t="str">
            <v>Southampton</v>
          </cell>
          <cell r="M467" t="str">
            <v>Hampshire</v>
          </cell>
          <cell r="N467" t="str">
            <v>SO15 3BQ</v>
          </cell>
          <cell r="O467" t="str">
            <v>head@freemantle.southampton.sch.uk</v>
          </cell>
          <cell r="P467">
            <v>40511</v>
          </cell>
        </row>
        <row r="468">
          <cell r="A468">
            <v>8604144</v>
          </cell>
          <cell r="B468">
            <v>124428</v>
          </cell>
          <cell r="C468">
            <v>860</v>
          </cell>
          <cell r="D468" t="str">
            <v>Staffordshire</v>
          </cell>
          <cell r="E468">
            <v>4144</v>
          </cell>
          <cell r="F468" t="str">
            <v>Not yet assigned</v>
          </cell>
          <cell r="G468" t="str">
            <v>James Bateman Junior High School</v>
          </cell>
          <cell r="H468" t="str">
            <v>West Midlands</v>
          </cell>
          <cell r="I468" t="str">
            <v>Park Lane</v>
          </cell>
          <cell r="J468" t="str">
            <v>Knypersley</v>
          </cell>
          <cell r="L468" t="str">
            <v>Stoke-on-Trent</v>
          </cell>
          <cell r="M468" t="str">
            <v>Staffordshire</v>
          </cell>
          <cell r="N468" t="str">
            <v>ST8 7AT</v>
          </cell>
          <cell r="O468" t="str">
            <v>headteacher@jamesbateman.staffs.sch.uk</v>
          </cell>
        </row>
        <row r="469">
          <cell r="A469">
            <v>8262082</v>
          </cell>
          <cell r="B469">
            <v>110246</v>
          </cell>
          <cell r="C469">
            <v>826</v>
          </cell>
          <cell r="D469" t="str">
            <v>Milton Keynes</v>
          </cell>
          <cell r="E469">
            <v>2082</v>
          </cell>
          <cell r="F469" t="str">
            <v>Sarah Nairne</v>
          </cell>
          <cell r="G469" t="str">
            <v>Olney Infant School</v>
          </cell>
          <cell r="H469" t="str">
            <v>South East</v>
          </cell>
          <cell r="I469" t="str">
            <v>Spinney Hill Road</v>
          </cell>
          <cell r="L469" t="str">
            <v>Olney</v>
          </cell>
          <cell r="M469" t="str">
            <v>Buckinghamshire</v>
          </cell>
          <cell r="N469" t="str">
            <v>MK46 5AD</v>
          </cell>
          <cell r="O469" t="str">
            <v>steve.dunning@milton-keynes.gov.uk</v>
          </cell>
          <cell r="P469">
            <v>40584</v>
          </cell>
        </row>
        <row r="470">
          <cell r="A470">
            <v>8552193</v>
          </cell>
          <cell r="B470">
            <v>119993</v>
          </cell>
          <cell r="C470">
            <v>855</v>
          </cell>
          <cell r="D470" t="str">
            <v>Leicestershire</v>
          </cell>
          <cell r="E470">
            <v>2193</v>
          </cell>
          <cell r="F470" t="str">
            <v>Sue Harp</v>
          </cell>
          <cell r="G470" t="str">
            <v>Thythorn Field Community Primary School</v>
          </cell>
          <cell r="H470" t="str">
            <v>East Midlands</v>
          </cell>
          <cell r="I470" t="str">
            <v>Bidesford Close</v>
          </cell>
          <cell r="L470" t="str">
            <v>Wigston</v>
          </cell>
          <cell r="M470" t="str">
            <v>Leicestershire</v>
          </cell>
          <cell r="N470" t="str">
            <v>LE18 2QU</v>
          </cell>
          <cell r="O470" t="str">
            <v>cralph@thythornfield.leics.sch.uk</v>
          </cell>
        </row>
        <row r="471">
          <cell r="A471">
            <v>8815253</v>
          </cell>
          <cell r="B471">
            <v>115293</v>
          </cell>
          <cell r="C471">
            <v>881</v>
          </cell>
          <cell r="D471" t="str">
            <v>Essex</v>
          </cell>
          <cell r="E471">
            <v>5253</v>
          </cell>
          <cell r="F471" t="str">
            <v>Claire Ivie</v>
          </cell>
          <cell r="G471" t="str">
            <v>St Helen's Catholic Junior School</v>
          </cell>
          <cell r="H471" t="str">
            <v>East of England</v>
          </cell>
          <cell r="I471" t="str">
            <v>Sawyers Hall Lane</v>
          </cell>
          <cell r="L471" t="str">
            <v>Brentwood</v>
          </cell>
          <cell r="M471" t="str">
            <v>Essex</v>
          </cell>
          <cell r="N471" t="str">
            <v>CM15 9BY</v>
          </cell>
          <cell r="O471" t="str">
            <v>head@st-helens-jun.essex.sch.uk</v>
          </cell>
          <cell r="P471">
            <v>40674</v>
          </cell>
        </row>
        <row r="472">
          <cell r="A472">
            <v>3334111</v>
          </cell>
          <cell r="B472">
            <v>104012</v>
          </cell>
          <cell r="C472">
            <v>333</v>
          </cell>
          <cell r="D472" t="str">
            <v>Sandwell</v>
          </cell>
          <cell r="E472">
            <v>4111</v>
          </cell>
          <cell r="F472" t="str">
            <v>Stephen Bagnall</v>
          </cell>
          <cell r="G472" t="str">
            <v>Perryfields High School Specialist Maths and Computing College</v>
          </cell>
          <cell r="H472" t="str">
            <v>West Midlands</v>
          </cell>
          <cell r="I472" t="str">
            <v>Oldacre Road</v>
          </cell>
          <cell r="L472" t="str">
            <v>Oldbury</v>
          </cell>
          <cell r="M472" t="str">
            <v>West Midlands</v>
          </cell>
          <cell r="N472" t="str">
            <v>B68 0RG</v>
          </cell>
          <cell r="O472" t="str">
            <v>dai.meredith@perryfieldshigh.sandwell.sch.uk</v>
          </cell>
        </row>
        <row r="473">
          <cell r="A473">
            <v>9314127</v>
          </cell>
          <cell r="B473">
            <v>123257</v>
          </cell>
          <cell r="C473">
            <v>931</v>
          </cell>
          <cell r="D473" t="str">
            <v>Oxfordshire</v>
          </cell>
          <cell r="E473">
            <v>4127</v>
          </cell>
          <cell r="F473" t="str">
            <v>Sarah Nairne</v>
          </cell>
          <cell r="G473" t="str">
            <v>Fitzharrys School</v>
          </cell>
          <cell r="H473" t="str">
            <v>South East</v>
          </cell>
          <cell r="I473" t="str">
            <v>Northcourt Road</v>
          </cell>
          <cell r="L473" t="str">
            <v>Abingdon</v>
          </cell>
          <cell r="M473" t="str">
            <v>Oxfordshire</v>
          </cell>
          <cell r="N473" t="str">
            <v>OX14 1NP</v>
          </cell>
          <cell r="O473" t="str">
            <v>smtranter@fitzharrys.oxon.sch.uk</v>
          </cell>
        </row>
        <row r="474">
          <cell r="A474">
            <v>3934605</v>
          </cell>
          <cell r="B474">
            <v>134512</v>
          </cell>
          <cell r="C474">
            <v>393</v>
          </cell>
          <cell r="D474" t="str">
            <v>South Tyneside</v>
          </cell>
          <cell r="E474">
            <v>4605</v>
          </cell>
          <cell r="F474" t="str">
            <v>Adriarna Goodinson</v>
          </cell>
          <cell r="G474" t="str">
            <v>Whitburn CofE School</v>
          </cell>
          <cell r="H474" t="str">
            <v>North East</v>
          </cell>
          <cell r="J474" t="str">
            <v>Whitburn</v>
          </cell>
          <cell r="L474" t="str">
            <v>Sunderland</v>
          </cell>
          <cell r="M474" t="str">
            <v>Tyne and Wear</v>
          </cell>
          <cell r="N474" t="str">
            <v>SR6 7EF</v>
          </cell>
          <cell r="O474" t="str">
            <v>pwilliams@whitburn.s-tyneside.sch.uk</v>
          </cell>
          <cell r="P474">
            <v>40350</v>
          </cell>
        </row>
        <row r="475">
          <cell r="A475">
            <v>9095413</v>
          </cell>
          <cell r="B475">
            <v>112440</v>
          </cell>
          <cell r="C475">
            <v>909</v>
          </cell>
          <cell r="D475" t="str">
            <v>Cumbria</v>
          </cell>
          <cell r="E475">
            <v>5413</v>
          </cell>
          <cell r="F475" t="str">
            <v>Linda Tiley</v>
          </cell>
          <cell r="G475" t="str">
            <v>Caldew School</v>
          </cell>
          <cell r="H475" t="str">
            <v>North West</v>
          </cell>
          <cell r="I475" t="str">
            <v>Dalston</v>
          </cell>
          <cell r="L475" t="str">
            <v>Carlisle</v>
          </cell>
          <cell r="M475" t="str">
            <v>Cumbria</v>
          </cell>
          <cell r="N475" t="str">
            <v>CA5 7NN</v>
          </cell>
          <cell r="O475" t="str">
            <v>andyabernethy@caldew.cumbria.sch.uk</v>
          </cell>
          <cell r="P475">
            <v>40640</v>
          </cell>
        </row>
        <row r="476">
          <cell r="A476">
            <v>8812578</v>
          </cell>
          <cell r="B476">
            <v>114897</v>
          </cell>
          <cell r="C476">
            <v>881</v>
          </cell>
          <cell r="D476" t="str">
            <v>Essex</v>
          </cell>
          <cell r="E476">
            <v>2578</v>
          </cell>
          <cell r="F476" t="str">
            <v>Lilian Da Cunha</v>
          </cell>
          <cell r="G476" t="str">
            <v>Lee Chapel Primary School</v>
          </cell>
          <cell r="H476" t="str">
            <v>East of England</v>
          </cell>
          <cell r="I476" t="str">
            <v>The Knares</v>
          </cell>
          <cell r="L476" t="str">
            <v>Basildon</v>
          </cell>
          <cell r="M476" t="str">
            <v>Essex</v>
          </cell>
          <cell r="N476" t="str">
            <v>SS16 5RU</v>
          </cell>
          <cell r="O476" t="str">
            <v xml:space="preserve"> headteacher@leechapel.essex.sch.uk</v>
          </cell>
          <cell r="P476">
            <v>40625</v>
          </cell>
        </row>
        <row r="477">
          <cell r="A477">
            <v>2084509</v>
          </cell>
          <cell r="B477">
            <v>100627</v>
          </cell>
          <cell r="C477">
            <v>208</v>
          </cell>
          <cell r="D477" t="str">
            <v>Lambeth</v>
          </cell>
          <cell r="E477">
            <v>4509</v>
          </cell>
          <cell r="F477" t="str">
            <v>Tahir Shams</v>
          </cell>
          <cell r="G477" t="str">
            <v>Charles Edward Brooke School</v>
          </cell>
          <cell r="H477" t="str">
            <v>London</v>
          </cell>
          <cell r="I477" t="str">
            <v>Brooke Site Langton Road</v>
          </cell>
          <cell r="L477" t="str">
            <v>London</v>
          </cell>
          <cell r="N477" t="str">
            <v>SW9 6UL</v>
          </cell>
        </row>
        <row r="478">
          <cell r="A478">
            <v>9283344</v>
          </cell>
          <cell r="B478">
            <v>122032</v>
          </cell>
          <cell r="C478">
            <v>928</v>
          </cell>
          <cell r="D478" t="str">
            <v>Northamptonshire</v>
          </cell>
          <cell r="E478">
            <v>3344</v>
          </cell>
          <cell r="F478" t="str">
            <v>Pauline Cole</v>
          </cell>
          <cell r="G478" t="str">
            <v>St Loys Church of England Primary School, Weedon Lois</v>
          </cell>
          <cell r="H478" t="str">
            <v>East Midlands</v>
          </cell>
          <cell r="I478" t="str">
            <v>Milthorpe Road</v>
          </cell>
          <cell r="J478" t="str">
            <v>Weedon Lois</v>
          </cell>
          <cell r="L478" t="str">
            <v>Towcester</v>
          </cell>
          <cell r="M478" t="str">
            <v>Northamptonshire</v>
          </cell>
          <cell r="N478" t="str">
            <v>NN12 8PP</v>
          </cell>
          <cell r="O478" t="str">
            <v>head@weedonlois.northants-ecl.gov.uk</v>
          </cell>
          <cell r="P478">
            <v>41232</v>
          </cell>
        </row>
        <row r="479">
          <cell r="A479">
            <v>9194009</v>
          </cell>
          <cell r="B479">
            <v>117503</v>
          </cell>
          <cell r="C479">
            <v>919</v>
          </cell>
          <cell r="D479" t="str">
            <v>Hertfordshire</v>
          </cell>
          <cell r="E479">
            <v>4009</v>
          </cell>
          <cell r="F479" t="str">
            <v>Kish Chetty</v>
          </cell>
          <cell r="G479" t="str">
            <v>Hitchin Girls' School</v>
          </cell>
          <cell r="H479" t="str">
            <v>East of England</v>
          </cell>
          <cell r="I479" t="str">
            <v>Highbury Road</v>
          </cell>
          <cell r="L479" t="str">
            <v>Hitchin</v>
          </cell>
          <cell r="M479" t="str">
            <v>Hertfordshire</v>
          </cell>
          <cell r="N479" t="str">
            <v>SG4 9RS</v>
          </cell>
          <cell r="O479" t="str">
            <v>head@hgs.herts.sch.uk</v>
          </cell>
          <cell r="P479">
            <v>40634</v>
          </cell>
        </row>
        <row r="480">
          <cell r="A480">
            <v>9082511</v>
          </cell>
          <cell r="B480">
            <v>111918</v>
          </cell>
          <cell r="C480">
            <v>908</v>
          </cell>
          <cell r="D480" t="str">
            <v>Cornwall</v>
          </cell>
          <cell r="E480">
            <v>2511</v>
          </cell>
          <cell r="F480" t="str">
            <v>Nigel Hutchins</v>
          </cell>
          <cell r="G480" t="str">
            <v>Padstow School</v>
          </cell>
          <cell r="H480" t="str">
            <v>South West</v>
          </cell>
          <cell r="I480" t="str">
            <v>Grenville Road</v>
          </cell>
          <cell r="L480" t="str">
            <v>Padstow</v>
          </cell>
          <cell r="M480" t="str">
            <v>Cornwall</v>
          </cell>
          <cell r="N480" t="str">
            <v>PL28 8EX</v>
          </cell>
          <cell r="O480" t="str">
            <v xml:space="preserve"> head@padstow.cornwall.sch.uk</v>
          </cell>
          <cell r="P480">
            <v>40586</v>
          </cell>
        </row>
        <row r="481">
          <cell r="A481">
            <v>8652202</v>
          </cell>
          <cell r="B481">
            <v>126273</v>
          </cell>
          <cell r="C481">
            <v>865</v>
          </cell>
          <cell r="D481" t="str">
            <v>Wiltshire</v>
          </cell>
          <cell r="E481">
            <v>2202</v>
          </cell>
          <cell r="F481" t="str">
            <v>Not yet assigned</v>
          </cell>
          <cell r="G481" t="str">
            <v>St Sampson's Infant School</v>
          </cell>
          <cell r="H481" t="str">
            <v>South West</v>
          </cell>
          <cell r="I481" t="str">
            <v>Bath Road</v>
          </cell>
          <cell r="J481" t="str">
            <v>Cricklade</v>
          </cell>
          <cell r="L481" t="str">
            <v>Swindon</v>
          </cell>
          <cell r="M481" t="str">
            <v>Wiltshire</v>
          </cell>
          <cell r="N481" t="str">
            <v>SN6 6AX</v>
          </cell>
          <cell r="O481" t="str">
            <v>head@st-sampsons-inf.wilts.sch.uk</v>
          </cell>
        </row>
        <row r="482">
          <cell r="A482">
            <v>8654001</v>
          </cell>
          <cell r="B482">
            <v>134199</v>
          </cell>
          <cell r="C482">
            <v>865</v>
          </cell>
          <cell r="D482" t="str">
            <v>Wiltshire</v>
          </cell>
          <cell r="E482">
            <v>4001</v>
          </cell>
          <cell r="F482" t="str">
            <v>Not yet assigned</v>
          </cell>
          <cell r="G482" t="str">
            <v>Wyvern College</v>
          </cell>
          <cell r="H482" t="str">
            <v>South West</v>
          </cell>
          <cell r="I482" t="str">
            <v>Church Road</v>
          </cell>
          <cell r="J482" t="str">
            <v>Laverstock</v>
          </cell>
          <cell r="L482" t="str">
            <v>Salisbury</v>
          </cell>
          <cell r="M482" t="str">
            <v>Wiltshire</v>
          </cell>
          <cell r="N482" t="str">
            <v>SP1 1RE</v>
          </cell>
          <cell r="O482" t="str">
            <v>ctomes@wyverncollege.wilts.sch.uk</v>
          </cell>
        </row>
        <row r="483">
          <cell r="A483">
            <v>3304108</v>
          </cell>
          <cell r="B483">
            <v>103491</v>
          </cell>
          <cell r="C483">
            <v>330</v>
          </cell>
          <cell r="D483" t="str">
            <v>Birmingham</v>
          </cell>
          <cell r="E483">
            <v>4108</v>
          </cell>
          <cell r="F483" t="str">
            <v>Lilian Da Cunha</v>
          </cell>
          <cell r="G483" t="str">
            <v>Bartley Green School</v>
          </cell>
          <cell r="H483" t="str">
            <v>West Midlands</v>
          </cell>
          <cell r="I483" t="str">
            <v>Adams Hill</v>
          </cell>
          <cell r="L483" t="str">
            <v>Birmingham</v>
          </cell>
          <cell r="M483" t="str">
            <v>West Midlands</v>
          </cell>
          <cell r="N483" t="str">
            <v>B32 3QJ</v>
          </cell>
          <cell r="O483" t="str">
            <v>chris.owen@bgtc.bham.sch.uk</v>
          </cell>
          <cell r="P483">
            <v>40518</v>
          </cell>
        </row>
        <row r="484">
          <cell r="A484">
            <v>3302053</v>
          </cell>
          <cell r="B484">
            <v>103188</v>
          </cell>
          <cell r="C484">
            <v>330</v>
          </cell>
          <cell r="D484" t="str">
            <v>Birmingham</v>
          </cell>
          <cell r="E484">
            <v>2053</v>
          </cell>
          <cell r="F484" t="str">
            <v>Hannah Copp</v>
          </cell>
          <cell r="G484" t="str">
            <v>Colmore Junior School</v>
          </cell>
          <cell r="H484" t="str">
            <v>West Midlands</v>
          </cell>
          <cell r="I484" t="str">
            <v>Colmore Road</v>
          </cell>
          <cell r="J484" t="str">
            <v>Kings Heath</v>
          </cell>
          <cell r="L484" t="str">
            <v>Birmingham</v>
          </cell>
          <cell r="M484" t="str">
            <v>West Midlands</v>
          </cell>
          <cell r="N484" t="str">
            <v>B14 6AJ</v>
          </cell>
          <cell r="O484" t="str">
            <v>cheryl.millard@colmorej.bham.sch.uk</v>
          </cell>
        </row>
        <row r="485">
          <cell r="A485">
            <v>3034030</v>
          </cell>
          <cell r="B485">
            <v>101471</v>
          </cell>
          <cell r="C485">
            <v>303</v>
          </cell>
          <cell r="D485" t="str">
            <v>Bexley</v>
          </cell>
          <cell r="E485">
            <v>4030</v>
          </cell>
          <cell r="F485" t="str">
            <v>Helen Fisher</v>
          </cell>
          <cell r="G485" t="str">
            <v>Cleeve Park School</v>
          </cell>
          <cell r="H485" t="str">
            <v>London</v>
          </cell>
          <cell r="I485" t="str">
            <v>Bexley Lane</v>
          </cell>
          <cell r="L485" t="str">
            <v>Sidcup</v>
          </cell>
          <cell r="M485" t="str">
            <v>Kent</v>
          </cell>
          <cell r="N485" t="str">
            <v>DA14 4JN</v>
          </cell>
          <cell r="O485" t="str">
            <v>hodkinson@cleevepark.bexley.sch.uk</v>
          </cell>
          <cell r="P485">
            <v>40899</v>
          </cell>
        </row>
        <row r="486">
          <cell r="A486">
            <v>9312252</v>
          </cell>
          <cell r="B486">
            <v>123015</v>
          </cell>
          <cell r="C486">
            <v>931</v>
          </cell>
          <cell r="D486" t="str">
            <v>Oxfordshire</v>
          </cell>
          <cell r="E486">
            <v>2252</v>
          </cell>
          <cell r="F486" t="str">
            <v>Sarah Nairne</v>
          </cell>
          <cell r="G486" t="str">
            <v>Carterton Primary School</v>
          </cell>
          <cell r="H486" t="str">
            <v>South East</v>
          </cell>
          <cell r="I486" t="str">
            <v>Burford Road</v>
          </cell>
          <cell r="L486" t="str">
            <v>Carterton</v>
          </cell>
          <cell r="M486" t="str">
            <v>Oxfordshire</v>
          </cell>
          <cell r="N486" t="str">
            <v>OX18 3AD</v>
          </cell>
          <cell r="O486" t="str">
            <v>office.2252@carterton-pri.oxon.sch.uk</v>
          </cell>
        </row>
        <row r="487">
          <cell r="A487">
            <v>8253068</v>
          </cell>
          <cell r="B487">
            <v>110444</v>
          </cell>
          <cell r="C487">
            <v>825</v>
          </cell>
          <cell r="D487" t="str">
            <v>Buckinghamshire</v>
          </cell>
          <cell r="E487">
            <v>3068</v>
          </cell>
          <cell r="F487" t="str">
            <v>Darren Francis</v>
          </cell>
          <cell r="G487" t="str">
            <v>Mursley Church of England School</v>
          </cell>
          <cell r="H487" t="str">
            <v>South East</v>
          </cell>
          <cell r="I487" t="str">
            <v>Main Street</v>
          </cell>
          <cell r="J487" t="str">
            <v>Mursley</v>
          </cell>
          <cell r="L487" t="str">
            <v>Milton Keynes</v>
          </cell>
          <cell r="M487" t="str">
            <v>Buckinghamshire</v>
          </cell>
          <cell r="N487" t="str">
            <v>MK17 0RT</v>
          </cell>
        </row>
        <row r="488">
          <cell r="A488">
            <v>9262005</v>
          </cell>
          <cell r="B488">
            <v>134045</v>
          </cell>
          <cell r="C488">
            <v>926</v>
          </cell>
          <cell r="D488" t="str">
            <v>Norfolk</v>
          </cell>
          <cell r="E488">
            <v>2005</v>
          </cell>
          <cell r="F488" t="str">
            <v>Shreena Patel</v>
          </cell>
          <cell r="G488" t="str">
            <v>Moorlands CofE Voluntary Controlled Primary School</v>
          </cell>
          <cell r="H488" t="str">
            <v>East of England</v>
          </cell>
          <cell r="I488" t="str">
            <v>Moorland Way</v>
          </cell>
          <cell r="J488" t="str">
            <v>Belton</v>
          </cell>
          <cell r="L488" t="str">
            <v>Great Yarmouth</v>
          </cell>
          <cell r="M488" t="str">
            <v>Norfolk</v>
          </cell>
          <cell r="N488" t="str">
            <v>NR31 9PA</v>
          </cell>
          <cell r="O488" t="str">
            <v>head@moorlands.norfolk.sch.uk</v>
          </cell>
        </row>
        <row r="489">
          <cell r="A489">
            <v>3713007</v>
          </cell>
          <cell r="B489">
            <v>106759</v>
          </cell>
          <cell r="C489">
            <v>371</v>
          </cell>
          <cell r="D489" t="str">
            <v>Doncaster</v>
          </cell>
          <cell r="E489">
            <v>3007</v>
          </cell>
          <cell r="F489" t="str">
            <v>Claire Ryan</v>
          </cell>
          <cell r="G489" t="str">
            <v>Finningley Church of England Primary School</v>
          </cell>
          <cell r="H489" t="str">
            <v>Yorkshire and the Humber</v>
          </cell>
          <cell r="I489" t="str">
            <v>Silver Birch Grove</v>
          </cell>
          <cell r="J489" t="str">
            <v>Finningley</v>
          </cell>
          <cell r="L489" t="str">
            <v>Doncaster</v>
          </cell>
          <cell r="M489" t="str">
            <v>South Yorkshire</v>
          </cell>
          <cell r="N489" t="str">
            <v>DN9 3EQ</v>
          </cell>
          <cell r="O489" t="str">
            <v>finningleyhead@gmail.com</v>
          </cell>
          <cell r="P489">
            <v>40995</v>
          </cell>
        </row>
        <row r="490">
          <cell r="A490">
            <v>3924605</v>
          </cell>
          <cell r="B490">
            <v>108648</v>
          </cell>
          <cell r="C490">
            <v>392</v>
          </cell>
          <cell r="D490" t="str">
            <v>North Tyneside</v>
          </cell>
          <cell r="E490">
            <v>4605</v>
          </cell>
          <cell r="F490" t="str">
            <v>Lisa Sargeant</v>
          </cell>
          <cell r="G490" t="str">
            <v>St Thomas More Roman Catholic High School Aided</v>
          </cell>
          <cell r="H490" t="str">
            <v>North East</v>
          </cell>
          <cell r="I490" t="str">
            <v>Lynn Road</v>
          </cell>
          <cell r="L490" t="str">
            <v>North Shields</v>
          </cell>
          <cell r="M490" t="str">
            <v>Tyne and Wear</v>
          </cell>
          <cell r="N490" t="str">
            <v>NE29 8LF</v>
          </cell>
          <cell r="O490" t="str">
            <v>DDONKIN@stmschool.org.uk</v>
          </cell>
          <cell r="P490">
            <v>40812</v>
          </cell>
        </row>
        <row r="491">
          <cell r="A491">
            <v>3814024</v>
          </cell>
          <cell r="B491">
            <v>107563</v>
          </cell>
          <cell r="C491">
            <v>381</v>
          </cell>
          <cell r="D491" t="str">
            <v>Calderdale</v>
          </cell>
          <cell r="E491">
            <v>4024</v>
          </cell>
          <cell r="F491" t="str">
            <v>Bev Annables</v>
          </cell>
          <cell r="G491" t="str">
            <v>Sowerby Bridge High School</v>
          </cell>
          <cell r="H491" t="str">
            <v>Yorkshire and the Humber</v>
          </cell>
          <cell r="I491" t="str">
            <v>Albert Road</v>
          </cell>
          <cell r="L491" t="str">
            <v>Sowerby Bridge</v>
          </cell>
          <cell r="M491" t="str">
            <v>West Yorkshire</v>
          </cell>
          <cell r="N491" t="str">
            <v>HX6 2NW</v>
          </cell>
          <cell r="O491" t="str">
            <v>ksanderson@sbhs.co.uk</v>
          </cell>
        </row>
        <row r="492">
          <cell r="A492">
            <v>8922906</v>
          </cell>
          <cell r="B492">
            <v>122711</v>
          </cell>
          <cell r="C492">
            <v>892</v>
          </cell>
          <cell r="D492" t="str">
            <v>Nottingham</v>
          </cell>
          <cell r="E492">
            <v>2906</v>
          </cell>
          <cell r="F492" t="str">
            <v>Frances Blow</v>
          </cell>
          <cell r="G492" t="str">
            <v>Milford Primary School</v>
          </cell>
          <cell r="H492" t="str">
            <v>East Midlands</v>
          </cell>
          <cell r="I492" t="str">
            <v>Dungannon Road</v>
          </cell>
          <cell r="J492" t="str">
            <v>Clifton Estate</v>
          </cell>
          <cell r="L492" t="str">
            <v>Nottingham</v>
          </cell>
          <cell r="M492" t="str">
            <v>Nottinghamshire</v>
          </cell>
          <cell r="N492" t="str">
            <v>NG11 9BT</v>
          </cell>
          <cell r="O492" t="str">
            <v>headteacher@milford.nottingham.sch.uk</v>
          </cell>
          <cell r="P492">
            <v>41045</v>
          </cell>
        </row>
        <row r="493">
          <cell r="A493">
            <v>8782231</v>
          </cell>
          <cell r="B493">
            <v>113154</v>
          </cell>
          <cell r="C493">
            <v>878</v>
          </cell>
          <cell r="D493" t="str">
            <v>Devon</v>
          </cell>
          <cell r="E493">
            <v>2231</v>
          </cell>
          <cell r="F493" t="str">
            <v>Niko Thomas</v>
          </cell>
          <cell r="G493" t="str">
            <v>Horwood and Newton Tracey Community Primary School</v>
          </cell>
          <cell r="H493" t="str">
            <v>South West</v>
          </cell>
          <cell r="I493" t="str">
            <v>Lovacott</v>
          </cell>
          <cell r="L493" t="str">
            <v>Barnstaple</v>
          </cell>
          <cell r="M493" t="str">
            <v>Devon</v>
          </cell>
          <cell r="N493" t="str">
            <v>EX31 3PU</v>
          </cell>
          <cell r="O493" t="str">
            <v>iand@hntps.devon.sch.uk</v>
          </cell>
          <cell r="P493">
            <v>40673</v>
          </cell>
        </row>
        <row r="494">
          <cell r="A494">
            <v>8865410</v>
          </cell>
          <cell r="B494">
            <v>118882</v>
          </cell>
          <cell r="C494">
            <v>886</v>
          </cell>
          <cell r="D494" t="str">
            <v>Kent</v>
          </cell>
          <cell r="E494">
            <v>5410</v>
          </cell>
          <cell r="F494" t="str">
            <v>Nicky Edwards</v>
          </cell>
          <cell r="G494" t="str">
            <v>Aylesford School - Sports College</v>
          </cell>
          <cell r="H494" t="str">
            <v>South East</v>
          </cell>
          <cell r="I494" t="str">
            <v>Teapot Lane</v>
          </cell>
          <cell r="L494" t="str">
            <v>Aylesford</v>
          </cell>
          <cell r="M494" t="str">
            <v>Kent</v>
          </cell>
          <cell r="N494" t="str">
            <v>ME20 7JU</v>
          </cell>
          <cell r="O494" t="str">
            <v>doug.lawson@aylesford.kent.sch.uk</v>
          </cell>
        </row>
        <row r="495">
          <cell r="A495">
            <v>8862229</v>
          </cell>
          <cell r="B495">
            <v>118339</v>
          </cell>
          <cell r="C495">
            <v>886</v>
          </cell>
          <cell r="D495" t="str">
            <v>Kent</v>
          </cell>
          <cell r="E495">
            <v>2229</v>
          </cell>
          <cell r="F495" t="str">
            <v>Bukky Sawyerr</v>
          </cell>
          <cell r="G495" t="str">
            <v>Graveney Primary School</v>
          </cell>
          <cell r="H495" t="str">
            <v>South East</v>
          </cell>
          <cell r="I495" t="str">
            <v>Seasalter Road</v>
          </cell>
          <cell r="J495" t="str">
            <v>Graveney</v>
          </cell>
          <cell r="L495" t="str">
            <v>Faversham</v>
          </cell>
          <cell r="M495" t="str">
            <v>Kent</v>
          </cell>
          <cell r="N495" t="str">
            <v>ME13 9DU</v>
          </cell>
          <cell r="O495" t="str">
            <v>headteacher@graveney.kent.sch.uk</v>
          </cell>
          <cell r="P495">
            <v>40730</v>
          </cell>
        </row>
        <row r="496">
          <cell r="A496">
            <v>3732047</v>
          </cell>
          <cell r="B496">
            <v>106993</v>
          </cell>
          <cell r="C496">
            <v>373</v>
          </cell>
          <cell r="D496" t="str">
            <v>Sheffield</v>
          </cell>
          <cell r="E496">
            <v>2047</v>
          </cell>
          <cell r="F496" t="str">
            <v>Bev Annables</v>
          </cell>
          <cell r="G496" t="str">
            <v>Hatfield Primary School</v>
          </cell>
          <cell r="H496" t="str">
            <v>Yorkshire and the Humber</v>
          </cell>
          <cell r="I496" t="str">
            <v>Hatfield House Lane</v>
          </cell>
          <cell r="L496" t="str">
            <v>Sheffield</v>
          </cell>
          <cell r="M496" t="str">
            <v>South Yorkshire</v>
          </cell>
          <cell r="N496" t="str">
            <v>S5 6HY</v>
          </cell>
          <cell r="O496" t="str">
            <v>headteacher@hatfield.sheffield.sch.uk</v>
          </cell>
        </row>
        <row r="497">
          <cell r="A497">
            <v>8123300</v>
          </cell>
          <cell r="B497">
            <v>131964</v>
          </cell>
          <cell r="C497">
            <v>812</v>
          </cell>
          <cell r="D497" t="str">
            <v>North East Lincolnshire</v>
          </cell>
          <cell r="E497">
            <v>3300</v>
          </cell>
          <cell r="F497" t="str">
            <v>Carol Ions</v>
          </cell>
          <cell r="G497" t="str">
            <v>Lisle Marsden CofE Aided Primary School</v>
          </cell>
          <cell r="H497" t="str">
            <v>Yorkshire and the Humber</v>
          </cell>
          <cell r="I497" t="str">
            <v>Lansdowne Avenue</v>
          </cell>
          <cell r="L497" t="str">
            <v>Grimsby</v>
          </cell>
          <cell r="M497" t="str">
            <v>Lincolnshire</v>
          </cell>
          <cell r="N497" t="str">
            <v>DN32 0DF</v>
          </cell>
          <cell r="O497" t="str">
            <v>head@lma.nelcmail.co.uk</v>
          </cell>
          <cell r="P497">
            <v>40680</v>
          </cell>
        </row>
        <row r="498">
          <cell r="A498">
            <v>8855404</v>
          </cell>
          <cell r="B498">
            <v>117001</v>
          </cell>
          <cell r="C498">
            <v>885</v>
          </cell>
          <cell r="D498" t="str">
            <v>Worcestershire</v>
          </cell>
          <cell r="E498">
            <v>5404</v>
          </cell>
          <cell r="F498" t="str">
            <v>Nicole Felicien</v>
          </cell>
          <cell r="G498" t="str">
            <v>St John's CofE Foundation Middle School</v>
          </cell>
          <cell r="H498" t="str">
            <v>West Midlands</v>
          </cell>
          <cell r="I498" t="str">
            <v>Watt Close</v>
          </cell>
          <cell r="L498" t="str">
            <v>Bromsgrove</v>
          </cell>
          <cell r="M498" t="str">
            <v>Worcestershire</v>
          </cell>
          <cell r="N498" t="str">
            <v>B61 7DH</v>
          </cell>
          <cell r="O498" t="str">
            <v>wt@st-johns-bromsgrove.worcs.sch.uk</v>
          </cell>
          <cell r="P498">
            <v>41194</v>
          </cell>
        </row>
        <row r="499">
          <cell r="A499">
            <v>9194111</v>
          </cell>
          <cell r="B499">
            <v>117532</v>
          </cell>
          <cell r="C499">
            <v>919</v>
          </cell>
          <cell r="D499" t="str">
            <v>Hertfordshire</v>
          </cell>
          <cell r="E499">
            <v>4111</v>
          </cell>
          <cell r="F499" t="str">
            <v>Michael Cook</v>
          </cell>
          <cell r="G499" t="str">
            <v>Westfield Community Technology College</v>
          </cell>
          <cell r="H499" t="str">
            <v>East of England</v>
          </cell>
          <cell r="I499" t="str">
            <v>Tolpits Lane</v>
          </cell>
          <cell r="L499" t="str">
            <v>Watford</v>
          </cell>
          <cell r="M499" t="str">
            <v>Hertfordshire</v>
          </cell>
          <cell r="N499" t="str">
            <v>WD18 6NS</v>
          </cell>
          <cell r="O499" t="str">
            <v>headspa@westfield.herts.sch.uk</v>
          </cell>
          <cell r="P499">
            <v>41061</v>
          </cell>
        </row>
        <row r="500">
          <cell r="A500">
            <v>8735408</v>
          </cell>
          <cell r="B500">
            <v>110902</v>
          </cell>
          <cell r="C500">
            <v>873</v>
          </cell>
          <cell r="D500" t="str">
            <v>Cambridgeshire</v>
          </cell>
          <cell r="E500">
            <v>5408</v>
          </cell>
          <cell r="F500" t="str">
            <v>Yvonne Reddington</v>
          </cell>
          <cell r="G500" t="str">
            <v>Sawston Village College</v>
          </cell>
          <cell r="H500" t="str">
            <v>East of England</v>
          </cell>
          <cell r="I500" t="str">
            <v>New Road</v>
          </cell>
          <cell r="J500" t="str">
            <v>Sawston</v>
          </cell>
          <cell r="L500" t="str">
            <v>Cambridge</v>
          </cell>
          <cell r="M500" t="str">
            <v>Cambridgeshire</v>
          </cell>
          <cell r="N500" t="str">
            <v>CB22 3BP</v>
          </cell>
          <cell r="O500" t="str">
            <v>jcannie@sawstonvc.org</v>
          </cell>
          <cell r="P500">
            <v>40563</v>
          </cell>
        </row>
        <row r="501">
          <cell r="A501">
            <v>3582037</v>
          </cell>
          <cell r="B501">
            <v>106312</v>
          </cell>
          <cell r="C501">
            <v>358</v>
          </cell>
          <cell r="D501" t="str">
            <v>Trafford</v>
          </cell>
          <cell r="E501">
            <v>2037</v>
          </cell>
          <cell r="F501" t="str">
            <v>Jane McCusker</v>
          </cell>
          <cell r="G501" t="str">
            <v>Templemoor Infant and Nursery School</v>
          </cell>
          <cell r="H501" t="str">
            <v>North West</v>
          </cell>
          <cell r="I501" t="str">
            <v>Nursery Close</v>
          </cell>
          <cell r="J501" t="str">
            <v>Off Temple Road</v>
          </cell>
          <cell r="L501" t="str">
            <v>Sale</v>
          </cell>
          <cell r="M501" t="str">
            <v>Cheshire</v>
          </cell>
          <cell r="N501" t="str">
            <v>M33 2EG</v>
          </cell>
          <cell r="O501" t="str">
            <v>heap.chris@hotmail.co.uk</v>
          </cell>
        </row>
        <row r="502">
          <cell r="A502">
            <v>3302173</v>
          </cell>
          <cell r="B502">
            <v>103254</v>
          </cell>
          <cell r="C502">
            <v>330</v>
          </cell>
          <cell r="D502" t="str">
            <v>Birmingham</v>
          </cell>
          <cell r="E502">
            <v>2173</v>
          </cell>
          <cell r="F502" t="str">
            <v>Alison Middleton</v>
          </cell>
          <cell r="G502" t="str">
            <v>Slade Junior and Infant School</v>
          </cell>
          <cell r="H502" t="str">
            <v>West Midlands</v>
          </cell>
          <cell r="I502" t="str">
            <v>Slade Road</v>
          </cell>
          <cell r="J502" t="str">
            <v>Erdington</v>
          </cell>
          <cell r="L502" t="str">
            <v>Birmingham</v>
          </cell>
          <cell r="M502" t="str">
            <v>West Midlands</v>
          </cell>
          <cell r="N502" t="str">
            <v>B23 7PX</v>
          </cell>
          <cell r="O502" t="str">
            <v>andy.sewell@slade.bham.sch.uk</v>
          </cell>
        </row>
        <row r="503">
          <cell r="A503">
            <v>8505412</v>
          </cell>
          <cell r="B503">
            <v>116504</v>
          </cell>
          <cell r="C503">
            <v>850</v>
          </cell>
          <cell r="D503" t="str">
            <v>Hampshire</v>
          </cell>
          <cell r="E503">
            <v>5412</v>
          </cell>
          <cell r="F503" t="str">
            <v>Amanda Barrett</v>
          </cell>
          <cell r="G503" t="str">
            <v>Applemore College</v>
          </cell>
          <cell r="H503" t="str">
            <v>South East</v>
          </cell>
          <cell r="I503" t="str">
            <v>Roman Road</v>
          </cell>
          <cell r="J503" t="str">
            <v>Dibden Purlieu</v>
          </cell>
          <cell r="L503" t="str">
            <v>Southampton</v>
          </cell>
          <cell r="M503" t="str">
            <v>Hampshire</v>
          </cell>
          <cell r="N503" t="str">
            <v>SO45 4RQ</v>
          </cell>
          <cell r="O503" t="str">
            <v>r.marsh@applemore.hants.sch.uk</v>
          </cell>
        </row>
        <row r="504">
          <cell r="A504">
            <v>3344030</v>
          </cell>
          <cell r="B504">
            <v>104115</v>
          </cell>
          <cell r="C504">
            <v>334</v>
          </cell>
          <cell r="D504" t="str">
            <v>Solihull</v>
          </cell>
          <cell r="E504">
            <v>4030</v>
          </cell>
          <cell r="F504" t="str">
            <v>Carol Ions</v>
          </cell>
          <cell r="G504" t="str">
            <v>Heart of England School</v>
          </cell>
          <cell r="H504" t="str">
            <v>West Midlands</v>
          </cell>
          <cell r="I504" t="str">
            <v>Gipsy Lane</v>
          </cell>
          <cell r="J504" t="str">
            <v>Balsall Common</v>
          </cell>
          <cell r="L504" t="str">
            <v>Coventry</v>
          </cell>
          <cell r="M504" t="str">
            <v>West Midlands</v>
          </cell>
          <cell r="N504" t="str">
            <v>CV7 7FW</v>
          </cell>
          <cell r="O504" t="str">
            <v>mackeretha@heart-england.solihull.sch.uk</v>
          </cell>
          <cell r="P504">
            <v>40603</v>
          </cell>
        </row>
        <row r="505">
          <cell r="A505">
            <v>9282209</v>
          </cell>
          <cell r="B505">
            <v>121944</v>
          </cell>
          <cell r="C505">
            <v>928</v>
          </cell>
          <cell r="D505" t="str">
            <v>Northamptonshire</v>
          </cell>
          <cell r="E505">
            <v>2209</v>
          </cell>
          <cell r="F505" t="str">
            <v>Grant Dyson</v>
          </cell>
          <cell r="G505" t="str">
            <v>Ecton Brook Primary School</v>
          </cell>
          <cell r="H505" t="str">
            <v>East Midlands</v>
          </cell>
          <cell r="I505" t="str">
            <v>Ecton Brook Road</v>
          </cell>
          <cell r="J505" t="str">
            <v>Ecton Brook</v>
          </cell>
          <cell r="L505" t="str">
            <v>Northampton</v>
          </cell>
          <cell r="M505" t="str">
            <v>Northamptonshire</v>
          </cell>
          <cell r="N505" t="str">
            <v>NN3 5DY</v>
          </cell>
          <cell r="O505" t="str">
            <v>head@ectonbrook-pri.northants-ecl.gov.uk</v>
          </cell>
          <cell r="P505">
            <v>40889</v>
          </cell>
        </row>
        <row r="506">
          <cell r="A506">
            <v>3053507</v>
          </cell>
          <cell r="B506">
            <v>101656</v>
          </cell>
          <cell r="C506">
            <v>305</v>
          </cell>
          <cell r="D506" t="str">
            <v>Bromley</v>
          </cell>
          <cell r="E506">
            <v>3507</v>
          </cell>
          <cell r="F506" t="str">
            <v>Sheila Longstaff</v>
          </cell>
          <cell r="G506" t="str">
            <v>St James' Roman Catholic Primary School</v>
          </cell>
          <cell r="H506" t="str">
            <v>London</v>
          </cell>
          <cell r="I506" t="str">
            <v>Maybury Close</v>
          </cell>
          <cell r="J506" t="str">
            <v>Petts Wood</v>
          </cell>
          <cell r="L506" t="str">
            <v>Orpington</v>
          </cell>
          <cell r="M506" t="str">
            <v>Kent</v>
          </cell>
          <cell r="N506" t="str">
            <v>BR5 1BL</v>
          </cell>
          <cell r="O506" t="str">
            <v>anna.bosher@st-james.bromley.sch.uk</v>
          </cell>
          <cell r="P506">
            <v>40934</v>
          </cell>
        </row>
        <row r="507">
          <cell r="A507">
            <v>8923000</v>
          </cell>
          <cell r="B507">
            <v>122740</v>
          </cell>
          <cell r="C507">
            <v>892</v>
          </cell>
          <cell r="D507" t="str">
            <v>Nottingham</v>
          </cell>
          <cell r="E507">
            <v>3000</v>
          </cell>
          <cell r="F507" t="str">
            <v>Grant Dyson</v>
          </cell>
          <cell r="G507" t="str">
            <v>Bulwell St Mary's Primary and Nursery School</v>
          </cell>
          <cell r="H507" t="str">
            <v>East Midlands</v>
          </cell>
          <cell r="I507" t="str">
            <v>Ragdale Road</v>
          </cell>
          <cell r="J507" t="str">
            <v>Bulwell</v>
          </cell>
          <cell r="L507" t="str">
            <v>Nottingham</v>
          </cell>
          <cell r="M507" t="str">
            <v>Nottinghamshire</v>
          </cell>
          <cell r="N507" t="str">
            <v>NG6 8GQ</v>
          </cell>
          <cell r="O507" t="str">
            <v>headteacher@sneinton.nottingham.sch.uk</v>
          </cell>
          <cell r="P507">
            <v>40632</v>
          </cell>
        </row>
        <row r="508">
          <cell r="A508">
            <v>9354051</v>
          </cell>
          <cell r="B508">
            <v>124814</v>
          </cell>
          <cell r="C508">
            <v>935</v>
          </cell>
          <cell r="D508" t="str">
            <v>Suffolk</v>
          </cell>
          <cell r="E508">
            <v>4051</v>
          </cell>
          <cell r="F508" t="str">
            <v>Janet Smith</v>
          </cell>
          <cell r="G508" t="str">
            <v>Stradbroke Business &amp; Enterprise College</v>
          </cell>
          <cell r="H508" t="str">
            <v>East of England</v>
          </cell>
          <cell r="I508" t="str">
            <v>Wilby Road</v>
          </cell>
          <cell r="J508" t="str">
            <v>Stradbroke</v>
          </cell>
          <cell r="L508" t="str">
            <v>Eye</v>
          </cell>
          <cell r="M508" t="str">
            <v>Suffolk</v>
          </cell>
          <cell r="N508" t="str">
            <v>IP21 5JN</v>
          </cell>
          <cell r="O508" t="str">
            <v>andrew.bloom@sbec.org.uk</v>
          </cell>
          <cell r="P508">
            <v>40856</v>
          </cell>
        </row>
        <row r="509">
          <cell r="A509">
            <v>9265406</v>
          </cell>
          <cell r="B509">
            <v>121214</v>
          </cell>
          <cell r="C509">
            <v>926</v>
          </cell>
          <cell r="D509" t="str">
            <v>Norfolk</v>
          </cell>
          <cell r="E509">
            <v>5406</v>
          </cell>
          <cell r="F509" t="str">
            <v>Eric Mcewen</v>
          </cell>
          <cell r="G509" t="str">
            <v>Sheringham High School</v>
          </cell>
          <cell r="H509" t="str">
            <v>East of England</v>
          </cell>
          <cell r="I509" t="str">
            <v>Holt Road</v>
          </cell>
          <cell r="L509" t="str">
            <v>Sheringham</v>
          </cell>
          <cell r="M509" t="str">
            <v>Norfolk</v>
          </cell>
          <cell r="N509" t="str">
            <v>NR26 8ND</v>
          </cell>
          <cell r="O509" t="str">
            <v>head@sheringhamhigh.norfolk.sch.uk</v>
          </cell>
          <cell r="P509">
            <v>40731</v>
          </cell>
        </row>
        <row r="510">
          <cell r="A510">
            <v>9262280</v>
          </cell>
          <cell r="B510">
            <v>120921</v>
          </cell>
          <cell r="C510">
            <v>926</v>
          </cell>
          <cell r="D510" t="str">
            <v>Norfolk</v>
          </cell>
          <cell r="E510">
            <v>2280</v>
          </cell>
          <cell r="F510" t="str">
            <v>Michael Cook</v>
          </cell>
          <cell r="G510" t="str">
            <v>North Wootton Community School</v>
          </cell>
          <cell r="H510" t="str">
            <v>East of England</v>
          </cell>
          <cell r="I510" t="str">
            <v>Priory Lane</v>
          </cell>
          <cell r="J510" t="str">
            <v>North Wootton</v>
          </cell>
          <cell r="L510" t="str">
            <v>King's Lynn</v>
          </cell>
          <cell r="M510" t="str">
            <v>Norfolk</v>
          </cell>
          <cell r="N510" t="str">
            <v>PE30 3PT</v>
          </cell>
          <cell r="O510" t="str">
            <v>head@northwootton.norfolk.sch.uk</v>
          </cell>
        </row>
        <row r="511">
          <cell r="A511">
            <v>8864172</v>
          </cell>
          <cell r="B511">
            <v>118816</v>
          </cell>
          <cell r="C511">
            <v>886</v>
          </cell>
          <cell r="D511" t="str">
            <v>Kent</v>
          </cell>
          <cell r="E511">
            <v>4172</v>
          </cell>
          <cell r="F511" t="str">
            <v>Bukky Sawyerr</v>
          </cell>
          <cell r="G511" t="str">
            <v>Hartsdown Technology College</v>
          </cell>
          <cell r="H511" t="str">
            <v>South East</v>
          </cell>
          <cell r="I511" t="str">
            <v>George V Avenue</v>
          </cell>
          <cell r="L511" t="str">
            <v>Margate</v>
          </cell>
          <cell r="M511" t="str">
            <v>Kent</v>
          </cell>
          <cell r="N511" t="str">
            <v>CT9 5RE</v>
          </cell>
          <cell r="O511" t="str">
            <v>somersa@hartsdown.kent.sch.uk</v>
          </cell>
          <cell r="P511">
            <v>40550</v>
          </cell>
        </row>
        <row r="512">
          <cell r="A512">
            <v>8253023</v>
          </cell>
          <cell r="B512">
            <v>110418</v>
          </cell>
          <cell r="C512">
            <v>825</v>
          </cell>
          <cell r="D512" t="str">
            <v>Buckinghamshire</v>
          </cell>
          <cell r="E512">
            <v>3023</v>
          </cell>
          <cell r="F512" t="str">
            <v>Darren Francis</v>
          </cell>
          <cell r="G512" t="str">
            <v>Brill Church of England Combined School</v>
          </cell>
          <cell r="H512" t="str">
            <v>South East</v>
          </cell>
          <cell r="I512" t="str">
            <v>The Firs</v>
          </cell>
          <cell r="J512" t="str">
            <v>Brill</v>
          </cell>
          <cell r="L512" t="str">
            <v>Aylesbury</v>
          </cell>
          <cell r="M512" t="str">
            <v>Buckinghamshire</v>
          </cell>
          <cell r="N512" t="str">
            <v>HP18 9RY</v>
          </cell>
          <cell r="O512" t="str">
            <v>headteacher@brill.bucks.sch.uk</v>
          </cell>
          <cell r="P512">
            <v>41051</v>
          </cell>
        </row>
        <row r="513">
          <cell r="A513">
            <v>9267007</v>
          </cell>
          <cell r="B513">
            <v>121258</v>
          </cell>
          <cell r="C513">
            <v>926</v>
          </cell>
          <cell r="D513" t="str">
            <v>Norfolk</v>
          </cell>
          <cell r="E513">
            <v>7007</v>
          </cell>
          <cell r="F513" t="str">
            <v>Not yet assigned</v>
          </cell>
          <cell r="G513" t="str">
            <v>Sheringham Woodfields</v>
          </cell>
          <cell r="H513" t="str">
            <v>East of England</v>
          </cell>
          <cell r="I513" t="str">
            <v>Holt Road</v>
          </cell>
          <cell r="L513" t="str">
            <v>Sheringham</v>
          </cell>
          <cell r="M513" t="str">
            <v>Norfolk</v>
          </cell>
          <cell r="N513" t="str">
            <v>NR26 8ND</v>
          </cell>
          <cell r="O513" t="str">
            <v>office@sheringhamwoodfields.norfolk.sch.uk</v>
          </cell>
        </row>
        <row r="514">
          <cell r="A514">
            <v>3194011</v>
          </cell>
          <cell r="B514">
            <v>103002</v>
          </cell>
          <cell r="C514">
            <v>319</v>
          </cell>
          <cell r="D514" t="str">
            <v>Sutton</v>
          </cell>
          <cell r="E514">
            <v>4011</v>
          </cell>
          <cell r="F514" t="str">
            <v>Bola Bakrin</v>
          </cell>
          <cell r="G514" t="str">
            <v>Glenthorne High School</v>
          </cell>
          <cell r="H514" t="str">
            <v>London</v>
          </cell>
          <cell r="I514" t="str">
            <v>Sutton Common Road</v>
          </cell>
          <cell r="L514" t="str">
            <v>Sutton</v>
          </cell>
          <cell r="M514" t="str">
            <v>Surrey</v>
          </cell>
          <cell r="N514" t="str">
            <v>SM3 9PS</v>
          </cell>
          <cell r="O514" t="str">
            <v>shu@glenthorne.sutton.sch.uk</v>
          </cell>
          <cell r="P514">
            <v>40591</v>
          </cell>
        </row>
        <row r="515">
          <cell r="A515">
            <v>3144010</v>
          </cell>
          <cell r="B515">
            <v>102602</v>
          </cell>
          <cell r="C515">
            <v>314</v>
          </cell>
          <cell r="D515" t="str">
            <v>Kingston upon Thames</v>
          </cell>
          <cell r="E515">
            <v>4010</v>
          </cell>
          <cell r="F515" t="str">
            <v>Sarah Hall</v>
          </cell>
          <cell r="G515" t="str">
            <v>The Tiffin Girls' School</v>
          </cell>
          <cell r="H515" t="str">
            <v>London</v>
          </cell>
          <cell r="I515" t="str">
            <v>Richmond Road</v>
          </cell>
          <cell r="L515" t="str">
            <v>Kingston upon Thames</v>
          </cell>
          <cell r="M515" t="str">
            <v>Surrey</v>
          </cell>
          <cell r="N515" t="str">
            <v>KT2 5PL</v>
          </cell>
          <cell r="O515" t="str">
            <v>vanessa.ward@rbksch.org</v>
          </cell>
          <cell r="P515">
            <v>40472</v>
          </cell>
        </row>
        <row r="516">
          <cell r="A516">
            <v>8872588</v>
          </cell>
          <cell r="B516">
            <v>118527</v>
          </cell>
          <cell r="C516">
            <v>887</v>
          </cell>
          <cell r="D516" t="str">
            <v>Medway</v>
          </cell>
          <cell r="E516">
            <v>2588</v>
          </cell>
          <cell r="F516" t="str">
            <v>Sarah Mitchell</v>
          </cell>
          <cell r="G516" t="str">
            <v>Cliffe Woods Primary School</v>
          </cell>
          <cell r="H516" t="str">
            <v>South East</v>
          </cell>
          <cell r="I516" t="str">
            <v>View Road</v>
          </cell>
          <cell r="J516" t="str">
            <v>Cliffe Woods</v>
          </cell>
          <cell r="L516" t="str">
            <v>Rochester</v>
          </cell>
          <cell r="M516" t="str">
            <v>Kent</v>
          </cell>
          <cell r="N516" t="str">
            <v>ME3 8UJ</v>
          </cell>
          <cell r="O516" t="str">
            <v>watst004@medway.org.uk</v>
          </cell>
          <cell r="P516">
            <v>40619</v>
          </cell>
        </row>
        <row r="517">
          <cell r="A517">
            <v>8012099</v>
          </cell>
          <cell r="B517">
            <v>108976</v>
          </cell>
          <cell r="C517">
            <v>801</v>
          </cell>
          <cell r="D517" t="str">
            <v>Bristol City of</v>
          </cell>
          <cell r="E517">
            <v>2099</v>
          </cell>
          <cell r="F517" t="str">
            <v>Theresa Oddelm</v>
          </cell>
          <cell r="G517" t="str">
            <v>Headley Park Primary School</v>
          </cell>
          <cell r="H517" t="str">
            <v>South West</v>
          </cell>
          <cell r="I517" t="str">
            <v>Headley Lane</v>
          </cell>
          <cell r="L517" t="str">
            <v>Bristol</v>
          </cell>
          <cell r="N517" t="str">
            <v>BS13 7QB</v>
          </cell>
        </row>
        <row r="518">
          <cell r="A518">
            <v>8715208</v>
          </cell>
          <cell r="B518">
            <v>109933</v>
          </cell>
          <cell r="C518">
            <v>871</v>
          </cell>
          <cell r="D518" t="str">
            <v>Slough</v>
          </cell>
          <cell r="E518">
            <v>5208</v>
          </cell>
          <cell r="F518" t="str">
            <v>Eric Mcewen</v>
          </cell>
          <cell r="G518" t="str">
            <v>Lynch Hill (Foundation Primary) School</v>
          </cell>
          <cell r="H518" t="str">
            <v>South East</v>
          </cell>
          <cell r="I518" t="str">
            <v>Garrard Road</v>
          </cell>
          <cell r="L518" t="str">
            <v>Slough</v>
          </cell>
          <cell r="M518" t="str">
            <v>Berkshire</v>
          </cell>
          <cell r="N518" t="str">
            <v>SL2 2AN</v>
          </cell>
          <cell r="O518" t="str">
            <v>lynchhill@pavilion.co.uk</v>
          </cell>
          <cell r="P518">
            <v>40697</v>
          </cell>
        </row>
        <row r="519">
          <cell r="A519">
            <v>3342020</v>
          </cell>
          <cell r="B519">
            <v>104051</v>
          </cell>
          <cell r="C519">
            <v>334</v>
          </cell>
          <cell r="D519" t="str">
            <v>Solihull</v>
          </cell>
          <cell r="E519">
            <v>2020</v>
          </cell>
          <cell r="F519" t="str">
            <v>Alison Middleton</v>
          </cell>
          <cell r="G519" t="str">
            <v>Streetsbrook Infant and Nursery School</v>
          </cell>
          <cell r="H519" t="str">
            <v>West Midlands</v>
          </cell>
          <cell r="I519" t="str">
            <v>Ralph Road</v>
          </cell>
          <cell r="J519" t="str">
            <v>Shirley</v>
          </cell>
          <cell r="L519" t="str">
            <v>Solihull</v>
          </cell>
          <cell r="M519" t="str">
            <v>West Midlands</v>
          </cell>
          <cell r="N519" t="str">
            <v>B90 3LB</v>
          </cell>
          <cell r="O519" t="str">
            <v>s47lminter@streetsbrook.solihull.sch.uk</v>
          </cell>
        </row>
        <row r="520">
          <cell r="A520">
            <v>9373594</v>
          </cell>
          <cell r="B520">
            <v>133986</v>
          </cell>
          <cell r="C520">
            <v>937</v>
          </cell>
          <cell r="D520" t="str">
            <v>Warwickshire</v>
          </cell>
          <cell r="E520">
            <v>3594</v>
          </cell>
          <cell r="F520" t="str">
            <v>Sally Gardiner</v>
          </cell>
          <cell r="G520" t="str">
            <v>Cawston Grange Primary School</v>
          </cell>
          <cell r="H520" t="str">
            <v>West Midlands</v>
          </cell>
          <cell r="I520" t="str">
            <v>Scholars Drive</v>
          </cell>
          <cell r="J520" t="str">
            <v>Cawston</v>
          </cell>
          <cell r="L520" t="str">
            <v>Rugby</v>
          </cell>
          <cell r="M520" t="str">
            <v>Warwickshire</v>
          </cell>
          <cell r="N520" t="str">
            <v>CV22 7GU</v>
          </cell>
          <cell r="O520" t="str">
            <v>head@cawston.warwickshire.sch.uk</v>
          </cell>
          <cell r="P520">
            <v>41191</v>
          </cell>
        </row>
        <row r="521">
          <cell r="A521">
            <v>8522448</v>
          </cell>
          <cell r="B521">
            <v>116123</v>
          </cell>
          <cell r="C521">
            <v>852</v>
          </cell>
          <cell r="D521" t="str">
            <v>Southampton</v>
          </cell>
          <cell r="E521">
            <v>2448</v>
          </cell>
          <cell r="F521" t="str">
            <v>Lindsay Morris</v>
          </cell>
          <cell r="G521" t="str">
            <v>Redbridge Primary School</v>
          </cell>
          <cell r="H521" t="str">
            <v>South East</v>
          </cell>
          <cell r="I521" t="str">
            <v>Studland Road</v>
          </cell>
          <cell r="J521" t="str">
            <v>Millbrook</v>
          </cell>
          <cell r="L521" t="str">
            <v>Southampton</v>
          </cell>
          <cell r="M521" t="str">
            <v>Hampshire</v>
          </cell>
          <cell r="N521" t="str">
            <v>SO16 9BB</v>
          </cell>
          <cell r="O521" t="str">
            <v>head@redbridge-pri.southampton.sch.uk</v>
          </cell>
        </row>
        <row r="522">
          <cell r="A522">
            <v>9374192</v>
          </cell>
          <cell r="B522">
            <v>125745</v>
          </cell>
          <cell r="C522">
            <v>937</v>
          </cell>
          <cell r="D522" t="str">
            <v>Warwickshire</v>
          </cell>
          <cell r="E522">
            <v>4192</v>
          </cell>
          <cell r="F522" t="str">
            <v>Carla Spink</v>
          </cell>
          <cell r="G522" t="str">
            <v>Campion School</v>
          </cell>
          <cell r="H522" t="str">
            <v>West Midlands</v>
          </cell>
          <cell r="I522" t="str">
            <v>Sydenham Drive</v>
          </cell>
          <cell r="L522" t="str">
            <v>Leamington Spa</v>
          </cell>
          <cell r="M522" t="str">
            <v>Warwickshire</v>
          </cell>
          <cell r="N522" t="str">
            <v>CV31 1QH</v>
          </cell>
          <cell r="O522" t="str">
            <v>head@campion.warwickshire.sch.uk</v>
          </cell>
          <cell r="P522">
            <v>40633</v>
          </cell>
        </row>
        <row r="523">
          <cell r="A523">
            <v>3052019</v>
          </cell>
          <cell r="B523">
            <v>101600</v>
          </cell>
          <cell r="C523">
            <v>305</v>
          </cell>
          <cell r="D523" t="str">
            <v>Bromley</v>
          </cell>
          <cell r="E523">
            <v>2019</v>
          </cell>
          <cell r="F523" t="str">
            <v>Sheila Longstaff</v>
          </cell>
          <cell r="G523" t="str">
            <v>Princes Plain Primary School</v>
          </cell>
          <cell r="H523" t="str">
            <v>London</v>
          </cell>
          <cell r="I523" t="str">
            <v>Church Lane</v>
          </cell>
          <cell r="L523" t="str">
            <v>Bromley</v>
          </cell>
          <cell r="M523" t="str">
            <v>Kent</v>
          </cell>
          <cell r="N523" t="str">
            <v>BR2 8LD</v>
          </cell>
          <cell r="O523" t="str">
            <v>pam.king@princesplain.bromley.sch.uk</v>
          </cell>
        </row>
        <row r="524">
          <cell r="A524">
            <v>8457025</v>
          </cell>
          <cell r="B524">
            <v>114691</v>
          </cell>
          <cell r="C524">
            <v>845</v>
          </cell>
          <cell r="D524" t="str">
            <v>East Sussex</v>
          </cell>
          <cell r="E524">
            <v>7025</v>
          </cell>
          <cell r="F524" t="str">
            <v>Sarah Mitchell</v>
          </cell>
          <cell r="G524" t="str">
            <v>Saxon Mount School</v>
          </cell>
          <cell r="H524" t="str">
            <v>South East</v>
          </cell>
          <cell r="I524" t="str">
            <v>Edinburgh Road</v>
          </cell>
          <cell r="L524" t="str">
            <v>St Leonards-on-Sea</v>
          </cell>
          <cell r="M524" t="str">
            <v>East Sussex</v>
          </cell>
          <cell r="N524" t="str">
            <v>TN38 8HH</v>
          </cell>
          <cell r="O524" t="str">
            <v>head@saxon.e-sussex.sch.uk</v>
          </cell>
        </row>
        <row r="525">
          <cell r="A525">
            <v>9334355</v>
          </cell>
          <cell r="B525">
            <v>123884</v>
          </cell>
          <cell r="C525">
            <v>933</v>
          </cell>
          <cell r="D525" t="str">
            <v>Somerset</v>
          </cell>
          <cell r="E525">
            <v>4355</v>
          </cell>
          <cell r="F525" t="str">
            <v>Ali Bushell</v>
          </cell>
          <cell r="G525" t="str">
            <v>Kingsmead Community School</v>
          </cell>
          <cell r="H525" t="str">
            <v>South West</v>
          </cell>
          <cell r="I525" t="str">
            <v>Wiveliscombe</v>
          </cell>
          <cell r="L525" t="str">
            <v>Taunton</v>
          </cell>
          <cell r="M525" t="str">
            <v>Somerset</v>
          </cell>
          <cell r="N525" t="str">
            <v>TA4 2NE</v>
          </cell>
          <cell r="O525" t="str">
            <v>gtinker@educ.somerset.gov.uk</v>
          </cell>
          <cell r="P525">
            <v>40504</v>
          </cell>
        </row>
        <row r="526">
          <cell r="A526">
            <v>8027036</v>
          </cell>
          <cell r="B526">
            <v>109406</v>
          </cell>
          <cell r="C526">
            <v>802</v>
          </cell>
          <cell r="D526" t="str">
            <v>North Somerset</v>
          </cell>
          <cell r="E526">
            <v>7036</v>
          </cell>
          <cell r="F526" t="str">
            <v>Ed Schuldt</v>
          </cell>
          <cell r="G526" t="str">
            <v>Westhaven School</v>
          </cell>
          <cell r="H526" t="str">
            <v>South West</v>
          </cell>
          <cell r="I526" t="str">
            <v>Ellesmere Road</v>
          </cell>
          <cell r="J526" t="str">
            <v>Uphill</v>
          </cell>
          <cell r="L526" t="str">
            <v>Weston-Super-Mare</v>
          </cell>
          <cell r="M526" t="str">
            <v>Somerset</v>
          </cell>
          <cell r="N526" t="str">
            <v>BS23 4UT</v>
          </cell>
          <cell r="O526" t="str">
            <v>westhaven.spec@n-somerset.gov.uk</v>
          </cell>
        </row>
        <row r="527">
          <cell r="A527">
            <v>8832472</v>
          </cell>
          <cell r="B527">
            <v>114860</v>
          </cell>
          <cell r="C527">
            <v>883</v>
          </cell>
          <cell r="D527" t="str">
            <v>Thurrock</v>
          </cell>
          <cell r="E527">
            <v>2472</v>
          </cell>
          <cell r="F527" t="str">
            <v>Beverley Samuel</v>
          </cell>
          <cell r="G527" t="str">
            <v>Woodside Primary School</v>
          </cell>
          <cell r="H527" t="str">
            <v>East of England</v>
          </cell>
          <cell r="I527" t="str">
            <v>Grangewood Avenue</v>
          </cell>
          <cell r="J527" t="str">
            <v>Little Thurrock</v>
          </cell>
          <cell r="L527" t="str">
            <v>Grays</v>
          </cell>
          <cell r="M527" t="str">
            <v>Essex</v>
          </cell>
          <cell r="N527" t="str">
            <v>RM16 2GJ</v>
          </cell>
          <cell r="O527" t="str">
            <v>headteacher@woodsideprimary.org</v>
          </cell>
          <cell r="P527">
            <v>41043</v>
          </cell>
        </row>
        <row r="528">
          <cell r="A528">
            <v>9162113</v>
          </cell>
          <cell r="B528">
            <v>115558</v>
          </cell>
          <cell r="C528">
            <v>916</v>
          </cell>
          <cell r="D528" t="str">
            <v>Gloucestershire</v>
          </cell>
          <cell r="E528">
            <v>2113</v>
          </cell>
          <cell r="F528" t="str">
            <v>Ali Bushell</v>
          </cell>
          <cell r="G528" t="str">
            <v>Gretton Primary School</v>
          </cell>
          <cell r="H528" t="str">
            <v>South West</v>
          </cell>
          <cell r="I528" t="str">
            <v>Gretton</v>
          </cell>
          <cell r="L528" t="str">
            <v>Cheltenham</v>
          </cell>
          <cell r="M528" t="str">
            <v>Gloucestershire</v>
          </cell>
          <cell r="N528" t="str">
            <v>GL54 5EY</v>
          </cell>
          <cell r="O528" t="str">
            <v>liz.brazier@hotmail.co.uk</v>
          </cell>
          <cell r="P528">
            <v>40721</v>
          </cell>
        </row>
        <row r="529">
          <cell r="A529">
            <v>8864043</v>
          </cell>
          <cell r="B529">
            <v>118789</v>
          </cell>
          <cell r="C529">
            <v>886</v>
          </cell>
          <cell r="D529" t="str">
            <v>Kent</v>
          </cell>
          <cell r="E529">
            <v>4043</v>
          </cell>
          <cell r="G529" t="str">
            <v>Tunbridge Wells Girls' Grammar School</v>
          </cell>
          <cell r="H529" t="str">
            <v>South East</v>
          </cell>
          <cell r="I529" t="str">
            <v>Southfield Road</v>
          </cell>
          <cell r="L529" t="str">
            <v>Tunbridge Wells</v>
          </cell>
          <cell r="M529" t="str">
            <v>Kent</v>
          </cell>
          <cell r="N529" t="str">
            <v>TN4 9UJ</v>
          </cell>
          <cell r="O529" t="str">
            <v>headteacher@twggs.kent.sch.uk</v>
          </cell>
        </row>
        <row r="530">
          <cell r="A530">
            <v>3812056</v>
          </cell>
          <cell r="B530">
            <v>107509</v>
          </cell>
          <cell r="C530">
            <v>381</v>
          </cell>
          <cell r="D530" t="str">
            <v>Calderdale</v>
          </cell>
          <cell r="E530">
            <v>2056</v>
          </cell>
          <cell r="F530" t="str">
            <v>Bev Annables</v>
          </cell>
          <cell r="G530" t="str">
            <v>Scout Road Primary School</v>
          </cell>
          <cell r="H530" t="str">
            <v>Yorkshire and the Humber</v>
          </cell>
          <cell r="I530" t="str">
            <v>Scout Road</v>
          </cell>
          <cell r="J530" t="str">
            <v>Mytholmyroyd</v>
          </cell>
          <cell r="L530" t="str">
            <v>Hebden Bridge</v>
          </cell>
          <cell r="M530" t="str">
            <v>West Yorkshire</v>
          </cell>
          <cell r="N530" t="str">
            <v>HX7 5JR</v>
          </cell>
          <cell r="O530" t="str">
            <v>head@scoutroad.calderdale.sch.uk</v>
          </cell>
          <cell r="P530">
            <v>40366</v>
          </cell>
        </row>
        <row r="531">
          <cell r="A531">
            <v>3733414</v>
          </cell>
          <cell r="B531">
            <v>107116</v>
          </cell>
          <cell r="C531">
            <v>373</v>
          </cell>
          <cell r="D531" t="str">
            <v>Sheffield</v>
          </cell>
          <cell r="E531">
            <v>3414</v>
          </cell>
          <cell r="F531" t="str">
            <v>Michael Corner</v>
          </cell>
          <cell r="G531" t="str">
            <v>St Thomas of Canterbury Catholic Primary School</v>
          </cell>
          <cell r="H531" t="str">
            <v>Yorkshire and the Humber</v>
          </cell>
          <cell r="I531" t="str">
            <v>Chancet Wood Drive</v>
          </cell>
          <cell r="L531" t="str">
            <v>Sheffield</v>
          </cell>
          <cell r="M531" t="str">
            <v>South Yorkshire</v>
          </cell>
          <cell r="N531" t="str">
            <v>S8 7TR</v>
          </cell>
          <cell r="O531" t="str">
            <v>a.truby@stthomasofcanterbury.co.uk</v>
          </cell>
          <cell r="P531">
            <v>41032</v>
          </cell>
        </row>
        <row r="532">
          <cell r="A532">
            <v>8232042</v>
          </cell>
          <cell r="B532">
            <v>109447</v>
          </cell>
          <cell r="C532">
            <v>823</v>
          </cell>
          <cell r="D532" t="str">
            <v>Central Bedfordshire</v>
          </cell>
          <cell r="E532">
            <v>2042</v>
          </cell>
          <cell r="F532" t="str">
            <v>Michael Cook</v>
          </cell>
          <cell r="G532" t="str">
            <v>Eaton Bray Lower School</v>
          </cell>
          <cell r="H532" t="str">
            <v>East of England</v>
          </cell>
          <cell r="I532" t="str">
            <v>School Lane</v>
          </cell>
          <cell r="J532" t="str">
            <v>Eaton Bray</v>
          </cell>
          <cell r="L532" t="str">
            <v>Dunstable</v>
          </cell>
          <cell r="M532" t="str">
            <v>Bedfordshire</v>
          </cell>
          <cell r="N532" t="str">
            <v>LU6 2DT</v>
          </cell>
          <cell r="O532" t="str">
            <v>eaton@deal.bedfordshire.gov.uk</v>
          </cell>
          <cell r="P532">
            <v>40505</v>
          </cell>
        </row>
        <row r="533">
          <cell r="A533">
            <v>3173507</v>
          </cell>
          <cell r="B533">
            <v>102846</v>
          </cell>
          <cell r="C533">
            <v>317</v>
          </cell>
          <cell r="D533" t="str">
            <v>Redbridge</v>
          </cell>
          <cell r="E533">
            <v>3507</v>
          </cell>
          <cell r="F533" t="str">
            <v>Helen Barry</v>
          </cell>
          <cell r="G533" t="str">
            <v>St Aidan's Catholic Primary School</v>
          </cell>
          <cell r="H533" t="str">
            <v>London</v>
          </cell>
          <cell r="I533" t="str">
            <v>Benton Road</v>
          </cell>
          <cell r="L533" t="str">
            <v>Ilford</v>
          </cell>
          <cell r="M533" t="str">
            <v>Essex</v>
          </cell>
          <cell r="N533" t="str">
            <v>IG1 4AS</v>
          </cell>
          <cell r="O533" t="str">
            <v>helen.brown@redbridge.gov.uk</v>
          </cell>
          <cell r="P533">
            <v>40674</v>
          </cell>
        </row>
        <row r="534">
          <cell r="A534">
            <v>8964149</v>
          </cell>
          <cell r="B534">
            <v>111421</v>
          </cell>
          <cell r="C534">
            <v>896</v>
          </cell>
          <cell r="D534" t="str">
            <v>Cheshire West and Chester</v>
          </cell>
          <cell r="E534">
            <v>4149</v>
          </cell>
          <cell r="F534" t="str">
            <v>Gabriela Grimley</v>
          </cell>
          <cell r="G534" t="str">
            <v>Christleton High School</v>
          </cell>
          <cell r="H534" t="str">
            <v>North West</v>
          </cell>
          <cell r="I534" t="str">
            <v>Village Road</v>
          </cell>
          <cell r="J534" t="str">
            <v>Christleton</v>
          </cell>
          <cell r="L534" t="str">
            <v>Chester</v>
          </cell>
          <cell r="M534" t="str">
            <v>Cheshire</v>
          </cell>
          <cell r="N534" t="str">
            <v>CH3 7AD</v>
          </cell>
          <cell r="O534" t="str">
            <v>lambertont@christletonhigh.co.uk</v>
          </cell>
          <cell r="P534">
            <v>40519</v>
          </cell>
        </row>
        <row r="535">
          <cell r="A535">
            <v>8151101</v>
          </cell>
          <cell r="B535">
            <v>130339</v>
          </cell>
          <cell r="C535">
            <v>815</v>
          </cell>
          <cell r="D535" t="str">
            <v>North Yorkshire</v>
          </cell>
          <cell r="E535">
            <v>1101</v>
          </cell>
          <cell r="F535" t="str">
            <v>Tony Bretherick</v>
          </cell>
          <cell r="G535" t="str">
            <v>Harrogate Pupil Referral Unit</v>
          </cell>
          <cell r="H535" t="str">
            <v>Yorkshire and the Humber</v>
          </cell>
          <cell r="I535" t="str">
            <v>59 Grove Road</v>
          </cell>
          <cell r="L535" t="str">
            <v>Harrogate</v>
          </cell>
          <cell r="M535" t="str">
            <v>North Yorkshire</v>
          </cell>
          <cell r="N535" t="str">
            <v>HG1 5EP</v>
          </cell>
          <cell r="O535" t="str">
            <v>Samantha.Campbell@northyorks.gov.uk</v>
          </cell>
          <cell r="P535">
            <v>41075</v>
          </cell>
        </row>
        <row r="536">
          <cell r="A536">
            <v>8784010</v>
          </cell>
          <cell r="B536">
            <v>113502</v>
          </cell>
          <cell r="C536">
            <v>878</v>
          </cell>
          <cell r="D536" t="str">
            <v>Devon</v>
          </cell>
          <cell r="E536">
            <v>4010</v>
          </cell>
          <cell r="G536" t="str">
            <v>Cullompton Community College</v>
          </cell>
          <cell r="H536" t="str">
            <v>South West</v>
          </cell>
          <cell r="I536" t="str">
            <v>Exeter Road</v>
          </cell>
          <cell r="L536" t="str">
            <v>Cullompton</v>
          </cell>
          <cell r="M536" t="str">
            <v>Devon</v>
          </cell>
          <cell r="N536" t="str">
            <v>EX15 1DX</v>
          </cell>
          <cell r="O536" t="str">
            <v xml:space="preserve">admin@cullompton.devon.sch.uk
</v>
          </cell>
        </row>
        <row r="537">
          <cell r="A537">
            <v>3112073</v>
          </cell>
          <cell r="B537">
            <v>102312</v>
          </cell>
          <cell r="C537">
            <v>311</v>
          </cell>
          <cell r="D537" t="str">
            <v>Havering</v>
          </cell>
          <cell r="E537">
            <v>2073</v>
          </cell>
          <cell r="F537" t="str">
            <v>Helen Fisher</v>
          </cell>
          <cell r="G537" t="str">
            <v>Parsonage Farm Primary School</v>
          </cell>
          <cell r="H537" t="str">
            <v>London</v>
          </cell>
          <cell r="I537" t="str">
            <v>Farm Road</v>
          </cell>
          <cell r="L537" t="str">
            <v>Rainham</v>
          </cell>
          <cell r="M537" t="str">
            <v>Essex</v>
          </cell>
          <cell r="N537" t="str">
            <v>RM13 9JU</v>
          </cell>
          <cell r="O537" t="str">
            <v>head@pfps.havering.sch.uk</v>
          </cell>
        </row>
        <row r="538">
          <cell r="A538">
            <v>9353005</v>
          </cell>
          <cell r="B538">
            <v>124690</v>
          </cell>
          <cell r="C538">
            <v>935</v>
          </cell>
          <cell r="D538" t="str">
            <v>Suffolk</v>
          </cell>
          <cell r="E538">
            <v>3005</v>
          </cell>
          <cell r="F538" t="str">
            <v>David Rudd</v>
          </cell>
          <cell r="G538" t="str">
            <v>Barrow Church of England Voluntary Controlled Primary School</v>
          </cell>
          <cell r="H538" t="str">
            <v>East of England</v>
          </cell>
          <cell r="I538" t="str">
            <v>Colethorpe Lane</v>
          </cell>
          <cell r="J538" t="str">
            <v>Barrow</v>
          </cell>
          <cell r="L538" t="str">
            <v>Bury St Edmunds</v>
          </cell>
          <cell r="M538" t="str">
            <v>Suffolk</v>
          </cell>
          <cell r="N538" t="str">
            <v>IP29 5AU</v>
          </cell>
          <cell r="P538">
            <v>40970</v>
          </cell>
        </row>
        <row r="539">
          <cell r="A539">
            <v>9081108</v>
          </cell>
          <cell r="B539">
            <v>135394</v>
          </cell>
          <cell r="C539">
            <v>908</v>
          </cell>
          <cell r="D539" t="str">
            <v>Cornwall</v>
          </cell>
          <cell r="E539">
            <v>1108</v>
          </cell>
          <cell r="F539" t="str">
            <v>Nigel Mills</v>
          </cell>
          <cell r="G539" t="str">
            <v>Caradon Short Stay School</v>
          </cell>
          <cell r="H539" t="str">
            <v>South West</v>
          </cell>
          <cell r="I539" t="str">
            <v>West Street</v>
          </cell>
          <cell r="L539" t="str">
            <v>Liskeard</v>
          </cell>
          <cell r="N539" t="str">
            <v>PL14 6BS</v>
          </cell>
          <cell r="O539" t="str">
            <v>rgasson@cornwall.gov.uk</v>
          </cell>
          <cell r="P539">
            <v>41019</v>
          </cell>
        </row>
        <row r="540">
          <cell r="A540">
            <v>8254034</v>
          </cell>
          <cell r="B540">
            <v>110488</v>
          </cell>
          <cell r="C540">
            <v>825</v>
          </cell>
          <cell r="D540" t="str">
            <v>Buckinghamshire</v>
          </cell>
          <cell r="E540">
            <v>4034</v>
          </cell>
          <cell r="F540" t="str">
            <v>Darren Francis</v>
          </cell>
          <cell r="G540" t="str">
            <v>The Grange School</v>
          </cell>
          <cell r="H540" t="str">
            <v>South East</v>
          </cell>
          <cell r="I540" t="str">
            <v>Wendover Way</v>
          </cell>
          <cell r="L540" t="str">
            <v>Aylesbury</v>
          </cell>
          <cell r="M540" t="str">
            <v>Buckinghamshire</v>
          </cell>
          <cell r="N540" t="str">
            <v>HP21 7NH</v>
          </cell>
          <cell r="O540" t="str">
            <v>vmurray@bucksgfl.org.uk</v>
          </cell>
        </row>
        <row r="541">
          <cell r="A541">
            <v>8812999</v>
          </cell>
          <cell r="B541">
            <v>115063</v>
          </cell>
          <cell r="C541">
            <v>881</v>
          </cell>
          <cell r="D541" t="str">
            <v>Essex</v>
          </cell>
          <cell r="E541">
            <v>2999</v>
          </cell>
          <cell r="F541" t="str">
            <v>Pam Osborne</v>
          </cell>
          <cell r="G541" t="str">
            <v>Rayleigh Primary School</v>
          </cell>
          <cell r="H541" t="str">
            <v>East of England</v>
          </cell>
          <cell r="I541" t="str">
            <v>Love Lane</v>
          </cell>
          <cell r="L541" t="str">
            <v>Rayleigh</v>
          </cell>
          <cell r="M541" t="str">
            <v>Essex</v>
          </cell>
          <cell r="N541" t="str">
            <v>SS6 7DD</v>
          </cell>
          <cell r="O541" t="str">
            <v>admin@rayleigh.essex.sch.uk</v>
          </cell>
          <cell r="P541">
            <v>41117</v>
          </cell>
        </row>
        <row r="542">
          <cell r="A542">
            <v>8354177</v>
          </cell>
          <cell r="B542">
            <v>113873</v>
          </cell>
          <cell r="C542">
            <v>835</v>
          </cell>
          <cell r="D542" t="str">
            <v>Dorset</v>
          </cell>
          <cell r="E542">
            <v>4177</v>
          </cell>
          <cell r="F542" t="str">
            <v>Tahamina Khan</v>
          </cell>
          <cell r="G542" t="str">
            <v>Twynham School</v>
          </cell>
          <cell r="H542" t="str">
            <v>South West</v>
          </cell>
          <cell r="I542" t="str">
            <v>Sopers Lane</v>
          </cell>
          <cell r="L542" t="str">
            <v>Christchurch</v>
          </cell>
          <cell r="M542" t="str">
            <v>Dorset</v>
          </cell>
          <cell r="N542" t="str">
            <v>BH23 1JF</v>
          </cell>
          <cell r="O542" t="str">
            <v>terry.fish@twynhamschool.com</v>
          </cell>
          <cell r="P542">
            <v>40526</v>
          </cell>
        </row>
        <row r="543">
          <cell r="A543">
            <v>2085950</v>
          </cell>
          <cell r="B543">
            <v>100643</v>
          </cell>
          <cell r="C543">
            <v>208</v>
          </cell>
          <cell r="D543" t="str">
            <v>Lambeth</v>
          </cell>
          <cell r="E543">
            <v>5950</v>
          </cell>
          <cell r="F543" t="str">
            <v>Helen Barry</v>
          </cell>
          <cell r="G543" t="str">
            <v>Turney Primary and Secondary Special School</v>
          </cell>
          <cell r="H543" t="str">
            <v>London</v>
          </cell>
          <cell r="I543" t="str">
            <v>Turney Road</v>
          </cell>
          <cell r="L543" t="str">
            <v>London</v>
          </cell>
          <cell r="N543" t="str">
            <v>SE21 8LX</v>
          </cell>
          <cell r="O543" t="str">
            <v>headteacher@turney.org.uk</v>
          </cell>
        </row>
        <row r="544">
          <cell r="A544">
            <v>8883810</v>
          </cell>
          <cell r="B544">
            <v>119689</v>
          </cell>
          <cell r="C544">
            <v>888</v>
          </cell>
          <cell r="D544" t="str">
            <v>Lancashire</v>
          </cell>
          <cell r="E544">
            <v>3810</v>
          </cell>
          <cell r="F544" t="str">
            <v>Viv Clutton</v>
          </cell>
          <cell r="G544" t="str">
            <v>Thorneyholme Roman Catholic Primary School, Dunsop Bridge</v>
          </cell>
          <cell r="H544" t="str">
            <v>North West</v>
          </cell>
          <cell r="I544" t="str">
            <v>Trough Road</v>
          </cell>
          <cell r="J544" t="str">
            <v>Dunsop Bridge</v>
          </cell>
          <cell r="L544" t="str">
            <v>Clitheroe</v>
          </cell>
          <cell r="M544" t="str">
            <v>Lancashire</v>
          </cell>
          <cell r="N544" t="str">
            <v>BB7 3BG</v>
          </cell>
          <cell r="O544" t="str">
            <v>bursar@thorneyholme.lancs.sch.uk</v>
          </cell>
        </row>
        <row r="545">
          <cell r="A545">
            <v>9312522</v>
          </cell>
          <cell r="B545">
            <v>123045</v>
          </cell>
          <cell r="C545">
            <v>931</v>
          </cell>
          <cell r="D545" t="str">
            <v>Oxfordshire</v>
          </cell>
          <cell r="E545">
            <v>2522</v>
          </cell>
          <cell r="F545" t="str">
            <v>Sarah Nairne</v>
          </cell>
          <cell r="G545" t="str">
            <v>Cutteslowe Primary School</v>
          </cell>
          <cell r="H545" t="str">
            <v>South East</v>
          </cell>
          <cell r="I545" t="str">
            <v>Wren Road</v>
          </cell>
          <cell r="L545" t="str">
            <v>Oxford</v>
          </cell>
          <cell r="M545" t="str">
            <v>Oxfordshire</v>
          </cell>
          <cell r="N545" t="str">
            <v>OX2 7SX</v>
          </cell>
          <cell r="O545" t="str">
            <v>headteacher.2522@cutteslowe.oxon.sch.uk</v>
          </cell>
        </row>
        <row r="546">
          <cell r="A546">
            <v>3584028</v>
          </cell>
          <cell r="B546">
            <v>106370</v>
          </cell>
          <cell r="C546">
            <v>358</v>
          </cell>
          <cell r="D546" t="str">
            <v>Trafford</v>
          </cell>
          <cell r="E546">
            <v>4028</v>
          </cell>
          <cell r="F546" t="str">
            <v>Jane McCusker</v>
          </cell>
          <cell r="G546" t="str">
            <v>Stretford High School</v>
          </cell>
          <cell r="H546" t="str">
            <v>North West</v>
          </cell>
          <cell r="I546" t="str">
            <v>Great Stone Road</v>
          </cell>
          <cell r="J546" t="str">
            <v>Stretford</v>
          </cell>
          <cell r="L546" t="str">
            <v>Manchester</v>
          </cell>
          <cell r="N546" t="str">
            <v>M32 0XA</v>
          </cell>
          <cell r="O546" t="str">
            <v>karinacarter@hotmail.co.uk</v>
          </cell>
        </row>
        <row r="547">
          <cell r="A547">
            <v>3702128</v>
          </cell>
          <cell r="B547">
            <v>106616</v>
          </cell>
          <cell r="C547">
            <v>370</v>
          </cell>
          <cell r="D547" t="str">
            <v>Barnsley</v>
          </cell>
          <cell r="E547">
            <v>2128</v>
          </cell>
          <cell r="F547" t="str">
            <v>Lisa Sargeant</v>
          </cell>
          <cell r="G547" t="str">
            <v>St Helen's Primary School</v>
          </cell>
          <cell r="H547" t="str">
            <v>Yorkshire and the Humber</v>
          </cell>
          <cell r="I547" t="str">
            <v>St Helen's Way</v>
          </cell>
          <cell r="J547" t="str">
            <v>Monk Bretton</v>
          </cell>
          <cell r="L547" t="str">
            <v>Barnsley</v>
          </cell>
          <cell r="M547" t="str">
            <v>South Yorkshire</v>
          </cell>
          <cell r="N547" t="str">
            <v>S71 2PS</v>
          </cell>
        </row>
        <row r="548">
          <cell r="A548">
            <v>8862685</v>
          </cell>
          <cell r="B548">
            <v>132107</v>
          </cell>
          <cell r="C548">
            <v>886</v>
          </cell>
          <cell r="D548" t="str">
            <v>Kent</v>
          </cell>
          <cell r="E548">
            <v>2685</v>
          </cell>
          <cell r="F548" t="str">
            <v>Tony Dunne</v>
          </cell>
          <cell r="G548" t="str">
            <v>The Gateway Primary School</v>
          </cell>
          <cell r="H548" t="str">
            <v>South East</v>
          </cell>
          <cell r="I548" t="str">
            <v>Milestone Road</v>
          </cell>
          <cell r="L548" t="str">
            <v>Dartford</v>
          </cell>
          <cell r="M548" t="str">
            <v>Kent</v>
          </cell>
          <cell r="N548" t="str">
            <v>DA2 6DW</v>
          </cell>
          <cell r="O548" t="str">
            <v>Headteacher@gateway-pri.kent.sch.uk</v>
          </cell>
        </row>
        <row r="549">
          <cell r="A549">
            <v>9283042</v>
          </cell>
          <cell r="B549">
            <v>121981</v>
          </cell>
          <cell r="C549">
            <v>928</v>
          </cell>
          <cell r="D549" t="str">
            <v>Northamptonshire</v>
          </cell>
          <cell r="E549">
            <v>3042</v>
          </cell>
          <cell r="F549" t="str">
            <v>Sue Harp</v>
          </cell>
          <cell r="G549" t="str">
            <v>Loddington Church of England Primary School</v>
          </cell>
          <cell r="H549" t="str">
            <v>East Midlands</v>
          </cell>
          <cell r="I549" t="str">
            <v>Main Street</v>
          </cell>
          <cell r="J549" t="str">
            <v>Loddington</v>
          </cell>
          <cell r="L549" t="str">
            <v>Kettering</v>
          </cell>
          <cell r="M549" t="str">
            <v>Northamptonshire</v>
          </cell>
          <cell r="N549" t="str">
            <v>NN14 1LA</v>
          </cell>
          <cell r="O549" t="str">
            <v>head@loddington.northants-ecl.gov.uk</v>
          </cell>
        </row>
        <row r="550">
          <cell r="A550">
            <v>3302020</v>
          </cell>
          <cell r="B550">
            <v>134280</v>
          </cell>
          <cell r="C550">
            <v>330</v>
          </cell>
          <cell r="D550" t="str">
            <v>Birmingham</v>
          </cell>
          <cell r="E550">
            <v>2020</v>
          </cell>
          <cell r="F550" t="str">
            <v>Carol Ions</v>
          </cell>
          <cell r="G550" t="str">
            <v>Acocks Green Primary School</v>
          </cell>
          <cell r="H550" t="str">
            <v>West Midlands</v>
          </cell>
          <cell r="I550" t="str">
            <v>Westley Road</v>
          </cell>
          <cell r="J550" t="str">
            <v>Acocks Green</v>
          </cell>
          <cell r="L550" t="str">
            <v>Birmingham</v>
          </cell>
          <cell r="M550" t="str">
            <v>West Midlands</v>
          </cell>
          <cell r="N550" t="str">
            <v>B27 7UQ</v>
          </cell>
          <cell r="O550" t="str">
            <v>jdodson@acocksgreen.bham.sch.uk</v>
          </cell>
          <cell r="P550">
            <v>41211</v>
          </cell>
        </row>
        <row r="551">
          <cell r="A551">
            <v>8235408</v>
          </cell>
          <cell r="B551">
            <v>109712</v>
          </cell>
          <cell r="C551">
            <v>823</v>
          </cell>
          <cell r="D551" t="str">
            <v>Central Bedfordshire</v>
          </cell>
          <cell r="E551">
            <v>5408</v>
          </cell>
          <cell r="F551" t="str">
            <v>Shreena Patel</v>
          </cell>
          <cell r="G551" t="str">
            <v>Holywell CofE VA Middle School</v>
          </cell>
          <cell r="H551" t="str">
            <v>East of England</v>
          </cell>
          <cell r="I551" t="str">
            <v>Red Lion Close</v>
          </cell>
          <cell r="J551" t="str">
            <v>Cranfield</v>
          </cell>
          <cell r="L551" t="str">
            <v>Bedford</v>
          </cell>
          <cell r="M551" t="str">
            <v>Bedfordshire</v>
          </cell>
          <cell r="N551" t="str">
            <v>MK43 0JA</v>
          </cell>
          <cell r="O551" t="str">
            <v>haddonp@holywell.cbeds.co.uk</v>
          </cell>
          <cell r="P551">
            <v>40926</v>
          </cell>
        </row>
        <row r="552">
          <cell r="A552">
            <v>8862075</v>
          </cell>
          <cell r="B552">
            <v>118253</v>
          </cell>
          <cell r="C552">
            <v>886</v>
          </cell>
          <cell r="D552" t="str">
            <v>Kent</v>
          </cell>
          <cell r="E552">
            <v>2075</v>
          </cell>
          <cell r="F552" t="str">
            <v>Sarah Nairne</v>
          </cell>
          <cell r="G552" t="str">
            <v>York Road Junior School and Language Unit</v>
          </cell>
          <cell r="H552" t="str">
            <v>South East</v>
          </cell>
          <cell r="I552" t="str">
            <v>York Road</v>
          </cell>
          <cell r="L552" t="str">
            <v>Dartford</v>
          </cell>
          <cell r="M552" t="str">
            <v>Kent</v>
          </cell>
          <cell r="N552" t="str">
            <v>DA1 1SQ</v>
          </cell>
          <cell r="P552">
            <v>40584</v>
          </cell>
        </row>
        <row r="553">
          <cell r="A553">
            <v>8784054</v>
          </cell>
          <cell r="B553">
            <v>113509</v>
          </cell>
          <cell r="C553">
            <v>878</v>
          </cell>
          <cell r="D553" t="str">
            <v>Devon</v>
          </cell>
          <cell r="E553">
            <v>4054</v>
          </cell>
          <cell r="F553" t="str">
            <v>Dominic Wilson</v>
          </cell>
          <cell r="G553" t="str">
            <v>Chulmleigh Community College</v>
          </cell>
          <cell r="H553" t="str">
            <v>South West</v>
          </cell>
          <cell r="I553" t="str">
            <v>Beacon Road</v>
          </cell>
          <cell r="L553" t="str">
            <v>Chulmleigh</v>
          </cell>
          <cell r="M553" t="str">
            <v>Devon</v>
          </cell>
          <cell r="N553" t="str">
            <v>EX18 7AA</v>
          </cell>
          <cell r="O553" t="str">
            <v>admin@chulmleigh.devon.sch.uk</v>
          </cell>
          <cell r="P553">
            <v>40641</v>
          </cell>
        </row>
        <row r="554">
          <cell r="A554">
            <v>9194043</v>
          </cell>
          <cell r="B554">
            <v>117514</v>
          </cell>
          <cell r="C554">
            <v>919</v>
          </cell>
          <cell r="D554" t="str">
            <v>Hertfordshire</v>
          </cell>
          <cell r="E554">
            <v>4043</v>
          </cell>
          <cell r="F554" t="str">
            <v>Beverley Samuel</v>
          </cell>
          <cell r="G554" t="str">
            <v>Beaumont School</v>
          </cell>
          <cell r="H554" t="str">
            <v>East of England</v>
          </cell>
          <cell r="I554" t="str">
            <v>Oakwood Drive</v>
          </cell>
          <cell r="L554" t="str">
            <v>St Albans</v>
          </cell>
          <cell r="M554" t="str">
            <v>Hertfordshire</v>
          </cell>
          <cell r="N554" t="str">
            <v>AL4 0XB</v>
          </cell>
          <cell r="O554" t="str">
            <v>head@beaumont.herts.sch.uk</v>
          </cell>
          <cell r="P554">
            <v>40949</v>
          </cell>
        </row>
        <row r="555">
          <cell r="A555">
            <v>9334291</v>
          </cell>
          <cell r="B555">
            <v>123877</v>
          </cell>
          <cell r="C555">
            <v>933</v>
          </cell>
          <cell r="D555" t="str">
            <v>Somerset</v>
          </cell>
          <cell r="E555">
            <v>4291</v>
          </cell>
          <cell r="F555" t="str">
            <v>Ali Bushell</v>
          </cell>
          <cell r="G555" t="str">
            <v>The West Somerset Community College</v>
          </cell>
          <cell r="H555" t="str">
            <v>South West</v>
          </cell>
          <cell r="I555" t="str">
            <v>Bircham Road</v>
          </cell>
          <cell r="J555" t="str">
            <v>Alcombe</v>
          </cell>
          <cell r="L555" t="str">
            <v>Minehead</v>
          </cell>
          <cell r="M555" t="str">
            <v>Somerset</v>
          </cell>
          <cell r="N555" t="str">
            <v>TA24 6AY</v>
          </cell>
          <cell r="O555" t="str">
            <v>naswann@educ.somerset.gov.uk</v>
          </cell>
          <cell r="P555">
            <v>40624</v>
          </cell>
        </row>
        <row r="556">
          <cell r="A556">
            <v>3801110</v>
          </cell>
          <cell r="B556">
            <v>135732</v>
          </cell>
          <cell r="C556">
            <v>380</v>
          </cell>
          <cell r="D556" t="str">
            <v>Bradford</v>
          </cell>
          <cell r="E556">
            <v>1110</v>
          </cell>
          <cell r="F556" t="str">
            <v>Not yet assigned</v>
          </cell>
          <cell r="G556" t="str">
            <v>Bradford District PRU</v>
          </cell>
          <cell r="H556" t="str">
            <v>Yorkshire and the Humber</v>
          </cell>
          <cell r="I556" t="str">
            <v>Future House</v>
          </cell>
          <cell r="J556" t="str">
            <v>Bolling Road</v>
          </cell>
          <cell r="L556" t="str">
            <v>Bradford</v>
          </cell>
          <cell r="M556" t="str">
            <v>West Yorkshire</v>
          </cell>
          <cell r="N556" t="str">
            <v>BD4 7EB</v>
          </cell>
        </row>
        <row r="557">
          <cell r="A557">
            <v>8784000</v>
          </cell>
          <cell r="B557">
            <v>113497</v>
          </cell>
          <cell r="C557">
            <v>878</v>
          </cell>
          <cell r="D557" t="str">
            <v>Devon</v>
          </cell>
          <cell r="E557">
            <v>4000</v>
          </cell>
          <cell r="F557" t="str">
            <v>Not yet assigned</v>
          </cell>
          <cell r="G557" t="str">
            <v>The Axe Valley Community College</v>
          </cell>
          <cell r="H557" t="str">
            <v>South West</v>
          </cell>
          <cell r="I557" t="str">
            <v>Chard Street</v>
          </cell>
          <cell r="L557" t="str">
            <v>Axminster</v>
          </cell>
          <cell r="M557" t="str">
            <v>Devon</v>
          </cell>
          <cell r="N557" t="str">
            <v>EX13 5EA</v>
          </cell>
          <cell r="O557" t="str">
            <v>msmith@axevalley.devon.sch.uk</v>
          </cell>
        </row>
        <row r="558">
          <cell r="A558">
            <v>9364052</v>
          </cell>
          <cell r="B558">
            <v>125248</v>
          </cell>
          <cell r="C558">
            <v>936</v>
          </cell>
          <cell r="D558" t="str">
            <v>Surrey</v>
          </cell>
          <cell r="E558">
            <v>4052</v>
          </cell>
          <cell r="F558" t="str">
            <v>Eric Mcewen</v>
          </cell>
          <cell r="G558" t="str">
            <v>Farnham Heath End School</v>
          </cell>
          <cell r="H558" t="str">
            <v>South East</v>
          </cell>
          <cell r="I558" t="str">
            <v>Hale Reeds</v>
          </cell>
          <cell r="L558" t="str">
            <v>Farnham</v>
          </cell>
          <cell r="M558" t="str">
            <v>Surrey</v>
          </cell>
          <cell r="N558" t="str">
            <v>GU9 9BN</v>
          </cell>
          <cell r="O558" t="str">
            <v>nphillips@fhes.org.uk</v>
          </cell>
          <cell r="P558">
            <v>41044</v>
          </cell>
        </row>
        <row r="559">
          <cell r="A559">
            <v>9333277</v>
          </cell>
          <cell r="B559">
            <v>123815</v>
          </cell>
          <cell r="C559">
            <v>933</v>
          </cell>
          <cell r="D559" t="str">
            <v>Somerset</v>
          </cell>
          <cell r="E559">
            <v>3277</v>
          </cell>
          <cell r="F559" t="str">
            <v>Theresa Oddelm</v>
          </cell>
          <cell r="G559" t="str">
            <v>Chilthorne Domer Church School</v>
          </cell>
          <cell r="H559" t="str">
            <v>South West</v>
          </cell>
          <cell r="I559" t="str">
            <v>Main Street</v>
          </cell>
          <cell r="J559" t="str">
            <v>Chilthorne Domer</v>
          </cell>
          <cell r="L559" t="str">
            <v>Yeovil</v>
          </cell>
          <cell r="M559" t="str">
            <v>Somerset</v>
          </cell>
          <cell r="N559" t="str">
            <v>BA22 8RD</v>
          </cell>
        </row>
        <row r="560">
          <cell r="A560">
            <v>9094501</v>
          </cell>
          <cell r="B560">
            <v>112397</v>
          </cell>
          <cell r="C560">
            <v>909</v>
          </cell>
          <cell r="D560" t="str">
            <v>Cumbria</v>
          </cell>
          <cell r="E560">
            <v>4501</v>
          </cell>
          <cell r="F560" t="str">
            <v>Steve Bibby</v>
          </cell>
          <cell r="G560" t="str">
            <v>The Nelson Thomlinson School</v>
          </cell>
          <cell r="H560" t="str">
            <v>North West</v>
          </cell>
          <cell r="I560" t="str">
            <v>High Street</v>
          </cell>
          <cell r="L560" t="str">
            <v>Wigton</v>
          </cell>
          <cell r="M560" t="str">
            <v>Cumbria</v>
          </cell>
          <cell r="N560" t="str">
            <v>CA7 9PX</v>
          </cell>
          <cell r="O560" t="str">
            <v xml:space="preserve"> jd@nts.cumbria.sch.uk</v>
          </cell>
        </row>
        <row r="561">
          <cell r="A561">
            <v>8457036</v>
          </cell>
          <cell r="B561">
            <v>114696</v>
          </cell>
          <cell r="C561">
            <v>845</v>
          </cell>
          <cell r="D561" t="str">
            <v>East Sussex</v>
          </cell>
          <cell r="E561">
            <v>7036</v>
          </cell>
          <cell r="F561" t="str">
            <v>Sarah Mitchell</v>
          </cell>
          <cell r="G561" t="str">
            <v>Cuckmere House School</v>
          </cell>
          <cell r="H561" t="str">
            <v>South East</v>
          </cell>
          <cell r="I561" t="str">
            <v>Eastbourne Road</v>
          </cell>
          <cell r="L561" t="str">
            <v>Seaford</v>
          </cell>
          <cell r="M561" t="str">
            <v>East Sussex</v>
          </cell>
          <cell r="N561" t="str">
            <v>BN25 4BA</v>
          </cell>
          <cell r="O561" t="str">
            <v>fstanford@cuckmerehouse.e-sussex.sch.uk</v>
          </cell>
        </row>
        <row r="562">
          <cell r="A562">
            <v>8302328</v>
          </cell>
          <cell r="B562">
            <v>112681</v>
          </cell>
          <cell r="C562">
            <v>830</v>
          </cell>
          <cell r="D562" t="str">
            <v>Derbyshire</v>
          </cell>
          <cell r="E562">
            <v>2328</v>
          </cell>
          <cell r="F562" t="str">
            <v>Not yet assigned</v>
          </cell>
          <cell r="G562" t="str">
            <v>Ladywood Primary School</v>
          </cell>
          <cell r="H562" t="str">
            <v>East Midlands</v>
          </cell>
          <cell r="I562" t="str">
            <v>Oliver Road</v>
          </cell>
          <cell r="J562" t="str">
            <v>Kirk Hallam</v>
          </cell>
          <cell r="L562" t="str">
            <v>Ilkeston</v>
          </cell>
          <cell r="M562" t="str">
            <v>Derbyshire</v>
          </cell>
          <cell r="N562" t="str">
            <v>DE7 4NH</v>
          </cell>
          <cell r="O562" t="str">
            <v>info@ladywood.derbyshire.sch.uk</v>
          </cell>
        </row>
        <row r="563">
          <cell r="A563">
            <v>8554044</v>
          </cell>
          <cell r="B563">
            <v>120264</v>
          </cell>
          <cell r="C563">
            <v>855</v>
          </cell>
          <cell r="D563" t="str">
            <v>Leicestershire</v>
          </cell>
          <cell r="E563">
            <v>4044</v>
          </cell>
          <cell r="F563" t="str">
            <v>Stephen Standret</v>
          </cell>
          <cell r="G563" t="str">
            <v>John Ferneley College</v>
          </cell>
          <cell r="H563" t="str">
            <v>East Midlands</v>
          </cell>
          <cell r="I563" t="str">
            <v>Scalford Road</v>
          </cell>
          <cell r="L563" t="str">
            <v>Melton Mowbray</v>
          </cell>
          <cell r="M563" t="str">
            <v>Leicestershire</v>
          </cell>
          <cell r="N563" t="str">
            <v>LE13 1LH</v>
          </cell>
          <cell r="O563" t="str">
            <v>cjr111@hotmail.com</v>
          </cell>
          <cell r="P563">
            <v>40607</v>
          </cell>
        </row>
        <row r="564">
          <cell r="A564">
            <v>9081105</v>
          </cell>
          <cell r="B564">
            <v>134756</v>
          </cell>
          <cell r="C564">
            <v>908</v>
          </cell>
          <cell r="D564" t="str">
            <v>Cornwall</v>
          </cell>
          <cell r="E564">
            <v>1105</v>
          </cell>
          <cell r="F564" t="str">
            <v>Nigel Mills</v>
          </cell>
          <cell r="G564" t="str">
            <v>Glynn House Short Stay School</v>
          </cell>
          <cell r="H564" t="str">
            <v>South West</v>
          </cell>
          <cell r="I564" t="str">
            <v>Glynn House</v>
          </cell>
          <cell r="J564" t="str">
            <v>County Hall</v>
          </cell>
          <cell r="K564" t="str">
            <v>Treyew Road</v>
          </cell>
          <cell r="L564" t="str">
            <v>Truro</v>
          </cell>
          <cell r="N564" t="str">
            <v>TR1 3AY</v>
          </cell>
          <cell r="O564" t="str">
            <v>rgasson@cornwall.gov.uk</v>
          </cell>
          <cell r="P564">
            <v>41019</v>
          </cell>
        </row>
        <row r="565">
          <cell r="A565">
            <v>8504001</v>
          </cell>
          <cell r="B565">
            <v>116405</v>
          </cell>
          <cell r="C565">
            <v>850</v>
          </cell>
          <cell r="D565" t="str">
            <v>Hampshire</v>
          </cell>
          <cell r="E565">
            <v>4001</v>
          </cell>
          <cell r="F565" t="str">
            <v>Amanda Barrett</v>
          </cell>
          <cell r="G565" t="str">
            <v>John Hanson Community School</v>
          </cell>
          <cell r="H565" t="str">
            <v>South East</v>
          </cell>
          <cell r="I565" t="str">
            <v>Floral Way</v>
          </cell>
          <cell r="L565" t="str">
            <v>Andover</v>
          </cell>
          <cell r="M565" t="str">
            <v>Hampshire</v>
          </cell>
          <cell r="N565" t="str">
            <v>SP10 3PB</v>
          </cell>
          <cell r="O565" t="str">
            <v>richard.butler@jhanson.hants.sch.uk</v>
          </cell>
        </row>
        <row r="566">
          <cell r="A566">
            <v>8962269</v>
          </cell>
          <cell r="B566">
            <v>111104</v>
          </cell>
          <cell r="C566">
            <v>896</v>
          </cell>
          <cell r="D566" t="str">
            <v>Cheshire West and Chester</v>
          </cell>
          <cell r="E566">
            <v>2269</v>
          </cell>
          <cell r="F566" t="str">
            <v>Cathy Dudley</v>
          </cell>
          <cell r="G566" t="str">
            <v>Kelsall Community Primary School</v>
          </cell>
          <cell r="H566" t="str">
            <v>North West</v>
          </cell>
          <cell r="I566" t="str">
            <v>Flat Lane</v>
          </cell>
          <cell r="J566" t="str">
            <v>Kelsall</v>
          </cell>
          <cell r="L566" t="str">
            <v>Tarporley</v>
          </cell>
          <cell r="M566" t="str">
            <v>Cheshire</v>
          </cell>
          <cell r="N566" t="str">
            <v>CW6 0PU</v>
          </cell>
          <cell r="O566" t="str">
            <v>head@kelsall.cheshire.sch.uk</v>
          </cell>
          <cell r="P566">
            <v>41032</v>
          </cell>
        </row>
        <row r="567">
          <cell r="A567">
            <v>8655411</v>
          </cell>
          <cell r="B567">
            <v>126506</v>
          </cell>
          <cell r="C567">
            <v>865</v>
          </cell>
          <cell r="D567" t="str">
            <v>Wiltshire</v>
          </cell>
          <cell r="E567">
            <v>5411</v>
          </cell>
          <cell r="F567" t="str">
            <v>Maria Whiting</v>
          </cell>
          <cell r="G567" t="str">
            <v>Devizes School</v>
          </cell>
          <cell r="H567" t="str">
            <v>South West</v>
          </cell>
          <cell r="I567" t="str">
            <v>The Green</v>
          </cell>
          <cell r="L567" t="str">
            <v>Devizes</v>
          </cell>
          <cell r="M567" t="str">
            <v>Wiltshire</v>
          </cell>
          <cell r="N567" t="str">
            <v>SN10 3AG</v>
          </cell>
          <cell r="O567" t="str">
            <v>head@devizes.wilts.sch.uk</v>
          </cell>
          <cell r="P567">
            <v>40975</v>
          </cell>
        </row>
        <row r="568">
          <cell r="A568">
            <v>9367042</v>
          </cell>
          <cell r="B568">
            <v>125467</v>
          </cell>
          <cell r="C568">
            <v>936</v>
          </cell>
          <cell r="D568" t="str">
            <v>Surrey</v>
          </cell>
          <cell r="E568">
            <v>7042</v>
          </cell>
          <cell r="F568" t="str">
            <v>Gabriela Grimley</v>
          </cell>
          <cell r="G568" t="str">
            <v>Pond Meadow School</v>
          </cell>
          <cell r="H568" t="str">
            <v>South East</v>
          </cell>
          <cell r="I568" t="str">
            <v>Larch Avenue</v>
          </cell>
          <cell r="L568" t="str">
            <v>Guildford</v>
          </cell>
          <cell r="M568" t="str">
            <v>Surrey</v>
          </cell>
          <cell r="N568" t="str">
            <v>GU1 1DR</v>
          </cell>
          <cell r="O568" t="str">
            <v>head@pond-meadow.surrey.sch.uk</v>
          </cell>
          <cell r="P568">
            <v>40869</v>
          </cell>
        </row>
        <row r="569">
          <cell r="A569">
            <v>8792694</v>
          </cell>
          <cell r="B569">
            <v>113315</v>
          </cell>
          <cell r="C569">
            <v>879</v>
          </cell>
          <cell r="D569" t="str">
            <v>Plymouth</v>
          </cell>
          <cell r="E569">
            <v>2694</v>
          </cell>
          <cell r="F569" t="str">
            <v>Ali Bushell</v>
          </cell>
          <cell r="G569" t="str">
            <v>Boringdon Primary</v>
          </cell>
          <cell r="H569" t="str">
            <v>South West</v>
          </cell>
          <cell r="I569" t="str">
            <v>Courtland Crescent</v>
          </cell>
          <cell r="J569" t="str">
            <v>Plympton</v>
          </cell>
          <cell r="L569" t="str">
            <v>Plymouth</v>
          </cell>
          <cell r="M569" t="str">
            <v>Devon</v>
          </cell>
          <cell r="N569" t="str">
            <v>PL7 4HJ</v>
          </cell>
          <cell r="O569" t="str">
            <v>iancload@boringdon.plymouth.sch.uk</v>
          </cell>
        </row>
        <row r="570">
          <cell r="A570">
            <v>9374110</v>
          </cell>
          <cell r="B570">
            <v>125734</v>
          </cell>
          <cell r="C570">
            <v>937</v>
          </cell>
          <cell r="D570" t="str">
            <v>Warwickshire</v>
          </cell>
          <cell r="E570">
            <v>4110</v>
          </cell>
          <cell r="F570" t="str">
            <v>Adriarna Goodinson</v>
          </cell>
          <cell r="G570" t="str">
            <v>Kineton High School</v>
          </cell>
          <cell r="H570" t="str">
            <v>West Midlands</v>
          </cell>
          <cell r="I570" t="str">
            <v>Banbury Road</v>
          </cell>
          <cell r="J570" t="str">
            <v>Kineton</v>
          </cell>
          <cell r="L570" t="str">
            <v>Warwick</v>
          </cell>
          <cell r="M570" t="str">
            <v>Warwickshire</v>
          </cell>
          <cell r="N570" t="str">
            <v>CV35 0JX</v>
          </cell>
          <cell r="O570" t="str">
            <v>head4110@we-learn.com</v>
          </cell>
          <cell r="P570">
            <v>40732</v>
          </cell>
        </row>
        <row r="571">
          <cell r="A571">
            <v>9252057</v>
          </cell>
          <cell r="B571">
            <v>120394</v>
          </cell>
          <cell r="C571">
            <v>925</v>
          </cell>
          <cell r="D571" t="str">
            <v>Lincolnshire</v>
          </cell>
          <cell r="E571">
            <v>2057</v>
          </cell>
          <cell r="F571" t="str">
            <v>Linda Brooks</v>
          </cell>
          <cell r="G571" t="str">
            <v>Fosse Way Primary School</v>
          </cell>
          <cell r="H571" t="str">
            <v>East Midlands</v>
          </cell>
          <cell r="I571" t="str">
            <v>Ash Grove</v>
          </cell>
          <cell r="J571" t="str">
            <v>North Hykeham</v>
          </cell>
          <cell r="L571" t="str">
            <v>Lincoln</v>
          </cell>
          <cell r="M571" t="str">
            <v>Lincolnshire</v>
          </cell>
          <cell r="N571" t="str">
            <v>LN6 8DU</v>
          </cell>
          <cell r="O571" t="str">
            <v>admin@fosse-way.lincs.sch.uk</v>
          </cell>
          <cell r="P571">
            <v>40576</v>
          </cell>
        </row>
        <row r="572">
          <cell r="A572">
            <v>8234117</v>
          </cell>
          <cell r="B572">
            <v>109687</v>
          </cell>
          <cell r="C572">
            <v>823</v>
          </cell>
          <cell r="D572" t="str">
            <v>Central Bedfordshire</v>
          </cell>
          <cell r="E572">
            <v>4117</v>
          </cell>
          <cell r="F572" t="str">
            <v>Michael Cook</v>
          </cell>
          <cell r="G572" t="str">
            <v>Woodland Middle School</v>
          </cell>
          <cell r="H572" t="str">
            <v>East of England</v>
          </cell>
          <cell r="I572" t="str">
            <v>Malham Close</v>
          </cell>
          <cell r="J572" t="str">
            <v>Flitwick</v>
          </cell>
          <cell r="L572" t="str">
            <v>Bedford</v>
          </cell>
          <cell r="M572" t="str">
            <v>Bedfordshire</v>
          </cell>
          <cell r="N572" t="str">
            <v>MK45 1NP</v>
          </cell>
          <cell r="O572" t="str">
            <v>office@woodland.beds.sch.uk</v>
          </cell>
          <cell r="P572">
            <v>40527</v>
          </cell>
        </row>
        <row r="573">
          <cell r="A573">
            <v>8353348</v>
          </cell>
          <cell r="B573">
            <v>113810</v>
          </cell>
          <cell r="C573">
            <v>835</v>
          </cell>
          <cell r="D573" t="str">
            <v>Dorset</v>
          </cell>
          <cell r="E573">
            <v>3348</v>
          </cell>
          <cell r="F573" t="str">
            <v>Tahamina Khan</v>
          </cell>
          <cell r="G573" t="str">
            <v>Okeford Fitzpaine Church of England Voluntary Aided School</v>
          </cell>
          <cell r="H573" t="str">
            <v>South West</v>
          </cell>
          <cell r="I573" t="str">
            <v>The Cross</v>
          </cell>
          <cell r="J573" t="str">
            <v>Okeford Fitzpaine</v>
          </cell>
          <cell r="L573" t="str">
            <v>Blandford Forum</v>
          </cell>
          <cell r="M573" t="str">
            <v>Dorset</v>
          </cell>
          <cell r="N573" t="str">
            <v>DT11 0RF</v>
          </cell>
          <cell r="O573" t="str">
            <v xml:space="preserve">ianberry_@hotmail.com </v>
          </cell>
        </row>
        <row r="574">
          <cell r="A574">
            <v>3025409</v>
          </cell>
          <cell r="B574">
            <v>101366</v>
          </cell>
          <cell r="C574">
            <v>302</v>
          </cell>
          <cell r="D574" t="str">
            <v>Barnet</v>
          </cell>
          <cell r="E574">
            <v>5409</v>
          </cell>
          <cell r="F574" t="str">
            <v>Bola Bakrin</v>
          </cell>
          <cell r="G574" t="str">
            <v>Hasmonean High School</v>
          </cell>
          <cell r="H574" t="str">
            <v>London</v>
          </cell>
          <cell r="I574" t="str">
            <v>Holders Hill Road</v>
          </cell>
          <cell r="J574" t="str">
            <v>Hendon</v>
          </cell>
          <cell r="L574" t="str">
            <v>London</v>
          </cell>
          <cell r="N574" t="str">
            <v>NW4 1NA</v>
          </cell>
          <cell r="O574" t="str">
            <v xml:space="preserve">d.meyer@hasmonean.co.uk </v>
          </cell>
          <cell r="P574">
            <v>40618</v>
          </cell>
        </row>
        <row r="575">
          <cell r="A575">
            <v>8812210</v>
          </cell>
          <cell r="B575">
            <v>114805</v>
          </cell>
          <cell r="C575">
            <v>881</v>
          </cell>
          <cell r="D575" t="str">
            <v>Essex</v>
          </cell>
          <cell r="E575">
            <v>2210</v>
          </cell>
          <cell r="F575" t="str">
            <v>Beverley Samuel</v>
          </cell>
          <cell r="G575" t="str">
            <v>Trinity Road Primary School</v>
          </cell>
          <cell r="H575" t="str">
            <v>East of England</v>
          </cell>
          <cell r="I575" t="str">
            <v>Trinity Road</v>
          </cell>
          <cell r="L575" t="str">
            <v>Chelmsford</v>
          </cell>
          <cell r="M575" t="str">
            <v>Essex</v>
          </cell>
          <cell r="N575" t="str">
            <v>CM2 6HS</v>
          </cell>
          <cell r="O575" t="str">
            <v>head@trinityroad.essex.sch.uk</v>
          </cell>
        </row>
        <row r="576">
          <cell r="A576">
            <v>9192392</v>
          </cell>
          <cell r="B576">
            <v>117314</v>
          </cell>
          <cell r="C576">
            <v>919</v>
          </cell>
          <cell r="D576" t="str">
            <v>Hertfordshire</v>
          </cell>
          <cell r="E576">
            <v>2392</v>
          </cell>
          <cell r="F576" t="str">
            <v>Bonnie Wang</v>
          </cell>
          <cell r="G576" t="str">
            <v>William Ransom Primary School</v>
          </cell>
          <cell r="H576" t="str">
            <v>East of England</v>
          </cell>
          <cell r="I576" t="str">
            <v>Stuart Drive</v>
          </cell>
          <cell r="L576" t="str">
            <v>Hitchin</v>
          </cell>
          <cell r="M576" t="str">
            <v>Hertfordshire</v>
          </cell>
          <cell r="N576" t="str">
            <v>SG4 9QB</v>
          </cell>
          <cell r="O576" t="str">
            <v>head@wransom.herts.sch.uk</v>
          </cell>
        </row>
        <row r="577">
          <cell r="A577">
            <v>8554506</v>
          </cell>
          <cell r="B577">
            <v>120302</v>
          </cell>
          <cell r="C577">
            <v>855</v>
          </cell>
          <cell r="D577" t="str">
            <v>Leicestershire</v>
          </cell>
          <cell r="E577">
            <v>4506</v>
          </cell>
          <cell r="F577" t="str">
            <v>Stephen Standret</v>
          </cell>
          <cell r="G577" t="str">
            <v>Brockington College</v>
          </cell>
          <cell r="H577" t="str">
            <v>East Midlands</v>
          </cell>
          <cell r="I577" t="str">
            <v>Blaby Road</v>
          </cell>
          <cell r="J577" t="str">
            <v>Enderby</v>
          </cell>
          <cell r="L577" t="str">
            <v>Leicester</v>
          </cell>
          <cell r="M577" t="str">
            <v>Leicestershire</v>
          </cell>
          <cell r="N577" t="str">
            <v>LE19 4AQ</v>
          </cell>
          <cell r="O577" t="str">
            <v>cjs@brockington.leics.sch.uk</v>
          </cell>
          <cell r="P577">
            <v>41008</v>
          </cell>
        </row>
        <row r="578">
          <cell r="A578">
            <v>8412002</v>
          </cell>
          <cell r="B578">
            <v>132204</v>
          </cell>
          <cell r="C578">
            <v>841</v>
          </cell>
          <cell r="D578" t="str">
            <v>Darlington</v>
          </cell>
          <cell r="E578">
            <v>2002</v>
          </cell>
          <cell r="F578" t="str">
            <v>Jane Moore</v>
          </cell>
          <cell r="G578" t="str">
            <v>Alderman Leach Primary School</v>
          </cell>
          <cell r="H578" t="str">
            <v>North East</v>
          </cell>
          <cell r="I578" t="str">
            <v>Alderman Leach Drive</v>
          </cell>
          <cell r="L578" t="str">
            <v>Darlington</v>
          </cell>
          <cell r="M578" t="str">
            <v>County Durham</v>
          </cell>
          <cell r="N578" t="str">
            <v>DL2 2GF</v>
          </cell>
          <cell r="O578" t="str">
            <v>c.thompson@aldermanleach.darlington.sch.uk</v>
          </cell>
        </row>
        <row r="579">
          <cell r="A579">
            <v>8612011</v>
          </cell>
          <cell r="B579">
            <v>123978</v>
          </cell>
          <cell r="C579">
            <v>861</v>
          </cell>
          <cell r="D579" t="str">
            <v>Stoke-on-Trent</v>
          </cell>
          <cell r="E579">
            <v>2011</v>
          </cell>
          <cell r="F579" t="str">
            <v>Julia Waterhouse</v>
          </cell>
          <cell r="G579" t="str">
            <v>Hollywall Primary School</v>
          </cell>
          <cell r="H579" t="str">
            <v>West Midlands</v>
          </cell>
          <cell r="I579" t="str">
            <v>Burnaby Road</v>
          </cell>
          <cell r="J579" t="str">
            <v>Sandyford</v>
          </cell>
          <cell r="K579" t="str">
            <v>Tunstall</v>
          </cell>
          <cell r="L579" t="str">
            <v>Stoke-on-Trent</v>
          </cell>
          <cell r="M579" t="str">
            <v>Staffordshire</v>
          </cell>
          <cell r="N579" t="str">
            <v>ST6 5PT</v>
          </cell>
        </row>
        <row r="580">
          <cell r="A580">
            <v>8735406</v>
          </cell>
          <cell r="B580">
            <v>110900</v>
          </cell>
          <cell r="C580">
            <v>873</v>
          </cell>
          <cell r="D580" t="str">
            <v>Cambridgeshire</v>
          </cell>
          <cell r="E580">
            <v>5406</v>
          </cell>
          <cell r="F580" t="str">
            <v>Emma Robinson</v>
          </cell>
          <cell r="G580" t="str">
            <v>Comberton Village College</v>
          </cell>
          <cell r="H580" t="str">
            <v>East of England</v>
          </cell>
          <cell r="I580" t="str">
            <v>West Street</v>
          </cell>
          <cell r="J580" t="str">
            <v>Comberton</v>
          </cell>
          <cell r="L580" t="str">
            <v>Cambridge</v>
          </cell>
          <cell r="M580" t="str">
            <v>Cambridgeshire</v>
          </cell>
          <cell r="N580" t="str">
            <v>CB23 7DU</v>
          </cell>
          <cell r="O580" t="str">
            <v>smunday@comberton.cambs.sch.uk</v>
          </cell>
          <cell r="P580">
            <v>40448</v>
          </cell>
        </row>
        <row r="581">
          <cell r="A581">
            <v>8872408</v>
          </cell>
          <cell r="B581">
            <v>118427</v>
          </cell>
          <cell r="C581">
            <v>887</v>
          </cell>
          <cell r="D581" t="str">
            <v>Medway</v>
          </cell>
          <cell r="E581">
            <v>2408</v>
          </cell>
          <cell r="F581" t="str">
            <v>Sarah Mitchell</v>
          </cell>
          <cell r="G581" t="str">
            <v>Skinner Street Primary School</v>
          </cell>
          <cell r="H581" t="str">
            <v>South East</v>
          </cell>
          <cell r="I581" t="str">
            <v>Skinner Street</v>
          </cell>
          <cell r="L581" t="str">
            <v>Gillingham</v>
          </cell>
          <cell r="M581" t="str">
            <v>Kent</v>
          </cell>
          <cell r="N581" t="str">
            <v>ME7 1LG</v>
          </cell>
          <cell r="O581" t="str">
            <v>rougd002@medway.org.uk</v>
          </cell>
        </row>
        <row r="582">
          <cell r="A582">
            <v>8782258</v>
          </cell>
          <cell r="B582">
            <v>113180</v>
          </cell>
          <cell r="C582">
            <v>878</v>
          </cell>
          <cell r="D582" t="str">
            <v>Devon</v>
          </cell>
          <cell r="E582">
            <v>2258</v>
          </cell>
          <cell r="F582" t="str">
            <v>Susan Phillips</v>
          </cell>
          <cell r="G582" t="str">
            <v>Newport Community School</v>
          </cell>
          <cell r="H582" t="str">
            <v>South West</v>
          </cell>
          <cell r="I582" t="str">
            <v>Landkey Road</v>
          </cell>
          <cell r="J582" t="str">
            <v>Newport</v>
          </cell>
          <cell r="L582" t="str">
            <v>Barnstaple</v>
          </cell>
          <cell r="M582" t="str">
            <v>Devon</v>
          </cell>
          <cell r="N582" t="str">
            <v>EX32 9BW</v>
          </cell>
          <cell r="O582" t="str">
            <v>head@newportprimary.devon.sch.uk</v>
          </cell>
          <cell r="P582">
            <v>40625</v>
          </cell>
        </row>
        <row r="583">
          <cell r="A583">
            <v>9287020</v>
          </cell>
          <cell r="B583">
            <v>122164</v>
          </cell>
          <cell r="C583">
            <v>928</v>
          </cell>
          <cell r="D583" t="str">
            <v>Northamptonshire</v>
          </cell>
          <cell r="E583">
            <v>7020</v>
          </cell>
          <cell r="F583" t="str">
            <v>Jamie Kelly</v>
          </cell>
          <cell r="G583" t="str">
            <v>Billing Brook Special School</v>
          </cell>
          <cell r="H583" t="str">
            <v>East Midlands</v>
          </cell>
          <cell r="I583" t="str">
            <v>Penistone Road</v>
          </cell>
          <cell r="J583" t="str">
            <v>Lumbertubs</v>
          </cell>
          <cell r="L583" t="str">
            <v>Northampton</v>
          </cell>
          <cell r="M583" t="str">
            <v>Northamptonshire</v>
          </cell>
          <cell r="N583" t="str">
            <v>NN3 8EZ</v>
          </cell>
          <cell r="O583" t="str">
            <v>head@billing.northants-ecl.gov.uk</v>
          </cell>
        </row>
        <row r="584">
          <cell r="A584">
            <v>8313542</v>
          </cell>
          <cell r="B584">
            <v>112926</v>
          </cell>
          <cell r="C584">
            <v>831</v>
          </cell>
          <cell r="D584" t="str">
            <v>Derby</v>
          </cell>
          <cell r="E584">
            <v>3542</v>
          </cell>
          <cell r="F584" t="str">
            <v>Sue Harp</v>
          </cell>
          <cell r="G584" t="str">
            <v>St Joseph's Catholic Primary School, Derby</v>
          </cell>
          <cell r="H584" t="str">
            <v>East Midlands</v>
          </cell>
          <cell r="I584" t="str">
            <v>Mill Hill Lane</v>
          </cell>
          <cell r="L584" t="str">
            <v>Derby</v>
          </cell>
          <cell r="M584" t="str">
            <v>Derbyshire</v>
          </cell>
          <cell r="N584" t="str">
            <v>DE23 6SB</v>
          </cell>
          <cell r="O584" t="str">
            <v>head@stjosephs.derby.sch.uk</v>
          </cell>
          <cell r="P584">
            <v>41220</v>
          </cell>
        </row>
        <row r="585">
          <cell r="A585">
            <v>2125405</v>
          </cell>
          <cell r="B585">
            <v>101063</v>
          </cell>
          <cell r="C585">
            <v>212</v>
          </cell>
          <cell r="D585" t="str">
            <v>Wandsworth</v>
          </cell>
          <cell r="E585">
            <v>5405</v>
          </cell>
          <cell r="F585" t="str">
            <v>Sheila Longstaff</v>
          </cell>
          <cell r="G585" t="str">
            <v>Southfields Community College</v>
          </cell>
          <cell r="H585" t="str">
            <v>London</v>
          </cell>
          <cell r="I585" t="str">
            <v>333 Merton Road</v>
          </cell>
          <cell r="J585" t="str">
            <v>Wandsworth</v>
          </cell>
          <cell r="L585" t="str">
            <v>London</v>
          </cell>
          <cell r="N585" t="str">
            <v>SW18 5JU</v>
          </cell>
          <cell r="O585" t="str">
            <v>jacqueline.valin@southfields.wandsworth.sch.uk</v>
          </cell>
          <cell r="P585">
            <v>41052</v>
          </cell>
        </row>
        <row r="586">
          <cell r="A586">
            <v>3164032</v>
          </cell>
          <cell r="B586">
            <v>102782</v>
          </cell>
          <cell r="C586">
            <v>316</v>
          </cell>
          <cell r="D586" t="str">
            <v>Newham</v>
          </cell>
          <cell r="E586">
            <v>4032</v>
          </cell>
          <cell r="F586" t="str">
            <v>Sheila Longstaff</v>
          </cell>
          <cell r="G586" t="str">
            <v>Plashet School</v>
          </cell>
          <cell r="H586" t="str">
            <v>London</v>
          </cell>
          <cell r="I586" t="str">
            <v>Plashet Grove</v>
          </cell>
          <cell r="J586" t="str">
            <v>East Ham</v>
          </cell>
          <cell r="L586" t="str">
            <v>London</v>
          </cell>
          <cell r="N586" t="str">
            <v>E6 1DG</v>
          </cell>
          <cell r="O586" t="str">
            <v xml:space="preserve"> info@plashet.newham.sch.uk</v>
          </cell>
        </row>
        <row r="587">
          <cell r="A587">
            <v>8837032</v>
          </cell>
          <cell r="B587">
            <v>115454</v>
          </cell>
          <cell r="C587">
            <v>883</v>
          </cell>
          <cell r="D587" t="str">
            <v>Thurrock</v>
          </cell>
          <cell r="E587">
            <v>7032</v>
          </cell>
          <cell r="F587" t="str">
            <v>Joe Farrell</v>
          </cell>
          <cell r="G587" t="str">
            <v>Treetops School</v>
          </cell>
          <cell r="H587" t="str">
            <v>East of England</v>
          </cell>
          <cell r="I587" t="str">
            <v>Buxton Road</v>
          </cell>
          <cell r="L587" t="str">
            <v>Grays</v>
          </cell>
          <cell r="M587" t="str">
            <v>Essex</v>
          </cell>
          <cell r="N587" t="str">
            <v>RM16 2XN</v>
          </cell>
          <cell r="O587" t="str">
            <v>headteacher@treetops.thurrock.sch.uk</v>
          </cell>
        </row>
        <row r="588">
          <cell r="A588">
            <v>8224605</v>
          </cell>
          <cell r="B588">
            <v>109698</v>
          </cell>
          <cell r="C588">
            <v>822</v>
          </cell>
          <cell r="D588" t="str">
            <v>Bedford</v>
          </cell>
          <cell r="E588">
            <v>4605</v>
          </cell>
          <cell r="F588" t="str">
            <v>Michael Cook</v>
          </cell>
          <cell r="G588" t="str">
            <v>St Thomas More Catholic School</v>
          </cell>
          <cell r="H588" t="str">
            <v>East of England</v>
          </cell>
          <cell r="I588" t="str">
            <v>Tyne Crescent</v>
          </cell>
          <cell r="L588" t="str">
            <v>Bedford</v>
          </cell>
          <cell r="M588" t="str">
            <v>Bedfordshire</v>
          </cell>
          <cell r="N588" t="str">
            <v>MK41 7UL</v>
          </cell>
          <cell r="O588" t="str">
            <v>ALee@stm.beds.sch.uk</v>
          </cell>
          <cell r="P588">
            <v>41165</v>
          </cell>
        </row>
        <row r="589">
          <cell r="A589">
            <v>3302127</v>
          </cell>
          <cell r="B589">
            <v>103227</v>
          </cell>
          <cell r="C589">
            <v>330</v>
          </cell>
          <cell r="D589" t="str">
            <v>Birmingham</v>
          </cell>
          <cell r="E589">
            <v>2127</v>
          </cell>
          <cell r="F589" t="str">
            <v>Carol Ions</v>
          </cell>
          <cell r="G589" t="str">
            <v>Lozells Junior and Infant School and Nursery</v>
          </cell>
          <cell r="H589" t="str">
            <v>West Midlands</v>
          </cell>
          <cell r="I589" t="str">
            <v>Wheeler Street</v>
          </cell>
          <cell r="J589" t="str">
            <v>Lozells</v>
          </cell>
          <cell r="L589" t="str">
            <v>Birmingham</v>
          </cell>
          <cell r="M589" t="str">
            <v>West Midlands</v>
          </cell>
          <cell r="N589" t="str">
            <v>B19 2EJ</v>
          </cell>
          <cell r="O589" t="str">
            <v>avril.dyson@holte.bham.sch.uk</v>
          </cell>
          <cell r="P589">
            <v>40934</v>
          </cell>
        </row>
        <row r="590">
          <cell r="A590">
            <v>8553008</v>
          </cell>
          <cell r="B590">
            <v>120112</v>
          </cell>
          <cell r="C590">
            <v>855</v>
          </cell>
          <cell r="D590" t="str">
            <v>Leicestershire</v>
          </cell>
          <cell r="E590">
            <v>3008</v>
          </cell>
          <cell r="F590" t="str">
            <v>Stephen Standret</v>
          </cell>
          <cell r="G590" t="str">
            <v>Barrow Hall Orchard Church of England Primary School</v>
          </cell>
          <cell r="H590" t="str">
            <v>East Midlands</v>
          </cell>
          <cell r="I590" t="str">
            <v>Church Street</v>
          </cell>
          <cell r="J590" t="str">
            <v>Barrow-upon-Soar</v>
          </cell>
          <cell r="L590" t="str">
            <v>Loughborough</v>
          </cell>
          <cell r="M590" t="str">
            <v>Leicestershire</v>
          </cell>
          <cell r="N590" t="str">
            <v>LE12 8HP</v>
          </cell>
          <cell r="O590" t="str">
            <v>janemckay@hall-orchard.leics.sch.uk</v>
          </cell>
          <cell r="P590">
            <v>41253</v>
          </cell>
        </row>
        <row r="591">
          <cell r="A591">
            <v>8733014</v>
          </cell>
          <cell r="B591">
            <v>110788</v>
          </cell>
          <cell r="C591">
            <v>873</v>
          </cell>
          <cell r="D591" t="str">
            <v>Cambridgeshire</v>
          </cell>
          <cell r="E591">
            <v>3014</v>
          </cell>
          <cell r="F591" t="str">
            <v>Claire Ivie</v>
          </cell>
          <cell r="G591" t="str">
            <v>Fordham CofE Primary School</v>
          </cell>
          <cell r="H591" t="str">
            <v>East of England</v>
          </cell>
          <cell r="I591" t="str">
            <v>Isleham Road</v>
          </cell>
          <cell r="J591" t="str">
            <v>Fordham</v>
          </cell>
          <cell r="L591" t="str">
            <v>Ely</v>
          </cell>
          <cell r="M591" t="str">
            <v>Cambridgeshire</v>
          </cell>
          <cell r="N591" t="str">
            <v>CB7 5NL</v>
          </cell>
          <cell r="O591" t="str">
            <v>head@fordham.cambs.sch.uk</v>
          </cell>
        </row>
        <row r="592">
          <cell r="A592">
            <v>9264042</v>
          </cell>
          <cell r="B592">
            <v>121161</v>
          </cell>
          <cell r="C592">
            <v>926</v>
          </cell>
          <cell r="D592" t="str">
            <v>Norfolk</v>
          </cell>
          <cell r="E592">
            <v>4042</v>
          </cell>
          <cell r="F592" t="str">
            <v>Julie McDowall</v>
          </cell>
          <cell r="G592" t="str">
            <v xml:space="preserve">Reepham High School &amp; College </v>
          </cell>
          <cell r="H592" t="str">
            <v>East of England</v>
          </cell>
          <cell r="I592" t="str">
            <v>Whitwell Road</v>
          </cell>
          <cell r="J592" t="str">
            <v>Reepham</v>
          </cell>
          <cell r="L592" t="str">
            <v>Norwich</v>
          </cell>
          <cell r="M592" t="str">
            <v>Norfolk</v>
          </cell>
          <cell r="N592" t="str">
            <v>NR10 4JT</v>
          </cell>
          <cell r="O592" t="str">
            <v>mfarrar@reephamhigh.com</v>
          </cell>
          <cell r="P592">
            <v>40833</v>
          </cell>
        </row>
        <row r="593">
          <cell r="A593">
            <v>3355203</v>
          </cell>
          <cell r="B593">
            <v>104219</v>
          </cell>
          <cell r="C593">
            <v>335</v>
          </cell>
          <cell r="D593" t="str">
            <v>Walsall</v>
          </cell>
          <cell r="E593">
            <v>5203</v>
          </cell>
          <cell r="F593" t="str">
            <v>Stephen Bagnall</v>
          </cell>
          <cell r="G593" t="str">
            <v>Pheasey Park Farm Primary School</v>
          </cell>
          <cell r="H593" t="str">
            <v>West Midlands</v>
          </cell>
          <cell r="I593" t="str">
            <v>Wimperis Way</v>
          </cell>
          <cell r="J593" t="str">
            <v>Great Barr</v>
          </cell>
          <cell r="L593" t="str">
            <v>Birmingham</v>
          </cell>
          <cell r="M593" t="str">
            <v>West Midlands</v>
          </cell>
          <cell r="N593" t="str">
            <v>B43 7LH</v>
          </cell>
          <cell r="O593" t="str">
            <v>rpoyser@pheaseyparkfarm.walsall.sch.uk</v>
          </cell>
        </row>
        <row r="594">
          <cell r="A594">
            <v>2107064</v>
          </cell>
          <cell r="B594">
            <v>100874</v>
          </cell>
          <cell r="C594">
            <v>210</v>
          </cell>
          <cell r="D594" t="str">
            <v>Southwark</v>
          </cell>
          <cell r="E594">
            <v>7064</v>
          </cell>
          <cell r="F594" t="str">
            <v>Gabriela Grimley</v>
          </cell>
          <cell r="G594" t="str">
            <v>Bredinghurst School</v>
          </cell>
          <cell r="H594" t="str">
            <v>London</v>
          </cell>
          <cell r="I594" t="str">
            <v>Stuart Road</v>
          </cell>
          <cell r="J594" t="str">
            <v>Peckham Rye</v>
          </cell>
          <cell r="L594" t="str">
            <v>London</v>
          </cell>
          <cell r="N594" t="str">
            <v>SE15 3AZ</v>
          </cell>
          <cell r="O594" t="str">
            <v>aramsey@bredinghurst.southwark.sch.uk</v>
          </cell>
          <cell r="P594">
            <v>41184</v>
          </cell>
        </row>
        <row r="595">
          <cell r="A595">
            <v>3823048</v>
          </cell>
          <cell r="B595">
            <v>107730</v>
          </cell>
          <cell r="C595">
            <v>382</v>
          </cell>
          <cell r="D595" t="str">
            <v>Kirklees</v>
          </cell>
          <cell r="E595">
            <v>3048</v>
          </cell>
          <cell r="F595" t="str">
            <v>Bev Annables</v>
          </cell>
          <cell r="G595" t="str">
            <v>Birkenshaw Church of England Voluntary Controlled First and Nursery School</v>
          </cell>
          <cell r="H595" t="str">
            <v>Yorkshire and the Humber</v>
          </cell>
          <cell r="I595" t="str">
            <v>Station Lane</v>
          </cell>
          <cell r="J595" t="str">
            <v>Birkenshaw</v>
          </cell>
          <cell r="L595" t="str">
            <v>Bradford</v>
          </cell>
          <cell r="M595" t="str">
            <v>West Yorkshire</v>
          </cell>
          <cell r="N595" t="str">
            <v>BD11 2JE</v>
          </cell>
          <cell r="O595" t="str">
            <v>angela.holt@edukirklees.net</v>
          </cell>
        </row>
        <row r="596">
          <cell r="A596">
            <v>3944072</v>
          </cell>
          <cell r="B596">
            <v>108868</v>
          </cell>
          <cell r="C596">
            <v>394</v>
          </cell>
          <cell r="D596" t="str">
            <v>Sunderland</v>
          </cell>
          <cell r="E596">
            <v>4072</v>
          </cell>
          <cell r="F596" t="str">
            <v>Glyn Newton</v>
          </cell>
          <cell r="G596" t="str">
            <v>Houghton Kepier Sports College</v>
          </cell>
          <cell r="H596" t="str">
            <v>North East</v>
          </cell>
          <cell r="I596" t="str">
            <v>Dairy Lane</v>
          </cell>
          <cell r="L596" t="str">
            <v>Houghton le Spring</v>
          </cell>
          <cell r="M596" t="str">
            <v>Tyne and Wear</v>
          </cell>
          <cell r="N596" t="str">
            <v>DH4 5BH</v>
          </cell>
          <cell r="O596" t="str">
            <v>sue.hyland@houghtonkepier.org.uk</v>
          </cell>
          <cell r="P596">
            <v>40627</v>
          </cell>
        </row>
        <row r="597">
          <cell r="A597">
            <v>8875423</v>
          </cell>
          <cell r="B597">
            <v>118895</v>
          </cell>
          <cell r="C597">
            <v>887</v>
          </cell>
          <cell r="D597" t="str">
            <v>Medway</v>
          </cell>
          <cell r="E597">
            <v>5423</v>
          </cell>
          <cell r="F597" t="str">
            <v>Sarah Mitchell</v>
          </cell>
          <cell r="G597" t="str">
            <v>The Robert Napier School</v>
          </cell>
          <cell r="H597" t="str">
            <v>South East</v>
          </cell>
          <cell r="I597" t="str">
            <v>Third Avenue</v>
          </cell>
          <cell r="L597" t="str">
            <v>Gillingham</v>
          </cell>
          <cell r="M597" t="str">
            <v>Kent</v>
          </cell>
          <cell r="N597" t="str">
            <v>ME7 2LX</v>
          </cell>
          <cell r="O597" t="str">
            <v>headteacher@robertnapier.medway.sch.uk</v>
          </cell>
        </row>
        <row r="598">
          <cell r="A598">
            <v>8794179</v>
          </cell>
          <cell r="B598">
            <v>113536</v>
          </cell>
          <cell r="C598">
            <v>879</v>
          </cell>
          <cell r="D598" t="str">
            <v>Plymouth</v>
          </cell>
          <cell r="E598">
            <v>4179</v>
          </cell>
          <cell r="F598" t="str">
            <v>Susan Phillips</v>
          </cell>
          <cell r="G598" t="str">
            <v>Hele's School</v>
          </cell>
          <cell r="H598" t="str">
            <v>South West</v>
          </cell>
          <cell r="I598" t="str">
            <v>Seymour Road</v>
          </cell>
          <cell r="J598" t="str">
            <v>Plympton</v>
          </cell>
          <cell r="L598" t="str">
            <v>Plymouth</v>
          </cell>
          <cell r="M598" t="str">
            <v>Devon</v>
          </cell>
          <cell r="N598" t="str">
            <v>PL7 4LT</v>
          </cell>
          <cell r="O598" t="str">
            <v>birketta@heles.plymouth.sch.uk</v>
          </cell>
          <cell r="P598">
            <v>40549</v>
          </cell>
        </row>
        <row r="599">
          <cell r="A599">
            <v>9192132</v>
          </cell>
          <cell r="B599">
            <v>117167</v>
          </cell>
          <cell r="C599">
            <v>919</v>
          </cell>
          <cell r="D599" t="str">
            <v>Hertfordshire</v>
          </cell>
          <cell r="E599">
            <v>2132</v>
          </cell>
          <cell r="F599" t="str">
            <v>Joe Farrell</v>
          </cell>
          <cell r="G599" t="str">
            <v>Cassiobury Junior School</v>
          </cell>
          <cell r="H599" t="str">
            <v>East of England</v>
          </cell>
          <cell r="I599" t="str">
            <v>Bellmount Wood Avenue</v>
          </cell>
          <cell r="L599" t="str">
            <v>Watford</v>
          </cell>
          <cell r="M599" t="str">
            <v>Hertfordshire</v>
          </cell>
          <cell r="N599" t="str">
            <v>WD17 3PD</v>
          </cell>
          <cell r="O599" t="str">
            <v>head@cassioburyjm.herts.sch.uk</v>
          </cell>
        </row>
        <row r="600">
          <cell r="A600">
            <v>2124734</v>
          </cell>
          <cell r="B600">
            <v>132173</v>
          </cell>
          <cell r="C600">
            <v>212</v>
          </cell>
          <cell r="D600" t="str">
            <v>Wandsworth</v>
          </cell>
          <cell r="E600">
            <v>4734</v>
          </cell>
          <cell r="F600" t="str">
            <v>Tahir Shams</v>
          </cell>
          <cell r="G600" t="str">
            <v>Saint Cecilia's, Wandsworth</v>
          </cell>
          <cell r="H600" t="str">
            <v>London</v>
          </cell>
          <cell r="I600" t="str">
            <v>Sutherland Grove</v>
          </cell>
          <cell r="L600" t="str">
            <v>London</v>
          </cell>
          <cell r="N600" t="str">
            <v>SW18 5JR</v>
          </cell>
          <cell r="O600" t="str">
            <v>executiveheadteacher@saintcecilias.wandsworth.sch.uk</v>
          </cell>
        </row>
        <row r="601">
          <cell r="A601">
            <v>9195414</v>
          </cell>
          <cell r="B601">
            <v>117586</v>
          </cell>
          <cell r="C601">
            <v>919</v>
          </cell>
          <cell r="D601" t="str">
            <v>Hertfordshire</v>
          </cell>
          <cell r="E601">
            <v>5414</v>
          </cell>
          <cell r="F601" t="str">
            <v>Stella Aina</v>
          </cell>
          <cell r="G601" t="str">
            <v>Marlborough School Science College</v>
          </cell>
          <cell r="H601" t="str">
            <v>East of England</v>
          </cell>
          <cell r="I601" t="str">
            <v>Watling Street</v>
          </cell>
          <cell r="L601" t="str">
            <v>St Albans</v>
          </cell>
          <cell r="M601" t="str">
            <v>Hertfordshire</v>
          </cell>
          <cell r="N601" t="str">
            <v>AL1 2QA</v>
          </cell>
          <cell r="O601" t="str">
            <v>head@marlborough.herts.sch.uk</v>
          </cell>
          <cell r="P601">
            <v>40858</v>
          </cell>
        </row>
        <row r="602">
          <cell r="A602">
            <v>2102257</v>
          </cell>
          <cell r="B602">
            <v>100790</v>
          </cell>
          <cell r="C602">
            <v>210</v>
          </cell>
          <cell r="D602" t="str">
            <v>Southwark</v>
          </cell>
          <cell r="E602">
            <v>2257</v>
          </cell>
          <cell r="F602" t="str">
            <v>Helen Barry</v>
          </cell>
          <cell r="G602" t="str">
            <v>Goodrich Community Primary School</v>
          </cell>
          <cell r="H602" t="str">
            <v>London</v>
          </cell>
          <cell r="I602" t="str">
            <v>Dunstans Road</v>
          </cell>
          <cell r="J602" t="str">
            <v>East Dulwich</v>
          </cell>
          <cell r="L602" t="str">
            <v>London</v>
          </cell>
          <cell r="N602" t="str">
            <v>SE22 0EP</v>
          </cell>
        </row>
        <row r="603">
          <cell r="A603">
            <v>2134687</v>
          </cell>
          <cell r="B603">
            <v>101153</v>
          </cell>
          <cell r="C603">
            <v>213</v>
          </cell>
          <cell r="D603" t="str">
            <v>Westminster</v>
          </cell>
          <cell r="E603">
            <v>4687</v>
          </cell>
          <cell r="F603" t="str">
            <v>Martin Rowley</v>
          </cell>
          <cell r="G603" t="str">
            <v>Westminster City School</v>
          </cell>
          <cell r="H603" t="str">
            <v>London</v>
          </cell>
          <cell r="I603" t="str">
            <v>55 Palace Street</v>
          </cell>
          <cell r="L603" t="str">
            <v>London</v>
          </cell>
          <cell r="N603" t="str">
            <v>SW1E 5HJ</v>
          </cell>
          <cell r="O603" t="str">
            <v>Roy.Blackwell@uws-gch.co.uk</v>
          </cell>
          <cell r="P603">
            <v>40933</v>
          </cell>
        </row>
        <row r="604">
          <cell r="A604">
            <v>3842116</v>
          </cell>
          <cell r="B604">
            <v>108189</v>
          </cell>
          <cell r="C604">
            <v>384</v>
          </cell>
          <cell r="D604" t="str">
            <v>Wakefield</v>
          </cell>
          <cell r="E604">
            <v>2116</v>
          </cell>
          <cell r="F604" t="str">
            <v>Janet Smith</v>
          </cell>
          <cell r="G604" t="str">
            <v>South Ossett Infant School</v>
          </cell>
          <cell r="H604" t="str">
            <v>Yorkshire and the Humber</v>
          </cell>
          <cell r="I604" t="str">
            <v>Vicar Lane</v>
          </cell>
          <cell r="L604" t="str">
            <v>Ossett</v>
          </cell>
          <cell r="M604" t="str">
            <v>West Yorkshire</v>
          </cell>
          <cell r="N604" t="str">
            <v>WF5 0BE</v>
          </cell>
          <cell r="O604" t="str">
            <v>headteacher@southossett.wakefield.sch.uk</v>
          </cell>
          <cell r="P604">
            <v>40739</v>
          </cell>
        </row>
        <row r="605">
          <cell r="A605">
            <v>9333276</v>
          </cell>
          <cell r="B605">
            <v>123814</v>
          </cell>
          <cell r="C605">
            <v>933</v>
          </cell>
          <cell r="D605" t="str">
            <v>Somerset</v>
          </cell>
          <cell r="E605">
            <v>3276</v>
          </cell>
          <cell r="F605" t="str">
            <v>Theresa Oddelm</v>
          </cell>
          <cell r="G605" t="str">
            <v>Ash C Of E Primary School</v>
          </cell>
          <cell r="H605" t="str">
            <v>South West</v>
          </cell>
          <cell r="I605" t="str">
            <v>Main Street</v>
          </cell>
          <cell r="J605" t="str">
            <v>Ash</v>
          </cell>
          <cell r="L605" t="str">
            <v>Martock</v>
          </cell>
          <cell r="M605" t="str">
            <v>Somerset</v>
          </cell>
          <cell r="N605" t="str">
            <v>TA12 6NS</v>
          </cell>
          <cell r="O605" t="str">
            <v>ahawkins@educ.somerset.gov.uk</v>
          </cell>
        </row>
        <row r="606">
          <cell r="A606">
            <v>3424104</v>
          </cell>
          <cell r="B606">
            <v>104830</v>
          </cell>
          <cell r="C606">
            <v>342</v>
          </cell>
          <cell r="D606" t="str">
            <v>St. Helens</v>
          </cell>
          <cell r="E606">
            <v>4104</v>
          </cell>
          <cell r="F606" t="str">
            <v>Jane McCusker</v>
          </cell>
          <cell r="G606" t="str">
            <v>Rainhill High School</v>
          </cell>
          <cell r="H606" t="str">
            <v>North West</v>
          </cell>
          <cell r="I606" t="str">
            <v>Warrington Road</v>
          </cell>
          <cell r="J606" t="str">
            <v>Rainhill</v>
          </cell>
          <cell r="L606" t="str">
            <v>Prescot</v>
          </cell>
          <cell r="M606" t="str">
            <v>Merseyside</v>
          </cell>
          <cell r="N606" t="str">
            <v>L35 6NY</v>
          </cell>
          <cell r="O606" t="str">
            <v>john.pout@sthelens.org.uk</v>
          </cell>
        </row>
        <row r="607">
          <cell r="A607">
            <v>8454027</v>
          </cell>
          <cell r="B607">
            <v>114586</v>
          </cell>
          <cell r="C607">
            <v>845</v>
          </cell>
          <cell r="D607" t="str">
            <v>East Sussex</v>
          </cell>
          <cell r="E607">
            <v>4027</v>
          </cell>
          <cell r="F607" t="str">
            <v>Sarah Nairne</v>
          </cell>
          <cell r="G607" t="str">
            <v>Hailsham Community College</v>
          </cell>
          <cell r="H607" t="str">
            <v>South East</v>
          </cell>
          <cell r="I607" t="str">
            <v>Battle Road</v>
          </cell>
          <cell r="L607" t="str">
            <v>Hailsham</v>
          </cell>
          <cell r="M607" t="str">
            <v>East Sussex</v>
          </cell>
          <cell r="N607" t="str">
            <v>BN27 1DT</v>
          </cell>
          <cell r="O607" t="str">
            <v xml:space="preserve"> matthewsp@hailshamcc.e-sussex.sch.uk</v>
          </cell>
          <cell r="P607">
            <v>40987</v>
          </cell>
        </row>
        <row r="608">
          <cell r="A608">
            <v>3032080</v>
          </cell>
          <cell r="B608">
            <v>101446</v>
          </cell>
          <cell r="C608">
            <v>303</v>
          </cell>
          <cell r="D608" t="str">
            <v>Bexley</v>
          </cell>
          <cell r="E608">
            <v>2080</v>
          </cell>
          <cell r="F608" t="str">
            <v>Bola Bakrin</v>
          </cell>
          <cell r="G608" t="str">
            <v>Hurst Primary School</v>
          </cell>
          <cell r="H608" t="str">
            <v>London</v>
          </cell>
          <cell r="I608" t="str">
            <v>Dorchester Avenue</v>
          </cell>
          <cell r="L608" t="str">
            <v>Bexley</v>
          </cell>
          <cell r="M608" t="str">
            <v>Kent</v>
          </cell>
          <cell r="N608" t="str">
            <v>DA5 3AJ</v>
          </cell>
          <cell r="O608" t="str">
            <v>head@hurst.bexley.sch.uk</v>
          </cell>
        </row>
        <row r="609">
          <cell r="A609">
            <v>9083034</v>
          </cell>
          <cell r="B609">
            <v>111989</v>
          </cell>
          <cell r="C609">
            <v>908</v>
          </cell>
          <cell r="D609" t="str">
            <v>Cornwall</v>
          </cell>
          <cell r="E609">
            <v>3034</v>
          </cell>
          <cell r="F609" t="str">
            <v>Kate Bosher</v>
          </cell>
          <cell r="G609" t="str">
            <v>Grade-Ruan CofE School</v>
          </cell>
          <cell r="H609" t="str">
            <v>South West</v>
          </cell>
          <cell r="I609" t="str">
            <v>Ruan Minor</v>
          </cell>
          <cell r="L609" t="str">
            <v>Helston</v>
          </cell>
          <cell r="M609" t="str">
            <v>Cornwall</v>
          </cell>
          <cell r="N609" t="str">
            <v>TR12 7JN</v>
          </cell>
          <cell r="O609" t="str">
            <v>head@grade-ruan.cornwall.sch.uk</v>
          </cell>
        </row>
        <row r="610">
          <cell r="A610">
            <v>8732021</v>
          </cell>
          <cell r="B610">
            <v>110613</v>
          </cell>
          <cell r="C610">
            <v>873</v>
          </cell>
          <cell r="D610" t="str">
            <v>Cambridgeshire</v>
          </cell>
          <cell r="E610">
            <v>2021</v>
          </cell>
          <cell r="F610" t="str">
            <v>Julie McDowall</v>
          </cell>
          <cell r="G610" t="str">
            <v>Kennett Community Primary School</v>
          </cell>
          <cell r="H610" t="str">
            <v>East of England</v>
          </cell>
          <cell r="I610" t="str">
            <v>98 Station Road</v>
          </cell>
          <cell r="J610" t="str">
            <v>Kennett</v>
          </cell>
          <cell r="L610" t="str">
            <v>Newmarket</v>
          </cell>
          <cell r="M610" t="str">
            <v>Suffolk</v>
          </cell>
          <cell r="N610" t="str">
            <v>CB8 7QQ</v>
          </cell>
          <cell r="O610" t="str">
            <v>head@kennett.cambs.sch.uk</v>
          </cell>
          <cell r="P610">
            <v>41015</v>
          </cell>
        </row>
        <row r="611">
          <cell r="A611">
            <v>8414286</v>
          </cell>
          <cell r="B611">
            <v>114321</v>
          </cell>
          <cell r="C611">
            <v>841</v>
          </cell>
          <cell r="D611" t="str">
            <v>Darlington</v>
          </cell>
          <cell r="E611">
            <v>4286</v>
          </cell>
          <cell r="F611" t="str">
            <v>Not yet assigned</v>
          </cell>
          <cell r="G611" t="str">
            <v>Branksome Science College</v>
          </cell>
          <cell r="H611" t="str">
            <v>North East</v>
          </cell>
          <cell r="I611" t="str">
            <v>Eggleston View</v>
          </cell>
          <cell r="L611" t="str">
            <v>Darlington</v>
          </cell>
          <cell r="M611" t="str">
            <v>County Durham</v>
          </cell>
          <cell r="N611" t="str">
            <v>DL3 9SH</v>
          </cell>
          <cell r="O611" t="str">
            <v>kipling@branksome.org.uk</v>
          </cell>
        </row>
        <row r="612">
          <cell r="A612">
            <v>8865219</v>
          </cell>
          <cell r="B612">
            <v>118865</v>
          </cell>
          <cell r="C612">
            <v>886</v>
          </cell>
          <cell r="D612" t="str">
            <v>Kent</v>
          </cell>
          <cell r="E612">
            <v>5219</v>
          </cell>
          <cell r="F612" t="str">
            <v>Maryam Jabbari</v>
          </cell>
          <cell r="G612" t="str">
            <v>Wilmington Primary School</v>
          </cell>
          <cell r="H612" t="str">
            <v>South East</v>
          </cell>
          <cell r="I612" t="str">
            <v>Common Lane</v>
          </cell>
          <cell r="J612" t="str">
            <v>Wilmington</v>
          </cell>
          <cell r="L612" t="str">
            <v>Dartford</v>
          </cell>
          <cell r="M612" t="str">
            <v>Kent</v>
          </cell>
          <cell r="N612" t="str">
            <v>DA2 7DF</v>
          </cell>
          <cell r="O612" t="str">
            <v>headteacher@wilmington-cp.kent.sch.uk</v>
          </cell>
          <cell r="P612">
            <v>40710</v>
          </cell>
        </row>
        <row r="613">
          <cell r="A613">
            <v>8133509</v>
          </cell>
          <cell r="B613">
            <v>131569</v>
          </cell>
          <cell r="C613">
            <v>813</v>
          </cell>
          <cell r="D613" t="str">
            <v>North Lincolnshire</v>
          </cell>
          <cell r="E613">
            <v>3509</v>
          </cell>
          <cell r="F613" t="str">
            <v>Bev Annables</v>
          </cell>
          <cell r="G613" t="str">
            <v>Parkwood Primary School</v>
          </cell>
          <cell r="H613" t="str">
            <v>Yorkshire and the Humber</v>
          </cell>
          <cell r="I613" t="str">
            <v>Plymouth Road</v>
          </cell>
          <cell r="L613" t="str">
            <v>Scunthorpe</v>
          </cell>
          <cell r="M613" t="str">
            <v>Lincolnshire</v>
          </cell>
          <cell r="N613" t="str">
            <v>DN17 1SS</v>
          </cell>
          <cell r="O613" t="str">
            <v>Head.parkwood@northlincs.gov.uk</v>
          </cell>
        </row>
        <row r="614">
          <cell r="A614">
            <v>3702059</v>
          </cell>
          <cell r="B614">
            <v>106580</v>
          </cell>
          <cell r="C614">
            <v>370</v>
          </cell>
          <cell r="D614" t="str">
            <v>Barnsley</v>
          </cell>
          <cell r="E614">
            <v>2059</v>
          </cell>
          <cell r="F614" t="str">
            <v>Lisa Sargeant</v>
          </cell>
          <cell r="G614" t="str">
            <v>Dearne Goldthorpe Primary School</v>
          </cell>
          <cell r="H614" t="str">
            <v>Yorkshire and the Humber</v>
          </cell>
          <cell r="I614" t="str">
            <v>Barnsley Road</v>
          </cell>
          <cell r="J614" t="str">
            <v>Goldthorpe</v>
          </cell>
          <cell r="L614" t="str">
            <v>Rotherham</v>
          </cell>
          <cell r="M614" t="str">
            <v>South Yorkshire</v>
          </cell>
          <cell r="N614" t="str">
            <v>S63 9NG</v>
          </cell>
          <cell r="O614" t="str">
            <v>a.skelton@barnsley.org</v>
          </cell>
        </row>
        <row r="615">
          <cell r="A615">
            <v>3332075</v>
          </cell>
          <cell r="B615">
            <v>103925</v>
          </cell>
          <cell r="C615">
            <v>333</v>
          </cell>
          <cell r="D615" t="str">
            <v>Sandwell</v>
          </cell>
          <cell r="E615">
            <v>2075</v>
          </cell>
          <cell r="F615" t="str">
            <v>Hannah Copp</v>
          </cell>
          <cell r="G615" t="str">
            <v>Glebefields Primary School</v>
          </cell>
          <cell r="H615" t="str">
            <v>West Midlands</v>
          </cell>
          <cell r="I615" t="str">
            <v>Sandgate Road</v>
          </cell>
          <cell r="L615" t="str">
            <v>Tipton</v>
          </cell>
          <cell r="M615" t="str">
            <v>West Midlands</v>
          </cell>
          <cell r="N615" t="str">
            <v>DY4 0SX</v>
          </cell>
          <cell r="O615" t="str">
            <v>pennythompson@glebefields.net</v>
          </cell>
        </row>
        <row r="616">
          <cell r="A616">
            <v>8062143</v>
          </cell>
          <cell r="B616">
            <v>111588</v>
          </cell>
          <cell r="C616">
            <v>806</v>
          </cell>
          <cell r="D616" t="str">
            <v>Middlesbrough</v>
          </cell>
          <cell r="E616">
            <v>2143</v>
          </cell>
          <cell r="F616" t="str">
            <v>Susan Dean</v>
          </cell>
          <cell r="G616" t="str">
            <v>North Ormesby Primary School</v>
          </cell>
          <cell r="H616" t="str">
            <v>North East</v>
          </cell>
          <cell r="I616" t="str">
            <v>James Street</v>
          </cell>
          <cell r="J616" t="str">
            <v>North Ormesby</v>
          </cell>
          <cell r="L616" t="str">
            <v>Middlesbrough</v>
          </cell>
          <cell r="N616" t="str">
            <v>TS3 6LB</v>
          </cell>
          <cell r="O616" t="str">
            <v>christine_kemp-hall@middlesbrough.gov.uk</v>
          </cell>
          <cell r="P616">
            <v>41054</v>
          </cell>
        </row>
        <row r="617">
          <cell r="A617">
            <v>3444611</v>
          </cell>
          <cell r="B617">
            <v>105110</v>
          </cell>
          <cell r="C617">
            <v>344</v>
          </cell>
          <cell r="D617" t="str">
            <v>Wirral</v>
          </cell>
          <cell r="E617">
            <v>4611</v>
          </cell>
          <cell r="F617" t="str">
            <v>Maria Sabberton</v>
          </cell>
          <cell r="G617" t="str">
            <v>St Mary's Catholic College</v>
          </cell>
          <cell r="H617" t="str">
            <v>North West</v>
          </cell>
          <cell r="I617" t="str">
            <v>Wallasey Village</v>
          </cell>
          <cell r="L617" t="str">
            <v>Wallasey</v>
          </cell>
          <cell r="M617" t="str">
            <v>Merseyside</v>
          </cell>
          <cell r="N617" t="str">
            <v>CH45 3LN</v>
          </cell>
          <cell r="O617" t="str">
            <v>aboy@stmaryscollege.wirral.sch.uk</v>
          </cell>
        </row>
        <row r="618">
          <cell r="A618">
            <v>8705400</v>
          </cell>
          <cell r="B618">
            <v>110096</v>
          </cell>
          <cell r="C618">
            <v>870</v>
          </cell>
          <cell r="D618" t="str">
            <v>Reading</v>
          </cell>
          <cell r="E618">
            <v>5400</v>
          </cell>
          <cell r="F618" t="str">
            <v>Darren Francis</v>
          </cell>
          <cell r="G618" t="str">
            <v>Reading Girls' School</v>
          </cell>
          <cell r="H618" t="str">
            <v>South East</v>
          </cell>
          <cell r="I618" t="str">
            <v>Northumberland Avenue</v>
          </cell>
          <cell r="L618" t="str">
            <v>Reading</v>
          </cell>
          <cell r="M618" t="str">
            <v>Berkshire</v>
          </cell>
          <cell r="N618" t="str">
            <v>RG2 7PY</v>
          </cell>
          <cell r="O618" t="str">
            <v>vangus@readinggirls.reading.sch.uk</v>
          </cell>
        </row>
        <row r="619">
          <cell r="A619">
            <v>8654537</v>
          </cell>
          <cell r="B619">
            <v>126472</v>
          </cell>
          <cell r="C619">
            <v>865</v>
          </cell>
          <cell r="D619" t="str">
            <v>Wiltshire</v>
          </cell>
          <cell r="E619">
            <v>4537</v>
          </cell>
          <cell r="F619" t="str">
            <v>Nigel Mills</v>
          </cell>
          <cell r="G619" t="str">
            <v>St Laurence School</v>
          </cell>
          <cell r="H619" t="str">
            <v>South West</v>
          </cell>
          <cell r="I619" t="str">
            <v>Ashley Road</v>
          </cell>
          <cell r="L619" t="str">
            <v>Bradford-on-Avon</v>
          </cell>
          <cell r="M619" t="str">
            <v>Wiltshire</v>
          </cell>
          <cell r="N619" t="str">
            <v>BA15 1DZ</v>
          </cell>
          <cell r="O619" t="str">
            <v>james.colquhoun@st-laurence.wilts.sch.uk</v>
          </cell>
          <cell r="P619">
            <v>40624</v>
          </cell>
        </row>
        <row r="620">
          <cell r="A620">
            <v>8735403</v>
          </cell>
          <cell r="B620">
            <v>110897</v>
          </cell>
          <cell r="C620">
            <v>873</v>
          </cell>
          <cell r="D620" t="str">
            <v>Cambridgeshire</v>
          </cell>
          <cell r="E620">
            <v>5403</v>
          </cell>
          <cell r="F620" t="str">
            <v>Yvonne Reddington</v>
          </cell>
          <cell r="G620" t="str">
            <v>Sawtry Community College</v>
          </cell>
          <cell r="H620" t="str">
            <v>East of England</v>
          </cell>
          <cell r="I620" t="str">
            <v>Fen Lane</v>
          </cell>
          <cell r="J620" t="str">
            <v>Sawtry</v>
          </cell>
          <cell r="L620" t="str">
            <v>Huntingdon</v>
          </cell>
          <cell r="M620" t="str">
            <v>Cambridgeshire</v>
          </cell>
          <cell r="N620" t="str">
            <v>PE28 5TQ</v>
          </cell>
          <cell r="O620" t="str">
            <v>alan.stevens@sawtrycc.org.uk</v>
          </cell>
          <cell r="P620">
            <v>40636</v>
          </cell>
        </row>
        <row r="621">
          <cell r="A621">
            <v>8552069</v>
          </cell>
          <cell r="B621">
            <v>119937</v>
          </cell>
          <cell r="C621">
            <v>855</v>
          </cell>
          <cell r="D621" t="str">
            <v>Leicestershire</v>
          </cell>
          <cell r="E621">
            <v>2069</v>
          </cell>
          <cell r="F621" t="str">
            <v>Sue Harp</v>
          </cell>
          <cell r="G621" t="str">
            <v>Mercenfeld Primary School</v>
          </cell>
          <cell r="H621" t="str">
            <v>East Midlands</v>
          </cell>
          <cell r="I621" t="str">
            <v>Oakfield Avenue</v>
          </cell>
          <cell r="L621" t="str">
            <v>Markfield</v>
          </cell>
          <cell r="M621" t="str">
            <v>Leicestershire</v>
          </cell>
          <cell r="N621" t="str">
            <v>LE67 9WG</v>
          </cell>
          <cell r="O621" t="str">
            <v>head@mercenfeld.leics.sch.uk</v>
          </cell>
          <cell r="P621">
            <v>41200</v>
          </cell>
        </row>
        <row r="622">
          <cell r="A622">
            <v>3415404</v>
          </cell>
          <cell r="B622">
            <v>104704</v>
          </cell>
          <cell r="C622">
            <v>341</v>
          </cell>
          <cell r="D622" t="str">
            <v>Liverpool</v>
          </cell>
          <cell r="E622">
            <v>5404</v>
          </cell>
          <cell r="F622" t="str">
            <v>Pat Murison</v>
          </cell>
          <cell r="G622" t="str">
            <v xml:space="preserve">The Blue Coat School </v>
          </cell>
          <cell r="H622" t="str">
            <v>North West</v>
          </cell>
          <cell r="I622" t="str">
            <v>Church Road</v>
          </cell>
          <cell r="J622" t="str">
            <v>Wavertree</v>
          </cell>
          <cell r="L622" t="str">
            <v>Liverpool</v>
          </cell>
          <cell r="M622" t="str">
            <v>Merseyside</v>
          </cell>
          <cell r="N622" t="str">
            <v>L15 9EE</v>
          </cell>
          <cell r="O622" t="str">
            <v>j.holmes@staff.bluecoatschool.net</v>
          </cell>
          <cell r="P622">
            <v>40823</v>
          </cell>
        </row>
        <row r="623">
          <cell r="A623">
            <v>9317016</v>
          </cell>
          <cell r="B623">
            <v>123336</v>
          </cell>
          <cell r="C623">
            <v>931</v>
          </cell>
          <cell r="D623" t="str">
            <v>Oxfordshire</v>
          </cell>
          <cell r="E623">
            <v>7016</v>
          </cell>
          <cell r="F623" t="str">
            <v>Sarah Nairne</v>
          </cell>
          <cell r="G623" t="str">
            <v>Northern House School</v>
          </cell>
          <cell r="H623" t="str">
            <v>South East</v>
          </cell>
          <cell r="I623" t="str">
            <v>South Parade</v>
          </cell>
          <cell r="J623" t="str">
            <v>Summertown</v>
          </cell>
          <cell r="L623" t="str">
            <v>Oxford</v>
          </cell>
          <cell r="M623" t="str">
            <v>Oxfordshire</v>
          </cell>
          <cell r="N623" t="str">
            <v>OX2 7JN</v>
          </cell>
          <cell r="O623" t="str">
            <v>headteacher.7016@northern-house.oxon.sch.uk</v>
          </cell>
          <cell r="P623">
            <v>40981</v>
          </cell>
        </row>
        <row r="624">
          <cell r="A624">
            <v>8913785</v>
          </cell>
          <cell r="B624">
            <v>133433</v>
          </cell>
          <cell r="C624">
            <v>891</v>
          </cell>
          <cell r="D624" t="str">
            <v>Nottinghamshire</v>
          </cell>
          <cell r="E624">
            <v>3785</v>
          </cell>
          <cell r="F624" t="str">
            <v>Adriarna Goodinson</v>
          </cell>
          <cell r="G624" t="str">
            <v>Kingston Park Primary and Nursery School</v>
          </cell>
          <cell r="H624" t="str">
            <v>East Midlands</v>
          </cell>
          <cell r="I624" t="str">
            <v>Long Lane</v>
          </cell>
          <cell r="J624" t="str">
            <v>Carlton-in-Lindrick</v>
          </cell>
          <cell r="L624" t="str">
            <v>Worksop</v>
          </cell>
          <cell r="M624" t="str">
            <v>Nottinghamshire</v>
          </cell>
          <cell r="N624" t="str">
            <v>S81 9AW</v>
          </cell>
          <cell r="O624" t="str">
            <v>admin@kingston.notts.sch.uk</v>
          </cell>
        </row>
        <row r="625">
          <cell r="A625">
            <v>9314040</v>
          </cell>
          <cell r="B625">
            <v>123235</v>
          </cell>
          <cell r="C625">
            <v>931</v>
          </cell>
          <cell r="D625" t="str">
            <v>Oxfordshire</v>
          </cell>
          <cell r="E625">
            <v>4040</v>
          </cell>
          <cell r="F625" t="str">
            <v>Susan Shakespeare</v>
          </cell>
          <cell r="G625" t="str">
            <v>Burford School and Community College (boarding)</v>
          </cell>
          <cell r="H625" t="str">
            <v>South East</v>
          </cell>
          <cell r="I625" t="str">
            <v>Cheltenham Road</v>
          </cell>
          <cell r="L625" t="str">
            <v>Burford</v>
          </cell>
          <cell r="M625" t="str">
            <v>Oxfordshire</v>
          </cell>
          <cell r="N625" t="str">
            <v>OX18 4PL</v>
          </cell>
          <cell r="O625" t="str">
            <v>kh8579@burford.oxon.sch.uk</v>
          </cell>
          <cell r="P625">
            <v>40851</v>
          </cell>
        </row>
        <row r="626">
          <cell r="A626">
            <v>3534026</v>
          </cell>
          <cell r="B626">
            <v>105736</v>
          </cell>
          <cell r="C626">
            <v>353</v>
          </cell>
          <cell r="D626" t="str">
            <v>Oldham</v>
          </cell>
          <cell r="E626">
            <v>4026</v>
          </cell>
          <cell r="G626" t="str">
            <v>Saddleworth School</v>
          </cell>
          <cell r="H626" t="str">
            <v>North West</v>
          </cell>
          <cell r="I626" t="str">
            <v>High Street</v>
          </cell>
          <cell r="J626" t="str">
            <v>Uppermill</v>
          </cell>
          <cell r="L626" t="str">
            <v>Oldham</v>
          </cell>
          <cell r="M626" t="str">
            <v>Greater Manchester</v>
          </cell>
          <cell r="N626" t="str">
            <v>OL3 6BU</v>
          </cell>
          <cell r="O626" t="str">
            <v>patricia.cornish@saddleworthschool.org</v>
          </cell>
        </row>
        <row r="627">
          <cell r="A627">
            <v>3902220</v>
          </cell>
          <cell r="B627">
            <v>108367</v>
          </cell>
          <cell r="C627">
            <v>390</v>
          </cell>
          <cell r="D627" t="str">
            <v>Gateshead</v>
          </cell>
          <cell r="E627">
            <v>2220</v>
          </cell>
          <cell r="F627" t="str">
            <v>Alan Large</v>
          </cell>
          <cell r="G627" t="str">
            <v>Dunston Riverside Community Primary School</v>
          </cell>
          <cell r="H627" t="str">
            <v>North East</v>
          </cell>
          <cell r="I627" t="str">
            <v>Colliery Road</v>
          </cell>
          <cell r="J627" t="str">
            <v>Dunston</v>
          </cell>
          <cell r="L627" t="str">
            <v>Gateshead</v>
          </cell>
          <cell r="M627" t="str">
            <v>Tyne and Wear</v>
          </cell>
          <cell r="N627" t="str">
            <v>NE11 9DX</v>
          </cell>
          <cell r="O627" t="str">
            <v>juliegoodfellow@gateshead.gov.uk</v>
          </cell>
          <cell r="P627">
            <v>40975</v>
          </cell>
        </row>
        <row r="628">
          <cell r="A628">
            <v>9363337</v>
          </cell>
          <cell r="B628">
            <v>125177</v>
          </cell>
          <cell r="C628">
            <v>936</v>
          </cell>
          <cell r="D628" t="str">
            <v>Surrey</v>
          </cell>
          <cell r="E628">
            <v>3337</v>
          </cell>
          <cell r="F628" t="str">
            <v>Gabriela Grimley</v>
          </cell>
          <cell r="G628" t="str">
            <v>Esher CofE Aided Primary School</v>
          </cell>
          <cell r="H628" t="str">
            <v>South East</v>
          </cell>
          <cell r="I628" t="str">
            <v>Milbourne Lane</v>
          </cell>
          <cell r="L628" t="str">
            <v>Esher</v>
          </cell>
          <cell r="M628" t="str">
            <v>Surrey</v>
          </cell>
          <cell r="N628" t="str">
            <v>KT10 9DU</v>
          </cell>
          <cell r="O628" t="str">
            <v>head@esher.surrey.sch.uk</v>
          </cell>
        </row>
        <row r="629">
          <cell r="A629">
            <v>9365405</v>
          </cell>
          <cell r="B629">
            <v>125305</v>
          </cell>
          <cell r="C629">
            <v>936</v>
          </cell>
          <cell r="D629" t="str">
            <v>Surrey</v>
          </cell>
          <cell r="E629">
            <v>5405</v>
          </cell>
          <cell r="F629" t="str">
            <v>Lindsay Morris</v>
          </cell>
          <cell r="G629" t="str">
            <v>Epsom and Ewell High School</v>
          </cell>
          <cell r="H629" t="str">
            <v>South East</v>
          </cell>
          <cell r="I629" t="str">
            <v>Ruxley Lane</v>
          </cell>
          <cell r="J629" t="str">
            <v>West Ewell</v>
          </cell>
          <cell r="L629" t="str">
            <v>Epsom</v>
          </cell>
          <cell r="M629" t="str">
            <v>Surrey</v>
          </cell>
          <cell r="N629" t="str">
            <v>KT19 9JW</v>
          </cell>
          <cell r="O629" t="str">
            <v>russella@eehs.surrey.sch.uk</v>
          </cell>
          <cell r="P629">
            <v>40672</v>
          </cell>
        </row>
        <row r="630">
          <cell r="A630">
            <v>8573113</v>
          </cell>
          <cell r="B630">
            <v>120179</v>
          </cell>
          <cell r="C630">
            <v>857</v>
          </cell>
          <cell r="D630" t="str">
            <v>Rutland</v>
          </cell>
          <cell r="E630">
            <v>3113</v>
          </cell>
          <cell r="F630" t="str">
            <v>Grant Dyson</v>
          </cell>
          <cell r="G630" t="str">
            <v>Ketton CofE Primary School</v>
          </cell>
          <cell r="H630" t="str">
            <v>East Midlands</v>
          </cell>
          <cell r="I630" t="str">
            <v>High Street</v>
          </cell>
          <cell r="J630" t="str">
            <v>Ketton</v>
          </cell>
          <cell r="L630" t="str">
            <v>Stamford</v>
          </cell>
          <cell r="M630" t="str">
            <v>Lincolnshire</v>
          </cell>
          <cell r="N630" t="str">
            <v>PE9 3TE</v>
          </cell>
          <cell r="O630" t="str">
            <v>office@ketton.rutland.sch.uk</v>
          </cell>
        </row>
        <row r="631">
          <cell r="A631">
            <v>8004608</v>
          </cell>
          <cell r="B631">
            <v>109329</v>
          </cell>
          <cell r="C631">
            <v>800</v>
          </cell>
          <cell r="D631" t="str">
            <v>Bath and North East Somerset</v>
          </cell>
          <cell r="E631">
            <v>4608</v>
          </cell>
          <cell r="F631" t="str">
            <v>Susan Phillips</v>
          </cell>
          <cell r="G631" t="str">
            <v>Saint Gregory's Catholic College</v>
          </cell>
          <cell r="H631" t="str">
            <v>South West</v>
          </cell>
          <cell r="I631" t="str">
            <v>Combe Hay Lane</v>
          </cell>
          <cell r="J631" t="str">
            <v>Odd Down</v>
          </cell>
          <cell r="L631" t="str">
            <v>Bath</v>
          </cell>
          <cell r="M631" t="str">
            <v>Somerset</v>
          </cell>
          <cell r="N631" t="str">
            <v>BA2 8PA</v>
          </cell>
          <cell r="O631" t="str">
            <v>raymond_friel@bathnes.gov.uk</v>
          </cell>
        </row>
        <row r="632">
          <cell r="A632">
            <v>9357002</v>
          </cell>
          <cell r="B632">
            <v>124903</v>
          </cell>
          <cell r="C632">
            <v>935</v>
          </cell>
          <cell r="D632" t="str">
            <v>Suffolk</v>
          </cell>
          <cell r="E632">
            <v>7002</v>
          </cell>
          <cell r="F632" t="str">
            <v>Joe Farrell</v>
          </cell>
          <cell r="G632" t="str">
            <v>Hillside Special School</v>
          </cell>
          <cell r="H632" t="str">
            <v>East of England</v>
          </cell>
          <cell r="I632" t="str">
            <v>Hitchcock Place</v>
          </cell>
          <cell r="L632" t="str">
            <v>Sudbury</v>
          </cell>
          <cell r="M632" t="str">
            <v>Suffolk</v>
          </cell>
          <cell r="N632" t="str">
            <v>CO10 1NN</v>
          </cell>
          <cell r="O632" t="str">
            <v>ht.hillside.s@talk21.com</v>
          </cell>
        </row>
        <row r="633">
          <cell r="A633">
            <v>8665211</v>
          </cell>
          <cell r="B633">
            <v>126485</v>
          </cell>
          <cell r="C633">
            <v>866</v>
          </cell>
          <cell r="D633" t="str">
            <v>Swindon</v>
          </cell>
          <cell r="E633">
            <v>5211</v>
          </cell>
          <cell r="F633" t="str">
            <v>Dominic Wilson</v>
          </cell>
          <cell r="G633" t="str">
            <v>Holy Rood Catholic Junior School</v>
          </cell>
          <cell r="H633" t="str">
            <v>South West</v>
          </cell>
          <cell r="I633" t="str">
            <v>Upham Road</v>
          </cell>
          <cell r="L633" t="str">
            <v>Swindon</v>
          </cell>
          <cell r="M633" t="str">
            <v>Wiltshire</v>
          </cell>
          <cell r="N633" t="str">
            <v>SN3 1DH</v>
          </cell>
          <cell r="O633" t="str">
            <v>head@holyrood.swindon.sch.uk</v>
          </cell>
          <cell r="P633">
            <v>40638</v>
          </cell>
        </row>
        <row r="634">
          <cell r="A634">
            <v>9092147</v>
          </cell>
          <cell r="B634">
            <v>112146</v>
          </cell>
          <cell r="C634">
            <v>909</v>
          </cell>
          <cell r="D634" t="str">
            <v>Cumbria</v>
          </cell>
          <cell r="E634">
            <v>2147</v>
          </cell>
          <cell r="F634" t="str">
            <v>Linda Tiley</v>
          </cell>
          <cell r="G634" t="str">
            <v>Ashfield Infants' School</v>
          </cell>
          <cell r="H634" t="str">
            <v>North West</v>
          </cell>
          <cell r="I634" t="str">
            <v>Newlands Lane</v>
          </cell>
          <cell r="L634" t="str">
            <v>Workington</v>
          </cell>
          <cell r="M634" t="str">
            <v>Cumbria</v>
          </cell>
          <cell r="N634" t="str">
            <v>CA14 3JG</v>
          </cell>
          <cell r="O634" t="str">
            <v>head@ashfieldinf.cumbria.sch.uk</v>
          </cell>
        </row>
        <row r="635">
          <cell r="A635">
            <v>9354000</v>
          </cell>
          <cell r="B635">
            <v>124787</v>
          </cell>
          <cell r="C635">
            <v>935</v>
          </cell>
          <cell r="D635" t="str">
            <v>Suffolk</v>
          </cell>
          <cell r="E635">
            <v>4000</v>
          </cell>
          <cell r="F635" t="str">
            <v>Claire Ivie</v>
          </cell>
          <cell r="G635" t="str">
            <v>Bury St Edmunds County Upper School</v>
          </cell>
          <cell r="H635" t="str">
            <v>East of England</v>
          </cell>
          <cell r="I635" t="str">
            <v>Beetons Way</v>
          </cell>
          <cell r="L635" t="str">
            <v>Bury St Edmunds</v>
          </cell>
          <cell r="M635" t="str">
            <v>Suffolk</v>
          </cell>
          <cell r="N635" t="str">
            <v>IP32 6RF</v>
          </cell>
          <cell r="O635" t="str">
            <v>vneale@bsecus.org</v>
          </cell>
          <cell r="P635">
            <v>40511</v>
          </cell>
        </row>
        <row r="636">
          <cell r="A636">
            <v>8554001</v>
          </cell>
          <cell r="B636">
            <v>120235</v>
          </cell>
          <cell r="C636">
            <v>855</v>
          </cell>
          <cell r="D636" t="str">
            <v>Leicestershire</v>
          </cell>
          <cell r="E636">
            <v>4001</v>
          </cell>
          <cell r="F636" t="str">
            <v>Stella Mascarenhas-Keys</v>
          </cell>
          <cell r="G636" t="str">
            <v>King Edward VII Science and Sport College</v>
          </cell>
          <cell r="H636" t="str">
            <v>East Midlands</v>
          </cell>
          <cell r="I636" t="str">
            <v>Warren Hills Road</v>
          </cell>
          <cell r="L636" t="str">
            <v>Coalville</v>
          </cell>
          <cell r="M636" t="str">
            <v>Leicestershire</v>
          </cell>
          <cell r="N636" t="str">
            <v>LE67 4UW</v>
          </cell>
          <cell r="O636" t="str">
            <v>nmelvin@kinged.org.uk</v>
          </cell>
          <cell r="P636">
            <v>41017</v>
          </cell>
        </row>
        <row r="637">
          <cell r="A637">
            <v>8604183</v>
          </cell>
          <cell r="B637">
            <v>124446</v>
          </cell>
          <cell r="C637">
            <v>860</v>
          </cell>
          <cell r="D637" t="str">
            <v>Staffordshire</v>
          </cell>
          <cell r="E637">
            <v>4183</v>
          </cell>
          <cell r="F637" t="str">
            <v>Julia Waterhouse</v>
          </cell>
          <cell r="G637" t="str">
            <v>Weston Road High School</v>
          </cell>
          <cell r="H637" t="str">
            <v>West Midlands</v>
          </cell>
          <cell r="I637" t="str">
            <v>Blackheath Lane</v>
          </cell>
          <cell r="L637" t="str">
            <v>Stafford</v>
          </cell>
          <cell r="M637" t="str">
            <v>Staffordshire</v>
          </cell>
          <cell r="N637" t="str">
            <v>ST18 0YG</v>
          </cell>
          <cell r="O637" t="str">
            <v>headteacher@westonroad.staffs.sch.uk</v>
          </cell>
          <cell r="P637">
            <v>40690</v>
          </cell>
        </row>
        <row r="638">
          <cell r="A638">
            <v>3035404</v>
          </cell>
          <cell r="B638">
            <v>101480</v>
          </cell>
          <cell r="C638">
            <v>303</v>
          </cell>
          <cell r="D638" t="str">
            <v>Bexley</v>
          </cell>
          <cell r="E638">
            <v>5404</v>
          </cell>
          <cell r="F638" t="str">
            <v>Helen Barry</v>
          </cell>
          <cell r="G638" t="str">
            <v>Hurstmere Foundation School for Boys</v>
          </cell>
          <cell r="H638" t="str">
            <v>London</v>
          </cell>
          <cell r="I638" t="str">
            <v>Hurst Road</v>
          </cell>
          <cell r="L638" t="str">
            <v>Sidcup</v>
          </cell>
          <cell r="M638" t="str">
            <v>Kent</v>
          </cell>
          <cell r="N638" t="str">
            <v>DA15 9AW</v>
          </cell>
          <cell r="O638" t="str">
            <v>a.stringer@hurstmere.org.uk</v>
          </cell>
          <cell r="P638">
            <v>40570</v>
          </cell>
        </row>
        <row r="639">
          <cell r="A639">
            <v>3114025</v>
          </cell>
          <cell r="B639">
            <v>102343</v>
          </cell>
          <cell r="C639">
            <v>311</v>
          </cell>
          <cell r="D639" t="str">
            <v>Havering</v>
          </cell>
          <cell r="E639">
            <v>4025</v>
          </cell>
          <cell r="F639" t="str">
            <v>Sheila Longstaff</v>
          </cell>
          <cell r="G639" t="str">
            <v>The Royal Liberty School</v>
          </cell>
          <cell r="H639" t="str">
            <v>London</v>
          </cell>
          <cell r="I639" t="str">
            <v>Upper Brentwood Road</v>
          </cell>
          <cell r="L639" t="str">
            <v>Romford</v>
          </cell>
          <cell r="M639" t="str">
            <v>Essex</v>
          </cell>
          <cell r="N639" t="str">
            <v>RM2 6HJ</v>
          </cell>
          <cell r="O639" t="str">
            <v>headteacher@royalliberty.org.uk</v>
          </cell>
        </row>
        <row r="640">
          <cell r="A640">
            <v>9252239</v>
          </cell>
          <cell r="B640">
            <v>120503</v>
          </cell>
          <cell r="C640">
            <v>925</v>
          </cell>
          <cell r="D640" t="str">
            <v>Lincolnshire</v>
          </cell>
          <cell r="E640">
            <v>2239</v>
          </cell>
          <cell r="F640" t="str">
            <v>Grant Dyson</v>
          </cell>
          <cell r="G640" t="str">
            <v>Staniland Primary &amp; Nursery School</v>
          </cell>
          <cell r="H640" t="str">
            <v>East Midlands</v>
          </cell>
          <cell r="I640" t="str">
            <v>Peck Avenue</v>
          </cell>
          <cell r="L640" t="str">
            <v>Boston</v>
          </cell>
          <cell r="M640" t="str">
            <v>Lincolnshire</v>
          </cell>
          <cell r="N640" t="str">
            <v>PE21 8DF</v>
          </cell>
          <cell r="O640" t="str">
            <v>enquiries@staniland.org.uk</v>
          </cell>
          <cell r="P640">
            <v>40890</v>
          </cell>
        </row>
        <row r="641">
          <cell r="A641">
            <v>8653222</v>
          </cell>
          <cell r="B641">
            <v>126380</v>
          </cell>
          <cell r="C641">
            <v>865</v>
          </cell>
          <cell r="D641" t="str">
            <v>Wiltshire</v>
          </cell>
          <cell r="E641">
            <v>3222</v>
          </cell>
          <cell r="F641" t="str">
            <v>Not yet assigned</v>
          </cell>
          <cell r="G641" t="str">
            <v>St Barnabas Church of England School, Market Lavington</v>
          </cell>
          <cell r="H641" t="str">
            <v>South West</v>
          </cell>
          <cell r="I641" t="str">
            <v>Drove Lane</v>
          </cell>
          <cell r="J641" t="str">
            <v>Market Lavington</v>
          </cell>
          <cell r="L641" t="str">
            <v>Devizes</v>
          </cell>
          <cell r="M641" t="str">
            <v>Wiltshire</v>
          </cell>
          <cell r="N641" t="str">
            <v>SN10 4NT</v>
          </cell>
          <cell r="O641" t="str">
            <v>head@st-barnabas.wilts.sch.uk</v>
          </cell>
        </row>
        <row r="642">
          <cell r="A642">
            <v>9282078</v>
          </cell>
          <cell r="B642">
            <v>121853</v>
          </cell>
          <cell r="C642">
            <v>928</v>
          </cell>
          <cell r="D642" t="str">
            <v>Northamptonshire</v>
          </cell>
          <cell r="E642">
            <v>2078</v>
          </cell>
          <cell r="G642" t="str">
            <v>Stanwick Primary School</v>
          </cell>
          <cell r="H642" t="str">
            <v>East Midlands</v>
          </cell>
          <cell r="I642" t="str">
            <v>Church Street</v>
          </cell>
          <cell r="J642" t="str">
            <v>Stanwick</v>
          </cell>
          <cell r="L642" t="str">
            <v>Wellingborough</v>
          </cell>
          <cell r="M642" t="str">
            <v>Northamptonshire</v>
          </cell>
          <cell r="N642" t="str">
            <v>NN9 6PS</v>
          </cell>
          <cell r="O642" t="str">
            <v>head@stanwick.northants-ecl.gov.uk</v>
          </cell>
        </row>
        <row r="643">
          <cell r="A643">
            <v>9365221</v>
          </cell>
          <cell r="B643">
            <v>125039</v>
          </cell>
          <cell r="C643">
            <v>936</v>
          </cell>
          <cell r="D643" t="str">
            <v>Surrey</v>
          </cell>
          <cell r="E643">
            <v>5221</v>
          </cell>
          <cell r="F643" t="str">
            <v>Fiona Nzegwu</v>
          </cell>
          <cell r="G643" t="str">
            <v>Cleves School</v>
          </cell>
          <cell r="H643" t="str">
            <v>South East</v>
          </cell>
          <cell r="I643" t="str">
            <v>Oatlands Avenue</v>
          </cell>
          <cell r="L643" t="str">
            <v>Weybridge</v>
          </cell>
          <cell r="M643" t="str">
            <v>Surrey</v>
          </cell>
          <cell r="N643" t="str">
            <v>KT13 9TS</v>
          </cell>
          <cell r="O643" t="str">
            <v>scroft@cleves.co.uk</v>
          </cell>
          <cell r="P643">
            <v>40357</v>
          </cell>
        </row>
        <row r="644">
          <cell r="A644">
            <v>3022018</v>
          </cell>
          <cell r="B644">
            <v>101273</v>
          </cell>
          <cell r="C644">
            <v>302</v>
          </cell>
          <cell r="D644" t="str">
            <v>Barnet</v>
          </cell>
          <cell r="E644">
            <v>2018</v>
          </cell>
          <cell r="F644" t="str">
            <v>Helen Fisher</v>
          </cell>
          <cell r="G644" t="str">
            <v>Deansbrook Junior School</v>
          </cell>
          <cell r="H644" t="str">
            <v>London</v>
          </cell>
          <cell r="I644" t="str">
            <v>Hale Drive</v>
          </cell>
          <cell r="J644" t="str">
            <v>Mill Hill</v>
          </cell>
          <cell r="L644" t="str">
            <v>London</v>
          </cell>
          <cell r="N644" t="str">
            <v>NW7 3ED</v>
          </cell>
          <cell r="O644" t="str">
            <v>head@deansbrookjnr.barnetmail.net</v>
          </cell>
          <cell r="P644">
            <v>41080</v>
          </cell>
        </row>
        <row r="645">
          <cell r="A645">
            <v>9192095</v>
          </cell>
          <cell r="B645">
            <v>117139</v>
          </cell>
          <cell r="C645">
            <v>919</v>
          </cell>
          <cell r="D645" t="str">
            <v>Hertfordshire</v>
          </cell>
          <cell r="E645">
            <v>2095</v>
          </cell>
          <cell r="F645" t="str">
            <v>Valerie Manning</v>
          </cell>
          <cell r="G645" t="str">
            <v>Garden Fields Junior Mixed and Infant School</v>
          </cell>
          <cell r="H645" t="str">
            <v>East of England</v>
          </cell>
          <cell r="I645" t="str">
            <v>Townsend Drive</v>
          </cell>
          <cell r="L645" t="str">
            <v>St Albans</v>
          </cell>
          <cell r="M645" t="str">
            <v>Hertfordshire</v>
          </cell>
          <cell r="N645" t="str">
            <v>AL3 5RL</v>
          </cell>
          <cell r="O645" t="str">
            <v>admin@gardenfields.herts.sch.uk</v>
          </cell>
        </row>
        <row r="646">
          <cell r="A646">
            <v>8825465</v>
          </cell>
          <cell r="B646">
            <v>115381</v>
          </cell>
          <cell r="C646">
            <v>882</v>
          </cell>
          <cell r="D646" t="str">
            <v>Southend-on-Sea</v>
          </cell>
          <cell r="E646">
            <v>5465</v>
          </cell>
          <cell r="F646" t="str">
            <v>Michael Cook</v>
          </cell>
          <cell r="G646" t="str">
            <v>St Bernard's High School and Arts College</v>
          </cell>
          <cell r="H646" t="str">
            <v>East of England</v>
          </cell>
          <cell r="I646" t="str">
            <v>Milton Road</v>
          </cell>
          <cell r="L646" t="str">
            <v>Westcliff-on-Sea</v>
          </cell>
          <cell r="M646" t="str">
            <v>Essex</v>
          </cell>
          <cell r="N646" t="str">
            <v>SS0 7JS</v>
          </cell>
          <cell r="O646" t="str">
            <v>head@stbernards.southend.sch.uk</v>
          </cell>
          <cell r="P646">
            <v>40676</v>
          </cell>
        </row>
        <row r="647">
          <cell r="A647">
            <v>8404215</v>
          </cell>
          <cell r="B647">
            <v>114314</v>
          </cell>
          <cell r="C647">
            <v>840</v>
          </cell>
          <cell r="D647" t="str">
            <v>Durham</v>
          </cell>
          <cell r="E647">
            <v>4215</v>
          </cell>
          <cell r="F647" t="str">
            <v>John Edmunds</v>
          </cell>
          <cell r="G647" t="str">
            <v>Shotton Hall School</v>
          </cell>
          <cell r="H647" t="str">
            <v>North East</v>
          </cell>
          <cell r="I647" t="str">
            <v>Waveney Road</v>
          </cell>
          <cell r="L647" t="str">
            <v>Peterlee</v>
          </cell>
          <cell r="M647" t="str">
            <v>County Durham</v>
          </cell>
          <cell r="N647" t="str">
            <v>SR8 1NX</v>
          </cell>
          <cell r="O647" t="str">
            <v>4powells@sky.com</v>
          </cell>
          <cell r="P647">
            <v>40343</v>
          </cell>
        </row>
        <row r="648">
          <cell r="A648">
            <v>8504316</v>
          </cell>
          <cell r="B648">
            <v>116473</v>
          </cell>
          <cell r="C648">
            <v>850</v>
          </cell>
          <cell r="D648" t="str">
            <v>Hampshire</v>
          </cell>
          <cell r="E648">
            <v>4316</v>
          </cell>
          <cell r="F648" t="str">
            <v>Amanda Barrett</v>
          </cell>
          <cell r="G648" t="str">
            <v>Park Community School</v>
          </cell>
          <cell r="H648" t="str">
            <v>South East</v>
          </cell>
          <cell r="I648" t="str">
            <v>Middle Park Way</v>
          </cell>
          <cell r="J648" t="str">
            <v>Leigh Park</v>
          </cell>
          <cell r="L648" t="str">
            <v>Havant</v>
          </cell>
          <cell r="M648" t="str">
            <v>Hampshire</v>
          </cell>
          <cell r="N648" t="str">
            <v>PO9 4BU</v>
          </cell>
          <cell r="O648" t="str">
            <v>c.anders@pcs.hants.sch.uk</v>
          </cell>
        </row>
        <row r="649">
          <cell r="A649">
            <v>9162164</v>
          </cell>
          <cell r="B649">
            <v>115597</v>
          </cell>
          <cell r="C649">
            <v>916</v>
          </cell>
          <cell r="D649" t="str">
            <v>Gloucestershire</v>
          </cell>
          <cell r="E649">
            <v>2164</v>
          </cell>
          <cell r="F649" t="str">
            <v>Kate Bosher</v>
          </cell>
          <cell r="G649" t="str">
            <v>Arthur Dye Primary School/Springbank Academy</v>
          </cell>
          <cell r="H649" t="str">
            <v>South West</v>
          </cell>
          <cell r="I649" t="str">
            <v>Springbank Road</v>
          </cell>
          <cell r="L649" t="str">
            <v>Cheltenham</v>
          </cell>
          <cell r="M649" t="str">
            <v>Gloucestershire</v>
          </cell>
          <cell r="N649" t="str">
            <v>GL51 0PH</v>
          </cell>
          <cell r="O649" t="str">
            <v>head@arthurdye.gloucs.sch.uk</v>
          </cell>
          <cell r="P649">
            <v>40591</v>
          </cell>
        </row>
        <row r="650">
          <cell r="A650">
            <v>3302277</v>
          </cell>
          <cell r="B650">
            <v>103309</v>
          </cell>
          <cell r="C650">
            <v>330</v>
          </cell>
          <cell r="D650" t="str">
            <v>Birmingham</v>
          </cell>
          <cell r="E650">
            <v>2277</v>
          </cell>
          <cell r="F650" t="str">
            <v>Alison Middleton</v>
          </cell>
          <cell r="G650" t="str">
            <v>Primrose Hill Community School</v>
          </cell>
          <cell r="H650" t="str">
            <v>West Midlands</v>
          </cell>
          <cell r="I650" t="str">
            <v>Tees Grove</v>
          </cell>
          <cell r="J650" t="str">
            <v>Kings Norton</v>
          </cell>
          <cell r="L650" t="str">
            <v>Birmingham</v>
          </cell>
          <cell r="M650" t="str">
            <v>West Midlands</v>
          </cell>
          <cell r="N650" t="str">
            <v>B38 9DH</v>
          </cell>
          <cell r="O650" t="str">
            <v>denise.harrison@primhill.bham.sch.uk</v>
          </cell>
        </row>
        <row r="651">
          <cell r="A651">
            <v>8352054</v>
          </cell>
          <cell r="B651">
            <v>113686</v>
          </cell>
          <cell r="C651">
            <v>835</v>
          </cell>
          <cell r="D651" t="str">
            <v>Dorset</v>
          </cell>
          <cell r="E651">
            <v>2054</v>
          </cell>
          <cell r="F651" t="str">
            <v>Tahamina Khan</v>
          </cell>
          <cell r="G651" t="str">
            <v>Hayeswood First School</v>
          </cell>
          <cell r="H651" t="str">
            <v>South West</v>
          </cell>
          <cell r="I651" t="str">
            <v>Cutlers Place</v>
          </cell>
          <cell r="J651" t="str">
            <v>Colehill</v>
          </cell>
          <cell r="L651" t="str">
            <v>Wimborne</v>
          </cell>
          <cell r="M651" t="str">
            <v>Dorset</v>
          </cell>
          <cell r="N651" t="str">
            <v>BH21 2HN</v>
          </cell>
          <cell r="O651" t="str">
            <v>jbagwell@hayeswood.dorset.sch.uk</v>
          </cell>
        </row>
        <row r="652">
          <cell r="A652">
            <v>9092100</v>
          </cell>
          <cell r="B652">
            <v>112128</v>
          </cell>
          <cell r="C652">
            <v>909</v>
          </cell>
          <cell r="D652" t="str">
            <v>Cumbria</v>
          </cell>
          <cell r="E652">
            <v>2100</v>
          </cell>
          <cell r="F652" t="str">
            <v>Linda Tiley</v>
          </cell>
          <cell r="G652" t="str">
            <v>Bassenthwaite Primary School</v>
          </cell>
          <cell r="H652" t="str">
            <v>North West</v>
          </cell>
          <cell r="I652" t="str">
            <v>Bassenthwaite</v>
          </cell>
          <cell r="L652" t="str">
            <v>Keswick</v>
          </cell>
          <cell r="M652" t="str">
            <v>Cumbria</v>
          </cell>
          <cell r="N652" t="str">
            <v>CA12 4QH</v>
          </cell>
          <cell r="O652" t="str">
            <v>ukbrianeaton@gmail.com</v>
          </cell>
        </row>
        <row r="653">
          <cell r="A653">
            <v>8024144</v>
          </cell>
          <cell r="B653">
            <v>109317</v>
          </cell>
          <cell r="C653">
            <v>802</v>
          </cell>
          <cell r="D653" t="str">
            <v>North Somerset</v>
          </cell>
          <cell r="E653">
            <v>4144</v>
          </cell>
          <cell r="F653" t="str">
            <v>Ali Bushell</v>
          </cell>
          <cell r="G653" t="str">
            <v>St. Katherine's School</v>
          </cell>
          <cell r="H653" t="str">
            <v>South West</v>
          </cell>
          <cell r="I653" t="str">
            <v>Ham Green</v>
          </cell>
          <cell r="J653" t="str">
            <v>Pill</v>
          </cell>
          <cell r="L653" t="str">
            <v>Bristol</v>
          </cell>
          <cell r="M653" t="str">
            <v>Somerset</v>
          </cell>
          <cell r="N653" t="str">
            <v>BS20 0HU</v>
          </cell>
          <cell r="O653" t="str">
            <v>mollerj@stkaths.org.uk</v>
          </cell>
        </row>
        <row r="654">
          <cell r="A654">
            <v>3712180</v>
          </cell>
          <cell r="B654">
            <v>106742</v>
          </cell>
          <cell r="C654">
            <v>371</v>
          </cell>
          <cell r="D654" t="str">
            <v>Doncaster</v>
          </cell>
          <cell r="E654">
            <v>2180</v>
          </cell>
          <cell r="F654" t="str">
            <v>Jayne Turner</v>
          </cell>
          <cell r="G654" t="str">
            <v>Stirling Primary School</v>
          </cell>
          <cell r="H654" t="str">
            <v>Yorkshire and the Humber</v>
          </cell>
          <cell r="I654" t="str">
            <v>Prospect Place</v>
          </cell>
          <cell r="L654" t="str">
            <v>Doncaster</v>
          </cell>
          <cell r="M654" t="str">
            <v>South Yorkshire</v>
          </cell>
          <cell r="N654" t="str">
            <v>DN1 3QP</v>
          </cell>
          <cell r="O654" t="str">
            <v>headteacher@stirling.doncaster.sch.uk</v>
          </cell>
        </row>
        <row r="655">
          <cell r="A655">
            <v>9253332</v>
          </cell>
          <cell r="B655">
            <v>120610</v>
          </cell>
          <cell r="C655">
            <v>925</v>
          </cell>
          <cell r="D655" t="str">
            <v>Lincolnshire</v>
          </cell>
          <cell r="E655">
            <v>3332</v>
          </cell>
          <cell r="F655" t="str">
            <v>Sue Harp</v>
          </cell>
          <cell r="G655" t="str">
            <v>The Saint Augustine's Catholic Primary School, Stamford</v>
          </cell>
          <cell r="H655" t="str">
            <v>East Midlands</v>
          </cell>
          <cell r="I655" t="str">
            <v>Kesteven Road</v>
          </cell>
          <cell r="L655" t="str">
            <v>Stamford</v>
          </cell>
          <cell r="M655" t="str">
            <v>Lincolnshire</v>
          </cell>
          <cell r="N655" t="str">
            <v>PE9 1SR</v>
          </cell>
          <cell r="O655" t="str">
            <v>sue.hooley@st-augustine.lincs.sch.uk</v>
          </cell>
          <cell r="P655">
            <v>41254</v>
          </cell>
        </row>
        <row r="656">
          <cell r="A656">
            <v>9095205</v>
          </cell>
          <cell r="B656">
            <v>112407</v>
          </cell>
          <cell r="C656">
            <v>909</v>
          </cell>
          <cell r="D656" t="str">
            <v>Cumbria</v>
          </cell>
          <cell r="E656">
            <v>5205</v>
          </cell>
          <cell r="F656" t="str">
            <v>Linda Tiley</v>
          </cell>
          <cell r="G656" t="str">
            <v>Broughton Primary School</v>
          </cell>
          <cell r="H656" t="str">
            <v>North West</v>
          </cell>
          <cell r="I656" t="str">
            <v>Moor Road</v>
          </cell>
          <cell r="J656" t="str">
            <v>Great Broughton</v>
          </cell>
          <cell r="L656" t="str">
            <v>Cockermouth</v>
          </cell>
          <cell r="M656" t="str">
            <v>Cumbria</v>
          </cell>
          <cell r="N656" t="str">
            <v>CA13 0YT</v>
          </cell>
          <cell r="O656" t="str">
            <v>admin@broughton-pri.cumbria.sch.uk</v>
          </cell>
          <cell r="P656">
            <v>40696</v>
          </cell>
        </row>
        <row r="657">
          <cell r="A657">
            <v>9314141</v>
          </cell>
          <cell r="B657">
            <v>123262</v>
          </cell>
          <cell r="C657">
            <v>931</v>
          </cell>
          <cell r="D657" t="str">
            <v>Oxfordshire</v>
          </cell>
          <cell r="E657">
            <v>4141</v>
          </cell>
          <cell r="F657" t="str">
            <v>Sarah Nairne</v>
          </cell>
          <cell r="G657" t="str">
            <v>Faringdon Community College</v>
          </cell>
          <cell r="H657" t="str">
            <v>South East</v>
          </cell>
          <cell r="I657" t="str">
            <v>Fernham Road</v>
          </cell>
          <cell r="L657" t="str">
            <v>Faringdon</v>
          </cell>
          <cell r="M657" t="str">
            <v>Oxfordshire</v>
          </cell>
          <cell r="N657" t="str">
            <v>SN7 7LB</v>
          </cell>
          <cell r="O657" t="str">
            <v>headteacher@fcc.oxon.sch.uk</v>
          </cell>
          <cell r="P657">
            <v>40884</v>
          </cell>
        </row>
        <row r="658">
          <cell r="A658">
            <v>9313230</v>
          </cell>
          <cell r="B658">
            <v>123150</v>
          </cell>
          <cell r="C658">
            <v>931</v>
          </cell>
          <cell r="D658" t="str">
            <v>Oxfordshire</v>
          </cell>
          <cell r="E658">
            <v>3230</v>
          </cell>
          <cell r="F658" t="str">
            <v>Sarah Nairne</v>
          </cell>
          <cell r="G658" t="str">
            <v>John Blandy VC Primary School</v>
          </cell>
          <cell r="H658" t="str">
            <v>South East</v>
          </cell>
          <cell r="I658" t="str">
            <v>Laurel Drive</v>
          </cell>
          <cell r="J658" t="str">
            <v>Southmoor</v>
          </cell>
          <cell r="L658" t="str">
            <v>Abingdon</v>
          </cell>
          <cell r="M658" t="str">
            <v>Oxfordshire</v>
          </cell>
          <cell r="N658" t="str">
            <v>OX13 5DJ</v>
          </cell>
        </row>
        <row r="659">
          <cell r="A659">
            <v>8127033</v>
          </cell>
          <cell r="B659">
            <v>118152</v>
          </cell>
          <cell r="C659">
            <v>812</v>
          </cell>
          <cell r="D659" t="str">
            <v>North East Lincolnshire</v>
          </cell>
          <cell r="E659">
            <v>7033</v>
          </cell>
          <cell r="F659" t="str">
            <v>Tony Bretherick</v>
          </cell>
          <cell r="G659" t="str">
            <v>Cambridge Park Maths &amp; Computing College</v>
          </cell>
          <cell r="H659" t="str">
            <v>Yorkshire and the Humber</v>
          </cell>
          <cell r="I659" t="str">
            <v>Cambridge Road</v>
          </cell>
          <cell r="L659" t="str">
            <v>Grimsby</v>
          </cell>
          <cell r="N659" t="str">
            <v>DN34 5EB</v>
          </cell>
          <cell r="O659" t="str">
            <v>Gillian.kendall@cambridgepark.co.uk</v>
          </cell>
          <cell r="P659">
            <v>40625</v>
          </cell>
        </row>
        <row r="660">
          <cell r="A660">
            <v>3034001</v>
          </cell>
          <cell r="B660">
            <v>101463</v>
          </cell>
          <cell r="C660">
            <v>303</v>
          </cell>
          <cell r="D660" t="str">
            <v>Bexley</v>
          </cell>
          <cell r="E660">
            <v>4001</v>
          </cell>
          <cell r="F660" t="str">
            <v>Tahir Shams</v>
          </cell>
          <cell r="G660" t="str">
            <v>Townley Grammar School for Girls</v>
          </cell>
          <cell r="H660" t="str">
            <v>London</v>
          </cell>
          <cell r="I660" t="str">
            <v>Townley Road</v>
          </cell>
          <cell r="L660" t="str">
            <v>Bexleyheath</v>
          </cell>
          <cell r="M660" t="str">
            <v>Kent</v>
          </cell>
          <cell r="N660" t="str">
            <v>DA6 7AB</v>
          </cell>
          <cell r="O660" t="str">
            <v>ddeehan.303@townleygrammar.org.uk</v>
          </cell>
          <cell r="P660">
            <v>40750</v>
          </cell>
        </row>
        <row r="661">
          <cell r="A661">
            <v>3352024</v>
          </cell>
          <cell r="B661">
            <v>104157</v>
          </cell>
          <cell r="C661">
            <v>335</v>
          </cell>
          <cell r="D661" t="str">
            <v>Walsall</v>
          </cell>
          <cell r="E661">
            <v>2024</v>
          </cell>
          <cell r="F661" t="str">
            <v>Stephen Bagnall</v>
          </cell>
          <cell r="G661" t="str">
            <v>Leamore Primary School</v>
          </cell>
          <cell r="H661" t="str">
            <v>West Midlands</v>
          </cell>
          <cell r="I661" t="str">
            <v>Bloxwich Road</v>
          </cell>
          <cell r="J661" t="str">
            <v>Leamore</v>
          </cell>
          <cell r="L661" t="str">
            <v>Walsall</v>
          </cell>
          <cell r="M661" t="str">
            <v>West Midlands</v>
          </cell>
          <cell r="N661" t="str">
            <v>WS3 2BB</v>
          </cell>
          <cell r="O661" t="str">
            <v>dbrownsword@leamore.walsall.sch.uk</v>
          </cell>
        </row>
        <row r="662">
          <cell r="A662">
            <v>9353096</v>
          </cell>
          <cell r="B662">
            <v>124737</v>
          </cell>
          <cell r="C662">
            <v>935</v>
          </cell>
          <cell r="D662" t="str">
            <v>Suffolk</v>
          </cell>
          <cell r="E662">
            <v>3096</v>
          </cell>
          <cell r="F662" t="str">
            <v>Joe Farrell</v>
          </cell>
          <cell r="G662" t="str">
            <v>Mellis Church of England Voluntary Controlled Primary School</v>
          </cell>
          <cell r="H662" t="str">
            <v>East of England</v>
          </cell>
          <cell r="I662" t="str">
            <v>Yaxley Road</v>
          </cell>
          <cell r="J662" t="str">
            <v>Mellis</v>
          </cell>
          <cell r="L662" t="str">
            <v>Eye</v>
          </cell>
          <cell r="M662" t="str">
            <v>Suffolk</v>
          </cell>
          <cell r="N662" t="str">
            <v>IP23 8DY</v>
          </cell>
          <cell r="O662" t="str">
            <v>ad.mellis.p@talk21.com</v>
          </cell>
          <cell r="P662">
            <v>40640</v>
          </cell>
        </row>
        <row r="663">
          <cell r="A663">
            <v>8553312</v>
          </cell>
          <cell r="B663">
            <v>120197</v>
          </cell>
          <cell r="C663">
            <v>855</v>
          </cell>
          <cell r="D663" t="str">
            <v>Leicestershire</v>
          </cell>
          <cell r="E663">
            <v>3312</v>
          </cell>
          <cell r="F663" t="str">
            <v>Pauline Cole</v>
          </cell>
          <cell r="G663" t="str">
            <v>St Michael and All Angels Church of England (Aided) Primary School</v>
          </cell>
          <cell r="H663" t="str">
            <v>East Midlands</v>
          </cell>
          <cell r="I663" t="str">
            <v>Brookside</v>
          </cell>
          <cell r="J663" t="str">
            <v>Rearsby</v>
          </cell>
          <cell r="L663" t="str">
            <v>Leicester</v>
          </cell>
          <cell r="M663" t="str">
            <v>Leicestershire</v>
          </cell>
          <cell r="N663" t="str">
            <v>LE7 4YB</v>
          </cell>
          <cell r="O663" t="str">
            <v>head@stmichaels.leics.sch.uk</v>
          </cell>
          <cell r="P663">
            <v>40977</v>
          </cell>
        </row>
        <row r="664">
          <cell r="A664">
            <v>8654064</v>
          </cell>
          <cell r="B664">
            <v>126452</v>
          </cell>
          <cell r="C664">
            <v>865</v>
          </cell>
          <cell r="D664" t="str">
            <v>Wiltshire</v>
          </cell>
          <cell r="E664">
            <v>4064</v>
          </cell>
          <cell r="F664" t="str">
            <v>Susan Phillips</v>
          </cell>
          <cell r="G664" t="str">
            <v>Malmesbury School</v>
          </cell>
          <cell r="H664" t="str">
            <v>South West</v>
          </cell>
          <cell r="I664" t="str">
            <v>Corn Gastons</v>
          </cell>
          <cell r="L664" t="str">
            <v>Malmesbury</v>
          </cell>
          <cell r="M664" t="str">
            <v>Wiltshire</v>
          </cell>
          <cell r="N664" t="str">
            <v>SN16 0DF</v>
          </cell>
          <cell r="O664" t="str">
            <v>tgilson@malmesbury.wilts.sch.uk</v>
          </cell>
          <cell r="P664">
            <v>40585</v>
          </cell>
        </row>
        <row r="665">
          <cell r="A665">
            <v>8784110</v>
          </cell>
          <cell r="B665">
            <v>113521</v>
          </cell>
          <cell r="C665">
            <v>878</v>
          </cell>
          <cell r="D665" t="str">
            <v>Devon</v>
          </cell>
          <cell r="E665">
            <v>4110</v>
          </cell>
          <cell r="F665" t="str">
            <v>Nigel Hutchins</v>
          </cell>
          <cell r="G665" t="str">
            <v>Kingsbridge Community College</v>
          </cell>
          <cell r="H665" t="str">
            <v>South West</v>
          </cell>
          <cell r="I665" t="str">
            <v>Balkwill Road</v>
          </cell>
          <cell r="L665" t="str">
            <v>Kingsbridge</v>
          </cell>
          <cell r="M665" t="str">
            <v>Devon</v>
          </cell>
          <cell r="N665" t="str">
            <v>TQ7 1PL</v>
          </cell>
          <cell r="O665" t="str">
            <v>pope.r@kingsbridgecollege.devon.sch.uk</v>
          </cell>
          <cell r="P665">
            <v>40459</v>
          </cell>
        </row>
        <row r="666">
          <cell r="A666">
            <v>8902211</v>
          </cell>
          <cell r="B666">
            <v>119249</v>
          </cell>
          <cell r="C666">
            <v>890</v>
          </cell>
          <cell r="D666" t="str">
            <v>Blackpool</v>
          </cell>
          <cell r="E666">
            <v>2211</v>
          </cell>
          <cell r="F666" t="str">
            <v>Viv Clutton</v>
          </cell>
          <cell r="G666" t="str">
            <v>Anchorsholme Primary School</v>
          </cell>
          <cell r="H666" t="str">
            <v>North West</v>
          </cell>
          <cell r="I666" t="str">
            <v>Eastpines Drive</v>
          </cell>
          <cell r="L666" t="str">
            <v>Thornton-Cleveleys</v>
          </cell>
          <cell r="M666" t="str">
            <v>Lancashire</v>
          </cell>
          <cell r="N666" t="str">
            <v>FY5 3RX</v>
          </cell>
          <cell r="O666" t="str">
            <v>graeme.dow@anchorsholme.blackpool.sch.uk</v>
          </cell>
          <cell r="P666">
            <v>41228</v>
          </cell>
        </row>
        <row r="667">
          <cell r="A667">
            <v>3323306</v>
          </cell>
          <cell r="B667">
            <v>103845</v>
          </cell>
          <cell r="C667">
            <v>332</v>
          </cell>
          <cell r="D667" t="str">
            <v>Dudley</v>
          </cell>
          <cell r="E667">
            <v>3306</v>
          </cell>
          <cell r="F667" t="str">
            <v>Stephen Bagnall</v>
          </cell>
          <cell r="G667" t="str">
            <v>Jesson's CofE Primary School (VA)</v>
          </cell>
          <cell r="H667" t="str">
            <v>West Midlands</v>
          </cell>
          <cell r="I667" t="str">
            <v>School Street</v>
          </cell>
          <cell r="L667" t="str">
            <v>Dudley</v>
          </cell>
          <cell r="M667" t="str">
            <v>West Midlands</v>
          </cell>
          <cell r="N667" t="str">
            <v>DY1 2AQ</v>
          </cell>
          <cell r="O667" t="str">
            <v>lgriffiths@jessons.dudley.sch.uk</v>
          </cell>
        </row>
        <row r="668">
          <cell r="A668">
            <v>8605403</v>
          </cell>
          <cell r="B668">
            <v>124468</v>
          </cell>
          <cell r="C668">
            <v>860</v>
          </cell>
          <cell r="D668" t="str">
            <v>Staffordshire</v>
          </cell>
          <cell r="E668">
            <v>5403</v>
          </cell>
          <cell r="F668" t="str">
            <v>Stephen Bagnall</v>
          </cell>
          <cell r="G668" t="str">
            <v>Cardinal Griffin Catholic High School</v>
          </cell>
          <cell r="H668" t="str">
            <v>West Midlands</v>
          </cell>
          <cell r="I668" t="str">
            <v>Cardinal Way</v>
          </cell>
          <cell r="J668" t="str">
            <v>Stafford Road</v>
          </cell>
          <cell r="L668" t="str">
            <v>Cannock</v>
          </cell>
          <cell r="M668" t="str">
            <v>Staffordshire</v>
          </cell>
          <cell r="N668" t="str">
            <v>WS11 4AW</v>
          </cell>
          <cell r="O668" t="str">
            <v>headteacher@cardinalgriffin.staffs.sch.uk</v>
          </cell>
        </row>
        <row r="669">
          <cell r="A669">
            <v>3025406</v>
          </cell>
          <cell r="B669">
            <v>101363</v>
          </cell>
          <cell r="C669">
            <v>302</v>
          </cell>
          <cell r="D669" t="str">
            <v>Barnet</v>
          </cell>
          <cell r="E669">
            <v>5406</v>
          </cell>
          <cell r="F669" t="str">
            <v>Allan Thomson</v>
          </cell>
          <cell r="G669" t="str">
            <v>Ashmole School</v>
          </cell>
          <cell r="H669" t="str">
            <v>London</v>
          </cell>
          <cell r="I669" t="str">
            <v>Cecil Road</v>
          </cell>
          <cell r="J669" t="str">
            <v>Southgate</v>
          </cell>
          <cell r="L669" t="str">
            <v>London</v>
          </cell>
          <cell r="N669" t="str">
            <v>N14 5RJ</v>
          </cell>
          <cell r="O669" t="str">
            <v>brn@ashmole.barnet.sch.uk</v>
          </cell>
          <cell r="P669">
            <v>40344</v>
          </cell>
        </row>
        <row r="670">
          <cell r="A670">
            <v>8563424</v>
          </cell>
          <cell r="B670">
            <v>120224</v>
          </cell>
          <cell r="C670">
            <v>856</v>
          </cell>
          <cell r="D670" t="str">
            <v>Leicester</v>
          </cell>
          <cell r="E670">
            <v>3424</v>
          </cell>
          <cell r="F670" t="str">
            <v>Michael Corner</v>
          </cell>
          <cell r="G670" t="str">
            <v>St. Joseph's Catholic Primary School</v>
          </cell>
          <cell r="H670" t="str">
            <v>East Midlands</v>
          </cell>
          <cell r="I670" t="str">
            <v>Armadale Drive</v>
          </cell>
          <cell r="L670" t="str">
            <v>Leicester</v>
          </cell>
          <cell r="M670" t="str">
            <v>Leicestershire</v>
          </cell>
          <cell r="N670" t="str">
            <v>LE5 1HF</v>
          </cell>
          <cell r="O670" t="str">
            <v>aleslie@st-josephs.leicester.sch.uk</v>
          </cell>
          <cell r="P670">
            <v>40889</v>
          </cell>
        </row>
        <row r="671">
          <cell r="A671">
            <v>8303516</v>
          </cell>
          <cell r="B671">
            <v>112908</v>
          </cell>
          <cell r="C671">
            <v>830</v>
          </cell>
          <cell r="D671" t="str">
            <v>Derbyshire</v>
          </cell>
          <cell r="E671">
            <v>3516</v>
          </cell>
          <cell r="F671" t="str">
            <v>Sue Harp</v>
          </cell>
          <cell r="G671" t="str">
            <v>St Joseph's Catholic Primary</v>
          </cell>
          <cell r="H671" t="str">
            <v>East Midlands</v>
          </cell>
          <cell r="I671" t="str">
            <v>Langwith Road</v>
          </cell>
          <cell r="J671" t="str">
            <v>Langwith Junction</v>
          </cell>
          <cell r="L671" t="str">
            <v>Mansfield</v>
          </cell>
          <cell r="M671" t="str">
            <v>Nottinghamshire</v>
          </cell>
          <cell r="N671" t="str">
            <v>NG20 9RP</v>
          </cell>
          <cell r="O671" t="str">
            <v>headteacher@st-josephs-pri.derbyshire.sch.uk</v>
          </cell>
        </row>
        <row r="672">
          <cell r="A672">
            <v>3532097</v>
          </cell>
          <cell r="B672">
            <v>105678</v>
          </cell>
          <cell r="C672">
            <v>353</v>
          </cell>
          <cell r="D672" t="str">
            <v>Oldham</v>
          </cell>
          <cell r="E672">
            <v>2097</v>
          </cell>
          <cell r="F672" t="str">
            <v>Linda Tiley</v>
          </cell>
          <cell r="G672" t="str">
            <v xml:space="preserve">Greenhill Primary School </v>
          </cell>
          <cell r="H672" t="str">
            <v>North West</v>
          </cell>
          <cell r="I672" t="str">
            <v>Harmony Street</v>
          </cell>
          <cell r="L672" t="str">
            <v>Oldham</v>
          </cell>
          <cell r="M672" t="str">
            <v>Greater Manchester</v>
          </cell>
          <cell r="N672" t="str">
            <v>OL4 1RR</v>
          </cell>
          <cell r="O672" t="str">
            <v>sdixie.greenhill@oldhamlea.org.uk</v>
          </cell>
        </row>
        <row r="673">
          <cell r="A673">
            <v>9384106</v>
          </cell>
          <cell r="B673">
            <v>126088</v>
          </cell>
          <cell r="C673">
            <v>938</v>
          </cell>
          <cell r="D673" t="str">
            <v>West Sussex</v>
          </cell>
          <cell r="E673">
            <v>4106</v>
          </cell>
          <cell r="F673" t="str">
            <v>Sarah Mitchell</v>
          </cell>
          <cell r="G673" t="str">
            <v>Imberhorne School</v>
          </cell>
          <cell r="H673" t="str">
            <v>South East</v>
          </cell>
          <cell r="I673" t="str">
            <v>Imberhorne Lane</v>
          </cell>
          <cell r="L673" t="str">
            <v>East Grinstead</v>
          </cell>
          <cell r="M673" t="str">
            <v>West Sussex</v>
          </cell>
          <cell r="N673" t="str">
            <v>RH19 1QY</v>
          </cell>
          <cell r="O673" t="str">
            <v>jford@imberhorne.co.uk</v>
          </cell>
        </row>
        <row r="674">
          <cell r="A674">
            <v>9163039</v>
          </cell>
          <cell r="B674">
            <v>115626</v>
          </cell>
          <cell r="C674">
            <v>916</v>
          </cell>
          <cell r="D674" t="str">
            <v>Gloucestershire</v>
          </cell>
          <cell r="E674">
            <v>3039</v>
          </cell>
          <cell r="F674" t="str">
            <v>Not yet assigned</v>
          </cell>
          <cell r="G674" t="str">
            <v>Haresfield Church of England Primary School</v>
          </cell>
          <cell r="H674" t="str">
            <v>South West</v>
          </cell>
          <cell r="I674" t="str">
            <v>Haresfield</v>
          </cell>
          <cell r="L674" t="str">
            <v>Stonehouse</v>
          </cell>
          <cell r="M674" t="str">
            <v>Gloucestershire</v>
          </cell>
          <cell r="N674" t="str">
            <v>GL10 3EF</v>
          </cell>
          <cell r="O674" t="str">
            <v>head@haresfield.gloucs.sch.uk</v>
          </cell>
        </row>
        <row r="675">
          <cell r="A675">
            <v>8252153</v>
          </cell>
          <cell r="B675">
            <v>110271</v>
          </cell>
          <cell r="C675">
            <v>825</v>
          </cell>
          <cell r="D675" t="str">
            <v>Buckinghamshire</v>
          </cell>
          <cell r="E675">
            <v>2153</v>
          </cell>
          <cell r="F675" t="str">
            <v>Darren Francis</v>
          </cell>
          <cell r="G675" t="str">
            <v>Little Chalfont Primary School</v>
          </cell>
          <cell r="H675" t="str">
            <v>South East</v>
          </cell>
          <cell r="I675" t="str">
            <v>Oakington Avenue</v>
          </cell>
          <cell r="J675" t="str">
            <v>Little Chalfont</v>
          </cell>
          <cell r="L675" t="str">
            <v>Amersham</v>
          </cell>
          <cell r="M675" t="str">
            <v>Buckinghamshire</v>
          </cell>
          <cell r="N675" t="str">
            <v>HP6 6SX</v>
          </cell>
          <cell r="O675" t="str">
            <v>office@littlechalfont.bucks.sch.uk</v>
          </cell>
        </row>
        <row r="676">
          <cell r="A676">
            <v>8212237</v>
          </cell>
          <cell r="B676">
            <v>109546</v>
          </cell>
          <cell r="C676">
            <v>821</v>
          </cell>
          <cell r="D676" t="str">
            <v>Luton</v>
          </cell>
          <cell r="E676">
            <v>2237</v>
          </cell>
          <cell r="F676" t="str">
            <v>Shreena Patel</v>
          </cell>
          <cell r="G676" t="str">
            <v>Maidenhall Primary School</v>
          </cell>
          <cell r="H676" t="str">
            <v>East of England</v>
          </cell>
          <cell r="I676" t="str">
            <v>Newark Road</v>
          </cell>
          <cell r="L676" t="str">
            <v>Luton</v>
          </cell>
          <cell r="M676" t="str">
            <v>Bedfordshire</v>
          </cell>
          <cell r="N676" t="str">
            <v>LU4 8LD</v>
          </cell>
          <cell r="O676" t="str">
            <v>maidenhall.primary.admin@luton.gov.uk</v>
          </cell>
        </row>
        <row r="677">
          <cell r="A677">
            <v>3183310</v>
          </cell>
          <cell r="B677">
            <v>102910</v>
          </cell>
          <cell r="C677">
            <v>318</v>
          </cell>
          <cell r="D677" t="str">
            <v>Richmond upon Thames</v>
          </cell>
          <cell r="E677">
            <v>3310</v>
          </cell>
          <cell r="F677" t="str">
            <v>Tahir Shams</v>
          </cell>
          <cell r="G677" t="str">
            <v>St Elizabeth's Catholic Primary School</v>
          </cell>
          <cell r="H677" t="str">
            <v>London</v>
          </cell>
          <cell r="I677" t="str">
            <v>Queen's Road</v>
          </cell>
          <cell r="L677" t="str">
            <v>Richmond</v>
          </cell>
          <cell r="M677" t="str">
            <v>Surrey</v>
          </cell>
          <cell r="N677" t="str">
            <v>TW10 6HN</v>
          </cell>
          <cell r="O677" t="str">
            <v>cbrett@st-elizabeths.richmond.sch.uk</v>
          </cell>
        </row>
        <row r="678">
          <cell r="A678">
            <v>8224000</v>
          </cell>
          <cell r="B678">
            <v>109642</v>
          </cell>
          <cell r="C678">
            <v>822</v>
          </cell>
          <cell r="D678" t="str">
            <v>Bedford</v>
          </cell>
          <cell r="E678">
            <v>4000</v>
          </cell>
          <cell r="F678" t="str">
            <v>Michael Cook</v>
          </cell>
          <cell r="G678" t="str">
            <v>Goldington Middle School</v>
          </cell>
          <cell r="H678" t="str">
            <v>East of England</v>
          </cell>
          <cell r="I678" t="str">
            <v>Haylands Way</v>
          </cell>
          <cell r="L678" t="str">
            <v>Bedford</v>
          </cell>
          <cell r="M678" t="str">
            <v>Bedfordshire</v>
          </cell>
          <cell r="N678" t="str">
            <v>MK41 9BX</v>
          </cell>
          <cell r="O678" t="str">
            <v>dmj99@fsmail.net</v>
          </cell>
          <cell r="P678">
            <v>40548</v>
          </cell>
        </row>
        <row r="679">
          <cell r="A679">
            <v>9334450</v>
          </cell>
          <cell r="B679">
            <v>123889</v>
          </cell>
          <cell r="C679">
            <v>933</v>
          </cell>
          <cell r="D679" t="str">
            <v>Somerset</v>
          </cell>
          <cell r="E679">
            <v>4450</v>
          </cell>
          <cell r="F679" t="str">
            <v>Niko Thomas</v>
          </cell>
          <cell r="G679" t="str">
            <v>Stanchester Community School</v>
          </cell>
          <cell r="H679" t="str">
            <v>South West</v>
          </cell>
          <cell r="I679" t="str">
            <v>East Stoke</v>
          </cell>
          <cell r="L679" t="str">
            <v>Stoke-sub-Hamdon</v>
          </cell>
          <cell r="M679" t="str">
            <v>Somerset</v>
          </cell>
          <cell r="N679" t="str">
            <v>TA14 6UG</v>
          </cell>
          <cell r="O679" t="str">
            <v>JMcBlain@educ.somerset.gov.uk</v>
          </cell>
          <cell r="P679">
            <v>40630</v>
          </cell>
        </row>
        <row r="680">
          <cell r="A680">
            <v>8133320</v>
          </cell>
          <cell r="B680">
            <v>118037</v>
          </cell>
          <cell r="C680">
            <v>813</v>
          </cell>
          <cell r="D680" t="str">
            <v>North Lincolnshire</v>
          </cell>
          <cell r="E680">
            <v>3320</v>
          </cell>
          <cell r="F680" t="str">
            <v>Nick Monton</v>
          </cell>
          <cell r="G680" t="str">
            <v>St Martin's CofE Primary School</v>
          </cell>
          <cell r="H680" t="str">
            <v>Yorkshire and the Humber</v>
          </cell>
          <cell r="I680" t="str">
            <v>Burnham Road</v>
          </cell>
          <cell r="J680" t="str">
            <v>Owston Ferry</v>
          </cell>
          <cell r="L680" t="str">
            <v>Doncaster</v>
          </cell>
          <cell r="M680" t="str">
            <v>South Yorkshire</v>
          </cell>
          <cell r="N680" t="str">
            <v>DN9 1AY</v>
          </cell>
          <cell r="O680" t="str">
            <v>head.stmartins@northlincs.gov.uk</v>
          </cell>
        </row>
        <row r="681">
          <cell r="A681">
            <v>8134087</v>
          </cell>
          <cell r="B681">
            <v>118097</v>
          </cell>
          <cell r="C681">
            <v>813</v>
          </cell>
          <cell r="D681" t="str">
            <v>North Lincolnshire</v>
          </cell>
          <cell r="E681">
            <v>4087</v>
          </cell>
          <cell r="F681" t="str">
            <v>Bev Annables</v>
          </cell>
          <cell r="G681" t="str">
            <v>Frederick Gough School - A Specialist Language College</v>
          </cell>
          <cell r="H681" t="str">
            <v>Yorkshire and the Humber</v>
          </cell>
          <cell r="I681" t="str">
            <v>Grange Lane South</v>
          </cell>
          <cell r="J681" t="str">
            <v>Bottesford</v>
          </cell>
          <cell r="L681" t="str">
            <v>Scunthorpe</v>
          </cell>
          <cell r="M681" t="str">
            <v>Lincolnshire</v>
          </cell>
          <cell r="N681" t="str">
            <v>DN16 3NG</v>
          </cell>
          <cell r="O681" t="str">
            <v>BLawrance@frederickgoughschool.co.uk</v>
          </cell>
        </row>
        <row r="682">
          <cell r="A682">
            <v>9162158</v>
          </cell>
          <cell r="B682">
            <v>115592</v>
          </cell>
          <cell r="C682">
            <v>916</v>
          </cell>
          <cell r="D682" t="str">
            <v>Gloucestershire</v>
          </cell>
          <cell r="E682">
            <v>2158</v>
          </cell>
          <cell r="F682" t="str">
            <v>Theresa Oddelm</v>
          </cell>
          <cell r="G682" t="str">
            <v>Rowanfield Infant School</v>
          </cell>
          <cell r="H682" t="str">
            <v>South West</v>
          </cell>
          <cell r="I682" t="str">
            <v>Alstone Lane</v>
          </cell>
          <cell r="L682" t="str">
            <v>Cheltenham</v>
          </cell>
          <cell r="M682" t="str">
            <v>Gloucestershire</v>
          </cell>
          <cell r="N682" t="str">
            <v>GL51 8HY</v>
          </cell>
          <cell r="O682" t="str">
            <v>head@rowanfield-inf.gloucs.sch.uk</v>
          </cell>
        </row>
        <row r="683">
          <cell r="A683">
            <v>8601105</v>
          </cell>
          <cell r="B683">
            <v>132131</v>
          </cell>
          <cell r="C683">
            <v>860</v>
          </cell>
          <cell r="D683" t="str">
            <v>Staffordshire</v>
          </cell>
          <cell r="E683">
            <v>1105</v>
          </cell>
          <cell r="F683" t="str">
            <v>Tony Bretherick</v>
          </cell>
          <cell r="G683" t="str">
            <v>Bridge Short Stay School</v>
          </cell>
          <cell r="H683" t="str">
            <v>West Midlands</v>
          </cell>
          <cell r="I683" t="str">
            <v>Wissage Road</v>
          </cell>
          <cell r="L683" t="str">
            <v>Lichfield</v>
          </cell>
          <cell r="M683" t="str">
            <v>Staffordshire</v>
          </cell>
          <cell r="N683" t="str">
            <v>WS13 6SW</v>
          </cell>
          <cell r="O683" t="str">
            <v>headteacher@bridge.staffs.sch.uk</v>
          </cell>
        </row>
        <row r="684">
          <cell r="A684">
            <v>8862264</v>
          </cell>
          <cell r="B684">
            <v>118360</v>
          </cell>
          <cell r="C684">
            <v>886</v>
          </cell>
          <cell r="D684" t="str">
            <v>Kent</v>
          </cell>
          <cell r="E684">
            <v>2264</v>
          </cell>
          <cell r="F684" t="str">
            <v>Sarah Nairne</v>
          </cell>
          <cell r="G684" t="str">
            <v>Hampton Primary School</v>
          </cell>
          <cell r="H684" t="str">
            <v>South East</v>
          </cell>
          <cell r="I684" t="str">
            <v>Fitzgerald Avenue</v>
          </cell>
          <cell r="L684" t="str">
            <v>Herne Bay</v>
          </cell>
          <cell r="M684" t="str">
            <v>Kent</v>
          </cell>
          <cell r="N684" t="str">
            <v>CT6 8NB</v>
          </cell>
          <cell r="O684" t="str">
            <v>headteacher@hampton.kent.sch.uk</v>
          </cell>
          <cell r="P684">
            <v>40830</v>
          </cell>
        </row>
        <row r="685">
          <cell r="A685">
            <v>8914617</v>
          </cell>
          <cell r="B685">
            <v>122896</v>
          </cell>
          <cell r="C685">
            <v>891</v>
          </cell>
          <cell r="D685" t="str">
            <v>Nottinghamshire</v>
          </cell>
          <cell r="E685">
            <v>4617</v>
          </cell>
          <cell r="F685" t="str">
            <v>Helen Whetter</v>
          </cell>
          <cell r="G685" t="str">
            <v>The Becket School</v>
          </cell>
          <cell r="H685" t="str">
            <v>East Midlands</v>
          </cell>
          <cell r="I685" t="str">
            <v>The Becket Way</v>
          </cell>
          <cell r="J685" t="str">
            <v>Wilford Lane</v>
          </cell>
          <cell r="L685" t="str">
            <v>West Bridgford</v>
          </cell>
          <cell r="M685" t="str">
            <v>Nottinghamshire</v>
          </cell>
          <cell r="N685" t="str">
            <v>NG2 7RL</v>
          </cell>
          <cell r="O685" t="str">
            <v>k.rich@becketonline.co.uk</v>
          </cell>
          <cell r="P685">
            <v>40711</v>
          </cell>
        </row>
        <row r="686">
          <cell r="A686">
            <v>3522323</v>
          </cell>
          <cell r="B686">
            <v>105482</v>
          </cell>
          <cell r="C686">
            <v>352</v>
          </cell>
          <cell r="D686" t="str">
            <v>Manchester</v>
          </cell>
          <cell r="E686">
            <v>2323</v>
          </cell>
          <cell r="F686" t="str">
            <v>Felicity Price</v>
          </cell>
          <cell r="G686" t="str">
            <v>Webster Primary School</v>
          </cell>
          <cell r="H686" t="str">
            <v>North West</v>
          </cell>
          <cell r="I686" t="str">
            <v>Denmark Road</v>
          </cell>
          <cell r="J686" t="str">
            <v>Greenheys</v>
          </cell>
          <cell r="L686" t="str">
            <v>Manchester</v>
          </cell>
          <cell r="N686" t="str">
            <v>M15 6JU</v>
          </cell>
          <cell r="O686" t="str">
            <v>head@webster.manchester.sch.uk</v>
          </cell>
          <cell r="P686">
            <v>41088</v>
          </cell>
        </row>
        <row r="687">
          <cell r="A687">
            <v>3204074</v>
          </cell>
          <cell r="B687">
            <v>103104</v>
          </cell>
          <cell r="C687">
            <v>320</v>
          </cell>
          <cell r="D687" t="str">
            <v>Waltham Forest</v>
          </cell>
          <cell r="E687">
            <v>4074</v>
          </cell>
          <cell r="F687" t="str">
            <v>Bola Bakrin</v>
          </cell>
          <cell r="G687" t="str">
            <v>Rush Croft Sports College</v>
          </cell>
          <cell r="H687" t="str">
            <v>London</v>
          </cell>
          <cell r="I687" t="str">
            <v>Rushcroft Road</v>
          </cell>
          <cell r="J687" t="str">
            <v>Chingford</v>
          </cell>
          <cell r="L687" t="str">
            <v>London</v>
          </cell>
          <cell r="N687" t="str">
            <v>E4 8SG</v>
          </cell>
          <cell r="O687" t="str">
            <v>pat.cutler@rushcroft.com</v>
          </cell>
        </row>
        <row r="688">
          <cell r="A688">
            <v>9334358</v>
          </cell>
          <cell r="B688">
            <v>123886</v>
          </cell>
          <cell r="C688">
            <v>933</v>
          </cell>
          <cell r="D688" t="str">
            <v>Somerset</v>
          </cell>
          <cell r="E688">
            <v>4358</v>
          </cell>
          <cell r="F688" t="str">
            <v>Maria Whiting</v>
          </cell>
          <cell r="G688" t="str">
            <v>The Castle School</v>
          </cell>
          <cell r="H688" t="str">
            <v>South West</v>
          </cell>
          <cell r="I688" t="str">
            <v>Wellington Road</v>
          </cell>
          <cell r="L688" t="str">
            <v>Taunton</v>
          </cell>
          <cell r="M688" t="str">
            <v>Somerset</v>
          </cell>
          <cell r="N688" t="str">
            <v>TA1 5AU</v>
          </cell>
          <cell r="O688" t="str">
            <v xml:space="preserve"> SWatson1@educ.somerset.gov.uk</v>
          </cell>
          <cell r="P688">
            <v>40611</v>
          </cell>
        </row>
        <row r="689">
          <cell r="A689">
            <v>8814390</v>
          </cell>
          <cell r="B689">
            <v>115223</v>
          </cell>
          <cell r="C689">
            <v>881</v>
          </cell>
          <cell r="D689" t="str">
            <v>Essex</v>
          </cell>
          <cell r="E689">
            <v>4390</v>
          </cell>
          <cell r="F689" t="str">
            <v>Claire Ivie</v>
          </cell>
          <cell r="G689" t="str">
            <v>Great Baddow High School</v>
          </cell>
          <cell r="H689" t="str">
            <v>East of England</v>
          </cell>
          <cell r="I689" t="str">
            <v>Duffield Road</v>
          </cell>
          <cell r="J689" t="str">
            <v>Beehive Lane</v>
          </cell>
          <cell r="L689" t="str">
            <v>Chelmsford</v>
          </cell>
          <cell r="M689" t="str">
            <v>Essex</v>
          </cell>
          <cell r="N689" t="str">
            <v>CM2 9RZ</v>
          </cell>
          <cell r="O689" t="str">
            <v>gra@gbhs.co.uk</v>
          </cell>
          <cell r="P689">
            <v>40633</v>
          </cell>
        </row>
        <row r="690">
          <cell r="A690">
            <v>3824048</v>
          </cell>
          <cell r="B690">
            <v>107770</v>
          </cell>
          <cell r="C690">
            <v>382</v>
          </cell>
          <cell r="D690" t="str">
            <v>Kirklees</v>
          </cell>
          <cell r="E690">
            <v>4048</v>
          </cell>
          <cell r="F690" t="str">
            <v>John Edmunds</v>
          </cell>
          <cell r="G690" t="str">
            <v>Batley Girls' High School - Visual Arts College</v>
          </cell>
          <cell r="H690" t="str">
            <v>Yorkshire and the Humber</v>
          </cell>
          <cell r="I690" t="str">
            <v>Windmill Lane</v>
          </cell>
          <cell r="L690" t="str">
            <v>Batley</v>
          </cell>
          <cell r="M690" t="str">
            <v>West Yorkshire</v>
          </cell>
          <cell r="N690" t="str">
            <v>WF17 0LD</v>
          </cell>
          <cell r="O690" t="str">
            <v>jackieeames@batleygirls.co.uk</v>
          </cell>
          <cell r="P690">
            <v>40528</v>
          </cell>
        </row>
        <row r="691">
          <cell r="A691">
            <v>3114700</v>
          </cell>
          <cell r="B691">
            <v>102350</v>
          </cell>
          <cell r="C691">
            <v>311</v>
          </cell>
          <cell r="D691" t="str">
            <v>Havering</v>
          </cell>
          <cell r="E691">
            <v>4700</v>
          </cell>
          <cell r="F691" t="str">
            <v>Sheila Longstaff</v>
          </cell>
          <cell r="G691" t="str">
            <v>The Campion School</v>
          </cell>
          <cell r="H691" t="str">
            <v>London</v>
          </cell>
          <cell r="I691" t="str">
            <v>Wingletye Lane</v>
          </cell>
          <cell r="L691" t="str">
            <v>Hornchurch</v>
          </cell>
          <cell r="M691" t="str">
            <v>Essex</v>
          </cell>
          <cell r="N691" t="str">
            <v>RM11 3BX</v>
          </cell>
          <cell r="O691" t="str">
            <v>contact@thecampionschool.org.uk</v>
          </cell>
          <cell r="P691">
            <v>40672</v>
          </cell>
        </row>
        <row r="692">
          <cell r="A692">
            <v>3305412</v>
          </cell>
          <cell r="B692">
            <v>103559</v>
          </cell>
          <cell r="C692">
            <v>330</v>
          </cell>
          <cell r="D692" t="str">
            <v>Birmingham</v>
          </cell>
          <cell r="E692">
            <v>5412</v>
          </cell>
          <cell r="F692" t="str">
            <v>Ruth Pallister</v>
          </cell>
          <cell r="G692" t="str">
            <v>George Dixon International School and Sixth Form Centre</v>
          </cell>
          <cell r="H692" t="str">
            <v>West Midlands</v>
          </cell>
          <cell r="I692" t="str">
            <v>City Road</v>
          </cell>
          <cell r="J692" t="str">
            <v>Edgbaston</v>
          </cell>
          <cell r="L692" t="str">
            <v>Birmingham</v>
          </cell>
          <cell r="M692" t="str">
            <v>West Midlands</v>
          </cell>
          <cell r="N692" t="str">
            <v>B17 8LF</v>
          </cell>
          <cell r="O692" t="str">
            <v>anthonyhamilton7@aol.com</v>
          </cell>
          <cell r="P692">
            <v>40829</v>
          </cell>
        </row>
        <row r="693">
          <cell r="A693">
            <v>8522459</v>
          </cell>
          <cell r="B693">
            <v>116130</v>
          </cell>
          <cell r="C693">
            <v>852</v>
          </cell>
          <cell r="D693" t="str">
            <v>Southampton</v>
          </cell>
          <cell r="E693">
            <v>2459</v>
          </cell>
          <cell r="F693" t="str">
            <v>Lindsay Morris</v>
          </cell>
          <cell r="G693" t="str">
            <v>Hollybrook Junior School</v>
          </cell>
          <cell r="H693" t="str">
            <v>South East</v>
          </cell>
          <cell r="I693" t="str">
            <v>Seagarth Lane</v>
          </cell>
          <cell r="L693" t="str">
            <v>Southampton</v>
          </cell>
          <cell r="M693" t="str">
            <v>Hampshire</v>
          </cell>
          <cell r="N693" t="str">
            <v>SO16 6RL</v>
          </cell>
          <cell r="P693">
            <v>41025</v>
          </cell>
        </row>
        <row r="694">
          <cell r="A694">
            <v>9254028</v>
          </cell>
          <cell r="B694">
            <v>120643</v>
          </cell>
          <cell r="C694">
            <v>925</v>
          </cell>
          <cell r="D694" t="str">
            <v>Lincolnshire</v>
          </cell>
          <cell r="E694">
            <v>4028</v>
          </cell>
          <cell r="F694" t="str">
            <v>Grant Dyson</v>
          </cell>
          <cell r="G694" t="str">
            <v>Middlecott School</v>
          </cell>
          <cell r="H694" t="str">
            <v>East Midlands</v>
          </cell>
          <cell r="I694" t="str">
            <v>Edinburgh Drive</v>
          </cell>
          <cell r="J694" t="str">
            <v>Kirton</v>
          </cell>
          <cell r="L694" t="str">
            <v>Boston</v>
          </cell>
          <cell r="M694" t="str">
            <v>Lincolnshire</v>
          </cell>
          <cell r="N694" t="str">
            <v>PE20 1JS</v>
          </cell>
          <cell r="O694" t="str">
            <v>stephen.johnson@middlecott.lincs.sch.uk</v>
          </cell>
        </row>
        <row r="695">
          <cell r="A695">
            <v>3842115</v>
          </cell>
          <cell r="B695">
            <v>108188</v>
          </cell>
          <cell r="C695">
            <v>384</v>
          </cell>
          <cell r="D695" t="str">
            <v>Wakefield</v>
          </cell>
          <cell r="E695">
            <v>2115</v>
          </cell>
          <cell r="F695" t="str">
            <v>Jayne Turner</v>
          </cell>
          <cell r="G695" t="str">
            <v>Pontefract Larks Hill Junior and Infant School</v>
          </cell>
          <cell r="H695" t="str">
            <v>Yorkshire and the Humber</v>
          </cell>
          <cell r="I695" t="str">
            <v>Larks Hill</v>
          </cell>
          <cell r="L695" t="str">
            <v>Pontefract</v>
          </cell>
          <cell r="M695" t="str">
            <v>West Yorkshire</v>
          </cell>
          <cell r="N695" t="str">
            <v>WF8 4RJ</v>
          </cell>
          <cell r="O695" t="str">
            <v>headteacher@larkshill.wakefield.sch.uk</v>
          </cell>
          <cell r="P695">
            <v>41176</v>
          </cell>
        </row>
        <row r="696">
          <cell r="A696">
            <v>3434110</v>
          </cell>
          <cell r="B696">
            <v>104956</v>
          </cell>
          <cell r="C696">
            <v>343</v>
          </cell>
          <cell r="D696" t="str">
            <v>Sefton</v>
          </cell>
          <cell r="E696">
            <v>4110</v>
          </cell>
          <cell r="F696" t="str">
            <v>Maria Sabberton</v>
          </cell>
          <cell r="G696" t="str">
            <v>Meols Cop High School</v>
          </cell>
          <cell r="H696" t="str">
            <v>North West</v>
          </cell>
          <cell r="I696" t="str">
            <v>Meols Cop Road</v>
          </cell>
          <cell r="L696" t="str">
            <v>Southport</v>
          </cell>
          <cell r="M696" t="str">
            <v>Merseyside</v>
          </cell>
          <cell r="N696" t="str">
            <v>PR8 6JS</v>
          </cell>
          <cell r="O696" t="str">
            <v>head@meolscophighschool.co.uk</v>
          </cell>
        </row>
        <row r="697">
          <cell r="A697">
            <v>8604123</v>
          </cell>
          <cell r="B697">
            <v>124420</v>
          </cell>
          <cell r="C697">
            <v>860</v>
          </cell>
          <cell r="D697" t="str">
            <v>Staffordshire</v>
          </cell>
          <cell r="E697">
            <v>4123</v>
          </cell>
          <cell r="F697" t="str">
            <v>Hannah Copp</v>
          </cell>
          <cell r="G697" t="str">
            <v>Wilnecote High School</v>
          </cell>
          <cell r="H697" t="str">
            <v>West Midlands</v>
          </cell>
          <cell r="I697" t="str">
            <v>Tinkers Green Road</v>
          </cell>
          <cell r="J697" t="str">
            <v>Wilnecote</v>
          </cell>
          <cell r="L697" t="str">
            <v>Tamworth</v>
          </cell>
          <cell r="M697" t="str">
            <v>Staffordshire</v>
          </cell>
          <cell r="N697" t="str">
            <v>B77 5LF</v>
          </cell>
          <cell r="O697" t="str">
            <v>headteacher@wilnecote-high.staffs.sch.uk</v>
          </cell>
          <cell r="P697">
            <v>41082</v>
          </cell>
        </row>
        <row r="698">
          <cell r="A698">
            <v>3354105</v>
          </cell>
          <cell r="B698">
            <v>104250</v>
          </cell>
          <cell r="C698">
            <v>335</v>
          </cell>
          <cell r="D698" t="str">
            <v>Walsall</v>
          </cell>
          <cell r="E698">
            <v>4105</v>
          </cell>
          <cell r="F698" t="str">
            <v>Not yet assigned</v>
          </cell>
          <cell r="G698" t="str">
            <v>Willenhall School Sports College</v>
          </cell>
          <cell r="H698" t="str">
            <v>West Midlands</v>
          </cell>
          <cell r="I698" t="str">
            <v>Furzebank Way</v>
          </cell>
          <cell r="L698" t="str">
            <v>Willenhall</v>
          </cell>
          <cell r="M698" t="str">
            <v>West Midlands</v>
          </cell>
          <cell r="N698" t="str">
            <v>WV12 4BD</v>
          </cell>
          <cell r="O698" t="str">
            <v>vtill@willenhall.walsall.sch.uk</v>
          </cell>
        </row>
        <row r="699">
          <cell r="A699">
            <v>3202081</v>
          </cell>
          <cell r="B699">
            <v>131011</v>
          </cell>
          <cell r="C699">
            <v>320</v>
          </cell>
          <cell r="D699" t="str">
            <v>Waltham Forest</v>
          </cell>
          <cell r="E699">
            <v>2081</v>
          </cell>
          <cell r="F699" t="str">
            <v>Helen Fisher</v>
          </cell>
          <cell r="G699" t="str">
            <v>Whittingham Community Primary School</v>
          </cell>
          <cell r="H699" t="str">
            <v>London</v>
          </cell>
          <cell r="I699" t="str">
            <v>Higham Hill Road</v>
          </cell>
          <cell r="J699" t="str">
            <v>Walthamstow</v>
          </cell>
          <cell r="L699" t="str">
            <v>London</v>
          </cell>
          <cell r="N699" t="str">
            <v>E17 5QX</v>
          </cell>
          <cell r="O699" t="str">
            <v>pat.davies@chingfordhall.waltham.sch.uk</v>
          </cell>
          <cell r="P699">
            <v>41204</v>
          </cell>
        </row>
        <row r="700">
          <cell r="A700">
            <v>8854434</v>
          </cell>
          <cell r="B700">
            <v>116979</v>
          </cell>
          <cell r="C700">
            <v>885</v>
          </cell>
          <cell r="D700" t="str">
            <v>Worcestershire</v>
          </cell>
          <cell r="E700">
            <v>4434</v>
          </cell>
          <cell r="F700" t="str">
            <v>Hannah Copp</v>
          </cell>
          <cell r="G700" t="str">
            <v>Nunnery Wood High School</v>
          </cell>
          <cell r="H700" t="str">
            <v>West Midlands</v>
          </cell>
          <cell r="I700" t="str">
            <v>Spetchley Road</v>
          </cell>
          <cell r="L700" t="str">
            <v>Worcester</v>
          </cell>
          <cell r="M700" t="str">
            <v>Worcestershire</v>
          </cell>
          <cell r="N700" t="str">
            <v>WR5 2LT</v>
          </cell>
          <cell r="O700" t="str">
            <v xml:space="preserve"> head@nunnerywood.worcs.sch.uk</v>
          </cell>
          <cell r="P700">
            <v>40568</v>
          </cell>
        </row>
        <row r="701">
          <cell r="A701">
            <v>8912770</v>
          </cell>
          <cell r="B701">
            <v>122652</v>
          </cell>
          <cell r="C701">
            <v>891</v>
          </cell>
          <cell r="D701" t="str">
            <v>Nottinghamshire</v>
          </cell>
          <cell r="E701">
            <v>2770</v>
          </cell>
          <cell r="F701" t="str">
            <v>Grant Dyson</v>
          </cell>
          <cell r="G701" t="str">
            <v>Crossdale Drive Primary School</v>
          </cell>
          <cell r="H701" t="str">
            <v>East Midlands</v>
          </cell>
          <cell r="I701" t="str">
            <v>Crossdale Drive</v>
          </cell>
          <cell r="J701" t="str">
            <v>Keyworth</v>
          </cell>
          <cell r="L701" t="str">
            <v>Nottingham</v>
          </cell>
          <cell r="M701" t="str">
            <v>Nottinghamshire</v>
          </cell>
          <cell r="N701" t="str">
            <v>NG12 5HP</v>
          </cell>
          <cell r="O701" t="str">
            <v>head@crossdale.notts.sch.uk</v>
          </cell>
        </row>
        <row r="702">
          <cell r="A702">
            <v>9164513</v>
          </cell>
          <cell r="B702">
            <v>115728</v>
          </cell>
          <cell r="C702">
            <v>916</v>
          </cell>
          <cell r="D702" t="str">
            <v>Gloucestershire</v>
          </cell>
          <cell r="E702">
            <v>4513</v>
          </cell>
          <cell r="F702" t="str">
            <v>Nigel Mills</v>
          </cell>
          <cell r="G702" t="str">
            <v>Farmor's School</v>
          </cell>
          <cell r="H702" t="str">
            <v>South West</v>
          </cell>
          <cell r="I702" t="str">
            <v>The Park</v>
          </cell>
          <cell r="L702" t="str">
            <v>Fairford</v>
          </cell>
          <cell r="M702" t="str">
            <v>Gloucestershire</v>
          </cell>
          <cell r="N702" t="str">
            <v>GL7 4JQ</v>
          </cell>
          <cell r="O702" t="str">
            <v>a.stokes@farmors.gloucs.sch.uk</v>
          </cell>
          <cell r="P702">
            <v>40589</v>
          </cell>
        </row>
        <row r="703">
          <cell r="A703">
            <v>9193419</v>
          </cell>
          <cell r="B703">
            <v>117490</v>
          </cell>
          <cell r="C703">
            <v>919</v>
          </cell>
          <cell r="D703" t="str">
            <v>Hertfordshire</v>
          </cell>
          <cell r="E703">
            <v>3419</v>
          </cell>
          <cell r="F703" t="str">
            <v>Pam Osborne</v>
          </cell>
          <cell r="G703" t="str">
            <v>Welwyn Saint Mary's Primary School</v>
          </cell>
          <cell r="H703" t="str">
            <v>East of England</v>
          </cell>
          <cell r="I703" t="str">
            <v>15 London Road</v>
          </cell>
          <cell r="L703" t="str">
            <v>Welwyn</v>
          </cell>
          <cell r="M703" t="str">
            <v>Hertfordshire</v>
          </cell>
          <cell r="N703" t="str">
            <v>AL6 9DJ</v>
          </cell>
          <cell r="O703" t="str">
            <v>head@welwynst-marys.herts.sch.uk</v>
          </cell>
          <cell r="P703">
            <v>41130</v>
          </cell>
        </row>
        <row r="704">
          <cell r="A704">
            <v>8214108</v>
          </cell>
          <cell r="B704">
            <v>109685</v>
          </cell>
          <cell r="C704">
            <v>821</v>
          </cell>
          <cell r="D704" t="str">
            <v>Luton</v>
          </cell>
          <cell r="E704">
            <v>4108</v>
          </cell>
          <cell r="F704" t="str">
            <v>David Rudd</v>
          </cell>
          <cell r="G704" t="str">
            <v>Putteridge High School</v>
          </cell>
          <cell r="H704" t="str">
            <v>East of England</v>
          </cell>
          <cell r="I704" t="str">
            <v>Putteridge Road</v>
          </cell>
          <cell r="L704" t="str">
            <v>Luton</v>
          </cell>
          <cell r="M704" t="str">
            <v>Bedfordshire</v>
          </cell>
          <cell r="N704" t="str">
            <v>LU2 8HJ</v>
          </cell>
          <cell r="P704">
            <v>40949</v>
          </cell>
        </row>
        <row r="705">
          <cell r="A705">
            <v>9264060</v>
          </cell>
          <cell r="B705">
            <v>121171</v>
          </cell>
          <cell r="C705">
            <v>926</v>
          </cell>
          <cell r="D705" t="str">
            <v>Norfolk</v>
          </cell>
          <cell r="E705">
            <v>4060</v>
          </cell>
          <cell r="F705" t="str">
            <v>Marie Hepperle</v>
          </cell>
          <cell r="G705" t="str">
            <v>Wymondham High School</v>
          </cell>
          <cell r="H705" t="str">
            <v>East of England</v>
          </cell>
          <cell r="I705" t="str">
            <v>Folly Road</v>
          </cell>
          <cell r="L705" t="str">
            <v>Wymondham</v>
          </cell>
          <cell r="M705" t="str">
            <v>Norfolk</v>
          </cell>
          <cell r="N705" t="str">
            <v>NR18 0QT</v>
          </cell>
          <cell r="O705" t="str">
            <v>head@wymondhamhigh.norfolk.sch.uk</v>
          </cell>
          <cell r="P705">
            <v>40603</v>
          </cell>
        </row>
        <row r="706">
          <cell r="A706">
            <v>8735201</v>
          </cell>
          <cell r="B706">
            <v>110889</v>
          </cell>
          <cell r="C706">
            <v>873</v>
          </cell>
          <cell r="D706" t="str">
            <v>Cambridgeshire</v>
          </cell>
          <cell r="E706">
            <v>5201</v>
          </cell>
          <cell r="F706" t="str">
            <v>Pam Osborne</v>
          </cell>
          <cell r="G706" t="str">
            <v>The Park Lane (Foundation) Primary School</v>
          </cell>
          <cell r="H706" t="str">
            <v>East of England</v>
          </cell>
          <cell r="I706" t="str">
            <v>Park Lane</v>
          </cell>
          <cell r="J706" t="str">
            <v>Whittlesey</v>
          </cell>
          <cell r="L706" t="str">
            <v>Peterborough</v>
          </cell>
          <cell r="M706" t="str">
            <v>Cambridgeshire</v>
          </cell>
          <cell r="N706" t="str">
            <v>PE7 1JB</v>
          </cell>
          <cell r="O706" t="str">
            <v>Margaret.Leverett@cambridgeshire.gov.uk</v>
          </cell>
          <cell r="P706">
            <v>40854</v>
          </cell>
        </row>
        <row r="707">
          <cell r="A707">
            <v>9334250</v>
          </cell>
          <cell r="B707">
            <v>123865</v>
          </cell>
          <cell r="C707">
            <v>933</v>
          </cell>
          <cell r="D707" t="str">
            <v>Somerset</v>
          </cell>
          <cell r="E707">
            <v>4250</v>
          </cell>
          <cell r="F707" t="str">
            <v>Maria Whiting</v>
          </cell>
          <cell r="G707" t="str">
            <v>Ansford School</v>
          </cell>
          <cell r="H707" t="str">
            <v>South West</v>
          </cell>
          <cell r="I707" t="str">
            <v>Maggs Lane</v>
          </cell>
          <cell r="L707" t="str">
            <v>Castle Cary</v>
          </cell>
          <cell r="M707" t="str">
            <v>Somerset</v>
          </cell>
          <cell r="N707" t="str">
            <v>BA7 7JJ</v>
          </cell>
          <cell r="O707" t="str">
            <v>rob.benzie@ansford.org.uk</v>
          </cell>
          <cell r="P707">
            <v>40609</v>
          </cell>
        </row>
        <row r="708">
          <cell r="A708">
            <v>8734061</v>
          </cell>
          <cell r="B708">
            <v>110873</v>
          </cell>
          <cell r="C708">
            <v>873</v>
          </cell>
          <cell r="D708" t="str">
            <v>Cambridgeshire</v>
          </cell>
          <cell r="E708">
            <v>4061</v>
          </cell>
          <cell r="F708" t="str">
            <v>Yvonne Reddington</v>
          </cell>
          <cell r="G708" t="str">
            <v>The Netherhall School</v>
          </cell>
          <cell r="H708" t="str">
            <v>East of England</v>
          </cell>
          <cell r="I708" t="str">
            <v>Queen Edith's Way</v>
          </cell>
          <cell r="L708" t="str">
            <v>Cambridge</v>
          </cell>
          <cell r="M708" t="str">
            <v>Cambridgeshire</v>
          </cell>
          <cell r="N708" t="str">
            <v>CB1 8NN</v>
          </cell>
          <cell r="O708" t="str">
            <v>cmckenney@netherhall.cambs.sch.uk</v>
          </cell>
          <cell r="P708">
            <v>41250</v>
          </cell>
        </row>
        <row r="709">
          <cell r="A709">
            <v>8132890</v>
          </cell>
          <cell r="B709">
            <v>117917</v>
          </cell>
          <cell r="C709">
            <v>813</v>
          </cell>
          <cell r="D709" t="str">
            <v>North Lincolnshire</v>
          </cell>
          <cell r="E709">
            <v>2890</v>
          </cell>
          <cell r="F709" t="str">
            <v>Jayne Turner</v>
          </cell>
          <cell r="G709" t="str">
            <v>Epworth Primary School</v>
          </cell>
          <cell r="H709" t="str">
            <v>Yorkshire and the Humber</v>
          </cell>
          <cell r="I709" t="str">
            <v>Birchfield Road</v>
          </cell>
          <cell r="J709" t="str">
            <v>Epworth</v>
          </cell>
          <cell r="L709" t="str">
            <v>Doncaster</v>
          </cell>
          <cell r="M709" t="str">
            <v>South Yorkshire</v>
          </cell>
          <cell r="N709" t="str">
            <v>DN9 1DL</v>
          </cell>
          <cell r="O709" t="str">
            <v>headteacher@epworthcp.lincs.sch.uk</v>
          </cell>
          <cell r="P709">
            <v>40960</v>
          </cell>
        </row>
        <row r="710">
          <cell r="A710">
            <v>3832396</v>
          </cell>
          <cell r="B710">
            <v>107872</v>
          </cell>
          <cell r="C710">
            <v>383</v>
          </cell>
          <cell r="D710" t="str">
            <v>Leeds</v>
          </cell>
          <cell r="E710">
            <v>2396</v>
          </cell>
          <cell r="F710" t="str">
            <v>Christine Kane</v>
          </cell>
          <cell r="G710" t="str">
            <v>Garforth Green Lane Primary School</v>
          </cell>
          <cell r="H710" t="str">
            <v>Yorkshire and the Humber</v>
          </cell>
          <cell r="I710" t="str">
            <v>Ribblesdale Avenue</v>
          </cell>
          <cell r="J710" t="str">
            <v>Garforth</v>
          </cell>
          <cell r="L710" t="str">
            <v>Leeds</v>
          </cell>
          <cell r="M710" t="str">
            <v>West Yorkshire</v>
          </cell>
          <cell r="N710" t="str">
            <v>LS25 2JX</v>
          </cell>
          <cell r="O710" t="str">
            <v>princet01@leedslearning.net</v>
          </cell>
          <cell r="P710">
            <v>40359</v>
          </cell>
        </row>
        <row r="711">
          <cell r="A711">
            <v>8653150</v>
          </cell>
          <cell r="B711">
            <v>126350</v>
          </cell>
          <cell r="C711">
            <v>865</v>
          </cell>
          <cell r="D711" t="str">
            <v>Wiltshire</v>
          </cell>
          <cell r="E711">
            <v>3150</v>
          </cell>
          <cell r="F711" t="str">
            <v>Theresa Oddelm</v>
          </cell>
          <cell r="G711" t="str">
            <v>St Mary's Church of England Primary School, Purton</v>
          </cell>
          <cell r="H711" t="str">
            <v>South West</v>
          </cell>
          <cell r="I711" t="str">
            <v>College Road</v>
          </cell>
          <cell r="J711" t="str">
            <v>Purton</v>
          </cell>
          <cell r="L711" t="str">
            <v>Swindon</v>
          </cell>
          <cell r="M711" t="str">
            <v>Wiltshire</v>
          </cell>
          <cell r="N711" t="str">
            <v>SN5 4AR</v>
          </cell>
          <cell r="O711" t="str">
            <v>head@st-marys-purton.wilts.sch.uk</v>
          </cell>
        </row>
        <row r="712">
          <cell r="A712">
            <v>8024129</v>
          </cell>
          <cell r="B712">
            <v>132005</v>
          </cell>
          <cell r="C712">
            <v>802</v>
          </cell>
          <cell r="D712" t="str">
            <v>North Somerset</v>
          </cell>
          <cell r="E712">
            <v>4129</v>
          </cell>
          <cell r="F712" t="str">
            <v>Sarah Hall</v>
          </cell>
          <cell r="G712" t="str">
            <v>Backwell School</v>
          </cell>
          <cell r="H712" t="str">
            <v>South West</v>
          </cell>
          <cell r="J712" t="str">
            <v>Backwell</v>
          </cell>
          <cell r="L712" t="str">
            <v>North Somerset</v>
          </cell>
          <cell r="N712" t="str">
            <v>BS48 3BX</v>
          </cell>
          <cell r="O712" t="str">
            <v>jbaldwin@backwellschool.net</v>
          </cell>
          <cell r="P712">
            <v>40525</v>
          </cell>
        </row>
        <row r="713">
          <cell r="A713">
            <v>8782050</v>
          </cell>
          <cell r="B713">
            <v>113100</v>
          </cell>
          <cell r="C713">
            <v>878</v>
          </cell>
          <cell r="D713" t="str">
            <v>Devon</v>
          </cell>
          <cell r="E713">
            <v>2050</v>
          </cell>
          <cell r="F713" t="str">
            <v>Not yet assigned</v>
          </cell>
          <cell r="G713" t="str">
            <v>Kilmington Primary School</v>
          </cell>
          <cell r="H713" t="str">
            <v>South West</v>
          </cell>
          <cell r="I713" t="str">
            <v>School Lane</v>
          </cell>
          <cell r="J713" t="str">
            <v>Kilmington</v>
          </cell>
          <cell r="L713" t="str">
            <v>Axminster</v>
          </cell>
          <cell r="M713" t="str">
            <v>Devon</v>
          </cell>
          <cell r="N713" t="str">
            <v>EX13 7RG</v>
          </cell>
          <cell r="O713" t="str">
            <v>head@kilmington -primary.devon.sch.uk</v>
          </cell>
        </row>
        <row r="714">
          <cell r="A714">
            <v>3822124</v>
          </cell>
          <cell r="B714">
            <v>107679</v>
          </cell>
          <cell r="C714">
            <v>382</v>
          </cell>
          <cell r="D714" t="str">
            <v>Kirklees</v>
          </cell>
          <cell r="E714">
            <v>2124</v>
          </cell>
          <cell r="F714" t="str">
            <v>Nick Monton</v>
          </cell>
          <cell r="G714" t="str">
            <v>Fieldhead Junior Infant and Nursery School</v>
          </cell>
          <cell r="H714" t="str">
            <v>Yorkshire and the Humber</v>
          </cell>
          <cell r="I714" t="str">
            <v>Charlotte Close</v>
          </cell>
          <cell r="J714" t="str">
            <v>Birstall</v>
          </cell>
          <cell r="L714" t="str">
            <v>Batley</v>
          </cell>
          <cell r="M714" t="str">
            <v>West Yorkshire</v>
          </cell>
          <cell r="N714" t="str">
            <v>WF17 9BX</v>
          </cell>
          <cell r="O714" t="str">
            <v>lianne.lomas@edukirklees.net</v>
          </cell>
          <cell r="P714">
            <v>41184</v>
          </cell>
        </row>
        <row r="715">
          <cell r="A715">
            <v>3302065</v>
          </cell>
          <cell r="B715">
            <v>103195</v>
          </cell>
          <cell r="C715">
            <v>330</v>
          </cell>
          <cell r="D715" t="str">
            <v>Birmingham</v>
          </cell>
          <cell r="E715">
            <v>2065</v>
          </cell>
          <cell r="F715" t="str">
            <v>Nicole Felicien</v>
          </cell>
          <cell r="G715" t="str">
            <v>Dorrington Primary School</v>
          </cell>
          <cell r="H715" t="str">
            <v>West Midlands</v>
          </cell>
          <cell r="I715" t="str">
            <v>Dorrington Road</v>
          </cell>
          <cell r="J715" t="str">
            <v>Perry Barr</v>
          </cell>
          <cell r="L715" t="str">
            <v>Birmingham</v>
          </cell>
          <cell r="M715" t="str">
            <v>West Midlands</v>
          </cell>
          <cell r="N715" t="str">
            <v>B42 1QR</v>
          </cell>
          <cell r="O715" t="str">
            <v>l.barratt@dorrgton.bham.sch.uk</v>
          </cell>
          <cell r="P715">
            <v>40964</v>
          </cell>
        </row>
        <row r="716">
          <cell r="A716">
            <v>8553302</v>
          </cell>
          <cell r="B716">
            <v>120193</v>
          </cell>
          <cell r="C716">
            <v>855</v>
          </cell>
          <cell r="D716" t="str">
            <v>Leicestershire</v>
          </cell>
          <cell r="E716">
            <v>3302</v>
          </cell>
          <cell r="F716" t="str">
            <v>Sue Harp</v>
          </cell>
          <cell r="G716" t="str">
            <v>St Mary's CofE Primary School, Bitteswell</v>
          </cell>
          <cell r="H716" t="str">
            <v>East Midlands</v>
          </cell>
          <cell r="I716" t="str">
            <v>The Green</v>
          </cell>
          <cell r="J716" t="str">
            <v>Bitteswell</v>
          </cell>
          <cell r="L716" t="str">
            <v>Lutterworth</v>
          </cell>
          <cell r="M716" t="str">
            <v>Leicestershire</v>
          </cell>
          <cell r="N716" t="str">
            <v>LE17 4SB</v>
          </cell>
          <cell r="O716" t="str">
            <v>hmaher@bitteswell-st-marys.leics.sch.uk</v>
          </cell>
        </row>
        <row r="717">
          <cell r="A717">
            <v>3804111</v>
          </cell>
          <cell r="B717">
            <v>132216</v>
          </cell>
          <cell r="C717">
            <v>380</v>
          </cell>
          <cell r="D717" t="str">
            <v>Bradford</v>
          </cell>
          <cell r="E717">
            <v>4111</v>
          </cell>
          <cell r="F717" t="str">
            <v>Glyn Newton</v>
          </cell>
          <cell r="G717" t="str">
            <v>The Challenge College</v>
          </cell>
          <cell r="H717" t="str">
            <v>Yorkshire and the Humber</v>
          </cell>
          <cell r="I717" t="str">
            <v>North Avenue</v>
          </cell>
          <cell r="L717" t="str">
            <v>Bradford</v>
          </cell>
          <cell r="M717" t="str">
            <v>West Yorkshire</v>
          </cell>
          <cell r="N717" t="str">
            <v>BD8 7ND</v>
          </cell>
          <cell r="O717" t="str">
            <v>s.harris@challenge.ngfl.ac.uk</v>
          </cell>
        </row>
        <row r="718">
          <cell r="A718">
            <v>8221104</v>
          </cell>
          <cell r="B718">
            <v>134032</v>
          </cell>
          <cell r="C718">
            <v>822</v>
          </cell>
          <cell r="D718" t="str">
            <v>Bedford</v>
          </cell>
          <cell r="E718">
            <v>1104</v>
          </cell>
          <cell r="F718" t="str">
            <v>Linda Tiley</v>
          </cell>
          <cell r="G718" t="str">
            <v>Greys Education Centre</v>
          </cell>
          <cell r="H718" t="str">
            <v>East of England</v>
          </cell>
          <cell r="I718" t="str">
            <v>Manor Drive</v>
          </cell>
          <cell r="J718" t="str">
            <v>Kempston</v>
          </cell>
          <cell r="L718" t="str">
            <v>Bedford</v>
          </cell>
          <cell r="M718" t="str">
            <v>Bedfordshire</v>
          </cell>
          <cell r="N718" t="str">
            <v>MK42 7AB</v>
          </cell>
          <cell r="O718" t="str">
            <v>terry.ashmore@bedford.gov.uk</v>
          </cell>
          <cell r="P718">
            <v>41023</v>
          </cell>
        </row>
        <row r="719">
          <cell r="A719">
            <v>3545202</v>
          </cell>
          <cell r="B719">
            <v>105848</v>
          </cell>
          <cell r="C719">
            <v>354</v>
          </cell>
          <cell r="D719" t="str">
            <v>Rochdale</v>
          </cell>
          <cell r="E719">
            <v>5202</v>
          </cell>
          <cell r="F719" t="str">
            <v>Jane McCusker</v>
          </cell>
          <cell r="G719" t="str">
            <v>St James' Church of England Primary School</v>
          </cell>
          <cell r="H719" t="str">
            <v>North West</v>
          </cell>
          <cell r="I719" t="str">
            <v>Crossfield Road</v>
          </cell>
          <cell r="J719" t="str">
            <v>Wardle</v>
          </cell>
          <cell r="L719" t="str">
            <v>Rochdale</v>
          </cell>
          <cell r="M719" t="str">
            <v>Lancashire</v>
          </cell>
          <cell r="N719" t="str">
            <v>OL12 9JW</v>
          </cell>
          <cell r="O719" t="str">
            <v>office@st-james.rochdale.sch.uk</v>
          </cell>
          <cell r="P719">
            <v>40640</v>
          </cell>
        </row>
        <row r="720">
          <cell r="A720">
            <v>8612075</v>
          </cell>
          <cell r="B720">
            <v>124008</v>
          </cell>
          <cell r="C720">
            <v>861</v>
          </cell>
          <cell r="D720" t="str">
            <v>Stoke-on-Trent</v>
          </cell>
          <cell r="E720">
            <v>2075</v>
          </cell>
          <cell r="F720" t="str">
            <v>Julia Waterhouse</v>
          </cell>
          <cell r="G720" t="str">
            <v>Clarice Cliff Primary School</v>
          </cell>
          <cell r="H720" t="str">
            <v>West Midlands</v>
          </cell>
          <cell r="I720" t="str">
            <v>Goldenhill Road</v>
          </cell>
          <cell r="K720" t="str">
            <v>Fenton</v>
          </cell>
          <cell r="L720" t="str">
            <v>Stoke-on-Trent</v>
          </cell>
          <cell r="M720" t="str">
            <v>Staffordshire</v>
          </cell>
          <cell r="N720" t="str">
            <v>ST4 3DP</v>
          </cell>
          <cell r="O720" t="str">
            <v>glatos@sgfl.org.uk</v>
          </cell>
        </row>
        <row r="721">
          <cell r="A721">
            <v>3052046</v>
          </cell>
          <cell r="B721">
            <v>101617</v>
          </cell>
          <cell r="C721">
            <v>305</v>
          </cell>
          <cell r="D721" t="str">
            <v>Bromley</v>
          </cell>
          <cell r="E721">
            <v>2046</v>
          </cell>
          <cell r="F721" t="str">
            <v>Sheila Longstaff</v>
          </cell>
          <cell r="G721" t="str">
            <v>Pratts Bottom Primary School</v>
          </cell>
          <cell r="H721" t="str">
            <v>London</v>
          </cell>
          <cell r="I721" t="str">
            <v>Hookwood Road</v>
          </cell>
          <cell r="J721" t="str">
            <v>Pratts Bottom</v>
          </cell>
          <cell r="L721" t="str">
            <v>Orpington</v>
          </cell>
          <cell r="M721" t="str">
            <v>Kent</v>
          </cell>
          <cell r="N721" t="str">
            <v>BR6 7NX</v>
          </cell>
          <cell r="O721" t="str">
            <v>matthew.ringham@prattsbottom.bromley.sch.uk</v>
          </cell>
        </row>
        <row r="722">
          <cell r="A722">
            <v>8943154</v>
          </cell>
          <cell r="B722">
            <v>123527</v>
          </cell>
          <cell r="C722">
            <v>894</v>
          </cell>
          <cell r="D722" t="str">
            <v>Telford and Wrekin</v>
          </cell>
          <cell r="E722">
            <v>3154</v>
          </cell>
          <cell r="F722" t="str">
            <v>Stephen Bagnall</v>
          </cell>
          <cell r="G722" t="str">
            <v>St George's Church of England Primary School</v>
          </cell>
          <cell r="H722" t="str">
            <v>West Midlands</v>
          </cell>
          <cell r="I722" t="str">
            <v>London Road</v>
          </cell>
          <cell r="J722" t="str">
            <v>St George's</v>
          </cell>
          <cell r="L722" t="str">
            <v>Telford</v>
          </cell>
          <cell r="M722" t="str">
            <v>Shropshire</v>
          </cell>
          <cell r="N722" t="str">
            <v>TF2 9LJ</v>
          </cell>
          <cell r="O722" t="str">
            <v>h3154@telford.gov.uk</v>
          </cell>
        </row>
        <row r="723">
          <cell r="A723">
            <v>8724053</v>
          </cell>
          <cell r="B723">
            <v>110064</v>
          </cell>
          <cell r="C723">
            <v>872</v>
          </cell>
          <cell r="D723" t="str">
            <v>Wokingham</v>
          </cell>
          <cell r="E723">
            <v>4053</v>
          </cell>
          <cell r="F723" t="str">
            <v>Darren Francis</v>
          </cell>
          <cell r="G723" t="str">
            <v>Maiden Erlegh School</v>
          </cell>
          <cell r="H723" t="str">
            <v>South East</v>
          </cell>
          <cell r="I723" t="str">
            <v>Off Silverdale Road</v>
          </cell>
          <cell r="J723" t="str">
            <v>Earley</v>
          </cell>
          <cell r="L723" t="str">
            <v>Reading</v>
          </cell>
          <cell r="M723" t="str">
            <v>Berkshire</v>
          </cell>
          <cell r="N723" t="str">
            <v>RG6 7HS</v>
          </cell>
          <cell r="O723" t="str">
            <v>office@maidenerlegh.wokingham.sch.uk</v>
          </cell>
          <cell r="P723">
            <v>40385</v>
          </cell>
        </row>
        <row r="724">
          <cell r="A724">
            <v>9354095</v>
          </cell>
          <cell r="B724">
            <v>124845</v>
          </cell>
          <cell r="C724">
            <v>935</v>
          </cell>
          <cell r="D724" t="str">
            <v>Suffolk</v>
          </cell>
          <cell r="E724">
            <v>4095</v>
          </cell>
          <cell r="F724" t="str">
            <v>Claire Ivie</v>
          </cell>
          <cell r="G724" t="str">
            <v>Westbourne Sports College</v>
          </cell>
          <cell r="H724" t="str">
            <v>East of England</v>
          </cell>
          <cell r="I724" t="str">
            <v>Marlow Road</v>
          </cell>
          <cell r="L724" t="str">
            <v>Ipswich</v>
          </cell>
          <cell r="M724" t="str">
            <v>Suffolk</v>
          </cell>
          <cell r="N724" t="str">
            <v>IP1 5JN</v>
          </cell>
          <cell r="O724" t="str">
            <v>cedwards@westbourne.suffolk.sch.uk</v>
          </cell>
          <cell r="P724">
            <v>41176</v>
          </cell>
        </row>
        <row r="725">
          <cell r="A725">
            <v>8825206</v>
          </cell>
          <cell r="B725">
            <v>115246</v>
          </cell>
          <cell r="C725">
            <v>882</v>
          </cell>
          <cell r="D725" t="str">
            <v>Southend-on-Sea</v>
          </cell>
          <cell r="E725">
            <v>5206</v>
          </cell>
          <cell r="F725" t="str">
            <v>Mark Wheeler</v>
          </cell>
          <cell r="G725" t="str">
            <v>The Westborough Primary School and Nursery</v>
          </cell>
          <cell r="H725" t="str">
            <v>East of England</v>
          </cell>
          <cell r="I725" t="str">
            <v>Macdonald Avenue</v>
          </cell>
          <cell r="L725" t="str">
            <v>Westcliff-on-Sea</v>
          </cell>
          <cell r="M725" t="str">
            <v>Essex</v>
          </cell>
          <cell r="N725" t="str">
            <v>SS0 9BS</v>
          </cell>
          <cell r="O725" t="str">
            <v>jennifer_davies_uk1@yahoo.co.uk</v>
          </cell>
          <cell r="P725">
            <v>40359</v>
          </cell>
        </row>
        <row r="726">
          <cell r="A726">
            <v>3063008</v>
          </cell>
          <cell r="B726">
            <v>132009</v>
          </cell>
          <cell r="C726">
            <v>306</v>
          </cell>
          <cell r="D726" t="str">
            <v>Croydon</v>
          </cell>
          <cell r="E726">
            <v>3008</v>
          </cell>
          <cell r="F726" t="str">
            <v>Martin Rowley</v>
          </cell>
          <cell r="G726" t="str">
            <v>St Cyprian's Greek Orthodox Primary School</v>
          </cell>
          <cell r="H726" t="str">
            <v>London</v>
          </cell>
          <cell r="I726" t="str">
            <v>Springfield Road</v>
          </cell>
          <cell r="L726" t="str">
            <v>Thornton Heath</v>
          </cell>
          <cell r="M726" t="str">
            <v>Surrey</v>
          </cell>
          <cell r="N726" t="str">
            <v>CR7 8DZ</v>
          </cell>
          <cell r="O726" t="str">
            <v>head@st-cyprians.croydon.sch.uk</v>
          </cell>
          <cell r="P726">
            <v>40861</v>
          </cell>
        </row>
        <row r="727">
          <cell r="A727">
            <v>3344015</v>
          </cell>
          <cell r="B727">
            <v>104110</v>
          </cell>
          <cell r="C727">
            <v>334</v>
          </cell>
          <cell r="D727" t="str">
            <v>Solihull</v>
          </cell>
          <cell r="E727">
            <v>4015</v>
          </cell>
          <cell r="F727" t="str">
            <v>Carol Ions</v>
          </cell>
          <cell r="G727" t="str">
            <v>Alderbrook Leading Edge School and Arts College</v>
          </cell>
          <cell r="H727" t="str">
            <v>West Midlands</v>
          </cell>
          <cell r="I727" t="str">
            <v>Blossomfield Road</v>
          </cell>
          <cell r="L727" t="str">
            <v>Solihull</v>
          </cell>
          <cell r="M727" t="str">
            <v>West Midlands</v>
          </cell>
          <cell r="N727" t="str">
            <v>B91 1SN</v>
          </cell>
          <cell r="O727" t="str">
            <v>s201bsedgwick@alderbrook.solihull.sch.uk</v>
          </cell>
          <cell r="P727">
            <v>40661</v>
          </cell>
        </row>
        <row r="728">
          <cell r="A728">
            <v>2102100</v>
          </cell>
          <cell r="B728">
            <v>100781</v>
          </cell>
          <cell r="C728">
            <v>210</v>
          </cell>
          <cell r="D728" t="str">
            <v>Southwark</v>
          </cell>
          <cell r="E728">
            <v>2100</v>
          </cell>
          <cell r="F728" t="str">
            <v>Susan Shakespeare</v>
          </cell>
          <cell r="G728" t="str">
            <v>Charles Dickens Primary School</v>
          </cell>
          <cell r="H728" t="str">
            <v>London</v>
          </cell>
          <cell r="I728" t="str">
            <v>Toulmin Street</v>
          </cell>
          <cell r="L728" t="str">
            <v>London</v>
          </cell>
          <cell r="N728" t="str">
            <v>SE1 1AF</v>
          </cell>
          <cell r="O728" t="str">
            <v>tdequincey@charlesdickens.southwark.sch.uk</v>
          </cell>
        </row>
        <row r="729">
          <cell r="A729">
            <v>3364139</v>
          </cell>
          <cell r="B729">
            <v>104397</v>
          </cell>
          <cell r="C729">
            <v>336</v>
          </cell>
          <cell r="D729" t="str">
            <v>Wolverhampton</v>
          </cell>
          <cell r="E729">
            <v>4139</v>
          </cell>
          <cell r="F729" t="str">
            <v>Hannah Copp</v>
          </cell>
          <cell r="G729" t="str">
            <v>Moreton Community School</v>
          </cell>
          <cell r="H729" t="str">
            <v>West Midlands</v>
          </cell>
          <cell r="I729" t="str">
            <v>Old Fallings Lane</v>
          </cell>
          <cell r="J729" t="str">
            <v>Bushbury</v>
          </cell>
          <cell r="L729" t="str">
            <v>Wolverhampton</v>
          </cell>
          <cell r="M729" t="str">
            <v>West Midlands</v>
          </cell>
          <cell r="N729" t="str">
            <v>WV10 8BY</v>
          </cell>
          <cell r="O729" t="str">
            <v>Williamsc@moretonschool.org</v>
          </cell>
          <cell r="P729">
            <v>41207</v>
          </cell>
        </row>
        <row r="730">
          <cell r="A730">
            <v>8812529</v>
          </cell>
          <cell r="B730">
            <v>114882</v>
          </cell>
          <cell r="C730">
            <v>881</v>
          </cell>
          <cell r="D730" t="str">
            <v>Essex</v>
          </cell>
          <cell r="E730">
            <v>2529</v>
          </cell>
          <cell r="F730" t="str">
            <v>Claire Ivie</v>
          </cell>
          <cell r="G730" t="str">
            <v>Oaklands Infant School</v>
          </cell>
          <cell r="H730" t="str">
            <v>East of England</v>
          </cell>
          <cell r="I730" t="str">
            <v>Vicarage Road</v>
          </cell>
          <cell r="L730" t="str">
            <v>Chelmsford</v>
          </cell>
          <cell r="M730" t="str">
            <v>Essex</v>
          </cell>
          <cell r="N730" t="str">
            <v>CM2 9PH</v>
          </cell>
          <cell r="O730" t="str">
            <v>head@oaklands-inf.essex.sch.uk</v>
          </cell>
        </row>
        <row r="731">
          <cell r="A731">
            <v>8003347</v>
          </cell>
          <cell r="B731">
            <v>109236</v>
          </cell>
          <cell r="C731">
            <v>800</v>
          </cell>
          <cell r="D731" t="str">
            <v>Bath and North East Somerset</v>
          </cell>
          <cell r="E731">
            <v>3347</v>
          </cell>
          <cell r="G731" t="str">
            <v>Shoscombe CofE Primary School</v>
          </cell>
          <cell r="H731" t="str">
            <v>South West</v>
          </cell>
          <cell r="I731" t="str">
            <v>St Julian's Road</v>
          </cell>
          <cell r="J731" t="str">
            <v>Shoscombe</v>
          </cell>
          <cell r="L731" t="str">
            <v>Bath</v>
          </cell>
          <cell r="M731" t="str">
            <v>Somerset</v>
          </cell>
          <cell r="N731" t="str">
            <v>BA2 8NB</v>
          </cell>
          <cell r="O731" t="str">
            <v>f.c.c@btinternet.com</v>
          </cell>
        </row>
        <row r="732">
          <cell r="A732">
            <v>8712221</v>
          </cell>
          <cell r="B732">
            <v>109917</v>
          </cell>
          <cell r="C732">
            <v>871</v>
          </cell>
          <cell r="D732" t="str">
            <v>Slough</v>
          </cell>
          <cell r="E732">
            <v>2221</v>
          </cell>
          <cell r="F732" t="str">
            <v>Lindsay Morris</v>
          </cell>
          <cell r="G732" t="str">
            <v>Godolphin Junior School</v>
          </cell>
          <cell r="H732" t="str">
            <v>South East</v>
          </cell>
          <cell r="I732" t="str">
            <v>Oatlands Drive</v>
          </cell>
          <cell r="L732" t="str">
            <v>Slough</v>
          </cell>
          <cell r="M732" t="str">
            <v>Berkshire</v>
          </cell>
          <cell r="N732" t="str">
            <v>SL1 3HS</v>
          </cell>
          <cell r="O732" t="str">
            <v>bclark@godolphin-jun.slough.sch.uk</v>
          </cell>
          <cell r="P732">
            <v>40976</v>
          </cell>
        </row>
        <row r="733">
          <cell r="A733">
            <v>8352257</v>
          </cell>
          <cell r="B733">
            <v>113745</v>
          </cell>
          <cell r="C733">
            <v>835</v>
          </cell>
          <cell r="D733" t="str">
            <v>Dorset</v>
          </cell>
          <cell r="E733">
            <v>2257</v>
          </cell>
          <cell r="F733" t="str">
            <v>Kate Bosher</v>
          </cell>
          <cell r="G733" t="str">
            <v>Henbury View First School</v>
          </cell>
          <cell r="H733" t="str">
            <v>South West</v>
          </cell>
          <cell r="I733" t="str">
            <v>Hillside Road</v>
          </cell>
          <cell r="J733" t="str">
            <v>Corfe Mullen</v>
          </cell>
          <cell r="L733" t="str">
            <v>Wimborne</v>
          </cell>
          <cell r="M733" t="str">
            <v>Dorset</v>
          </cell>
          <cell r="N733" t="str">
            <v>BH21 3TR</v>
          </cell>
          <cell r="O733" t="str">
            <v>office@henburyview.dorset.sch.uk</v>
          </cell>
        </row>
        <row r="734">
          <cell r="A734">
            <v>9252237</v>
          </cell>
          <cell r="B734">
            <v>120501</v>
          </cell>
          <cell r="C734">
            <v>925</v>
          </cell>
          <cell r="D734" t="str">
            <v>Lincolnshire</v>
          </cell>
          <cell r="E734">
            <v>2237</v>
          </cell>
          <cell r="F734" t="str">
            <v>Helen Whetter</v>
          </cell>
          <cell r="G734" t="str">
            <v>Park Community Primary School</v>
          </cell>
          <cell r="H734" t="str">
            <v>East Midlands</v>
          </cell>
          <cell r="I734" t="str">
            <v>Robin Hoods Walk</v>
          </cell>
          <cell r="L734" t="str">
            <v>Boston</v>
          </cell>
          <cell r="M734" t="str">
            <v>Lincolnshire</v>
          </cell>
          <cell r="N734" t="str">
            <v>PE21 9LQ</v>
          </cell>
          <cell r="O734" t="str">
            <v>carol.clare@phoenixfederation.co.uk</v>
          </cell>
          <cell r="P734">
            <v>41165</v>
          </cell>
        </row>
        <row r="735">
          <cell r="A735">
            <v>8304197</v>
          </cell>
          <cell r="B735">
            <v>112963</v>
          </cell>
          <cell r="C735">
            <v>830</v>
          </cell>
          <cell r="D735" t="str">
            <v>Derbyshire</v>
          </cell>
          <cell r="E735">
            <v>4197</v>
          </cell>
          <cell r="F735" t="str">
            <v>Helen Whetter</v>
          </cell>
          <cell r="G735" t="str">
            <v>The Bolsover School</v>
          </cell>
          <cell r="H735" t="str">
            <v>East Midlands</v>
          </cell>
          <cell r="I735" t="str">
            <v>Mooracre Lane</v>
          </cell>
          <cell r="J735" t="str">
            <v>Bolsover</v>
          </cell>
          <cell r="L735" t="str">
            <v>Chesterfield</v>
          </cell>
          <cell r="M735" t="str">
            <v>Derbyshire</v>
          </cell>
          <cell r="N735" t="str">
            <v>S44 6XA</v>
          </cell>
          <cell r="O735" t="str">
            <v>ginglis@bolsover.derbyshire.sch.uk</v>
          </cell>
          <cell r="P735">
            <v>40687</v>
          </cell>
        </row>
        <row r="736">
          <cell r="A736">
            <v>3417042</v>
          </cell>
          <cell r="B736">
            <v>104742</v>
          </cell>
          <cell r="C736">
            <v>341</v>
          </cell>
          <cell r="D736" t="str">
            <v>Liverpool</v>
          </cell>
          <cell r="E736">
            <v>7042</v>
          </cell>
          <cell r="F736" t="str">
            <v>Maria Sabberton</v>
          </cell>
          <cell r="G736" t="str">
            <v>Clifford Holroyde Centre of Expertise</v>
          </cell>
          <cell r="H736" t="str">
            <v>North West</v>
          </cell>
          <cell r="I736" t="str">
            <v>Thingwall Lane</v>
          </cell>
          <cell r="L736" t="str">
            <v>Liverpool</v>
          </cell>
          <cell r="M736" t="str">
            <v>Merseyside</v>
          </cell>
          <cell r="N736" t="str">
            <v>L14 7NX</v>
          </cell>
          <cell r="O736" t="str">
            <v>rdonnan@cliffordholroyde.lpplus.net</v>
          </cell>
        </row>
        <row r="737">
          <cell r="A737">
            <v>8864527</v>
          </cell>
          <cell r="B737">
            <v>118837</v>
          </cell>
          <cell r="C737">
            <v>886</v>
          </cell>
          <cell r="D737" t="str">
            <v>Kent</v>
          </cell>
          <cell r="E737">
            <v>4527</v>
          </cell>
          <cell r="F737" t="str">
            <v>Bukky Sawyerr</v>
          </cell>
          <cell r="G737" t="str">
            <v>Borden Grammar School</v>
          </cell>
          <cell r="H737" t="str">
            <v>South East</v>
          </cell>
          <cell r="I737" t="str">
            <v>Avenue of Remembrance</v>
          </cell>
          <cell r="L737" t="str">
            <v>Sittingbourne</v>
          </cell>
          <cell r="M737" t="str">
            <v>Kent</v>
          </cell>
          <cell r="N737" t="str">
            <v>ME10 4DB</v>
          </cell>
          <cell r="O737" t="str">
            <v>hv@bordengrammar.kent.sch.uk</v>
          </cell>
          <cell r="P737">
            <v>40750</v>
          </cell>
        </row>
        <row r="738">
          <cell r="A738">
            <v>3334024</v>
          </cell>
          <cell r="B738">
            <v>104007</v>
          </cell>
          <cell r="C738">
            <v>333</v>
          </cell>
          <cell r="D738" t="str">
            <v>Sandwell</v>
          </cell>
          <cell r="E738">
            <v>4024</v>
          </cell>
          <cell r="F738" t="str">
            <v>Lilian Da Cunha</v>
          </cell>
          <cell r="G738" t="str">
            <v>Wood Green High School College of Sport, Maths and Computing</v>
          </cell>
          <cell r="H738" t="str">
            <v>West Midlands</v>
          </cell>
          <cell r="I738" t="str">
            <v>Wood Green Road</v>
          </cell>
          <cell r="L738" t="str">
            <v>Wednesbury</v>
          </cell>
          <cell r="M738" t="str">
            <v>West Midlands</v>
          </cell>
          <cell r="N738" t="str">
            <v>WS10 9QU</v>
          </cell>
          <cell r="O738" t="str">
            <v>pank.patel@woodgreenhigh.sandwell.sch.uk</v>
          </cell>
          <cell r="P738">
            <v>40448</v>
          </cell>
        </row>
        <row r="739">
          <cell r="A739">
            <v>3065400</v>
          </cell>
          <cell r="B739">
            <v>101818</v>
          </cell>
          <cell r="C739">
            <v>306</v>
          </cell>
          <cell r="D739" t="str">
            <v>Croydon</v>
          </cell>
          <cell r="E739">
            <v>5400</v>
          </cell>
          <cell r="F739" t="str">
            <v>Kiran Teli</v>
          </cell>
          <cell r="G739" t="str">
            <v>Riddlesdown Collegiate</v>
          </cell>
          <cell r="H739" t="str">
            <v>London</v>
          </cell>
          <cell r="I739" t="str">
            <v>Honister Heights</v>
          </cell>
          <cell r="L739" t="str">
            <v>Purley</v>
          </cell>
          <cell r="M739" t="str">
            <v>Surrey</v>
          </cell>
          <cell r="N739" t="str">
            <v>CR8 1EX</v>
          </cell>
          <cell r="O739" t="str">
            <v>gordon.smith@riddlesdown.org</v>
          </cell>
          <cell r="P739">
            <v>40949</v>
          </cell>
        </row>
        <row r="740">
          <cell r="A740">
            <v>8952152</v>
          </cell>
          <cell r="B740">
            <v>111023</v>
          </cell>
          <cell r="C740">
            <v>895</v>
          </cell>
          <cell r="D740" t="str">
            <v>Cheshire East</v>
          </cell>
          <cell r="E740">
            <v>2152</v>
          </cell>
          <cell r="F740" t="str">
            <v>Kris Nursiah</v>
          </cell>
          <cell r="G740" t="str">
            <v>Lower Park School</v>
          </cell>
          <cell r="H740" t="str">
            <v>North West</v>
          </cell>
          <cell r="I740" t="str">
            <v>Hazelbadge Road</v>
          </cell>
          <cell r="J740" t="str">
            <v>Poynton</v>
          </cell>
          <cell r="L740" t="str">
            <v>Stockport</v>
          </cell>
          <cell r="M740" t="str">
            <v>Cheshire</v>
          </cell>
          <cell r="N740" t="str">
            <v>SK12 1HE</v>
          </cell>
          <cell r="O740" t="str">
            <v>head@lowerpark.cheshire.sch.uk</v>
          </cell>
        </row>
        <row r="741">
          <cell r="A741">
            <v>3174027</v>
          </cell>
          <cell r="B741">
            <v>102853</v>
          </cell>
          <cell r="C741">
            <v>317</v>
          </cell>
          <cell r="D741" t="str">
            <v>Redbridge</v>
          </cell>
          <cell r="E741">
            <v>4027</v>
          </cell>
          <cell r="F741" t="str">
            <v>Tahir Shams</v>
          </cell>
          <cell r="G741" t="str">
            <v>Loxford School of Science and Technology</v>
          </cell>
          <cell r="H741" t="str">
            <v>London</v>
          </cell>
          <cell r="I741" t="str">
            <v>Loxford Lane</v>
          </cell>
          <cell r="L741" t="str">
            <v>Ilford</v>
          </cell>
          <cell r="M741" t="str">
            <v>Essex</v>
          </cell>
          <cell r="N741" t="str">
            <v>IG1 2UT</v>
          </cell>
          <cell r="O741" t="str">
            <v>anita@loxford.net</v>
          </cell>
        </row>
        <row r="742">
          <cell r="A742">
            <v>8262320</v>
          </cell>
          <cell r="B742">
            <v>110379</v>
          </cell>
          <cell r="C742">
            <v>826</v>
          </cell>
          <cell r="D742" t="str">
            <v>Milton Keynes</v>
          </cell>
          <cell r="E742">
            <v>2320</v>
          </cell>
          <cell r="F742" t="str">
            <v>Nicky Edwards</v>
          </cell>
          <cell r="G742" t="str">
            <v>The Willows School and Early Years Centre</v>
          </cell>
          <cell r="H742" t="str">
            <v>South East</v>
          </cell>
          <cell r="I742" t="str">
            <v>Fishermead Boulevard</v>
          </cell>
          <cell r="J742" t="str">
            <v>Fishermead</v>
          </cell>
          <cell r="L742" t="str">
            <v>Milton Keynes</v>
          </cell>
          <cell r="M742" t="str">
            <v>Buckinghamshire</v>
          </cell>
          <cell r="N742" t="str">
            <v>MK6 2LP</v>
          </cell>
          <cell r="O742" t="str">
            <v>Joanna.Orbell@milton-keynes.gov.uk</v>
          </cell>
        </row>
        <row r="743">
          <cell r="A743">
            <v>3302295</v>
          </cell>
          <cell r="B743">
            <v>103319</v>
          </cell>
          <cell r="C743">
            <v>330</v>
          </cell>
          <cell r="D743" t="str">
            <v>Birmingham</v>
          </cell>
          <cell r="E743">
            <v>2295</v>
          </cell>
          <cell r="F743" t="str">
            <v>Alison Middleton</v>
          </cell>
          <cell r="G743" t="str">
            <v>Brookvale Primary School</v>
          </cell>
          <cell r="H743" t="str">
            <v>West Midlands</v>
          </cell>
          <cell r="I743" t="str">
            <v>Mallard Drive</v>
          </cell>
          <cell r="J743" t="str">
            <v>Erdington</v>
          </cell>
          <cell r="L743" t="str">
            <v>Birmingham</v>
          </cell>
          <cell r="M743" t="str">
            <v>West Midlands</v>
          </cell>
          <cell r="N743" t="str">
            <v>B23 7YB</v>
          </cell>
          <cell r="P743">
            <v>41052</v>
          </cell>
        </row>
        <row r="744">
          <cell r="A744">
            <v>8782610</v>
          </cell>
          <cell r="B744">
            <v>113255</v>
          </cell>
          <cell r="C744">
            <v>878</v>
          </cell>
          <cell r="D744" t="str">
            <v>Devon</v>
          </cell>
          <cell r="E744">
            <v>2610</v>
          </cell>
          <cell r="F744" t="str">
            <v>Not yet assigned</v>
          </cell>
          <cell r="G744" t="str">
            <v>Manor Primary School, Ivybridge</v>
          </cell>
          <cell r="H744" t="str">
            <v>South West</v>
          </cell>
          <cell r="I744" t="str">
            <v>Manor Way</v>
          </cell>
          <cell r="L744" t="str">
            <v>Ivybridge</v>
          </cell>
          <cell r="M744" t="str">
            <v>Devon</v>
          </cell>
          <cell r="N744" t="str">
            <v>PL21 9BG</v>
          </cell>
          <cell r="O744" t="str">
            <v>head@manor.devon.sch.uk</v>
          </cell>
        </row>
        <row r="745">
          <cell r="A745">
            <v>8604613</v>
          </cell>
          <cell r="B745">
            <v>124458</v>
          </cell>
          <cell r="C745">
            <v>860</v>
          </cell>
          <cell r="D745" t="str">
            <v>Staffordshire</v>
          </cell>
          <cell r="E745">
            <v>4613</v>
          </cell>
          <cell r="F745" t="str">
            <v>Sally Gardiner</v>
          </cell>
          <cell r="G745" t="str">
            <v>St Edward's CofE(VA) Junior High School</v>
          </cell>
          <cell r="H745" t="str">
            <v>West Midlands</v>
          </cell>
          <cell r="I745" t="str">
            <v>Westwood Road</v>
          </cell>
          <cell r="L745" t="str">
            <v>Leek</v>
          </cell>
          <cell r="M745" t="str">
            <v>Staffordshire</v>
          </cell>
          <cell r="N745" t="str">
            <v>ST13 8DN</v>
          </cell>
          <cell r="O745" t="str">
            <v>Office@st-edwards.staffs.sch.uk</v>
          </cell>
          <cell r="P745">
            <v>41086</v>
          </cell>
        </row>
        <row r="746">
          <cell r="A746">
            <v>3025949</v>
          </cell>
          <cell r="B746">
            <v>131359</v>
          </cell>
          <cell r="C746">
            <v>302</v>
          </cell>
          <cell r="D746" t="str">
            <v>Barnet</v>
          </cell>
          <cell r="E746">
            <v>5949</v>
          </cell>
          <cell r="F746" t="str">
            <v>Bola Bakrin</v>
          </cell>
          <cell r="G746" t="str">
            <v>Menorah Foundation School</v>
          </cell>
          <cell r="H746" t="str">
            <v>London</v>
          </cell>
          <cell r="I746" t="str">
            <v>Abbots Road</v>
          </cell>
          <cell r="J746" t="str">
            <v>Burnt Oak</v>
          </cell>
          <cell r="L746" t="str">
            <v>Edgware</v>
          </cell>
          <cell r="N746" t="str">
            <v>HA8 0QS</v>
          </cell>
          <cell r="O746" t="str">
            <v>head@mfs.barnetmail.net</v>
          </cell>
        </row>
        <row r="747">
          <cell r="A747">
            <v>3584025</v>
          </cell>
          <cell r="B747">
            <v>106368</v>
          </cell>
          <cell r="C747">
            <v>358</v>
          </cell>
          <cell r="D747" t="str">
            <v>Trafford</v>
          </cell>
          <cell r="E747">
            <v>4025</v>
          </cell>
          <cell r="F747" t="str">
            <v>Jane McCusker</v>
          </cell>
          <cell r="G747" t="str">
            <v>Stretford Grammar School</v>
          </cell>
          <cell r="H747" t="str">
            <v>North West</v>
          </cell>
          <cell r="I747" t="str">
            <v>Granby Road</v>
          </cell>
          <cell r="J747" t="str">
            <v>Stretford</v>
          </cell>
          <cell r="L747" t="str">
            <v>Manchester</v>
          </cell>
          <cell r="N747" t="str">
            <v>M32 8JB</v>
          </cell>
          <cell r="O747" t="str">
            <v>m.mullins@stretfordgrammar.com</v>
          </cell>
        </row>
        <row r="748">
          <cell r="A748">
            <v>3302440</v>
          </cell>
          <cell r="B748">
            <v>103367</v>
          </cell>
          <cell r="C748">
            <v>330</v>
          </cell>
          <cell r="D748" t="str">
            <v>Birmingham</v>
          </cell>
          <cell r="E748">
            <v>2440</v>
          </cell>
          <cell r="F748" t="str">
            <v>Carol Dewhurst</v>
          </cell>
          <cell r="G748" t="str">
            <v>Percy Shurmer Primary School</v>
          </cell>
          <cell r="H748" t="str">
            <v>West Midlands</v>
          </cell>
          <cell r="I748" t="str">
            <v>Longmore Street</v>
          </cell>
          <cell r="J748" t="str">
            <v>Balsall Heath</v>
          </cell>
          <cell r="L748" t="str">
            <v>Birmingham</v>
          </cell>
          <cell r="M748" t="str">
            <v>West Midlands</v>
          </cell>
          <cell r="N748" t="str">
            <v>B12 9ED</v>
          </cell>
          <cell r="O748" t="str">
            <v>enquiry@percyshurmer.bham.sch.uk</v>
          </cell>
        </row>
        <row r="749">
          <cell r="A749">
            <v>8553021</v>
          </cell>
          <cell r="B749">
            <v>120122</v>
          </cell>
          <cell r="C749">
            <v>855</v>
          </cell>
          <cell r="D749" t="str">
            <v>Leicestershire</v>
          </cell>
          <cell r="E749">
            <v>3021</v>
          </cell>
          <cell r="F749" t="str">
            <v>Sue Harp</v>
          </cell>
          <cell r="G749" t="str">
            <v>St Edwards Church of England Primary School</v>
          </cell>
          <cell r="H749" t="str">
            <v>East Midlands</v>
          </cell>
          <cell r="I749" t="str">
            <v>The Dovecote</v>
          </cell>
          <cell r="J749" t="str">
            <v>Castle Donington</v>
          </cell>
          <cell r="L749" t="str">
            <v>Derby</v>
          </cell>
          <cell r="M749" t="str">
            <v>Derbyshire</v>
          </cell>
          <cell r="N749" t="str">
            <v>DE74 2LH</v>
          </cell>
          <cell r="O749" t="str">
            <v>office@stedwards-cd.leics.sch.uk</v>
          </cell>
        </row>
        <row r="750">
          <cell r="A750">
            <v>8863148</v>
          </cell>
          <cell r="B750">
            <v>118674</v>
          </cell>
          <cell r="C750">
            <v>886</v>
          </cell>
          <cell r="D750" t="str">
            <v>Kent</v>
          </cell>
          <cell r="E750">
            <v>3148</v>
          </cell>
          <cell r="F750" t="str">
            <v>Tony Dunne</v>
          </cell>
          <cell r="G750" t="str">
            <v>Folkestone Christ Church CofE Primary School</v>
          </cell>
          <cell r="H750" t="str">
            <v>South East</v>
          </cell>
          <cell r="I750" t="str">
            <v>Brockman Road</v>
          </cell>
          <cell r="L750" t="str">
            <v>Folkestone</v>
          </cell>
          <cell r="M750" t="str">
            <v>Kent</v>
          </cell>
          <cell r="N750" t="str">
            <v>CT20 1DJ</v>
          </cell>
          <cell r="O750" t="str">
            <v>headteacher@christ-church-folkestone.kent.sch.uk</v>
          </cell>
          <cell r="P750">
            <v>41064</v>
          </cell>
        </row>
        <row r="751">
          <cell r="A751">
            <v>3052041</v>
          </cell>
          <cell r="B751">
            <v>101614</v>
          </cell>
          <cell r="C751">
            <v>305</v>
          </cell>
          <cell r="D751" t="str">
            <v>Bromley</v>
          </cell>
          <cell r="E751">
            <v>2041</v>
          </cell>
          <cell r="F751" t="str">
            <v>Sheila Longstaff</v>
          </cell>
          <cell r="G751" t="str">
            <v>Downe Primary School</v>
          </cell>
          <cell r="H751" t="str">
            <v>London</v>
          </cell>
          <cell r="I751" t="str">
            <v>High Elms Road</v>
          </cell>
          <cell r="J751" t="str">
            <v>Downe</v>
          </cell>
          <cell r="L751" t="str">
            <v>Orpington</v>
          </cell>
          <cell r="M751" t="str">
            <v>Kent</v>
          </cell>
          <cell r="N751" t="str">
            <v>BR6 7JN</v>
          </cell>
          <cell r="O751" t="str">
            <v>sandra.fuller@downe.bromley.sch.uk</v>
          </cell>
        </row>
        <row r="752">
          <cell r="A752">
            <v>2082575</v>
          </cell>
          <cell r="B752">
            <v>100584</v>
          </cell>
          <cell r="C752">
            <v>208</v>
          </cell>
          <cell r="D752" t="str">
            <v>Lambeth</v>
          </cell>
          <cell r="E752">
            <v>2575</v>
          </cell>
          <cell r="F752" t="str">
            <v>Bola Bakrin</v>
          </cell>
          <cell r="G752" t="str">
            <v>Sudbourne Primary School</v>
          </cell>
          <cell r="H752" t="str">
            <v>London</v>
          </cell>
          <cell r="I752" t="str">
            <v>Hayter Road</v>
          </cell>
          <cell r="J752" t="str">
            <v>Brixton</v>
          </cell>
          <cell r="L752" t="str">
            <v>London</v>
          </cell>
          <cell r="N752" t="str">
            <v>SW2 5AP</v>
          </cell>
          <cell r="O752" t="str">
            <v>mstevanovic@sudbourne.lambeth.sch.uk</v>
          </cell>
        </row>
        <row r="753">
          <cell r="A753">
            <v>9313200</v>
          </cell>
          <cell r="B753">
            <v>123133</v>
          </cell>
          <cell r="C753">
            <v>931</v>
          </cell>
          <cell r="D753" t="str">
            <v>Oxfordshire</v>
          </cell>
          <cell r="E753">
            <v>3200</v>
          </cell>
          <cell r="F753" t="str">
            <v>Sarah Nairne</v>
          </cell>
          <cell r="G753" t="str">
            <v>Crowmarsh Gifford Church of England School</v>
          </cell>
          <cell r="H753" t="str">
            <v>South East</v>
          </cell>
          <cell r="I753" t="str">
            <v>Old Reading Road</v>
          </cell>
          <cell r="J753" t="str">
            <v>Crowmarsh Gifford</v>
          </cell>
          <cell r="L753" t="str">
            <v>Wallingford</v>
          </cell>
          <cell r="M753" t="str">
            <v>Oxfordshire</v>
          </cell>
          <cell r="N753" t="str">
            <v>OX10 8EN</v>
          </cell>
          <cell r="O753" t="str">
            <v>head.3200@crowmarsh-gifford.oxon.sch.uk</v>
          </cell>
        </row>
        <row r="754">
          <cell r="A754">
            <v>8154200</v>
          </cell>
          <cell r="B754">
            <v>121685</v>
          </cell>
          <cell r="C754">
            <v>815</v>
          </cell>
          <cell r="D754" t="str">
            <v>North Yorkshire</v>
          </cell>
          <cell r="E754">
            <v>4200</v>
          </cell>
          <cell r="F754" t="str">
            <v>Alison Middleton</v>
          </cell>
          <cell r="G754" t="str">
            <v>Harrogate Grammar School</v>
          </cell>
          <cell r="H754" t="str">
            <v>Yorkshire and the Humber</v>
          </cell>
          <cell r="I754" t="str">
            <v>Arthurs Avenue</v>
          </cell>
          <cell r="L754" t="str">
            <v>Harrogate</v>
          </cell>
          <cell r="M754" t="str">
            <v>North Yorkshire</v>
          </cell>
          <cell r="N754" t="str">
            <v>HG2 0DZ</v>
          </cell>
          <cell r="P754">
            <v>40502</v>
          </cell>
        </row>
        <row r="755">
          <cell r="A755">
            <v>9195211</v>
          </cell>
          <cell r="B755">
            <v>117571</v>
          </cell>
          <cell r="C755">
            <v>919</v>
          </cell>
          <cell r="D755" t="str">
            <v>Hertfordshire</v>
          </cell>
          <cell r="E755">
            <v>5211</v>
          </cell>
          <cell r="F755" t="str">
            <v>William Thursfield</v>
          </cell>
          <cell r="G755" t="str">
            <v>St Catherine of Siena Catholic Primary School</v>
          </cell>
          <cell r="H755" t="str">
            <v>East of England</v>
          </cell>
          <cell r="I755" t="str">
            <v>Horseshoe Lane</v>
          </cell>
          <cell r="J755" t="str">
            <v>Garston</v>
          </cell>
          <cell r="L755" t="str">
            <v>Watford</v>
          </cell>
          <cell r="M755" t="str">
            <v>Hertfordshire</v>
          </cell>
          <cell r="N755" t="str">
            <v>WD25 7HP</v>
          </cell>
          <cell r="O755" t="str">
            <v>head@st-catherine.herts.sch.uk</v>
          </cell>
          <cell r="P755">
            <v>41023</v>
          </cell>
        </row>
        <row r="756">
          <cell r="A756">
            <v>9334283</v>
          </cell>
          <cell r="B756">
            <v>123873</v>
          </cell>
          <cell r="C756">
            <v>933</v>
          </cell>
          <cell r="D756" t="str">
            <v>Somerset</v>
          </cell>
          <cell r="E756">
            <v>4283</v>
          </cell>
          <cell r="F756" t="str">
            <v>Maria Whiting</v>
          </cell>
          <cell r="G756" t="str">
            <v>Crispin School</v>
          </cell>
          <cell r="H756" t="str">
            <v>South West</v>
          </cell>
          <cell r="I756" t="str">
            <v>Church Road</v>
          </cell>
          <cell r="L756" t="str">
            <v>Street</v>
          </cell>
          <cell r="M756" t="str">
            <v>Somerset</v>
          </cell>
          <cell r="N756" t="str">
            <v>BA16 0AD</v>
          </cell>
          <cell r="O756" t="str">
            <v>PJames@educ.somerset.gov.uk</v>
          </cell>
          <cell r="P756">
            <v>40590</v>
          </cell>
        </row>
        <row r="757">
          <cell r="A757">
            <v>3355400</v>
          </cell>
          <cell r="B757">
            <v>104258</v>
          </cell>
          <cell r="C757">
            <v>335</v>
          </cell>
          <cell r="D757" t="str">
            <v>Walsall</v>
          </cell>
          <cell r="E757">
            <v>5400</v>
          </cell>
          <cell r="F757" t="str">
            <v>Hannah Copp</v>
          </cell>
          <cell r="G757" t="str">
            <v>The Streetly School</v>
          </cell>
          <cell r="H757" t="str">
            <v>West Midlands</v>
          </cell>
          <cell r="I757" t="str">
            <v>Queslett Road East</v>
          </cell>
          <cell r="L757" t="str">
            <v>Sutton Coldfield</v>
          </cell>
          <cell r="M757" t="str">
            <v>West Midlands</v>
          </cell>
          <cell r="N757" t="str">
            <v>B74 2EX</v>
          </cell>
          <cell r="O757" t="str">
            <v>st-downie-w@streetly.walsall.sch.uk</v>
          </cell>
          <cell r="P757">
            <v>40745</v>
          </cell>
        </row>
        <row r="758">
          <cell r="A758">
            <v>8864196</v>
          </cell>
          <cell r="B758">
            <v>118822</v>
          </cell>
          <cell r="C758">
            <v>886</v>
          </cell>
          <cell r="D758" t="str">
            <v>Kent</v>
          </cell>
          <cell r="E758">
            <v>4196</v>
          </cell>
          <cell r="F758" t="str">
            <v>Sarah Mitchell</v>
          </cell>
          <cell r="G758" t="str">
            <v>Towers School and Sixth Form Centre</v>
          </cell>
          <cell r="H758" t="str">
            <v>South East</v>
          </cell>
          <cell r="I758" t="str">
            <v>Faversham Road</v>
          </cell>
          <cell r="J758" t="str">
            <v>Kennington</v>
          </cell>
          <cell r="L758" t="str">
            <v>Ashford</v>
          </cell>
          <cell r="M758" t="str">
            <v>Kent</v>
          </cell>
          <cell r="N758" t="str">
            <v>TN24 9AL</v>
          </cell>
          <cell r="O758" t="str">
            <v>jones@towers.kent.sch.uk</v>
          </cell>
          <cell r="P758">
            <v>40527</v>
          </cell>
        </row>
        <row r="759">
          <cell r="A759">
            <v>8953140</v>
          </cell>
          <cell r="B759">
            <v>111266</v>
          </cell>
          <cell r="C759">
            <v>895</v>
          </cell>
          <cell r="D759" t="str">
            <v>Cheshire East</v>
          </cell>
          <cell r="E759">
            <v>3140</v>
          </cell>
          <cell r="F759" t="str">
            <v>Jane McCusker</v>
          </cell>
          <cell r="G759" t="str">
            <v>St Oswalds, Worleston CE Primary school</v>
          </cell>
          <cell r="H759" t="str">
            <v>North West</v>
          </cell>
          <cell r="I759" t="str">
            <v>Church Road</v>
          </cell>
          <cell r="J759" t="str">
            <v>Aston Juxta Mondrum</v>
          </cell>
          <cell r="L759" t="str">
            <v>Nantwich</v>
          </cell>
          <cell r="M759" t="str">
            <v>Cheshire</v>
          </cell>
          <cell r="N759" t="str">
            <v>CW5 6DP</v>
          </cell>
          <cell r="O759" t="str">
            <v>head@stoswald-worl.cheshire.sch.uk</v>
          </cell>
        </row>
        <row r="760">
          <cell r="A760">
            <v>9267014</v>
          </cell>
          <cell r="B760">
            <v>121262</v>
          </cell>
          <cell r="C760">
            <v>926</v>
          </cell>
          <cell r="D760" t="str">
            <v>Norfolk</v>
          </cell>
          <cell r="E760">
            <v>7014</v>
          </cell>
          <cell r="F760" t="str">
            <v>William Thursfield</v>
          </cell>
          <cell r="G760" t="str">
            <v>The Parkside School, Norwich</v>
          </cell>
          <cell r="H760" t="str">
            <v>East of England</v>
          </cell>
          <cell r="I760" t="str">
            <v>College Road</v>
          </cell>
          <cell r="L760" t="str">
            <v>Norwich</v>
          </cell>
          <cell r="M760" t="str">
            <v>Norfolk</v>
          </cell>
          <cell r="N760" t="str">
            <v>NR2 3JA</v>
          </cell>
          <cell r="O760" t="str">
            <v>head@parkside.norfolk.sch.uk</v>
          </cell>
        </row>
        <row r="761">
          <cell r="A761">
            <v>9314050</v>
          </cell>
          <cell r="B761">
            <v>123237</v>
          </cell>
          <cell r="C761">
            <v>931</v>
          </cell>
          <cell r="D761" t="str">
            <v>Oxfordshire</v>
          </cell>
          <cell r="E761">
            <v>4050</v>
          </cell>
          <cell r="F761" t="str">
            <v>Maryam Jabbari</v>
          </cell>
          <cell r="G761" t="str">
            <v>The Henry Box School</v>
          </cell>
          <cell r="H761" t="str">
            <v>South East</v>
          </cell>
          <cell r="I761" t="str">
            <v>Church Green</v>
          </cell>
          <cell r="L761" t="str">
            <v>Witney</v>
          </cell>
          <cell r="M761" t="str">
            <v>Oxfordshire</v>
          </cell>
          <cell r="N761" t="str">
            <v>OX28 4AX</v>
          </cell>
          <cell r="O761" t="str">
            <v>headteacher.4050@henrybox.oxon.sch.uk</v>
          </cell>
          <cell r="P761">
            <v>40963</v>
          </cell>
        </row>
        <row r="762">
          <cell r="A762">
            <v>8122892</v>
          </cell>
          <cell r="B762">
            <v>117919</v>
          </cell>
          <cell r="C762">
            <v>812</v>
          </cell>
          <cell r="D762" t="str">
            <v>North East Lincolnshire</v>
          </cell>
          <cell r="E762">
            <v>2892</v>
          </cell>
          <cell r="F762" t="str">
            <v>Nick Monton</v>
          </cell>
          <cell r="G762" t="str">
            <v>Weelsby Primary School</v>
          </cell>
          <cell r="H762" t="str">
            <v>Yorkshire and the Humber</v>
          </cell>
          <cell r="I762" t="str">
            <v>Weelsby Street</v>
          </cell>
          <cell r="L762" t="str">
            <v>Grimsby</v>
          </cell>
          <cell r="M762" t="str">
            <v>Lincolnshire</v>
          </cell>
          <cell r="N762" t="str">
            <v>DN32 7PF</v>
          </cell>
          <cell r="O762" t="str">
            <v>head@wp1.nelcmail.co.uk</v>
          </cell>
        </row>
        <row r="763">
          <cell r="A763">
            <v>9283204</v>
          </cell>
          <cell r="B763">
            <v>122015</v>
          </cell>
          <cell r="C763">
            <v>928</v>
          </cell>
          <cell r="D763" t="str">
            <v>Northamptonshire</v>
          </cell>
          <cell r="E763">
            <v>3204</v>
          </cell>
          <cell r="F763" t="str">
            <v>Helen Whetter</v>
          </cell>
          <cell r="G763" t="str">
            <v>St Mary's Church of England Primary School, Burton Latimer</v>
          </cell>
          <cell r="H763" t="str">
            <v>East Midlands</v>
          </cell>
          <cell r="I763" t="str">
            <v>High Street</v>
          </cell>
          <cell r="J763" t="str">
            <v>Burton Latimer</v>
          </cell>
          <cell r="L763" t="str">
            <v>Kettering</v>
          </cell>
          <cell r="M763" t="str">
            <v>Northamptonshire</v>
          </cell>
          <cell r="N763" t="str">
            <v>NN15 5RL</v>
          </cell>
          <cell r="O763" t="str">
            <v>head@stmary-ce.northants-ecl.gov.uk</v>
          </cell>
          <cell r="P763">
            <v>41114</v>
          </cell>
        </row>
        <row r="764">
          <cell r="A764">
            <v>3703324</v>
          </cell>
          <cell r="B764">
            <v>134687</v>
          </cell>
          <cell r="C764">
            <v>370</v>
          </cell>
          <cell r="D764" t="str">
            <v>Barnsley</v>
          </cell>
          <cell r="E764">
            <v>3324</v>
          </cell>
          <cell r="F764" t="str">
            <v>Lisa Sargeant</v>
          </cell>
          <cell r="G764" t="str">
            <v>Kings Oak Primary Learning Centre</v>
          </cell>
          <cell r="H764" t="str">
            <v>Yorkshire and the Humber</v>
          </cell>
          <cell r="I764" t="str">
            <v>Bondfield Close</v>
          </cell>
          <cell r="J764" t="str">
            <v>Wombwell</v>
          </cell>
          <cell r="L764" t="str">
            <v>Barnsley</v>
          </cell>
          <cell r="M764" t="str">
            <v>South Yorkshire</v>
          </cell>
          <cell r="N764" t="str">
            <v>S73 8TX</v>
          </cell>
          <cell r="O764" t="str">
            <v>a.wilks@barnsley.org</v>
          </cell>
        </row>
        <row r="765">
          <cell r="A765">
            <v>9165422</v>
          </cell>
          <cell r="B765">
            <v>115773</v>
          </cell>
          <cell r="C765">
            <v>916</v>
          </cell>
          <cell r="D765" t="str">
            <v>Gloucestershire</v>
          </cell>
          <cell r="E765">
            <v>5422</v>
          </cell>
          <cell r="F765" t="str">
            <v>Nigel Mills</v>
          </cell>
          <cell r="G765" t="str">
            <v>Dene Magna School</v>
          </cell>
          <cell r="H765" t="str">
            <v>South West</v>
          </cell>
          <cell r="I765" t="str">
            <v>Abenhall Road</v>
          </cell>
          <cell r="L765" t="str">
            <v>Mitcheldean</v>
          </cell>
          <cell r="M765" t="str">
            <v>Gloucestershire</v>
          </cell>
          <cell r="N765" t="str">
            <v>GL17 0DU</v>
          </cell>
          <cell r="O765" t="str">
            <v>s.brady@denemagna.gloucs.sch.uk</v>
          </cell>
          <cell r="P765">
            <v>40702</v>
          </cell>
        </row>
        <row r="766">
          <cell r="A766">
            <v>9195410</v>
          </cell>
          <cell r="B766">
            <v>117582</v>
          </cell>
          <cell r="C766">
            <v>919</v>
          </cell>
          <cell r="D766" t="str">
            <v>Hertfordshire</v>
          </cell>
          <cell r="E766">
            <v>5410</v>
          </cell>
          <cell r="F766" t="str">
            <v>Lilian Da Cunha</v>
          </cell>
          <cell r="G766" t="str">
            <v>Queens' School</v>
          </cell>
          <cell r="H766" t="str">
            <v>East of England</v>
          </cell>
          <cell r="I766" t="str">
            <v>Aldenham Road</v>
          </cell>
          <cell r="L766" t="str">
            <v>Bushey</v>
          </cell>
          <cell r="M766" t="str">
            <v>Hertfordshire</v>
          </cell>
          <cell r="N766" t="str">
            <v>WD23 2TY</v>
          </cell>
          <cell r="O766" t="str">
            <v>jameste@talk21.com</v>
          </cell>
          <cell r="P766">
            <v>40521</v>
          </cell>
        </row>
        <row r="767">
          <cell r="A767">
            <v>9365403</v>
          </cell>
          <cell r="B767">
            <v>125303</v>
          </cell>
          <cell r="C767">
            <v>936</v>
          </cell>
          <cell r="D767" t="str">
            <v>Surrey</v>
          </cell>
          <cell r="E767">
            <v>5403</v>
          </cell>
          <cell r="F767" t="str">
            <v>Susan Shakespeare</v>
          </cell>
          <cell r="G767" t="str">
            <v>Gordon's School with boarding</v>
          </cell>
          <cell r="H767" t="str">
            <v>South East</v>
          </cell>
          <cell r="I767" t="str">
            <v>Bagshot Road</v>
          </cell>
          <cell r="J767" t="str">
            <v>West End</v>
          </cell>
          <cell r="L767" t="str">
            <v>Woking</v>
          </cell>
          <cell r="M767" t="str">
            <v>Surrey</v>
          </cell>
          <cell r="N767" t="str">
            <v>GU24 9PT</v>
          </cell>
          <cell r="O767" t="str">
            <v>bursar@gordons.surrey.sch.uk</v>
          </cell>
          <cell r="P767">
            <v>40604</v>
          </cell>
        </row>
        <row r="768">
          <cell r="A768">
            <v>8504604</v>
          </cell>
          <cell r="B768">
            <v>116478</v>
          </cell>
          <cell r="C768">
            <v>850</v>
          </cell>
          <cell r="D768" t="str">
            <v>Hampshire</v>
          </cell>
          <cell r="E768">
            <v>4604</v>
          </cell>
          <cell r="F768" t="str">
            <v>Gabriela Grimley</v>
          </cell>
          <cell r="G768" t="str">
            <v>Bishop Challoner Catholic Secondary School</v>
          </cell>
          <cell r="H768" t="str">
            <v>South East</v>
          </cell>
          <cell r="I768" t="str">
            <v>St Michael's Road</v>
          </cell>
          <cell r="L768" t="str">
            <v>Basingstoke</v>
          </cell>
          <cell r="M768" t="str">
            <v>Hampshire</v>
          </cell>
          <cell r="N768" t="str">
            <v>RG22 6SR</v>
          </cell>
          <cell r="O768" t="str">
            <v>headteacher@bishopchalloner.hants.sch.uk</v>
          </cell>
        </row>
        <row r="769">
          <cell r="A769">
            <v>8662209</v>
          </cell>
          <cell r="B769">
            <v>126279</v>
          </cell>
          <cell r="C769">
            <v>866</v>
          </cell>
          <cell r="D769" t="str">
            <v>Swindon</v>
          </cell>
          <cell r="E769">
            <v>2209</v>
          </cell>
          <cell r="F769" t="str">
            <v>Theresa Oddelm</v>
          </cell>
          <cell r="G769" t="str">
            <v>Westlea Primary School</v>
          </cell>
          <cell r="H769" t="str">
            <v>South West</v>
          </cell>
          <cell r="I769" t="str">
            <v>Langstone Way</v>
          </cell>
          <cell r="J769" t="str">
            <v>Westlea Down</v>
          </cell>
          <cell r="L769" t="str">
            <v>Swindon</v>
          </cell>
          <cell r="M769" t="str">
            <v>Wiltshire</v>
          </cell>
          <cell r="N769" t="str">
            <v>SN5 7BT</v>
          </cell>
          <cell r="O769" t="str">
            <v>head@westlea.swindon.sch.uk</v>
          </cell>
          <cell r="P769">
            <v>41254</v>
          </cell>
        </row>
        <row r="770">
          <cell r="A770">
            <v>9165410</v>
          </cell>
          <cell r="B770">
            <v>115761</v>
          </cell>
          <cell r="C770">
            <v>916</v>
          </cell>
          <cell r="D770" t="str">
            <v>Gloucestershire</v>
          </cell>
          <cell r="E770">
            <v>5410</v>
          </cell>
          <cell r="F770" t="str">
            <v>Gemma Astin</v>
          </cell>
          <cell r="G770" t="str">
            <v>The Cotswold School</v>
          </cell>
          <cell r="H770" t="str">
            <v>South West</v>
          </cell>
          <cell r="I770" t="str">
            <v>The Avenue</v>
          </cell>
          <cell r="J770" t="str">
            <v>Bourton-on-the-Water</v>
          </cell>
          <cell r="L770" t="str">
            <v>Cheltenham</v>
          </cell>
          <cell r="M770" t="str">
            <v>Gloucestershire</v>
          </cell>
          <cell r="N770" t="str">
            <v>GL54 2BD</v>
          </cell>
          <cell r="O770" t="str">
            <v>admin@mail.cotswold.gloucs.sch.uk</v>
          </cell>
          <cell r="P770">
            <v>40351</v>
          </cell>
        </row>
        <row r="771">
          <cell r="A771">
            <v>8024143</v>
          </cell>
          <cell r="B771">
            <v>109316</v>
          </cell>
          <cell r="C771">
            <v>802</v>
          </cell>
          <cell r="D771" t="str">
            <v>North Somerset</v>
          </cell>
          <cell r="E771">
            <v>4143</v>
          </cell>
          <cell r="F771" t="str">
            <v>Colette Summerson</v>
          </cell>
          <cell r="G771" t="str">
            <v>Priory Community School</v>
          </cell>
          <cell r="H771" t="str">
            <v>South West</v>
          </cell>
          <cell r="I771" t="str">
            <v>Queensway</v>
          </cell>
          <cell r="J771" t="str">
            <v>St George's</v>
          </cell>
          <cell r="L771" t="str">
            <v>Weston-Super-Mare</v>
          </cell>
          <cell r="M771" t="str">
            <v>Somerset</v>
          </cell>
          <cell r="N771" t="str">
            <v>BS22 6BP</v>
          </cell>
          <cell r="O771" t="str">
            <v>nevillecoles@aol.com</v>
          </cell>
          <cell r="P771">
            <v>40640</v>
          </cell>
        </row>
        <row r="772">
          <cell r="A772">
            <v>8615901</v>
          </cell>
          <cell r="B772">
            <v>131301</v>
          </cell>
          <cell r="C772">
            <v>861</v>
          </cell>
          <cell r="D772" t="str">
            <v>Stoke-on-Trent</v>
          </cell>
          <cell r="E772">
            <v>5901</v>
          </cell>
          <cell r="F772" t="str">
            <v>Jenny Baker</v>
          </cell>
          <cell r="G772" t="str">
            <v>St. Joseph's College</v>
          </cell>
          <cell r="H772" t="str">
            <v>West Midlands</v>
          </cell>
          <cell r="I772" t="str">
            <v>London Road</v>
          </cell>
          <cell r="J772" t="str">
            <v>Trent Vale</v>
          </cell>
          <cell r="L772" t="str">
            <v>Stoke-on-Trent</v>
          </cell>
          <cell r="M772" t="str">
            <v>Staffordshire</v>
          </cell>
          <cell r="N772" t="str">
            <v>ST4 5NT</v>
          </cell>
          <cell r="O772" t="str">
            <v>rmaguire@stjosephsmail.com</v>
          </cell>
          <cell r="P772">
            <v>40414</v>
          </cell>
        </row>
        <row r="773">
          <cell r="A773">
            <v>8862089</v>
          </cell>
          <cell r="B773">
            <v>118255</v>
          </cell>
          <cell r="C773">
            <v>886</v>
          </cell>
          <cell r="D773" t="str">
            <v>Kent</v>
          </cell>
          <cell r="E773">
            <v>2089</v>
          </cell>
          <cell r="F773" t="str">
            <v>Sarah Mitchell</v>
          </cell>
          <cell r="G773" t="str">
            <v>The Anthony Roper Primary School</v>
          </cell>
          <cell r="H773" t="str">
            <v>South East</v>
          </cell>
          <cell r="I773" t="str">
            <v>High Street</v>
          </cell>
          <cell r="J773" t="str">
            <v>Eynsford</v>
          </cell>
          <cell r="L773" t="str">
            <v>Dartford</v>
          </cell>
          <cell r="M773" t="str">
            <v>Kent</v>
          </cell>
          <cell r="N773" t="str">
            <v>DA4 0AA</v>
          </cell>
          <cell r="O773" t="str">
            <v>headteacher@anthony-roper.kent.sch.uk</v>
          </cell>
        </row>
        <row r="774">
          <cell r="A774">
            <v>8715204</v>
          </cell>
          <cell r="B774">
            <v>110092</v>
          </cell>
          <cell r="C774">
            <v>871</v>
          </cell>
          <cell r="D774" t="str">
            <v>Slough</v>
          </cell>
          <cell r="E774">
            <v>5204</v>
          </cell>
          <cell r="F774" t="str">
            <v>Lindsay Morris</v>
          </cell>
          <cell r="G774" t="str">
            <v>Castleview Primary School</v>
          </cell>
          <cell r="H774" t="str">
            <v>South East</v>
          </cell>
          <cell r="I774" t="str">
            <v>Woodstock Avenue</v>
          </cell>
          <cell r="L774" t="str">
            <v>Slough</v>
          </cell>
          <cell r="M774" t="str">
            <v>Berkshire</v>
          </cell>
          <cell r="N774" t="str">
            <v>SL3 7LJ</v>
          </cell>
          <cell r="O774" t="str">
            <v>cbeynon@castleview.slough.sch.uk</v>
          </cell>
          <cell r="P774">
            <v>40996</v>
          </cell>
        </row>
        <row r="775">
          <cell r="A775">
            <v>2044302</v>
          </cell>
          <cell r="B775">
            <v>100278</v>
          </cell>
          <cell r="C775">
            <v>204</v>
          </cell>
          <cell r="D775" t="str">
            <v>Hackney</v>
          </cell>
          <cell r="E775">
            <v>4302</v>
          </cell>
          <cell r="F775" t="str">
            <v>Bola Bakrin</v>
          </cell>
          <cell r="G775" t="str">
            <v>Clapton Girls' Technology College</v>
          </cell>
          <cell r="H775" t="str">
            <v>London</v>
          </cell>
          <cell r="I775" t="str">
            <v>Laura Place</v>
          </cell>
          <cell r="J775" t="str">
            <v>Lower Clapton Road</v>
          </cell>
          <cell r="L775" t="str">
            <v>London</v>
          </cell>
          <cell r="N775" t="str">
            <v>E5 0RB</v>
          </cell>
          <cell r="O775" t="str">
            <v>cday@clapton.hackney.sch.uk</v>
          </cell>
          <cell r="P775">
            <v>40644</v>
          </cell>
        </row>
        <row r="776">
          <cell r="A776">
            <v>8914107</v>
          </cell>
          <cell r="B776">
            <v>122850</v>
          </cell>
          <cell r="C776">
            <v>891</v>
          </cell>
          <cell r="D776" t="str">
            <v>Nottinghamshire</v>
          </cell>
          <cell r="E776">
            <v>4107</v>
          </cell>
          <cell r="F776" t="str">
            <v>Grant Dyson</v>
          </cell>
          <cell r="G776" t="str">
            <v>Carlton le Willows School and Technology College</v>
          </cell>
          <cell r="H776" t="str">
            <v>East Midlands</v>
          </cell>
          <cell r="I776" t="str">
            <v>Wood Lane</v>
          </cell>
          <cell r="J776" t="str">
            <v>Gedling</v>
          </cell>
          <cell r="L776" t="str">
            <v>Nottingham</v>
          </cell>
          <cell r="M776" t="str">
            <v>Nottinghamshire</v>
          </cell>
          <cell r="N776" t="str">
            <v>NG4 4AA</v>
          </cell>
          <cell r="O776" t="str">
            <v>head@clw.notts.sch.uk</v>
          </cell>
          <cell r="P776">
            <v>40505</v>
          </cell>
        </row>
        <row r="777">
          <cell r="A777">
            <v>8264703</v>
          </cell>
          <cell r="B777">
            <v>134630</v>
          </cell>
          <cell r="C777">
            <v>826</v>
          </cell>
          <cell r="D777" t="str">
            <v>Milton Keynes</v>
          </cell>
          <cell r="E777">
            <v>4703</v>
          </cell>
          <cell r="F777" t="str">
            <v>Nicky Edwards</v>
          </cell>
          <cell r="G777" t="str">
            <v>Oakgrove School</v>
          </cell>
          <cell r="H777" t="str">
            <v>South East</v>
          </cell>
          <cell r="I777" t="str">
            <v>Venturer Gate</v>
          </cell>
          <cell r="K777" t="str">
            <v>Middleton</v>
          </cell>
          <cell r="L777" t="str">
            <v>Milton Keynes</v>
          </cell>
          <cell r="M777" t="str">
            <v>Buckinghamshire</v>
          </cell>
          <cell r="N777" t="str">
            <v>MK10 9JQ</v>
          </cell>
          <cell r="O777" t="str">
            <v>pbarnes@oakgrove.milton-keynes.sch.uk</v>
          </cell>
          <cell r="P777">
            <v>40442</v>
          </cell>
        </row>
        <row r="778">
          <cell r="A778">
            <v>3055205</v>
          </cell>
          <cell r="B778">
            <v>101665</v>
          </cell>
          <cell r="C778">
            <v>305</v>
          </cell>
          <cell r="D778" t="str">
            <v>Bromley</v>
          </cell>
          <cell r="E778">
            <v>5205</v>
          </cell>
          <cell r="F778" t="str">
            <v>Sheila Longstaff</v>
          </cell>
          <cell r="G778" t="str">
            <v>Hayes Primary School</v>
          </cell>
          <cell r="H778" t="str">
            <v>London</v>
          </cell>
          <cell r="I778" t="str">
            <v>George Lane</v>
          </cell>
          <cell r="J778" t="str">
            <v>Hayes</v>
          </cell>
          <cell r="L778" t="str">
            <v>Bromley</v>
          </cell>
          <cell r="M778" t="str">
            <v>Kent</v>
          </cell>
          <cell r="N778" t="str">
            <v>BR2 7LQ</v>
          </cell>
          <cell r="O778" t="str">
            <v>jo.brinkley@hayes-pri.bromley.sch.uk</v>
          </cell>
          <cell r="P778">
            <v>40638</v>
          </cell>
        </row>
        <row r="779">
          <cell r="A779">
            <v>8783128</v>
          </cell>
          <cell r="B779">
            <v>113407</v>
          </cell>
          <cell r="C779">
            <v>878</v>
          </cell>
          <cell r="D779" t="str">
            <v>Devon</v>
          </cell>
          <cell r="E779">
            <v>3128</v>
          </cell>
          <cell r="F779" t="str">
            <v>Not yet assigned</v>
          </cell>
          <cell r="G779" t="str">
            <v>St Michael's Church of England Primary School</v>
          </cell>
          <cell r="H779" t="str">
            <v>South West</v>
          </cell>
          <cell r="I779" t="str">
            <v>Church Street</v>
          </cell>
          <cell r="J779" t="str">
            <v>Kingsteignton</v>
          </cell>
          <cell r="L779" t="str">
            <v>Newton Abbot</v>
          </cell>
          <cell r="M779" t="str">
            <v>Devon</v>
          </cell>
          <cell r="N779" t="str">
            <v>TQ12 3BQ</v>
          </cell>
          <cell r="O779" t="str">
            <v>martin.harding@sky.com</v>
          </cell>
        </row>
        <row r="780">
          <cell r="A780">
            <v>3812017</v>
          </cell>
          <cell r="B780">
            <v>107487</v>
          </cell>
          <cell r="C780">
            <v>381</v>
          </cell>
          <cell r="D780" t="str">
            <v>Calderdale</v>
          </cell>
          <cell r="E780">
            <v>2017</v>
          </cell>
          <cell r="F780" t="str">
            <v>Bev Annables</v>
          </cell>
          <cell r="G780" t="str">
            <v>Parkinson Lane CP School</v>
          </cell>
          <cell r="H780" t="str">
            <v>Yorkshire and the Humber</v>
          </cell>
          <cell r="I780" t="str">
            <v>Parkinson Lane</v>
          </cell>
          <cell r="L780" t="str">
            <v>Halifax</v>
          </cell>
          <cell r="M780" t="str">
            <v>West Yorkshire</v>
          </cell>
          <cell r="N780" t="str">
            <v>HX1 3XL</v>
          </cell>
          <cell r="O780" t="str">
            <v>admin@parkinsonlane.calderdale.sch.uk</v>
          </cell>
        </row>
        <row r="781">
          <cell r="A781">
            <v>3947015</v>
          </cell>
          <cell r="B781">
            <v>108881</v>
          </cell>
          <cell r="C781">
            <v>394</v>
          </cell>
          <cell r="D781" t="str">
            <v>Sunderland</v>
          </cell>
          <cell r="E781">
            <v>7015</v>
          </cell>
          <cell r="F781" t="str">
            <v>Bev Mullin</v>
          </cell>
          <cell r="G781" t="str">
            <v>Springwell Dene School</v>
          </cell>
          <cell r="H781" t="str">
            <v>North East</v>
          </cell>
          <cell r="I781" t="str">
            <v>Swindon Road</v>
          </cell>
          <cell r="L781" t="str">
            <v>Sunderland</v>
          </cell>
          <cell r="M781" t="str">
            <v>Tyne and Wear</v>
          </cell>
          <cell r="N781" t="str">
            <v>SR3 4EE</v>
          </cell>
          <cell r="O781" t="str">
            <v>g.shillinglaw@schools.sunderland.gov.uk</v>
          </cell>
          <cell r="P781">
            <v>41113</v>
          </cell>
        </row>
        <row r="782">
          <cell r="A782">
            <v>8882615</v>
          </cell>
          <cell r="B782">
            <v>119315</v>
          </cell>
          <cell r="C782">
            <v>888</v>
          </cell>
          <cell r="D782" t="str">
            <v>Lancashire</v>
          </cell>
          <cell r="E782">
            <v>2615</v>
          </cell>
          <cell r="F782" t="str">
            <v>Viv Clutton</v>
          </cell>
          <cell r="G782" t="str">
            <v>Lytham Hall Park Primary School</v>
          </cell>
          <cell r="H782" t="str">
            <v>North West</v>
          </cell>
          <cell r="I782" t="str">
            <v>South Park</v>
          </cell>
          <cell r="J782" t="str">
            <v>Lytham</v>
          </cell>
          <cell r="L782" t="str">
            <v>Lytham St Annes</v>
          </cell>
          <cell r="M782" t="str">
            <v>Lancashire</v>
          </cell>
          <cell r="N782" t="str">
            <v>FY8 4QU</v>
          </cell>
          <cell r="O782" t="str">
            <v>head@hallpark.lancs.sch.uk</v>
          </cell>
        </row>
        <row r="783">
          <cell r="A783">
            <v>8843348</v>
          </cell>
          <cell r="B783">
            <v>116893</v>
          </cell>
          <cell r="C783">
            <v>884</v>
          </cell>
          <cell r="D783" t="str">
            <v>Herefordshire</v>
          </cell>
          <cell r="E783">
            <v>3348</v>
          </cell>
          <cell r="F783" t="str">
            <v>Carla Spink</v>
          </cell>
          <cell r="G783" t="str">
            <v>Leintwardine Endowed CE Primary School</v>
          </cell>
          <cell r="H783" t="str">
            <v>West Midlands</v>
          </cell>
          <cell r="I783" t="str">
            <v>Watling Street</v>
          </cell>
          <cell r="J783" t="str">
            <v>Leintwardine</v>
          </cell>
          <cell r="L783" t="str">
            <v>Craven Arms</v>
          </cell>
          <cell r="M783" t="str">
            <v>Shropshire</v>
          </cell>
          <cell r="N783" t="str">
            <v>SY7 0LL</v>
          </cell>
        </row>
        <row r="784">
          <cell r="A784">
            <v>8104001</v>
          </cell>
          <cell r="B784">
            <v>118061</v>
          </cell>
          <cell r="C784">
            <v>810</v>
          </cell>
          <cell r="D784" t="str">
            <v>Kingston upon Hull City of</v>
          </cell>
          <cell r="E784">
            <v>4001</v>
          </cell>
          <cell r="F784" t="str">
            <v>Adriarna Goodinson</v>
          </cell>
          <cell r="G784" t="str">
            <v>Winifred Holtby School Technology College</v>
          </cell>
          <cell r="H784" t="str">
            <v>Yorkshire and the Humber</v>
          </cell>
          <cell r="I784" t="str">
            <v>Midmere Avenue</v>
          </cell>
          <cell r="J784" t="str">
            <v>Leads Road</v>
          </cell>
          <cell r="K784" t="str">
            <v>Bransholme</v>
          </cell>
          <cell r="L784" t="str">
            <v>Hull</v>
          </cell>
          <cell r="N784" t="str">
            <v>HU7 4PW</v>
          </cell>
          <cell r="O784" t="str">
            <v>kshaw@winifred-holtby.hull.sch.uk</v>
          </cell>
          <cell r="P784">
            <v>41051</v>
          </cell>
        </row>
        <row r="785">
          <cell r="A785">
            <v>3305415</v>
          </cell>
          <cell r="B785">
            <v>103562</v>
          </cell>
          <cell r="C785">
            <v>330</v>
          </cell>
          <cell r="D785" t="str">
            <v>Birmingham</v>
          </cell>
          <cell r="E785">
            <v>5415</v>
          </cell>
          <cell r="F785" t="str">
            <v>Alison Middleton</v>
          </cell>
          <cell r="G785" t="str">
            <v>King's Norton Boys' School</v>
          </cell>
          <cell r="H785" t="str">
            <v>West Midlands</v>
          </cell>
          <cell r="I785" t="str">
            <v>Northfield Road</v>
          </cell>
          <cell r="L785" t="str">
            <v>Birmingham</v>
          </cell>
          <cell r="M785" t="str">
            <v>West Midlands</v>
          </cell>
          <cell r="N785" t="str">
            <v>B30 1DY</v>
          </cell>
          <cell r="O785" t="str">
            <v>c.sentance@kingsnortonboys.bham.sch.uk</v>
          </cell>
        </row>
        <row r="786">
          <cell r="A786">
            <v>3053001</v>
          </cell>
          <cell r="B786">
            <v>101644</v>
          </cell>
          <cell r="C786">
            <v>305</v>
          </cell>
          <cell r="D786" t="str">
            <v>Bromley</v>
          </cell>
          <cell r="E786">
            <v>3001</v>
          </cell>
          <cell r="F786" t="str">
            <v>Sheila Longstaff</v>
          </cell>
          <cell r="G786" t="str">
            <v>Parish Church of England Primary School</v>
          </cell>
          <cell r="H786" t="str">
            <v>London</v>
          </cell>
          <cell r="I786" t="str">
            <v>London Lane</v>
          </cell>
          <cell r="L786" t="str">
            <v>Bromley</v>
          </cell>
          <cell r="M786" t="str">
            <v>Kent</v>
          </cell>
          <cell r="N786" t="str">
            <v>BR1 4HF</v>
          </cell>
          <cell r="O786" t="str">
            <v>hilary.richardson@parish.bromley.sch.uk</v>
          </cell>
          <cell r="P786">
            <v>40676</v>
          </cell>
        </row>
        <row r="787">
          <cell r="A787">
            <v>9253346</v>
          </cell>
          <cell r="B787">
            <v>120617</v>
          </cell>
          <cell r="C787">
            <v>925</v>
          </cell>
          <cell r="D787" t="str">
            <v>Lincolnshire</v>
          </cell>
          <cell r="E787">
            <v>3346</v>
          </cell>
          <cell r="F787" t="str">
            <v>Sue Harp</v>
          </cell>
          <cell r="G787" t="str">
            <v>The Saint Hugh's Catholic Primary School, Lincoln</v>
          </cell>
          <cell r="H787" t="str">
            <v>East Midlands</v>
          </cell>
          <cell r="I787" t="str">
            <v>Woodfield Avenue</v>
          </cell>
          <cell r="J787" t="str">
            <v>Doddington Park</v>
          </cell>
          <cell r="L787" t="str">
            <v>Lincoln</v>
          </cell>
          <cell r="M787" t="str">
            <v>Lincolnshire</v>
          </cell>
          <cell r="N787" t="str">
            <v>LN6 0SH</v>
          </cell>
          <cell r="O787" t="str">
            <v>gregory.hughes@st-hughs-pri.lincs.sch.uk</v>
          </cell>
          <cell r="P787">
            <v>41254</v>
          </cell>
        </row>
        <row r="788">
          <cell r="A788">
            <v>8124092</v>
          </cell>
          <cell r="B788">
            <v>118101</v>
          </cell>
          <cell r="C788">
            <v>812</v>
          </cell>
          <cell r="D788" t="str">
            <v>North East Lincolnshire</v>
          </cell>
          <cell r="E788">
            <v>4092</v>
          </cell>
          <cell r="F788" t="str">
            <v>Bev Annables</v>
          </cell>
          <cell r="G788" t="str">
            <v>Humberston Maths and Computing College</v>
          </cell>
          <cell r="H788" t="str">
            <v>Yorkshire and the Humber</v>
          </cell>
          <cell r="I788" t="str">
            <v>Humberston Avenue</v>
          </cell>
          <cell r="J788" t="str">
            <v>Humberston</v>
          </cell>
          <cell r="L788" t="str">
            <v>Grimsby</v>
          </cell>
          <cell r="M788" t="str">
            <v>Lincolnshire</v>
          </cell>
          <cell r="N788" t="str">
            <v>DN36 4TF</v>
          </cell>
          <cell r="O788" t="str">
            <v>brian.sarahan@humberston.nelcmail.co.uk</v>
          </cell>
          <cell r="P788">
            <v>40576</v>
          </cell>
        </row>
        <row r="789">
          <cell r="A789">
            <v>9282214</v>
          </cell>
          <cell r="B789">
            <v>121948</v>
          </cell>
          <cell r="C789">
            <v>928</v>
          </cell>
          <cell r="D789" t="str">
            <v>Northamptonshire</v>
          </cell>
          <cell r="E789">
            <v>2214</v>
          </cell>
          <cell r="F789" t="str">
            <v>Sean Cox</v>
          </cell>
          <cell r="G789" t="str">
            <v>Nicholas Hawksmoor Primary School</v>
          </cell>
          <cell r="H789" t="str">
            <v>East Midlands</v>
          </cell>
          <cell r="I789" t="str">
            <v>Balmoral Close</v>
          </cell>
          <cell r="L789" t="str">
            <v>Towcester</v>
          </cell>
          <cell r="M789" t="str">
            <v>Northamptonshire</v>
          </cell>
          <cell r="N789" t="str">
            <v>NN12 6JA</v>
          </cell>
          <cell r="O789" t="str">
            <v>head@nhps.northants-ecl.gov.uk</v>
          </cell>
          <cell r="P789">
            <v>40464</v>
          </cell>
        </row>
        <row r="790">
          <cell r="A790">
            <v>9163357</v>
          </cell>
          <cell r="B790">
            <v>115708</v>
          </cell>
          <cell r="C790">
            <v>916</v>
          </cell>
          <cell r="D790" t="str">
            <v>Gloucestershire</v>
          </cell>
          <cell r="E790">
            <v>3357</v>
          </cell>
          <cell r="F790" t="str">
            <v>Dominic Wilson</v>
          </cell>
          <cell r="G790" t="str">
            <v>The Rosary Catholic Primary School</v>
          </cell>
          <cell r="H790" t="str">
            <v>South West</v>
          </cell>
          <cell r="I790" t="str">
            <v>Beeches Green</v>
          </cell>
          <cell r="L790" t="str">
            <v>Stroud</v>
          </cell>
          <cell r="M790" t="str">
            <v>Gloucestershire</v>
          </cell>
          <cell r="N790" t="str">
            <v>GL5 4AB</v>
          </cell>
          <cell r="O790" t="str">
            <v>head@rosary.gloucs.sch.uk</v>
          </cell>
          <cell r="P790">
            <v>40660</v>
          </cell>
        </row>
        <row r="791">
          <cell r="A791">
            <v>9367050</v>
          </cell>
          <cell r="B791">
            <v>125471</v>
          </cell>
          <cell r="C791">
            <v>936</v>
          </cell>
          <cell r="D791" t="str">
            <v>Surrey</v>
          </cell>
          <cell r="E791">
            <v>7050</v>
          </cell>
          <cell r="F791" t="str">
            <v>Not yet assigned</v>
          </cell>
          <cell r="G791" t="str">
            <v>The Ridgeway Community School</v>
          </cell>
          <cell r="H791" t="str">
            <v>South East</v>
          </cell>
          <cell r="I791" t="str">
            <v>14 Frensham Road</v>
          </cell>
          <cell r="L791" t="str">
            <v>Farnham</v>
          </cell>
          <cell r="M791" t="str">
            <v>Surrey</v>
          </cell>
          <cell r="N791" t="str">
            <v>GU9 8HB</v>
          </cell>
          <cell r="O791" t="str">
            <v>head@ridgeway.surrey.sch.uk</v>
          </cell>
        </row>
        <row r="792">
          <cell r="A792">
            <v>8652228</v>
          </cell>
          <cell r="B792">
            <v>126294</v>
          </cell>
          <cell r="C792">
            <v>865</v>
          </cell>
          <cell r="D792" t="str">
            <v>Wiltshire</v>
          </cell>
          <cell r="E792">
            <v>2228</v>
          </cell>
          <cell r="F792" t="str">
            <v>Theresa Oddelm</v>
          </cell>
          <cell r="G792" t="str">
            <v>Queen's Crescent Primary School</v>
          </cell>
          <cell r="H792" t="str">
            <v>South West</v>
          </cell>
          <cell r="I792" t="str">
            <v>Windsor Close</v>
          </cell>
          <cell r="L792" t="str">
            <v>Chippenham</v>
          </cell>
          <cell r="M792" t="str">
            <v>Wiltshire</v>
          </cell>
          <cell r="N792" t="str">
            <v>SN14 0QT</v>
          </cell>
        </row>
        <row r="793">
          <cell r="A793">
            <v>9084168</v>
          </cell>
          <cell r="B793">
            <v>112062</v>
          </cell>
          <cell r="C793">
            <v>908</v>
          </cell>
          <cell r="D793" t="str">
            <v>Cornwall</v>
          </cell>
          <cell r="E793">
            <v>4168</v>
          </cell>
          <cell r="F793" t="str">
            <v>Kate Bosher</v>
          </cell>
          <cell r="G793" t="str">
            <v>Looe Community School</v>
          </cell>
          <cell r="H793" t="str">
            <v>South West</v>
          </cell>
          <cell r="I793" t="str">
            <v>Sunrising</v>
          </cell>
          <cell r="J793" t="str">
            <v>East Looe</v>
          </cell>
          <cell r="L793" t="str">
            <v>Looe</v>
          </cell>
          <cell r="M793" t="str">
            <v>Cornwall</v>
          </cell>
          <cell r="N793" t="str">
            <v>PL13 1NQ</v>
          </cell>
          <cell r="O793" t="str">
            <v>head@looe.cornwall.sch.uk</v>
          </cell>
          <cell r="P793">
            <v>40640</v>
          </cell>
        </row>
        <row r="794">
          <cell r="A794">
            <v>3724021</v>
          </cell>
          <cell r="B794">
            <v>106957</v>
          </cell>
          <cell r="C794">
            <v>372</v>
          </cell>
          <cell r="D794" t="str">
            <v>Rotherham</v>
          </cell>
          <cell r="E794">
            <v>4021</v>
          </cell>
          <cell r="F794" t="str">
            <v>Adriarna Goodinson</v>
          </cell>
          <cell r="G794" t="str">
            <v>Aston Comprehensive School</v>
          </cell>
          <cell r="H794" t="str">
            <v>Yorkshire and the Humber</v>
          </cell>
          <cell r="I794" t="str">
            <v>Aughton Road</v>
          </cell>
          <cell r="J794" t="str">
            <v>Swallownest</v>
          </cell>
          <cell r="L794" t="str">
            <v>Sheffield</v>
          </cell>
          <cell r="M794" t="str">
            <v>South Yorkshire</v>
          </cell>
          <cell r="N794" t="str">
            <v>S26 4SF</v>
          </cell>
          <cell r="O794" t="str">
            <v>eunice.newton@aston.rotherham.sch.uk</v>
          </cell>
          <cell r="P794">
            <v>40557</v>
          </cell>
        </row>
        <row r="795">
          <cell r="A795">
            <v>9282094</v>
          </cell>
          <cell r="B795">
            <v>121866</v>
          </cell>
          <cell r="C795">
            <v>928</v>
          </cell>
          <cell r="D795" t="str">
            <v>Northamptonshire</v>
          </cell>
          <cell r="E795">
            <v>2094</v>
          </cell>
          <cell r="F795" t="str">
            <v>Stephen Standret</v>
          </cell>
          <cell r="G795" t="str">
            <v>Weedon Bec Primary School</v>
          </cell>
          <cell r="H795" t="str">
            <v>East Midlands</v>
          </cell>
          <cell r="I795" t="str">
            <v>West Street</v>
          </cell>
          <cell r="J795" t="str">
            <v>Weedon</v>
          </cell>
          <cell r="L795" t="str">
            <v>Northampton</v>
          </cell>
          <cell r="M795" t="str">
            <v>Northamptonshire</v>
          </cell>
          <cell r="N795" t="str">
            <v>NN7 4QU</v>
          </cell>
          <cell r="O795" t="str">
            <v>head@weedonbec.northants-ecl.gov.uk</v>
          </cell>
        </row>
        <row r="796">
          <cell r="A796">
            <v>9354015</v>
          </cell>
          <cell r="B796">
            <v>124794</v>
          </cell>
          <cell r="C796">
            <v>935</v>
          </cell>
          <cell r="D796" t="str">
            <v>Suffolk</v>
          </cell>
          <cell r="E796">
            <v>4015</v>
          </cell>
          <cell r="F796" t="str">
            <v>Joe Farrell</v>
          </cell>
          <cell r="G796" t="str">
            <v>Ixworth Middle School</v>
          </cell>
          <cell r="H796" t="str">
            <v>East of England</v>
          </cell>
          <cell r="I796" t="str">
            <v>Walsham Road</v>
          </cell>
          <cell r="J796" t="str">
            <v>Ixworth</v>
          </cell>
          <cell r="L796" t="str">
            <v>Bury St Edmunds</v>
          </cell>
          <cell r="M796" t="str">
            <v>Suffolk</v>
          </cell>
          <cell r="N796" t="str">
            <v>IP31 2HS</v>
          </cell>
          <cell r="O796" t="str">
            <v>ht.ixworth.m@talk21.com</v>
          </cell>
          <cell r="P796">
            <v>40746</v>
          </cell>
        </row>
        <row r="797">
          <cell r="A797">
            <v>8884685</v>
          </cell>
          <cell r="B797">
            <v>119794</v>
          </cell>
          <cell r="C797">
            <v>888</v>
          </cell>
          <cell r="D797" t="str">
            <v>Lancashire</v>
          </cell>
          <cell r="E797">
            <v>4685</v>
          </cell>
          <cell r="F797" t="str">
            <v>Viv Clutton</v>
          </cell>
          <cell r="G797" t="str">
            <v>Hutton Church of England Grammar School</v>
          </cell>
          <cell r="H797" t="str">
            <v>North West</v>
          </cell>
          <cell r="I797" t="str">
            <v>Liverpool Road</v>
          </cell>
          <cell r="J797" t="str">
            <v>Hutton</v>
          </cell>
          <cell r="L797" t="str">
            <v>Preston</v>
          </cell>
          <cell r="M797" t="str">
            <v>Lancashire</v>
          </cell>
          <cell r="N797" t="str">
            <v>PR4 5SN</v>
          </cell>
          <cell r="O797" t="str">
            <v>head@hutton.lancs.sch.uk</v>
          </cell>
        </row>
        <row r="798">
          <cell r="A798">
            <v>9084162</v>
          </cell>
          <cell r="B798">
            <v>112056</v>
          </cell>
          <cell r="C798">
            <v>908</v>
          </cell>
          <cell r="D798" t="str">
            <v>Cornwall</v>
          </cell>
          <cell r="E798">
            <v>4162</v>
          </cell>
          <cell r="F798" t="str">
            <v>Tahamina Khan</v>
          </cell>
          <cell r="G798" t="str">
            <v>The Roseland Community College</v>
          </cell>
          <cell r="H798" t="str">
            <v>South West</v>
          </cell>
          <cell r="I798" t="str">
            <v>Tregony</v>
          </cell>
          <cell r="L798" t="str">
            <v>Truro</v>
          </cell>
          <cell r="M798" t="str">
            <v>Cornwall</v>
          </cell>
          <cell r="N798" t="str">
            <v>TR2 5SE</v>
          </cell>
          <cell r="O798" t="str">
            <v>jblack@theroseland.co.uk</v>
          </cell>
          <cell r="P798">
            <v>40557</v>
          </cell>
        </row>
        <row r="799">
          <cell r="A799">
            <v>9194141</v>
          </cell>
          <cell r="B799">
            <v>117540</v>
          </cell>
          <cell r="C799">
            <v>919</v>
          </cell>
          <cell r="D799" t="str">
            <v>Hertfordshire</v>
          </cell>
          <cell r="E799">
            <v>4141</v>
          </cell>
          <cell r="F799" t="str">
            <v>Lilian Da Cunha</v>
          </cell>
          <cell r="G799" t="str">
            <v>Freman College</v>
          </cell>
          <cell r="H799" t="str">
            <v>East of England</v>
          </cell>
          <cell r="I799" t="str">
            <v>Bowling Green Lane</v>
          </cell>
          <cell r="L799" t="str">
            <v>Buntingford</v>
          </cell>
          <cell r="M799" t="str">
            <v>Hertfordshire</v>
          </cell>
          <cell r="N799" t="str">
            <v>SG9 9BT</v>
          </cell>
          <cell r="O799" t="str">
            <v>head@fremancollege.herts.sch.uk</v>
          </cell>
          <cell r="P799">
            <v>40611</v>
          </cell>
        </row>
        <row r="800">
          <cell r="A800">
            <v>8813835</v>
          </cell>
          <cell r="B800">
            <v>135154</v>
          </cell>
          <cell r="C800">
            <v>881</v>
          </cell>
          <cell r="D800" t="str">
            <v>Essex</v>
          </cell>
          <cell r="E800">
            <v>3835</v>
          </cell>
          <cell r="F800" t="str">
            <v>Claire Ivie</v>
          </cell>
          <cell r="G800" t="str">
            <v>Thundersley Primary School</v>
          </cell>
          <cell r="H800" t="str">
            <v>East of England</v>
          </cell>
          <cell r="I800" t="str">
            <v>Hart Road</v>
          </cell>
          <cell r="J800" t="str">
            <v>Thundersley</v>
          </cell>
          <cell r="L800" t="str">
            <v>Benfleet</v>
          </cell>
          <cell r="M800" t="str">
            <v>Essex</v>
          </cell>
          <cell r="N800" t="str">
            <v>SS7 3PT</v>
          </cell>
          <cell r="O800" t="str">
            <v>head@thundersley.essex.sch.uk</v>
          </cell>
        </row>
        <row r="801">
          <cell r="A801">
            <v>8152389</v>
          </cell>
          <cell r="B801">
            <v>121443</v>
          </cell>
          <cell r="C801">
            <v>815</v>
          </cell>
          <cell r="D801" t="str">
            <v>North Yorkshire</v>
          </cell>
          <cell r="E801">
            <v>2389</v>
          </cell>
          <cell r="F801" t="str">
            <v>Nick Monton</v>
          </cell>
          <cell r="G801" t="str">
            <v>Meadowside Community Primary School</v>
          </cell>
          <cell r="H801" t="str">
            <v>Yorkshire and the Humber</v>
          </cell>
          <cell r="I801" t="str">
            <v>Halfpenny Lane</v>
          </cell>
          <cell r="L801" t="str">
            <v>Knaresborough</v>
          </cell>
          <cell r="M801" t="str">
            <v>North Yorkshire</v>
          </cell>
          <cell r="N801" t="str">
            <v>HG5 0SL</v>
          </cell>
          <cell r="O801" t="str">
            <v>headteacher@meadowside.n-yorks.sch.uk</v>
          </cell>
        </row>
        <row r="802">
          <cell r="A802">
            <v>3012021</v>
          </cell>
          <cell r="B802">
            <v>101200</v>
          </cell>
          <cell r="C802">
            <v>301</v>
          </cell>
          <cell r="D802" t="str">
            <v>Barking and Dagenham</v>
          </cell>
          <cell r="E802">
            <v>2021</v>
          </cell>
          <cell r="F802" t="str">
            <v>Sheila Longstaff</v>
          </cell>
          <cell r="G802" t="str">
            <v>Thames View Infants' School</v>
          </cell>
          <cell r="H802" t="str">
            <v>London</v>
          </cell>
          <cell r="I802" t="str">
            <v>Bastable Avenue</v>
          </cell>
          <cell r="L802" t="str">
            <v>Barking</v>
          </cell>
          <cell r="M802" t="str">
            <v>Essex</v>
          </cell>
          <cell r="N802" t="str">
            <v>IG11 0LG</v>
          </cell>
          <cell r="O802" t="str">
            <v>pjordan@thamesview-i.bardaglea.org.uk</v>
          </cell>
          <cell r="P802">
            <v>41038</v>
          </cell>
        </row>
        <row r="803">
          <cell r="A803">
            <v>3302483</v>
          </cell>
          <cell r="B803">
            <v>133598</v>
          </cell>
          <cell r="C803">
            <v>330</v>
          </cell>
          <cell r="D803" t="str">
            <v>Birmingham</v>
          </cell>
          <cell r="E803">
            <v>2483</v>
          </cell>
          <cell r="F803" t="str">
            <v>Michael Corner</v>
          </cell>
          <cell r="G803" t="str">
            <v>Woodview Primary School</v>
          </cell>
          <cell r="H803" t="str">
            <v>West Midlands</v>
          </cell>
          <cell r="I803" t="str">
            <v>Woodview Drive</v>
          </cell>
          <cell r="J803" t="str">
            <v>Edgbaston</v>
          </cell>
          <cell r="L803" t="str">
            <v>Birmingham</v>
          </cell>
          <cell r="M803" t="str">
            <v>West Midlands</v>
          </cell>
          <cell r="N803" t="str">
            <v>B15 2HU</v>
          </cell>
          <cell r="O803" t="str">
            <v>lmaccarthy@woodview.bham.sch.uk</v>
          </cell>
        </row>
        <row r="804">
          <cell r="A804">
            <v>8715407</v>
          </cell>
          <cell r="B804">
            <v>110103</v>
          </cell>
          <cell r="C804">
            <v>871</v>
          </cell>
          <cell r="D804" t="str">
            <v>Slough</v>
          </cell>
          <cell r="E804">
            <v>5407</v>
          </cell>
          <cell r="F804" t="str">
            <v>Lindsay Morris</v>
          </cell>
          <cell r="G804" t="str">
            <v>Herschel Grammar School</v>
          </cell>
          <cell r="H804" t="str">
            <v>South East</v>
          </cell>
          <cell r="I804" t="str">
            <v>Northampton Avenue</v>
          </cell>
          <cell r="L804" t="str">
            <v>Slough</v>
          </cell>
          <cell r="M804" t="str">
            <v>Berkshire</v>
          </cell>
          <cell r="N804" t="str">
            <v>SL1 3BW</v>
          </cell>
          <cell r="O804" t="str">
            <v>jrockall@herschel.slough.sch.uk</v>
          </cell>
          <cell r="P804">
            <v>40820</v>
          </cell>
        </row>
        <row r="805">
          <cell r="A805">
            <v>3363307</v>
          </cell>
          <cell r="B805">
            <v>104377</v>
          </cell>
          <cell r="C805">
            <v>336</v>
          </cell>
          <cell r="D805" t="str">
            <v>Wolverhampton</v>
          </cell>
          <cell r="E805">
            <v>3307</v>
          </cell>
          <cell r="F805" t="str">
            <v>Hannah Copp</v>
          </cell>
          <cell r="G805" t="str">
            <v>St Michael's Catholic Primary School</v>
          </cell>
          <cell r="H805" t="str">
            <v>West Midlands</v>
          </cell>
          <cell r="I805" t="str">
            <v>Telford Gardens</v>
          </cell>
          <cell r="J805" t="str">
            <v>Merry Hill</v>
          </cell>
          <cell r="L805" t="str">
            <v>Wolverhampton</v>
          </cell>
          <cell r="M805" t="str">
            <v>West Midlands</v>
          </cell>
          <cell r="N805" t="str">
            <v>WV3 7LE</v>
          </cell>
          <cell r="O805" t="str">
            <v>catherine.williams@wolverhamptoncyp.org.uk</v>
          </cell>
        </row>
        <row r="806">
          <cell r="A806">
            <v>9372615</v>
          </cell>
          <cell r="B806">
            <v>125617</v>
          </cell>
          <cell r="C806">
            <v>937</v>
          </cell>
          <cell r="D806" t="str">
            <v>Warwickshire</v>
          </cell>
          <cell r="E806">
            <v>2615</v>
          </cell>
          <cell r="F806" t="str">
            <v>Julia Waterhouse</v>
          </cell>
          <cell r="G806" t="str">
            <v>Race Leys Junior School</v>
          </cell>
          <cell r="H806" t="str">
            <v>West Midlands</v>
          </cell>
          <cell r="I806" t="str">
            <v>Barton Road</v>
          </cell>
          <cell r="L806" t="str">
            <v>Bedworth</v>
          </cell>
          <cell r="M806" t="str">
            <v>Warwickshire</v>
          </cell>
          <cell r="N806" t="str">
            <v>CV12 8HG</v>
          </cell>
          <cell r="O806" t="str">
            <v>Head2615@we-learn.com</v>
          </cell>
          <cell r="P806">
            <v>41028</v>
          </cell>
        </row>
        <row r="807">
          <cell r="A807">
            <v>8552018</v>
          </cell>
          <cell r="B807">
            <v>119911</v>
          </cell>
          <cell r="C807">
            <v>855</v>
          </cell>
          <cell r="D807" t="str">
            <v>Leicestershire</v>
          </cell>
          <cell r="E807">
            <v>2018</v>
          </cell>
          <cell r="F807" t="str">
            <v>Stephen Standret</v>
          </cell>
          <cell r="G807" t="str">
            <v>Great Dalby School</v>
          </cell>
          <cell r="H807" t="str">
            <v>East Midlands</v>
          </cell>
          <cell r="I807" t="str">
            <v>Top End</v>
          </cell>
          <cell r="J807" t="str">
            <v>Great Dalby</v>
          </cell>
          <cell r="L807" t="str">
            <v>Melton Mowbray</v>
          </cell>
          <cell r="M807" t="str">
            <v>Leicestershire</v>
          </cell>
          <cell r="N807" t="str">
            <v>LE14 2HA</v>
          </cell>
          <cell r="O807" t="str">
            <v>araistrick@greatdalby.leics.sch.uk</v>
          </cell>
          <cell r="P807">
            <v>41221</v>
          </cell>
        </row>
        <row r="808">
          <cell r="A808">
            <v>3104033</v>
          </cell>
          <cell r="B808">
            <v>102242</v>
          </cell>
          <cell r="C808">
            <v>310</v>
          </cell>
          <cell r="D808" t="str">
            <v>Harrow</v>
          </cell>
          <cell r="E808">
            <v>4033</v>
          </cell>
          <cell r="F808" t="str">
            <v>Sheila Longstaff</v>
          </cell>
          <cell r="G808" t="str">
            <v>Harrow High School and Sports College</v>
          </cell>
          <cell r="H808" t="str">
            <v>London</v>
          </cell>
          <cell r="I808" t="str">
            <v>Gayton Road</v>
          </cell>
          <cell r="L808" t="str">
            <v>Harrow</v>
          </cell>
          <cell r="N808" t="str">
            <v>HA1 2JG</v>
          </cell>
          <cell r="O808" t="str">
            <v>pgamble.310@hhsweb.org</v>
          </cell>
          <cell r="P808">
            <v>40588</v>
          </cell>
        </row>
        <row r="809">
          <cell r="A809">
            <v>8312459</v>
          </cell>
          <cell r="B809">
            <v>112758</v>
          </cell>
          <cell r="C809">
            <v>831</v>
          </cell>
          <cell r="D809" t="str">
            <v>Derby</v>
          </cell>
          <cell r="E809">
            <v>2459</v>
          </cell>
          <cell r="F809" t="str">
            <v>Sue Harp</v>
          </cell>
          <cell r="G809" t="str">
            <v>Wren Park Primary School</v>
          </cell>
          <cell r="H809" t="str">
            <v>East Midlands</v>
          </cell>
          <cell r="I809" t="str">
            <v>Jackson Avenue</v>
          </cell>
          <cell r="J809" t="str">
            <v>Mickleover</v>
          </cell>
          <cell r="L809" t="str">
            <v>Derby</v>
          </cell>
          <cell r="M809" t="str">
            <v>Derbyshire</v>
          </cell>
          <cell r="N809" t="str">
            <v>DE3 9AY</v>
          </cell>
          <cell r="O809" t="str">
            <v>head@wrenpark.derby.sch.uk</v>
          </cell>
        </row>
        <row r="810">
          <cell r="A810">
            <v>8734038</v>
          </cell>
          <cell r="B810">
            <v>110867</v>
          </cell>
          <cell r="C810">
            <v>873</v>
          </cell>
          <cell r="D810" t="str">
            <v>Cambridgeshire</v>
          </cell>
          <cell r="E810">
            <v>4038</v>
          </cell>
          <cell r="F810" t="str">
            <v>Tony Bretherick</v>
          </cell>
          <cell r="G810" t="str">
            <v>Cottenham Village College</v>
          </cell>
          <cell r="H810" t="str">
            <v>East of England</v>
          </cell>
          <cell r="I810" t="str">
            <v>High Street</v>
          </cell>
          <cell r="J810" t="str">
            <v>Cottenham</v>
          </cell>
          <cell r="L810" t="str">
            <v>Cambridge</v>
          </cell>
          <cell r="M810" t="str">
            <v>Cambridgeshire</v>
          </cell>
          <cell r="N810" t="str">
            <v>CB24 8UA</v>
          </cell>
          <cell r="O810" t="str">
            <v>tcooper@cvcweb.net</v>
          </cell>
          <cell r="P810">
            <v>40651</v>
          </cell>
        </row>
        <row r="811">
          <cell r="A811">
            <v>3023312</v>
          </cell>
          <cell r="B811">
            <v>101324</v>
          </cell>
          <cell r="C811">
            <v>302</v>
          </cell>
          <cell r="D811" t="str">
            <v>Barnet</v>
          </cell>
          <cell r="E811">
            <v>3312</v>
          </cell>
          <cell r="F811" t="str">
            <v>Bola Bakrin</v>
          </cell>
          <cell r="G811" t="str">
            <v>St Mary's CofE Primary School</v>
          </cell>
          <cell r="H811" t="str">
            <v>London</v>
          </cell>
          <cell r="I811" t="str">
            <v>Littlegrove</v>
          </cell>
          <cell r="J811" t="str">
            <v>East Barnet</v>
          </cell>
          <cell r="L811" t="str">
            <v>Barnet</v>
          </cell>
          <cell r="M811" t="str">
            <v>Hertfordshire</v>
          </cell>
          <cell r="N811" t="str">
            <v>EN4 8SR</v>
          </cell>
          <cell r="O811" t="str">
            <v>head.stmarysen4.barnet@lgfl.net</v>
          </cell>
        </row>
        <row r="812">
          <cell r="A812">
            <v>8762387</v>
          </cell>
          <cell r="B812">
            <v>111177</v>
          </cell>
          <cell r="C812">
            <v>876</v>
          </cell>
          <cell r="D812" t="str">
            <v>Halton</v>
          </cell>
          <cell r="E812">
            <v>2387</v>
          </cell>
          <cell r="F812" t="str">
            <v>Maria Sabberton</v>
          </cell>
          <cell r="G812" t="str">
            <v>Windmill Hill Primary School</v>
          </cell>
          <cell r="H812" t="str">
            <v>North West</v>
          </cell>
          <cell r="I812" t="str">
            <v>Windmill Hill</v>
          </cell>
          <cell r="L812" t="str">
            <v>Runcorn</v>
          </cell>
          <cell r="M812" t="str">
            <v>Cheshire</v>
          </cell>
          <cell r="N812" t="str">
            <v>WA7 6QE</v>
          </cell>
          <cell r="O812" t="str">
            <v>head.windmillhill@halton.gov.uk</v>
          </cell>
        </row>
        <row r="813">
          <cell r="A813">
            <v>8733083</v>
          </cell>
          <cell r="B813">
            <v>110828</v>
          </cell>
          <cell r="C813">
            <v>873</v>
          </cell>
          <cell r="D813" t="str">
            <v>Cambridgeshire</v>
          </cell>
          <cell r="E813">
            <v>3083</v>
          </cell>
          <cell r="F813" t="str">
            <v>William Thursfield</v>
          </cell>
          <cell r="G813" t="str">
            <v>St Andrew's CofE Primary School</v>
          </cell>
          <cell r="H813" t="str">
            <v>East of England</v>
          </cell>
          <cell r="I813" t="str">
            <v>Sand Street</v>
          </cell>
          <cell r="J813" t="str">
            <v>Soham</v>
          </cell>
          <cell r="L813" t="str">
            <v>Ely</v>
          </cell>
          <cell r="M813" t="str">
            <v>Cambridgeshire</v>
          </cell>
          <cell r="N813" t="str">
            <v>CB7 5AA</v>
          </cell>
          <cell r="O813" t="str">
            <v>head@st-andrews-pri.cambs.sch.uk</v>
          </cell>
        </row>
        <row r="814">
          <cell r="A814">
            <v>8854028</v>
          </cell>
          <cell r="B814">
            <v>116942</v>
          </cell>
          <cell r="C814">
            <v>885</v>
          </cell>
          <cell r="D814" t="str">
            <v>Worcestershire</v>
          </cell>
          <cell r="E814">
            <v>4028</v>
          </cell>
          <cell r="F814" t="str">
            <v>Frances Blow</v>
          </cell>
          <cell r="G814" t="str">
            <v>The Chase School</v>
          </cell>
          <cell r="H814" t="str">
            <v>West Midlands</v>
          </cell>
          <cell r="I814" t="str">
            <v>Geraldine Road</v>
          </cell>
          <cell r="L814" t="str">
            <v>Malvern</v>
          </cell>
          <cell r="M814" t="str">
            <v>Worcestershire</v>
          </cell>
          <cell r="N814" t="str">
            <v>WR14 3NZ</v>
          </cell>
          <cell r="O814" t="str">
            <v>head@chase.worcs.sch.uk</v>
          </cell>
          <cell r="P814">
            <v>40673</v>
          </cell>
        </row>
        <row r="815">
          <cell r="A815">
            <v>9375402</v>
          </cell>
          <cell r="B815">
            <v>125766</v>
          </cell>
          <cell r="C815">
            <v>937</v>
          </cell>
          <cell r="D815" t="str">
            <v>Warwickshire</v>
          </cell>
          <cell r="E815">
            <v>5402</v>
          </cell>
          <cell r="F815" t="str">
            <v>Adriarna Goodinson</v>
          </cell>
          <cell r="G815" t="str">
            <v>Hartshill School</v>
          </cell>
          <cell r="H815" t="str">
            <v>West Midlands</v>
          </cell>
          <cell r="I815" t="str">
            <v>Church Road</v>
          </cell>
          <cell r="J815" t="str">
            <v>Hartshill</v>
          </cell>
          <cell r="L815" t="str">
            <v>Nuneaton</v>
          </cell>
          <cell r="M815" t="str">
            <v>Warwickshire</v>
          </cell>
          <cell r="N815" t="str">
            <v>CV10 0NA</v>
          </cell>
          <cell r="O815" t="str">
            <v>garlick.m@we-learn.com</v>
          </cell>
          <cell r="P815">
            <v>40766</v>
          </cell>
        </row>
        <row r="816">
          <cell r="A816">
            <v>8783014</v>
          </cell>
          <cell r="B816">
            <v>113358</v>
          </cell>
          <cell r="C816">
            <v>878</v>
          </cell>
          <cell r="D816" t="str">
            <v>Devon</v>
          </cell>
          <cell r="E816">
            <v>3014</v>
          </cell>
          <cell r="F816" t="str">
            <v>Not yet assigned</v>
          </cell>
          <cell r="G816" t="str">
            <v>Lympstone Church of England Primary School</v>
          </cell>
          <cell r="H816" t="str">
            <v>South West</v>
          </cell>
          <cell r="I816" t="str">
            <v>School Hill</v>
          </cell>
          <cell r="J816" t="str">
            <v>Lympstone</v>
          </cell>
          <cell r="L816" t="str">
            <v>Exmouth</v>
          </cell>
          <cell r="M816" t="str">
            <v>Devon</v>
          </cell>
          <cell r="N816" t="str">
            <v>EX8 5JY</v>
          </cell>
          <cell r="O816" t="str">
            <v>head@lympstone-primary.devon.sch.uk</v>
          </cell>
        </row>
        <row r="817">
          <cell r="A817">
            <v>3154061</v>
          </cell>
          <cell r="B817">
            <v>131786</v>
          </cell>
          <cell r="C817">
            <v>315</v>
          </cell>
          <cell r="D817" t="str">
            <v>Merton</v>
          </cell>
          <cell r="E817">
            <v>4061</v>
          </cell>
          <cell r="F817" t="str">
            <v>Kiran Teli</v>
          </cell>
          <cell r="G817" t="str">
            <v>Bishopsford Arts College</v>
          </cell>
          <cell r="H817" t="str">
            <v>London</v>
          </cell>
          <cell r="I817" t="str">
            <v>Lilleshall Road</v>
          </cell>
          <cell r="L817" t="str">
            <v>Morden</v>
          </cell>
          <cell r="M817" t="str">
            <v>Surrey</v>
          </cell>
          <cell r="N817" t="str">
            <v>SM4 6DU</v>
          </cell>
          <cell r="O817" t="str">
            <v>abarker@bishopsford.org</v>
          </cell>
        </row>
        <row r="818">
          <cell r="A818">
            <v>8865409</v>
          </cell>
          <cell r="B818">
            <v>118881</v>
          </cell>
          <cell r="C818">
            <v>886</v>
          </cell>
          <cell r="D818" t="str">
            <v>Kent</v>
          </cell>
          <cell r="E818">
            <v>5409</v>
          </cell>
          <cell r="F818" t="str">
            <v>Tony Dunne</v>
          </cell>
          <cell r="G818" t="str">
            <v>Wrotham School</v>
          </cell>
          <cell r="H818" t="str">
            <v>South East</v>
          </cell>
          <cell r="I818" t="str">
            <v>Borough Green Road</v>
          </cell>
          <cell r="J818" t="str">
            <v>Wrotham</v>
          </cell>
          <cell r="L818" t="str">
            <v>Sevenoaks</v>
          </cell>
          <cell r="M818" t="str">
            <v>Kent</v>
          </cell>
          <cell r="N818" t="str">
            <v>TN15 7RD</v>
          </cell>
          <cell r="O818" t="str">
            <v>office@wrotham.kent.sch.uk</v>
          </cell>
          <cell r="P818">
            <v>40520</v>
          </cell>
        </row>
        <row r="819">
          <cell r="A819">
            <v>8867045</v>
          </cell>
          <cell r="B819">
            <v>119046</v>
          </cell>
          <cell r="C819">
            <v>886</v>
          </cell>
          <cell r="D819" t="str">
            <v>Kent</v>
          </cell>
          <cell r="E819">
            <v>7045</v>
          </cell>
          <cell r="F819" t="str">
            <v>Nicky Edwards</v>
          </cell>
          <cell r="G819" t="str">
            <v>Harbour School</v>
          </cell>
          <cell r="H819" t="str">
            <v>South East</v>
          </cell>
          <cell r="I819" t="str">
            <v>Elms Vale Road</v>
          </cell>
          <cell r="L819" t="str">
            <v>Dover</v>
          </cell>
          <cell r="M819" t="str">
            <v>Kent</v>
          </cell>
          <cell r="N819" t="str">
            <v>CT17 9PS</v>
          </cell>
          <cell r="O819" t="str">
            <v>headteacher@harbour.kent.sch.uk</v>
          </cell>
        </row>
        <row r="820">
          <cell r="A820">
            <v>3025403</v>
          </cell>
          <cell r="B820">
            <v>101360</v>
          </cell>
          <cell r="C820">
            <v>302</v>
          </cell>
          <cell r="D820" t="str">
            <v>Barnet</v>
          </cell>
          <cell r="E820">
            <v>5403</v>
          </cell>
          <cell r="F820" t="str">
            <v>Helen Fisher</v>
          </cell>
          <cell r="G820" t="str">
            <v>St Mary's CofE High School</v>
          </cell>
          <cell r="H820" t="str">
            <v>London</v>
          </cell>
          <cell r="I820" t="str">
            <v>Downage</v>
          </cell>
          <cell r="J820" t="str">
            <v>Hendon</v>
          </cell>
          <cell r="L820" t="str">
            <v>London</v>
          </cell>
          <cell r="N820" t="str">
            <v>NW4 1AB</v>
          </cell>
          <cell r="O820" t="str">
            <v>head@st-maryshigh.barnet.sch.uk</v>
          </cell>
        </row>
        <row r="821">
          <cell r="A821">
            <v>8922118</v>
          </cell>
          <cell r="B821">
            <v>122457</v>
          </cell>
          <cell r="C821">
            <v>892</v>
          </cell>
          <cell r="D821" t="str">
            <v>Nottingham</v>
          </cell>
          <cell r="E821">
            <v>2118</v>
          </cell>
          <cell r="F821" t="str">
            <v>Grant Dyson</v>
          </cell>
          <cell r="G821" t="str">
            <v>Whitemoor Primary and Nursery School</v>
          </cell>
          <cell r="H821" t="str">
            <v>East Midlands</v>
          </cell>
          <cell r="I821" t="str">
            <v>Bracknell Crescent</v>
          </cell>
          <cell r="J821" t="str">
            <v>Whitemoor Estate</v>
          </cell>
          <cell r="L821" t="str">
            <v>Nottingham</v>
          </cell>
          <cell r="M821" t="str">
            <v>Nottinghamshire</v>
          </cell>
          <cell r="N821" t="str">
            <v>NG8 5FF</v>
          </cell>
          <cell r="O821" t="str">
            <v>headteacher@whitemoor.nottingham.sch.uk</v>
          </cell>
          <cell r="P821">
            <v>40959</v>
          </cell>
        </row>
        <row r="822">
          <cell r="A822">
            <v>9313240</v>
          </cell>
          <cell r="B822">
            <v>123159</v>
          </cell>
          <cell r="C822">
            <v>931</v>
          </cell>
          <cell r="D822" t="str">
            <v>Oxfordshire</v>
          </cell>
          <cell r="E822">
            <v>3240</v>
          </cell>
          <cell r="F822" t="str">
            <v>Sarah Nairne</v>
          </cell>
          <cell r="G822" t="str">
            <v>Stanford in the Vale Church of England Primary School</v>
          </cell>
          <cell r="H822" t="str">
            <v>South East</v>
          </cell>
          <cell r="I822" t="str">
            <v>High Street</v>
          </cell>
          <cell r="J822" t="str">
            <v>Stanford-in-the-Vale</v>
          </cell>
          <cell r="L822" t="str">
            <v>Faringdon</v>
          </cell>
          <cell r="M822" t="str">
            <v>Oxfordshire</v>
          </cell>
          <cell r="N822" t="str">
            <v>SN7 8LH</v>
          </cell>
        </row>
        <row r="823">
          <cell r="A823">
            <v>8865458</v>
          </cell>
          <cell r="B823">
            <v>118930</v>
          </cell>
          <cell r="C823">
            <v>886</v>
          </cell>
          <cell r="D823" t="str">
            <v>Kent</v>
          </cell>
          <cell r="E823">
            <v>5458</v>
          </cell>
          <cell r="F823" t="str">
            <v>Tony Dunne</v>
          </cell>
          <cell r="G823" t="str">
            <v>Pent Valley Technology College</v>
          </cell>
          <cell r="H823" t="str">
            <v>South East</v>
          </cell>
          <cell r="I823" t="str">
            <v>Surrenden Road</v>
          </cell>
          <cell r="L823" t="str">
            <v>Folkestone</v>
          </cell>
          <cell r="M823" t="str">
            <v>Kent</v>
          </cell>
          <cell r="N823" t="str">
            <v>CT19 4ED</v>
          </cell>
        </row>
        <row r="824">
          <cell r="A824">
            <v>3934603</v>
          </cell>
          <cell r="B824">
            <v>108735</v>
          </cell>
          <cell r="C824">
            <v>393</v>
          </cell>
          <cell r="D824" t="str">
            <v>South Tyneside</v>
          </cell>
          <cell r="E824">
            <v>4603</v>
          </cell>
          <cell r="F824" t="str">
            <v>Lisa Sargeant</v>
          </cell>
          <cell r="G824" t="str">
            <v>St Joseph's RC Voluntary Aided Comprehensive School</v>
          </cell>
          <cell r="H824" t="str">
            <v>North East</v>
          </cell>
          <cell r="I824" t="str">
            <v>Mill Lane</v>
          </cell>
          <cell r="L824" t="str">
            <v>Hebburn</v>
          </cell>
          <cell r="M824" t="str">
            <v>Tyne and Wear</v>
          </cell>
          <cell r="N824" t="str">
            <v>NE31 2ET</v>
          </cell>
          <cell r="O824" t="str">
            <v>campbellj@stjosephs.uk.net</v>
          </cell>
        </row>
        <row r="825">
          <cell r="A825">
            <v>9285210</v>
          </cell>
          <cell r="B825">
            <v>122112</v>
          </cell>
          <cell r="C825">
            <v>928</v>
          </cell>
          <cell r="D825" t="str">
            <v>Northamptonshire</v>
          </cell>
          <cell r="E825">
            <v>5210</v>
          </cell>
          <cell r="F825" t="str">
            <v>Sue Harp</v>
          </cell>
          <cell r="G825" t="str">
            <v>Stanion Church of England (Aided) Primary School</v>
          </cell>
          <cell r="H825" t="str">
            <v>East Midlands</v>
          </cell>
          <cell r="I825" t="str">
            <v>Cardigan Road</v>
          </cell>
          <cell r="J825" t="str">
            <v>Stanion</v>
          </cell>
          <cell r="L825" t="str">
            <v>Kettering</v>
          </cell>
          <cell r="M825" t="str">
            <v>Northamptonshire</v>
          </cell>
          <cell r="N825" t="str">
            <v>NN14 1BY</v>
          </cell>
          <cell r="O825" t="str">
            <v>head@stanion.northants-ecl.gov.uk</v>
          </cell>
        </row>
        <row r="826">
          <cell r="A826">
            <v>8315412</v>
          </cell>
          <cell r="B826">
            <v>112997</v>
          </cell>
          <cell r="C826">
            <v>831</v>
          </cell>
          <cell r="D826" t="str">
            <v>Derby</v>
          </cell>
          <cell r="E826">
            <v>5412</v>
          </cell>
          <cell r="F826" t="str">
            <v>Grant Dyson</v>
          </cell>
          <cell r="G826" t="str">
            <v xml:space="preserve">West Park School </v>
          </cell>
          <cell r="H826" t="str">
            <v>East Midlands</v>
          </cell>
          <cell r="I826" t="str">
            <v>West Road</v>
          </cell>
          <cell r="J826" t="str">
            <v>Spondon</v>
          </cell>
          <cell r="L826" t="str">
            <v>Derby</v>
          </cell>
          <cell r="M826" t="str">
            <v>Derbyshire</v>
          </cell>
          <cell r="N826" t="str">
            <v>DE21 7BT</v>
          </cell>
          <cell r="O826" t="str">
            <v>brian.walker@westpark.derby.sch.uk</v>
          </cell>
          <cell r="P826">
            <v>40550</v>
          </cell>
        </row>
        <row r="827">
          <cell r="A827">
            <v>8127011</v>
          </cell>
          <cell r="B827">
            <v>118143</v>
          </cell>
          <cell r="C827">
            <v>812</v>
          </cell>
          <cell r="D827" t="str">
            <v>North East Lincolnshire</v>
          </cell>
          <cell r="E827">
            <v>7011</v>
          </cell>
          <cell r="F827" t="str">
            <v>Frances Blow</v>
          </cell>
          <cell r="G827" t="str">
            <v>Humberston Park School</v>
          </cell>
          <cell r="H827" t="str">
            <v>Yorkshire and the Humber</v>
          </cell>
          <cell r="I827" t="str">
            <v>St Thomas Close</v>
          </cell>
          <cell r="J827" t="str">
            <v>Humberston</v>
          </cell>
          <cell r="L827" t="str">
            <v>Grimsby</v>
          </cell>
          <cell r="N827" t="str">
            <v>DN36 4HS</v>
          </cell>
          <cell r="O827" t="str">
            <v>head@hp.tlfe.org</v>
          </cell>
          <cell r="P827">
            <v>40606</v>
          </cell>
        </row>
        <row r="828">
          <cell r="A828">
            <v>2092599</v>
          </cell>
          <cell r="B828">
            <v>100706</v>
          </cell>
          <cell r="C828">
            <v>209</v>
          </cell>
          <cell r="D828" t="str">
            <v>Lewisham</v>
          </cell>
          <cell r="E828">
            <v>2599</v>
          </cell>
          <cell r="F828" t="str">
            <v>Helen Barry</v>
          </cell>
          <cell r="G828" t="str">
            <v xml:space="preserve">Tidemill School </v>
          </cell>
          <cell r="H828" t="str">
            <v>London</v>
          </cell>
          <cell r="I828" t="str">
            <v>Frankham Street</v>
          </cell>
          <cell r="L828" t="str">
            <v>London</v>
          </cell>
          <cell r="N828" t="str">
            <v>SE8 4RN</v>
          </cell>
          <cell r="O828" t="str">
            <v>mark_elms@yahoo.co.uk</v>
          </cell>
          <cell r="P828">
            <v>40547</v>
          </cell>
        </row>
        <row r="829">
          <cell r="A829">
            <v>9095406</v>
          </cell>
          <cell r="B829">
            <v>112433</v>
          </cell>
          <cell r="C829">
            <v>909</v>
          </cell>
          <cell r="D829" t="str">
            <v>Cumbria</v>
          </cell>
          <cell r="E829">
            <v>5406</v>
          </cell>
          <cell r="F829" t="str">
            <v>Linda Tiley</v>
          </cell>
          <cell r="G829" t="str">
            <v>Kirkby Stephen Grammar School</v>
          </cell>
          <cell r="H829" t="str">
            <v>North West</v>
          </cell>
          <cell r="I829" t="str">
            <v>Christian Head</v>
          </cell>
          <cell r="L829" t="str">
            <v>Kirkby Stephen</v>
          </cell>
          <cell r="M829" t="str">
            <v>Cumbria</v>
          </cell>
          <cell r="N829" t="str">
            <v>CA17 4HA</v>
          </cell>
          <cell r="O829" t="str">
            <v>david.keetley@ksgs.cumbria.sch.uk</v>
          </cell>
          <cell r="P829">
            <v>40568</v>
          </cell>
        </row>
        <row r="830">
          <cell r="A830">
            <v>8817022</v>
          </cell>
          <cell r="B830">
            <v>115450</v>
          </cell>
          <cell r="C830">
            <v>881</v>
          </cell>
          <cell r="D830" t="str">
            <v>Essex</v>
          </cell>
          <cell r="E830">
            <v>7022</v>
          </cell>
          <cell r="F830" t="str">
            <v>Claire Ivie</v>
          </cell>
          <cell r="G830" t="str">
            <v>Wells Park School</v>
          </cell>
          <cell r="H830" t="str">
            <v>East of England</v>
          </cell>
          <cell r="I830" t="str">
            <v>School Lane</v>
          </cell>
          <cell r="J830" t="str">
            <v>Lambourne Road</v>
          </cell>
          <cell r="L830" t="str">
            <v>Chigwell</v>
          </cell>
          <cell r="M830" t="str">
            <v>Essex</v>
          </cell>
          <cell r="N830" t="str">
            <v>IG7 6NN</v>
          </cell>
          <cell r="O830" t="str">
            <v>admin@wellspark.essex.sch.uk</v>
          </cell>
        </row>
        <row r="831">
          <cell r="A831">
            <v>9374240</v>
          </cell>
          <cell r="B831">
            <v>125750</v>
          </cell>
          <cell r="C831">
            <v>937</v>
          </cell>
          <cell r="D831" t="str">
            <v>Warwickshire</v>
          </cell>
          <cell r="E831">
            <v>4240</v>
          </cell>
          <cell r="F831" t="str">
            <v>Julia Waterhouse</v>
          </cell>
          <cell r="G831" t="str">
            <v>Alcester High School Technology College</v>
          </cell>
          <cell r="H831" t="str">
            <v>West Midlands</v>
          </cell>
          <cell r="I831" t="str">
            <v>Gerard Road</v>
          </cell>
          <cell r="L831" t="str">
            <v>Alcester</v>
          </cell>
          <cell r="M831" t="str">
            <v>Warwickshire</v>
          </cell>
          <cell r="N831" t="str">
            <v>B49 6QQ</v>
          </cell>
          <cell r="O831" t="str">
            <v>brooks.j1@we-learn.com</v>
          </cell>
          <cell r="P831">
            <v>40610</v>
          </cell>
        </row>
        <row r="832">
          <cell r="A832">
            <v>8782004</v>
          </cell>
          <cell r="B832">
            <v>113062</v>
          </cell>
          <cell r="C832">
            <v>878</v>
          </cell>
          <cell r="D832" t="str">
            <v>Devon</v>
          </cell>
          <cell r="E832">
            <v>2004</v>
          </cell>
          <cell r="F832" t="str">
            <v>Nigel Hutchins</v>
          </cell>
          <cell r="G832" t="str">
            <v>Broadclyst Community Primary School</v>
          </cell>
          <cell r="H832" t="str">
            <v>South West</v>
          </cell>
          <cell r="I832" t="str">
            <v>School Lane</v>
          </cell>
          <cell r="J832" t="str">
            <v>Broadclyst</v>
          </cell>
          <cell r="L832" t="str">
            <v>Exeter</v>
          </cell>
          <cell r="M832" t="str">
            <v>Devon</v>
          </cell>
          <cell r="N832" t="str">
            <v>EX5 3JG</v>
          </cell>
          <cell r="O832" t="str">
            <v>jbishop@bcps.org.uk</v>
          </cell>
          <cell r="P832">
            <v>40343</v>
          </cell>
        </row>
        <row r="833">
          <cell r="A833">
            <v>8064122</v>
          </cell>
          <cell r="B833">
            <v>111741</v>
          </cell>
          <cell r="C833">
            <v>806</v>
          </cell>
          <cell r="D833" t="str">
            <v>Middlesbrough</v>
          </cell>
          <cell r="E833">
            <v>4122</v>
          </cell>
          <cell r="F833" t="str">
            <v>Alan Large</v>
          </cell>
          <cell r="G833" t="str">
            <v>Ormesby School</v>
          </cell>
          <cell r="H833" t="str">
            <v>North East</v>
          </cell>
          <cell r="I833" t="str">
            <v>Stockwith Close</v>
          </cell>
          <cell r="J833" t="str">
            <v>Netherfields</v>
          </cell>
          <cell r="L833" t="str">
            <v>Middlesbrough</v>
          </cell>
          <cell r="N833" t="str">
            <v>TS3 0RG</v>
          </cell>
          <cell r="O833" t="str">
            <v>steve_burrows@middlesbrough.gov.uk</v>
          </cell>
          <cell r="P833">
            <v>40892</v>
          </cell>
        </row>
        <row r="834">
          <cell r="A834">
            <v>8362152</v>
          </cell>
          <cell r="B834">
            <v>113688</v>
          </cell>
          <cell r="C834">
            <v>836</v>
          </cell>
          <cell r="D834" t="str">
            <v>Poole</v>
          </cell>
          <cell r="E834">
            <v>2152</v>
          </cell>
          <cell r="F834" t="str">
            <v>Not yet assigned</v>
          </cell>
          <cell r="G834" t="str">
            <v>Courthill First School</v>
          </cell>
          <cell r="H834" t="str">
            <v>South West</v>
          </cell>
          <cell r="I834" t="str">
            <v>Courthill Road</v>
          </cell>
          <cell r="J834" t="str">
            <v>Parkstone</v>
          </cell>
          <cell r="L834" t="str">
            <v>Poole</v>
          </cell>
          <cell r="M834" t="str">
            <v>Dorset</v>
          </cell>
          <cell r="N834" t="str">
            <v>BH14 9HL</v>
          </cell>
          <cell r="O834" t="str">
            <v>jane.davies@poole.gov.uk</v>
          </cell>
        </row>
        <row r="835">
          <cell r="A835">
            <v>8412003</v>
          </cell>
          <cell r="B835">
            <v>134075</v>
          </cell>
          <cell r="C835">
            <v>841</v>
          </cell>
          <cell r="D835" t="str">
            <v>Darlington</v>
          </cell>
          <cell r="E835">
            <v>2003</v>
          </cell>
          <cell r="F835" t="str">
            <v>Carol Ions</v>
          </cell>
          <cell r="G835" t="str">
            <v>Corporation Road Community Primary School</v>
          </cell>
          <cell r="H835" t="str">
            <v>North East</v>
          </cell>
          <cell r="I835" t="str">
            <v>Corporation Road</v>
          </cell>
          <cell r="L835" t="str">
            <v>Darlington</v>
          </cell>
          <cell r="M835" t="str">
            <v>County Durham</v>
          </cell>
          <cell r="N835" t="str">
            <v>DL3 6AR</v>
          </cell>
          <cell r="O835" t="str">
            <v>head@corporationroad.darlington.sch.uk</v>
          </cell>
        </row>
        <row r="836">
          <cell r="A836">
            <v>9163355</v>
          </cell>
          <cell r="B836">
            <v>115706</v>
          </cell>
          <cell r="C836">
            <v>916</v>
          </cell>
          <cell r="D836" t="str">
            <v>Gloucestershire</v>
          </cell>
          <cell r="E836">
            <v>3355</v>
          </cell>
          <cell r="F836" t="str">
            <v>Dominic Wilson</v>
          </cell>
          <cell r="G836" t="str">
            <v>St Dominic's Catholic Primary School</v>
          </cell>
          <cell r="H836" t="str">
            <v>South West</v>
          </cell>
          <cell r="I836" t="str">
            <v>St Mary's Hill</v>
          </cell>
          <cell r="J836" t="str">
            <v>Inchbrook</v>
          </cell>
          <cell r="L836" t="str">
            <v>Stroud</v>
          </cell>
          <cell r="M836" t="str">
            <v>Gloucestershire</v>
          </cell>
          <cell r="N836" t="str">
            <v>GL5 5HP</v>
          </cell>
          <cell r="O836" t="str">
            <v>head@st-dominics.gloucs.sch.uk</v>
          </cell>
          <cell r="P836">
            <v>40660</v>
          </cell>
        </row>
        <row r="837">
          <cell r="A837">
            <v>8653435</v>
          </cell>
          <cell r="B837">
            <v>126430</v>
          </cell>
          <cell r="C837">
            <v>865</v>
          </cell>
          <cell r="D837" t="str">
            <v>Wiltshire</v>
          </cell>
          <cell r="E837">
            <v>3435</v>
          </cell>
          <cell r="F837" t="str">
            <v>Not yet assigned</v>
          </cell>
          <cell r="G837" t="str">
            <v>Wardour Catholic Primary School</v>
          </cell>
          <cell r="H837" t="str">
            <v>South West</v>
          </cell>
          <cell r="I837" t="str">
            <v>Wardour</v>
          </cell>
          <cell r="J837" t="str">
            <v>Tisbury</v>
          </cell>
          <cell r="L837" t="str">
            <v>Salisbury</v>
          </cell>
          <cell r="M837" t="str">
            <v>Wiltshire</v>
          </cell>
          <cell r="N837" t="str">
            <v>SP3 6RF</v>
          </cell>
          <cell r="O837" t="str">
            <v>head@wardour.wilts.sch.uk</v>
          </cell>
        </row>
        <row r="838">
          <cell r="A838">
            <v>8964135</v>
          </cell>
          <cell r="B838">
            <v>111416</v>
          </cell>
          <cell r="C838">
            <v>896</v>
          </cell>
          <cell r="D838" t="str">
            <v>Cheshire West and Chester</v>
          </cell>
          <cell r="E838">
            <v>4135</v>
          </cell>
          <cell r="F838" t="str">
            <v>Cathy Dudley</v>
          </cell>
          <cell r="G838" t="str">
            <v>Tarporley High School and Sixth Form College</v>
          </cell>
          <cell r="H838" t="str">
            <v>North West</v>
          </cell>
          <cell r="I838" t="str">
            <v>Eaton Road</v>
          </cell>
          <cell r="L838" t="str">
            <v>Tarporley</v>
          </cell>
          <cell r="M838" t="str">
            <v>Cheshire</v>
          </cell>
          <cell r="N838" t="str">
            <v>CW6 0BL</v>
          </cell>
          <cell r="O838" t="str">
            <v>slee@tarporley-high.cheshire.sch.uk</v>
          </cell>
          <cell r="P838">
            <v>40996</v>
          </cell>
        </row>
        <row r="839">
          <cell r="A839">
            <v>8103511</v>
          </cell>
          <cell r="B839">
            <v>118055</v>
          </cell>
          <cell r="C839">
            <v>810</v>
          </cell>
          <cell r="D839" t="str">
            <v>Kingston upon Hull City of</v>
          </cell>
          <cell r="E839">
            <v>3511</v>
          </cell>
          <cell r="F839" t="str">
            <v>Adriarna Goodinson</v>
          </cell>
          <cell r="G839" t="str">
            <v>St Thomas More RC Primary School</v>
          </cell>
          <cell r="H839" t="str">
            <v>Yorkshire and the Humber</v>
          </cell>
          <cell r="I839" t="str">
            <v>St Thomas More Road</v>
          </cell>
          <cell r="L839" t="str">
            <v>Hull</v>
          </cell>
          <cell r="N839" t="str">
            <v>HU4 7NP</v>
          </cell>
          <cell r="O839" t="str">
            <v>head@st-thomasmore.hull.sch.uk</v>
          </cell>
        </row>
        <row r="840">
          <cell r="A840">
            <v>8102280</v>
          </cell>
          <cell r="B840">
            <v>117796</v>
          </cell>
          <cell r="C840">
            <v>810</v>
          </cell>
          <cell r="D840" t="str">
            <v>Kingston upon Hull City of</v>
          </cell>
          <cell r="E840">
            <v>2280</v>
          </cell>
          <cell r="F840" t="str">
            <v>Claire Ryan</v>
          </cell>
          <cell r="G840" t="str">
            <v>Hall Road Primary School</v>
          </cell>
          <cell r="H840" t="str">
            <v>Yorkshire and the Humber</v>
          </cell>
          <cell r="I840" t="str">
            <v>Hall Road</v>
          </cell>
          <cell r="L840" t="str">
            <v>Hull</v>
          </cell>
          <cell r="N840" t="str">
            <v>HU6 8PP</v>
          </cell>
        </row>
        <row r="841">
          <cell r="A841">
            <v>9292405</v>
          </cell>
          <cell r="B841">
            <v>122257</v>
          </cell>
          <cell r="C841">
            <v>929</v>
          </cell>
          <cell r="D841" t="str">
            <v>Northumberland</v>
          </cell>
          <cell r="E841">
            <v>2405</v>
          </cell>
          <cell r="F841" t="str">
            <v>Bev Mullin</v>
          </cell>
          <cell r="G841" t="str">
            <v>Morpeth Road Primary School</v>
          </cell>
          <cell r="H841" t="str">
            <v>North East</v>
          </cell>
          <cell r="I841" t="str">
            <v>Disraeli Street</v>
          </cell>
          <cell r="L841" t="str">
            <v>Blyth</v>
          </cell>
          <cell r="M841" t="str">
            <v>Northumberland</v>
          </cell>
          <cell r="N841" t="str">
            <v>NE24 1HZ</v>
          </cell>
          <cell r="O841" t="str">
            <v>michael.bell@northumberland.gov.uk</v>
          </cell>
          <cell r="P841">
            <v>41232</v>
          </cell>
        </row>
        <row r="842">
          <cell r="A842">
            <v>3804041</v>
          </cell>
          <cell r="B842">
            <v>107368</v>
          </cell>
          <cell r="C842">
            <v>380</v>
          </cell>
          <cell r="D842" t="str">
            <v>Bradford</v>
          </cell>
          <cell r="E842">
            <v>4041</v>
          </cell>
          <cell r="F842" t="str">
            <v>Alan Large</v>
          </cell>
          <cell r="G842" t="str">
            <v>Belle Vue Girls' School</v>
          </cell>
          <cell r="H842" t="str">
            <v>Yorkshire and the Humber</v>
          </cell>
          <cell r="I842" t="str">
            <v>Thorn Lane</v>
          </cell>
          <cell r="J842" t="str">
            <v>Bingley Road</v>
          </cell>
          <cell r="L842" t="str">
            <v>Bradford</v>
          </cell>
          <cell r="M842" t="str">
            <v>West Yorkshire</v>
          </cell>
          <cell r="N842" t="str">
            <v>BD9 6NA</v>
          </cell>
          <cell r="O842" t="str">
            <v>mcd@bvg.ngfl.ac.uk</v>
          </cell>
          <cell r="P842">
            <v>40697</v>
          </cell>
        </row>
        <row r="843">
          <cell r="A843">
            <v>8062327</v>
          </cell>
          <cell r="B843">
            <v>111627</v>
          </cell>
          <cell r="C843">
            <v>806</v>
          </cell>
          <cell r="D843" t="str">
            <v>Middlesbrough</v>
          </cell>
          <cell r="E843">
            <v>2327</v>
          </cell>
          <cell r="F843" t="str">
            <v>Alan Large</v>
          </cell>
          <cell r="G843" t="str">
            <v>Brambles Primary School</v>
          </cell>
          <cell r="H843" t="str">
            <v>North East</v>
          </cell>
          <cell r="I843" t="str">
            <v>Kedward Avenue</v>
          </cell>
          <cell r="J843" t="str">
            <v>Brambles Farm</v>
          </cell>
          <cell r="L843" t="str">
            <v>Middlesbrough</v>
          </cell>
          <cell r="N843" t="str">
            <v>TS3 9DB</v>
          </cell>
          <cell r="O843" t="str">
            <v>J_Wilson@middlesbrough.gov.uk</v>
          </cell>
        </row>
        <row r="844">
          <cell r="A844">
            <v>8007035</v>
          </cell>
          <cell r="B844">
            <v>109405</v>
          </cell>
          <cell r="C844">
            <v>800</v>
          </cell>
          <cell r="D844" t="str">
            <v>Bath and North East Somerset</v>
          </cell>
          <cell r="E844">
            <v>7035</v>
          </cell>
          <cell r="F844" t="str">
            <v>Lin Houston</v>
          </cell>
          <cell r="G844" t="str">
            <v>Fosse Way School</v>
          </cell>
          <cell r="H844" t="str">
            <v>South West</v>
          </cell>
          <cell r="I844" t="str">
            <v>Longfellow Road</v>
          </cell>
          <cell r="J844" t="str">
            <v>Radstock</v>
          </cell>
          <cell r="L844" t="str">
            <v>Bath</v>
          </cell>
          <cell r="M844" t="str">
            <v>Somerset</v>
          </cell>
          <cell r="N844" t="str">
            <v>BA3 3AL</v>
          </cell>
          <cell r="O844" t="str">
            <v>DGregory@fossewayschool.com</v>
          </cell>
          <cell r="P844">
            <v>40564</v>
          </cell>
        </row>
        <row r="845">
          <cell r="A845">
            <v>8354031</v>
          </cell>
          <cell r="B845">
            <v>113860</v>
          </cell>
          <cell r="C845">
            <v>835</v>
          </cell>
          <cell r="D845" t="str">
            <v>Dorset</v>
          </cell>
          <cell r="E845">
            <v>4031</v>
          </cell>
          <cell r="F845" t="str">
            <v>Kate Bosher</v>
          </cell>
          <cell r="G845" t="str">
            <v>Dorchester Middle School</v>
          </cell>
          <cell r="H845" t="str">
            <v>South West</v>
          </cell>
          <cell r="I845" t="str">
            <v>Queen's Avenue</v>
          </cell>
          <cell r="L845" t="str">
            <v>Dorchester</v>
          </cell>
          <cell r="M845" t="str">
            <v>Dorset</v>
          </cell>
          <cell r="N845" t="str">
            <v>DT1 2HS</v>
          </cell>
          <cell r="O845" t="str">
            <v>pchadwick@dorchestermid.dorset.sch.uk</v>
          </cell>
          <cell r="P845">
            <v>40949</v>
          </cell>
        </row>
        <row r="846">
          <cell r="A846">
            <v>3134028</v>
          </cell>
          <cell r="B846">
            <v>102539</v>
          </cell>
          <cell r="C846">
            <v>313</v>
          </cell>
          <cell r="D846" t="str">
            <v>Hounslow</v>
          </cell>
          <cell r="E846">
            <v>4028</v>
          </cell>
          <cell r="F846" t="str">
            <v>Susan Power</v>
          </cell>
          <cell r="G846" t="str">
            <v>The Heathland School</v>
          </cell>
          <cell r="H846" t="str">
            <v>London</v>
          </cell>
          <cell r="I846" t="str">
            <v>Wellington Road South</v>
          </cell>
          <cell r="L846" t="str">
            <v>Hounslow</v>
          </cell>
          <cell r="N846" t="str">
            <v>TW4 5JD</v>
          </cell>
          <cell r="O846" t="str">
            <v>mike@mikenicholls.plus.com</v>
          </cell>
        </row>
        <row r="847">
          <cell r="A847">
            <v>3734272</v>
          </cell>
          <cell r="B847">
            <v>107144</v>
          </cell>
          <cell r="C847">
            <v>373</v>
          </cell>
          <cell r="D847" t="str">
            <v>Sheffield</v>
          </cell>
          <cell r="E847">
            <v>4272</v>
          </cell>
          <cell r="F847" t="str">
            <v>Bev Annables</v>
          </cell>
          <cell r="G847" t="str">
            <v>Bradfield School</v>
          </cell>
          <cell r="H847" t="str">
            <v>Yorkshire and the Humber</v>
          </cell>
          <cell r="I847" t="str">
            <v>Kirk Edge Road</v>
          </cell>
          <cell r="J847" t="str">
            <v>Worrall</v>
          </cell>
          <cell r="L847" t="str">
            <v>Sheffield</v>
          </cell>
          <cell r="M847" t="str">
            <v>South Yorkshire</v>
          </cell>
          <cell r="N847" t="str">
            <v>S35 0AE</v>
          </cell>
          <cell r="O847" t="str">
            <v>dconway@bradfield.sheffield.sch.uk</v>
          </cell>
          <cell r="P847">
            <v>40815</v>
          </cell>
        </row>
        <row r="848">
          <cell r="A848">
            <v>9283331</v>
          </cell>
          <cell r="B848">
            <v>122027</v>
          </cell>
          <cell r="C848">
            <v>928</v>
          </cell>
          <cell r="D848" t="str">
            <v>Northamptonshire</v>
          </cell>
          <cell r="E848">
            <v>3331</v>
          </cell>
          <cell r="F848" t="str">
            <v>Stephen Standret</v>
          </cell>
          <cell r="G848" t="str">
            <v>Newbottle and Charlton CEVA Primary School</v>
          </cell>
          <cell r="H848" t="str">
            <v>East Midlands</v>
          </cell>
          <cell r="I848" t="str">
            <v>Green Lane</v>
          </cell>
          <cell r="J848" t="str">
            <v>Charlton</v>
          </cell>
          <cell r="L848" t="str">
            <v>Banbury</v>
          </cell>
          <cell r="M848" t="str">
            <v>Oxfordshire</v>
          </cell>
          <cell r="N848" t="str">
            <v>OX17 3DN</v>
          </cell>
          <cell r="O848" t="str">
            <v>head@newbottle.northants-ecl.gov.uk</v>
          </cell>
        </row>
        <row r="849">
          <cell r="A849">
            <v>9314094</v>
          </cell>
          <cell r="B849">
            <v>123246</v>
          </cell>
          <cell r="C849">
            <v>931</v>
          </cell>
          <cell r="D849" t="str">
            <v>Oxfordshire</v>
          </cell>
          <cell r="E849">
            <v>4094</v>
          </cell>
          <cell r="F849" t="str">
            <v>Bukky Sawyerr</v>
          </cell>
          <cell r="G849" t="str">
            <v>Langtree School</v>
          </cell>
          <cell r="H849" t="str">
            <v>South East</v>
          </cell>
          <cell r="I849" t="str">
            <v>Woodcote</v>
          </cell>
          <cell r="L849" t="str">
            <v>Reading</v>
          </cell>
          <cell r="M849" t="str">
            <v>Berkshire</v>
          </cell>
          <cell r="N849" t="str">
            <v>RG8 0RA</v>
          </cell>
          <cell r="O849" t="str">
            <v>head.4094@langtree.oxon.sch.uk</v>
          </cell>
          <cell r="P849">
            <v>40806</v>
          </cell>
        </row>
        <row r="850">
          <cell r="A850">
            <v>8863086</v>
          </cell>
          <cell r="B850">
            <v>118633</v>
          </cell>
          <cell r="C850">
            <v>886</v>
          </cell>
          <cell r="D850" t="str">
            <v>Kent</v>
          </cell>
          <cell r="E850">
            <v>3086</v>
          </cell>
          <cell r="F850" t="str">
            <v>Darren Francis</v>
          </cell>
          <cell r="G850" t="str">
            <v>West Malling Church of England Voluntary Controlled Primary School and Language Unit</v>
          </cell>
          <cell r="H850" t="str">
            <v>South East</v>
          </cell>
          <cell r="I850" t="str">
            <v>Old Cricket Ground</v>
          </cell>
          <cell r="J850" t="str">
            <v>Norman Road</v>
          </cell>
          <cell r="L850" t="str">
            <v>West Malling</v>
          </cell>
          <cell r="M850" t="str">
            <v>Kent</v>
          </cell>
          <cell r="N850" t="str">
            <v>ME19 6RL</v>
          </cell>
          <cell r="O850" t="str">
            <v>headteacher@west-malling.kent.sch.uk</v>
          </cell>
          <cell r="P850">
            <v>40966</v>
          </cell>
        </row>
        <row r="851">
          <cell r="A851">
            <v>3134027</v>
          </cell>
          <cell r="B851">
            <v>102538</v>
          </cell>
          <cell r="C851">
            <v>313</v>
          </cell>
          <cell r="D851" t="str">
            <v>Hounslow</v>
          </cell>
          <cell r="E851">
            <v>4027</v>
          </cell>
          <cell r="F851" t="str">
            <v>Susan Power</v>
          </cell>
          <cell r="G851" t="str">
            <v>Lampton School</v>
          </cell>
          <cell r="H851" t="str">
            <v>London</v>
          </cell>
          <cell r="I851" t="str">
            <v>Lampton Avenue</v>
          </cell>
          <cell r="L851" t="str">
            <v>Hounslow</v>
          </cell>
          <cell r="N851" t="str">
            <v>TW3 4EP</v>
          </cell>
          <cell r="O851" t="str">
            <v>sjohn@lampton.hounslow.sch.uk</v>
          </cell>
          <cell r="P851">
            <v>40358</v>
          </cell>
        </row>
        <row r="852">
          <cell r="A852">
            <v>8784012</v>
          </cell>
          <cell r="B852">
            <v>113504</v>
          </cell>
          <cell r="C852">
            <v>878</v>
          </cell>
          <cell r="D852" t="str">
            <v>Devon</v>
          </cell>
          <cell r="E852">
            <v>4012</v>
          </cell>
          <cell r="F852" t="str">
            <v>Susan Phillips</v>
          </cell>
          <cell r="G852" t="str">
            <v>Exmouth Community College</v>
          </cell>
          <cell r="H852" t="str">
            <v>South West</v>
          </cell>
          <cell r="I852" t="str">
            <v>Gipsy Lane</v>
          </cell>
          <cell r="L852" t="str">
            <v>Exmouth</v>
          </cell>
          <cell r="M852" t="str">
            <v>Devon</v>
          </cell>
          <cell r="N852" t="str">
            <v>EX8 3AF</v>
          </cell>
          <cell r="O852" t="str">
            <v>julie.proctor@exmouthcollege.devon.sch.uk</v>
          </cell>
          <cell r="P852">
            <v>40519</v>
          </cell>
        </row>
        <row r="853">
          <cell r="A853">
            <v>9314041</v>
          </cell>
          <cell r="B853">
            <v>123236</v>
          </cell>
          <cell r="C853">
            <v>931</v>
          </cell>
          <cell r="D853" t="str">
            <v>Oxfordshire</v>
          </cell>
          <cell r="E853">
            <v>4041</v>
          </cell>
          <cell r="F853" t="str">
            <v>Sarah Nairne</v>
          </cell>
          <cell r="G853" t="str">
            <v>Carterton Community College</v>
          </cell>
          <cell r="H853" t="str">
            <v>South East</v>
          </cell>
          <cell r="I853" t="str">
            <v>Upavon Way</v>
          </cell>
          <cell r="L853" t="str">
            <v>Carterton</v>
          </cell>
          <cell r="M853" t="str">
            <v>Oxfordshire</v>
          </cell>
          <cell r="N853" t="str">
            <v>OX18 1BU</v>
          </cell>
        </row>
        <row r="854">
          <cell r="A854">
            <v>8813321</v>
          </cell>
          <cell r="B854">
            <v>115143</v>
          </cell>
          <cell r="C854">
            <v>881</v>
          </cell>
          <cell r="D854" t="str">
            <v>Essex</v>
          </cell>
          <cell r="E854">
            <v>3321</v>
          </cell>
          <cell r="F854" t="str">
            <v>Kish Chetty</v>
          </cell>
          <cell r="G854" t="str">
            <v>St Teresa's Catholic Primary School, Colchester</v>
          </cell>
          <cell r="H854" t="str">
            <v>East of England</v>
          </cell>
          <cell r="I854" t="str">
            <v>Clairmont Road</v>
          </cell>
          <cell r="J854" t="str">
            <v>Lexden</v>
          </cell>
          <cell r="L854" t="str">
            <v>Colchester</v>
          </cell>
          <cell r="M854" t="str">
            <v>Essex</v>
          </cell>
          <cell r="N854" t="str">
            <v>CO3 9BE</v>
          </cell>
          <cell r="O854" t="str">
            <v>Frances@st-teresas.essex.sch.uk</v>
          </cell>
          <cell r="P854">
            <v>40948</v>
          </cell>
        </row>
        <row r="855">
          <cell r="A855">
            <v>8522771</v>
          </cell>
          <cell r="B855">
            <v>116263</v>
          </cell>
          <cell r="C855">
            <v>852</v>
          </cell>
          <cell r="D855" t="str">
            <v>Southampton</v>
          </cell>
          <cell r="E855">
            <v>2771</v>
          </cell>
          <cell r="F855" t="str">
            <v>Lindsay Morris</v>
          </cell>
          <cell r="G855" t="str">
            <v>Mason Moor Primary School</v>
          </cell>
          <cell r="H855" t="str">
            <v>South East</v>
          </cell>
          <cell r="I855" t="str">
            <v>Helvellyn Road</v>
          </cell>
          <cell r="J855" t="str">
            <v>Millbrook</v>
          </cell>
          <cell r="L855" t="str">
            <v>Southampton</v>
          </cell>
          <cell r="M855" t="str">
            <v>Hampshire</v>
          </cell>
          <cell r="N855" t="str">
            <v>SO16 4AS</v>
          </cell>
          <cell r="O855" t="str">
            <v>head@masonmoor.southampton.sch.uk</v>
          </cell>
        </row>
        <row r="856">
          <cell r="A856">
            <v>8552029</v>
          </cell>
          <cell r="B856">
            <v>119919</v>
          </cell>
          <cell r="C856">
            <v>855</v>
          </cell>
          <cell r="D856" t="str">
            <v>Leicestershire</v>
          </cell>
          <cell r="E856">
            <v>2029</v>
          </cell>
          <cell r="F856" t="str">
            <v>Stephen Standret</v>
          </cell>
          <cell r="G856" t="str">
            <v>Cosby Primary School</v>
          </cell>
          <cell r="H856" t="str">
            <v>East Midlands</v>
          </cell>
          <cell r="I856" t="str">
            <v>Portland Street</v>
          </cell>
          <cell r="J856" t="str">
            <v>Cosby</v>
          </cell>
          <cell r="L856" t="str">
            <v>Leicester</v>
          </cell>
          <cell r="M856" t="str">
            <v>Leicestershire</v>
          </cell>
          <cell r="N856" t="str">
            <v>LE9 1TE</v>
          </cell>
          <cell r="O856" t="str">
            <v xml:space="preserve"> t.withers@cosby.leics.sch.uk</v>
          </cell>
          <cell r="P856">
            <v>40995</v>
          </cell>
        </row>
        <row r="857">
          <cell r="A857">
            <v>8817054</v>
          </cell>
          <cell r="B857">
            <v>115469</v>
          </cell>
          <cell r="C857">
            <v>881</v>
          </cell>
          <cell r="D857" t="str">
            <v>Essex</v>
          </cell>
          <cell r="E857">
            <v>7054</v>
          </cell>
          <cell r="F857" t="str">
            <v>Claire Ivie</v>
          </cell>
          <cell r="G857" t="str">
            <v>Glenwood School</v>
          </cell>
          <cell r="H857" t="str">
            <v>East of England</v>
          </cell>
          <cell r="I857" t="str">
            <v>Rushbottom Lane</v>
          </cell>
          <cell r="J857" t="str">
            <v>New Thundersley</v>
          </cell>
          <cell r="L857" t="str">
            <v>Benfleet</v>
          </cell>
          <cell r="M857" t="str">
            <v>Essex</v>
          </cell>
          <cell r="N857" t="str">
            <v>SS7 4LW</v>
          </cell>
          <cell r="O857" t="str">
            <v>admin@glenwood.essex.sch.uk</v>
          </cell>
        </row>
        <row r="858">
          <cell r="A858">
            <v>8554029</v>
          </cell>
          <cell r="B858">
            <v>120252</v>
          </cell>
          <cell r="C858">
            <v>855</v>
          </cell>
          <cell r="D858" t="str">
            <v>Leicestershire</v>
          </cell>
          <cell r="E858">
            <v>4029</v>
          </cell>
          <cell r="F858" t="str">
            <v>Sue Harp</v>
          </cell>
          <cell r="G858" t="str">
            <v>The Stonehill High School</v>
          </cell>
          <cell r="H858" t="str">
            <v>East Midlands</v>
          </cell>
          <cell r="I858" t="str">
            <v>Stonehill Avenue</v>
          </cell>
          <cell r="J858" t="str">
            <v>Birstall</v>
          </cell>
          <cell r="L858" t="str">
            <v>Leicester</v>
          </cell>
          <cell r="M858" t="str">
            <v>Leicestershire</v>
          </cell>
          <cell r="N858" t="str">
            <v>LE4 4JG</v>
          </cell>
          <cell r="O858" t="str">
            <v>amonks@stonehill.leics.sch.uk</v>
          </cell>
        </row>
        <row r="859">
          <cell r="A859">
            <v>3804616</v>
          </cell>
          <cell r="B859">
            <v>132219</v>
          </cell>
          <cell r="C859">
            <v>380</v>
          </cell>
          <cell r="D859" t="str">
            <v>Bradford</v>
          </cell>
          <cell r="E859">
            <v>4616</v>
          </cell>
          <cell r="G859" t="str">
            <v>Immanuel College</v>
          </cell>
          <cell r="H859" t="str">
            <v>Yorkshire and the Humber</v>
          </cell>
          <cell r="I859" t="str">
            <v>Leeds Road</v>
          </cell>
          <cell r="J859" t="str">
            <v>Idle</v>
          </cell>
          <cell r="L859" t="str">
            <v>Bradford</v>
          </cell>
          <cell r="M859" t="str">
            <v>West Yorkshire</v>
          </cell>
          <cell r="N859" t="str">
            <v>BD10 9AQ</v>
          </cell>
          <cell r="O859" t="str">
            <v>lizstorey@immanuelcollege.net</v>
          </cell>
        </row>
        <row r="860">
          <cell r="A860">
            <v>3062111</v>
          </cell>
          <cell r="B860">
            <v>132125</v>
          </cell>
          <cell r="C860">
            <v>306</v>
          </cell>
          <cell r="D860" t="str">
            <v>Croydon</v>
          </cell>
          <cell r="E860">
            <v>2111</v>
          </cell>
          <cell r="F860" t="str">
            <v>Bola Bakrin</v>
          </cell>
          <cell r="G860" t="str">
            <v>Byron Primary School</v>
          </cell>
          <cell r="H860" t="str">
            <v>London</v>
          </cell>
          <cell r="I860" t="str">
            <v>St David's</v>
          </cell>
          <cell r="J860" t="str">
            <v>Off Stoneyfield Road</v>
          </cell>
          <cell r="L860" t="str">
            <v>Coulsdon</v>
          </cell>
          <cell r="M860" t="str">
            <v>Surrey</v>
          </cell>
          <cell r="N860" t="str">
            <v>CR5 2XE</v>
          </cell>
          <cell r="O860" t="str">
            <v>clarewingrave@byron.croydon.sch.uk</v>
          </cell>
          <cell r="P860">
            <v>40948</v>
          </cell>
        </row>
        <row r="861">
          <cell r="A861">
            <v>8732066</v>
          </cell>
          <cell r="B861">
            <v>110632</v>
          </cell>
          <cell r="C861">
            <v>873</v>
          </cell>
          <cell r="D861" t="str">
            <v>Cambridgeshire</v>
          </cell>
          <cell r="E861">
            <v>2066</v>
          </cell>
          <cell r="F861" t="str">
            <v>Claire Ivie</v>
          </cell>
          <cell r="G861" t="str">
            <v>Lionel Walden Primary School</v>
          </cell>
          <cell r="H861" t="str">
            <v>East of England</v>
          </cell>
          <cell r="I861" t="str">
            <v>High Street</v>
          </cell>
          <cell r="J861" t="str">
            <v>Doddington</v>
          </cell>
          <cell r="L861" t="str">
            <v>March</v>
          </cell>
          <cell r="M861" t="str">
            <v>Cambridgeshire</v>
          </cell>
          <cell r="N861" t="str">
            <v>PE15 0TF</v>
          </cell>
          <cell r="O861" t="str">
            <v>head@lionelwalden.cambs.sch.uk</v>
          </cell>
        </row>
        <row r="862">
          <cell r="A862">
            <v>9363344</v>
          </cell>
          <cell r="B862">
            <v>125181</v>
          </cell>
          <cell r="C862">
            <v>936</v>
          </cell>
          <cell r="D862" t="str">
            <v>Surrey</v>
          </cell>
          <cell r="E862">
            <v>3344</v>
          </cell>
          <cell r="F862" t="str">
            <v>Gabriela Grimley</v>
          </cell>
          <cell r="G862" t="str">
            <v>Ewhurst CE Infant School</v>
          </cell>
          <cell r="H862" t="str">
            <v>South East</v>
          </cell>
          <cell r="I862" t="str">
            <v>The Street</v>
          </cell>
          <cell r="L862" t="str">
            <v>Ewhurst</v>
          </cell>
          <cell r="M862" t="str">
            <v>Surrey</v>
          </cell>
          <cell r="N862" t="str">
            <v>GU6 7PX</v>
          </cell>
          <cell r="O862" t="str">
            <v>head@ewhurst.surrey.sch.uk</v>
          </cell>
        </row>
        <row r="863">
          <cell r="A863">
            <v>3712201</v>
          </cell>
          <cell r="B863">
            <v>130289</v>
          </cell>
          <cell r="C863">
            <v>371</v>
          </cell>
          <cell r="D863" t="str">
            <v>Doncaster</v>
          </cell>
          <cell r="E863">
            <v>2201</v>
          </cell>
          <cell r="F863" t="str">
            <v>Glyn Newton</v>
          </cell>
          <cell r="G863" t="str">
            <v>Thorne Brooke Primary School</v>
          </cell>
          <cell r="H863" t="str">
            <v>Yorkshire and the Humber</v>
          </cell>
          <cell r="I863" t="str">
            <v>Wike Gate Road</v>
          </cell>
          <cell r="J863" t="str">
            <v>Thorne</v>
          </cell>
          <cell r="L863" t="str">
            <v>Doncaster</v>
          </cell>
          <cell r="M863" t="str">
            <v>South Yorkshire</v>
          </cell>
          <cell r="N863" t="str">
            <v>DN8 5PQ</v>
          </cell>
          <cell r="O863" t="str">
            <v>head@thornebrooke.doncaster.sch.uk</v>
          </cell>
        </row>
        <row r="864">
          <cell r="A864">
            <v>8604075</v>
          </cell>
          <cell r="B864">
            <v>124400</v>
          </cell>
          <cell r="C864">
            <v>860</v>
          </cell>
          <cell r="D864" t="str">
            <v>Staffordshire</v>
          </cell>
          <cell r="E864">
            <v>4075</v>
          </cell>
          <cell r="F864" t="str">
            <v>Hannah Copp</v>
          </cell>
          <cell r="G864" t="str">
            <v>Codsall Community High School</v>
          </cell>
          <cell r="H864" t="str">
            <v>West Midlands</v>
          </cell>
          <cell r="I864" t="str">
            <v>Elliotts Lane</v>
          </cell>
          <cell r="J864" t="str">
            <v>Codsall</v>
          </cell>
          <cell r="L864" t="str">
            <v>Wolverhampton</v>
          </cell>
          <cell r="M864" t="str">
            <v>Staffordshire</v>
          </cell>
          <cell r="N864" t="str">
            <v>WV8 1PQ</v>
          </cell>
          <cell r="O864" t="str">
            <v>headteacher@codsall-high.staffs.sch.uk</v>
          </cell>
        </row>
        <row r="865">
          <cell r="A865">
            <v>3355200</v>
          </cell>
          <cell r="B865">
            <v>104256</v>
          </cell>
          <cell r="C865">
            <v>335</v>
          </cell>
          <cell r="D865" t="str">
            <v>Walsall</v>
          </cell>
          <cell r="E865">
            <v>5200</v>
          </cell>
          <cell r="F865" t="str">
            <v>Nigel Mills</v>
          </cell>
          <cell r="G865" t="str">
            <v>Park Hall Infant School</v>
          </cell>
          <cell r="H865" t="str">
            <v>West Midlands</v>
          </cell>
          <cell r="I865" t="str">
            <v>Park Hall Road</v>
          </cell>
          <cell r="L865" t="str">
            <v>Walsall</v>
          </cell>
          <cell r="M865" t="str">
            <v>West Midlands</v>
          </cell>
          <cell r="N865" t="str">
            <v>WS5 3HF</v>
          </cell>
          <cell r="O865" t="str">
            <v>bwestwood@parkhall-inf.walsall.sch.uk</v>
          </cell>
          <cell r="P865">
            <v>40358</v>
          </cell>
        </row>
        <row r="866">
          <cell r="A866">
            <v>3562057</v>
          </cell>
          <cell r="B866">
            <v>106058</v>
          </cell>
          <cell r="C866">
            <v>356</v>
          </cell>
          <cell r="D866" t="str">
            <v>Stockport</v>
          </cell>
          <cell r="E866">
            <v>2057</v>
          </cell>
          <cell r="F866" t="str">
            <v>Pat Murison</v>
          </cell>
          <cell r="G866" t="str">
            <v>Mellor Primary School</v>
          </cell>
          <cell r="H866" t="str">
            <v>North West</v>
          </cell>
          <cell r="I866" t="str">
            <v>Knowle Road</v>
          </cell>
          <cell r="J866" t="str">
            <v>Mellor</v>
          </cell>
          <cell r="L866" t="str">
            <v>Stockport</v>
          </cell>
          <cell r="M866" t="str">
            <v>Cheshire</v>
          </cell>
          <cell r="N866" t="str">
            <v>SK6 5PL</v>
          </cell>
          <cell r="O866" t="str">
            <v>headteacher@mellor.stockport.sch.uk</v>
          </cell>
          <cell r="P866">
            <v>40641</v>
          </cell>
        </row>
        <row r="867">
          <cell r="A867">
            <v>8553037</v>
          </cell>
          <cell r="B867">
            <v>120131</v>
          </cell>
          <cell r="C867">
            <v>855</v>
          </cell>
          <cell r="D867" t="str">
            <v>Leicestershire</v>
          </cell>
          <cell r="E867">
            <v>3037</v>
          </cell>
          <cell r="F867" t="str">
            <v>Sue Harp</v>
          </cell>
          <cell r="G867" t="str">
            <v>Great Glen St Cuthbert's Church of England Primary School</v>
          </cell>
          <cell r="H867" t="str">
            <v>East Midlands</v>
          </cell>
          <cell r="I867" t="str">
            <v>The Chase</v>
          </cell>
          <cell r="J867" t="str">
            <v>Great Glen</v>
          </cell>
          <cell r="L867" t="str">
            <v>Leicester</v>
          </cell>
          <cell r="M867" t="str">
            <v>Leicestershire</v>
          </cell>
          <cell r="N867" t="str">
            <v>LE8 9EQ</v>
          </cell>
          <cell r="O867" t="str">
            <v>anne.burbidge@stcuthberts.leics.sch.uk</v>
          </cell>
        </row>
        <row r="868">
          <cell r="A868">
            <v>3412149</v>
          </cell>
          <cell r="B868">
            <v>104580</v>
          </cell>
          <cell r="C868">
            <v>341</v>
          </cell>
          <cell r="D868" t="str">
            <v>Liverpool</v>
          </cell>
          <cell r="E868">
            <v>2149</v>
          </cell>
          <cell r="F868" t="str">
            <v>Maria Sabberton</v>
          </cell>
          <cell r="G868" t="str">
            <v>Sudley Infant School</v>
          </cell>
          <cell r="H868" t="str">
            <v>North West</v>
          </cell>
          <cell r="I868" t="str">
            <v>Dundonald Road</v>
          </cell>
          <cell r="L868" t="str">
            <v>Liverpool</v>
          </cell>
          <cell r="M868" t="str">
            <v>Merseyside</v>
          </cell>
          <cell r="N868" t="str">
            <v>L17 0AE</v>
          </cell>
          <cell r="O868" t="str">
            <v>sudleyi-ht@sudley-inf.liverpool.sch.uk</v>
          </cell>
        </row>
        <row r="869">
          <cell r="A869">
            <v>3117000</v>
          </cell>
          <cell r="B869">
            <v>102362</v>
          </cell>
          <cell r="C869">
            <v>311</v>
          </cell>
          <cell r="D869" t="str">
            <v>Havering</v>
          </cell>
          <cell r="E869">
            <v>7000</v>
          </cell>
          <cell r="F869" t="str">
            <v>Sheila Longstaff</v>
          </cell>
          <cell r="G869" t="str">
            <v>Corbets Tey School</v>
          </cell>
          <cell r="H869" t="str">
            <v>London</v>
          </cell>
          <cell r="I869" t="str">
            <v>Harwood Hall Lane</v>
          </cell>
          <cell r="L869" t="str">
            <v>Upminster</v>
          </cell>
          <cell r="M869" t="str">
            <v>Essex</v>
          </cell>
          <cell r="N869" t="str">
            <v>RM14 2YQ</v>
          </cell>
          <cell r="O869" t="str">
            <v>carthey@corbetstey.havering.sch.uk</v>
          </cell>
        </row>
        <row r="870">
          <cell r="A870">
            <v>3082081</v>
          </cell>
          <cell r="B870">
            <v>102021</v>
          </cell>
          <cell r="C870">
            <v>308</v>
          </cell>
          <cell r="D870" t="str">
            <v>Enfield</v>
          </cell>
          <cell r="E870">
            <v>2081</v>
          </cell>
          <cell r="F870" t="str">
            <v>Helen Fisher</v>
          </cell>
          <cell r="G870" t="str">
            <v>Bowes Primary School</v>
          </cell>
          <cell r="H870" t="str">
            <v>London</v>
          </cell>
          <cell r="I870" t="str">
            <v>Bowes Road</v>
          </cell>
          <cell r="J870" t="str">
            <v>New Southgate</v>
          </cell>
          <cell r="L870" t="str">
            <v>London</v>
          </cell>
          <cell r="N870" t="str">
            <v>N11 2HL</v>
          </cell>
          <cell r="O870" t="str">
            <v>sarah.turner@bowes.enfield.sch.uk</v>
          </cell>
        </row>
        <row r="871">
          <cell r="A871">
            <v>9332070</v>
          </cell>
          <cell r="B871">
            <v>123665</v>
          </cell>
          <cell r="C871">
            <v>933</v>
          </cell>
          <cell r="D871" t="str">
            <v>Somerset</v>
          </cell>
          <cell r="E871">
            <v>2070</v>
          </cell>
          <cell r="F871" t="str">
            <v>Phil Hossell</v>
          </cell>
          <cell r="G871" t="str">
            <v>Tatworth Primary School</v>
          </cell>
          <cell r="H871" t="str">
            <v>South West</v>
          </cell>
          <cell r="I871" t="str">
            <v>School Lane</v>
          </cell>
          <cell r="J871" t="str">
            <v>Tatworth</v>
          </cell>
          <cell r="L871" t="str">
            <v>Chard</v>
          </cell>
          <cell r="M871" t="str">
            <v>Somerset</v>
          </cell>
          <cell r="N871" t="str">
            <v>TA20 2RX</v>
          </cell>
          <cell r="O871" t="str">
            <v>dknight@educ.somerset.gov.uk</v>
          </cell>
          <cell r="P871">
            <v>40632</v>
          </cell>
        </row>
        <row r="872">
          <cell r="A872">
            <v>8454063</v>
          </cell>
          <cell r="B872">
            <v>114604</v>
          </cell>
          <cell r="C872">
            <v>845</v>
          </cell>
          <cell r="D872" t="str">
            <v>East Sussex</v>
          </cell>
          <cell r="E872">
            <v>4063</v>
          </cell>
          <cell r="F872" t="str">
            <v>Sarah Mitchell</v>
          </cell>
          <cell r="G872" t="str">
            <v>Ratton School</v>
          </cell>
          <cell r="H872" t="str">
            <v>South East</v>
          </cell>
          <cell r="I872" t="str">
            <v>Park Avenue</v>
          </cell>
          <cell r="L872" t="str">
            <v>Eastbourne</v>
          </cell>
          <cell r="M872" t="str">
            <v>East Sussex</v>
          </cell>
          <cell r="N872" t="str">
            <v>BN21 2XR</v>
          </cell>
          <cell r="O872" t="str">
            <v>d.linsell@ratton.e-sussex.sch.uk</v>
          </cell>
          <cell r="P872">
            <v>40976</v>
          </cell>
        </row>
        <row r="873">
          <cell r="A873">
            <v>8885403</v>
          </cell>
          <cell r="B873">
            <v>119812</v>
          </cell>
          <cell r="C873">
            <v>888</v>
          </cell>
          <cell r="D873" t="str">
            <v>Lancashire</v>
          </cell>
          <cell r="E873">
            <v>5403</v>
          </cell>
          <cell r="F873" t="str">
            <v>Christine West</v>
          </cell>
          <cell r="G873" t="str">
            <v>Clitheroe Royal Grammar School</v>
          </cell>
          <cell r="H873" t="str">
            <v>North West</v>
          </cell>
          <cell r="I873" t="str">
            <v>York Street</v>
          </cell>
          <cell r="L873" t="str">
            <v>Clitheroe</v>
          </cell>
          <cell r="M873" t="str">
            <v>Lancashire</v>
          </cell>
          <cell r="N873" t="str">
            <v>BB7 2DJ</v>
          </cell>
          <cell r="O873" t="str">
            <v>head@crgs.org.uk</v>
          </cell>
          <cell r="P873">
            <v>40382</v>
          </cell>
        </row>
        <row r="874">
          <cell r="A874">
            <v>3802081</v>
          </cell>
          <cell r="B874">
            <v>107237</v>
          </cell>
          <cell r="C874">
            <v>380</v>
          </cell>
          <cell r="D874" t="str">
            <v>Bradford</v>
          </cell>
          <cell r="E874">
            <v>2081</v>
          </cell>
          <cell r="F874" t="str">
            <v>Glyn Newton</v>
          </cell>
          <cell r="G874" t="str">
            <v>Stocks Lane Primary School</v>
          </cell>
          <cell r="H874" t="str">
            <v>Yorkshire and the Humber</v>
          </cell>
          <cell r="I874" t="str">
            <v>Stocks Lane</v>
          </cell>
          <cell r="J874" t="str">
            <v>Clayton Heights</v>
          </cell>
          <cell r="K874" t="str">
            <v>Queensbury</v>
          </cell>
          <cell r="L874" t="str">
            <v>Bradford</v>
          </cell>
          <cell r="M874" t="str">
            <v>West Yorkshire</v>
          </cell>
          <cell r="N874" t="str">
            <v>BD13 2RH</v>
          </cell>
          <cell r="O874" t="str">
            <v>head@stockslane.bradford.sch.uk</v>
          </cell>
        </row>
        <row r="875">
          <cell r="A875">
            <v>9162123</v>
          </cell>
          <cell r="B875">
            <v>115565</v>
          </cell>
          <cell r="C875">
            <v>916</v>
          </cell>
          <cell r="D875" t="str">
            <v>Gloucestershire</v>
          </cell>
          <cell r="E875">
            <v>2123</v>
          </cell>
          <cell r="F875" t="str">
            <v>Not yet assigned</v>
          </cell>
          <cell r="G875" t="str">
            <v>Rodborough Community Primary School</v>
          </cell>
          <cell r="H875" t="str">
            <v>South West</v>
          </cell>
          <cell r="I875" t="str">
            <v>Rodborough Hill</v>
          </cell>
          <cell r="L875" t="str">
            <v>Stroud</v>
          </cell>
          <cell r="M875" t="str">
            <v>Gloucestershire</v>
          </cell>
          <cell r="N875" t="str">
            <v>GL5 3RT</v>
          </cell>
          <cell r="O875" t="str">
            <v>admin@rodborough.gloucs.sch.uk</v>
          </cell>
        </row>
        <row r="876">
          <cell r="A876">
            <v>8132141</v>
          </cell>
          <cell r="B876">
            <v>117754</v>
          </cell>
          <cell r="C876">
            <v>813</v>
          </cell>
          <cell r="D876" t="str">
            <v>North Lincolnshire</v>
          </cell>
          <cell r="E876">
            <v>2141</v>
          </cell>
          <cell r="F876" t="str">
            <v>Nick Monton</v>
          </cell>
          <cell r="G876" t="str">
            <v>Worlaby Primary School</v>
          </cell>
          <cell r="H876" t="str">
            <v>Yorkshire and the Humber</v>
          </cell>
          <cell r="I876" t="str">
            <v>Low Road</v>
          </cell>
          <cell r="J876" t="str">
            <v>Worlaby</v>
          </cell>
          <cell r="L876" t="str">
            <v>Brigg</v>
          </cell>
          <cell r="M876" t="str">
            <v>Lincolnshire</v>
          </cell>
          <cell r="N876" t="str">
            <v>DN20 0NA</v>
          </cell>
          <cell r="O876" t="str">
            <v>head.worlaby@northlincs.gov.uk</v>
          </cell>
          <cell r="P876">
            <v>41033</v>
          </cell>
        </row>
        <row r="877">
          <cell r="A877">
            <v>3064600</v>
          </cell>
          <cell r="B877">
            <v>101811</v>
          </cell>
          <cell r="C877">
            <v>306</v>
          </cell>
          <cell r="D877" t="str">
            <v>Croydon</v>
          </cell>
          <cell r="E877">
            <v>4600</v>
          </cell>
          <cell r="F877" t="str">
            <v>Helen Barry</v>
          </cell>
          <cell r="G877" t="str">
            <v>Archbishop Tenison's CE High School</v>
          </cell>
          <cell r="H877" t="str">
            <v>London</v>
          </cell>
          <cell r="I877" t="str">
            <v>Selborne Road</v>
          </cell>
          <cell r="L877" t="str">
            <v>Croydon</v>
          </cell>
          <cell r="M877" t="str">
            <v>Surrey</v>
          </cell>
          <cell r="N877" t="str">
            <v>CR0 5JQ</v>
          </cell>
          <cell r="O877" t="str">
            <v>headteacher@archten.croydon.sch.uk</v>
          </cell>
        </row>
        <row r="878">
          <cell r="A878">
            <v>8913291</v>
          </cell>
          <cell r="B878">
            <v>132244</v>
          </cell>
          <cell r="C878">
            <v>891</v>
          </cell>
          <cell r="D878" t="str">
            <v>Nottinghamshire</v>
          </cell>
          <cell r="E878">
            <v>3291</v>
          </cell>
          <cell r="F878" t="str">
            <v>Lisa Sargeant</v>
          </cell>
          <cell r="G878" t="str">
            <v>Ethel Wainwright Primary School</v>
          </cell>
          <cell r="H878" t="str">
            <v>East Midlands</v>
          </cell>
          <cell r="I878" t="str">
            <v>Harrop White Road</v>
          </cell>
          <cell r="L878" t="str">
            <v>Mansfield</v>
          </cell>
          <cell r="M878" t="str">
            <v>Nottinghamshire</v>
          </cell>
          <cell r="N878" t="str">
            <v>NG19 6TF</v>
          </cell>
          <cell r="O878" t="str">
            <v>head@ethelwainwright.notts.sch.uk</v>
          </cell>
        </row>
        <row r="879">
          <cell r="A879">
            <v>8552009</v>
          </cell>
          <cell r="B879">
            <v>119907</v>
          </cell>
          <cell r="C879">
            <v>855</v>
          </cell>
          <cell r="D879" t="str">
            <v>Leicestershire</v>
          </cell>
          <cell r="E879">
            <v>2009</v>
          </cell>
          <cell r="F879" t="str">
            <v>Sue Harp</v>
          </cell>
          <cell r="G879" t="str">
            <v>Thornton Community Primary School</v>
          </cell>
          <cell r="H879" t="str">
            <v>East Midlands</v>
          </cell>
          <cell r="I879" t="str">
            <v>Main Street</v>
          </cell>
          <cell r="J879" t="str">
            <v>Thornton</v>
          </cell>
          <cell r="L879" t="str">
            <v>Coalville</v>
          </cell>
          <cell r="M879" t="str">
            <v>Leicestershire</v>
          </cell>
          <cell r="N879" t="str">
            <v>LE67 1AH</v>
          </cell>
          <cell r="O879" t="str">
            <v>office@thornton.leics.sch.uk</v>
          </cell>
          <cell r="P879">
            <v>41211</v>
          </cell>
        </row>
        <row r="880">
          <cell r="A880">
            <v>8404174</v>
          </cell>
          <cell r="B880">
            <v>114303</v>
          </cell>
          <cell r="C880">
            <v>840</v>
          </cell>
          <cell r="D880" t="str">
            <v>Durham</v>
          </cell>
          <cell r="E880">
            <v>4174</v>
          </cell>
          <cell r="F880" t="str">
            <v>Jane Moore</v>
          </cell>
          <cell r="G880" t="str">
            <v>Teesdale School</v>
          </cell>
          <cell r="H880" t="str">
            <v>North East</v>
          </cell>
          <cell r="I880" t="str">
            <v>Prospect Place</v>
          </cell>
          <cell r="L880" t="str">
            <v>Barnard Castle</v>
          </cell>
          <cell r="M880" t="str">
            <v>County Durham</v>
          </cell>
          <cell r="N880" t="str">
            <v>DL12 8HH</v>
          </cell>
          <cell r="O880" t="str">
            <v>colin.cartwright@teesdaleschool.com</v>
          </cell>
          <cell r="P880">
            <v>40602</v>
          </cell>
        </row>
        <row r="881">
          <cell r="A881">
            <v>8575404</v>
          </cell>
          <cell r="B881">
            <v>120312</v>
          </cell>
          <cell r="C881">
            <v>857</v>
          </cell>
          <cell r="D881" t="str">
            <v>Rutland</v>
          </cell>
          <cell r="E881">
            <v>5404</v>
          </cell>
          <cell r="F881" t="str">
            <v>Gabriela Grimley</v>
          </cell>
          <cell r="G881" t="str">
            <v>Uppingham Community College</v>
          </cell>
          <cell r="H881" t="str">
            <v>East Midlands</v>
          </cell>
          <cell r="I881" t="str">
            <v>London Road</v>
          </cell>
          <cell r="J881" t="str">
            <v>Uppingham</v>
          </cell>
          <cell r="L881" t="str">
            <v>Oakham</v>
          </cell>
          <cell r="M881" t="str">
            <v>Rutland</v>
          </cell>
          <cell r="N881" t="str">
            <v>LE15 9TJ</v>
          </cell>
          <cell r="O881" t="str">
            <v>turner_j@ucc.rutland.sch.uk</v>
          </cell>
          <cell r="P881">
            <v>40499</v>
          </cell>
        </row>
        <row r="882">
          <cell r="A882">
            <v>9314129</v>
          </cell>
          <cell r="B882">
            <v>123259</v>
          </cell>
          <cell r="C882">
            <v>931</v>
          </cell>
          <cell r="D882" t="str">
            <v>Oxfordshire</v>
          </cell>
          <cell r="E882">
            <v>4129</v>
          </cell>
          <cell r="F882" t="str">
            <v>Bukky Sawyerr</v>
          </cell>
          <cell r="G882" t="str">
            <v>St Birinus</v>
          </cell>
          <cell r="H882" t="str">
            <v>South East</v>
          </cell>
          <cell r="I882" t="str">
            <v>Mereland Road</v>
          </cell>
          <cell r="L882" t="str">
            <v>Didcot</v>
          </cell>
          <cell r="M882" t="str">
            <v>Oxfordshire</v>
          </cell>
          <cell r="N882" t="str">
            <v>OX11 8AZ</v>
          </cell>
          <cell r="O882" t="str">
            <v>ALR@st-birinus.oxon.sch.uk</v>
          </cell>
          <cell r="P882">
            <v>40995</v>
          </cell>
        </row>
        <row r="883">
          <cell r="A883">
            <v>8863173</v>
          </cell>
          <cell r="B883">
            <v>118690</v>
          </cell>
          <cell r="C883">
            <v>886</v>
          </cell>
          <cell r="D883" t="str">
            <v>Kent</v>
          </cell>
          <cell r="E883">
            <v>3173</v>
          </cell>
          <cell r="F883" t="str">
            <v>Maryam Jabbari</v>
          </cell>
          <cell r="G883" t="str">
            <v>Kingsdown and Ringwould CofE Primary School</v>
          </cell>
          <cell r="H883" t="str">
            <v>South East</v>
          </cell>
          <cell r="I883" t="str">
            <v>Glen Road</v>
          </cell>
          <cell r="J883" t="str">
            <v>Kingsdown</v>
          </cell>
          <cell r="L883" t="str">
            <v>Deal</v>
          </cell>
          <cell r="M883" t="str">
            <v>Kent</v>
          </cell>
          <cell r="N883" t="str">
            <v>CT14 8DD</v>
          </cell>
          <cell r="O883" t="str">
            <v>headteacher@kingsdown-ringwould.kent.sch.uk</v>
          </cell>
          <cell r="P883">
            <v>40990</v>
          </cell>
        </row>
        <row r="884">
          <cell r="A884">
            <v>3947000</v>
          </cell>
          <cell r="B884">
            <v>108878</v>
          </cell>
          <cell r="C884">
            <v>394</v>
          </cell>
          <cell r="D884" t="str">
            <v>Sunderland</v>
          </cell>
          <cell r="E884">
            <v>7000</v>
          </cell>
          <cell r="F884" t="str">
            <v>Bev Mullin</v>
          </cell>
          <cell r="G884" t="str">
            <v>Castlegreen Community School</v>
          </cell>
          <cell r="H884" t="str">
            <v>North East</v>
          </cell>
          <cell r="I884" t="str">
            <v>Craigshaw Road</v>
          </cell>
          <cell r="J884" t="str">
            <v>Hylton Castle</v>
          </cell>
          <cell r="L884" t="str">
            <v>Sunderland</v>
          </cell>
          <cell r="M884" t="str">
            <v>Tyne and Wear</v>
          </cell>
          <cell r="N884" t="str">
            <v>SR5 3NF</v>
          </cell>
          <cell r="O884" t="str">
            <v>vivien.thompson@schools.sunderland.gov.uk</v>
          </cell>
          <cell r="P884">
            <v>41110</v>
          </cell>
        </row>
        <row r="885">
          <cell r="A885">
            <v>8101100</v>
          </cell>
          <cell r="B885">
            <v>117701</v>
          </cell>
          <cell r="C885">
            <v>810</v>
          </cell>
          <cell r="D885" t="str">
            <v>Kingston upon Hull City of</v>
          </cell>
          <cell r="E885">
            <v>1100</v>
          </cell>
          <cell r="F885" t="str">
            <v>Pat Murison</v>
          </cell>
          <cell r="G885" t="str">
            <v>Primary Support Service</v>
          </cell>
          <cell r="H885" t="str">
            <v>Yorkshire and the Humber</v>
          </cell>
          <cell r="I885" t="str">
            <v>Saltshouse Road</v>
          </cell>
          <cell r="L885" t="str">
            <v>Hull</v>
          </cell>
          <cell r="N885" t="str">
            <v>HU8 9HJ</v>
          </cell>
          <cell r="O885" t="str">
            <v>cpatton@whitehouse.hull.sch.uk</v>
          </cell>
        </row>
        <row r="886">
          <cell r="A886">
            <v>9372058</v>
          </cell>
          <cell r="B886">
            <v>125528</v>
          </cell>
          <cell r="C886">
            <v>937</v>
          </cell>
          <cell r="D886" t="str">
            <v>Warwickshire</v>
          </cell>
          <cell r="E886">
            <v>2058</v>
          </cell>
          <cell r="F886" t="str">
            <v>Carla Spink</v>
          </cell>
          <cell r="G886" t="str">
            <v>Welford-on-Avon Primary School</v>
          </cell>
          <cell r="H886" t="str">
            <v>West Midlands</v>
          </cell>
          <cell r="I886" t="str">
            <v>Headland Road</v>
          </cell>
          <cell r="J886" t="str">
            <v>Welford-on-Avon</v>
          </cell>
          <cell r="L886" t="str">
            <v>Stratford-upon-Avon</v>
          </cell>
          <cell r="M886" t="str">
            <v>Warwickshire</v>
          </cell>
          <cell r="N886" t="str">
            <v>CV37 8ER</v>
          </cell>
          <cell r="O886" t="str">
            <v>admin2058@we-learn.com</v>
          </cell>
        </row>
        <row r="887">
          <cell r="A887">
            <v>3815203</v>
          </cell>
          <cell r="B887">
            <v>107571</v>
          </cell>
          <cell r="C887">
            <v>381</v>
          </cell>
          <cell r="D887" t="str">
            <v>Calderdale</v>
          </cell>
          <cell r="E887">
            <v>5203</v>
          </cell>
          <cell r="F887" t="str">
            <v>John Edmunds</v>
          </cell>
          <cell r="G887" t="str">
            <v>St John's CofE (VA) Primary School</v>
          </cell>
          <cell r="H887" t="str">
            <v>Yorkshire and the Humber</v>
          </cell>
          <cell r="I887" t="str">
            <v>Towngate</v>
          </cell>
          <cell r="J887" t="str">
            <v>Clifton</v>
          </cell>
          <cell r="L887" t="str">
            <v>Brighouse</v>
          </cell>
          <cell r="M887" t="str">
            <v>West Yorkshire</v>
          </cell>
          <cell r="N887" t="str">
            <v>HD6 4HP</v>
          </cell>
          <cell r="O887" t="str">
            <v>chris.graham@st-johns-pri.calderdale.sch.uk</v>
          </cell>
          <cell r="P887">
            <v>40673</v>
          </cell>
        </row>
        <row r="888">
          <cell r="A888">
            <v>8802434</v>
          </cell>
          <cell r="B888">
            <v>113212</v>
          </cell>
          <cell r="C888">
            <v>880</v>
          </cell>
          <cell r="D888" t="str">
            <v>Torbay</v>
          </cell>
          <cell r="E888">
            <v>2434</v>
          </cell>
          <cell r="F888" t="str">
            <v>Bola Bakrin</v>
          </cell>
          <cell r="G888" t="str">
            <v>Curledge Street Primary School</v>
          </cell>
          <cell r="H888" t="str">
            <v>South West</v>
          </cell>
          <cell r="I888" t="str">
            <v>Curledge Street</v>
          </cell>
          <cell r="L888" t="str">
            <v>Paignton</v>
          </cell>
          <cell r="M888" t="str">
            <v>Devon</v>
          </cell>
          <cell r="N888" t="str">
            <v>TQ4 5BA</v>
          </cell>
          <cell r="O888" t="str">
            <v>admin@curledgestreet.torbay.sch.uk</v>
          </cell>
        </row>
        <row r="889">
          <cell r="A889">
            <v>3204072</v>
          </cell>
          <cell r="B889">
            <v>103103</v>
          </cell>
          <cell r="C889">
            <v>320</v>
          </cell>
          <cell r="D889" t="str">
            <v>Waltham Forest</v>
          </cell>
          <cell r="E889">
            <v>4072</v>
          </cell>
          <cell r="F889" t="str">
            <v>Tahir Shams</v>
          </cell>
          <cell r="G889" t="str">
            <v>Walthamstow School For Girls</v>
          </cell>
          <cell r="H889" t="str">
            <v>London</v>
          </cell>
          <cell r="I889" t="str">
            <v>Church Hill</v>
          </cell>
          <cell r="J889" t="str">
            <v>Walthamstow</v>
          </cell>
          <cell r="L889" t="str">
            <v>London</v>
          </cell>
          <cell r="N889" t="str">
            <v>E17 9RZ</v>
          </cell>
          <cell r="O889" t="str">
            <v>r.macfarlane@wsfg.waltham.sch.uk</v>
          </cell>
        </row>
        <row r="890">
          <cell r="A890">
            <v>8564724</v>
          </cell>
          <cell r="B890">
            <v>129645</v>
          </cell>
          <cell r="C890">
            <v>856</v>
          </cell>
          <cell r="D890" t="str">
            <v>Leicester</v>
          </cell>
          <cell r="E890">
            <v>4724</v>
          </cell>
          <cell r="F890" t="str">
            <v>Not yet assigned</v>
          </cell>
          <cell r="G890" t="str">
            <v>Madani Muslim High School (VA)</v>
          </cell>
          <cell r="H890" t="str">
            <v>East Midlands</v>
          </cell>
          <cell r="I890" t="str">
            <v>77 Evington Valley Road</v>
          </cell>
          <cell r="L890" t="str">
            <v>Leicester</v>
          </cell>
          <cell r="M890" t="str">
            <v>Leicestershire</v>
          </cell>
          <cell r="N890" t="str">
            <v>LE5 5LL</v>
          </cell>
          <cell r="O890" t="str">
            <v>principal@madanihigh.leicester.sch.uk</v>
          </cell>
        </row>
        <row r="891">
          <cell r="A891">
            <v>8853368</v>
          </cell>
          <cell r="B891">
            <v>116908</v>
          </cell>
          <cell r="C891">
            <v>885</v>
          </cell>
          <cell r="D891" t="str">
            <v>Worcestershire</v>
          </cell>
          <cell r="E891">
            <v>3368</v>
          </cell>
          <cell r="F891" t="str">
            <v>Carla Spink</v>
          </cell>
          <cell r="G891" t="str">
            <v>Pershore, Holy Redeemer Catholic Primary School</v>
          </cell>
          <cell r="H891" t="str">
            <v>West Midlands</v>
          </cell>
          <cell r="I891" t="str">
            <v>Priest Lane</v>
          </cell>
          <cell r="L891" t="str">
            <v>Pershore</v>
          </cell>
          <cell r="M891" t="str">
            <v>Worcestershire</v>
          </cell>
          <cell r="N891" t="str">
            <v>WR10 1EB</v>
          </cell>
          <cell r="O891" t="str">
            <v>head@holyredeemer.worcs.sch.uk</v>
          </cell>
        </row>
        <row r="892">
          <cell r="A892">
            <v>3063405</v>
          </cell>
          <cell r="B892">
            <v>101798</v>
          </cell>
          <cell r="C892">
            <v>306</v>
          </cell>
          <cell r="D892" t="str">
            <v>Croydon</v>
          </cell>
          <cell r="E892">
            <v>3405</v>
          </cell>
          <cell r="F892" t="str">
            <v>Helen Barry</v>
          </cell>
          <cell r="G892" t="str">
            <v>St Mary's RC Junior School</v>
          </cell>
          <cell r="H892" t="str">
            <v>London</v>
          </cell>
          <cell r="I892" t="str">
            <v>Sydenham Road</v>
          </cell>
          <cell r="L892" t="str">
            <v>Croydon</v>
          </cell>
          <cell r="M892" t="str">
            <v>Surrey</v>
          </cell>
          <cell r="N892" t="str">
            <v>CR0 2EW</v>
          </cell>
          <cell r="O892" t="str">
            <v>head@st-mary-jun.croydon.sch.uk</v>
          </cell>
        </row>
        <row r="893">
          <cell r="A893">
            <v>9165405</v>
          </cell>
          <cell r="B893">
            <v>115756</v>
          </cell>
          <cell r="C893">
            <v>916</v>
          </cell>
          <cell r="D893" t="str">
            <v>Gloucestershire</v>
          </cell>
          <cell r="E893">
            <v>5405</v>
          </cell>
          <cell r="F893" t="str">
            <v>Nigel Mills</v>
          </cell>
          <cell r="G893" t="str">
            <v>Tewkesbury School</v>
          </cell>
          <cell r="H893" t="str">
            <v>South West</v>
          </cell>
          <cell r="I893" t="str">
            <v>Ashchurch Road</v>
          </cell>
          <cell r="L893" t="str">
            <v>Tewkesbury</v>
          </cell>
          <cell r="M893" t="str">
            <v>Gloucestershire</v>
          </cell>
          <cell r="N893" t="str">
            <v>GL20 8DF</v>
          </cell>
          <cell r="O893" t="str">
            <v>john.reilly@tewkesburyschool.org</v>
          </cell>
          <cell r="P893">
            <v>40743</v>
          </cell>
        </row>
        <row r="894">
          <cell r="A894">
            <v>3702136</v>
          </cell>
          <cell r="B894">
            <v>106624</v>
          </cell>
          <cell r="C894">
            <v>370</v>
          </cell>
          <cell r="D894" t="str">
            <v>Barnsley</v>
          </cell>
          <cell r="E894">
            <v>2136</v>
          </cell>
          <cell r="F894" t="str">
            <v>Jayne Turner</v>
          </cell>
          <cell r="G894" t="str">
            <v>Hoyland Common Primary School</v>
          </cell>
          <cell r="H894" t="str">
            <v>Yorkshire and the Humber</v>
          </cell>
          <cell r="I894" t="str">
            <v>Sheffield Road</v>
          </cell>
          <cell r="J894" t="str">
            <v>Hoyland Common</v>
          </cell>
          <cell r="L894" t="str">
            <v>Barnsley</v>
          </cell>
          <cell r="M894" t="str">
            <v>South Yorkshire</v>
          </cell>
          <cell r="N894" t="str">
            <v>S74 0DJ</v>
          </cell>
          <cell r="O894" t="str">
            <v>t.banham@barnsley.org</v>
          </cell>
          <cell r="P894">
            <v>41107</v>
          </cell>
        </row>
        <row r="895">
          <cell r="A895">
            <v>8154503</v>
          </cell>
          <cell r="B895">
            <v>121710</v>
          </cell>
          <cell r="C895">
            <v>815</v>
          </cell>
          <cell r="D895" t="str">
            <v>North Yorkshire</v>
          </cell>
          <cell r="E895">
            <v>4503</v>
          </cell>
          <cell r="F895" t="str">
            <v>Jane Moore</v>
          </cell>
          <cell r="G895" t="str">
            <v>Northallerton College</v>
          </cell>
          <cell r="H895" t="str">
            <v>Yorkshire and the Humber</v>
          </cell>
          <cell r="I895" t="str">
            <v>Grammar School Lane</v>
          </cell>
          <cell r="L895" t="str">
            <v>Northallerton</v>
          </cell>
          <cell r="M895" t="str">
            <v>North Yorkshire</v>
          </cell>
          <cell r="N895" t="str">
            <v>DL6 1DD</v>
          </cell>
          <cell r="O895" t="str">
            <v>mhill52@hotmail.com</v>
          </cell>
        </row>
        <row r="896">
          <cell r="A896">
            <v>8354184</v>
          </cell>
          <cell r="B896">
            <v>113878</v>
          </cell>
          <cell r="C896">
            <v>835</v>
          </cell>
          <cell r="D896" t="str">
            <v>Dorset</v>
          </cell>
          <cell r="E896">
            <v>4184</v>
          </cell>
          <cell r="F896" t="str">
            <v>Tahamina Khan</v>
          </cell>
          <cell r="G896" t="str">
            <v>Ferndown Middle School</v>
          </cell>
          <cell r="H896" t="str">
            <v>South West</v>
          </cell>
          <cell r="I896" t="str">
            <v>Peter Grant Way</v>
          </cell>
          <cell r="L896" t="str">
            <v>Ferndown</v>
          </cell>
          <cell r="M896" t="str">
            <v>Dorset</v>
          </cell>
          <cell r="N896" t="str">
            <v>BH22 9UP</v>
          </cell>
          <cell r="O896" t="str">
            <v>gallen@fernmid.dorset.sch.uk</v>
          </cell>
        </row>
        <row r="897">
          <cell r="A897">
            <v>9312572</v>
          </cell>
          <cell r="B897">
            <v>123068</v>
          </cell>
          <cell r="C897">
            <v>931</v>
          </cell>
          <cell r="D897" t="str">
            <v>Oxfordshire</v>
          </cell>
          <cell r="E897">
            <v>2572</v>
          </cell>
          <cell r="F897" t="str">
            <v>Sarah Nairne</v>
          </cell>
          <cell r="G897" t="str">
            <v>Watchfield Primary School</v>
          </cell>
          <cell r="H897" t="str">
            <v>South East</v>
          </cell>
          <cell r="I897" t="str">
            <v>North Street</v>
          </cell>
          <cell r="J897" t="str">
            <v>Watchfield</v>
          </cell>
          <cell r="L897" t="str">
            <v>Swindon</v>
          </cell>
          <cell r="M897" t="str">
            <v>Wiltshire</v>
          </cell>
          <cell r="N897" t="str">
            <v>SN6 8SD</v>
          </cell>
          <cell r="O897" t="str">
            <v>head.2572@watchfield.oxon.sch.uk</v>
          </cell>
        </row>
        <row r="898">
          <cell r="A898">
            <v>8024135</v>
          </cell>
          <cell r="B898">
            <v>131374</v>
          </cell>
          <cell r="C898">
            <v>802</v>
          </cell>
          <cell r="D898" t="str">
            <v>North Somerset</v>
          </cell>
          <cell r="E898">
            <v>4135</v>
          </cell>
          <cell r="F898" t="str">
            <v>Maria Whiting</v>
          </cell>
          <cell r="G898" t="str">
            <v>Gordano School</v>
          </cell>
          <cell r="H898" t="str">
            <v>South West</v>
          </cell>
          <cell r="I898" t="str">
            <v>St Mary's Road</v>
          </cell>
          <cell r="J898" t="str">
            <v>Portishead</v>
          </cell>
          <cell r="L898" t="str">
            <v>Bristol</v>
          </cell>
          <cell r="N898" t="str">
            <v>BS20 7QR</v>
          </cell>
          <cell r="O898" t="str">
            <v>glewis@gordano.n-somerset.sch.uk</v>
          </cell>
          <cell r="P898">
            <v>40639</v>
          </cell>
        </row>
        <row r="899">
          <cell r="A899">
            <v>2102859</v>
          </cell>
          <cell r="B899">
            <v>132022</v>
          </cell>
          <cell r="C899">
            <v>210</v>
          </cell>
          <cell r="D899" t="str">
            <v>Southwark</v>
          </cell>
          <cell r="E899">
            <v>2859</v>
          </cell>
          <cell r="F899" t="str">
            <v>Kiran Teli</v>
          </cell>
          <cell r="G899" t="str">
            <v>Goose Green Primary School</v>
          </cell>
          <cell r="H899" t="str">
            <v>London</v>
          </cell>
          <cell r="I899" t="str">
            <v>Tintagel Crescent</v>
          </cell>
          <cell r="J899" t="str">
            <v>East Dulwich</v>
          </cell>
          <cell r="L899" t="str">
            <v>London</v>
          </cell>
          <cell r="N899" t="str">
            <v>SE22 8HG</v>
          </cell>
          <cell r="O899" t="str">
            <v>headteacher@goosegreen.southwark.sch.uk</v>
          </cell>
          <cell r="P899">
            <v>41037</v>
          </cell>
        </row>
        <row r="900">
          <cell r="A900">
            <v>8923313</v>
          </cell>
          <cell r="B900">
            <v>122778</v>
          </cell>
          <cell r="C900">
            <v>892</v>
          </cell>
          <cell r="D900" t="str">
            <v>Nottingham</v>
          </cell>
          <cell r="E900">
            <v>3313</v>
          </cell>
          <cell r="F900" t="str">
            <v>Stella Mascarenhas-Keys</v>
          </cell>
          <cell r="G900" t="str">
            <v>St Mary's Catholic Primary School</v>
          </cell>
          <cell r="H900" t="str">
            <v>East Midlands</v>
          </cell>
          <cell r="I900" t="str">
            <v>Beaconsfield Street</v>
          </cell>
          <cell r="J900" t="str">
            <v>Hyson Green</v>
          </cell>
          <cell r="L900" t="str">
            <v>Nottingham</v>
          </cell>
          <cell r="M900" t="str">
            <v>Nottinghamshire</v>
          </cell>
          <cell r="N900" t="str">
            <v>NG7 6FL</v>
          </cell>
          <cell r="O900" t="str">
            <v>headteacher@st-marys-hysongreen.nottingham.sch.uk</v>
          </cell>
          <cell r="P900">
            <v>40941</v>
          </cell>
        </row>
        <row r="901">
          <cell r="A901">
            <v>3364605</v>
          </cell>
          <cell r="B901">
            <v>104400</v>
          </cell>
          <cell r="C901">
            <v>336</v>
          </cell>
          <cell r="D901" t="str">
            <v>Wolverhampton</v>
          </cell>
          <cell r="E901">
            <v>4605</v>
          </cell>
          <cell r="F901" t="str">
            <v>Hannah Copp</v>
          </cell>
          <cell r="G901" t="str">
            <v>St Edmunds Catholic School, A Specialist Mathematics &amp; Computing College</v>
          </cell>
          <cell r="H901" t="str">
            <v>West Midlands</v>
          </cell>
          <cell r="I901" t="str">
            <v>Compton Park</v>
          </cell>
          <cell r="J901" t="str">
            <v>Compton Road West</v>
          </cell>
          <cell r="L901" t="str">
            <v>Wolverhampton</v>
          </cell>
          <cell r="M901" t="str">
            <v>West Midlands</v>
          </cell>
          <cell r="N901" t="str">
            <v>WV3 9DU</v>
          </cell>
          <cell r="O901" t="str">
            <v>d.finucane@stedmunds.lpplus.net</v>
          </cell>
        </row>
        <row r="902">
          <cell r="A902">
            <v>8222147</v>
          </cell>
          <cell r="B902">
            <v>109496</v>
          </cell>
          <cell r="C902">
            <v>822</v>
          </cell>
          <cell r="D902" t="str">
            <v>Bedford</v>
          </cell>
          <cell r="E902">
            <v>2147</v>
          </cell>
          <cell r="F902" t="str">
            <v>Pam Osborne</v>
          </cell>
          <cell r="G902" t="str">
            <v>Putnoe Primary School</v>
          </cell>
          <cell r="H902" t="str">
            <v>East of England</v>
          </cell>
          <cell r="I902" t="str">
            <v>Church Lane</v>
          </cell>
          <cell r="L902" t="str">
            <v>Bedford</v>
          </cell>
          <cell r="M902" t="str">
            <v>Bedfordshire</v>
          </cell>
          <cell r="N902" t="str">
            <v>MK41 0DH</v>
          </cell>
          <cell r="O902" t="str">
            <v>putnoeprimary@schools.bedfordshire.gov.uk</v>
          </cell>
          <cell r="P902">
            <v>41190</v>
          </cell>
        </row>
        <row r="903">
          <cell r="A903">
            <v>8874167</v>
          </cell>
          <cell r="B903">
            <v>118814</v>
          </cell>
          <cell r="C903">
            <v>887</v>
          </cell>
          <cell r="D903" t="str">
            <v>Medway</v>
          </cell>
          <cell r="E903">
            <v>4167</v>
          </cell>
          <cell r="F903" t="str">
            <v>Sarah Mitchell</v>
          </cell>
          <cell r="G903" t="str">
            <v>Walderslade Girls' School</v>
          </cell>
          <cell r="H903" t="str">
            <v>South East</v>
          </cell>
          <cell r="I903" t="str">
            <v>Bradfields Avenue</v>
          </cell>
          <cell r="J903" t="str">
            <v>Walderslade</v>
          </cell>
          <cell r="L903" t="str">
            <v>Chatham</v>
          </cell>
          <cell r="M903" t="str">
            <v>Kent</v>
          </cell>
          <cell r="N903" t="str">
            <v>ME5 0LE</v>
          </cell>
          <cell r="O903" t="str">
            <v>conip001@medway.org.uk</v>
          </cell>
          <cell r="P903">
            <v>40661</v>
          </cell>
        </row>
        <row r="904">
          <cell r="A904">
            <v>3842147</v>
          </cell>
          <cell r="B904">
            <v>108204</v>
          </cell>
          <cell r="C904">
            <v>384</v>
          </cell>
          <cell r="D904" t="str">
            <v>Wakefield</v>
          </cell>
          <cell r="E904">
            <v>2147</v>
          </cell>
          <cell r="F904" t="str">
            <v>Jayne Turner</v>
          </cell>
          <cell r="G904" t="str">
            <v>Pontefract Halfpenny Lane Junior Infant and Nursery School</v>
          </cell>
          <cell r="H904" t="str">
            <v>Yorkshire and the Humber</v>
          </cell>
          <cell r="I904" t="str">
            <v>Halfpenny Lane</v>
          </cell>
          <cell r="L904" t="str">
            <v>Pontefract</v>
          </cell>
          <cell r="M904" t="str">
            <v>West Yorkshire</v>
          </cell>
          <cell r="N904" t="str">
            <v>WF8 4BW</v>
          </cell>
          <cell r="O904" t="str">
            <v>geraldine@gversion.com</v>
          </cell>
          <cell r="P904">
            <v>41183</v>
          </cell>
        </row>
        <row r="905">
          <cell r="A905">
            <v>9084153</v>
          </cell>
          <cell r="B905">
            <v>112048</v>
          </cell>
          <cell r="C905">
            <v>908</v>
          </cell>
          <cell r="D905" t="str">
            <v>Cornwall</v>
          </cell>
          <cell r="E905">
            <v>4153</v>
          </cell>
          <cell r="F905" t="str">
            <v>Lilian Da Cunha</v>
          </cell>
          <cell r="G905" t="str">
            <v>Wadebridge School</v>
          </cell>
          <cell r="H905" t="str">
            <v>South West</v>
          </cell>
          <cell r="I905" t="str">
            <v>Gonvena Hill</v>
          </cell>
          <cell r="L905" t="str">
            <v>Wadebridge</v>
          </cell>
          <cell r="M905" t="str">
            <v>Cornwall</v>
          </cell>
          <cell r="N905" t="str">
            <v>PL27 6BU</v>
          </cell>
          <cell r="O905" t="str">
            <v>HEAD@wadebridge.cornwall.sch.uk</v>
          </cell>
          <cell r="P905">
            <v>40667</v>
          </cell>
        </row>
        <row r="906">
          <cell r="A906">
            <v>8613488</v>
          </cell>
          <cell r="B906">
            <v>134667</v>
          </cell>
          <cell r="C906">
            <v>861</v>
          </cell>
          <cell r="D906" t="str">
            <v>Stoke-on-Trent</v>
          </cell>
          <cell r="E906">
            <v>3488</v>
          </cell>
          <cell r="F906" t="str">
            <v>Julia Waterhouse</v>
          </cell>
          <cell r="G906" t="str">
            <v>St Gregory's Catholic Primary School</v>
          </cell>
          <cell r="H906" t="str">
            <v>West Midlands</v>
          </cell>
          <cell r="I906" t="str">
            <v>Spring Garden Road</v>
          </cell>
          <cell r="J906" t="str">
            <v>Longton</v>
          </cell>
          <cell r="L906" t="str">
            <v>Stoke-on-Trent</v>
          </cell>
          <cell r="M906" t="str">
            <v>Staffordshire</v>
          </cell>
          <cell r="N906" t="str">
            <v>ST3 2QN</v>
          </cell>
          <cell r="O906" t="str">
            <v>myates@sgfl.org.uk</v>
          </cell>
        </row>
        <row r="907">
          <cell r="A907">
            <v>9282121</v>
          </cell>
          <cell r="B907">
            <v>121883</v>
          </cell>
          <cell r="C907">
            <v>928</v>
          </cell>
          <cell r="D907" t="str">
            <v>Northamptonshire</v>
          </cell>
          <cell r="E907">
            <v>2121</v>
          </cell>
          <cell r="F907" t="str">
            <v>Sue Harp</v>
          </cell>
          <cell r="G907" t="str">
            <v>Silverstone Infant School</v>
          </cell>
          <cell r="H907" t="str">
            <v>East Midlands</v>
          </cell>
          <cell r="I907" t="str">
            <v>Silverstone</v>
          </cell>
          <cell r="L907" t="str">
            <v>Towcester</v>
          </cell>
          <cell r="M907" t="str">
            <v>Northamptonshire</v>
          </cell>
          <cell r="N907" t="str">
            <v>NN12 8US</v>
          </cell>
          <cell r="O907" t="str">
            <v>head@silverstone-inf.northants-ecl.gov.uk</v>
          </cell>
        </row>
        <row r="908">
          <cell r="A908">
            <v>8865202</v>
          </cell>
          <cell r="B908">
            <v>118848</v>
          </cell>
          <cell r="C908">
            <v>886</v>
          </cell>
          <cell r="D908" t="str">
            <v>Kent</v>
          </cell>
          <cell r="E908">
            <v>5202</v>
          </cell>
          <cell r="G908" t="str">
            <v>Holy Trinity CE Primary School</v>
          </cell>
          <cell r="H908" t="str">
            <v>South East</v>
          </cell>
          <cell r="I908" t="str">
            <v>Trinity Road</v>
          </cell>
          <cell r="L908" t="str">
            <v>Gravesend</v>
          </cell>
          <cell r="M908" t="str">
            <v>Kent</v>
          </cell>
          <cell r="N908" t="str">
            <v>DA12 1LU</v>
          </cell>
          <cell r="O908" t="str">
            <v>8865202.admin@holytrinity-gravesend.kent.sch.uk</v>
          </cell>
        </row>
        <row r="909">
          <cell r="A909">
            <v>8034104</v>
          </cell>
          <cell r="B909">
            <v>134036</v>
          </cell>
          <cell r="C909">
            <v>803</v>
          </cell>
          <cell r="D909" t="str">
            <v>South Gloucestershire</v>
          </cell>
          <cell r="E909">
            <v>4104</v>
          </cell>
          <cell r="F909" t="str">
            <v>Nigel Mills</v>
          </cell>
          <cell r="G909" t="str">
            <v>Bradley Stoke Community School/Olympus Academy Trust</v>
          </cell>
          <cell r="H909" t="str">
            <v>South West</v>
          </cell>
          <cell r="I909" t="str">
            <v>Fiddlers Wood Lane</v>
          </cell>
          <cell r="J909" t="str">
            <v>Bradley Stoke</v>
          </cell>
          <cell r="L909" t="str">
            <v>Bristol</v>
          </cell>
          <cell r="N909" t="str">
            <v>BS32 9BS</v>
          </cell>
          <cell r="O909" t="str">
            <v>dave.baker@bradleystokecs.org.uk</v>
          </cell>
          <cell r="P909">
            <v>40548</v>
          </cell>
        </row>
        <row r="910">
          <cell r="A910">
            <v>8614046</v>
          </cell>
          <cell r="B910">
            <v>124390</v>
          </cell>
          <cell r="C910">
            <v>861</v>
          </cell>
          <cell r="D910" t="str">
            <v>Stoke-on-Trent</v>
          </cell>
          <cell r="E910">
            <v>4046</v>
          </cell>
          <cell r="F910" t="str">
            <v>Julia Waterhouse</v>
          </cell>
          <cell r="G910" t="str">
            <v>Birches Head High School</v>
          </cell>
          <cell r="H910" t="str">
            <v>West Midlands</v>
          </cell>
          <cell r="I910" t="str">
            <v>Birches Head Road</v>
          </cell>
          <cell r="J910" t="str">
            <v>Hanley</v>
          </cell>
          <cell r="L910" t="str">
            <v>Stoke-on-Trent</v>
          </cell>
          <cell r="M910" t="str">
            <v>Staffordshire</v>
          </cell>
          <cell r="N910" t="str">
            <v>ST2 8DD</v>
          </cell>
          <cell r="O910" t="str">
            <v>khealey@bircheshead.org.uk</v>
          </cell>
          <cell r="P910">
            <v>40984</v>
          </cell>
        </row>
        <row r="911">
          <cell r="A911">
            <v>3414427</v>
          </cell>
          <cell r="B911">
            <v>104698</v>
          </cell>
          <cell r="C911">
            <v>341</v>
          </cell>
          <cell r="D911" t="str">
            <v>Liverpool</v>
          </cell>
          <cell r="E911">
            <v>4427</v>
          </cell>
          <cell r="F911" t="str">
            <v>Maria Sabberton</v>
          </cell>
          <cell r="G911" t="str">
            <v>Calderstones School</v>
          </cell>
          <cell r="H911" t="str">
            <v>North West</v>
          </cell>
          <cell r="I911" t="str">
            <v>Harthill Road</v>
          </cell>
          <cell r="L911" t="str">
            <v>Liverpool</v>
          </cell>
          <cell r="M911" t="str">
            <v>Merseyside</v>
          </cell>
          <cell r="N911" t="str">
            <v>L18 3HS</v>
          </cell>
          <cell r="O911" t="str">
            <v>liz.russell@calderstones.co.uk</v>
          </cell>
        </row>
        <row r="912">
          <cell r="A912">
            <v>8863282</v>
          </cell>
          <cell r="B912">
            <v>118705</v>
          </cell>
          <cell r="C912">
            <v>886</v>
          </cell>
          <cell r="D912" t="str">
            <v>Kent</v>
          </cell>
          <cell r="E912">
            <v>3282</v>
          </cell>
          <cell r="G912" t="str">
            <v>Boughton-under-Blean &amp; Dunkirk Primary School</v>
          </cell>
          <cell r="H912" t="str">
            <v>South East</v>
          </cell>
          <cell r="I912" t="str">
            <v>School Lane</v>
          </cell>
          <cell r="J912" t="str">
            <v>Boughton-under-Blean</v>
          </cell>
          <cell r="L912" t="str">
            <v>Faversham</v>
          </cell>
          <cell r="M912" t="str">
            <v>Kent</v>
          </cell>
          <cell r="N912" t="str">
            <v>ME13 9AW</v>
          </cell>
          <cell r="O912" t="str">
            <v xml:space="preserve">hughgreenwood@hotmail.com </v>
          </cell>
        </row>
        <row r="913">
          <cell r="A913">
            <v>3434105</v>
          </cell>
          <cell r="B913">
            <v>104952</v>
          </cell>
          <cell r="C913">
            <v>343</v>
          </cell>
          <cell r="D913" t="str">
            <v>Sefton</v>
          </cell>
          <cell r="E913">
            <v>4105</v>
          </cell>
          <cell r="F913" t="str">
            <v>Bev Mullin</v>
          </cell>
          <cell r="G913" t="str">
            <v>Chesterfield High School</v>
          </cell>
          <cell r="H913" t="str">
            <v>North West</v>
          </cell>
          <cell r="I913" t="str">
            <v>Chesterfield Road</v>
          </cell>
          <cell r="J913" t="str">
            <v>Crosby</v>
          </cell>
          <cell r="L913" t="str">
            <v>Liverpool</v>
          </cell>
          <cell r="M913" t="str">
            <v>Merseyside</v>
          </cell>
          <cell r="N913" t="str">
            <v>L23 9YB</v>
          </cell>
          <cell r="O913" t="str">
            <v>head.ChesterfieldHigh@schools.sefton.gov.uk</v>
          </cell>
          <cell r="P913">
            <v>40610</v>
          </cell>
        </row>
        <row r="914">
          <cell r="A914">
            <v>3325404</v>
          </cell>
          <cell r="B914">
            <v>103874</v>
          </cell>
          <cell r="C914">
            <v>332</v>
          </cell>
          <cell r="D914" t="str">
            <v>Dudley</v>
          </cell>
          <cell r="E914">
            <v>5404</v>
          </cell>
          <cell r="F914" t="str">
            <v>Lilian Da Cunha</v>
          </cell>
          <cell r="G914" t="str">
            <v>Windsor High School</v>
          </cell>
          <cell r="H914" t="str">
            <v>West Midlands</v>
          </cell>
          <cell r="I914" t="str">
            <v>Richmond Street</v>
          </cell>
          <cell r="L914" t="str">
            <v>Halesowen</v>
          </cell>
          <cell r="M914" t="str">
            <v>West Midlands</v>
          </cell>
          <cell r="N914" t="str">
            <v>B63 4BB</v>
          </cell>
          <cell r="O914" t="str">
            <v>ksorrell@windsor.dudley.sch.uk</v>
          </cell>
          <cell r="P914">
            <v>40476</v>
          </cell>
        </row>
        <row r="915">
          <cell r="A915">
            <v>9084154</v>
          </cell>
          <cell r="B915">
            <v>112049</v>
          </cell>
          <cell r="C915">
            <v>908</v>
          </cell>
          <cell r="D915" t="str">
            <v>Cornwall</v>
          </cell>
          <cell r="E915">
            <v>4154</v>
          </cell>
          <cell r="F915" t="str">
            <v>Tahamina Khan</v>
          </cell>
          <cell r="G915" t="str">
            <v>Bodmin College</v>
          </cell>
          <cell r="H915" t="str">
            <v>South West</v>
          </cell>
          <cell r="I915" t="str">
            <v>Lostwithiel Road</v>
          </cell>
          <cell r="L915" t="str">
            <v>Bodmin</v>
          </cell>
          <cell r="M915" t="str">
            <v>Cornwall</v>
          </cell>
          <cell r="N915" t="str">
            <v>PL31 1DD</v>
          </cell>
          <cell r="O915" t="str">
            <v>head@bodmincollege.cornwall.sch.uk</v>
          </cell>
          <cell r="P915">
            <v>40388</v>
          </cell>
        </row>
        <row r="916">
          <cell r="A916">
            <v>3343304</v>
          </cell>
          <cell r="B916">
            <v>104091</v>
          </cell>
          <cell r="C916">
            <v>334</v>
          </cell>
          <cell r="D916" t="str">
            <v>Solihull</v>
          </cell>
          <cell r="E916">
            <v>3304</v>
          </cell>
          <cell r="F916" t="str">
            <v>Ruth Pallister</v>
          </cell>
          <cell r="G916" t="str">
            <v>St James Church of England Voluntary Aided Junior School</v>
          </cell>
          <cell r="H916" t="str">
            <v>West Midlands</v>
          </cell>
          <cell r="I916" t="str">
            <v>Halifax Road</v>
          </cell>
          <cell r="J916" t="str">
            <v>Shirley</v>
          </cell>
          <cell r="L916" t="str">
            <v>Solihull</v>
          </cell>
          <cell r="M916" t="str">
            <v>West Midlands</v>
          </cell>
          <cell r="N916" t="str">
            <v>B90 2BT</v>
          </cell>
          <cell r="O916" t="str">
            <v>office@st-james.solihull.sch.uk</v>
          </cell>
        </row>
        <row r="917">
          <cell r="A917">
            <v>9252157</v>
          </cell>
          <cell r="B917">
            <v>120449</v>
          </cell>
          <cell r="C917">
            <v>925</v>
          </cell>
          <cell r="D917" t="str">
            <v>Lincolnshire</v>
          </cell>
          <cell r="E917">
            <v>2157</v>
          </cell>
          <cell r="F917" t="str">
            <v>Jayne Turner</v>
          </cell>
          <cell r="G917" t="str">
            <v>Gipsey Bridge Primary School</v>
          </cell>
          <cell r="H917" t="str">
            <v>East Midlands</v>
          </cell>
          <cell r="I917" t="str">
            <v>Gipsey Bridge</v>
          </cell>
          <cell r="L917" t="str">
            <v>Boston</v>
          </cell>
          <cell r="M917" t="str">
            <v>Lincolnshire</v>
          </cell>
          <cell r="N917" t="str">
            <v>PE22 7BP</v>
          </cell>
          <cell r="O917" t="str">
            <v>gavin.booth@gipseybridge.lincs.sch.uk</v>
          </cell>
          <cell r="P917">
            <v>41137</v>
          </cell>
        </row>
        <row r="918">
          <cell r="A918">
            <v>8554501</v>
          </cell>
          <cell r="B918">
            <v>120299</v>
          </cell>
          <cell r="C918">
            <v>855</v>
          </cell>
          <cell r="D918" t="str">
            <v>Leicestershire</v>
          </cell>
          <cell r="E918">
            <v>4501</v>
          </cell>
          <cell r="F918" t="str">
            <v>Stephen Standret</v>
          </cell>
          <cell r="G918" t="str">
            <v>John Cleveland College</v>
          </cell>
          <cell r="H918" t="str">
            <v>East Midlands</v>
          </cell>
          <cell r="I918" t="str">
            <v>Butt Lane</v>
          </cell>
          <cell r="L918" t="str">
            <v>Hinckley</v>
          </cell>
          <cell r="M918" t="str">
            <v>Leicestershire</v>
          </cell>
          <cell r="N918" t="str">
            <v>LE10 1LE</v>
          </cell>
          <cell r="O918" t="str">
            <v xml:space="preserve"> pcraven@jcc.leics.sch.uk</v>
          </cell>
          <cell r="P918">
            <v>40998</v>
          </cell>
        </row>
        <row r="919">
          <cell r="A919">
            <v>3132048</v>
          </cell>
          <cell r="B919">
            <v>102504</v>
          </cell>
          <cell r="C919">
            <v>313</v>
          </cell>
          <cell r="D919" t="str">
            <v>Hounslow</v>
          </cell>
          <cell r="E919">
            <v>2048</v>
          </cell>
          <cell r="F919" t="str">
            <v>Susan Power</v>
          </cell>
          <cell r="G919" t="str">
            <v>Strand-on-the-Green Infant and Nursery School</v>
          </cell>
          <cell r="H919" t="str">
            <v>London</v>
          </cell>
          <cell r="I919" t="str">
            <v>Thames Road</v>
          </cell>
          <cell r="J919" t="str">
            <v>Chiswick</v>
          </cell>
          <cell r="L919" t="str">
            <v>London</v>
          </cell>
          <cell r="N919" t="str">
            <v>W4 3NX</v>
          </cell>
          <cell r="O919" t="str">
            <v>head.strand-on-green-inf-nur.hounslow@lgfl.net</v>
          </cell>
        </row>
        <row r="920">
          <cell r="A920">
            <v>8013432</v>
          </cell>
          <cell r="B920">
            <v>134863</v>
          </cell>
          <cell r="C920">
            <v>801</v>
          </cell>
          <cell r="D920" t="str">
            <v>Bristol City of</v>
          </cell>
          <cell r="E920">
            <v>3432</v>
          </cell>
          <cell r="F920" t="str">
            <v>Nigel Mills</v>
          </cell>
          <cell r="G920" t="str">
            <v>Little Mead Primary School</v>
          </cell>
          <cell r="H920" t="str">
            <v>South West</v>
          </cell>
          <cell r="I920" t="str">
            <v>Gosforth Road</v>
          </cell>
          <cell r="L920" t="str">
            <v>Bristol</v>
          </cell>
          <cell r="N920" t="str">
            <v>BS10 6DS</v>
          </cell>
          <cell r="O920" t="str">
            <v>head.little.mead.p@bristol.gov.uk</v>
          </cell>
          <cell r="P920">
            <v>41047</v>
          </cell>
        </row>
        <row r="921">
          <cell r="A921">
            <v>9255406</v>
          </cell>
          <cell r="B921">
            <v>120702</v>
          </cell>
          <cell r="C921">
            <v>925</v>
          </cell>
          <cell r="D921" t="str">
            <v>Lincolnshire</v>
          </cell>
          <cell r="E921">
            <v>5406</v>
          </cell>
          <cell r="F921" t="str">
            <v>Servet Bicer</v>
          </cell>
          <cell r="G921" t="str">
            <v>Caistor Grammar School</v>
          </cell>
          <cell r="H921" t="str">
            <v>East Midlands</v>
          </cell>
          <cell r="I921" t="str">
            <v>Church Street</v>
          </cell>
          <cell r="J921" t="str">
            <v>Caistor</v>
          </cell>
          <cell r="L921" t="str">
            <v>Market Rasen</v>
          </cell>
          <cell r="M921" t="str">
            <v>Lincolnshire</v>
          </cell>
          <cell r="N921" t="str">
            <v>LN7 6QJ</v>
          </cell>
          <cell r="O921" t="str">
            <v>roger.hale@caistorgrammar.com</v>
          </cell>
          <cell r="P921">
            <v>40347</v>
          </cell>
        </row>
        <row r="922">
          <cell r="A922">
            <v>8552351</v>
          </cell>
          <cell r="B922">
            <v>120076</v>
          </cell>
          <cell r="C922">
            <v>855</v>
          </cell>
          <cell r="D922" t="str">
            <v>Leicestershire</v>
          </cell>
          <cell r="E922">
            <v>2351</v>
          </cell>
          <cell r="F922" t="str">
            <v>Sue Harp</v>
          </cell>
          <cell r="G922" t="str">
            <v>Richmond Primary School</v>
          </cell>
          <cell r="H922" t="str">
            <v>East Midlands</v>
          </cell>
          <cell r="I922" t="str">
            <v>Stoke Road</v>
          </cell>
          <cell r="L922" t="str">
            <v>Hinckley</v>
          </cell>
          <cell r="M922" t="str">
            <v>Leicestershire</v>
          </cell>
          <cell r="N922" t="str">
            <v>LE10 3EA</v>
          </cell>
          <cell r="O922" t="str">
            <v>carolynm3@richmond.leics.sch.uk</v>
          </cell>
        </row>
        <row r="923">
          <cell r="A923">
            <v>3114001</v>
          </cell>
          <cell r="B923">
            <v>102338</v>
          </cell>
          <cell r="C923">
            <v>311</v>
          </cell>
          <cell r="D923" t="str">
            <v>Havering</v>
          </cell>
          <cell r="E923">
            <v>4001</v>
          </cell>
          <cell r="F923" t="str">
            <v>Tahir Shams</v>
          </cell>
          <cell r="G923" t="str">
            <v>Redden Court School</v>
          </cell>
          <cell r="H923" t="str">
            <v>London</v>
          </cell>
          <cell r="I923" t="str">
            <v>Cotswold Road</v>
          </cell>
          <cell r="J923" t="str">
            <v>Harold Wood</v>
          </cell>
          <cell r="L923" t="str">
            <v>Romford</v>
          </cell>
          <cell r="M923" t="str">
            <v>Essex</v>
          </cell>
          <cell r="N923" t="str">
            <v>RM3 0TS</v>
          </cell>
          <cell r="O923" t="str">
            <v>pward@reddencourt.havering.sch.uk</v>
          </cell>
          <cell r="P923">
            <v>40582</v>
          </cell>
        </row>
        <row r="924">
          <cell r="A924">
            <v>8792730</v>
          </cell>
          <cell r="B924">
            <v>133602</v>
          </cell>
          <cell r="C924">
            <v>879</v>
          </cell>
          <cell r="D924" t="str">
            <v>Plymouth</v>
          </cell>
          <cell r="E924">
            <v>2730</v>
          </cell>
          <cell r="F924" t="str">
            <v>Ali Bushell</v>
          </cell>
          <cell r="G924" t="str">
            <v>Leigham Primary School</v>
          </cell>
          <cell r="H924" t="str">
            <v>South West</v>
          </cell>
          <cell r="I924" t="str">
            <v>Cockington Close</v>
          </cell>
          <cell r="J924" t="str">
            <v>Leigham</v>
          </cell>
          <cell r="L924" t="str">
            <v>Plymouth</v>
          </cell>
          <cell r="M924" t="str">
            <v>Devon</v>
          </cell>
          <cell r="N924" t="str">
            <v>PL6 8RF</v>
          </cell>
          <cell r="O924" t="str">
            <v>jbellamy@leigham-primary.plymouth.sch.uk</v>
          </cell>
        </row>
        <row r="925">
          <cell r="A925">
            <v>8074121</v>
          </cell>
          <cell r="B925">
            <v>111740</v>
          </cell>
          <cell r="C925">
            <v>807</v>
          </cell>
          <cell r="D925" t="str">
            <v>Redcar and Cleveland</v>
          </cell>
          <cell r="E925">
            <v>4121</v>
          </cell>
          <cell r="F925" t="str">
            <v>Susan Dean</v>
          </cell>
          <cell r="G925" t="str">
            <v>Nunthorpe School</v>
          </cell>
          <cell r="H925" t="str">
            <v>North East</v>
          </cell>
          <cell r="I925" t="str">
            <v>Guisborough Road</v>
          </cell>
          <cell r="J925" t="str">
            <v>Nunthorpe</v>
          </cell>
          <cell r="L925" t="str">
            <v>Middlesbrough</v>
          </cell>
          <cell r="N925" t="str">
            <v>TS7 0LA</v>
          </cell>
          <cell r="O925" t="str">
            <v>dclinton@nunthorpe.co.uk</v>
          </cell>
          <cell r="P925">
            <v>41030</v>
          </cell>
        </row>
        <row r="926">
          <cell r="A926">
            <v>9264047</v>
          </cell>
          <cell r="B926">
            <v>121165</v>
          </cell>
          <cell r="C926">
            <v>926</v>
          </cell>
          <cell r="D926" t="str">
            <v>Norfolk</v>
          </cell>
          <cell r="E926">
            <v>4047</v>
          </cell>
          <cell r="F926" t="str">
            <v>Joe Farrell</v>
          </cell>
          <cell r="G926" t="str">
            <v>Methwold High School</v>
          </cell>
          <cell r="H926" t="str">
            <v>East of England</v>
          </cell>
          <cell r="I926" t="str">
            <v>Stoke Road</v>
          </cell>
          <cell r="J926" t="str">
            <v>Methwold</v>
          </cell>
          <cell r="L926" t="str">
            <v>Thetford</v>
          </cell>
          <cell r="M926" t="str">
            <v>Norfolk</v>
          </cell>
          <cell r="N926" t="str">
            <v>IP26 4PE</v>
          </cell>
          <cell r="O926" t="str">
            <v>office@methwold.norfolk.sch.uk</v>
          </cell>
        </row>
        <row r="927">
          <cell r="A927">
            <v>3305406</v>
          </cell>
          <cell r="B927">
            <v>103553</v>
          </cell>
          <cell r="C927">
            <v>330</v>
          </cell>
          <cell r="D927" t="str">
            <v>Birmingham</v>
          </cell>
          <cell r="E927">
            <v>5406</v>
          </cell>
          <cell r="F927" t="str">
            <v>Lilian Da Cunha</v>
          </cell>
          <cell r="G927" t="str">
            <v>King Edward VI Camp Hill School for Girls</v>
          </cell>
          <cell r="H927" t="str">
            <v>West Midlands</v>
          </cell>
          <cell r="I927" t="str">
            <v>Vicarage Road</v>
          </cell>
          <cell r="J927" t="str">
            <v>Kings Heath</v>
          </cell>
          <cell r="L927" t="str">
            <v>Birmingham</v>
          </cell>
          <cell r="M927" t="str">
            <v>West Midlands</v>
          </cell>
          <cell r="N927" t="str">
            <v>B14 7QJ</v>
          </cell>
          <cell r="O927" t="str">
            <v>dj@kegschg.bham.sch.uk</v>
          </cell>
          <cell r="P927">
            <v>40511</v>
          </cell>
        </row>
        <row r="928">
          <cell r="A928">
            <v>8964100</v>
          </cell>
          <cell r="B928">
            <v>111398</v>
          </cell>
          <cell r="C928">
            <v>896</v>
          </cell>
          <cell r="D928" t="str">
            <v>Cheshire West and Chester</v>
          </cell>
          <cell r="E928">
            <v>4100</v>
          </cell>
          <cell r="F928" t="str">
            <v>Cathy Dudley</v>
          </cell>
          <cell r="G928" t="str">
            <v>Neston High School</v>
          </cell>
          <cell r="H928" t="str">
            <v>North West</v>
          </cell>
          <cell r="I928" t="str">
            <v>Raby Park Road</v>
          </cell>
          <cell r="L928" t="str">
            <v>Neston</v>
          </cell>
          <cell r="M928" t="str">
            <v>Cheshire</v>
          </cell>
          <cell r="N928" t="str">
            <v>CH64 9NH</v>
          </cell>
          <cell r="O928" t="str">
            <v>admin@nestonhigh.cheshire.sch.uk</v>
          </cell>
          <cell r="P928">
            <v>40913</v>
          </cell>
        </row>
        <row r="929">
          <cell r="A929">
            <v>8504143</v>
          </cell>
          <cell r="B929">
            <v>116421</v>
          </cell>
          <cell r="C929">
            <v>850</v>
          </cell>
          <cell r="D929" t="str">
            <v>Hampshire</v>
          </cell>
          <cell r="E929">
            <v>4143</v>
          </cell>
          <cell r="F929" t="str">
            <v>Gabriela Grimley</v>
          </cell>
          <cell r="G929" t="str">
            <v>The Romsey School</v>
          </cell>
          <cell r="H929" t="str">
            <v>South East</v>
          </cell>
          <cell r="I929" t="str">
            <v>Greatbridge Road</v>
          </cell>
          <cell r="L929" t="str">
            <v>Romsey</v>
          </cell>
          <cell r="M929" t="str">
            <v>Hampshire</v>
          </cell>
          <cell r="N929" t="str">
            <v>SO51 8ZB</v>
          </cell>
          <cell r="O929" t="str">
            <v>Lcardy@romsey.hants.sch.uk</v>
          </cell>
          <cell r="P929">
            <v>40633</v>
          </cell>
        </row>
        <row r="930">
          <cell r="A930">
            <v>3034021</v>
          </cell>
          <cell r="B930">
            <v>101467</v>
          </cell>
          <cell r="C930">
            <v>303</v>
          </cell>
          <cell r="D930" t="str">
            <v>Bexley</v>
          </cell>
          <cell r="E930">
            <v>4021</v>
          </cell>
          <cell r="F930" t="str">
            <v>Helen Barry</v>
          </cell>
          <cell r="G930" t="str">
            <v>Welling School</v>
          </cell>
          <cell r="H930" t="str">
            <v>London</v>
          </cell>
          <cell r="I930" t="str">
            <v>Elsa Road</v>
          </cell>
          <cell r="L930" t="str">
            <v>Welling</v>
          </cell>
          <cell r="M930" t="str">
            <v>Kent</v>
          </cell>
          <cell r="N930" t="str">
            <v>DA16 1LB</v>
          </cell>
          <cell r="O930" t="str">
            <v>john.atkins@thekemnaltrust.org</v>
          </cell>
        </row>
        <row r="931">
          <cell r="A931">
            <v>9284041</v>
          </cell>
          <cell r="B931">
            <v>122060</v>
          </cell>
          <cell r="C931">
            <v>928</v>
          </cell>
          <cell r="D931" t="str">
            <v>Northamptonshire</v>
          </cell>
          <cell r="E931">
            <v>4041</v>
          </cell>
          <cell r="F931" t="str">
            <v>Stephen Standret</v>
          </cell>
          <cell r="G931" t="str">
            <v>Elizabeth Woodville School</v>
          </cell>
          <cell r="H931" t="str">
            <v>East Midlands</v>
          </cell>
          <cell r="I931" t="str">
            <v>Stratford Road</v>
          </cell>
          <cell r="J931" t="str">
            <v>Deanshanger</v>
          </cell>
          <cell r="L931" t="str">
            <v>Milton Keynes</v>
          </cell>
          <cell r="M931" t="str">
            <v>Buckinghamshire</v>
          </cell>
          <cell r="N931" t="str">
            <v>MK19 6HN</v>
          </cell>
          <cell r="O931" t="str">
            <v>head@ews.northants.sch.uk</v>
          </cell>
          <cell r="P931">
            <v>41115</v>
          </cell>
        </row>
        <row r="932">
          <cell r="A932">
            <v>3354007</v>
          </cell>
          <cell r="B932">
            <v>104243</v>
          </cell>
          <cell r="C932">
            <v>335</v>
          </cell>
          <cell r="D932" t="str">
            <v>Walsall</v>
          </cell>
          <cell r="E932">
            <v>4007</v>
          </cell>
          <cell r="F932" t="str">
            <v>Alison Middleton</v>
          </cell>
          <cell r="G932" t="str">
            <v>Joseph Leckie Community Technology College</v>
          </cell>
          <cell r="H932" t="str">
            <v>West Midlands</v>
          </cell>
          <cell r="I932" t="str">
            <v>Walstead Road West</v>
          </cell>
          <cell r="L932" t="str">
            <v>Walsall</v>
          </cell>
          <cell r="M932" t="str">
            <v>West Midlands</v>
          </cell>
          <cell r="N932" t="str">
            <v>WS5 4PG</v>
          </cell>
          <cell r="O932" t="str">
            <v>st-whittlestone-k@j-leckie.walsall.sch.uk</v>
          </cell>
          <cell r="P932">
            <v>40620</v>
          </cell>
        </row>
        <row r="933">
          <cell r="A933">
            <v>8814020</v>
          </cell>
          <cell r="B933">
            <v>115207</v>
          </cell>
          <cell r="C933">
            <v>881</v>
          </cell>
          <cell r="D933" t="str">
            <v>Essex</v>
          </cell>
          <cell r="E933">
            <v>4020</v>
          </cell>
          <cell r="F933" t="str">
            <v>Claire Ivie</v>
          </cell>
          <cell r="G933" t="str">
            <v>The Thomas Lord Audley School</v>
          </cell>
          <cell r="H933" t="str">
            <v>East of England</v>
          </cell>
          <cell r="I933" t="str">
            <v>Monkwick Avenue</v>
          </cell>
          <cell r="J933" t="str">
            <v>Monkwick</v>
          </cell>
          <cell r="L933" t="str">
            <v>Colchester</v>
          </cell>
          <cell r="M933" t="str">
            <v>Essex</v>
          </cell>
          <cell r="N933" t="str">
            <v>CO2 8NJ</v>
          </cell>
          <cell r="O933" t="str">
            <v>svivian@tla.essex.sch.uk</v>
          </cell>
          <cell r="P933">
            <v>40864</v>
          </cell>
        </row>
        <row r="934">
          <cell r="A934">
            <v>3944041</v>
          </cell>
          <cell r="B934">
            <v>108859</v>
          </cell>
          <cell r="C934">
            <v>394</v>
          </cell>
          <cell r="D934" t="str">
            <v>Sunderland</v>
          </cell>
          <cell r="E934">
            <v>4041</v>
          </cell>
          <cell r="F934" t="str">
            <v>Carol Blain</v>
          </cell>
          <cell r="G934" t="str">
            <v>Monkwearmouth School</v>
          </cell>
          <cell r="H934" t="str">
            <v>North East</v>
          </cell>
          <cell r="I934" t="str">
            <v>Torver Crescent</v>
          </cell>
          <cell r="J934" t="str">
            <v>Seaburn Dene</v>
          </cell>
          <cell r="L934" t="str">
            <v>Sunderland</v>
          </cell>
          <cell r="M934" t="str">
            <v>Tyne and Wear</v>
          </cell>
          <cell r="N934" t="str">
            <v>SR6 8LG</v>
          </cell>
          <cell r="O934" t="str">
            <v>steve.wilkinson@monkwearmouth.sunderland.sch.uk</v>
          </cell>
        </row>
        <row r="935">
          <cell r="A935">
            <v>8954225</v>
          </cell>
          <cell r="B935">
            <v>111443</v>
          </cell>
          <cell r="C935">
            <v>895</v>
          </cell>
          <cell r="D935" t="str">
            <v>Cheshire East</v>
          </cell>
          <cell r="E935">
            <v>4225</v>
          </cell>
          <cell r="F935" t="str">
            <v>Jane McCusker</v>
          </cell>
          <cell r="G935" t="str">
            <v>Wilmslow Hgh School</v>
          </cell>
          <cell r="H935" t="str">
            <v>North West</v>
          </cell>
          <cell r="I935" t="str">
            <v>Holly Road</v>
          </cell>
          <cell r="L935" t="str">
            <v>Wilmslow</v>
          </cell>
          <cell r="M935" t="str">
            <v>Cheshire</v>
          </cell>
          <cell r="N935" t="str">
            <v>SK9 1LZ</v>
          </cell>
          <cell r="O935" t="str">
            <v>gbremner@wilmslowhigh.cheshire.sch.uk</v>
          </cell>
        </row>
        <row r="936">
          <cell r="A936">
            <v>3834106</v>
          </cell>
          <cell r="B936">
            <v>108083</v>
          </cell>
          <cell r="C936">
            <v>383</v>
          </cell>
          <cell r="D936" t="str">
            <v>Leeds</v>
          </cell>
          <cell r="E936">
            <v>4106</v>
          </cell>
          <cell r="F936" t="str">
            <v>Bev Annables</v>
          </cell>
          <cell r="G936" t="str">
            <v>Benton Park School</v>
          </cell>
          <cell r="H936" t="str">
            <v>Yorkshire and the Humber</v>
          </cell>
          <cell r="I936" t="str">
            <v>Harrogate Road</v>
          </cell>
          <cell r="J936" t="str">
            <v>Rawdon</v>
          </cell>
          <cell r="L936" t="str">
            <v>Leeds</v>
          </cell>
          <cell r="M936" t="str">
            <v>West Yorkshire</v>
          </cell>
          <cell r="N936" t="str">
            <v>LS19 6LX</v>
          </cell>
          <cell r="O936" t="str">
            <v>foleydj02@leedslearning.net</v>
          </cell>
        </row>
        <row r="937">
          <cell r="A937">
            <v>3527029</v>
          </cell>
          <cell r="B937">
            <v>105608</v>
          </cell>
          <cell r="C937">
            <v>352</v>
          </cell>
          <cell r="D937" t="str">
            <v>Manchester</v>
          </cell>
          <cell r="E937">
            <v>7029</v>
          </cell>
          <cell r="F937" t="str">
            <v>Christine West</v>
          </cell>
          <cell r="G937" t="str">
            <v>Lancasterian School</v>
          </cell>
          <cell r="H937" t="str">
            <v>North West</v>
          </cell>
          <cell r="I937" t="str">
            <v>Elizabeth Slinger Road</v>
          </cell>
          <cell r="J937" t="str">
            <v>West Didsbury</v>
          </cell>
          <cell r="L937" t="str">
            <v>Manchester</v>
          </cell>
          <cell r="N937" t="str">
            <v>M20 2XA</v>
          </cell>
          <cell r="O937" t="str">
            <v>head@lancasterian.manchester.sch.uk</v>
          </cell>
        </row>
        <row r="938">
          <cell r="A938">
            <v>8967120</v>
          </cell>
          <cell r="B938">
            <v>111513</v>
          </cell>
          <cell r="C938">
            <v>896</v>
          </cell>
          <cell r="D938" t="str">
            <v>Cheshire West and Chester</v>
          </cell>
          <cell r="E938">
            <v>7120</v>
          </cell>
          <cell r="F938" t="str">
            <v>Maria Sabberton</v>
          </cell>
          <cell r="G938" t="str">
            <v>Rosebank School</v>
          </cell>
          <cell r="H938" t="str">
            <v>North West</v>
          </cell>
          <cell r="I938" t="str">
            <v>Townfield Lane</v>
          </cell>
          <cell r="J938" t="str">
            <v>Barnton</v>
          </cell>
          <cell r="L938" t="str">
            <v>Northwich</v>
          </cell>
          <cell r="M938" t="str">
            <v>Cheshire</v>
          </cell>
          <cell r="N938" t="str">
            <v>CW8 4QP</v>
          </cell>
          <cell r="O938" t="str">
            <v>head@rosebank.cheshire.sch.uk</v>
          </cell>
        </row>
        <row r="939">
          <cell r="A939">
            <v>8854754</v>
          </cell>
          <cell r="B939">
            <v>116993</v>
          </cell>
          <cell r="C939">
            <v>885</v>
          </cell>
          <cell r="D939" t="str">
            <v>Worcestershire</v>
          </cell>
          <cell r="E939">
            <v>4754</v>
          </cell>
          <cell r="F939" t="str">
            <v>Sally Gardiner</v>
          </cell>
          <cell r="G939" t="str">
            <v>Bishop Perowne Church of England College</v>
          </cell>
          <cell r="H939" t="str">
            <v>West Midlands</v>
          </cell>
          <cell r="I939" t="str">
            <v>Merriman's Hill Road</v>
          </cell>
          <cell r="L939" t="str">
            <v>Worcester</v>
          </cell>
          <cell r="M939" t="str">
            <v>Worcestershire</v>
          </cell>
          <cell r="N939" t="str">
            <v>WR3 8LE</v>
          </cell>
          <cell r="O939" t="str">
            <v>Rachael Smart E: smartr@bishop-perowne.worcs.sch.uk</v>
          </cell>
          <cell r="P939">
            <v>40889</v>
          </cell>
        </row>
        <row r="940">
          <cell r="A940">
            <v>9283348</v>
          </cell>
          <cell r="B940">
            <v>122035</v>
          </cell>
          <cell r="C940">
            <v>928</v>
          </cell>
          <cell r="D940" t="str">
            <v>Northamptonshire</v>
          </cell>
          <cell r="E940">
            <v>3348</v>
          </cell>
          <cell r="F940" t="str">
            <v>Sue Harp</v>
          </cell>
          <cell r="G940" t="str">
            <v>St James CofE VA Primary School</v>
          </cell>
          <cell r="H940" t="str">
            <v>East Midlands</v>
          </cell>
          <cell r="I940" t="str">
            <v>Harlestone Road</v>
          </cell>
          <cell r="J940" t="str">
            <v>St James</v>
          </cell>
          <cell r="L940" t="str">
            <v>Northampton</v>
          </cell>
          <cell r="M940" t="str">
            <v>Northamptonshire</v>
          </cell>
          <cell r="N940" t="str">
            <v>NN5 7AG</v>
          </cell>
          <cell r="O940" t="str">
            <v>head@stjames.northants-ecl.gov.uk</v>
          </cell>
        </row>
        <row r="941">
          <cell r="A941">
            <v>2072060</v>
          </cell>
          <cell r="B941">
            <v>100480</v>
          </cell>
          <cell r="C941">
            <v>207</v>
          </cell>
          <cell r="D941" t="str">
            <v>Kensington and Chelsea</v>
          </cell>
          <cell r="E941">
            <v>2060</v>
          </cell>
          <cell r="F941" t="str">
            <v>Tahir Shams</v>
          </cell>
          <cell r="G941" t="str">
            <v>Bousfield School</v>
          </cell>
          <cell r="H941" t="str">
            <v>London</v>
          </cell>
          <cell r="I941" t="str">
            <v>South Bolton Gardens</v>
          </cell>
          <cell r="L941" t="str">
            <v>London</v>
          </cell>
          <cell r="N941" t="str">
            <v>SW5 0DJ</v>
          </cell>
          <cell r="O941" t="str">
            <v>connie.cooling@bousfield.rbkc.sch.uk</v>
          </cell>
        </row>
        <row r="942">
          <cell r="A942">
            <v>3055200</v>
          </cell>
          <cell r="B942">
            <v>101660</v>
          </cell>
          <cell r="C942">
            <v>305</v>
          </cell>
          <cell r="D942" t="str">
            <v>Bromley</v>
          </cell>
          <cell r="E942">
            <v>5200</v>
          </cell>
          <cell r="F942" t="str">
            <v>Helen Fisher</v>
          </cell>
          <cell r="G942" t="str">
            <v>Crofton Junior School</v>
          </cell>
          <cell r="H942" t="str">
            <v>London</v>
          </cell>
          <cell r="I942" t="str">
            <v>Towncourt Lane</v>
          </cell>
          <cell r="L942" t="str">
            <v>Orpington</v>
          </cell>
          <cell r="M942" t="str">
            <v>Kent</v>
          </cell>
          <cell r="N942" t="str">
            <v>BR5 1EL</v>
          </cell>
          <cell r="O942" t="str">
            <v>richard@crofton-jun.bromley.sch.uk</v>
          </cell>
          <cell r="P942">
            <v>40744</v>
          </cell>
        </row>
        <row r="943">
          <cell r="A943">
            <v>8734501</v>
          </cell>
          <cell r="B943">
            <v>110884</v>
          </cell>
          <cell r="C943">
            <v>873</v>
          </cell>
          <cell r="D943" t="str">
            <v>Cambridgeshire</v>
          </cell>
          <cell r="E943">
            <v>4501</v>
          </cell>
          <cell r="F943" t="str">
            <v>Shreena Patel</v>
          </cell>
          <cell r="G943" t="str">
            <v>The Neale-Wade Community College</v>
          </cell>
          <cell r="H943" t="str">
            <v>East of England</v>
          </cell>
          <cell r="I943" t="str">
            <v>Wimblington Road</v>
          </cell>
          <cell r="L943" t="str">
            <v>March</v>
          </cell>
          <cell r="M943" t="str">
            <v>Cambridgeshire</v>
          </cell>
          <cell r="N943" t="str">
            <v>PE15 9PX</v>
          </cell>
          <cell r="O943" t="str">
            <v>jwing@neale-wade.cambs.sch.uk</v>
          </cell>
          <cell r="P943">
            <v>40869</v>
          </cell>
        </row>
        <row r="944">
          <cell r="A944">
            <v>8782038</v>
          </cell>
          <cell r="B944">
            <v>113091</v>
          </cell>
          <cell r="C944">
            <v>878</v>
          </cell>
          <cell r="D944" t="str">
            <v>Devon</v>
          </cell>
          <cell r="E944">
            <v>2038</v>
          </cell>
          <cell r="F944" t="str">
            <v>Susan Phillips</v>
          </cell>
          <cell r="G944" t="str">
            <v>Walter Daw Primary School</v>
          </cell>
          <cell r="H944" t="str">
            <v>South West</v>
          </cell>
          <cell r="I944" t="str">
            <v>Woodwater Lane</v>
          </cell>
          <cell r="L944" t="str">
            <v>Exeter</v>
          </cell>
          <cell r="M944" t="str">
            <v>Devon</v>
          </cell>
          <cell r="N944" t="str">
            <v>EX2 5AW</v>
          </cell>
          <cell r="O944" t="str">
            <v>jayne@walterdaw.devon.sch.uk</v>
          </cell>
        </row>
        <row r="945">
          <cell r="A945">
            <v>8843315</v>
          </cell>
          <cell r="B945">
            <v>116874</v>
          </cell>
          <cell r="C945">
            <v>884</v>
          </cell>
          <cell r="D945" t="str">
            <v>Herefordshire</v>
          </cell>
          <cell r="E945">
            <v>3315</v>
          </cell>
          <cell r="F945" t="str">
            <v>Julia Waterhouse</v>
          </cell>
          <cell r="G945" t="str">
            <v>Cradley CofE Primary School</v>
          </cell>
          <cell r="H945" t="str">
            <v>West Midlands</v>
          </cell>
          <cell r="I945" t="str">
            <v>Cradley</v>
          </cell>
          <cell r="L945" t="str">
            <v>Malvern</v>
          </cell>
          <cell r="M945" t="str">
            <v>Worcestershire</v>
          </cell>
          <cell r="N945" t="str">
            <v>WR13 5NG</v>
          </cell>
          <cell r="O945" t="str">
            <v>head@cradley.hereford.sch.uk</v>
          </cell>
        </row>
        <row r="946">
          <cell r="A946">
            <v>3062008</v>
          </cell>
          <cell r="B946">
            <v>101716</v>
          </cell>
          <cell r="C946">
            <v>306</v>
          </cell>
          <cell r="D946" t="str">
            <v>Croydon</v>
          </cell>
          <cell r="E946">
            <v>2008</v>
          </cell>
          <cell r="F946" t="str">
            <v>Anita Bihal</v>
          </cell>
          <cell r="G946" t="str">
            <v>David Livingstone Primary School</v>
          </cell>
          <cell r="H946" t="str">
            <v>London</v>
          </cell>
          <cell r="I946" t="str">
            <v>Northwood Road</v>
          </cell>
          <cell r="L946" t="str">
            <v>Thornton Heath</v>
          </cell>
          <cell r="M946" t="str">
            <v>Surrey</v>
          </cell>
          <cell r="N946" t="str">
            <v>CR7 8HX</v>
          </cell>
          <cell r="O946" t="str">
            <v>head@gonville-pri.croydon.sch.uk</v>
          </cell>
          <cell r="P946">
            <v>40641</v>
          </cell>
        </row>
        <row r="947">
          <cell r="A947">
            <v>9332019</v>
          </cell>
          <cell r="B947">
            <v>123641</v>
          </cell>
          <cell r="C947">
            <v>933</v>
          </cell>
          <cell r="D947" t="str">
            <v>Somerset</v>
          </cell>
          <cell r="E947">
            <v>2019</v>
          </cell>
          <cell r="F947" t="str">
            <v>Not yet assigned</v>
          </cell>
          <cell r="G947" t="str">
            <v>Coxley Primary School</v>
          </cell>
          <cell r="H947" t="str">
            <v>South West</v>
          </cell>
          <cell r="I947" t="str">
            <v>Harters Hill Lane</v>
          </cell>
          <cell r="L947" t="str">
            <v>Wells</v>
          </cell>
          <cell r="M947" t="str">
            <v>Somerset</v>
          </cell>
          <cell r="N947" t="str">
            <v>BA5 1RD</v>
          </cell>
          <cell r="O947" t="str">
            <v>JHesketh-Williams@educ.somerset.gov.uk</v>
          </cell>
        </row>
        <row r="948">
          <cell r="A948">
            <v>9363932</v>
          </cell>
          <cell r="B948">
            <v>131112</v>
          </cell>
          <cell r="C948">
            <v>936</v>
          </cell>
          <cell r="D948" t="str">
            <v>Surrey</v>
          </cell>
          <cell r="E948">
            <v>3932</v>
          </cell>
          <cell r="F948" t="str">
            <v>Gabriela Grimley</v>
          </cell>
          <cell r="G948" t="str">
            <v>St Joseph's Catholic Primary School</v>
          </cell>
          <cell r="H948" t="str">
            <v>South East</v>
          </cell>
          <cell r="I948" t="str">
            <v>155 Aldershot Road</v>
          </cell>
          <cell r="L948" t="str">
            <v>Guildford</v>
          </cell>
          <cell r="M948" t="str">
            <v>Surrey</v>
          </cell>
          <cell r="N948" t="str">
            <v>GU2 8YH</v>
          </cell>
          <cell r="O948" t="str">
            <v>head@st-josephs-guildford.surrey.sch.uk</v>
          </cell>
        </row>
        <row r="949">
          <cell r="A949">
            <v>8814470</v>
          </cell>
          <cell r="B949">
            <v>115231</v>
          </cell>
          <cell r="C949">
            <v>881</v>
          </cell>
          <cell r="D949" t="str">
            <v>Essex</v>
          </cell>
          <cell r="E949">
            <v>4470</v>
          </cell>
          <cell r="F949" t="str">
            <v>Claire Ivie</v>
          </cell>
          <cell r="G949" t="str">
            <v>Tabor Science College</v>
          </cell>
          <cell r="H949" t="str">
            <v>East of England</v>
          </cell>
          <cell r="I949" t="str">
            <v>Panfield Lane</v>
          </cell>
          <cell r="L949" t="str">
            <v>Braintree</v>
          </cell>
          <cell r="M949" t="str">
            <v>Essex</v>
          </cell>
          <cell r="N949" t="str">
            <v>CM7 5XP</v>
          </cell>
          <cell r="O949" t="str">
            <v>clarkst@taborscience.com</v>
          </cell>
          <cell r="P949">
            <v>41176</v>
          </cell>
        </row>
        <row r="950">
          <cell r="A950">
            <v>3124654</v>
          </cell>
          <cell r="B950">
            <v>131928</v>
          </cell>
          <cell r="C950">
            <v>312</v>
          </cell>
          <cell r="D950" t="str">
            <v>Hillingdon</v>
          </cell>
          <cell r="E950">
            <v>4654</v>
          </cell>
          <cell r="F950" t="str">
            <v>Martin Rowley</v>
          </cell>
          <cell r="G950" t="str">
            <v>Guru Nanak Sikh Voluntary Aided Secondary School</v>
          </cell>
          <cell r="H950" t="str">
            <v>London</v>
          </cell>
          <cell r="I950" t="str">
            <v>Springfield Road</v>
          </cell>
          <cell r="L950" t="str">
            <v>Hayes</v>
          </cell>
          <cell r="N950" t="str">
            <v>UB4 0LT</v>
          </cell>
          <cell r="O950" t="str">
            <v>ghall1@hillingdongrid.org</v>
          </cell>
          <cell r="P950">
            <v>40357</v>
          </cell>
        </row>
        <row r="951">
          <cell r="A951">
            <v>8374172</v>
          </cell>
          <cell r="B951">
            <v>113871</v>
          </cell>
          <cell r="C951">
            <v>837</v>
          </cell>
          <cell r="D951" t="str">
            <v>Bournemouth</v>
          </cell>
          <cell r="E951">
            <v>4172</v>
          </cell>
          <cell r="F951" t="str">
            <v>Kate Bosher</v>
          </cell>
          <cell r="G951" t="str">
            <v>Glenmoor School</v>
          </cell>
          <cell r="H951" t="str">
            <v>South West</v>
          </cell>
          <cell r="I951" t="str">
            <v>Beswick Avenue</v>
          </cell>
          <cell r="J951" t="str">
            <v>Ensbury Park</v>
          </cell>
          <cell r="L951" t="str">
            <v>Bournemouth</v>
          </cell>
          <cell r="M951" t="str">
            <v>Dorset</v>
          </cell>
          <cell r="N951" t="str">
            <v>BH10 4EX</v>
          </cell>
          <cell r="O951" t="str">
            <v>rallen@glenmoor.bourmouth.sch.uk</v>
          </cell>
        </row>
        <row r="952">
          <cell r="A952">
            <v>8843351</v>
          </cell>
          <cell r="B952">
            <v>116896</v>
          </cell>
          <cell r="C952">
            <v>884</v>
          </cell>
          <cell r="D952" t="str">
            <v>Herefordshire</v>
          </cell>
          <cell r="E952">
            <v>3351</v>
          </cell>
          <cell r="F952" t="str">
            <v>Julia Waterhouse</v>
          </cell>
          <cell r="G952" t="str">
            <v>Llangrove CofE Primary School</v>
          </cell>
          <cell r="H952" t="str">
            <v>West Midlands</v>
          </cell>
          <cell r="I952" t="str">
            <v>Llangrove</v>
          </cell>
          <cell r="L952" t="str">
            <v>Ross-on-Wye</v>
          </cell>
          <cell r="M952" t="str">
            <v>Herefordshire</v>
          </cell>
          <cell r="N952" t="str">
            <v>HR9 6EZ</v>
          </cell>
          <cell r="O952" t="str">
            <v>pbox@lordscudamore.hereford.sch.uk</v>
          </cell>
          <cell r="P952">
            <v>41038</v>
          </cell>
        </row>
        <row r="953">
          <cell r="A953">
            <v>8553048</v>
          </cell>
          <cell r="B953">
            <v>120139</v>
          </cell>
          <cell r="C953">
            <v>855</v>
          </cell>
          <cell r="D953" t="str">
            <v>Leicestershire</v>
          </cell>
          <cell r="E953">
            <v>3048</v>
          </cell>
          <cell r="F953" t="str">
            <v>Helen Whetter</v>
          </cell>
          <cell r="G953" t="str">
            <v>Kibworth Church of England Primary School</v>
          </cell>
          <cell r="H953" t="str">
            <v>East Midlands</v>
          </cell>
          <cell r="I953" t="str">
            <v>Hillcrest Avenue</v>
          </cell>
          <cell r="J953" t="str">
            <v>Kibworth</v>
          </cell>
          <cell r="L953" t="str">
            <v>Leicester</v>
          </cell>
          <cell r="M953" t="str">
            <v>Leicestershire</v>
          </cell>
          <cell r="N953" t="str">
            <v>LE8 0NH</v>
          </cell>
          <cell r="O953" t="str">
            <v>head@kibprimary.leics.sch.uk</v>
          </cell>
          <cell r="P953">
            <v>40917</v>
          </cell>
        </row>
        <row r="954">
          <cell r="A954">
            <v>8553093</v>
          </cell>
          <cell r="B954">
            <v>120164</v>
          </cell>
          <cell r="C954">
            <v>855</v>
          </cell>
          <cell r="D954" t="str">
            <v>Leicestershire</v>
          </cell>
          <cell r="E954">
            <v>3093</v>
          </cell>
          <cell r="F954" t="str">
            <v>Jacki Couch</v>
          </cell>
          <cell r="G954" t="str">
            <v>Thrussington Church of England Primary School</v>
          </cell>
          <cell r="H954" t="str">
            <v>East Midlands</v>
          </cell>
          <cell r="I954" t="str">
            <v>Hoby Road</v>
          </cell>
          <cell r="J954" t="str">
            <v>Thrussington</v>
          </cell>
          <cell r="L954" t="str">
            <v>Leicester</v>
          </cell>
          <cell r="M954" t="str">
            <v>Leicestershire</v>
          </cell>
          <cell r="N954" t="str">
            <v>LE7 4TH</v>
          </cell>
          <cell r="O954" t="str">
            <v>office@thrussington.leics.sch.uk</v>
          </cell>
          <cell r="P954">
            <v>40980</v>
          </cell>
        </row>
        <row r="955">
          <cell r="A955">
            <v>9252094</v>
          </cell>
          <cell r="B955">
            <v>120415</v>
          </cell>
          <cell r="C955">
            <v>925</v>
          </cell>
          <cell r="D955" t="str">
            <v>Lincolnshire</v>
          </cell>
          <cell r="E955">
            <v>2094</v>
          </cell>
          <cell r="G955" t="str">
            <v>Kirton Primary School</v>
          </cell>
          <cell r="H955" t="str">
            <v>East Midlands</v>
          </cell>
          <cell r="I955" t="str">
            <v>Station Road</v>
          </cell>
          <cell r="J955" t="str">
            <v>Kirton</v>
          </cell>
          <cell r="L955" t="str">
            <v>Boston</v>
          </cell>
          <cell r="M955" t="str">
            <v>Lincolnshire</v>
          </cell>
          <cell r="N955" t="str">
            <v>PE20 1HY</v>
          </cell>
          <cell r="O955" t="str">
            <v>nicky.donley@kirton-boston.lincs.sch.uk</v>
          </cell>
        </row>
        <row r="956">
          <cell r="A956">
            <v>3914714</v>
          </cell>
          <cell r="B956">
            <v>108534</v>
          </cell>
          <cell r="C956">
            <v>391</v>
          </cell>
          <cell r="D956" t="str">
            <v>Newcastle upon Tyne</v>
          </cell>
          <cell r="E956">
            <v>4714</v>
          </cell>
          <cell r="F956" t="str">
            <v>Lisa Sargeant</v>
          </cell>
          <cell r="G956" t="str">
            <v>St Mary's Catholic Comprehensive School</v>
          </cell>
          <cell r="H956" t="str">
            <v>North East</v>
          </cell>
          <cell r="I956" t="str">
            <v>Benton Park Road</v>
          </cell>
          <cell r="L956" t="str">
            <v>Newcastle-upon-Tyne</v>
          </cell>
          <cell r="M956" t="str">
            <v>Tyne and Wear</v>
          </cell>
          <cell r="N956" t="str">
            <v>NE7 7PE</v>
          </cell>
          <cell r="O956" t="str">
            <v>john.foster@st-marys.newcastle.sch.uk</v>
          </cell>
        </row>
        <row r="957">
          <cell r="A957">
            <v>8842159</v>
          </cell>
          <cell r="B957">
            <v>116747</v>
          </cell>
          <cell r="C957">
            <v>884</v>
          </cell>
          <cell r="D957" t="str">
            <v>Herefordshire</v>
          </cell>
          <cell r="E957">
            <v>2159</v>
          </cell>
          <cell r="F957" t="str">
            <v>Pamela Stenson</v>
          </cell>
          <cell r="G957" t="str">
            <v>Wigmore Primary School</v>
          </cell>
          <cell r="H957" t="str">
            <v>West Midlands</v>
          </cell>
          <cell r="I957" t="str">
            <v>Ford Street</v>
          </cell>
          <cell r="J957" t="str">
            <v>Wigmore</v>
          </cell>
          <cell r="L957" t="str">
            <v>Leominster</v>
          </cell>
          <cell r="M957" t="str">
            <v>Herefordshire</v>
          </cell>
          <cell r="N957" t="str">
            <v>HR6 9UN</v>
          </cell>
          <cell r="O957" t="str">
            <v>admin@wigmore.hereford.sch.uk</v>
          </cell>
          <cell r="P957">
            <v>40445</v>
          </cell>
        </row>
        <row r="958">
          <cell r="A958">
            <v>8653456</v>
          </cell>
          <cell r="B958">
            <v>126441</v>
          </cell>
          <cell r="C958">
            <v>865</v>
          </cell>
          <cell r="D958" t="str">
            <v>Wiltshire</v>
          </cell>
          <cell r="E958">
            <v>3456</v>
          </cell>
          <cell r="F958" t="str">
            <v>Irene Nambi</v>
          </cell>
          <cell r="G958" t="str">
            <v>The Holy Trinity Church of England Voluntary Aided School, Great Cheverell</v>
          </cell>
          <cell r="H958" t="str">
            <v>South West</v>
          </cell>
          <cell r="I958" t="str">
            <v>Townsend</v>
          </cell>
          <cell r="J958" t="str">
            <v>Great Cheverell</v>
          </cell>
          <cell r="L958" t="str">
            <v>Devizes</v>
          </cell>
          <cell r="M958" t="str">
            <v>Wiltshire</v>
          </cell>
          <cell r="N958" t="str">
            <v>SN10 5TL</v>
          </cell>
          <cell r="O958" t="str">
            <v>headteacher@holytrinity.wilts.sch.uk</v>
          </cell>
          <cell r="P958">
            <v>40689</v>
          </cell>
        </row>
        <row r="959">
          <cell r="A959">
            <v>8853013</v>
          </cell>
          <cell r="B959">
            <v>135042</v>
          </cell>
          <cell r="C959">
            <v>885</v>
          </cell>
          <cell r="D959" t="str">
            <v>Worcestershire</v>
          </cell>
          <cell r="E959">
            <v>3013</v>
          </cell>
          <cell r="G959" t="str">
            <v>Hartlebury C of E Primary</v>
          </cell>
          <cell r="H959" t="str">
            <v>West Midlands</v>
          </cell>
          <cell r="I959" t="str">
            <v>The Village</v>
          </cell>
          <cell r="J959" t="str">
            <v>Hartlebury</v>
          </cell>
          <cell r="L959" t="str">
            <v>Kidderminster</v>
          </cell>
          <cell r="M959" t="str">
            <v>Worcestershire</v>
          </cell>
          <cell r="N959" t="str">
            <v>DY11 7TD</v>
          </cell>
          <cell r="O959" t="str">
            <v>head@hartlebury.worcs.sch.uk</v>
          </cell>
        </row>
        <row r="960">
          <cell r="A960">
            <v>9283012</v>
          </cell>
          <cell r="B960">
            <v>121964</v>
          </cell>
          <cell r="C960">
            <v>928</v>
          </cell>
          <cell r="D960" t="str">
            <v>Northamptonshire</v>
          </cell>
          <cell r="E960">
            <v>3012</v>
          </cell>
          <cell r="F960" t="str">
            <v>Sue Harp</v>
          </cell>
          <cell r="G960" t="str">
            <v>Brixworth CofE VC Primary School</v>
          </cell>
          <cell r="H960" t="str">
            <v>East Midlands</v>
          </cell>
          <cell r="I960" t="str">
            <v>Froxhill Crescent</v>
          </cell>
          <cell r="J960" t="str">
            <v>Brixworth</v>
          </cell>
          <cell r="L960" t="str">
            <v>Northampton</v>
          </cell>
          <cell r="M960" t="str">
            <v>Northamptonshire</v>
          </cell>
          <cell r="N960" t="str">
            <v>NN6 9BG</v>
          </cell>
          <cell r="O960" t="str">
            <v>head@brixworth.northants-ecl.gov.uk</v>
          </cell>
        </row>
        <row r="961">
          <cell r="A961">
            <v>9252171</v>
          </cell>
          <cell r="B961">
            <v>120459</v>
          </cell>
          <cell r="C961">
            <v>925</v>
          </cell>
          <cell r="D961" t="str">
            <v>Lincolnshire</v>
          </cell>
          <cell r="E961">
            <v>2171</v>
          </cell>
          <cell r="F961" t="str">
            <v>Sue Harp</v>
          </cell>
          <cell r="G961" t="str">
            <v>Louth Kidgate Primary School</v>
          </cell>
          <cell r="H961" t="str">
            <v>East Midlands</v>
          </cell>
          <cell r="I961" t="str">
            <v>Kidgate</v>
          </cell>
          <cell r="L961" t="str">
            <v>Louth</v>
          </cell>
          <cell r="M961" t="str">
            <v>Lincolnshire</v>
          </cell>
          <cell r="N961" t="str">
            <v>LN11 9BX</v>
          </cell>
          <cell r="O961" t="str">
            <v>tracey.roberts@kidgate.lincs.sch.uk</v>
          </cell>
          <cell r="P961">
            <v>40934</v>
          </cell>
        </row>
        <row r="962">
          <cell r="A962">
            <v>2112145</v>
          </cell>
          <cell r="B962">
            <v>100899</v>
          </cell>
          <cell r="C962">
            <v>211</v>
          </cell>
          <cell r="D962" t="str">
            <v>Tower Hamlets</v>
          </cell>
          <cell r="E962">
            <v>2145</v>
          </cell>
          <cell r="F962" t="str">
            <v>Martin Rowley</v>
          </cell>
          <cell r="G962" t="str">
            <v>Culloden Primary School</v>
          </cell>
          <cell r="H962" t="str">
            <v>London</v>
          </cell>
          <cell r="I962" t="str">
            <v>Dee Street</v>
          </cell>
          <cell r="J962" t="str">
            <v>Poplar</v>
          </cell>
          <cell r="L962" t="str">
            <v>London</v>
          </cell>
          <cell r="N962" t="str">
            <v>E14 0PT</v>
          </cell>
          <cell r="P962">
            <v>41120</v>
          </cell>
        </row>
        <row r="963">
          <cell r="A963">
            <v>3572011</v>
          </cell>
          <cell r="B963">
            <v>106184</v>
          </cell>
          <cell r="C963">
            <v>357</v>
          </cell>
          <cell r="D963" t="str">
            <v>Tameside</v>
          </cell>
          <cell r="E963">
            <v>2011</v>
          </cell>
          <cell r="F963" t="str">
            <v>Jane McCusker</v>
          </cell>
          <cell r="G963" t="str">
            <v>Arundale Primary School</v>
          </cell>
          <cell r="H963" t="str">
            <v>North West</v>
          </cell>
          <cell r="I963" t="str">
            <v>Lowry Grove</v>
          </cell>
          <cell r="J963" t="str">
            <v>Mottram</v>
          </cell>
          <cell r="L963" t="str">
            <v>Hyde</v>
          </cell>
          <cell r="M963" t="str">
            <v>Cheshire</v>
          </cell>
          <cell r="N963" t="str">
            <v>SK14 6PW</v>
          </cell>
          <cell r="P963">
            <v>41243</v>
          </cell>
        </row>
        <row r="964">
          <cell r="A964">
            <v>8952171</v>
          </cell>
          <cell r="B964">
            <v>111041</v>
          </cell>
          <cell r="C964">
            <v>895</v>
          </cell>
          <cell r="D964" t="str">
            <v>Cheshire East</v>
          </cell>
          <cell r="E964">
            <v>2171</v>
          </cell>
          <cell r="F964" t="str">
            <v>Jane McCusker</v>
          </cell>
          <cell r="G964" t="str">
            <v>The Quinta Primary School</v>
          </cell>
          <cell r="H964" t="str">
            <v>North West</v>
          </cell>
          <cell r="I964" t="str">
            <v>Ullswater Road</v>
          </cell>
          <cell r="L964" t="str">
            <v>Congleton</v>
          </cell>
          <cell r="M964" t="str">
            <v>Cheshire</v>
          </cell>
          <cell r="N964" t="str">
            <v>CW12 4LX</v>
          </cell>
          <cell r="O964" t="str">
            <v>head@thequinta.cheshire.sch.uk</v>
          </cell>
        </row>
        <row r="965">
          <cell r="A965">
            <v>3712076</v>
          </cell>
          <cell r="B965">
            <v>106680</v>
          </cell>
          <cell r="C965">
            <v>371</v>
          </cell>
          <cell r="D965" t="str">
            <v>Doncaster</v>
          </cell>
          <cell r="E965">
            <v>2076</v>
          </cell>
          <cell r="F965" t="str">
            <v>Jayne Turner</v>
          </cell>
          <cell r="G965" t="str">
            <v>Dunsville Primary School</v>
          </cell>
          <cell r="H965" t="str">
            <v>Yorkshire and the Humber</v>
          </cell>
          <cell r="I965" t="str">
            <v>Broadway</v>
          </cell>
          <cell r="J965" t="str">
            <v>Dunsville</v>
          </cell>
          <cell r="L965" t="str">
            <v>Doncaster</v>
          </cell>
          <cell r="M965" t="str">
            <v>South Yorkshire</v>
          </cell>
          <cell r="N965" t="str">
            <v>DN7 4HX</v>
          </cell>
          <cell r="O965" t="str">
            <v>kevinflint@dunsville.doncaster.sch.uk</v>
          </cell>
          <cell r="P965">
            <v>41058</v>
          </cell>
        </row>
        <row r="966">
          <cell r="A966">
            <v>3302028</v>
          </cell>
          <cell r="B966">
            <v>103171</v>
          </cell>
          <cell r="C966">
            <v>330</v>
          </cell>
          <cell r="D966" t="str">
            <v>Birmingham</v>
          </cell>
          <cell r="E966">
            <v>2028</v>
          </cell>
          <cell r="F966" t="str">
            <v>Michael Corner</v>
          </cell>
          <cell r="G966" t="str">
            <v>Blakenhale Infant School</v>
          </cell>
          <cell r="H966" t="str">
            <v>West Midlands</v>
          </cell>
          <cell r="I966" t="str">
            <v>Blakenhale Road</v>
          </cell>
          <cell r="L966" t="str">
            <v>Birmingham</v>
          </cell>
          <cell r="M966" t="str">
            <v>West Midlands</v>
          </cell>
          <cell r="N966" t="str">
            <v>B33 0XD</v>
          </cell>
          <cell r="O966" t="str">
            <v>enquiries@blakenhale.bham.sch.uk</v>
          </cell>
        </row>
        <row r="967">
          <cell r="A967">
            <v>8714510</v>
          </cell>
          <cell r="B967">
            <v>110081</v>
          </cell>
          <cell r="C967">
            <v>871</v>
          </cell>
          <cell r="D967" t="str">
            <v>Slough</v>
          </cell>
          <cell r="E967">
            <v>4510</v>
          </cell>
          <cell r="F967" t="str">
            <v>Eric Mcewen</v>
          </cell>
          <cell r="G967" t="str">
            <v>Slough and Eton CofE Business and Enterprise College</v>
          </cell>
          <cell r="H967" t="str">
            <v>South East</v>
          </cell>
          <cell r="I967" t="str">
            <v>Ragstone Road</v>
          </cell>
          <cell r="L967" t="str">
            <v>Slough</v>
          </cell>
          <cell r="M967" t="str">
            <v>Berkshire</v>
          </cell>
          <cell r="N967" t="str">
            <v>SL1 2PU</v>
          </cell>
          <cell r="O967" t="str">
            <v>head.pa@slougheton.com</v>
          </cell>
          <cell r="P967">
            <v>40630</v>
          </cell>
        </row>
        <row r="968">
          <cell r="A968">
            <v>8603464</v>
          </cell>
          <cell r="B968">
            <v>124357</v>
          </cell>
          <cell r="C968">
            <v>860</v>
          </cell>
          <cell r="D968" t="str">
            <v>Staffordshire</v>
          </cell>
          <cell r="E968">
            <v>3464</v>
          </cell>
          <cell r="F968" t="str">
            <v>Hannah Copp</v>
          </cell>
          <cell r="G968" t="str">
            <v>St Joseph's Catholic Primary School</v>
          </cell>
          <cell r="H968" t="str">
            <v>West Midlands</v>
          </cell>
          <cell r="I968" t="str">
            <v>Cherry Orchard</v>
          </cell>
          <cell r="L968" t="str">
            <v>Lichfield</v>
          </cell>
          <cell r="M968" t="str">
            <v>Staffordshire</v>
          </cell>
          <cell r="N968" t="str">
            <v>WS14 9AN</v>
          </cell>
          <cell r="O968" t="str">
            <v>office@st-josephs-lichfield.staffs.sch.uk</v>
          </cell>
        </row>
        <row r="969">
          <cell r="A969">
            <v>8825434</v>
          </cell>
          <cell r="B969">
            <v>115350</v>
          </cell>
          <cell r="C969">
            <v>882</v>
          </cell>
          <cell r="D969" t="str">
            <v>Southend-on-Sea</v>
          </cell>
          <cell r="E969">
            <v>5434</v>
          </cell>
          <cell r="F969" t="str">
            <v>Bev Mullin</v>
          </cell>
          <cell r="G969" t="str">
            <v>Belfairs High School</v>
          </cell>
          <cell r="H969" t="str">
            <v>East of England</v>
          </cell>
          <cell r="I969" t="str">
            <v>Highlands Boulevard</v>
          </cell>
          <cell r="L969" t="str">
            <v>Leigh-on-Sea</v>
          </cell>
          <cell r="M969" t="str">
            <v>Essex</v>
          </cell>
          <cell r="N969" t="str">
            <v>SS9 3TG</v>
          </cell>
          <cell r="O969" t="str">
            <v xml:space="preserve"> john.duprey@belfairs.southend.sch.uk</v>
          </cell>
          <cell r="P969">
            <v>40634</v>
          </cell>
        </row>
        <row r="970">
          <cell r="A970">
            <v>8655404</v>
          </cell>
          <cell r="B970">
            <v>126499</v>
          </cell>
          <cell r="C970">
            <v>865</v>
          </cell>
          <cell r="D970" t="str">
            <v>Wiltshire</v>
          </cell>
          <cell r="E970">
            <v>5404</v>
          </cell>
          <cell r="F970" t="str">
            <v>Nigel Mills</v>
          </cell>
          <cell r="G970" t="str">
            <v>Sheldon School</v>
          </cell>
          <cell r="H970" t="str">
            <v>South West</v>
          </cell>
          <cell r="I970" t="str">
            <v>Hardenhuish Lane</v>
          </cell>
          <cell r="L970" t="str">
            <v>Chippenham</v>
          </cell>
          <cell r="M970" t="str">
            <v>Wiltshire</v>
          </cell>
          <cell r="N970" t="str">
            <v>SN14 6HJ</v>
          </cell>
          <cell r="O970" t="str">
            <v>head@sheldonschool.co.uk</v>
          </cell>
          <cell r="P970">
            <v>40522</v>
          </cell>
        </row>
        <row r="971">
          <cell r="A971">
            <v>8807041</v>
          </cell>
          <cell r="B971">
            <v>113640</v>
          </cell>
          <cell r="C971">
            <v>880</v>
          </cell>
          <cell r="D971" t="str">
            <v>Torbay</v>
          </cell>
          <cell r="E971">
            <v>7041</v>
          </cell>
          <cell r="F971" t="str">
            <v>Theresa Oddelm</v>
          </cell>
          <cell r="G971" t="str">
            <v>Combe Pafford School</v>
          </cell>
          <cell r="H971" t="str">
            <v>South West</v>
          </cell>
          <cell r="I971" t="str">
            <v>Steps Lane</v>
          </cell>
          <cell r="J971" t="str">
            <v>Watcombe</v>
          </cell>
          <cell r="L971" t="str">
            <v>Torquay</v>
          </cell>
          <cell r="M971" t="str">
            <v>Devon</v>
          </cell>
          <cell r="N971" t="str">
            <v>TQ2 8NL</v>
          </cell>
          <cell r="O971" t="str">
            <v>mlock@combepafford.torbay.sch.uk</v>
          </cell>
        </row>
        <row r="972">
          <cell r="A972">
            <v>8863061</v>
          </cell>
          <cell r="B972">
            <v>118619</v>
          </cell>
          <cell r="C972">
            <v>886</v>
          </cell>
          <cell r="D972" t="str">
            <v>Kent</v>
          </cell>
          <cell r="E972">
            <v>3061</v>
          </cell>
          <cell r="F972" t="str">
            <v>Nicky Edwards</v>
          </cell>
          <cell r="G972" t="str">
            <v>Bredhurst Church of England Voluntary Controlled Primary School</v>
          </cell>
          <cell r="H972" t="str">
            <v>South East</v>
          </cell>
          <cell r="I972" t="str">
            <v>The Street</v>
          </cell>
          <cell r="J972" t="str">
            <v>Bredhurst</v>
          </cell>
          <cell r="L972" t="str">
            <v>Gillingham</v>
          </cell>
          <cell r="M972" t="str">
            <v>Kent</v>
          </cell>
          <cell r="N972" t="str">
            <v>ME7 3JY</v>
          </cell>
          <cell r="O972" t="str">
            <v>headteacher@bredhurst.kent.sch.uk</v>
          </cell>
        </row>
        <row r="973">
          <cell r="A973">
            <v>3052056</v>
          </cell>
          <cell r="B973">
            <v>101627</v>
          </cell>
          <cell r="C973">
            <v>305</v>
          </cell>
          <cell r="D973" t="str">
            <v>Bromley</v>
          </cell>
          <cell r="E973">
            <v>2056</v>
          </cell>
          <cell r="F973" t="str">
            <v>Sheila Longstaff</v>
          </cell>
          <cell r="G973" t="str">
            <v>Warren Road Primary School</v>
          </cell>
          <cell r="H973" t="str">
            <v>London</v>
          </cell>
          <cell r="I973" t="str">
            <v>Warren Road</v>
          </cell>
          <cell r="L973" t="str">
            <v>Orpington</v>
          </cell>
          <cell r="M973" t="str">
            <v>Kent</v>
          </cell>
          <cell r="N973" t="str">
            <v>BR6 6JF</v>
          </cell>
          <cell r="O973" t="str">
            <v>s.meckiff@warrenroad.bromley.sch.uk</v>
          </cell>
          <cell r="P973">
            <v>40638</v>
          </cell>
        </row>
        <row r="974">
          <cell r="A974">
            <v>9282117</v>
          </cell>
          <cell r="B974">
            <v>121881</v>
          </cell>
          <cell r="C974">
            <v>928</v>
          </cell>
          <cell r="D974" t="str">
            <v>Northamptonshire</v>
          </cell>
          <cell r="E974">
            <v>2117</v>
          </cell>
          <cell r="F974" t="str">
            <v>Stella Mascarenhas-Keys</v>
          </cell>
          <cell r="G974" t="str">
            <v>Waynflete Infants' School</v>
          </cell>
          <cell r="H974" t="str">
            <v>East Midlands</v>
          </cell>
          <cell r="I974" t="str">
            <v>Waynflete Avenue</v>
          </cell>
          <cell r="L974" t="str">
            <v>Brackley</v>
          </cell>
          <cell r="M974" t="str">
            <v>Northamptonshire</v>
          </cell>
          <cell r="N974" t="str">
            <v>NN13 6AF</v>
          </cell>
          <cell r="O974" t="str">
            <v>head@waynflete.northants-ecl.gov.uk</v>
          </cell>
          <cell r="P974">
            <v>40877</v>
          </cell>
        </row>
        <row r="975">
          <cell r="A975">
            <v>8607039</v>
          </cell>
          <cell r="B975">
            <v>124520</v>
          </cell>
          <cell r="C975">
            <v>860</v>
          </cell>
          <cell r="D975" t="str">
            <v>Staffordshire</v>
          </cell>
          <cell r="E975">
            <v>7039</v>
          </cell>
          <cell r="F975" t="str">
            <v>Tony Bretherick</v>
          </cell>
          <cell r="G975" t="str">
            <v>Saxon Hill School</v>
          </cell>
          <cell r="H975" t="str">
            <v>West Midlands</v>
          </cell>
          <cell r="I975" t="str">
            <v>Kings Hill Road</v>
          </cell>
          <cell r="L975" t="str">
            <v>Lichfield</v>
          </cell>
          <cell r="M975" t="str">
            <v>Staffordshire</v>
          </cell>
          <cell r="N975" t="str">
            <v>WS14 9DE</v>
          </cell>
          <cell r="O975" t="str">
            <v>headteacher@saxonhill.staffs.sch.uk</v>
          </cell>
        </row>
        <row r="976">
          <cell r="A976">
            <v>8403521</v>
          </cell>
          <cell r="B976">
            <v>131529</v>
          </cell>
          <cell r="C976">
            <v>840</v>
          </cell>
          <cell r="D976" t="str">
            <v>Durham</v>
          </cell>
          <cell r="E976">
            <v>3521</v>
          </cell>
          <cell r="F976" t="str">
            <v>Bev Mullin</v>
          </cell>
          <cell r="G976" t="str">
            <v>Stephenson Way Community Primary School</v>
          </cell>
          <cell r="H976" t="str">
            <v>North East</v>
          </cell>
          <cell r="I976" t="str">
            <v>Stephenson Way</v>
          </cell>
          <cell r="L976" t="str">
            <v>Newton Aycliffe</v>
          </cell>
          <cell r="M976" t="str">
            <v>County Durham</v>
          </cell>
          <cell r="N976" t="str">
            <v>DL5 7DD</v>
          </cell>
          <cell r="O976" t="str">
            <v>k.hemmings100@durhamlearning.net</v>
          </cell>
          <cell r="P976">
            <v>41061</v>
          </cell>
        </row>
        <row r="977">
          <cell r="A977">
            <v>8607003</v>
          </cell>
          <cell r="B977">
            <v>124496</v>
          </cell>
          <cell r="C977">
            <v>860</v>
          </cell>
          <cell r="D977" t="str">
            <v>Staffordshire</v>
          </cell>
          <cell r="E977">
            <v>7003</v>
          </cell>
          <cell r="F977" t="str">
            <v>Gabriela Grimley</v>
          </cell>
          <cell r="G977" t="str">
            <v>Horton Lodge Community Special School</v>
          </cell>
          <cell r="H977" t="str">
            <v>West Midlands</v>
          </cell>
          <cell r="I977" t="str">
            <v>Rudyard</v>
          </cell>
          <cell r="L977" t="str">
            <v>Leek</v>
          </cell>
          <cell r="M977" t="str">
            <v>Staffordshire</v>
          </cell>
          <cell r="N977" t="str">
            <v>ST13 8RB</v>
          </cell>
          <cell r="O977" t="str">
            <v>headteacher@hortonlodge.staffs.sch.uk</v>
          </cell>
        </row>
        <row r="978">
          <cell r="A978">
            <v>3303434</v>
          </cell>
          <cell r="B978">
            <v>131771</v>
          </cell>
          <cell r="C978">
            <v>330</v>
          </cell>
          <cell r="D978" t="str">
            <v>Birmingham</v>
          </cell>
          <cell r="E978">
            <v>3434</v>
          </cell>
          <cell r="F978" t="str">
            <v>Carol Ions</v>
          </cell>
          <cell r="G978" t="str">
            <v>Moor Green Primary</v>
          </cell>
          <cell r="H978" t="str">
            <v>West Midlands</v>
          </cell>
          <cell r="I978" t="str">
            <v>Moor Green Lane</v>
          </cell>
          <cell r="J978" t="str">
            <v>Moseley</v>
          </cell>
          <cell r="L978" t="str">
            <v>Birmingham</v>
          </cell>
          <cell r="M978" t="str">
            <v>West Midlands</v>
          </cell>
          <cell r="N978" t="str">
            <v>B13 8QP</v>
          </cell>
          <cell r="O978" t="str">
            <v>s.smith@moorgreenprimary.bham.sch.uk</v>
          </cell>
        </row>
        <row r="979">
          <cell r="A979">
            <v>8862135</v>
          </cell>
          <cell r="B979">
            <v>118276</v>
          </cell>
          <cell r="C979">
            <v>886</v>
          </cell>
          <cell r="D979" t="str">
            <v>Kent</v>
          </cell>
          <cell r="E979">
            <v>2135</v>
          </cell>
          <cell r="F979" t="str">
            <v>Nicky Edwards</v>
          </cell>
          <cell r="G979" t="str">
            <v>Horsmonden Primary School</v>
          </cell>
          <cell r="H979" t="str">
            <v>South East</v>
          </cell>
          <cell r="I979" t="str">
            <v>Back Lane</v>
          </cell>
          <cell r="J979" t="str">
            <v>Horsmonden</v>
          </cell>
          <cell r="L979" t="str">
            <v>Tonbridge</v>
          </cell>
          <cell r="M979" t="str">
            <v>Kent</v>
          </cell>
          <cell r="N979" t="str">
            <v>TN12 8NJ</v>
          </cell>
          <cell r="O979" t="str">
            <v>headteacher@horsmonden.kent.sch.uk</v>
          </cell>
        </row>
        <row r="980">
          <cell r="A980">
            <v>3352243</v>
          </cell>
          <cell r="B980">
            <v>130304</v>
          </cell>
          <cell r="C980">
            <v>335</v>
          </cell>
          <cell r="D980" t="str">
            <v>Walsall</v>
          </cell>
          <cell r="E980">
            <v>2243</v>
          </cell>
          <cell r="F980" t="str">
            <v>Hannah Copp</v>
          </cell>
          <cell r="G980" t="str">
            <v>Mossley Primary School</v>
          </cell>
          <cell r="H980" t="str">
            <v>West Midlands</v>
          </cell>
          <cell r="I980" t="str">
            <v>Tintern Crescent</v>
          </cell>
          <cell r="J980" t="str">
            <v>Bloxwich</v>
          </cell>
          <cell r="L980" t="str">
            <v>Walsall</v>
          </cell>
          <cell r="M980" t="str">
            <v>West Midlands</v>
          </cell>
          <cell r="N980" t="str">
            <v>WS3 2SQ</v>
          </cell>
          <cell r="O980" t="str">
            <v>khammond@mossley.walsall.sch.uk</v>
          </cell>
          <cell r="P980">
            <v>40935</v>
          </cell>
        </row>
        <row r="981">
          <cell r="A981">
            <v>9282113</v>
          </cell>
          <cell r="B981">
            <v>121880</v>
          </cell>
          <cell r="C981">
            <v>928</v>
          </cell>
          <cell r="D981" t="str">
            <v>Northamptonshire</v>
          </cell>
          <cell r="E981">
            <v>2113</v>
          </cell>
          <cell r="F981" t="str">
            <v>Sue Harp</v>
          </cell>
          <cell r="G981" t="str">
            <v>Grange Community School</v>
          </cell>
          <cell r="H981" t="str">
            <v>East Midlands</v>
          </cell>
          <cell r="I981" t="str">
            <v>Dorothy Road</v>
          </cell>
          <cell r="L981" t="str">
            <v>Kettering</v>
          </cell>
          <cell r="M981" t="str">
            <v>Northamptonshire</v>
          </cell>
          <cell r="N981" t="str">
            <v>NN16 0PL</v>
          </cell>
          <cell r="O981" t="str">
            <v>head@grange.northants-ecl.gov.uk</v>
          </cell>
        </row>
        <row r="982">
          <cell r="A982">
            <v>8102160</v>
          </cell>
          <cell r="B982">
            <v>117772</v>
          </cell>
          <cell r="C982">
            <v>810</v>
          </cell>
          <cell r="D982" t="str">
            <v>Kingston upon Hull City of</v>
          </cell>
          <cell r="E982">
            <v>2160</v>
          </cell>
          <cell r="F982" t="str">
            <v>Bev Annables</v>
          </cell>
          <cell r="G982" t="str">
            <v>Eastfield Primary School</v>
          </cell>
          <cell r="H982" t="str">
            <v>Yorkshire and the Humber</v>
          </cell>
          <cell r="I982" t="str">
            <v>Anlaby Road</v>
          </cell>
          <cell r="L982" t="str">
            <v>Hull</v>
          </cell>
          <cell r="N982" t="str">
            <v>HU4 6DT</v>
          </cell>
          <cell r="O982" t="str">
            <v>head@eastfield.hull.sch.uk</v>
          </cell>
        </row>
        <row r="983">
          <cell r="A983">
            <v>3125206</v>
          </cell>
          <cell r="B983">
            <v>102436</v>
          </cell>
          <cell r="C983">
            <v>312</v>
          </cell>
          <cell r="D983" t="str">
            <v>Hillingdon</v>
          </cell>
          <cell r="E983">
            <v>5206</v>
          </cell>
          <cell r="F983" t="str">
            <v>Helen Fisher</v>
          </cell>
          <cell r="G983" t="str">
            <v>Charville Primary School</v>
          </cell>
          <cell r="H983" t="str">
            <v>London</v>
          </cell>
          <cell r="I983" t="str">
            <v>Bury Avenue</v>
          </cell>
          <cell r="L983" t="str">
            <v>Hayes</v>
          </cell>
          <cell r="N983" t="str">
            <v>UB4 8LF</v>
          </cell>
          <cell r="O983" t="str">
            <v>pshawley@hillingdongrid.org</v>
          </cell>
          <cell r="P983">
            <v>41176</v>
          </cell>
        </row>
        <row r="984">
          <cell r="A984">
            <v>3304223</v>
          </cell>
          <cell r="B984">
            <v>103509</v>
          </cell>
          <cell r="C984">
            <v>330</v>
          </cell>
          <cell r="D984" t="str">
            <v>Birmingham</v>
          </cell>
          <cell r="E984">
            <v>4223</v>
          </cell>
          <cell r="F984" t="str">
            <v>Carol Ions</v>
          </cell>
          <cell r="G984" t="str">
            <v>Holte School</v>
          </cell>
          <cell r="H984" t="str">
            <v>West Midlands</v>
          </cell>
          <cell r="I984" t="str">
            <v>Wheeler Street</v>
          </cell>
          <cell r="J984" t="str">
            <v>Lozells</v>
          </cell>
          <cell r="L984" t="str">
            <v>Birmingham</v>
          </cell>
          <cell r="M984" t="str">
            <v>West Midlands</v>
          </cell>
          <cell r="N984" t="str">
            <v>B19 2EP</v>
          </cell>
          <cell r="O984" t="str">
            <v>pat.walters@holte.bham.sch.uk</v>
          </cell>
          <cell r="P984">
            <v>40934</v>
          </cell>
        </row>
        <row r="985">
          <cell r="A985">
            <v>8882040</v>
          </cell>
          <cell r="B985">
            <v>119144</v>
          </cell>
          <cell r="C985">
            <v>888</v>
          </cell>
          <cell r="D985" t="str">
            <v>Lancashire</v>
          </cell>
          <cell r="E985">
            <v>2040</v>
          </cell>
          <cell r="F985" t="str">
            <v>Viv Clutton</v>
          </cell>
          <cell r="G985" t="str">
            <v>Hambleton Primary School</v>
          </cell>
          <cell r="H985" t="str">
            <v>North West</v>
          </cell>
          <cell r="I985" t="str">
            <v>Church Lane</v>
          </cell>
          <cell r="J985" t="str">
            <v>Hambleton</v>
          </cell>
          <cell r="L985" t="str">
            <v>Poulton-le-Fylde</v>
          </cell>
          <cell r="M985" t="str">
            <v>Lancashire</v>
          </cell>
          <cell r="N985" t="str">
            <v>FY6 9BZ</v>
          </cell>
          <cell r="O985" t="str">
            <v>head@hambleton.lancs.sch.uk</v>
          </cell>
          <cell r="P985">
            <v>40344</v>
          </cell>
        </row>
        <row r="986">
          <cell r="A986">
            <v>3122004</v>
          </cell>
          <cell r="B986">
            <v>102369</v>
          </cell>
          <cell r="C986">
            <v>312</v>
          </cell>
          <cell r="D986" t="str">
            <v>Hillingdon</v>
          </cell>
          <cell r="E986">
            <v>2004</v>
          </cell>
          <cell r="F986" t="str">
            <v>Martin Rowley</v>
          </cell>
          <cell r="G986" t="str">
            <v>Breakspear Junior School</v>
          </cell>
          <cell r="H986" t="str">
            <v>London</v>
          </cell>
          <cell r="I986" t="str">
            <v>Bushey Road</v>
          </cell>
          <cell r="L986" t="str">
            <v>Ickenham</v>
          </cell>
          <cell r="N986" t="str">
            <v>UB10 8JA</v>
          </cell>
          <cell r="O986" t="str">
            <v>prutter@hillingdongrid.org</v>
          </cell>
        </row>
        <row r="987">
          <cell r="A987">
            <v>3093304</v>
          </cell>
          <cell r="B987">
            <v>102137</v>
          </cell>
          <cell r="C987">
            <v>309</v>
          </cell>
          <cell r="D987" t="str">
            <v>Haringey</v>
          </cell>
          <cell r="E987">
            <v>3304</v>
          </cell>
          <cell r="F987" t="str">
            <v>Sheila Longstaff</v>
          </cell>
          <cell r="G987" t="str">
            <v>St Ann's CofE Primary School</v>
          </cell>
          <cell r="H987" t="str">
            <v>London</v>
          </cell>
          <cell r="I987" t="str">
            <v>Avenue Road</v>
          </cell>
          <cell r="L987" t="str">
            <v>London</v>
          </cell>
          <cell r="N987" t="str">
            <v>N15 5JG</v>
          </cell>
          <cell r="O987" t="str">
            <v>linda.sarr@stanns.haringey.sch.uk</v>
          </cell>
          <cell r="P987">
            <v>41191</v>
          </cell>
        </row>
        <row r="988">
          <cell r="A988">
            <v>8863154</v>
          </cell>
          <cell r="B988">
            <v>118679</v>
          </cell>
          <cell r="C988">
            <v>886</v>
          </cell>
          <cell r="D988" t="str">
            <v>Kent</v>
          </cell>
          <cell r="E988">
            <v>3154</v>
          </cell>
          <cell r="F988" t="str">
            <v>Tony Dunne</v>
          </cell>
          <cell r="G988" t="str">
            <v>Lyminge Church of England Primary School</v>
          </cell>
          <cell r="H988" t="str">
            <v>South East</v>
          </cell>
          <cell r="I988" t="str">
            <v>Church Road</v>
          </cell>
          <cell r="J988" t="str">
            <v>Lyminge</v>
          </cell>
          <cell r="L988" t="str">
            <v>Folkestone</v>
          </cell>
          <cell r="M988" t="str">
            <v>Kent</v>
          </cell>
          <cell r="N988" t="str">
            <v>CT18 8JA</v>
          </cell>
          <cell r="O988" t="str">
            <v>headteacher@lyminge.kent.sch.uk</v>
          </cell>
        </row>
        <row r="989">
          <cell r="A989">
            <v>8254079</v>
          </cell>
          <cell r="B989">
            <v>110504</v>
          </cell>
          <cell r="C989">
            <v>825</v>
          </cell>
          <cell r="D989" t="str">
            <v>Buckinghamshire</v>
          </cell>
          <cell r="E989">
            <v>4079</v>
          </cell>
          <cell r="F989" t="str">
            <v>Darren Francis</v>
          </cell>
          <cell r="G989" t="str">
            <v>Chesham Grammar School</v>
          </cell>
          <cell r="H989" t="str">
            <v>South East</v>
          </cell>
          <cell r="I989" t="str">
            <v>Whitehill</v>
          </cell>
          <cell r="L989" t="str">
            <v>Chesham</v>
          </cell>
          <cell r="M989" t="str">
            <v>Buckinghamshire</v>
          </cell>
          <cell r="N989" t="str">
            <v>HP5 1BA</v>
          </cell>
          <cell r="O989" t="str">
            <v>headmaster@cheshamgrammar.bucks.sch.uk</v>
          </cell>
          <cell r="P989">
            <v>40627</v>
          </cell>
        </row>
        <row r="990">
          <cell r="A990">
            <v>8154608</v>
          </cell>
          <cell r="B990">
            <v>121716</v>
          </cell>
          <cell r="C990">
            <v>815</v>
          </cell>
          <cell r="D990" t="str">
            <v>North Yorkshire</v>
          </cell>
          <cell r="E990">
            <v>4608</v>
          </cell>
          <cell r="F990" t="str">
            <v>Nick Monton</v>
          </cell>
          <cell r="G990" t="str">
            <v>Ermysted's Grammar School</v>
          </cell>
          <cell r="H990" t="str">
            <v>Yorkshire and the Humber</v>
          </cell>
          <cell r="I990" t="str">
            <v>Gargrave Road</v>
          </cell>
          <cell r="L990" t="str">
            <v>Skipton</v>
          </cell>
          <cell r="M990" t="str">
            <v>North Yorkshire</v>
          </cell>
          <cell r="N990" t="str">
            <v>BD23 1PL</v>
          </cell>
          <cell r="O990" t="str">
            <v>ghamilton@ermysteds.n-yorks.sch.uk</v>
          </cell>
        </row>
        <row r="991">
          <cell r="A991">
            <v>9284071</v>
          </cell>
          <cell r="B991">
            <v>122079</v>
          </cell>
          <cell r="C991">
            <v>928</v>
          </cell>
          <cell r="D991" t="str">
            <v>Northamptonshire</v>
          </cell>
          <cell r="E991">
            <v>4071</v>
          </cell>
          <cell r="F991" t="str">
            <v>Frances Blow</v>
          </cell>
          <cell r="G991" t="str">
            <v>Kingsthorpe College</v>
          </cell>
          <cell r="H991" t="str">
            <v>East Midlands</v>
          </cell>
          <cell r="I991" t="str">
            <v>Boughton Green Road</v>
          </cell>
          <cell r="J991" t="str">
            <v>Kingsthorpe</v>
          </cell>
          <cell r="L991" t="str">
            <v>Northampton</v>
          </cell>
          <cell r="M991" t="str">
            <v>Northamptonshire</v>
          </cell>
          <cell r="N991" t="str">
            <v>NN2 7HR</v>
          </cell>
          <cell r="O991" t="str">
            <v>Judith.Long@kingsthorpecollege.org.uk</v>
          </cell>
          <cell r="P991">
            <v>40980</v>
          </cell>
        </row>
        <row r="992">
          <cell r="A992">
            <v>3802195</v>
          </cell>
          <cell r="B992">
            <v>132177</v>
          </cell>
          <cell r="C992">
            <v>380</v>
          </cell>
          <cell r="D992" t="str">
            <v>Bradford</v>
          </cell>
          <cell r="E992">
            <v>2195</v>
          </cell>
          <cell r="F992" t="str">
            <v>Glyn Newton</v>
          </cell>
          <cell r="G992" t="str">
            <v>Iqra Community Primary School</v>
          </cell>
          <cell r="H992" t="str">
            <v>Yorkshire and the Humber</v>
          </cell>
          <cell r="I992" t="str">
            <v>Drummond Road</v>
          </cell>
          <cell r="L992" t="str">
            <v>Bradford</v>
          </cell>
          <cell r="M992" t="str">
            <v>West Yorkshire</v>
          </cell>
          <cell r="N992" t="str">
            <v>BD8 8DA</v>
          </cell>
          <cell r="O992" t="str">
            <v xml:space="preserve"> sab@iqra.bradford.sch.uk</v>
          </cell>
        </row>
        <row r="993">
          <cell r="A993">
            <v>8024142</v>
          </cell>
          <cell r="B993">
            <v>109315</v>
          </cell>
          <cell r="C993">
            <v>802</v>
          </cell>
          <cell r="D993" t="str">
            <v>North Somerset</v>
          </cell>
          <cell r="E993">
            <v>4142</v>
          </cell>
          <cell r="F993" t="str">
            <v>Kate Bosher</v>
          </cell>
          <cell r="G993" t="str">
            <v>Broadoak Mathematics and Computing College</v>
          </cell>
          <cell r="H993" t="str">
            <v>South West</v>
          </cell>
          <cell r="I993" t="str">
            <v>Windwhistle Road</v>
          </cell>
          <cell r="L993" t="str">
            <v>Weston-super-Mare</v>
          </cell>
          <cell r="M993" t="str">
            <v>Somerset</v>
          </cell>
          <cell r="N993" t="str">
            <v>BS23 4NP</v>
          </cell>
          <cell r="O993" t="str">
            <v>spr@broadoak.n-somerset.sch.uk</v>
          </cell>
          <cell r="P993">
            <v>40666</v>
          </cell>
        </row>
        <row r="994">
          <cell r="A994">
            <v>8815213</v>
          </cell>
          <cell r="B994">
            <v>115253</v>
          </cell>
          <cell r="C994">
            <v>881</v>
          </cell>
          <cell r="D994" t="str">
            <v>Essex</v>
          </cell>
          <cell r="E994">
            <v>5213</v>
          </cell>
          <cell r="F994" t="str">
            <v>Claire Ivie</v>
          </cell>
          <cell r="G994" t="str">
            <v>Woodville Primary School</v>
          </cell>
          <cell r="H994" t="str">
            <v>East of England</v>
          </cell>
          <cell r="I994" t="str">
            <v>Brent Avenue</v>
          </cell>
          <cell r="J994" t="str">
            <v>South Woodham Ferrers</v>
          </cell>
          <cell r="L994" t="str">
            <v>Chelmsford</v>
          </cell>
          <cell r="M994" t="str">
            <v>Essex</v>
          </cell>
          <cell r="N994" t="str">
            <v>CM3 5SE</v>
          </cell>
          <cell r="O994" t="str">
            <v>gill.marrion@woodville.essex.sch.uk</v>
          </cell>
        </row>
        <row r="995">
          <cell r="A995">
            <v>8104622</v>
          </cell>
          <cell r="B995">
            <v>118115</v>
          </cell>
          <cell r="C995">
            <v>810</v>
          </cell>
          <cell r="D995" t="str">
            <v>Kingston upon Hull City of</v>
          </cell>
          <cell r="E995">
            <v>4622</v>
          </cell>
          <cell r="F995" t="str">
            <v>Janet Smith</v>
          </cell>
          <cell r="G995" t="str">
            <v>Hull Trinity House School</v>
          </cell>
          <cell r="H995" t="str">
            <v>Yorkshire and the Humber</v>
          </cell>
          <cell r="I995" t="str">
            <v>Prince's Dock Street</v>
          </cell>
          <cell r="L995" t="str">
            <v>Hull</v>
          </cell>
          <cell r="N995" t="str">
            <v>HU1 2JX</v>
          </cell>
          <cell r="O995" t="str">
            <v>admin@hulltrinity.net</v>
          </cell>
          <cell r="P995">
            <v>40746</v>
          </cell>
        </row>
        <row r="996">
          <cell r="A996">
            <v>8554014</v>
          </cell>
          <cell r="B996">
            <v>120243</v>
          </cell>
          <cell r="C996">
            <v>855</v>
          </cell>
          <cell r="D996" t="str">
            <v>Leicestershire</v>
          </cell>
          <cell r="E996">
            <v>4014</v>
          </cell>
          <cell r="F996" t="str">
            <v>Sue Harp</v>
          </cell>
          <cell r="G996" t="str">
            <v>Limehurst High School</v>
          </cell>
          <cell r="H996" t="str">
            <v>East Midlands</v>
          </cell>
          <cell r="I996" t="str">
            <v>Bridge Street</v>
          </cell>
          <cell r="L996" t="str">
            <v>Loughborough</v>
          </cell>
          <cell r="M996" t="str">
            <v>Leicestershire</v>
          </cell>
          <cell r="N996" t="str">
            <v>LE11 1NH</v>
          </cell>
          <cell r="O996" t="str">
            <v>mellor1@limehursthigh.leics.sch.uk</v>
          </cell>
          <cell r="P996">
            <v>40645</v>
          </cell>
        </row>
        <row r="997">
          <cell r="A997">
            <v>8313528</v>
          </cell>
          <cell r="B997">
            <v>112916</v>
          </cell>
          <cell r="C997">
            <v>831</v>
          </cell>
          <cell r="D997" t="str">
            <v>Derby</v>
          </cell>
          <cell r="E997">
            <v>3528</v>
          </cell>
          <cell r="F997" t="str">
            <v>Sue Harp</v>
          </cell>
          <cell r="G997" t="str">
            <v>St Mary's Catholic Primary School and Nursery</v>
          </cell>
          <cell r="H997" t="str">
            <v>East Midlands</v>
          </cell>
          <cell r="I997" t="str">
            <v>Broadway</v>
          </cell>
          <cell r="L997" t="str">
            <v>Derby</v>
          </cell>
          <cell r="M997" t="str">
            <v>Derbyshire</v>
          </cell>
          <cell r="N997" t="str">
            <v>DE22 1AU</v>
          </cell>
          <cell r="O997" t="str">
            <v>admin@stmarys.derby.sch.uk</v>
          </cell>
          <cell r="P997">
            <v>41232</v>
          </cell>
        </row>
        <row r="998">
          <cell r="A998">
            <v>3423430</v>
          </cell>
          <cell r="B998">
            <v>104809</v>
          </cell>
          <cell r="C998">
            <v>342</v>
          </cell>
          <cell r="D998" t="str">
            <v>St. Helens</v>
          </cell>
          <cell r="E998">
            <v>3430</v>
          </cell>
          <cell r="F998" t="str">
            <v>Jane McCusker</v>
          </cell>
          <cell r="G998" t="str">
            <v>St Thomas of Canterbury Catholic Primary School</v>
          </cell>
          <cell r="H998" t="str">
            <v>North West</v>
          </cell>
          <cell r="I998" t="str">
            <v>Rainford Road</v>
          </cell>
          <cell r="J998" t="str">
            <v>Windleshaw</v>
          </cell>
          <cell r="L998" t="str">
            <v>St Helens</v>
          </cell>
          <cell r="M998" t="str">
            <v>Merseyside</v>
          </cell>
          <cell r="N998" t="str">
            <v>WA10 6BX</v>
          </cell>
          <cell r="O998" t="str">
            <v>orlandr@sthelens.org.uk</v>
          </cell>
        </row>
        <row r="999">
          <cell r="A999">
            <v>8564244</v>
          </cell>
          <cell r="B999">
            <v>120282</v>
          </cell>
          <cell r="C999">
            <v>856</v>
          </cell>
          <cell r="D999" t="str">
            <v>Leicester</v>
          </cell>
          <cell r="E999">
            <v>4244</v>
          </cell>
          <cell r="F999" t="str">
            <v>Grant Dyson</v>
          </cell>
          <cell r="G999" t="str">
            <v>Rushey Mead School</v>
          </cell>
          <cell r="H999" t="str">
            <v>East Midlands</v>
          </cell>
          <cell r="I999" t="str">
            <v>Melton Road</v>
          </cell>
          <cell r="L999" t="str">
            <v>Leicester</v>
          </cell>
          <cell r="M999" t="str">
            <v>Leicestershire</v>
          </cell>
          <cell r="N999" t="str">
            <v>LE4 7PA</v>
          </cell>
          <cell r="O999" t="str">
            <v>crobson@rusheymead-sec.leicester.sch.uk</v>
          </cell>
        </row>
        <row r="1000">
          <cell r="A1000">
            <v>3125406</v>
          </cell>
          <cell r="B1000">
            <v>102446</v>
          </cell>
          <cell r="C1000">
            <v>312</v>
          </cell>
          <cell r="D1000" t="str">
            <v>Hillingdon</v>
          </cell>
          <cell r="E1000">
            <v>5406</v>
          </cell>
          <cell r="F1000" t="str">
            <v>Sheila Longstaff</v>
          </cell>
          <cell r="G1000" t="str">
            <v>Rosedale College</v>
          </cell>
          <cell r="H1000" t="str">
            <v>London</v>
          </cell>
          <cell r="I1000" t="str">
            <v>Wood End Green Road</v>
          </cell>
          <cell r="L1000" t="str">
            <v>Hayes</v>
          </cell>
          <cell r="N1000" t="str">
            <v>UB3 2SE</v>
          </cell>
          <cell r="O1000" t="str">
            <v>sneave@hillingdongrid.org</v>
          </cell>
          <cell r="P1000">
            <v>40612</v>
          </cell>
        </row>
        <row r="1001">
          <cell r="A1001">
            <v>8863054</v>
          </cell>
          <cell r="B1001">
            <v>118615</v>
          </cell>
          <cell r="C1001">
            <v>886</v>
          </cell>
          <cell r="D1001" t="str">
            <v>Kent</v>
          </cell>
          <cell r="E1001">
            <v>3054</v>
          </cell>
          <cell r="F1001" t="str">
            <v>Nicky Edwards</v>
          </cell>
          <cell r="G1001" t="str">
            <v>Crockham Hill Church of England Voluntary Controlled Primary School</v>
          </cell>
          <cell r="H1001" t="str">
            <v>South East</v>
          </cell>
          <cell r="I1001" t="str">
            <v>Crockham Hill</v>
          </cell>
          <cell r="L1001" t="str">
            <v>Edenbridge</v>
          </cell>
          <cell r="M1001" t="str">
            <v>Kent</v>
          </cell>
          <cell r="N1001" t="str">
            <v>TN8 6RP</v>
          </cell>
          <cell r="O1001" t="str">
            <v>headteacher@crockhamhill.kent.sch.uk</v>
          </cell>
        </row>
        <row r="1002">
          <cell r="A1002">
            <v>8764207</v>
          </cell>
          <cell r="B1002">
            <v>111435</v>
          </cell>
          <cell r="C1002">
            <v>876</v>
          </cell>
          <cell r="D1002" t="str">
            <v>Halton</v>
          </cell>
          <cell r="E1002">
            <v>4207</v>
          </cell>
          <cell r="F1002" t="str">
            <v>Maria Sabberton</v>
          </cell>
          <cell r="G1002" t="str">
            <v>Wade Deacon High School</v>
          </cell>
          <cell r="H1002" t="str">
            <v>North West</v>
          </cell>
          <cell r="I1002" t="str">
            <v>Birchfield Road</v>
          </cell>
          <cell r="L1002" t="str">
            <v>Widnes</v>
          </cell>
          <cell r="M1002" t="str">
            <v>Cheshire</v>
          </cell>
          <cell r="N1002" t="str">
            <v>WA8 7TD</v>
          </cell>
          <cell r="O1002" t="str">
            <v>p.wright@wadedeacon.halton.sch.uk</v>
          </cell>
          <cell r="P1002">
            <v>41031</v>
          </cell>
        </row>
        <row r="1003">
          <cell r="A1003">
            <v>9193406</v>
          </cell>
          <cell r="B1003">
            <v>117482</v>
          </cell>
          <cell r="C1003">
            <v>919</v>
          </cell>
          <cell r="D1003" t="str">
            <v>Hertfordshire</v>
          </cell>
          <cell r="E1003">
            <v>3406</v>
          </cell>
          <cell r="F1003" t="str">
            <v>Shreena Patel</v>
          </cell>
          <cell r="G1003" t="str">
            <v>Countess Anne Voluntary Aided Church of England Primary School, Hatfield</v>
          </cell>
          <cell r="H1003" t="str">
            <v>East of England</v>
          </cell>
          <cell r="I1003" t="str">
            <v>School Lane</v>
          </cell>
          <cell r="L1003" t="str">
            <v>Hatfield</v>
          </cell>
          <cell r="M1003" t="str">
            <v>Hertfordshire</v>
          </cell>
          <cell r="N1003" t="str">
            <v>AL10 8AX</v>
          </cell>
          <cell r="O1003" t="str">
            <v>head@countessanne.herts.sch.uk</v>
          </cell>
        </row>
        <row r="1004">
          <cell r="A1004">
            <v>8012006</v>
          </cell>
          <cell r="B1004">
            <v>108914</v>
          </cell>
          <cell r="C1004">
            <v>801</v>
          </cell>
          <cell r="D1004" t="str">
            <v>Bristol City of</v>
          </cell>
          <cell r="E1004">
            <v>2006</v>
          </cell>
          <cell r="F1004" t="str">
            <v>Theresa Oddelm</v>
          </cell>
          <cell r="G1004" t="str">
            <v>Avon Primary School</v>
          </cell>
          <cell r="H1004" t="str">
            <v>South West</v>
          </cell>
          <cell r="I1004" t="str">
            <v>Barracks Lane</v>
          </cell>
          <cell r="J1004" t="str">
            <v>Shirehampton</v>
          </cell>
          <cell r="L1004" t="str">
            <v>Bristol</v>
          </cell>
          <cell r="N1004" t="str">
            <v>BS11 9NG</v>
          </cell>
        </row>
        <row r="1005">
          <cell r="A1005">
            <v>8303508</v>
          </cell>
          <cell r="B1005">
            <v>112903</v>
          </cell>
          <cell r="C1005">
            <v>830</v>
          </cell>
          <cell r="D1005" t="str">
            <v>Derbyshire</v>
          </cell>
          <cell r="E1005">
            <v>3508</v>
          </cell>
          <cell r="F1005" t="str">
            <v>Stephen Standret</v>
          </cell>
          <cell r="G1005" t="str">
            <v>St Thomas Catholic Primary</v>
          </cell>
          <cell r="H1005" t="str">
            <v>East Midlands</v>
          </cell>
          <cell r="I1005" t="str">
            <v>Church View</v>
          </cell>
          <cell r="J1005" t="str">
            <v>Allendale</v>
          </cell>
          <cell r="L1005" t="str">
            <v>Ilkeston</v>
          </cell>
          <cell r="M1005" t="str">
            <v>Derbyshire</v>
          </cell>
          <cell r="N1005" t="str">
            <v>DE7 4LF</v>
          </cell>
          <cell r="O1005" t="str">
            <v>mikegeraghty@st-thomas.derbyshire.sch.uk</v>
          </cell>
        </row>
        <row r="1006">
          <cell r="A1006">
            <v>2134295</v>
          </cell>
          <cell r="B1006">
            <v>101149</v>
          </cell>
          <cell r="C1006">
            <v>213</v>
          </cell>
          <cell r="D1006" t="str">
            <v>Westminster</v>
          </cell>
          <cell r="E1006">
            <v>4295</v>
          </cell>
          <cell r="F1006" t="str">
            <v>Sheila Longstaff</v>
          </cell>
          <cell r="G1006" t="str">
            <v>Quintin Kynaston School</v>
          </cell>
          <cell r="H1006" t="str">
            <v>London</v>
          </cell>
          <cell r="I1006" t="str">
            <v>Marlborough Hill</v>
          </cell>
          <cell r="L1006" t="str">
            <v>London</v>
          </cell>
          <cell r="N1006" t="str">
            <v>NW8 0NL</v>
          </cell>
          <cell r="O1006" t="str">
            <v>headteacher@qkschool.org.uk</v>
          </cell>
          <cell r="P1006">
            <v>40737</v>
          </cell>
        </row>
        <row r="1007">
          <cell r="A1007">
            <v>9095220</v>
          </cell>
          <cell r="B1007">
            <v>112422</v>
          </cell>
          <cell r="C1007">
            <v>909</v>
          </cell>
          <cell r="D1007" t="str">
            <v>Cumbria</v>
          </cell>
          <cell r="E1007">
            <v>5220</v>
          </cell>
          <cell r="F1007" t="str">
            <v>Linda Tiley</v>
          </cell>
          <cell r="G1007" t="str">
            <v>Castle Carrock School</v>
          </cell>
          <cell r="H1007" t="str">
            <v>North West</v>
          </cell>
          <cell r="I1007" t="str">
            <v>Castle Carrock</v>
          </cell>
          <cell r="L1007" t="str">
            <v>Brampton</v>
          </cell>
          <cell r="M1007" t="str">
            <v>Cumbria</v>
          </cell>
          <cell r="N1007" t="str">
            <v>CA8 9LU</v>
          </cell>
          <cell r="O1007" t="str">
            <v>head@castlecarrock.cumbria.sch.uk</v>
          </cell>
          <cell r="P1007">
            <v>40676</v>
          </cell>
        </row>
        <row r="1008">
          <cell r="A1008">
            <v>8653049</v>
          </cell>
          <cell r="B1008">
            <v>126320</v>
          </cell>
          <cell r="C1008">
            <v>865</v>
          </cell>
          <cell r="D1008" t="str">
            <v>Wiltshire</v>
          </cell>
          <cell r="E1008">
            <v>3049</v>
          </cell>
          <cell r="F1008" t="str">
            <v>Theresa Oddelm</v>
          </cell>
          <cell r="G1008" t="str">
            <v>Collingbourne Church of England Primary School</v>
          </cell>
          <cell r="H1008" t="str">
            <v>South West</v>
          </cell>
          <cell r="I1008" t="str">
            <v>Chicks Lane</v>
          </cell>
          <cell r="J1008" t="str">
            <v>Collingbourne Ducis</v>
          </cell>
          <cell r="L1008" t="str">
            <v>Marlborough</v>
          </cell>
          <cell r="M1008" t="str">
            <v>Wiltshire</v>
          </cell>
          <cell r="N1008" t="str">
            <v>SN8 3UH</v>
          </cell>
          <cell r="O1008" t="str">
            <v>head@collingbourne.wilts.sch.uk</v>
          </cell>
        </row>
        <row r="1009">
          <cell r="A1009">
            <v>3122082</v>
          </cell>
          <cell r="B1009">
            <v>131487</v>
          </cell>
          <cell r="C1009">
            <v>312</v>
          </cell>
          <cell r="D1009" t="str">
            <v>Hillingdon</v>
          </cell>
          <cell r="E1009">
            <v>2082</v>
          </cell>
          <cell r="F1009" t="str">
            <v>Sheila Longstaff</v>
          </cell>
          <cell r="G1009" t="str">
            <v>Wood End Park Community School</v>
          </cell>
          <cell r="H1009" t="str">
            <v>London</v>
          </cell>
          <cell r="I1009" t="str">
            <v>Judge Heath Lane</v>
          </cell>
          <cell r="L1009" t="str">
            <v>Hayes</v>
          </cell>
          <cell r="N1009" t="str">
            <v>UB3 2PD</v>
          </cell>
          <cell r="O1009" t="str">
            <v>myoung@hillingdongrid.org</v>
          </cell>
          <cell r="P1009">
            <v>41051</v>
          </cell>
        </row>
        <row r="1010">
          <cell r="A1010">
            <v>9252190</v>
          </cell>
          <cell r="B1010">
            <v>120475</v>
          </cell>
          <cell r="C1010">
            <v>925</v>
          </cell>
          <cell r="D1010" t="str">
            <v>Lincolnshire</v>
          </cell>
          <cell r="E1010">
            <v>2190</v>
          </cell>
          <cell r="F1010" t="str">
            <v>Stella Mascarenhas-Keys</v>
          </cell>
          <cell r="G1010" t="str">
            <v>Skegness Infant School</v>
          </cell>
          <cell r="H1010" t="str">
            <v>East Midlands</v>
          </cell>
          <cell r="I1010" t="str">
            <v>Cavendish Road</v>
          </cell>
          <cell r="L1010" t="str">
            <v>Skegness</v>
          </cell>
          <cell r="M1010" t="str">
            <v>Lincolnshire</v>
          </cell>
          <cell r="N1010" t="str">
            <v>PE25 2QU</v>
          </cell>
          <cell r="O1010" t="str">
            <v>iain.cameron@seathorne.lincs.sch.uk</v>
          </cell>
          <cell r="P1010">
            <v>40746</v>
          </cell>
        </row>
        <row r="1011">
          <cell r="A1011">
            <v>8667000</v>
          </cell>
          <cell r="B1011">
            <v>126544</v>
          </cell>
          <cell r="C1011">
            <v>866</v>
          </cell>
          <cell r="D1011" t="str">
            <v>Swindon</v>
          </cell>
          <cell r="E1011">
            <v>7000</v>
          </cell>
          <cell r="F1011" t="str">
            <v>Nigel Mills</v>
          </cell>
          <cell r="G1011" t="str">
            <v>Nyland School</v>
          </cell>
          <cell r="H1011" t="str">
            <v>South West</v>
          </cell>
          <cell r="I1011" t="str">
            <v>Nyland Road</v>
          </cell>
          <cell r="J1011" t="str">
            <v>Nythe</v>
          </cell>
          <cell r="L1011" t="str">
            <v>Swindon</v>
          </cell>
          <cell r="M1011" t="str">
            <v>Wiltshire</v>
          </cell>
          <cell r="N1011" t="str">
            <v>SN3 3RD</v>
          </cell>
          <cell r="O1011" t="str">
            <v>head@nyland-pri.swindon.sch.uk</v>
          </cell>
          <cell r="P1011">
            <v>40865</v>
          </cell>
        </row>
        <row r="1012">
          <cell r="A1012">
            <v>8815455</v>
          </cell>
          <cell r="B1012">
            <v>115371</v>
          </cell>
          <cell r="C1012">
            <v>881</v>
          </cell>
          <cell r="D1012" t="str">
            <v>Essex</v>
          </cell>
          <cell r="E1012">
            <v>5455</v>
          </cell>
          <cell r="F1012" t="str">
            <v>Lilian Da Cunha</v>
          </cell>
          <cell r="G1012" t="str">
            <v>Hylands School</v>
          </cell>
          <cell r="H1012" t="str">
            <v>East of England</v>
          </cell>
          <cell r="I1012" t="str">
            <v>Hatfield Grove</v>
          </cell>
          <cell r="L1012" t="str">
            <v>Chelmsford</v>
          </cell>
          <cell r="M1012" t="str">
            <v>Essex</v>
          </cell>
          <cell r="N1012" t="str">
            <v>CM1 3DF</v>
          </cell>
          <cell r="O1012" t="str">
            <v>struthersd@hylands.e-folio.org.uk</v>
          </cell>
          <cell r="P1012">
            <v>40625</v>
          </cell>
        </row>
        <row r="1013">
          <cell r="A1013">
            <v>3353111</v>
          </cell>
          <cell r="B1013">
            <v>104228</v>
          </cell>
          <cell r="C1013">
            <v>335</v>
          </cell>
          <cell r="D1013" t="str">
            <v>Walsall</v>
          </cell>
          <cell r="E1013">
            <v>3111</v>
          </cell>
          <cell r="F1013" t="str">
            <v>Stephen Bagnall</v>
          </cell>
          <cell r="G1013" t="str">
            <v>St John's Church of England Primary School</v>
          </cell>
          <cell r="H1013" t="str">
            <v>West Midlands</v>
          </cell>
          <cell r="I1013" t="str">
            <v>Brook Lane</v>
          </cell>
          <cell r="J1013" t="str">
            <v>Walsall Wood</v>
          </cell>
          <cell r="L1013" t="str">
            <v>Walsall</v>
          </cell>
          <cell r="M1013" t="str">
            <v>West Midlands</v>
          </cell>
          <cell r="N1013" t="str">
            <v>WS9 9NA</v>
          </cell>
          <cell r="O1013" t="str">
            <v>ryeomans@st-johns.walsall.sch.uk</v>
          </cell>
        </row>
        <row r="1014">
          <cell r="A1014">
            <v>8791106</v>
          </cell>
          <cell r="B1014">
            <v>136155</v>
          </cell>
          <cell r="C1014">
            <v>879</v>
          </cell>
          <cell r="D1014" t="str">
            <v>Plymouth</v>
          </cell>
          <cell r="E1014">
            <v>1106</v>
          </cell>
          <cell r="F1014" t="str">
            <v>Pat Murison</v>
          </cell>
          <cell r="G1014" t="str">
            <v>A.C.E - Alternative Complimentary Education</v>
          </cell>
          <cell r="H1014" t="str">
            <v>South West</v>
          </cell>
          <cell r="I1014" t="str">
            <v>Palace Court</v>
          </cell>
          <cell r="J1014" t="str">
            <v>Buckwell Street</v>
          </cell>
          <cell r="L1014" t="str">
            <v>Plymouth</v>
          </cell>
          <cell r="M1014" t="str">
            <v>Devon</v>
          </cell>
          <cell r="N1014" t="str">
            <v>PL1 2DA</v>
          </cell>
          <cell r="O1014" t="str">
            <v>Chris.Humphries@Plymouth.gov.uk</v>
          </cell>
        </row>
        <row r="1015">
          <cell r="A1015">
            <v>8874199</v>
          </cell>
          <cell r="B1015">
            <v>118823</v>
          </cell>
          <cell r="C1015">
            <v>887</v>
          </cell>
          <cell r="D1015" t="str">
            <v>Medway</v>
          </cell>
          <cell r="E1015">
            <v>4199</v>
          </cell>
          <cell r="F1015" t="str">
            <v>Kevin Hall</v>
          </cell>
          <cell r="G1015" t="str">
            <v>Rainham School for Girls</v>
          </cell>
          <cell r="H1015" t="str">
            <v>South East</v>
          </cell>
          <cell r="I1015" t="str">
            <v>Derwent Way</v>
          </cell>
          <cell r="J1015" t="str">
            <v>Rainham</v>
          </cell>
          <cell r="L1015" t="str">
            <v>Gillingham</v>
          </cell>
          <cell r="M1015" t="str">
            <v>Kent</v>
          </cell>
          <cell r="N1015" t="str">
            <v>ME8 0BX</v>
          </cell>
          <cell r="P1015">
            <v>40457</v>
          </cell>
        </row>
        <row r="1016">
          <cell r="A1016">
            <v>8862684</v>
          </cell>
          <cell r="B1016">
            <v>131599</v>
          </cell>
          <cell r="C1016">
            <v>886</v>
          </cell>
          <cell r="D1016" t="str">
            <v>Kent</v>
          </cell>
          <cell r="E1016">
            <v>2684</v>
          </cell>
          <cell r="F1016" t="str">
            <v>Sarah Mitchell</v>
          </cell>
          <cell r="G1016" t="str">
            <v>Wentworth Primary School</v>
          </cell>
          <cell r="H1016" t="str">
            <v>South East</v>
          </cell>
          <cell r="I1016" t="str">
            <v>Wentworth Drive</v>
          </cell>
          <cell r="L1016" t="str">
            <v>Dartford</v>
          </cell>
          <cell r="M1016" t="str">
            <v>Kent</v>
          </cell>
          <cell r="N1016" t="str">
            <v>DA1 3NG</v>
          </cell>
          <cell r="O1016" t="str">
            <v>David.Edwards@wentworth.kent.sch.uk</v>
          </cell>
          <cell r="P1016">
            <v>40724</v>
          </cell>
        </row>
        <row r="1017">
          <cell r="A1017">
            <v>3525200</v>
          </cell>
          <cell r="B1017">
            <v>105584</v>
          </cell>
          <cell r="C1017">
            <v>352</v>
          </cell>
          <cell r="D1017" t="str">
            <v>Manchester</v>
          </cell>
          <cell r="E1017">
            <v>5200</v>
          </cell>
          <cell r="F1017" t="str">
            <v>Elaine Howard</v>
          </cell>
          <cell r="G1017" t="str">
            <v>St Kentigern's RC Primary</v>
          </cell>
          <cell r="H1017" t="str">
            <v>North West</v>
          </cell>
          <cell r="I1017" t="str">
            <v>Bethnall Drive</v>
          </cell>
          <cell r="J1017" t="str">
            <v>Fallowfield</v>
          </cell>
          <cell r="L1017" t="str">
            <v>Manchester</v>
          </cell>
          <cell r="N1017" t="str">
            <v>M14 7ED</v>
          </cell>
          <cell r="O1017" t="str">
            <v>admin@st-kentigerns.manchester.sch.uk</v>
          </cell>
        </row>
        <row r="1018">
          <cell r="A1018">
            <v>3035401</v>
          </cell>
          <cell r="B1018">
            <v>101477</v>
          </cell>
          <cell r="C1018">
            <v>303</v>
          </cell>
          <cell r="D1018" t="str">
            <v>Bexley</v>
          </cell>
          <cell r="E1018">
            <v>5401</v>
          </cell>
          <cell r="F1018" t="str">
            <v>Tahir Shams</v>
          </cell>
          <cell r="G1018" t="str">
            <v>St Columba's Catholic Boys' School</v>
          </cell>
          <cell r="H1018" t="str">
            <v>London</v>
          </cell>
          <cell r="I1018" t="str">
            <v>Halcot Avenue</v>
          </cell>
          <cell r="L1018" t="str">
            <v>Bexleyheath</v>
          </cell>
          <cell r="M1018" t="str">
            <v>Kent</v>
          </cell>
          <cell r="N1018" t="str">
            <v>DA6 7QB</v>
          </cell>
          <cell r="O1018" t="str">
            <v>NFR@st-columbas.bexley.sch.uk</v>
          </cell>
          <cell r="P1018">
            <v>40723</v>
          </cell>
        </row>
        <row r="1019">
          <cell r="A1019">
            <v>8654067</v>
          </cell>
          <cell r="B1019">
            <v>126455</v>
          </cell>
          <cell r="C1019">
            <v>865</v>
          </cell>
          <cell r="D1019" t="str">
            <v>Wiltshire</v>
          </cell>
          <cell r="E1019">
            <v>4067</v>
          </cell>
          <cell r="F1019" t="str">
            <v>Kate Bosher</v>
          </cell>
          <cell r="G1019" t="str">
            <v>Wootton Bassett School</v>
          </cell>
          <cell r="H1019" t="str">
            <v>South West</v>
          </cell>
          <cell r="I1019" t="str">
            <v>Lime Kiln</v>
          </cell>
          <cell r="J1019" t="str">
            <v>Wootton Bassett</v>
          </cell>
          <cell r="L1019" t="str">
            <v>Swindon</v>
          </cell>
          <cell r="M1019" t="str">
            <v>Wiltshire</v>
          </cell>
          <cell r="N1019" t="str">
            <v>SN4 7HG</v>
          </cell>
          <cell r="O1019" t="str">
            <v>mbl@woottonbassett.wilts.sch.uk</v>
          </cell>
          <cell r="P1019">
            <v>40513</v>
          </cell>
        </row>
        <row r="1020">
          <cell r="A1020">
            <v>8453017</v>
          </cell>
          <cell r="B1020">
            <v>114498</v>
          </cell>
          <cell r="C1020">
            <v>845</v>
          </cell>
          <cell r="D1020" t="str">
            <v>East Sussex</v>
          </cell>
          <cell r="E1020">
            <v>3017</v>
          </cell>
          <cell r="F1020" t="str">
            <v>Sarah Mitchell</v>
          </cell>
          <cell r="G1020" t="str">
            <v>Dallington Church of England Primary School</v>
          </cell>
          <cell r="H1020" t="str">
            <v>South East</v>
          </cell>
          <cell r="I1020" t="str">
            <v>East Street</v>
          </cell>
          <cell r="J1020" t="str">
            <v>Dallington</v>
          </cell>
          <cell r="L1020" t="str">
            <v>Heathfield</v>
          </cell>
          <cell r="M1020" t="str">
            <v>East Sussex</v>
          </cell>
          <cell r="N1020" t="str">
            <v>TN21 9NH</v>
          </cell>
          <cell r="O1020" t="str">
            <v>head@dallington.e-sussex.sch.uk</v>
          </cell>
        </row>
        <row r="1021">
          <cell r="A1021">
            <v>8552169</v>
          </cell>
          <cell r="B1021">
            <v>119977</v>
          </cell>
          <cell r="C1021">
            <v>855</v>
          </cell>
          <cell r="D1021" t="str">
            <v>Leicestershire</v>
          </cell>
          <cell r="E1021">
            <v>2169</v>
          </cell>
          <cell r="F1021" t="str">
            <v>Sue Harp</v>
          </cell>
          <cell r="G1021" t="str">
            <v>Outwoods Edge Primary School</v>
          </cell>
          <cell r="H1021" t="str">
            <v>East Midlands</v>
          </cell>
          <cell r="I1021" t="str">
            <v>21 Redwood Road</v>
          </cell>
          <cell r="L1021" t="str">
            <v>Loughborough</v>
          </cell>
          <cell r="M1021" t="str">
            <v>Leicestershire</v>
          </cell>
          <cell r="N1021" t="str">
            <v>LE11 2LD</v>
          </cell>
          <cell r="O1021" t="str">
            <v>maksymiw@oedge.leics.mg4l.net</v>
          </cell>
          <cell r="P1021">
            <v>41043</v>
          </cell>
        </row>
        <row r="1022">
          <cell r="A1022">
            <v>3932037</v>
          </cell>
          <cell r="B1022">
            <v>108684</v>
          </cell>
          <cell r="C1022">
            <v>393</v>
          </cell>
          <cell r="D1022" t="str">
            <v>South Tyneside</v>
          </cell>
          <cell r="E1022">
            <v>2037</v>
          </cell>
          <cell r="F1022" t="str">
            <v>Alan Large</v>
          </cell>
          <cell r="G1022" t="str">
            <v>Monkton Infants' School</v>
          </cell>
          <cell r="H1022" t="str">
            <v>North East</v>
          </cell>
          <cell r="I1022" t="str">
            <v>St Simon Street</v>
          </cell>
          <cell r="L1022" t="str">
            <v>South Shields</v>
          </cell>
          <cell r="M1022" t="str">
            <v>Tyne and Wear</v>
          </cell>
          <cell r="N1022" t="str">
            <v>NE34 9SD</v>
          </cell>
          <cell r="O1022" t="str">
            <v>finlay@monkton-inf.s-tyneside.sch.uk</v>
          </cell>
          <cell r="P1022">
            <v>41108</v>
          </cell>
        </row>
        <row r="1023">
          <cell r="A1023">
            <v>3344017</v>
          </cell>
          <cell r="B1023">
            <v>104111</v>
          </cell>
          <cell r="C1023">
            <v>334</v>
          </cell>
          <cell r="D1023" t="str">
            <v>Solihull</v>
          </cell>
          <cell r="E1023">
            <v>4017</v>
          </cell>
          <cell r="F1023" t="str">
            <v>Beverley Samuel</v>
          </cell>
          <cell r="G1023" t="str">
            <v>Arden School</v>
          </cell>
          <cell r="H1023" t="str">
            <v>West Midlands</v>
          </cell>
          <cell r="I1023" t="str">
            <v>Station Road</v>
          </cell>
          <cell r="J1023" t="str">
            <v>Knowle</v>
          </cell>
          <cell r="L1023" t="str">
            <v>Solihull</v>
          </cell>
          <cell r="M1023" t="str">
            <v>West Midlands</v>
          </cell>
          <cell r="N1023" t="str">
            <v>B93 0PT</v>
          </cell>
          <cell r="O1023" t="str">
            <v>agreen@arden.solihull.sch.uk</v>
          </cell>
          <cell r="P1023">
            <v>40359</v>
          </cell>
        </row>
        <row r="1024">
          <cell r="A1024">
            <v>9162144</v>
          </cell>
          <cell r="B1024">
            <v>115579</v>
          </cell>
          <cell r="C1024">
            <v>916</v>
          </cell>
          <cell r="D1024" t="str">
            <v>Gloucestershire</v>
          </cell>
          <cell r="E1024">
            <v>2144</v>
          </cell>
          <cell r="F1024" t="str">
            <v>John Goodwin</v>
          </cell>
          <cell r="G1024" t="str">
            <v>Churchdown Village Infant School</v>
          </cell>
          <cell r="H1024" t="str">
            <v>South West</v>
          </cell>
          <cell r="I1024" t="str">
            <v>Station Road</v>
          </cell>
          <cell r="J1024" t="str">
            <v>Churchdown</v>
          </cell>
          <cell r="L1024" t="str">
            <v>Gloucester</v>
          </cell>
          <cell r="M1024" t="str">
            <v>Gloucestershire</v>
          </cell>
          <cell r="N1024" t="str">
            <v>GL3 2NB</v>
          </cell>
          <cell r="O1024" t="str">
            <v>head@churchdownvillage-inf.gloucs.sch.uk</v>
          </cell>
          <cell r="P1024">
            <v>40576</v>
          </cell>
        </row>
        <row r="1025">
          <cell r="A1025">
            <v>3055418</v>
          </cell>
          <cell r="B1025">
            <v>101658</v>
          </cell>
          <cell r="C1025">
            <v>305</v>
          </cell>
          <cell r="D1025" t="str">
            <v>Bromley</v>
          </cell>
          <cell r="E1025">
            <v>5418</v>
          </cell>
          <cell r="F1025" t="str">
            <v>Kevin Hall</v>
          </cell>
          <cell r="G1025" t="str">
            <v>Darrick Wood School</v>
          </cell>
          <cell r="H1025" t="str">
            <v>London</v>
          </cell>
          <cell r="I1025" t="str">
            <v>Lovibonds Avenue</v>
          </cell>
          <cell r="L1025" t="str">
            <v>Orpington</v>
          </cell>
          <cell r="M1025" t="str">
            <v>Kent</v>
          </cell>
          <cell r="N1025" t="str">
            <v>BR6 8ER</v>
          </cell>
          <cell r="O1025" t="str">
            <v>b.rhymaun@darrickwood.bromley.sch.uk</v>
          </cell>
          <cell r="P1025">
            <v>40359</v>
          </cell>
        </row>
        <row r="1026">
          <cell r="A1026">
            <v>8253035</v>
          </cell>
          <cell r="B1026">
            <v>110426</v>
          </cell>
          <cell r="C1026">
            <v>825</v>
          </cell>
          <cell r="D1026" t="str">
            <v>Buckinghamshire</v>
          </cell>
          <cell r="E1026">
            <v>3035</v>
          </cell>
          <cell r="F1026" t="str">
            <v>Darren Francis</v>
          </cell>
          <cell r="G1026" t="str">
            <v>Coleshill CE Infant School</v>
          </cell>
          <cell r="H1026" t="str">
            <v>South East</v>
          </cell>
          <cell r="I1026" t="str">
            <v>Coleshill</v>
          </cell>
          <cell r="L1026" t="str">
            <v>Amersham</v>
          </cell>
          <cell r="M1026" t="str">
            <v>Buckinghamshire</v>
          </cell>
          <cell r="N1026" t="str">
            <v>HP7 0LQ</v>
          </cell>
          <cell r="O1026" t="str">
            <v>howardpool@hotmail.com</v>
          </cell>
        </row>
        <row r="1027">
          <cell r="A1027">
            <v>8305400</v>
          </cell>
          <cell r="B1027">
            <v>112985</v>
          </cell>
          <cell r="C1027">
            <v>830</v>
          </cell>
          <cell r="D1027" t="str">
            <v>Derbyshire</v>
          </cell>
          <cell r="E1027">
            <v>5400</v>
          </cell>
          <cell r="F1027" t="str">
            <v>Grant Dyson</v>
          </cell>
          <cell r="G1027" t="str">
            <v>Netherthorpe School</v>
          </cell>
          <cell r="H1027" t="str">
            <v>East Midlands</v>
          </cell>
          <cell r="I1027" t="str">
            <v>Ralph Road</v>
          </cell>
          <cell r="J1027" t="str">
            <v>Staveley</v>
          </cell>
          <cell r="L1027" t="str">
            <v>Chesterfield</v>
          </cell>
          <cell r="M1027" t="str">
            <v>Derbyshire</v>
          </cell>
          <cell r="N1027" t="str">
            <v>S43 3PU</v>
          </cell>
          <cell r="O1027" t="str">
            <v>a.senior@netherthorpe.derbyshire.sch.uk</v>
          </cell>
          <cell r="P1027">
            <v>40563</v>
          </cell>
        </row>
        <row r="1028">
          <cell r="A1028">
            <v>9264082</v>
          </cell>
          <cell r="B1028">
            <v>121179</v>
          </cell>
          <cell r="C1028">
            <v>926</v>
          </cell>
          <cell r="D1028" t="str">
            <v>Norfolk</v>
          </cell>
          <cell r="E1028">
            <v>4082</v>
          </cell>
          <cell r="F1028" t="str">
            <v>Joe Farrell</v>
          </cell>
          <cell r="G1028" t="str">
            <v>Hethersett High School and Science College</v>
          </cell>
          <cell r="H1028" t="str">
            <v>East of England</v>
          </cell>
          <cell r="I1028" t="str">
            <v>Queen's Road</v>
          </cell>
          <cell r="J1028" t="str">
            <v>Hethersett</v>
          </cell>
          <cell r="L1028" t="str">
            <v>Norwich</v>
          </cell>
          <cell r="M1028" t="str">
            <v>Norfolk</v>
          </cell>
          <cell r="N1028" t="str">
            <v>NR9 3DB</v>
          </cell>
          <cell r="O1028" t="str">
            <v>head@hethersetthigh.norfolk.sch.uk</v>
          </cell>
        </row>
        <row r="1029">
          <cell r="A1029">
            <v>8867032</v>
          </cell>
          <cell r="B1029">
            <v>119036</v>
          </cell>
          <cell r="C1029">
            <v>886</v>
          </cell>
          <cell r="D1029" t="str">
            <v>Kent</v>
          </cell>
          <cell r="E1029">
            <v>7032</v>
          </cell>
          <cell r="F1029" t="str">
            <v>Nicky Edwards</v>
          </cell>
          <cell r="G1029" t="str">
            <v>Bower Grove School</v>
          </cell>
          <cell r="H1029" t="str">
            <v>South East</v>
          </cell>
          <cell r="I1029" t="str">
            <v>Fant Lane</v>
          </cell>
          <cell r="L1029" t="str">
            <v>Maidstone</v>
          </cell>
          <cell r="M1029" t="str">
            <v>Kent</v>
          </cell>
          <cell r="N1029" t="str">
            <v>ME16 8NL</v>
          </cell>
          <cell r="O1029" t="str">
            <v>headteacher@bower-grove.kent.sch.uk</v>
          </cell>
        </row>
        <row r="1030">
          <cell r="A1030">
            <v>9375408</v>
          </cell>
          <cell r="B1030">
            <v>125771</v>
          </cell>
          <cell r="C1030">
            <v>937</v>
          </cell>
          <cell r="D1030" t="str">
            <v>Warwickshire</v>
          </cell>
          <cell r="E1030">
            <v>5408</v>
          </cell>
          <cell r="F1030" t="str">
            <v>Beverley Samuel</v>
          </cell>
          <cell r="G1030" t="str">
            <v>Studley High School</v>
          </cell>
          <cell r="H1030" t="str">
            <v>West Midlands</v>
          </cell>
          <cell r="I1030" t="str">
            <v>Crooks Lane</v>
          </cell>
          <cell r="L1030" t="str">
            <v>Studley</v>
          </cell>
          <cell r="M1030" t="str">
            <v>Warwickshire</v>
          </cell>
          <cell r="N1030" t="str">
            <v>B80 7QX</v>
          </cell>
          <cell r="O1030" t="str">
            <v>headteacher@studleyhigh.demon.co.uk</v>
          </cell>
          <cell r="P1030">
            <v>40557</v>
          </cell>
        </row>
        <row r="1031">
          <cell r="A1031">
            <v>8222009</v>
          </cell>
          <cell r="B1031">
            <v>109435</v>
          </cell>
          <cell r="C1031">
            <v>822</v>
          </cell>
          <cell r="D1031" t="str">
            <v>Bedford</v>
          </cell>
          <cell r="E1031">
            <v>2009</v>
          </cell>
          <cell r="F1031" t="str">
            <v>Michael Cook</v>
          </cell>
          <cell r="G1031" t="str">
            <v>Castle Lower School</v>
          </cell>
          <cell r="H1031" t="str">
            <v>East of England</v>
          </cell>
          <cell r="I1031" t="str">
            <v>Goldington Road</v>
          </cell>
          <cell r="L1031" t="str">
            <v>Bedford</v>
          </cell>
          <cell r="M1031" t="str">
            <v>Bedfordshire</v>
          </cell>
          <cell r="N1031" t="str">
            <v>MK40 3EP</v>
          </cell>
          <cell r="O1031" t="str">
            <v>caht@schools.bedfordshire.gov.uk</v>
          </cell>
        </row>
        <row r="1032">
          <cell r="A1032">
            <v>9164068</v>
          </cell>
          <cell r="B1032">
            <v>115727</v>
          </cell>
          <cell r="C1032">
            <v>916</v>
          </cell>
          <cell r="D1032" t="str">
            <v>Gloucestershire</v>
          </cell>
          <cell r="E1032">
            <v>4068</v>
          </cell>
          <cell r="F1032" t="str">
            <v>John Goodwin</v>
          </cell>
          <cell r="G1032" t="str">
            <v>Thomas Keble School</v>
          </cell>
          <cell r="H1032" t="str">
            <v>South West</v>
          </cell>
          <cell r="I1032" t="str">
            <v>Eastcombe</v>
          </cell>
          <cell r="L1032" t="str">
            <v>Stroud</v>
          </cell>
          <cell r="M1032" t="str">
            <v>Gloucestershire</v>
          </cell>
          <cell r="N1032" t="str">
            <v>GL6 7DY</v>
          </cell>
          <cell r="O1032" t="str">
            <v>csteer@thomaskeble.gloucs.sch.uk</v>
          </cell>
          <cell r="P1032">
            <v>40669</v>
          </cell>
        </row>
        <row r="1033">
          <cell r="A1033">
            <v>8884311</v>
          </cell>
          <cell r="B1033">
            <v>119764</v>
          </cell>
          <cell r="C1033">
            <v>888</v>
          </cell>
          <cell r="D1033" t="str">
            <v>Lancashire</v>
          </cell>
          <cell r="E1033">
            <v>4311</v>
          </cell>
          <cell r="F1033" t="str">
            <v>Stuart Mepham</v>
          </cell>
          <cell r="G1033" t="str">
            <v>Parklands High School</v>
          </cell>
          <cell r="H1033" t="str">
            <v>North West</v>
          </cell>
          <cell r="I1033" t="str">
            <v>Southport Road</v>
          </cell>
          <cell r="L1033" t="str">
            <v>Chorley</v>
          </cell>
          <cell r="M1033" t="str">
            <v>Lancashire</v>
          </cell>
          <cell r="N1033" t="str">
            <v>PR7 1LL</v>
          </cell>
          <cell r="O1033" t="str">
            <v>c.hollister@parklands.lancs.sch.uk</v>
          </cell>
          <cell r="P1033">
            <v>40890</v>
          </cell>
        </row>
        <row r="1034">
          <cell r="A1034">
            <v>8402539</v>
          </cell>
          <cell r="B1034">
            <v>114153</v>
          </cell>
          <cell r="C1034">
            <v>840</v>
          </cell>
          <cell r="D1034" t="str">
            <v>Durham</v>
          </cell>
          <cell r="E1034">
            <v>2539</v>
          </cell>
          <cell r="F1034" t="str">
            <v>Janet Smith</v>
          </cell>
          <cell r="G1034" t="str">
            <v>Acre Rigg Junior School</v>
          </cell>
          <cell r="H1034" t="str">
            <v>North East</v>
          </cell>
          <cell r="I1034" t="str">
            <v>Acre Rigg Road</v>
          </cell>
          <cell r="L1034" t="str">
            <v>Peterlee</v>
          </cell>
          <cell r="M1034" t="str">
            <v>County Durham</v>
          </cell>
          <cell r="N1034" t="str">
            <v>SR8 2DU</v>
          </cell>
          <cell r="O1034" t="str">
            <v>j.craggs100@durhamlearning.net</v>
          </cell>
          <cell r="P1034">
            <v>41061</v>
          </cell>
        </row>
        <row r="1035">
          <cell r="A1035">
            <v>3904605</v>
          </cell>
          <cell r="B1035">
            <v>108412</v>
          </cell>
          <cell r="C1035">
            <v>390</v>
          </cell>
          <cell r="D1035" t="str">
            <v>Gateshead</v>
          </cell>
          <cell r="E1035">
            <v>4605</v>
          </cell>
          <cell r="F1035" t="str">
            <v>Lisa Sargeant</v>
          </cell>
          <cell r="G1035" t="str">
            <v>Cardinal Hume Catholic School</v>
          </cell>
          <cell r="H1035" t="str">
            <v>North East</v>
          </cell>
          <cell r="I1035" t="str">
            <v>Old Durham Road</v>
          </cell>
          <cell r="J1035" t="str">
            <v>Beacon Lough</v>
          </cell>
          <cell r="L1035" t="str">
            <v>Gateshead</v>
          </cell>
          <cell r="M1035" t="str">
            <v>Tyne and Wear</v>
          </cell>
          <cell r="N1035" t="str">
            <v>NE9 6RZ</v>
          </cell>
          <cell r="O1035" t="str">
            <v>nhn@cardinalhume.com</v>
          </cell>
          <cell r="P1035">
            <v>40823</v>
          </cell>
        </row>
        <row r="1036">
          <cell r="A1036">
            <v>8114056</v>
          </cell>
          <cell r="B1036">
            <v>118077</v>
          </cell>
          <cell r="C1036">
            <v>811</v>
          </cell>
          <cell r="D1036" t="str">
            <v>East Riding of Yorkshire</v>
          </cell>
          <cell r="E1036">
            <v>4056</v>
          </cell>
          <cell r="F1036" t="str">
            <v>John Edmunds</v>
          </cell>
          <cell r="G1036" t="str">
            <v xml:space="preserve">South Hunsley School </v>
          </cell>
          <cell r="H1036" t="str">
            <v>Yorkshire and the Humber</v>
          </cell>
          <cell r="I1036" t="str">
            <v>East Dale Road</v>
          </cell>
          <cell r="J1036" t="str">
            <v>Melton</v>
          </cell>
          <cell r="L1036" t="str">
            <v>North Ferriby</v>
          </cell>
          <cell r="N1036" t="str">
            <v>HU14 3HS</v>
          </cell>
          <cell r="O1036" t="str">
            <v>gavin.chappell@shunsley.eril.net</v>
          </cell>
          <cell r="P1036">
            <v>40535</v>
          </cell>
        </row>
        <row r="1037">
          <cell r="A1037">
            <v>8164500</v>
          </cell>
          <cell r="B1037">
            <v>121709</v>
          </cell>
          <cell r="C1037">
            <v>816</v>
          </cell>
          <cell r="D1037" t="str">
            <v>York</v>
          </cell>
          <cell r="E1037">
            <v>4500</v>
          </cell>
          <cell r="F1037" t="str">
            <v>Anita Turnbull</v>
          </cell>
          <cell r="G1037" t="str">
            <v>Archbishop Holgate's School</v>
          </cell>
          <cell r="H1037" t="str">
            <v>Yorkshire and the Humber</v>
          </cell>
          <cell r="I1037" t="str">
            <v>Hull Road</v>
          </cell>
          <cell r="L1037" t="str">
            <v>York</v>
          </cell>
          <cell r="M1037" t="str">
            <v>North Yorkshire</v>
          </cell>
          <cell r="N1037" t="str">
            <v>YO10 5ZA</v>
          </cell>
          <cell r="O1037" t="str">
            <v xml:space="preserve"> jsissons@archbishopholgates.org</v>
          </cell>
          <cell r="P1037">
            <v>40557</v>
          </cell>
        </row>
        <row r="1038">
          <cell r="A1038">
            <v>3942094</v>
          </cell>
          <cell r="B1038">
            <v>108788</v>
          </cell>
          <cell r="C1038">
            <v>394</v>
          </cell>
          <cell r="D1038" t="str">
            <v>Sunderland</v>
          </cell>
          <cell r="E1038">
            <v>2094</v>
          </cell>
          <cell r="F1038" t="str">
            <v>Carol Blain</v>
          </cell>
          <cell r="G1038" t="str">
            <v>Ryhope Infant School</v>
          </cell>
          <cell r="H1038" t="str">
            <v>North East</v>
          </cell>
          <cell r="I1038" t="str">
            <v>Shaftesbury Avenue</v>
          </cell>
          <cell r="J1038" t="str">
            <v>Ryhope</v>
          </cell>
          <cell r="L1038" t="str">
            <v>Sunderland</v>
          </cell>
          <cell r="M1038" t="str">
            <v>Tyne and Wear</v>
          </cell>
          <cell r="N1038" t="str">
            <v>SR2 0RT</v>
          </cell>
          <cell r="O1038" t="str">
            <v>chris.ray@schools.sunderland.gov.uk</v>
          </cell>
        </row>
        <row r="1039">
          <cell r="A1039">
            <v>8812424</v>
          </cell>
          <cell r="B1039">
            <v>114846</v>
          </cell>
          <cell r="C1039">
            <v>881</v>
          </cell>
          <cell r="D1039" t="str">
            <v>Essex</v>
          </cell>
          <cell r="E1039">
            <v>2424</v>
          </cell>
          <cell r="F1039" t="str">
            <v>Julie McDowall</v>
          </cell>
          <cell r="G1039" t="str">
            <v>Highwoods Community Primary School</v>
          </cell>
          <cell r="H1039" t="str">
            <v>East of England</v>
          </cell>
          <cell r="I1039" t="str">
            <v>Tynedale Square</v>
          </cell>
          <cell r="J1039" t="str">
            <v>Highwoods</v>
          </cell>
          <cell r="L1039" t="str">
            <v>Colchester</v>
          </cell>
          <cell r="M1039" t="str">
            <v>Essex</v>
          </cell>
          <cell r="N1039" t="str">
            <v>CO4 9SN</v>
          </cell>
          <cell r="O1039" t="str">
            <v>admin@highwoods.essex.sch.uk</v>
          </cell>
          <cell r="P1039">
            <v>41165</v>
          </cell>
        </row>
        <row r="1040">
          <cell r="A1040">
            <v>3805404</v>
          </cell>
          <cell r="B1040">
            <v>107443</v>
          </cell>
          <cell r="C1040">
            <v>380</v>
          </cell>
          <cell r="D1040" t="str">
            <v>Bradford</v>
          </cell>
          <cell r="E1040">
            <v>5404</v>
          </cell>
          <cell r="F1040" t="str">
            <v>Glyn Newton</v>
          </cell>
          <cell r="G1040" t="str">
            <v>Laisterdyke Business and Enterprise College</v>
          </cell>
          <cell r="H1040" t="str">
            <v>Yorkshire and the Humber</v>
          </cell>
          <cell r="I1040" t="str">
            <v>Thornbury Road</v>
          </cell>
          <cell r="L1040" t="str">
            <v>Bradford</v>
          </cell>
          <cell r="M1040" t="str">
            <v>West Yorkshire</v>
          </cell>
          <cell r="N1040" t="str">
            <v>BD3 8HE</v>
          </cell>
        </row>
        <row r="1041">
          <cell r="A1041">
            <v>8842061</v>
          </cell>
          <cell r="B1041">
            <v>116683</v>
          </cell>
          <cell r="C1041">
            <v>884</v>
          </cell>
          <cell r="D1041" t="str">
            <v>Herefordshire</v>
          </cell>
          <cell r="E1041">
            <v>2061</v>
          </cell>
          <cell r="F1041" t="str">
            <v>Beverley Samuel</v>
          </cell>
          <cell r="G1041" t="str">
            <v xml:space="preserve">Lord Scudamore Foundation School </v>
          </cell>
          <cell r="H1041" t="str">
            <v>West Midlands</v>
          </cell>
          <cell r="I1041" t="str">
            <v>Friar Street</v>
          </cell>
          <cell r="L1041" t="str">
            <v>Hereford</v>
          </cell>
          <cell r="M1041" t="str">
            <v>Herefordshire</v>
          </cell>
          <cell r="N1041" t="str">
            <v>HR4 0AS</v>
          </cell>
          <cell r="O1041" t="str">
            <v>pwhitcombe@lordscudamore.hereford.sch.uk</v>
          </cell>
          <cell r="P1041">
            <v>40521</v>
          </cell>
        </row>
        <row r="1042">
          <cell r="A1042">
            <v>3812063</v>
          </cell>
          <cell r="B1042">
            <v>107515</v>
          </cell>
          <cell r="C1042">
            <v>381</v>
          </cell>
          <cell r="D1042" t="str">
            <v>Calderdale</v>
          </cell>
          <cell r="E1042">
            <v>2063</v>
          </cell>
          <cell r="F1042" t="str">
            <v>Bev Annables</v>
          </cell>
          <cell r="G1042" t="str">
            <v>Bolton Brow Junior Infant and Nursery School</v>
          </cell>
          <cell r="H1042" t="str">
            <v>Yorkshire and the Humber</v>
          </cell>
          <cell r="I1042" t="str">
            <v>Bolton Brow</v>
          </cell>
          <cell r="L1042" t="str">
            <v>Sowerby Bridge</v>
          </cell>
          <cell r="M1042" t="str">
            <v>West Yorkshire</v>
          </cell>
          <cell r="N1042" t="str">
            <v>HX6 2BA</v>
          </cell>
          <cell r="O1042" t="str">
            <v>head@boltonbrow.calderdale.sch.uk</v>
          </cell>
          <cell r="P1042">
            <v>40645</v>
          </cell>
        </row>
        <row r="1043">
          <cell r="A1043">
            <v>3052034</v>
          </cell>
          <cell r="B1043">
            <v>101610</v>
          </cell>
          <cell r="C1043">
            <v>305</v>
          </cell>
          <cell r="D1043" t="str">
            <v>Bromley</v>
          </cell>
          <cell r="E1043">
            <v>2034</v>
          </cell>
          <cell r="F1043" t="str">
            <v>Sheila Longstaff</v>
          </cell>
          <cell r="G1043" t="str">
            <v>Chelsfield Primary School</v>
          </cell>
          <cell r="H1043" t="str">
            <v>London</v>
          </cell>
          <cell r="I1043" t="str">
            <v>Warren Road</v>
          </cell>
          <cell r="J1043" t="str">
            <v>Chelsfield</v>
          </cell>
          <cell r="L1043" t="str">
            <v>Orpington</v>
          </cell>
          <cell r="M1043" t="str">
            <v>Kent</v>
          </cell>
          <cell r="N1043" t="str">
            <v>BR6 6EP</v>
          </cell>
          <cell r="O1043" t="str">
            <v>patrick.foley@chelsfield.bromley.sch.uk</v>
          </cell>
        </row>
        <row r="1044">
          <cell r="A1044">
            <v>3127012</v>
          </cell>
          <cell r="B1044">
            <v>102467</v>
          </cell>
          <cell r="C1044">
            <v>312</v>
          </cell>
          <cell r="D1044" t="str">
            <v>Hillingdon</v>
          </cell>
          <cell r="E1044">
            <v>7012</v>
          </cell>
          <cell r="F1044" t="str">
            <v>Gabriela Grimley</v>
          </cell>
          <cell r="G1044" t="str">
            <v>Grangewood School</v>
          </cell>
          <cell r="H1044" t="str">
            <v>London</v>
          </cell>
          <cell r="I1044" t="str">
            <v>Fore Street</v>
          </cell>
          <cell r="J1044" t="str">
            <v>Eastcote</v>
          </cell>
          <cell r="L1044" t="str">
            <v>Pinner</v>
          </cell>
          <cell r="N1044" t="str">
            <v>HA5 2JQ</v>
          </cell>
          <cell r="O1044" t="str">
            <v>philhaigh@hotmail.com</v>
          </cell>
          <cell r="P1044">
            <v>40868</v>
          </cell>
        </row>
        <row r="1045">
          <cell r="A1045">
            <v>8862500</v>
          </cell>
          <cell r="B1045">
            <v>118474</v>
          </cell>
          <cell r="C1045">
            <v>886</v>
          </cell>
          <cell r="D1045" t="str">
            <v>Kent</v>
          </cell>
          <cell r="E1045">
            <v>2500</v>
          </cell>
          <cell r="F1045" t="str">
            <v>Maryam Jabbari</v>
          </cell>
          <cell r="G1045" t="str">
            <v>Joydens Wood Infant School</v>
          </cell>
          <cell r="H1045" t="str">
            <v>South East</v>
          </cell>
          <cell r="I1045" t="str">
            <v>Park Way</v>
          </cell>
          <cell r="L1045" t="str">
            <v>Bexley</v>
          </cell>
          <cell r="M1045" t="str">
            <v>Kent</v>
          </cell>
          <cell r="N1045" t="str">
            <v>DA5 2JD</v>
          </cell>
          <cell r="O1045" t="str">
            <v>headteacher@joydens-wood-infant.kent.sch.uk</v>
          </cell>
          <cell r="P1045">
            <v>40700</v>
          </cell>
        </row>
        <row r="1046">
          <cell r="A1046">
            <v>3025405</v>
          </cell>
          <cell r="B1046">
            <v>101362</v>
          </cell>
          <cell r="C1046">
            <v>302</v>
          </cell>
          <cell r="D1046" t="str">
            <v>Barnet</v>
          </cell>
          <cell r="E1046">
            <v>5405</v>
          </cell>
          <cell r="F1046" t="str">
            <v>Bola Bakrin</v>
          </cell>
          <cell r="G1046" t="str">
            <v>Finchley Catholic High School</v>
          </cell>
          <cell r="H1046" t="str">
            <v>London</v>
          </cell>
          <cell r="I1046" t="str">
            <v>Woodside Lane</v>
          </cell>
          <cell r="J1046" t="str">
            <v>Finchley</v>
          </cell>
          <cell r="L1046" t="str">
            <v>London</v>
          </cell>
          <cell r="N1046" t="str">
            <v>N12 8TA</v>
          </cell>
          <cell r="O1046" t="str">
            <v>smckenna@finchleycatholic.org.uk</v>
          </cell>
        </row>
        <row r="1047">
          <cell r="A1047">
            <v>9252089</v>
          </cell>
          <cell r="B1047">
            <v>120410</v>
          </cell>
          <cell r="C1047">
            <v>925</v>
          </cell>
          <cell r="D1047" t="str">
            <v>Lincolnshire</v>
          </cell>
          <cell r="E1047">
            <v>2089</v>
          </cell>
          <cell r="F1047" t="str">
            <v>Grant Dyson</v>
          </cell>
          <cell r="G1047" t="str">
            <v>Gedney Drove End Primary School</v>
          </cell>
          <cell r="H1047" t="str">
            <v>East Midlands</v>
          </cell>
          <cell r="I1047" t="str">
            <v>Main Road</v>
          </cell>
          <cell r="J1047" t="str">
            <v>Gedney Drove End</v>
          </cell>
          <cell r="L1047" t="str">
            <v>Spalding</v>
          </cell>
          <cell r="M1047" t="str">
            <v>Lincolnshire</v>
          </cell>
          <cell r="N1047" t="str">
            <v>PE12 9PD</v>
          </cell>
          <cell r="O1047" t="str">
            <v>karyn.wiles@st-marks.lincs.sch.uk</v>
          </cell>
        </row>
        <row r="1048">
          <cell r="A1048">
            <v>8365403</v>
          </cell>
          <cell r="B1048">
            <v>113903</v>
          </cell>
          <cell r="C1048">
            <v>836</v>
          </cell>
          <cell r="D1048" t="str">
            <v>Poole</v>
          </cell>
          <cell r="E1048">
            <v>5403</v>
          </cell>
          <cell r="F1048" t="str">
            <v>Kate Bosher</v>
          </cell>
          <cell r="G1048" t="str">
            <v>Parkstone Grammar School</v>
          </cell>
          <cell r="H1048" t="str">
            <v>South West</v>
          </cell>
          <cell r="I1048" t="str">
            <v>Sopers Lane</v>
          </cell>
          <cell r="L1048" t="str">
            <v>Poole</v>
          </cell>
          <cell r="M1048" t="str">
            <v>Dorset</v>
          </cell>
          <cell r="N1048" t="str">
            <v>BH17 7EP</v>
          </cell>
          <cell r="O1048" t="str">
            <v>anne.shinwell@parkstone.poole.sch.uk</v>
          </cell>
          <cell r="P1048">
            <v>40455</v>
          </cell>
        </row>
        <row r="1049">
          <cell r="A1049">
            <v>8783102</v>
          </cell>
          <cell r="B1049">
            <v>113389</v>
          </cell>
          <cell r="C1049">
            <v>878</v>
          </cell>
          <cell r="D1049" t="str">
            <v>Devon</v>
          </cell>
          <cell r="E1049">
            <v>3102</v>
          </cell>
          <cell r="F1049" t="str">
            <v>Lilian Da Cunha</v>
          </cell>
          <cell r="G1049" t="str">
            <v>Blackpool Primary School</v>
          </cell>
          <cell r="H1049" t="str">
            <v>South West</v>
          </cell>
          <cell r="I1049" t="str">
            <v>Liverton</v>
          </cell>
          <cell r="L1049" t="str">
            <v>Newton Abbot</v>
          </cell>
          <cell r="M1049" t="str">
            <v>Devon</v>
          </cell>
          <cell r="N1049" t="str">
            <v>TQ12 6JB</v>
          </cell>
          <cell r="O1049" t="str">
            <v>paul@blackpool.devon.sch.uk</v>
          </cell>
          <cell r="P1049">
            <v>40672</v>
          </cell>
        </row>
        <row r="1050">
          <cell r="A1050">
            <v>3732330</v>
          </cell>
          <cell r="B1050">
            <v>107074</v>
          </cell>
          <cell r="C1050">
            <v>373</v>
          </cell>
          <cell r="D1050" t="str">
            <v>Sheffield</v>
          </cell>
          <cell r="E1050">
            <v>2330</v>
          </cell>
          <cell r="F1050" t="str">
            <v>Bev Annables</v>
          </cell>
          <cell r="G1050" t="str">
            <v>Fox Hill Primary School</v>
          </cell>
          <cell r="H1050" t="str">
            <v>Yorkshire and the Humber</v>
          </cell>
          <cell r="I1050" t="str">
            <v>Keats Road</v>
          </cell>
          <cell r="L1050" t="str">
            <v>Sheffield</v>
          </cell>
          <cell r="M1050" t="str">
            <v>South Yorkshire</v>
          </cell>
          <cell r="N1050" t="str">
            <v>S6 1AZ</v>
          </cell>
        </row>
        <row r="1051">
          <cell r="A1051">
            <v>8655402</v>
          </cell>
          <cell r="B1051">
            <v>126497</v>
          </cell>
          <cell r="C1051">
            <v>865</v>
          </cell>
          <cell r="D1051" t="str">
            <v>Wiltshire</v>
          </cell>
          <cell r="E1051">
            <v>5402</v>
          </cell>
          <cell r="F1051" t="str">
            <v>Ali Bushell</v>
          </cell>
          <cell r="G1051" t="str">
            <v>Lavington School</v>
          </cell>
          <cell r="H1051" t="str">
            <v>South West</v>
          </cell>
          <cell r="I1051" t="str">
            <v>The Spring</v>
          </cell>
          <cell r="J1051" t="str">
            <v>Market Lavington</v>
          </cell>
          <cell r="L1051" t="str">
            <v>Devizes</v>
          </cell>
          <cell r="M1051" t="str">
            <v>Wiltshire</v>
          </cell>
          <cell r="N1051" t="str">
            <v>SN10 4EB</v>
          </cell>
          <cell r="O1051" t="str">
            <v>m.watson@lavington.wilts.sch.uk</v>
          </cell>
          <cell r="P1051">
            <v>40463</v>
          </cell>
        </row>
        <row r="1052">
          <cell r="A1052">
            <v>8782709</v>
          </cell>
          <cell r="B1052">
            <v>113330</v>
          </cell>
          <cell r="C1052">
            <v>878</v>
          </cell>
          <cell r="D1052" t="str">
            <v>Devon</v>
          </cell>
          <cell r="E1052">
            <v>2709</v>
          </cell>
          <cell r="F1052" t="str">
            <v>Nigel Mills</v>
          </cell>
          <cell r="G1052" t="str">
            <v>Stowford Primary School</v>
          </cell>
          <cell r="H1052" t="str">
            <v>South West</v>
          </cell>
          <cell r="I1052" t="str">
            <v>Exeter Road</v>
          </cell>
          <cell r="L1052" t="str">
            <v>Ivybridge</v>
          </cell>
          <cell r="M1052" t="str">
            <v>Devon</v>
          </cell>
          <cell r="N1052" t="str">
            <v>PL21 0BG</v>
          </cell>
          <cell r="O1052" t="str">
            <v>head@stowford.devon.sch.uk</v>
          </cell>
          <cell r="P1052">
            <v>40813</v>
          </cell>
        </row>
        <row r="1053">
          <cell r="A1053">
            <v>3837015</v>
          </cell>
          <cell r="B1053">
            <v>108119</v>
          </cell>
          <cell r="C1053">
            <v>383</v>
          </cell>
          <cell r="D1053" t="str">
            <v>Leeds</v>
          </cell>
          <cell r="E1053">
            <v>7015</v>
          </cell>
          <cell r="F1053" t="str">
            <v>Bev Annables</v>
          </cell>
          <cell r="G1053" t="str">
            <v>John Jamieson School</v>
          </cell>
          <cell r="H1053" t="str">
            <v>Yorkshire and the Humber</v>
          </cell>
          <cell r="I1053" t="str">
            <v>Hollin Hill Drive</v>
          </cell>
          <cell r="L1053" t="str">
            <v>Leeds</v>
          </cell>
          <cell r="M1053" t="str">
            <v>West Yorkshire</v>
          </cell>
          <cell r="N1053" t="str">
            <v>LS8 2PW</v>
          </cell>
          <cell r="O1053" t="str">
            <v>reynarde01@leedslearning.net</v>
          </cell>
        </row>
        <row r="1054">
          <cell r="A1054">
            <v>3045404</v>
          </cell>
          <cell r="B1054">
            <v>101561</v>
          </cell>
          <cell r="C1054">
            <v>304</v>
          </cell>
          <cell r="D1054" t="str">
            <v>Brent</v>
          </cell>
          <cell r="E1054">
            <v>5404</v>
          </cell>
          <cell r="F1054" t="str">
            <v>Helen Fisher</v>
          </cell>
          <cell r="G1054" t="str">
            <v>Convent of Jesus and Mary Language College</v>
          </cell>
          <cell r="H1054" t="str">
            <v>London</v>
          </cell>
          <cell r="I1054" t="str">
            <v>Crownhill Road</v>
          </cell>
          <cell r="L1054" t="str">
            <v>London</v>
          </cell>
          <cell r="N1054" t="str">
            <v>NW10 4EP</v>
          </cell>
          <cell r="O1054" t="str">
            <v>gfreear@cjmlc.co.uk</v>
          </cell>
          <cell r="P1054">
            <v>40927</v>
          </cell>
        </row>
        <row r="1055">
          <cell r="A1055">
            <v>8613453</v>
          </cell>
          <cell r="B1055">
            <v>124346</v>
          </cell>
          <cell r="C1055">
            <v>861</v>
          </cell>
          <cell r="D1055" t="str">
            <v>Stoke-on-Trent</v>
          </cell>
          <cell r="E1055">
            <v>3453</v>
          </cell>
          <cell r="F1055" t="str">
            <v>Sally Gardiner</v>
          </cell>
          <cell r="G1055" t="str">
            <v>St Matthews CofE (A) Primary School</v>
          </cell>
          <cell r="H1055" t="str">
            <v>West Midlands</v>
          </cell>
          <cell r="I1055" t="str">
            <v>Lightwood Road</v>
          </cell>
          <cell r="J1055" t="str">
            <v>Rough Close</v>
          </cell>
          <cell r="L1055" t="str">
            <v>Stoke-on-Trent</v>
          </cell>
          <cell r="M1055" t="str">
            <v>Staffordshire</v>
          </cell>
          <cell r="N1055" t="str">
            <v>ST3 7NE</v>
          </cell>
          <cell r="O1055" t="str">
            <v>agriffin@sgfl.org.uk</v>
          </cell>
          <cell r="P1055">
            <v>41221</v>
          </cell>
        </row>
        <row r="1056">
          <cell r="A1056">
            <v>8375408</v>
          </cell>
          <cell r="B1056">
            <v>113908</v>
          </cell>
          <cell r="C1056">
            <v>837</v>
          </cell>
          <cell r="D1056" t="str">
            <v>Bournemouth</v>
          </cell>
          <cell r="E1056">
            <v>5408</v>
          </cell>
          <cell r="F1056" t="str">
            <v>Bev Mullin</v>
          </cell>
          <cell r="G1056" t="str">
            <v>St Peter's Catholic Comprehensive School</v>
          </cell>
          <cell r="H1056" t="str">
            <v>South West</v>
          </cell>
          <cell r="I1056" t="str">
            <v>St Catherine's Road</v>
          </cell>
          <cell r="L1056" t="str">
            <v>Bournemouth</v>
          </cell>
          <cell r="M1056" t="str">
            <v>Dorset</v>
          </cell>
          <cell r="N1056" t="str">
            <v>BH6 4AH</v>
          </cell>
          <cell r="O1056" t="str">
            <v>ajm@st-peters.bournemouth.sch.uk</v>
          </cell>
          <cell r="P1056">
            <v>40653</v>
          </cell>
        </row>
        <row r="1057">
          <cell r="A1057">
            <v>8913730</v>
          </cell>
          <cell r="B1057">
            <v>122814</v>
          </cell>
          <cell r="C1057">
            <v>891</v>
          </cell>
          <cell r="D1057" t="str">
            <v>Nottinghamshire</v>
          </cell>
          <cell r="E1057">
            <v>3730</v>
          </cell>
          <cell r="F1057" t="str">
            <v>Pauline Cole</v>
          </cell>
          <cell r="G1057" t="str">
            <v>Holy Cross Catholic Primary School</v>
          </cell>
          <cell r="H1057" t="str">
            <v>East Midlands</v>
          </cell>
          <cell r="I1057" t="str">
            <v>Leen Mills Lane</v>
          </cell>
          <cell r="J1057" t="str">
            <v>Hucknall</v>
          </cell>
          <cell r="L1057" t="str">
            <v>Nottingham</v>
          </cell>
          <cell r="M1057" t="str">
            <v>Nottinghamshire</v>
          </cell>
          <cell r="N1057" t="str">
            <v>NG15 8BZ</v>
          </cell>
          <cell r="O1057" t="str">
            <v>head@holycross.notts.sch.uk</v>
          </cell>
          <cell r="P1057">
            <v>40837</v>
          </cell>
        </row>
        <row r="1058">
          <cell r="A1058">
            <v>3823303</v>
          </cell>
          <cell r="B1058">
            <v>107731</v>
          </cell>
          <cell r="C1058">
            <v>382</v>
          </cell>
          <cell r="D1058" t="str">
            <v>Kirklees</v>
          </cell>
          <cell r="E1058">
            <v>3303</v>
          </cell>
          <cell r="F1058" t="str">
            <v>Bev Annables</v>
          </cell>
          <cell r="G1058" t="str">
            <v>Lindley Church of England Voluntary Aided Infant School</v>
          </cell>
          <cell r="H1058" t="str">
            <v>Yorkshire and the Humber</v>
          </cell>
          <cell r="I1058" t="str">
            <v>East Street</v>
          </cell>
          <cell r="J1058" t="str">
            <v>Lindley</v>
          </cell>
          <cell r="L1058" t="str">
            <v>Huddersfield</v>
          </cell>
          <cell r="M1058" t="str">
            <v>West Yorkshire</v>
          </cell>
          <cell r="N1058" t="str">
            <v>HD3 3NE</v>
          </cell>
          <cell r="O1058" t="str">
            <v>head.lindleyinf@kirklees-schools.org.uk</v>
          </cell>
        </row>
        <row r="1059">
          <cell r="A1059">
            <v>8504168</v>
          </cell>
          <cell r="B1059">
            <v>116434</v>
          </cell>
          <cell r="C1059">
            <v>850</v>
          </cell>
          <cell r="D1059" t="str">
            <v>Hampshire</v>
          </cell>
          <cell r="E1059">
            <v>4168</v>
          </cell>
          <cell r="F1059" t="str">
            <v>Gabriela Grimley</v>
          </cell>
          <cell r="G1059" t="str">
            <v>Hounsdown School</v>
          </cell>
          <cell r="H1059" t="str">
            <v>South East</v>
          </cell>
          <cell r="I1059" t="str">
            <v>Jacobs Gutter Lane</v>
          </cell>
          <cell r="J1059" t="str">
            <v>Totton</v>
          </cell>
          <cell r="L1059" t="str">
            <v>Southampton</v>
          </cell>
          <cell r="M1059" t="str">
            <v>Hampshire</v>
          </cell>
          <cell r="N1059" t="str">
            <v>SO40 9FT</v>
          </cell>
          <cell r="O1059" t="str">
            <v>JE.Turvey@hounsdown.hants.sch.uk</v>
          </cell>
          <cell r="P1059">
            <v>40634</v>
          </cell>
        </row>
        <row r="1060">
          <cell r="A1060">
            <v>9093556</v>
          </cell>
          <cell r="B1060">
            <v>112360</v>
          </cell>
          <cell r="C1060">
            <v>909</v>
          </cell>
          <cell r="D1060" t="str">
            <v>Cumbria</v>
          </cell>
          <cell r="E1060">
            <v>3556</v>
          </cell>
          <cell r="F1060" t="str">
            <v>Jane McCusker</v>
          </cell>
          <cell r="G1060" t="str">
            <v>Penny Bridge CofE School</v>
          </cell>
          <cell r="H1060" t="str">
            <v>North West</v>
          </cell>
          <cell r="I1060" t="str">
            <v>Greenodd</v>
          </cell>
          <cell r="L1060" t="str">
            <v>Ulverston</v>
          </cell>
          <cell r="M1060" t="str">
            <v>Cumbria</v>
          </cell>
          <cell r="N1060" t="str">
            <v>LA12 7RQ</v>
          </cell>
          <cell r="O1060" t="str">
            <v>head@pennybridge.cumbria.sch.uk</v>
          </cell>
        </row>
        <row r="1061">
          <cell r="A1061">
            <v>9282110</v>
          </cell>
          <cell r="B1061">
            <v>121878</v>
          </cell>
          <cell r="C1061">
            <v>928</v>
          </cell>
          <cell r="D1061" t="str">
            <v>Northamptonshire</v>
          </cell>
          <cell r="E1061">
            <v>2110</v>
          </cell>
          <cell r="F1061" t="str">
            <v>Stephen Standret</v>
          </cell>
          <cell r="G1061" t="str">
            <v>Exeter Primary School</v>
          </cell>
          <cell r="H1061" t="str">
            <v>East Midlands</v>
          </cell>
          <cell r="I1061" t="str">
            <v>Brayford Avenue</v>
          </cell>
          <cell r="L1061" t="str">
            <v>Corby</v>
          </cell>
          <cell r="M1061" t="str">
            <v>Northamptonshire</v>
          </cell>
          <cell r="N1061" t="str">
            <v>NN18 8DL</v>
          </cell>
        </row>
        <row r="1062">
          <cell r="A1062">
            <v>8715200</v>
          </cell>
          <cell r="B1062">
            <v>110088</v>
          </cell>
          <cell r="C1062">
            <v>871</v>
          </cell>
          <cell r="D1062" t="str">
            <v>Slough</v>
          </cell>
          <cell r="E1062">
            <v>5200</v>
          </cell>
          <cell r="F1062" t="str">
            <v>Lindsay Morris</v>
          </cell>
          <cell r="G1062" t="str">
            <v>Cippenham Primary School</v>
          </cell>
          <cell r="H1062" t="str">
            <v>South East</v>
          </cell>
          <cell r="I1062" t="str">
            <v>Elmshott Lane</v>
          </cell>
          <cell r="J1062" t="str">
            <v>Cippenham</v>
          </cell>
          <cell r="L1062" t="str">
            <v>Slough</v>
          </cell>
          <cell r="M1062" t="str">
            <v>Berkshire</v>
          </cell>
          <cell r="N1062" t="str">
            <v>SL1 5RB</v>
          </cell>
          <cell r="O1062" t="str">
            <v>nwillis@cippenham-pri.slough.sch.uk</v>
          </cell>
          <cell r="P1062">
            <v>40910</v>
          </cell>
        </row>
        <row r="1063">
          <cell r="A1063">
            <v>3134600</v>
          </cell>
          <cell r="B1063">
            <v>102542</v>
          </cell>
          <cell r="C1063">
            <v>313</v>
          </cell>
          <cell r="D1063" t="str">
            <v>Hounslow</v>
          </cell>
          <cell r="E1063">
            <v>4600</v>
          </cell>
          <cell r="F1063" t="str">
            <v>Sheila Longstaff</v>
          </cell>
          <cell r="G1063" t="str">
            <v>The Green School</v>
          </cell>
          <cell r="H1063" t="str">
            <v>London</v>
          </cell>
          <cell r="I1063" t="str">
            <v>Busch Corner</v>
          </cell>
          <cell r="L1063" t="str">
            <v>Isleworth</v>
          </cell>
          <cell r="N1063" t="str">
            <v>TW7 5BB</v>
          </cell>
          <cell r="O1063" t="str">
            <v>pam.butterfield@thegreenschool.net</v>
          </cell>
        </row>
        <row r="1064">
          <cell r="A1064">
            <v>8815468</v>
          </cell>
          <cell r="B1064">
            <v>115384</v>
          </cell>
          <cell r="C1064">
            <v>881</v>
          </cell>
          <cell r="D1064" t="str">
            <v>Essex</v>
          </cell>
          <cell r="E1064">
            <v>5468</v>
          </cell>
          <cell r="F1064" t="str">
            <v>Beverley Samuel</v>
          </cell>
          <cell r="G1064" t="str">
            <v>The Billericay School</v>
          </cell>
          <cell r="H1064" t="str">
            <v>East of England</v>
          </cell>
          <cell r="I1064" t="str">
            <v>School Road</v>
          </cell>
          <cell r="L1064" t="str">
            <v>Billericay</v>
          </cell>
          <cell r="M1064" t="str">
            <v>Essex</v>
          </cell>
          <cell r="N1064" t="str">
            <v>CM12 9LH</v>
          </cell>
          <cell r="O1064" t="str">
            <v>shammond@billericay.essex.sch.uk</v>
          </cell>
          <cell r="P1064">
            <v>40631</v>
          </cell>
        </row>
        <row r="1065">
          <cell r="A1065">
            <v>9367014</v>
          </cell>
          <cell r="B1065">
            <v>125458</v>
          </cell>
          <cell r="C1065">
            <v>936</v>
          </cell>
          <cell r="D1065" t="str">
            <v>Surrey</v>
          </cell>
          <cell r="E1065">
            <v>7014</v>
          </cell>
          <cell r="F1065" t="str">
            <v>Not yet assigned</v>
          </cell>
          <cell r="G1065" t="str">
            <v>Sunnydown School</v>
          </cell>
          <cell r="H1065" t="str">
            <v>South East</v>
          </cell>
          <cell r="I1065" t="str">
            <v>Portley House</v>
          </cell>
          <cell r="J1065" t="str">
            <v>152 Whyteleafe Road</v>
          </cell>
          <cell r="L1065" t="str">
            <v>Caterham</v>
          </cell>
          <cell r="M1065" t="str">
            <v>Surrey</v>
          </cell>
          <cell r="N1065" t="str">
            <v>CR3 5ED</v>
          </cell>
          <cell r="O1065" t="str">
            <v>head@sunnydown.surrey.sch.uk</v>
          </cell>
        </row>
        <row r="1066">
          <cell r="A1066">
            <v>9352920</v>
          </cell>
          <cell r="B1066">
            <v>124677</v>
          </cell>
          <cell r="C1066">
            <v>935</v>
          </cell>
          <cell r="D1066" t="str">
            <v>Suffolk</v>
          </cell>
          <cell r="E1066">
            <v>2920</v>
          </cell>
          <cell r="F1066" t="str">
            <v>Joe Farrell</v>
          </cell>
          <cell r="G1066" t="str">
            <v>Gunton Community Primary School</v>
          </cell>
          <cell r="H1066" t="str">
            <v>East of England</v>
          </cell>
          <cell r="I1066" t="str">
            <v>Gainsborough Drive</v>
          </cell>
          <cell r="L1066" t="str">
            <v>Lowestoft</v>
          </cell>
          <cell r="M1066" t="str">
            <v>Suffolk</v>
          </cell>
          <cell r="N1066" t="str">
            <v>NR32 4LX</v>
          </cell>
          <cell r="O1066" t="str">
            <v>ht.guntonprimary@yahoo.co.uk</v>
          </cell>
        </row>
        <row r="1067">
          <cell r="A1067">
            <v>8884030</v>
          </cell>
          <cell r="B1067">
            <v>119722</v>
          </cell>
          <cell r="C1067">
            <v>888</v>
          </cell>
          <cell r="D1067" t="str">
            <v>Lancashire</v>
          </cell>
          <cell r="E1067">
            <v>4030</v>
          </cell>
          <cell r="F1067" t="str">
            <v>Viv Clutton</v>
          </cell>
          <cell r="G1067" t="str">
            <v>Alder Grange Community and Technology School</v>
          </cell>
          <cell r="H1067" t="str">
            <v>North West</v>
          </cell>
          <cell r="I1067" t="str">
            <v>Calder Road</v>
          </cell>
          <cell r="J1067" t="str">
            <v>Rawtenstall</v>
          </cell>
          <cell r="L1067" t="str">
            <v>Rossendale</v>
          </cell>
          <cell r="M1067" t="str">
            <v>Lancashire</v>
          </cell>
          <cell r="N1067" t="str">
            <v>BB4 8HW</v>
          </cell>
          <cell r="O1067" t="str">
            <v xml:space="preserve"> ihulland@aldergrange.lancs.sch.uk</v>
          </cell>
        </row>
        <row r="1068">
          <cell r="A1068">
            <v>8212249</v>
          </cell>
          <cell r="B1068">
            <v>109557</v>
          </cell>
          <cell r="C1068">
            <v>821</v>
          </cell>
          <cell r="D1068" t="str">
            <v>Luton</v>
          </cell>
          <cell r="E1068">
            <v>2249</v>
          </cell>
          <cell r="F1068" t="str">
            <v>Shreena Patel</v>
          </cell>
          <cell r="G1068" t="str">
            <v>Tennyson Road Primary School</v>
          </cell>
          <cell r="H1068" t="str">
            <v>East of England</v>
          </cell>
          <cell r="I1068" t="str">
            <v>Tennyson Road</v>
          </cell>
          <cell r="L1068" t="str">
            <v>Luton</v>
          </cell>
          <cell r="M1068" t="str">
            <v>Bedfordshire</v>
          </cell>
          <cell r="N1068" t="str">
            <v>LU1 3RS</v>
          </cell>
          <cell r="O1068" t="str">
            <v>tennyson.road.primary.head@luton.gov.uk</v>
          </cell>
        </row>
        <row r="1069">
          <cell r="A1069">
            <v>8887092</v>
          </cell>
          <cell r="B1069">
            <v>119891</v>
          </cell>
          <cell r="C1069">
            <v>888</v>
          </cell>
          <cell r="D1069" t="str">
            <v>Lancashire</v>
          </cell>
          <cell r="E1069">
            <v>7092</v>
          </cell>
          <cell r="F1069" t="str">
            <v>Viv Clutton</v>
          </cell>
          <cell r="G1069" t="str">
            <v>Tor View School</v>
          </cell>
          <cell r="H1069" t="str">
            <v>North West</v>
          </cell>
          <cell r="I1069" t="str">
            <v>Clod Lane</v>
          </cell>
          <cell r="J1069" t="str">
            <v>Haslingden</v>
          </cell>
          <cell r="L1069" t="str">
            <v>Rossendale</v>
          </cell>
          <cell r="M1069" t="str">
            <v>Lancashire</v>
          </cell>
          <cell r="N1069" t="str">
            <v>BB4 6LR</v>
          </cell>
          <cell r="O1069" t="str">
            <v>head@torview.lancs.sch.uk</v>
          </cell>
        </row>
        <row r="1070">
          <cell r="A1070">
            <v>8742288</v>
          </cell>
          <cell r="B1070">
            <v>110732</v>
          </cell>
          <cell r="C1070">
            <v>874</v>
          </cell>
          <cell r="D1070" t="str">
            <v>Peterborough</v>
          </cell>
          <cell r="E1070">
            <v>2288</v>
          </cell>
          <cell r="F1070" t="str">
            <v>Claire Ivie</v>
          </cell>
          <cell r="G1070" t="str">
            <v>Bishop Creighton Primary School</v>
          </cell>
          <cell r="H1070" t="str">
            <v>East of England</v>
          </cell>
          <cell r="I1070" t="str">
            <v>Vineyard Road</v>
          </cell>
          <cell r="L1070" t="str">
            <v>Peterborough</v>
          </cell>
          <cell r="M1070" t="str">
            <v>Cambridgeshire</v>
          </cell>
          <cell r="N1070" t="str">
            <v>PE1 5DB</v>
          </cell>
          <cell r="O1070" t="str">
            <v>karenroofe@bishopcreighton.peterborough.sch.uk</v>
          </cell>
          <cell r="P1070">
            <v>40480</v>
          </cell>
        </row>
        <row r="1071">
          <cell r="A1071">
            <v>8815459</v>
          </cell>
          <cell r="B1071">
            <v>115375</v>
          </cell>
          <cell r="C1071">
            <v>881</v>
          </cell>
          <cell r="D1071" t="str">
            <v>Essex</v>
          </cell>
          <cell r="E1071">
            <v>5459</v>
          </cell>
          <cell r="F1071" t="str">
            <v>Joe Farrell</v>
          </cell>
          <cell r="G1071" t="str">
            <v>Brentwood County High School</v>
          </cell>
          <cell r="H1071" t="str">
            <v>East of England</v>
          </cell>
          <cell r="I1071" t="str">
            <v>Shenfield Common</v>
          </cell>
          <cell r="L1071" t="str">
            <v>Brentwood</v>
          </cell>
          <cell r="M1071" t="str">
            <v>Essex</v>
          </cell>
          <cell r="N1071" t="str">
            <v>CM14 4JF</v>
          </cell>
        </row>
        <row r="1072">
          <cell r="A1072">
            <v>8265207</v>
          </cell>
          <cell r="B1072">
            <v>110525</v>
          </cell>
          <cell r="C1072">
            <v>826</v>
          </cell>
          <cell r="D1072" t="str">
            <v>Milton Keynes</v>
          </cell>
          <cell r="E1072">
            <v>5207</v>
          </cell>
          <cell r="F1072" t="str">
            <v>Sarah Nairne</v>
          </cell>
          <cell r="G1072" t="str">
            <v>Two Mile Ash School</v>
          </cell>
          <cell r="H1072" t="str">
            <v>South East</v>
          </cell>
          <cell r="I1072" t="str">
            <v>The High Street</v>
          </cell>
          <cell r="J1072" t="str">
            <v>Two Mile Ash</v>
          </cell>
          <cell r="L1072" t="str">
            <v>Milton Keynes</v>
          </cell>
          <cell r="M1072" t="str">
            <v>Buckinghamshire</v>
          </cell>
          <cell r="N1072" t="str">
            <v>MK8 8LH</v>
          </cell>
          <cell r="O1072" t="str">
            <v>sforbes@tma.bucks.sch.uk</v>
          </cell>
          <cell r="P1072">
            <v>40651</v>
          </cell>
        </row>
        <row r="1073">
          <cell r="A1073">
            <v>8304167</v>
          </cell>
          <cell r="B1073">
            <v>112945</v>
          </cell>
          <cell r="C1073">
            <v>830</v>
          </cell>
          <cell r="D1073" t="str">
            <v>Derbyshire</v>
          </cell>
          <cell r="E1073">
            <v>4167</v>
          </cell>
          <cell r="F1073" t="str">
            <v>Jenny Baker</v>
          </cell>
          <cell r="G1073" t="str">
            <v>Ilkeston School: Specialist Arts College</v>
          </cell>
          <cell r="H1073" t="str">
            <v>East Midlands</v>
          </cell>
          <cell r="I1073" t="str">
            <v>King George Avenue</v>
          </cell>
          <cell r="L1073" t="str">
            <v>Ilkeston</v>
          </cell>
          <cell r="M1073" t="str">
            <v>Derbyshire</v>
          </cell>
          <cell r="N1073" t="str">
            <v>DE7 5HS</v>
          </cell>
          <cell r="O1073" t="str">
            <v>steve.daniels@ilkeston.derbyshire.sch.uk</v>
          </cell>
          <cell r="P1073">
            <v>40632</v>
          </cell>
        </row>
        <row r="1074">
          <cell r="A1074">
            <v>8404280</v>
          </cell>
          <cell r="B1074">
            <v>114318</v>
          </cell>
          <cell r="C1074">
            <v>840</v>
          </cell>
          <cell r="D1074" t="str">
            <v>Durham</v>
          </cell>
          <cell r="E1074">
            <v>4280</v>
          </cell>
          <cell r="F1074" t="str">
            <v>Bev Mullin</v>
          </cell>
          <cell r="G1074" t="str">
            <v>Easington Community Science College</v>
          </cell>
          <cell r="H1074" t="str">
            <v>North East</v>
          </cell>
          <cell r="I1074" t="str">
            <v>Stockton Road</v>
          </cell>
          <cell r="J1074" t="str">
            <v>Easington Village</v>
          </cell>
          <cell r="L1074" t="str">
            <v>Peterlee</v>
          </cell>
          <cell r="M1074" t="str">
            <v>County Durham</v>
          </cell>
          <cell r="N1074" t="str">
            <v>SR8 3AY</v>
          </cell>
          <cell r="O1074" t="str">
            <v>t.spoors@easingtoncsc.net</v>
          </cell>
          <cell r="P1074">
            <v>40843</v>
          </cell>
        </row>
        <row r="1075">
          <cell r="A1075">
            <v>3802185</v>
          </cell>
          <cell r="B1075">
            <v>107296</v>
          </cell>
          <cell r="C1075">
            <v>380</v>
          </cell>
          <cell r="D1075" t="str">
            <v>Bradford</v>
          </cell>
          <cell r="E1075">
            <v>2185</v>
          </cell>
          <cell r="F1075" t="str">
            <v>Glyn Newton</v>
          </cell>
          <cell r="G1075" t="str">
            <v>Miriam Lord Community Primary School</v>
          </cell>
          <cell r="H1075" t="str">
            <v>Yorkshire and the Humber</v>
          </cell>
          <cell r="I1075" t="str">
            <v>Bavaria Place</v>
          </cell>
          <cell r="J1075" t="str">
            <v>Manningham</v>
          </cell>
          <cell r="L1075" t="str">
            <v>Bradford</v>
          </cell>
          <cell r="M1075" t="str">
            <v>West Yorkshire</v>
          </cell>
          <cell r="N1075" t="str">
            <v>BD8 8RG</v>
          </cell>
          <cell r="O1075" t="str">
            <v>bryanharrison@live.co.uk</v>
          </cell>
        </row>
        <row r="1076">
          <cell r="A1076">
            <v>8553072</v>
          </cell>
          <cell r="B1076">
            <v>120154</v>
          </cell>
          <cell r="C1076">
            <v>855</v>
          </cell>
          <cell r="D1076" t="str">
            <v>Leicestershire</v>
          </cell>
          <cell r="E1076">
            <v>3072</v>
          </cell>
          <cell r="F1076" t="str">
            <v>Sue Harp</v>
          </cell>
          <cell r="G1076" t="str">
            <v>Redmile Church of England Primary School</v>
          </cell>
          <cell r="H1076" t="str">
            <v>East Midlands</v>
          </cell>
          <cell r="I1076" t="str">
            <v>Belvoir street</v>
          </cell>
          <cell r="J1076" t="str">
            <v>Redmile</v>
          </cell>
          <cell r="L1076" t="str">
            <v>Nottingham</v>
          </cell>
          <cell r="M1076" t="str">
            <v>Nottinghamshire</v>
          </cell>
          <cell r="N1076" t="str">
            <v>NG13 0GL</v>
          </cell>
          <cell r="O1076" t="str">
            <v>jhopkins@redmile.leics.sch.uk</v>
          </cell>
        </row>
        <row r="1077">
          <cell r="A1077">
            <v>8413132</v>
          </cell>
          <cell r="B1077">
            <v>114223</v>
          </cell>
          <cell r="C1077">
            <v>841</v>
          </cell>
          <cell r="D1077" t="str">
            <v>Darlington</v>
          </cell>
          <cell r="E1077">
            <v>3132</v>
          </cell>
          <cell r="F1077" t="str">
            <v>Lisa Sargeant</v>
          </cell>
          <cell r="G1077" t="str">
            <v>Heighington Church of England Primary School</v>
          </cell>
          <cell r="H1077" t="str">
            <v>North East</v>
          </cell>
          <cell r="I1077" t="str">
            <v>Hopelands</v>
          </cell>
          <cell r="J1077" t="str">
            <v>Heighington</v>
          </cell>
          <cell r="L1077" t="str">
            <v>Newton Aycliffe</v>
          </cell>
          <cell r="M1077" t="str">
            <v>County Durham</v>
          </cell>
          <cell r="N1077" t="str">
            <v>DL5 6PH</v>
          </cell>
          <cell r="O1077" t="str">
            <v>headteacher@brandh.darlington.sch.uk</v>
          </cell>
          <cell r="P1077">
            <v>40560</v>
          </cell>
        </row>
        <row r="1078">
          <cell r="A1078">
            <v>3114000</v>
          </cell>
          <cell r="B1078">
            <v>102337</v>
          </cell>
          <cell r="C1078">
            <v>311</v>
          </cell>
          <cell r="D1078" t="str">
            <v>Havering</v>
          </cell>
          <cell r="E1078">
            <v>4000</v>
          </cell>
          <cell r="F1078" t="str">
            <v>Tahir Shams</v>
          </cell>
          <cell r="G1078" t="str">
            <v>Hall Mead School</v>
          </cell>
          <cell r="H1078" t="str">
            <v>London</v>
          </cell>
          <cell r="I1078" t="str">
            <v>Marlborough Gardens</v>
          </cell>
          <cell r="L1078" t="str">
            <v>Upminster</v>
          </cell>
          <cell r="M1078" t="str">
            <v>Essex</v>
          </cell>
          <cell r="N1078" t="str">
            <v>RM14 1SF</v>
          </cell>
          <cell r="O1078" t="str">
            <v>slondon@hallmeadschool.com</v>
          </cell>
          <cell r="P1078">
            <v>40625</v>
          </cell>
        </row>
        <row r="1079">
          <cell r="A1079">
            <v>3844027</v>
          </cell>
          <cell r="B1079">
            <v>108279</v>
          </cell>
          <cell r="C1079">
            <v>384</v>
          </cell>
          <cell r="D1079" t="str">
            <v>Wakefield</v>
          </cell>
          <cell r="E1079">
            <v>4027</v>
          </cell>
          <cell r="F1079" t="str">
            <v>Jayne Turner</v>
          </cell>
          <cell r="G1079" t="str">
            <v>Carleton Community High School A Specialist Science College</v>
          </cell>
          <cell r="H1079" t="str">
            <v>Yorkshire and the Humber</v>
          </cell>
          <cell r="I1079" t="str">
            <v>Green Lane</v>
          </cell>
          <cell r="J1079" t="str">
            <v>Carleton</v>
          </cell>
          <cell r="L1079" t="str">
            <v>Pontefract</v>
          </cell>
          <cell r="M1079" t="str">
            <v>West Yorkshire</v>
          </cell>
          <cell r="N1079" t="str">
            <v>WF8 3NW</v>
          </cell>
          <cell r="P1079">
            <v>41176</v>
          </cell>
        </row>
        <row r="1080">
          <cell r="A1080">
            <v>8862679</v>
          </cell>
          <cell r="B1080">
            <v>118589</v>
          </cell>
          <cell r="C1080">
            <v>886</v>
          </cell>
          <cell r="D1080" t="str">
            <v>Kent</v>
          </cell>
          <cell r="E1080">
            <v>2679</v>
          </cell>
          <cell r="F1080" t="str">
            <v>Tony Dunne</v>
          </cell>
          <cell r="G1080" t="str">
            <v>The Brent Primary School</v>
          </cell>
          <cell r="H1080" t="str">
            <v>South East</v>
          </cell>
          <cell r="I1080" t="str">
            <v>London Road</v>
          </cell>
          <cell r="J1080" t="str">
            <v>Stone</v>
          </cell>
          <cell r="L1080" t="str">
            <v>Dartford</v>
          </cell>
          <cell r="M1080" t="str">
            <v>Kent</v>
          </cell>
          <cell r="N1080" t="str">
            <v>DA2 6BA</v>
          </cell>
          <cell r="O1080" t="str">
            <v>Headteacher@brent.kent.sch.uk</v>
          </cell>
        </row>
        <row r="1081">
          <cell r="A1081">
            <v>3522040</v>
          </cell>
          <cell r="B1081">
            <v>105398</v>
          </cell>
          <cell r="C1081">
            <v>352</v>
          </cell>
          <cell r="D1081" t="str">
            <v>Manchester</v>
          </cell>
          <cell r="E1081">
            <v>2040</v>
          </cell>
          <cell r="F1081" t="str">
            <v>Viv Clutton</v>
          </cell>
          <cell r="G1081" t="str">
            <v>Briscoe Lane Primary School</v>
          </cell>
          <cell r="H1081" t="str">
            <v>North West</v>
          </cell>
          <cell r="I1081" t="str">
            <v>Briscoe Lane</v>
          </cell>
          <cell r="J1081" t="str">
            <v>Newton Heath</v>
          </cell>
          <cell r="L1081" t="str">
            <v>Manchester</v>
          </cell>
          <cell r="N1081" t="str">
            <v>M40 2TB</v>
          </cell>
          <cell r="O1081" t="str">
            <v>head@briscoe.manchester.sch.uk</v>
          </cell>
          <cell r="P1081">
            <v>40928</v>
          </cell>
        </row>
        <row r="1082">
          <cell r="A1082">
            <v>8865440</v>
          </cell>
          <cell r="B1082">
            <v>118912</v>
          </cell>
          <cell r="C1082">
            <v>886</v>
          </cell>
          <cell r="D1082" t="str">
            <v>Kent</v>
          </cell>
          <cell r="E1082">
            <v>5440</v>
          </cell>
          <cell r="G1082" t="str">
            <v>St Edmund's Catholic School</v>
          </cell>
          <cell r="H1082" t="str">
            <v>South East</v>
          </cell>
          <cell r="I1082" t="str">
            <v>Old Charlton Road</v>
          </cell>
          <cell r="L1082" t="str">
            <v>Dover</v>
          </cell>
          <cell r="M1082" t="str">
            <v>Kent</v>
          </cell>
          <cell r="N1082" t="str">
            <v>CT16 2QB</v>
          </cell>
          <cell r="O1082" t="str">
            <v>chrisjatkin@st-edmunds-dover.kent.sch.uk</v>
          </cell>
        </row>
        <row r="1083">
          <cell r="A1083">
            <v>8703304</v>
          </cell>
          <cell r="B1083">
            <v>110004</v>
          </cell>
          <cell r="C1083">
            <v>870</v>
          </cell>
          <cell r="D1083" t="str">
            <v>Reading</v>
          </cell>
          <cell r="E1083">
            <v>3304</v>
          </cell>
          <cell r="F1083" t="str">
            <v>Darren Francis</v>
          </cell>
          <cell r="G1083" t="str">
            <v>English Martyrs' Catholic Primary School</v>
          </cell>
          <cell r="H1083" t="str">
            <v>South East</v>
          </cell>
          <cell r="I1083" t="str">
            <v>Dee Road</v>
          </cell>
          <cell r="J1083" t="str">
            <v>Tilehurst</v>
          </cell>
          <cell r="L1083" t="str">
            <v>Reading</v>
          </cell>
          <cell r="M1083" t="str">
            <v>Berkshire</v>
          </cell>
          <cell r="N1083" t="str">
            <v>RG30 4BE</v>
          </cell>
          <cell r="O1083" t="str">
            <v>head.englishmartyrs@reading.gov.uk</v>
          </cell>
        </row>
        <row r="1084">
          <cell r="A1084">
            <v>9252208</v>
          </cell>
          <cell r="B1084">
            <v>120490</v>
          </cell>
          <cell r="C1084">
            <v>925</v>
          </cell>
          <cell r="D1084" t="str">
            <v>Lincolnshire</v>
          </cell>
          <cell r="E1084">
            <v>2208</v>
          </cell>
          <cell r="F1084" t="str">
            <v>Pauline Cole</v>
          </cell>
          <cell r="G1084" t="str">
            <v>The Gainsborough Hillcrest Community Infant and Nursery School</v>
          </cell>
          <cell r="H1084" t="str">
            <v>East Midlands</v>
          </cell>
          <cell r="I1084" t="str">
            <v>Heapham Road</v>
          </cell>
          <cell r="L1084" t="str">
            <v>Gainsborough</v>
          </cell>
          <cell r="M1084" t="str">
            <v>Lincolnshire</v>
          </cell>
          <cell r="N1084" t="str">
            <v>DN21 1SW</v>
          </cell>
          <cell r="O1084" t="str">
            <v>enquiries@hillcrest.lincs.sch.uk</v>
          </cell>
          <cell r="P1084">
            <v>40941</v>
          </cell>
        </row>
        <row r="1085">
          <cell r="A1085">
            <v>2057014</v>
          </cell>
          <cell r="B1085">
            <v>100378</v>
          </cell>
          <cell r="C1085">
            <v>205</v>
          </cell>
          <cell r="D1085" t="str">
            <v>Hammersmith and Fulham</v>
          </cell>
          <cell r="E1085">
            <v>7014</v>
          </cell>
          <cell r="F1085" t="str">
            <v>Martin Rowley</v>
          </cell>
          <cell r="G1085" t="str">
            <v>Queensmill School</v>
          </cell>
          <cell r="H1085" t="str">
            <v>London</v>
          </cell>
          <cell r="I1085" t="str">
            <v>Clancarty Road</v>
          </cell>
          <cell r="J1085" t="str">
            <v>Fulham</v>
          </cell>
          <cell r="L1085" t="str">
            <v>London</v>
          </cell>
          <cell r="N1085" t="str">
            <v>SW6 3AA</v>
          </cell>
          <cell r="O1085" t="str">
            <v>head@queensmill.lbhf.sch.uk</v>
          </cell>
        </row>
        <row r="1086">
          <cell r="A1086">
            <v>8504187</v>
          </cell>
          <cell r="B1086">
            <v>116444</v>
          </cell>
          <cell r="C1086">
            <v>850</v>
          </cell>
          <cell r="D1086" t="str">
            <v>Hampshire</v>
          </cell>
          <cell r="E1086">
            <v>4187</v>
          </cell>
          <cell r="F1086" t="str">
            <v>Amanda Barrett</v>
          </cell>
          <cell r="G1086" t="str">
            <v>Fort Hill Community School</v>
          </cell>
          <cell r="H1086" t="str">
            <v>South East</v>
          </cell>
          <cell r="I1086" t="str">
            <v>Kenilworth Road</v>
          </cell>
          <cell r="J1086" t="str">
            <v>Winklebury</v>
          </cell>
          <cell r="L1086" t="str">
            <v>Basingstoke</v>
          </cell>
          <cell r="M1086" t="str">
            <v>Hampshire</v>
          </cell>
          <cell r="N1086" t="str">
            <v>RG23 8JQ</v>
          </cell>
          <cell r="O1086" t="str">
            <v>headteacher@forthill.hants.sch.uk</v>
          </cell>
        </row>
        <row r="1087">
          <cell r="A1087">
            <v>9354004</v>
          </cell>
          <cell r="B1087">
            <v>124788</v>
          </cell>
          <cell r="C1087">
            <v>935</v>
          </cell>
          <cell r="D1087" t="str">
            <v>Suffolk</v>
          </cell>
          <cell r="E1087">
            <v>4004</v>
          </cell>
          <cell r="F1087" t="str">
            <v>Stella Aina</v>
          </cell>
          <cell r="G1087" t="str">
            <v>Castle Manor Business and Enterprise College</v>
          </cell>
          <cell r="H1087" t="str">
            <v>East of England</v>
          </cell>
          <cell r="I1087" t="str">
            <v>Eastern Avenue</v>
          </cell>
          <cell r="L1087" t="str">
            <v>Haverhill</v>
          </cell>
          <cell r="M1087" t="str">
            <v>Suffolk</v>
          </cell>
          <cell r="N1087" t="str">
            <v>CB9 9JE</v>
          </cell>
          <cell r="O1087" t="str">
            <v>mvigar@castlepartnership.org.uk</v>
          </cell>
          <cell r="P1087">
            <v>40590</v>
          </cell>
        </row>
        <row r="1088">
          <cell r="A1088">
            <v>3902058</v>
          </cell>
          <cell r="B1088">
            <v>108334</v>
          </cell>
          <cell r="C1088">
            <v>390</v>
          </cell>
          <cell r="D1088" t="str">
            <v>Gateshead</v>
          </cell>
          <cell r="E1088">
            <v>2058</v>
          </cell>
          <cell r="F1088" t="str">
            <v>June Laughton</v>
          </cell>
          <cell r="G1088" t="str">
            <v>Kibblesworth Primary School</v>
          </cell>
          <cell r="H1088" t="str">
            <v>North East</v>
          </cell>
          <cell r="I1088" t="str">
            <v>West View</v>
          </cell>
          <cell r="J1088" t="str">
            <v>Kibblesworth</v>
          </cell>
          <cell r="L1088" t="str">
            <v>Gateshead</v>
          </cell>
          <cell r="M1088" t="str">
            <v>Tyne and Wear</v>
          </cell>
          <cell r="N1088" t="str">
            <v>NE11 0XP</v>
          </cell>
          <cell r="O1088" t="str">
            <v>KevinDodd@Gateshead.Gov.UK</v>
          </cell>
          <cell r="P1088">
            <v>40917</v>
          </cell>
        </row>
        <row r="1089">
          <cell r="A1089">
            <v>9334451</v>
          </cell>
          <cell r="B1089">
            <v>123890</v>
          </cell>
          <cell r="C1089">
            <v>933</v>
          </cell>
          <cell r="D1089" t="str">
            <v>Somerset</v>
          </cell>
          <cell r="E1089">
            <v>4451</v>
          </cell>
          <cell r="F1089" t="str">
            <v>Niko Thomas</v>
          </cell>
          <cell r="G1089" t="str">
            <v>Bucklers Mead Community School</v>
          </cell>
          <cell r="H1089" t="str">
            <v>South West</v>
          </cell>
          <cell r="I1089" t="str">
            <v>St John's Road</v>
          </cell>
          <cell r="L1089" t="str">
            <v>Yeovil</v>
          </cell>
          <cell r="M1089" t="str">
            <v>Somerset</v>
          </cell>
          <cell r="N1089" t="str">
            <v>BA21 4NH</v>
          </cell>
          <cell r="O1089" t="str">
            <v>MFeatherstone@educ.somerset.gov.uk</v>
          </cell>
          <cell r="P1089">
            <v>40625</v>
          </cell>
        </row>
        <row r="1090">
          <cell r="A1090">
            <v>3914430</v>
          </cell>
          <cell r="B1090">
            <v>108524</v>
          </cell>
          <cell r="C1090">
            <v>391</v>
          </cell>
          <cell r="D1090" t="str">
            <v>Newcastle upon Tyne</v>
          </cell>
          <cell r="E1090">
            <v>4430</v>
          </cell>
          <cell r="F1090" t="str">
            <v>Lisa Sargeant</v>
          </cell>
          <cell r="G1090" t="str">
            <v>Walbottle Campus Technology College</v>
          </cell>
          <cell r="H1090" t="str">
            <v>North East</v>
          </cell>
          <cell r="I1090" t="str">
            <v>Hexham Road</v>
          </cell>
          <cell r="J1090" t="str">
            <v>Walbottle</v>
          </cell>
          <cell r="L1090" t="str">
            <v>Newcastle-upon-Tyne</v>
          </cell>
          <cell r="M1090" t="str">
            <v>Tyne and Wear</v>
          </cell>
          <cell r="N1090" t="str">
            <v>NE15 9TP</v>
          </cell>
          <cell r="O1090" t="str">
            <v>paul.sampson@walbottlecampus.newcastle.sch.uk</v>
          </cell>
        </row>
        <row r="1091">
          <cell r="A1091">
            <v>3144004</v>
          </cell>
          <cell r="B1091">
            <v>102598</v>
          </cell>
          <cell r="C1091">
            <v>314</v>
          </cell>
          <cell r="D1091" t="str">
            <v>Kingston upon Thames</v>
          </cell>
          <cell r="E1091">
            <v>4004</v>
          </cell>
          <cell r="F1091" t="str">
            <v>Helen Barry</v>
          </cell>
          <cell r="G1091" t="str">
            <v>Coombe Girls' School</v>
          </cell>
          <cell r="H1091" t="str">
            <v>London</v>
          </cell>
          <cell r="I1091" t="str">
            <v>Clarence Avenue</v>
          </cell>
          <cell r="L1091" t="str">
            <v>New Malden</v>
          </cell>
          <cell r="M1091" t="str">
            <v>Surrey</v>
          </cell>
          <cell r="N1091" t="str">
            <v>KT3 3TU</v>
          </cell>
          <cell r="O1091" t="str">
            <v>deborah.walls@coombe.rbksch.org</v>
          </cell>
          <cell r="P1091">
            <v>40809</v>
          </cell>
        </row>
        <row r="1092">
          <cell r="A1092">
            <v>9084173</v>
          </cell>
          <cell r="B1092">
            <v>112067</v>
          </cell>
          <cell r="C1092">
            <v>908</v>
          </cell>
          <cell r="D1092" t="str">
            <v>Cornwall</v>
          </cell>
          <cell r="E1092">
            <v>4173</v>
          </cell>
          <cell r="F1092" t="str">
            <v>Not yet assigned</v>
          </cell>
          <cell r="G1092" t="str">
            <v>Humphry Davy School</v>
          </cell>
          <cell r="H1092" t="str">
            <v>South West</v>
          </cell>
          <cell r="I1092" t="str">
            <v>Coombe Road</v>
          </cell>
          <cell r="L1092" t="str">
            <v>Penzance</v>
          </cell>
          <cell r="M1092" t="str">
            <v>Cornwall</v>
          </cell>
          <cell r="N1092" t="str">
            <v>TR18 2TG</v>
          </cell>
          <cell r="O1092" t="str">
            <v>bmarshall@humphry-davy.cornwall.sch.uk</v>
          </cell>
        </row>
        <row r="1093">
          <cell r="A1093">
            <v>9263423</v>
          </cell>
          <cell r="B1093">
            <v>134957</v>
          </cell>
          <cell r="C1093">
            <v>926</v>
          </cell>
          <cell r="D1093" t="str">
            <v>Norfolk</v>
          </cell>
          <cell r="E1093">
            <v>3423</v>
          </cell>
          <cell r="F1093" t="str">
            <v>Stella Aina</v>
          </cell>
          <cell r="G1093" t="str">
            <v>Heartsease Primary School</v>
          </cell>
          <cell r="H1093" t="str">
            <v>East of England</v>
          </cell>
          <cell r="I1093" t="str">
            <v>Rider Haggard Road</v>
          </cell>
          <cell r="L1093" t="str">
            <v>Norwich</v>
          </cell>
          <cell r="M1093" t="str">
            <v>Norfolk</v>
          </cell>
          <cell r="N1093" t="str">
            <v>NR7 9UE</v>
          </cell>
          <cell r="O1093" t="str">
            <v>head@heartseaseprimary.norfolk.sch.uk</v>
          </cell>
          <cell r="P1093">
            <v>40875</v>
          </cell>
        </row>
        <row r="1094">
          <cell r="A1094">
            <v>9282176</v>
          </cell>
          <cell r="B1094">
            <v>121922</v>
          </cell>
          <cell r="C1094">
            <v>928</v>
          </cell>
          <cell r="D1094" t="str">
            <v>Northamptonshire</v>
          </cell>
          <cell r="E1094">
            <v>2176</v>
          </cell>
          <cell r="F1094" t="str">
            <v>Stephen Standret</v>
          </cell>
          <cell r="G1094" t="str">
            <v>Lyncrest Primary School</v>
          </cell>
          <cell r="H1094" t="str">
            <v>East Midlands</v>
          </cell>
          <cell r="I1094" t="str">
            <v>Lyncrest Avenue</v>
          </cell>
          <cell r="L1094" t="str">
            <v>Northampton</v>
          </cell>
          <cell r="M1094" t="str">
            <v>Northamptonshire</v>
          </cell>
          <cell r="N1094" t="str">
            <v>NN5 5PE</v>
          </cell>
          <cell r="O1094" t="str">
            <v>head@lyncrest.northants-ecl.gov.uk</v>
          </cell>
        </row>
        <row r="1095">
          <cell r="A1095">
            <v>2073613</v>
          </cell>
          <cell r="B1095">
            <v>100500</v>
          </cell>
          <cell r="C1095">
            <v>207</v>
          </cell>
          <cell r="D1095" t="str">
            <v>Kensington and Chelsea</v>
          </cell>
          <cell r="E1095">
            <v>3613</v>
          </cell>
          <cell r="F1095" t="str">
            <v>Tahir Shams</v>
          </cell>
          <cell r="G1095" t="str">
            <v>Servite RC Primary School</v>
          </cell>
          <cell r="H1095" t="str">
            <v>London</v>
          </cell>
          <cell r="I1095" t="str">
            <v>252 Fulham Road</v>
          </cell>
          <cell r="L1095" t="str">
            <v>London</v>
          </cell>
          <cell r="N1095" t="str">
            <v>SW10 9NA</v>
          </cell>
          <cell r="O1095" t="str">
            <v>kahtleen.williams@servite.rbkc.sch.uk</v>
          </cell>
        </row>
        <row r="1096">
          <cell r="A1096">
            <v>8734002</v>
          </cell>
          <cell r="B1096">
            <v>110860</v>
          </cell>
          <cell r="C1096">
            <v>873</v>
          </cell>
          <cell r="D1096" t="str">
            <v>Cambridgeshire</v>
          </cell>
          <cell r="E1096">
            <v>4002</v>
          </cell>
          <cell r="F1096" t="str">
            <v>Yvonne Reddington</v>
          </cell>
          <cell r="G1096" t="str">
            <v>Bottisham Village College</v>
          </cell>
          <cell r="H1096" t="str">
            <v>East of England</v>
          </cell>
          <cell r="I1096" t="str">
            <v>Lode Road</v>
          </cell>
          <cell r="J1096" t="str">
            <v>Bottisham</v>
          </cell>
          <cell r="L1096" t="str">
            <v>Cambridge</v>
          </cell>
          <cell r="M1096" t="str">
            <v>Cambridgeshire</v>
          </cell>
          <cell r="N1096" t="str">
            <v>CB25 9DL</v>
          </cell>
          <cell r="O1096" t="str">
            <v>kevans@bottishamvillage.cambs.sch.uk</v>
          </cell>
          <cell r="P1096">
            <v>40560</v>
          </cell>
        </row>
        <row r="1097">
          <cell r="A1097">
            <v>2051101</v>
          </cell>
          <cell r="B1097">
            <v>100320</v>
          </cell>
          <cell r="C1097">
            <v>205</v>
          </cell>
          <cell r="D1097" t="str">
            <v>Hammersmith and Fulham</v>
          </cell>
          <cell r="E1097">
            <v>1101</v>
          </cell>
          <cell r="F1097" t="str">
            <v>Tahir Shams</v>
          </cell>
          <cell r="G1097" t="str">
            <v>The Bridge Academy</v>
          </cell>
          <cell r="H1097" t="str">
            <v>London</v>
          </cell>
          <cell r="I1097" t="str">
            <v>Finlay Street</v>
          </cell>
          <cell r="L1097" t="str">
            <v>London</v>
          </cell>
          <cell r="N1097" t="str">
            <v>SW6 6HB</v>
          </cell>
          <cell r="O1097" t="str">
            <v>soates@bridge.lbhf.sch.uk</v>
          </cell>
          <cell r="P1097">
            <v>41023</v>
          </cell>
        </row>
        <row r="1098">
          <cell r="A1098">
            <v>9194028</v>
          </cell>
          <cell r="B1098">
            <v>117511</v>
          </cell>
          <cell r="C1098">
            <v>919</v>
          </cell>
          <cell r="D1098" t="str">
            <v>Hertfordshire</v>
          </cell>
          <cell r="E1098">
            <v>4028</v>
          </cell>
          <cell r="F1098" t="str">
            <v>Beverley Samuel</v>
          </cell>
          <cell r="G1098" t="str">
            <v>Sir John Lawes School</v>
          </cell>
          <cell r="H1098" t="str">
            <v>East of England</v>
          </cell>
          <cell r="I1098" t="str">
            <v>Manland Way</v>
          </cell>
          <cell r="L1098" t="str">
            <v>Harpenden</v>
          </cell>
          <cell r="M1098" t="str">
            <v>Hertfordshire</v>
          </cell>
          <cell r="N1098" t="str">
            <v>AL5 4QP</v>
          </cell>
          <cell r="O1098" t="str">
            <v>head@sjl.herts.sch.uk</v>
          </cell>
          <cell r="P1098">
            <v>40577</v>
          </cell>
        </row>
        <row r="1099">
          <cell r="A1099">
            <v>9294438</v>
          </cell>
          <cell r="B1099">
            <v>122362</v>
          </cell>
          <cell r="C1099">
            <v>929</v>
          </cell>
          <cell r="D1099" t="str">
            <v>Northumberland</v>
          </cell>
          <cell r="E1099">
            <v>4438</v>
          </cell>
          <cell r="F1099" t="str">
            <v>Alan Large</v>
          </cell>
          <cell r="G1099" t="str">
            <v>The Duchess's Community High School</v>
          </cell>
          <cell r="H1099" t="str">
            <v>North East</v>
          </cell>
          <cell r="I1099" t="str">
            <v>Howling Lane</v>
          </cell>
          <cell r="L1099" t="str">
            <v>Alnwick</v>
          </cell>
          <cell r="M1099" t="str">
            <v>Northumberland</v>
          </cell>
          <cell r="N1099" t="str">
            <v>NE66 1DH</v>
          </cell>
          <cell r="O1099" t="str">
            <v>mhall@dchs-alnwick.org</v>
          </cell>
          <cell r="P1099">
            <v>40648</v>
          </cell>
        </row>
        <row r="1100">
          <cell r="A1100">
            <v>8782205</v>
          </cell>
          <cell r="B1100">
            <v>113128</v>
          </cell>
          <cell r="C1100">
            <v>878</v>
          </cell>
          <cell r="D1100" t="str">
            <v>Devon</v>
          </cell>
          <cell r="E1100">
            <v>2205</v>
          </cell>
          <cell r="F1100" t="str">
            <v>Theresa Oddelm</v>
          </cell>
          <cell r="G1100" t="str">
            <v>Pilton Infants' School</v>
          </cell>
          <cell r="H1100" t="str">
            <v>South West</v>
          </cell>
          <cell r="I1100" t="str">
            <v>Abbey Road</v>
          </cell>
          <cell r="L1100" t="str">
            <v>Barnstaple</v>
          </cell>
          <cell r="M1100" t="str">
            <v>Devon</v>
          </cell>
          <cell r="N1100" t="str">
            <v>EX31 1JU</v>
          </cell>
          <cell r="O1100" t="str">
            <v>jkyle@pilton-inf.devon.sch.uk</v>
          </cell>
        </row>
        <row r="1101">
          <cell r="A1101">
            <v>9195404</v>
          </cell>
          <cell r="B1101">
            <v>117576</v>
          </cell>
          <cell r="C1101">
            <v>919</v>
          </cell>
          <cell r="D1101" t="str">
            <v>Hertfordshire</v>
          </cell>
          <cell r="E1101">
            <v>5404</v>
          </cell>
          <cell r="F1101" t="str">
            <v>Hannah Copp</v>
          </cell>
          <cell r="G1101" t="str">
            <v>Parmiter's School</v>
          </cell>
          <cell r="H1101" t="str">
            <v>East of England</v>
          </cell>
          <cell r="I1101" t="str">
            <v>High Elms Lane</v>
          </cell>
          <cell r="J1101" t="str">
            <v>Garston</v>
          </cell>
          <cell r="L1101" t="str">
            <v>Watford</v>
          </cell>
          <cell r="M1101" t="str">
            <v>Hertfordshire</v>
          </cell>
          <cell r="N1101" t="str">
            <v>WD25 0UU</v>
          </cell>
          <cell r="O1101" t="str">
            <v>head@parmiters.herts.sch.uk</v>
          </cell>
          <cell r="P1101">
            <v>40529</v>
          </cell>
        </row>
        <row r="1102">
          <cell r="A1102">
            <v>3552086</v>
          </cell>
          <cell r="B1102">
            <v>105920</v>
          </cell>
          <cell r="C1102">
            <v>355</v>
          </cell>
          <cell r="D1102" t="str">
            <v>Salford</v>
          </cell>
          <cell r="E1102">
            <v>2086</v>
          </cell>
          <cell r="F1102" t="str">
            <v>Jean Langan</v>
          </cell>
          <cell r="G1102" t="str">
            <v>Dukesgate Primary School</v>
          </cell>
          <cell r="H1102" t="str">
            <v>North West</v>
          </cell>
          <cell r="I1102" t="str">
            <v>Earlesdon Crescent</v>
          </cell>
          <cell r="J1102" t="str">
            <v>Little Hulton</v>
          </cell>
          <cell r="L1102" t="str">
            <v>Salford</v>
          </cell>
          <cell r="M1102" t="str">
            <v>Greater Manchester</v>
          </cell>
          <cell r="N1102" t="str">
            <v>M38 9HF</v>
          </cell>
          <cell r="O1102" t="str">
            <v>dukesgate.primaryschool@salford.gov.uk</v>
          </cell>
        </row>
        <row r="1103">
          <cell r="A1103">
            <v>3802036</v>
          </cell>
          <cell r="B1103">
            <v>107208</v>
          </cell>
          <cell r="C1103">
            <v>380</v>
          </cell>
          <cell r="D1103" t="str">
            <v>Bradford</v>
          </cell>
          <cell r="E1103">
            <v>2036</v>
          </cell>
          <cell r="F1103" t="str">
            <v>Glyn Newton</v>
          </cell>
          <cell r="G1103" t="str">
            <v>Byron Primary School</v>
          </cell>
          <cell r="H1103" t="str">
            <v>Yorkshire and the Humber</v>
          </cell>
          <cell r="I1103" t="str">
            <v>Barkerend Road</v>
          </cell>
          <cell r="L1103" t="str">
            <v>Bradford</v>
          </cell>
          <cell r="M1103" t="str">
            <v>West Yorkshire</v>
          </cell>
          <cell r="N1103" t="str">
            <v>BD3 0AB</v>
          </cell>
        </row>
        <row r="1104">
          <cell r="A1104">
            <v>8815426</v>
          </cell>
          <cell r="B1104">
            <v>115342</v>
          </cell>
          <cell r="C1104">
            <v>881</v>
          </cell>
          <cell r="D1104" t="str">
            <v>Essex</v>
          </cell>
          <cell r="E1104">
            <v>5426</v>
          </cell>
          <cell r="F1104" t="str">
            <v>William Thursfield</v>
          </cell>
          <cell r="G1104" t="str">
            <v>Davenant Foundation School</v>
          </cell>
          <cell r="H1104" t="str">
            <v>East of England</v>
          </cell>
          <cell r="I1104" t="str">
            <v>Chester Road</v>
          </cell>
          <cell r="L1104" t="str">
            <v>Loughton</v>
          </cell>
          <cell r="M1104" t="str">
            <v>Essex</v>
          </cell>
          <cell r="N1104" t="str">
            <v>IG10 2LD</v>
          </cell>
          <cell r="O1104" t="str">
            <v>chriss@davenant.com</v>
          </cell>
          <cell r="P1104">
            <v>40518</v>
          </cell>
        </row>
        <row r="1105">
          <cell r="A1105">
            <v>3314034</v>
          </cell>
          <cell r="B1105">
            <v>103736</v>
          </cell>
          <cell r="C1105">
            <v>331</v>
          </cell>
          <cell r="D1105" t="str">
            <v>Coventry</v>
          </cell>
          <cell r="E1105">
            <v>4034</v>
          </cell>
          <cell r="F1105" t="str">
            <v>Not yet assigned</v>
          </cell>
          <cell r="G1105" t="str">
            <v>President Kennedy School and Community College</v>
          </cell>
          <cell r="H1105" t="str">
            <v>West Midlands</v>
          </cell>
          <cell r="I1105" t="str">
            <v>Rookery Lane</v>
          </cell>
          <cell r="L1105" t="str">
            <v>Coventry</v>
          </cell>
          <cell r="M1105" t="str">
            <v>West Midlands</v>
          </cell>
          <cell r="N1105" t="str">
            <v>CV6 4GL</v>
          </cell>
          <cell r="O1105" t="str">
            <v>thomasp@pks.coventry.sch.uk</v>
          </cell>
        </row>
        <row r="1106">
          <cell r="A1106">
            <v>9354098</v>
          </cell>
          <cell r="B1106">
            <v>124848</v>
          </cell>
          <cell r="C1106">
            <v>935</v>
          </cell>
          <cell r="D1106" t="str">
            <v>Suffolk</v>
          </cell>
          <cell r="E1106">
            <v>4098</v>
          </cell>
          <cell r="F1106" t="str">
            <v>Joe Farrell</v>
          </cell>
          <cell r="G1106" t="str">
            <v>Holbrook High School</v>
          </cell>
          <cell r="H1106" t="str">
            <v>East of England</v>
          </cell>
          <cell r="I1106" t="str">
            <v>Ipswich Road</v>
          </cell>
          <cell r="J1106" t="str">
            <v>Holbrook</v>
          </cell>
          <cell r="L1106" t="str">
            <v>Ipswich</v>
          </cell>
          <cell r="M1106" t="str">
            <v>Suffolk</v>
          </cell>
          <cell r="N1106" t="str">
            <v>IP9 2QX</v>
          </cell>
          <cell r="O1106" t="str">
            <v>da.pritchard@hotmail.co.uk</v>
          </cell>
          <cell r="P1106">
            <v>40634</v>
          </cell>
        </row>
        <row r="1107">
          <cell r="A1107">
            <v>3182036</v>
          </cell>
          <cell r="B1107">
            <v>102905</v>
          </cell>
          <cell r="C1107">
            <v>318</v>
          </cell>
          <cell r="D1107" t="str">
            <v>Richmond upon Thames</v>
          </cell>
          <cell r="E1107">
            <v>2036</v>
          </cell>
          <cell r="F1107" t="str">
            <v>Tahir Shams</v>
          </cell>
          <cell r="G1107" t="str">
            <v>Chase Bridge Primary School</v>
          </cell>
          <cell r="H1107" t="str">
            <v>London</v>
          </cell>
          <cell r="I1107" t="str">
            <v>Kneller Road</v>
          </cell>
          <cell r="L1107" t="str">
            <v>Twickenham</v>
          </cell>
          <cell r="N1107" t="str">
            <v>TW2 7DE</v>
          </cell>
          <cell r="O1107" t="str">
            <v>kinga001@chasebridge.richmond.sch.uk</v>
          </cell>
        </row>
        <row r="1108">
          <cell r="A1108">
            <v>2091103</v>
          </cell>
          <cell r="B1108">
            <v>130856</v>
          </cell>
          <cell r="C1108">
            <v>209</v>
          </cell>
          <cell r="D1108" t="str">
            <v>Lewisham</v>
          </cell>
          <cell r="E1108">
            <v>1103</v>
          </cell>
          <cell r="F1108" t="str">
            <v>Linda Tiley</v>
          </cell>
          <cell r="G1108" t="str">
            <v>Abbey Manor College</v>
          </cell>
          <cell r="H1108" t="str">
            <v>London</v>
          </cell>
          <cell r="I1108" t="str">
            <v>40 Falmouth Close</v>
          </cell>
          <cell r="L1108" t="str">
            <v>London</v>
          </cell>
          <cell r="N1108" t="str">
            <v>SE12 8JP</v>
          </cell>
          <cell r="O1108" t="str">
            <v>ljones@lcpru.lewisham.sch.uk</v>
          </cell>
        </row>
        <row r="1109">
          <cell r="A1109">
            <v>9252074</v>
          </cell>
          <cell r="B1109">
            <v>120403</v>
          </cell>
          <cell r="C1109">
            <v>925</v>
          </cell>
          <cell r="D1109" t="str">
            <v>Lincolnshire</v>
          </cell>
          <cell r="E1109">
            <v>2074</v>
          </cell>
          <cell r="F1109" t="str">
            <v>Helen Whetter</v>
          </cell>
          <cell r="G1109" t="str">
            <v>Branston Junior School</v>
          </cell>
          <cell r="H1109" t="str">
            <v>East Midlands</v>
          </cell>
          <cell r="I1109" t="str">
            <v>Station Road</v>
          </cell>
          <cell r="J1109" t="str">
            <v>Branston</v>
          </cell>
          <cell r="L1109" t="str">
            <v>Lincoln</v>
          </cell>
          <cell r="M1109" t="str">
            <v>Lincolnshire</v>
          </cell>
          <cell r="N1109" t="str">
            <v>LN4 1LH</v>
          </cell>
          <cell r="O1109" t="str">
            <v>mrsshaw@branston-junior.lincs.sch.uk</v>
          </cell>
          <cell r="P1109">
            <v>40983</v>
          </cell>
        </row>
        <row r="1110">
          <cell r="A1110">
            <v>9095404</v>
          </cell>
          <cell r="B1110">
            <v>112431</v>
          </cell>
          <cell r="C1110">
            <v>909</v>
          </cell>
          <cell r="D1110" t="str">
            <v>Cumbria</v>
          </cell>
          <cell r="E1110">
            <v>5404</v>
          </cell>
          <cell r="F1110" t="str">
            <v>Alison Middleton</v>
          </cell>
          <cell r="G1110" t="str">
            <v>The Queen Katherine School</v>
          </cell>
          <cell r="H1110" t="str">
            <v>North West</v>
          </cell>
          <cell r="I1110" t="str">
            <v>Appleby Road</v>
          </cell>
          <cell r="L1110" t="str">
            <v>Kendal</v>
          </cell>
          <cell r="M1110" t="str">
            <v>Cumbria</v>
          </cell>
          <cell r="N1110" t="str">
            <v>LA9 6PJ</v>
          </cell>
          <cell r="O1110" t="str">
            <v>stephen.wilkinson@queenkatherine.org</v>
          </cell>
          <cell r="P1110">
            <v>40515</v>
          </cell>
        </row>
        <row r="1111">
          <cell r="A1111">
            <v>2023361</v>
          </cell>
          <cell r="B1111">
            <v>100033</v>
          </cell>
          <cell r="C1111">
            <v>202</v>
          </cell>
          <cell r="D1111" t="str">
            <v>Camden</v>
          </cell>
          <cell r="E1111">
            <v>3361</v>
          </cell>
          <cell r="F1111" t="str">
            <v>Helen Fisher</v>
          </cell>
          <cell r="G1111" t="str">
            <v>HolyTrinity and S. Silas</v>
          </cell>
          <cell r="H1111" t="str">
            <v>London</v>
          </cell>
          <cell r="I1111" t="str">
            <v>Hartland Road</v>
          </cell>
          <cell r="L1111" t="str">
            <v>London</v>
          </cell>
          <cell r="N1111" t="str">
            <v>NW1 8DE</v>
          </cell>
          <cell r="O1111" t="str">
            <v>head@holytrinitynw1.camden.sch.uk</v>
          </cell>
        </row>
        <row r="1112">
          <cell r="A1112">
            <v>3312150</v>
          </cell>
          <cell r="B1112">
            <v>103648</v>
          </cell>
          <cell r="C1112">
            <v>331</v>
          </cell>
          <cell r="D1112" t="str">
            <v>Coventry</v>
          </cell>
          <cell r="E1112">
            <v>2150</v>
          </cell>
          <cell r="F1112" t="str">
            <v>Alison Middleton</v>
          </cell>
          <cell r="G1112" t="str">
            <v>Longford Park Primary School</v>
          </cell>
          <cell r="H1112" t="str">
            <v>West Midlands</v>
          </cell>
          <cell r="I1112" t="str">
            <v>Windmill Road</v>
          </cell>
          <cell r="L1112" t="str">
            <v>Coventry</v>
          </cell>
          <cell r="M1112" t="str">
            <v>West Midlands</v>
          </cell>
          <cell r="N1112" t="str">
            <v>CV6 7AT</v>
          </cell>
          <cell r="O1112" t="str">
            <v>headteacher@longfordpark.coventry.sch.uk</v>
          </cell>
        </row>
        <row r="1113">
          <cell r="A1113">
            <v>8864118</v>
          </cell>
          <cell r="B1113">
            <v>118809</v>
          </cell>
          <cell r="C1113">
            <v>886</v>
          </cell>
          <cell r="D1113" t="str">
            <v>Kent</v>
          </cell>
          <cell r="E1113">
            <v>4118</v>
          </cell>
          <cell r="F1113" t="str">
            <v>Sarah Mitchell</v>
          </cell>
          <cell r="G1113" t="str">
            <v>Clarendon House Grammar School</v>
          </cell>
          <cell r="H1113" t="str">
            <v>South East</v>
          </cell>
          <cell r="I1113" t="str">
            <v>Clarendon Gardens</v>
          </cell>
          <cell r="L1113" t="str">
            <v>Ramsgate</v>
          </cell>
          <cell r="M1113" t="str">
            <v>Kent</v>
          </cell>
          <cell r="N1113" t="str">
            <v>CT11 9BB</v>
          </cell>
          <cell r="O1113" t="str">
            <v>headteacher@federationramsgategrammars.kent.sch.uk</v>
          </cell>
          <cell r="P1113">
            <v>40400</v>
          </cell>
        </row>
        <row r="1114">
          <cell r="A1114">
            <v>8863324</v>
          </cell>
          <cell r="B1114">
            <v>118727</v>
          </cell>
          <cell r="C1114">
            <v>886</v>
          </cell>
          <cell r="D1114" t="str">
            <v>Kent</v>
          </cell>
          <cell r="E1114">
            <v>3324</v>
          </cell>
          <cell r="F1114" t="str">
            <v>Nicky Edwards</v>
          </cell>
          <cell r="G1114" t="str">
            <v>Leybourne, St Peter and St Paul Church of England Voluntary Aided Primary School</v>
          </cell>
          <cell r="H1114" t="str">
            <v>South East</v>
          </cell>
          <cell r="I1114" t="str">
            <v>Rectory Lane North</v>
          </cell>
          <cell r="J1114" t="str">
            <v>Leybourne</v>
          </cell>
          <cell r="L1114" t="str">
            <v>West Malling</v>
          </cell>
          <cell r="M1114" t="str">
            <v>Kent</v>
          </cell>
          <cell r="N1114" t="str">
            <v>ME19 5HD</v>
          </cell>
          <cell r="O1114" t="str">
            <v>headteacher@leybourne.kent.sch.uk</v>
          </cell>
        </row>
        <row r="1115">
          <cell r="A1115">
            <v>8852204</v>
          </cell>
          <cell r="B1115">
            <v>116772</v>
          </cell>
          <cell r="C1115">
            <v>885</v>
          </cell>
          <cell r="D1115" t="str">
            <v>Worcestershire</v>
          </cell>
          <cell r="E1115">
            <v>2204</v>
          </cell>
          <cell r="F1115" t="str">
            <v>Stephen Bagnall</v>
          </cell>
          <cell r="G1115" t="str">
            <v>Somers Park Primary School</v>
          </cell>
          <cell r="H1115" t="str">
            <v>West Midlands</v>
          </cell>
          <cell r="I1115" t="str">
            <v>Somers Park Avenue</v>
          </cell>
          <cell r="L1115" t="str">
            <v>Malvern</v>
          </cell>
          <cell r="M1115" t="str">
            <v>Worcestershire</v>
          </cell>
          <cell r="N1115" t="str">
            <v>WR14 1SE</v>
          </cell>
          <cell r="O1115" t="str">
            <v>head@somerspark.worcs.sch.uk</v>
          </cell>
          <cell r="P1115">
            <v>40610</v>
          </cell>
        </row>
        <row r="1116">
          <cell r="A1116">
            <v>3324106</v>
          </cell>
          <cell r="B1116">
            <v>103860</v>
          </cell>
          <cell r="C1116">
            <v>332</v>
          </cell>
          <cell r="D1116" t="str">
            <v>Dudley</v>
          </cell>
          <cell r="E1116">
            <v>4106</v>
          </cell>
          <cell r="F1116" t="str">
            <v>Stephen Bagnall</v>
          </cell>
          <cell r="G1116" t="str">
            <v>The Earls High School</v>
          </cell>
          <cell r="H1116" t="str">
            <v>West Midlands</v>
          </cell>
          <cell r="I1116" t="str">
            <v>Furnace Lane</v>
          </cell>
          <cell r="L1116" t="str">
            <v>Halesowen</v>
          </cell>
          <cell r="M1116" t="str">
            <v>West Midlands</v>
          </cell>
          <cell r="N1116" t="str">
            <v>B63 3SL</v>
          </cell>
          <cell r="O1116" t="str">
            <v>tjohnston@earls.dudley.sch.uk</v>
          </cell>
          <cell r="P1116">
            <v>40703</v>
          </cell>
        </row>
        <row r="1117">
          <cell r="A1117">
            <v>9382184</v>
          </cell>
          <cell r="B1117">
            <v>125920</v>
          </cell>
          <cell r="C1117">
            <v>938</v>
          </cell>
          <cell r="D1117" t="str">
            <v>West Sussex</v>
          </cell>
          <cell r="E1117">
            <v>2184</v>
          </cell>
          <cell r="F1117" t="str">
            <v>Bukky Sawyerr</v>
          </cell>
          <cell r="G1117" t="str">
            <v>Broadfield East Infant School and Nursery</v>
          </cell>
          <cell r="H1117" t="str">
            <v>South East</v>
          </cell>
          <cell r="I1117" t="str">
            <v>Vulcan Close</v>
          </cell>
          <cell r="J1117" t="str">
            <v>Broadfield</v>
          </cell>
          <cell r="L1117" t="str">
            <v>Crawley</v>
          </cell>
          <cell r="M1117" t="str">
            <v>West Sussex</v>
          </cell>
          <cell r="N1117" t="str">
            <v>RH11 9PD</v>
          </cell>
          <cell r="O1117" t="str">
            <v>head@broadfieldeast-inf-nur.w-sussex.sch.uk</v>
          </cell>
          <cell r="P1117">
            <v>40991</v>
          </cell>
        </row>
        <row r="1118">
          <cell r="A1118">
            <v>3357002</v>
          </cell>
          <cell r="B1118">
            <v>104269</v>
          </cell>
          <cell r="C1118">
            <v>335</v>
          </cell>
          <cell r="D1118" t="str">
            <v>Walsall</v>
          </cell>
          <cell r="E1118">
            <v>7002</v>
          </cell>
          <cell r="F1118" t="str">
            <v>Frances Blow</v>
          </cell>
          <cell r="G1118" t="str">
            <v>Castle Business and Enterprise College</v>
          </cell>
          <cell r="H1118" t="str">
            <v>West Midlands</v>
          </cell>
          <cell r="I1118" t="str">
            <v>Odell Road</v>
          </cell>
          <cell r="J1118" t="str">
            <v>Leamore</v>
          </cell>
          <cell r="L1118" t="str">
            <v>Walsall</v>
          </cell>
          <cell r="M1118" t="str">
            <v>West Midlands</v>
          </cell>
          <cell r="N1118" t="str">
            <v>WS3 2ED</v>
          </cell>
          <cell r="O1118" t="str">
            <v>cfraser@castle.walsall.sch.uk</v>
          </cell>
          <cell r="P1118">
            <v>40661</v>
          </cell>
        </row>
        <row r="1119">
          <cell r="A1119">
            <v>8352205</v>
          </cell>
          <cell r="B1119">
            <v>113711</v>
          </cell>
          <cell r="C1119">
            <v>835</v>
          </cell>
          <cell r="D1119" t="str">
            <v>Dorset</v>
          </cell>
          <cell r="E1119">
            <v>2205</v>
          </cell>
          <cell r="F1119" t="str">
            <v>Kate Bosher</v>
          </cell>
          <cell r="G1119" t="str">
            <v>Underhill Community Junior School</v>
          </cell>
          <cell r="H1119" t="str">
            <v>South West</v>
          </cell>
          <cell r="I1119" t="str">
            <v>Killicks Hill</v>
          </cell>
          <cell r="L1119" t="str">
            <v>Portland</v>
          </cell>
          <cell r="M1119" t="str">
            <v>Dorset</v>
          </cell>
          <cell r="N1119" t="str">
            <v>DT5 1JW</v>
          </cell>
        </row>
        <row r="1120">
          <cell r="A1120">
            <v>9374233</v>
          </cell>
          <cell r="B1120">
            <v>125746</v>
          </cell>
          <cell r="C1120">
            <v>937</v>
          </cell>
          <cell r="D1120" t="str">
            <v>Warwickshire</v>
          </cell>
          <cell r="E1120">
            <v>4233</v>
          </cell>
          <cell r="F1120" t="str">
            <v>Julia Waterhouse</v>
          </cell>
          <cell r="G1120" t="str">
            <v>The Coleshill School - A Maths and Computing College</v>
          </cell>
          <cell r="H1120" t="str">
            <v>West Midlands</v>
          </cell>
          <cell r="I1120" t="str">
            <v>Coventry Road</v>
          </cell>
          <cell r="J1120" t="str">
            <v>Coleshill</v>
          </cell>
          <cell r="L1120" t="str">
            <v>Birmingham</v>
          </cell>
          <cell r="M1120" t="str">
            <v>West Midlands</v>
          </cell>
          <cell r="N1120" t="str">
            <v>B46 3EX</v>
          </cell>
          <cell r="P1120">
            <v>40592</v>
          </cell>
        </row>
        <row r="1121">
          <cell r="A1121">
            <v>3104020</v>
          </cell>
          <cell r="B1121">
            <v>102235</v>
          </cell>
          <cell r="C1121">
            <v>310</v>
          </cell>
          <cell r="D1121" t="str">
            <v>Harrow</v>
          </cell>
          <cell r="E1121">
            <v>4020</v>
          </cell>
          <cell r="F1121" t="str">
            <v>Sheila Longstaff</v>
          </cell>
          <cell r="G1121" t="str">
            <v>Hatch End High School</v>
          </cell>
          <cell r="H1121" t="str">
            <v>London</v>
          </cell>
          <cell r="I1121" t="str">
            <v>Headstone Lane</v>
          </cell>
          <cell r="L1121" t="str">
            <v>Harrow</v>
          </cell>
          <cell r="N1121" t="str">
            <v>HA3 6NR</v>
          </cell>
          <cell r="O1121" t="str">
            <v>maguire@hatchend.harrow.sch.uk</v>
          </cell>
          <cell r="P1121">
            <v>40617</v>
          </cell>
        </row>
        <row r="1122">
          <cell r="A1122">
            <v>9192364</v>
          </cell>
          <cell r="B1122">
            <v>117298</v>
          </cell>
          <cell r="C1122">
            <v>919</v>
          </cell>
          <cell r="D1122" t="str">
            <v>Hertfordshire</v>
          </cell>
          <cell r="E1122">
            <v>2364</v>
          </cell>
          <cell r="F1122" t="str">
            <v>Bonnie Wang</v>
          </cell>
          <cell r="G1122" t="str">
            <v>Maple Primary School</v>
          </cell>
          <cell r="H1122" t="str">
            <v>East of England</v>
          </cell>
          <cell r="I1122" t="str">
            <v>Hall Place Gardens</v>
          </cell>
          <cell r="L1122" t="str">
            <v>St Albans</v>
          </cell>
          <cell r="M1122" t="str">
            <v>Hertfordshire</v>
          </cell>
          <cell r="N1122" t="str">
            <v>AL1 3SW</v>
          </cell>
          <cell r="O1122" t="str">
            <v>head@maple.herts.sch.uk</v>
          </cell>
        </row>
        <row r="1123">
          <cell r="A1123">
            <v>8233005</v>
          </cell>
          <cell r="B1123">
            <v>109598</v>
          </cell>
          <cell r="C1123">
            <v>823</v>
          </cell>
          <cell r="D1123" t="str">
            <v>Central Bedfordshire</v>
          </cell>
          <cell r="E1123">
            <v>3005</v>
          </cell>
          <cell r="F1123" t="str">
            <v>Eric Mcewen</v>
          </cell>
          <cell r="G1123" t="str">
            <v>Cranfield VC Lower School</v>
          </cell>
          <cell r="H1123" t="str">
            <v>East of England</v>
          </cell>
          <cell r="I1123" t="str">
            <v>Court Road</v>
          </cell>
          <cell r="J1123" t="str">
            <v>Cranfield</v>
          </cell>
          <cell r="L1123" t="str">
            <v>Bedford</v>
          </cell>
          <cell r="M1123" t="str">
            <v>Bedfordshire</v>
          </cell>
          <cell r="N1123" t="str">
            <v>MK43 0DR</v>
          </cell>
          <cell r="O1123" t="str">
            <v>ab@bdr.md.e2bn.net</v>
          </cell>
          <cell r="P1123">
            <v>40710</v>
          </cell>
        </row>
        <row r="1124">
          <cell r="A1124">
            <v>3343011</v>
          </cell>
          <cell r="B1124">
            <v>104088</v>
          </cell>
          <cell r="C1124">
            <v>334</v>
          </cell>
          <cell r="D1124" t="str">
            <v>Solihull</v>
          </cell>
          <cell r="E1124">
            <v>3011</v>
          </cell>
          <cell r="F1124" t="str">
            <v>Alison Middleton</v>
          </cell>
          <cell r="G1124" t="str">
            <v>Bentley Heath Church of England Primary School</v>
          </cell>
          <cell r="H1124" t="str">
            <v>West Midlands</v>
          </cell>
          <cell r="I1124" t="str">
            <v>Widney Close</v>
          </cell>
          <cell r="J1124" t="str">
            <v>Bentley Heath</v>
          </cell>
          <cell r="L1124" t="str">
            <v>Solihull</v>
          </cell>
          <cell r="M1124" t="str">
            <v>West Midlands</v>
          </cell>
          <cell r="N1124" t="str">
            <v>B93 9AS</v>
          </cell>
          <cell r="O1124" t="str">
            <v>s70awilliams@bentley-heath.solihull.sch.uk</v>
          </cell>
        </row>
        <row r="1125">
          <cell r="A1125">
            <v>8653149</v>
          </cell>
          <cell r="B1125">
            <v>126349</v>
          </cell>
          <cell r="C1125">
            <v>865</v>
          </cell>
          <cell r="D1125" t="str">
            <v>Wiltshire</v>
          </cell>
          <cell r="E1125">
            <v>3149</v>
          </cell>
          <cell r="F1125" t="str">
            <v>Theresa Oddelm</v>
          </cell>
          <cell r="G1125" t="str">
            <v>Preshute Church of England Primary School</v>
          </cell>
          <cell r="H1125" t="str">
            <v>South West</v>
          </cell>
          <cell r="I1125" t="str">
            <v>High Street</v>
          </cell>
          <cell r="J1125" t="str">
            <v>Manton</v>
          </cell>
          <cell r="L1125" t="str">
            <v>Marlborough</v>
          </cell>
          <cell r="M1125" t="str">
            <v>Wiltshire</v>
          </cell>
          <cell r="N1125" t="str">
            <v>SN8 4HH</v>
          </cell>
          <cell r="O1125" t="str">
            <v>head@preshute.wilts.sch.uk</v>
          </cell>
        </row>
        <row r="1126">
          <cell r="A1126">
            <v>8862168</v>
          </cell>
          <cell r="B1126">
            <v>118294</v>
          </cell>
          <cell r="C1126">
            <v>886</v>
          </cell>
          <cell r="D1126" t="str">
            <v>Kent</v>
          </cell>
          <cell r="E1126">
            <v>2168</v>
          </cell>
          <cell r="F1126" t="str">
            <v>Tony Dunne</v>
          </cell>
          <cell r="G1126" t="str">
            <v>Lenham Primary School</v>
          </cell>
          <cell r="H1126" t="str">
            <v>South East</v>
          </cell>
          <cell r="I1126" t="str">
            <v>Ham Lane</v>
          </cell>
          <cell r="J1126" t="str">
            <v>Lenham</v>
          </cell>
          <cell r="L1126" t="str">
            <v>Maidstone</v>
          </cell>
          <cell r="M1126" t="str">
            <v>Kent</v>
          </cell>
          <cell r="N1126" t="str">
            <v>ME17 2QG</v>
          </cell>
          <cell r="O1126" t="str">
            <v>headteacher@lenham.kent.sch.uk</v>
          </cell>
        </row>
        <row r="1127">
          <cell r="A1127">
            <v>9353312</v>
          </cell>
          <cell r="B1127">
            <v>124765</v>
          </cell>
          <cell r="C1127">
            <v>935</v>
          </cell>
          <cell r="D1127" t="str">
            <v>Suffolk</v>
          </cell>
          <cell r="E1127">
            <v>3312</v>
          </cell>
          <cell r="F1127" t="str">
            <v>Claire Ivie</v>
          </cell>
          <cell r="G1127" t="str">
            <v>Elveden Church of England Voluntary Aided Primary School</v>
          </cell>
          <cell r="H1127" t="str">
            <v>East of England</v>
          </cell>
          <cell r="I1127" t="str">
            <v>London Road</v>
          </cell>
          <cell r="J1127" t="str">
            <v>Elveden</v>
          </cell>
          <cell r="L1127" t="str">
            <v>Thetford</v>
          </cell>
          <cell r="M1127" t="str">
            <v>Norfolk</v>
          </cell>
          <cell r="N1127" t="str">
            <v>IP24 3TN</v>
          </cell>
          <cell r="O1127" t="str">
            <v>head@forestacademy.co.uk</v>
          </cell>
          <cell r="P1127">
            <v>41079</v>
          </cell>
        </row>
        <row r="1128">
          <cell r="A1128">
            <v>8782034</v>
          </cell>
          <cell r="B1128">
            <v>113087</v>
          </cell>
          <cell r="C1128">
            <v>878</v>
          </cell>
          <cell r="D1128" t="str">
            <v>Devon</v>
          </cell>
          <cell r="E1128">
            <v>2034</v>
          </cell>
          <cell r="G1128" t="str">
            <v>Stoke Hill Junior School</v>
          </cell>
          <cell r="H1128" t="str">
            <v>South West</v>
          </cell>
          <cell r="I1128" t="str">
            <v>Stoke Hill</v>
          </cell>
          <cell r="L1128" t="str">
            <v>Exeter</v>
          </cell>
          <cell r="M1128" t="str">
            <v>Devon</v>
          </cell>
          <cell r="N1128" t="str">
            <v>EX4 7DP</v>
          </cell>
          <cell r="O1128" t="str">
            <v>rsouter@stokehilljunior.devon.sch.uk</v>
          </cell>
        </row>
        <row r="1129">
          <cell r="A1129">
            <v>3052002</v>
          </cell>
          <cell r="B1129">
            <v>101587</v>
          </cell>
          <cell r="C1129">
            <v>305</v>
          </cell>
          <cell r="D1129" t="str">
            <v>Bromley</v>
          </cell>
          <cell r="E1129">
            <v>2002</v>
          </cell>
          <cell r="F1129" t="str">
            <v>Sheila Longstaff</v>
          </cell>
          <cell r="G1129" t="str">
            <v>Balgowan Primary School</v>
          </cell>
          <cell r="H1129" t="str">
            <v>London</v>
          </cell>
          <cell r="I1129" t="str">
            <v>Balgowan Road</v>
          </cell>
          <cell r="L1129" t="str">
            <v>Beckenham</v>
          </cell>
          <cell r="M1129" t="str">
            <v>Kent</v>
          </cell>
          <cell r="N1129" t="str">
            <v>BR3 4HJ</v>
          </cell>
          <cell r="O1129" t="str">
            <v>head@balgowan.bromley.sch.uk</v>
          </cell>
          <cell r="P1129">
            <v>40638</v>
          </cell>
        </row>
        <row r="1130">
          <cell r="A1130">
            <v>9284601</v>
          </cell>
          <cell r="B1130">
            <v>122095</v>
          </cell>
          <cell r="C1130">
            <v>928</v>
          </cell>
          <cell r="D1130" t="str">
            <v>Northamptonshire</v>
          </cell>
          <cell r="E1130">
            <v>4601</v>
          </cell>
          <cell r="F1130" t="str">
            <v>Stephen Standret</v>
          </cell>
          <cell r="G1130" t="str">
            <v>Bishop Stopford School</v>
          </cell>
          <cell r="H1130" t="str">
            <v>East Midlands</v>
          </cell>
          <cell r="I1130" t="str">
            <v>Headlands</v>
          </cell>
          <cell r="L1130" t="str">
            <v>Kettering</v>
          </cell>
          <cell r="M1130" t="str">
            <v>Northamptonshire</v>
          </cell>
          <cell r="N1130" t="str">
            <v>NN15 6BJ</v>
          </cell>
          <cell r="O1130" t="str">
            <v>mholman@bishopstopford.com</v>
          </cell>
          <cell r="P1130">
            <v>40612</v>
          </cell>
        </row>
        <row r="1131">
          <cell r="A1131">
            <v>8013003</v>
          </cell>
          <cell r="B1131">
            <v>109142</v>
          </cell>
          <cell r="C1131">
            <v>801</v>
          </cell>
          <cell r="D1131" t="str">
            <v>Bristol City of</v>
          </cell>
          <cell r="E1131">
            <v>3003</v>
          </cell>
          <cell r="F1131" t="str">
            <v>Lilian Da Cunha</v>
          </cell>
          <cell r="G1131" t="str">
            <v>Christ Church Church of England Primary School</v>
          </cell>
          <cell r="H1131" t="str">
            <v>South West</v>
          </cell>
          <cell r="I1131" t="str">
            <v>Royal Park</v>
          </cell>
          <cell r="J1131" t="str">
            <v>Clifton</v>
          </cell>
          <cell r="L1131" t="str">
            <v>Bristol</v>
          </cell>
          <cell r="N1131" t="str">
            <v>BS8 3AW</v>
          </cell>
          <cell r="O1131" t="str">
            <v>headchristchurchp@bristol.gov.uk</v>
          </cell>
          <cell r="P1131">
            <v>40854</v>
          </cell>
        </row>
        <row r="1132">
          <cell r="A1132">
            <v>3424050</v>
          </cell>
          <cell r="B1132">
            <v>104826</v>
          </cell>
          <cell r="C1132">
            <v>342</v>
          </cell>
          <cell r="D1132" t="str">
            <v>St. Helens</v>
          </cell>
          <cell r="E1132">
            <v>4050</v>
          </cell>
          <cell r="F1132" t="str">
            <v>Jane McCusker</v>
          </cell>
          <cell r="G1132" t="str">
            <v>Rainford High Technology College</v>
          </cell>
          <cell r="H1132" t="str">
            <v>North West</v>
          </cell>
          <cell r="I1132" t="str">
            <v>Higher Lane</v>
          </cell>
          <cell r="J1132" t="str">
            <v>Rainford</v>
          </cell>
          <cell r="L1132" t="str">
            <v>St Helens</v>
          </cell>
          <cell r="M1132" t="str">
            <v>Merseyside</v>
          </cell>
          <cell r="N1132" t="str">
            <v>WA11 8NY</v>
          </cell>
          <cell r="O1132" t="str">
            <v>hls@rainford.org.uk</v>
          </cell>
        </row>
        <row r="1133">
          <cell r="A1133">
            <v>9284051</v>
          </cell>
          <cell r="B1133">
            <v>122063</v>
          </cell>
          <cell r="C1133">
            <v>928</v>
          </cell>
          <cell r="D1133" t="str">
            <v>Northamptonshire</v>
          </cell>
          <cell r="E1133">
            <v>4051</v>
          </cell>
          <cell r="F1133" t="str">
            <v>Linda Brooks</v>
          </cell>
          <cell r="G1133" t="str">
            <v>Campion School</v>
          </cell>
          <cell r="H1133" t="str">
            <v>East Midlands</v>
          </cell>
          <cell r="I1133" t="str">
            <v>Bugbrooke</v>
          </cell>
          <cell r="L1133" t="str">
            <v>Northampton</v>
          </cell>
          <cell r="M1133" t="str">
            <v>Northamptonshire</v>
          </cell>
          <cell r="N1133" t="str">
            <v>NN7 3QG</v>
          </cell>
          <cell r="O1133" t="str">
            <v>b.clayton@campion.northants.sch.uk</v>
          </cell>
          <cell r="P1133">
            <v>40529</v>
          </cell>
        </row>
        <row r="1134">
          <cell r="A1134">
            <v>8154604</v>
          </cell>
          <cell r="B1134">
            <v>121714</v>
          </cell>
          <cell r="C1134">
            <v>815</v>
          </cell>
          <cell r="D1134" t="str">
            <v>North Yorkshire</v>
          </cell>
          <cell r="E1134">
            <v>4604</v>
          </cell>
          <cell r="F1134" t="str">
            <v>Jane Moore</v>
          </cell>
          <cell r="G1134" t="str">
            <v>St Augustine's Roman Catholic School, Scarborough</v>
          </cell>
          <cell r="H1134" t="str">
            <v>Yorkshire and the Humber</v>
          </cell>
          <cell r="I1134" t="str">
            <v>Sandybed Lane</v>
          </cell>
          <cell r="J1134" t="str">
            <v>Stepney Hill</v>
          </cell>
          <cell r="L1134" t="str">
            <v>Scarborough</v>
          </cell>
          <cell r="M1134" t="str">
            <v>North Yorkshire</v>
          </cell>
          <cell r="N1134" t="str">
            <v>YO12 5LH</v>
          </cell>
          <cell r="O1134" t="str">
            <v>jechevarria@st-augustines.n-yorks.sch.uk</v>
          </cell>
        </row>
        <row r="1135">
          <cell r="A1135">
            <v>8552376</v>
          </cell>
          <cell r="B1135">
            <v>120099</v>
          </cell>
          <cell r="C1135">
            <v>855</v>
          </cell>
          <cell r="D1135" t="str">
            <v>Leicestershire</v>
          </cell>
          <cell r="E1135">
            <v>2376</v>
          </cell>
          <cell r="F1135" t="str">
            <v>Sue Harp</v>
          </cell>
          <cell r="G1135" t="str">
            <v>Lady Jane Grey Primary School</v>
          </cell>
          <cell r="H1135" t="str">
            <v>East Midlands</v>
          </cell>
          <cell r="I1135" t="str">
            <v>Wolsey Close</v>
          </cell>
          <cell r="J1135" t="str">
            <v>Groby</v>
          </cell>
          <cell r="L1135" t="str">
            <v>Leicester</v>
          </cell>
          <cell r="M1135" t="str">
            <v>Leicestershire</v>
          </cell>
          <cell r="N1135" t="str">
            <v>LE6 0ZA</v>
          </cell>
          <cell r="O1135" t="str">
            <v>headteacher01@ljg.leics.sch.uk</v>
          </cell>
          <cell r="P1135">
            <v>41037</v>
          </cell>
        </row>
        <row r="1136">
          <cell r="A1136">
            <v>8305409</v>
          </cell>
          <cell r="B1136">
            <v>112994</v>
          </cell>
          <cell r="C1136">
            <v>830</v>
          </cell>
          <cell r="D1136" t="str">
            <v>Derbyshire</v>
          </cell>
          <cell r="E1136">
            <v>5409</v>
          </cell>
          <cell r="F1136" t="str">
            <v>Stephen Standret</v>
          </cell>
          <cell r="G1136" t="str">
            <v>Friesland School</v>
          </cell>
          <cell r="H1136" t="str">
            <v>East Midlands</v>
          </cell>
          <cell r="I1136" t="str">
            <v>Nursery Avenue</v>
          </cell>
          <cell r="L1136" t="str">
            <v>Sandiacre</v>
          </cell>
          <cell r="M1136" t="str">
            <v>Nottinghamshire</v>
          </cell>
          <cell r="N1136" t="str">
            <v>NG10 5AF</v>
          </cell>
          <cell r="O1136" t="str">
            <v>pmonk@friesland.derbyshire.sch.uk</v>
          </cell>
        </row>
        <row r="1137">
          <cell r="A1137">
            <v>9332029</v>
          </cell>
          <cell r="B1137">
            <v>123645</v>
          </cell>
          <cell r="C1137">
            <v>933</v>
          </cell>
          <cell r="D1137" t="str">
            <v>Somerset</v>
          </cell>
          <cell r="E1137">
            <v>2029</v>
          </cell>
          <cell r="F1137" t="str">
            <v>Kate Bosher</v>
          </cell>
          <cell r="G1137" t="str">
            <v>Hambridge Community Primary</v>
          </cell>
          <cell r="H1137" t="str">
            <v>South West</v>
          </cell>
          <cell r="I1137" t="str">
            <v>Hambridge</v>
          </cell>
          <cell r="L1137" t="str">
            <v>Langport</v>
          </cell>
          <cell r="M1137" t="str">
            <v>Somerset</v>
          </cell>
          <cell r="N1137" t="str">
            <v>TA10 0AZ</v>
          </cell>
          <cell r="O1137" t="str">
            <v>icrabtree@educ.somerset.gov.uk</v>
          </cell>
        </row>
        <row r="1138">
          <cell r="A1138">
            <v>9165404</v>
          </cell>
          <cell r="B1138">
            <v>115755</v>
          </cell>
          <cell r="C1138">
            <v>916</v>
          </cell>
          <cell r="D1138" t="str">
            <v>Gloucestershire</v>
          </cell>
          <cell r="E1138">
            <v>5404</v>
          </cell>
          <cell r="F1138" t="str">
            <v>Nigel Mills</v>
          </cell>
          <cell r="G1138" t="str">
            <v>The Crypt School</v>
          </cell>
          <cell r="H1138" t="str">
            <v>South West</v>
          </cell>
          <cell r="I1138" t="str">
            <v>Podsmead</v>
          </cell>
          <cell r="L1138" t="str">
            <v>Gloucester</v>
          </cell>
          <cell r="M1138" t="str">
            <v>Gloucestershire</v>
          </cell>
          <cell r="N1138" t="str">
            <v>GL2 5AE</v>
          </cell>
          <cell r="O1138" t="str">
            <v>jstanden@crypt.gloucs.sch.uk</v>
          </cell>
          <cell r="P1138">
            <v>40518</v>
          </cell>
        </row>
        <row r="1139">
          <cell r="A1139">
            <v>8812180</v>
          </cell>
          <cell r="B1139">
            <v>114800</v>
          </cell>
          <cell r="C1139">
            <v>881</v>
          </cell>
          <cell r="D1139" t="str">
            <v>Essex</v>
          </cell>
          <cell r="E1139">
            <v>2180</v>
          </cell>
          <cell r="F1139" t="str">
            <v>Claire Ivie</v>
          </cell>
          <cell r="G1139" t="str">
            <v>Moulsham Junior School</v>
          </cell>
          <cell r="H1139" t="str">
            <v>East of England</v>
          </cell>
          <cell r="I1139" t="str">
            <v>Princes Road</v>
          </cell>
          <cell r="L1139" t="str">
            <v>Chelmsford</v>
          </cell>
          <cell r="M1139" t="str">
            <v>Essex</v>
          </cell>
          <cell r="N1139" t="str">
            <v>CM2 9DG</v>
          </cell>
          <cell r="O1139" t="str">
            <v>lindahughes57@btinternet.com</v>
          </cell>
          <cell r="P1139">
            <v>40840</v>
          </cell>
        </row>
        <row r="1140">
          <cell r="A1140">
            <v>8504012</v>
          </cell>
          <cell r="B1140">
            <v>116407</v>
          </cell>
          <cell r="C1140">
            <v>850</v>
          </cell>
          <cell r="D1140" t="str">
            <v>Hampshire</v>
          </cell>
          <cell r="E1140">
            <v>4012</v>
          </cell>
          <cell r="F1140" t="str">
            <v>Susan Shakespeare</v>
          </cell>
          <cell r="G1140" t="str">
            <v>The Westgate School boarding</v>
          </cell>
          <cell r="H1140" t="str">
            <v>South East</v>
          </cell>
          <cell r="I1140" t="str">
            <v>Cheriton Road</v>
          </cell>
          <cell r="L1140" t="str">
            <v>Winchester</v>
          </cell>
          <cell r="M1140" t="str">
            <v>Hampshire</v>
          </cell>
          <cell r="N1140" t="str">
            <v>SO22 5AZ</v>
          </cell>
          <cell r="O1140" t="str">
            <v>p.nicholson@westgate.hants.sch</v>
          </cell>
        </row>
        <row r="1141">
          <cell r="A1141">
            <v>9254514</v>
          </cell>
          <cell r="B1141">
            <v>120663</v>
          </cell>
          <cell r="C1141">
            <v>925</v>
          </cell>
          <cell r="D1141" t="str">
            <v>Lincolnshire</v>
          </cell>
          <cell r="E1141">
            <v>4514</v>
          </cell>
          <cell r="F1141" t="str">
            <v>Susan Shakespeare</v>
          </cell>
          <cell r="G1141" t="str">
            <v>Market Rasen De Aston School with boarding</v>
          </cell>
          <cell r="H1141" t="str">
            <v>East Midlands</v>
          </cell>
          <cell r="I1141" t="str">
            <v>Willingham Road</v>
          </cell>
          <cell r="L1141" t="str">
            <v>Market Rasen</v>
          </cell>
          <cell r="M1141" t="str">
            <v>Lincolnshire</v>
          </cell>
          <cell r="N1141" t="str">
            <v>LN8 3RF</v>
          </cell>
          <cell r="O1141" t="str">
            <v>alice.mcneill@de-aston.lincs.sch.uk</v>
          </cell>
          <cell r="P1141">
            <v>40526</v>
          </cell>
        </row>
        <row r="1142">
          <cell r="A1142">
            <v>3445900</v>
          </cell>
          <cell r="B1142">
            <v>105114</v>
          </cell>
          <cell r="C1142">
            <v>344</v>
          </cell>
          <cell r="D1142" t="str">
            <v>Wirral</v>
          </cell>
          <cell r="E1142">
            <v>5900</v>
          </cell>
          <cell r="F1142" t="str">
            <v>Carol Ions</v>
          </cell>
          <cell r="G1142" t="str">
            <v>St Anselm's College</v>
          </cell>
          <cell r="H1142" t="str">
            <v>North West</v>
          </cell>
          <cell r="I1142" t="str">
            <v>Manor Hill</v>
          </cell>
          <cell r="L1142" t="str">
            <v>Prenton</v>
          </cell>
          <cell r="M1142" t="str">
            <v>Merseyside</v>
          </cell>
          <cell r="N1142" t="str">
            <v>CH43 1UQ</v>
          </cell>
          <cell r="O1142" t="str">
            <v>headmaster@st-anselms.com</v>
          </cell>
          <cell r="P1142">
            <v>40525</v>
          </cell>
        </row>
        <row r="1143">
          <cell r="A1143">
            <v>8233015</v>
          </cell>
          <cell r="B1143">
            <v>109607</v>
          </cell>
          <cell r="C1143">
            <v>823</v>
          </cell>
          <cell r="D1143" t="str">
            <v>Central Bedfordshire</v>
          </cell>
          <cell r="E1143">
            <v>3015</v>
          </cell>
          <cell r="F1143" t="str">
            <v>Michael Cook</v>
          </cell>
          <cell r="G1143" t="str">
            <v>Studham CofE VC Lower School</v>
          </cell>
          <cell r="H1143" t="str">
            <v>East of England</v>
          </cell>
          <cell r="I1143" t="str">
            <v>Church Road</v>
          </cell>
          <cell r="J1143" t="str">
            <v>Studham</v>
          </cell>
          <cell r="L1143" t="str">
            <v>Dunstable</v>
          </cell>
          <cell r="M1143" t="str">
            <v>Bedfordshire</v>
          </cell>
          <cell r="N1143" t="str">
            <v>LU6 2QD</v>
          </cell>
          <cell r="O1143" t="str">
            <v>p.burrett@schools.bedfordshire.gov.uk</v>
          </cell>
        </row>
        <row r="1144">
          <cell r="A1144">
            <v>3114003</v>
          </cell>
          <cell r="B1144">
            <v>102339</v>
          </cell>
          <cell r="C1144">
            <v>311</v>
          </cell>
          <cell r="D1144" t="str">
            <v>Havering</v>
          </cell>
          <cell r="E1144">
            <v>4003</v>
          </cell>
          <cell r="F1144" t="str">
            <v>Hollie Godsmark</v>
          </cell>
          <cell r="G1144" t="str">
            <v>Brittons School and Technology College</v>
          </cell>
          <cell r="H1144" t="str">
            <v>London</v>
          </cell>
          <cell r="I1144" t="str">
            <v>Ford Lane</v>
          </cell>
          <cell r="L1144" t="str">
            <v>Rainham</v>
          </cell>
          <cell r="M1144" t="str">
            <v>Essex</v>
          </cell>
          <cell r="N1144" t="str">
            <v>RM13 7BB</v>
          </cell>
          <cell r="O1144" t="str">
            <v>principal1@brittons.havering.sch.uk</v>
          </cell>
          <cell r="P1144">
            <v>40553</v>
          </cell>
        </row>
        <row r="1145">
          <cell r="A1145">
            <v>9352040</v>
          </cell>
          <cell r="B1145">
            <v>124557</v>
          </cell>
          <cell r="C1145">
            <v>935</v>
          </cell>
          <cell r="D1145" t="str">
            <v>Suffolk</v>
          </cell>
          <cell r="E1145">
            <v>2040</v>
          </cell>
          <cell r="F1145" t="str">
            <v>Stella Aina</v>
          </cell>
          <cell r="G1145" t="str">
            <v>Burton End Community Primary School</v>
          </cell>
          <cell r="H1145" t="str">
            <v>East of England</v>
          </cell>
          <cell r="I1145" t="str">
            <v>School Lane</v>
          </cell>
          <cell r="J1145" t="str">
            <v>Burton End</v>
          </cell>
          <cell r="L1145" t="str">
            <v>Haverhill</v>
          </cell>
          <cell r="M1145" t="str">
            <v>Suffolk</v>
          </cell>
          <cell r="N1145" t="str">
            <v>CB9 9DE</v>
          </cell>
          <cell r="O1145" t="str">
            <v>head@burtonendschool.co.uk</v>
          </cell>
          <cell r="P1145">
            <v>40613</v>
          </cell>
        </row>
        <row r="1146">
          <cell r="A1146">
            <v>8883570</v>
          </cell>
          <cell r="B1146">
            <v>119556</v>
          </cell>
          <cell r="C1146">
            <v>888</v>
          </cell>
          <cell r="D1146" t="str">
            <v>Lancashire</v>
          </cell>
          <cell r="E1146">
            <v>3570</v>
          </cell>
          <cell r="F1146" t="str">
            <v>Viv Clutton</v>
          </cell>
          <cell r="G1146" t="str">
            <v>Poulton-le-Fylde St Chad's C Of E Primary School</v>
          </cell>
          <cell r="H1146" t="str">
            <v>North West</v>
          </cell>
          <cell r="I1146" t="str">
            <v>Hardhorn Road</v>
          </cell>
          <cell r="L1146" t="str">
            <v>Poulton-le-Fylde</v>
          </cell>
          <cell r="M1146" t="str">
            <v>Lancashire</v>
          </cell>
          <cell r="N1146" t="str">
            <v>FY6 7SR</v>
          </cell>
          <cell r="O1146" t="str">
            <v>head@poultonstchadsce.lancs.sch.uk</v>
          </cell>
        </row>
        <row r="1147">
          <cell r="A1147">
            <v>9333123</v>
          </cell>
          <cell r="B1147">
            <v>123781</v>
          </cell>
          <cell r="C1147">
            <v>933</v>
          </cell>
          <cell r="D1147" t="str">
            <v>Somerset</v>
          </cell>
          <cell r="E1147">
            <v>3123</v>
          </cell>
          <cell r="F1147" t="str">
            <v>Theresa Oddelm</v>
          </cell>
          <cell r="G1147" t="str">
            <v>St Peter's Church of England First School</v>
          </cell>
          <cell r="H1147" t="str">
            <v>South West</v>
          </cell>
          <cell r="I1147" t="str">
            <v>Doniford Road</v>
          </cell>
          <cell r="J1147" t="str">
            <v>Williton</v>
          </cell>
          <cell r="L1147" t="str">
            <v>Taunton</v>
          </cell>
          <cell r="M1147" t="str">
            <v>Somerset</v>
          </cell>
          <cell r="N1147" t="str">
            <v>TA4 4SF</v>
          </cell>
          <cell r="O1147" t="str">
            <v>ibradbury@educ.somerset.gov.uk</v>
          </cell>
        </row>
        <row r="1148">
          <cell r="A1148">
            <v>3834105</v>
          </cell>
          <cell r="B1148">
            <v>108082</v>
          </cell>
          <cell r="C1148">
            <v>383</v>
          </cell>
          <cell r="D1148" t="str">
            <v>Leeds</v>
          </cell>
          <cell r="E1148">
            <v>4105</v>
          </cell>
          <cell r="F1148" t="str">
            <v>John Edmunds</v>
          </cell>
          <cell r="G1148" t="str">
            <v>Woodkirk High Specialist Science School</v>
          </cell>
          <cell r="H1148" t="str">
            <v>Yorkshire and the Humber</v>
          </cell>
          <cell r="I1148" t="str">
            <v>Rein Road</v>
          </cell>
          <cell r="J1148" t="str">
            <v>Tingley</v>
          </cell>
          <cell r="L1148" t="str">
            <v>Wakefield</v>
          </cell>
          <cell r="M1148" t="str">
            <v>West Yorkshire</v>
          </cell>
          <cell r="N1148" t="str">
            <v>WF3 1JQ</v>
          </cell>
          <cell r="O1148" t="str">
            <v>headteacher@woodkirk.leeds.sch.uk</v>
          </cell>
          <cell r="P1148">
            <v>40654</v>
          </cell>
        </row>
        <row r="1149">
          <cell r="A1149">
            <v>3035403</v>
          </cell>
          <cell r="B1149">
            <v>101479</v>
          </cell>
          <cell r="C1149">
            <v>303</v>
          </cell>
          <cell r="D1149" t="str">
            <v>Bexley</v>
          </cell>
          <cell r="E1149">
            <v>5403</v>
          </cell>
          <cell r="F1149" t="str">
            <v>Ed Schuldt</v>
          </cell>
          <cell r="G1149" t="str">
            <v>Beths Grammar School</v>
          </cell>
          <cell r="H1149" t="str">
            <v>London</v>
          </cell>
          <cell r="I1149" t="str">
            <v>Hartford Road</v>
          </cell>
          <cell r="L1149" t="str">
            <v>Bexley</v>
          </cell>
          <cell r="M1149" t="str">
            <v>Kent</v>
          </cell>
          <cell r="N1149" t="str">
            <v>DA5 1NE</v>
          </cell>
          <cell r="O1149" t="str">
            <v>mrskinner@beths.bexley.sch.uk</v>
          </cell>
          <cell r="P1149">
            <v>40360</v>
          </cell>
        </row>
        <row r="1150">
          <cell r="A1150">
            <v>9082314</v>
          </cell>
          <cell r="B1150">
            <v>111869</v>
          </cell>
          <cell r="C1150">
            <v>908</v>
          </cell>
          <cell r="D1150" t="str">
            <v>Cornwall</v>
          </cell>
          <cell r="E1150">
            <v>2314</v>
          </cell>
          <cell r="F1150" t="str">
            <v>Kate Bosher</v>
          </cell>
          <cell r="G1150" t="str">
            <v>St Agnes School</v>
          </cell>
          <cell r="H1150" t="str">
            <v>South West</v>
          </cell>
          <cell r="I1150" t="str">
            <v>Trelawney Road</v>
          </cell>
          <cell r="L1150" t="str">
            <v>St Agnes</v>
          </cell>
          <cell r="M1150" t="str">
            <v>Cornwall</v>
          </cell>
          <cell r="N1150" t="str">
            <v>TR5 0LZ</v>
          </cell>
          <cell r="O1150" t="str">
            <v>head@st-agnes.cornwall.sch.uk</v>
          </cell>
          <cell r="P1150">
            <v>40620</v>
          </cell>
        </row>
        <row r="1151">
          <cell r="A1151">
            <v>9284069</v>
          </cell>
          <cell r="B1151">
            <v>122077</v>
          </cell>
          <cell r="C1151">
            <v>928</v>
          </cell>
          <cell r="D1151" t="str">
            <v>Northamptonshire</v>
          </cell>
          <cell r="E1151">
            <v>4069</v>
          </cell>
          <cell r="F1151" t="str">
            <v>Stephen Standret</v>
          </cell>
          <cell r="G1151" t="str">
            <v>Abbeyfield School</v>
          </cell>
          <cell r="H1151" t="str">
            <v>East Midlands</v>
          </cell>
          <cell r="I1151" t="str">
            <v>Mereway</v>
          </cell>
          <cell r="L1151" t="str">
            <v>Northampton</v>
          </cell>
          <cell r="M1151" t="str">
            <v>Northamptonshire</v>
          </cell>
          <cell r="N1151" t="str">
            <v>NN4 8BU</v>
          </cell>
          <cell r="O1151" t="str">
            <v>head@abbeyfield.northants.sch.uk</v>
          </cell>
        </row>
        <row r="1152">
          <cell r="A1152">
            <v>9353042</v>
          </cell>
          <cell r="B1152">
            <v>124705</v>
          </cell>
          <cell r="C1152">
            <v>935</v>
          </cell>
          <cell r="D1152" t="str">
            <v>Suffolk</v>
          </cell>
          <cell r="E1152">
            <v>3042</v>
          </cell>
          <cell r="F1152" t="str">
            <v>Joe Farrell</v>
          </cell>
          <cell r="G1152" t="str">
            <v>Kersey CE VC Primary School</v>
          </cell>
          <cell r="H1152" t="str">
            <v>East of England</v>
          </cell>
          <cell r="I1152" t="str">
            <v>Cherry Hill</v>
          </cell>
          <cell r="J1152" t="str">
            <v>Kersey</v>
          </cell>
          <cell r="L1152" t="str">
            <v>Ipswich</v>
          </cell>
          <cell r="M1152" t="str">
            <v>Suffolk</v>
          </cell>
          <cell r="N1152" t="str">
            <v>IP7 6EG</v>
          </cell>
          <cell r="O1152" t="str">
            <v>kerseyprimary@talk21.com</v>
          </cell>
        </row>
        <row r="1153">
          <cell r="A1153">
            <v>9095209</v>
          </cell>
          <cell r="B1153">
            <v>112411</v>
          </cell>
          <cell r="C1153">
            <v>909</v>
          </cell>
          <cell r="D1153" t="str">
            <v>Cumbria</v>
          </cell>
          <cell r="E1153">
            <v>5209</v>
          </cell>
          <cell r="F1153" t="str">
            <v>Linda Tiley</v>
          </cell>
          <cell r="G1153" t="str">
            <v>Eaglesfield Paddle CofE VA Primary School</v>
          </cell>
          <cell r="H1153" t="str">
            <v>North West</v>
          </cell>
          <cell r="I1153" t="str">
            <v>Eaglesfield</v>
          </cell>
          <cell r="L1153" t="str">
            <v>Cockermouth</v>
          </cell>
          <cell r="M1153" t="str">
            <v>Cumbria</v>
          </cell>
          <cell r="N1153" t="str">
            <v>CA13 0QY</v>
          </cell>
          <cell r="O1153" t="str">
            <v>office@eaglesfieldpaddle.cumbria.sch.uk</v>
          </cell>
          <cell r="P1153">
            <v>40557</v>
          </cell>
        </row>
        <row r="1154">
          <cell r="A1154">
            <v>9333305</v>
          </cell>
          <cell r="B1154">
            <v>123827</v>
          </cell>
          <cell r="C1154">
            <v>933</v>
          </cell>
          <cell r="D1154" t="str">
            <v>Somerset</v>
          </cell>
          <cell r="E1154">
            <v>3305</v>
          </cell>
          <cell r="F1154" t="str">
            <v>Ali Bushell</v>
          </cell>
          <cell r="G1154" t="str">
            <v>Chewton Mendip Church of England VA Primary School</v>
          </cell>
          <cell r="H1154" t="str">
            <v>South West</v>
          </cell>
          <cell r="I1154" t="str">
            <v>Chewton Mendip</v>
          </cell>
          <cell r="L1154" t="str">
            <v>Radstock</v>
          </cell>
          <cell r="M1154" t="str">
            <v>Somerset</v>
          </cell>
          <cell r="N1154" t="str">
            <v>BA3 4LL</v>
          </cell>
          <cell r="O1154" t="str">
            <v>crice1@educ.somerset.gov.uk</v>
          </cell>
        </row>
        <row r="1155">
          <cell r="A1155">
            <v>8351102</v>
          </cell>
          <cell r="B1155">
            <v>130315</v>
          </cell>
          <cell r="C1155">
            <v>835</v>
          </cell>
          <cell r="D1155" t="str">
            <v>Dorset</v>
          </cell>
          <cell r="E1155">
            <v>1102</v>
          </cell>
          <cell r="F1155" t="str">
            <v>Not yet assigned</v>
          </cell>
          <cell r="G1155" t="str">
            <v>Sherborne Learning Centre</v>
          </cell>
          <cell r="H1155" t="str">
            <v>South West</v>
          </cell>
          <cell r="I1155" t="str">
            <v>Simons Road</v>
          </cell>
          <cell r="L1155" t="str">
            <v>Sherborne</v>
          </cell>
          <cell r="M1155" t="str">
            <v>Dorset</v>
          </cell>
          <cell r="N1155" t="str">
            <v>DT9 4DN</v>
          </cell>
          <cell r="O1155" t="str">
            <v>ian@hedley.org.uk</v>
          </cell>
        </row>
        <row r="1156">
          <cell r="A1156">
            <v>8954223</v>
          </cell>
          <cell r="B1156">
            <v>111442</v>
          </cell>
          <cell r="C1156">
            <v>895</v>
          </cell>
          <cell r="D1156" t="str">
            <v>Cheshire East</v>
          </cell>
          <cell r="E1156">
            <v>4223</v>
          </cell>
          <cell r="F1156" t="str">
            <v>Jane McCusker</v>
          </cell>
          <cell r="G1156" t="str">
            <v>King's Grove School</v>
          </cell>
          <cell r="H1156" t="str">
            <v>North West</v>
          </cell>
          <cell r="I1156" t="str">
            <v>Buchan Grove</v>
          </cell>
          <cell r="L1156" t="str">
            <v>Crewe</v>
          </cell>
          <cell r="M1156" t="str">
            <v>Cheshire</v>
          </cell>
          <cell r="N1156" t="str">
            <v>CW2 7NQ</v>
          </cell>
          <cell r="O1156" t="str">
            <v>tlangston@kings-grove.cheshire.sch.uk</v>
          </cell>
        </row>
        <row r="1157">
          <cell r="A1157">
            <v>8303015</v>
          </cell>
          <cell r="B1157">
            <v>112802</v>
          </cell>
          <cell r="C1157">
            <v>830</v>
          </cell>
          <cell r="D1157" t="str">
            <v>Derbyshire</v>
          </cell>
          <cell r="E1157">
            <v>3015</v>
          </cell>
          <cell r="F1157" t="str">
            <v>Paul Hayes</v>
          </cell>
          <cell r="G1157" t="str">
            <v>Bradley CofE Primary School</v>
          </cell>
          <cell r="H1157" t="str">
            <v>East Midlands</v>
          </cell>
          <cell r="I1157" t="str">
            <v>Yew Tree Lane</v>
          </cell>
          <cell r="J1157" t="str">
            <v>Bradley</v>
          </cell>
          <cell r="L1157" t="str">
            <v>Ashbourne</v>
          </cell>
          <cell r="M1157" t="str">
            <v>Derbyshire</v>
          </cell>
          <cell r="N1157" t="str">
            <v>DE6 1PG</v>
          </cell>
          <cell r="O1157" t="str">
            <v xml:space="preserve">headteacher@bradley.derbyshire.sch.uk </v>
          </cell>
        </row>
        <row r="1158">
          <cell r="A1158">
            <v>8882818</v>
          </cell>
          <cell r="B1158">
            <v>119339</v>
          </cell>
          <cell r="C1158">
            <v>888</v>
          </cell>
          <cell r="D1158" t="str">
            <v>Lancashire</v>
          </cell>
          <cell r="E1158">
            <v>2818</v>
          </cell>
          <cell r="F1158" t="str">
            <v>Viv Clutton</v>
          </cell>
          <cell r="G1158" t="str">
            <v>Sherwood Primary School</v>
          </cell>
          <cell r="H1158" t="str">
            <v>North West</v>
          </cell>
          <cell r="I1158" t="str">
            <v>Sherwood Way</v>
          </cell>
          <cell r="J1158" t="str">
            <v>Fulwood</v>
          </cell>
          <cell r="L1158" t="str">
            <v>Preston</v>
          </cell>
          <cell r="M1158" t="str">
            <v>Lancashire</v>
          </cell>
          <cell r="N1158" t="str">
            <v>PR2 9GA</v>
          </cell>
          <cell r="O1158" t="str">
            <v>head@sherwood.lancs.sch.uk</v>
          </cell>
        </row>
        <row r="1159">
          <cell r="A1159">
            <v>8862065</v>
          </cell>
          <cell r="B1159">
            <v>134057</v>
          </cell>
          <cell r="C1159">
            <v>886</v>
          </cell>
          <cell r="D1159" t="str">
            <v>Kent</v>
          </cell>
          <cell r="E1159">
            <v>2065</v>
          </cell>
          <cell r="F1159" t="str">
            <v>Sarah Mitchell</v>
          </cell>
          <cell r="G1159" t="str">
            <v>The Discovery School</v>
          </cell>
          <cell r="H1159" t="str">
            <v>South East</v>
          </cell>
          <cell r="I1159" t="str">
            <v>Discovery Drive</v>
          </cell>
          <cell r="J1159" t="str">
            <v>Kings Hill</v>
          </cell>
          <cell r="L1159" t="str">
            <v>West Malling</v>
          </cell>
          <cell r="M1159" t="str">
            <v>Kent</v>
          </cell>
          <cell r="N1159" t="str">
            <v>ME19 4GJ</v>
          </cell>
          <cell r="O1159" t="str">
            <v>headteacher@discovery.kent.sch.uk</v>
          </cell>
        </row>
        <row r="1160">
          <cell r="A1160">
            <v>3302273</v>
          </cell>
          <cell r="B1160">
            <v>103307</v>
          </cell>
          <cell r="C1160">
            <v>330</v>
          </cell>
          <cell r="D1160" t="str">
            <v>Birmingham</v>
          </cell>
          <cell r="E1160">
            <v>2273</v>
          </cell>
          <cell r="F1160" t="str">
            <v>Alison Middleton</v>
          </cell>
          <cell r="G1160" t="str">
            <v>Topcliffe Primary School</v>
          </cell>
          <cell r="H1160" t="str">
            <v>West Midlands</v>
          </cell>
          <cell r="I1160" t="str">
            <v>Hawkinge Drive</v>
          </cell>
          <cell r="J1160" t="str">
            <v>Castle Vale</v>
          </cell>
          <cell r="L1160" t="str">
            <v>Birmingham</v>
          </cell>
          <cell r="M1160" t="str">
            <v>West Midlands</v>
          </cell>
          <cell r="N1160" t="str">
            <v>B35 6BS</v>
          </cell>
          <cell r="O1160" t="str">
            <v>ian.lowe@topcliffe.bham.sch.uk</v>
          </cell>
          <cell r="P1160">
            <v>41038</v>
          </cell>
        </row>
        <row r="1161">
          <cell r="A1161">
            <v>3072162</v>
          </cell>
          <cell r="B1161">
            <v>101892</v>
          </cell>
          <cell r="C1161">
            <v>307</v>
          </cell>
          <cell r="D1161" t="str">
            <v>Ealing</v>
          </cell>
          <cell r="E1161">
            <v>2162</v>
          </cell>
          <cell r="F1161" t="str">
            <v>Helen Fisher</v>
          </cell>
          <cell r="G1161" t="str">
            <v>Blair Peach Primary School</v>
          </cell>
          <cell r="H1161" t="str">
            <v>London</v>
          </cell>
          <cell r="I1161" t="str">
            <v>Beaconsfield Road</v>
          </cell>
          <cell r="L1161" t="str">
            <v>Southall</v>
          </cell>
          <cell r="N1161" t="str">
            <v>UB1 1DR</v>
          </cell>
          <cell r="O1161" t="str">
            <v>apuri@blair-peach.ealing.sch.uk</v>
          </cell>
        </row>
        <row r="1162">
          <cell r="A1162">
            <v>8133074</v>
          </cell>
          <cell r="B1162">
            <v>118019</v>
          </cell>
          <cell r="C1162">
            <v>813</v>
          </cell>
          <cell r="D1162" t="str">
            <v>North Lincolnshire</v>
          </cell>
          <cell r="E1162">
            <v>3074</v>
          </cell>
          <cell r="F1162" t="str">
            <v>Nick Monton</v>
          </cell>
          <cell r="G1162" t="str">
            <v>Westwoodside CofE Primary School</v>
          </cell>
          <cell r="H1162" t="str">
            <v>Yorkshire and the Humber</v>
          </cell>
          <cell r="I1162" t="str">
            <v>Nethergate</v>
          </cell>
          <cell r="J1162" t="str">
            <v>Westwoodside</v>
          </cell>
          <cell r="L1162" t="str">
            <v>Doncaster</v>
          </cell>
          <cell r="M1162" t="str">
            <v>South Yorkshire</v>
          </cell>
          <cell r="N1162" t="str">
            <v>DN9 2DR</v>
          </cell>
          <cell r="O1162" t="str">
            <v>head.westwoodside@northlincs.gov.uk</v>
          </cell>
          <cell r="P1162">
            <v>41029</v>
          </cell>
        </row>
        <row r="1163">
          <cell r="A1163">
            <v>8133324</v>
          </cell>
          <cell r="B1163">
            <v>118040</v>
          </cell>
          <cell r="C1163">
            <v>813</v>
          </cell>
          <cell r="D1163" t="str">
            <v>North Lincolnshire</v>
          </cell>
          <cell r="E1163">
            <v>3324</v>
          </cell>
          <cell r="F1163" t="str">
            <v>Nick Monton</v>
          </cell>
          <cell r="G1163" t="str">
            <v>Saint Norbert's Catholic Primary School</v>
          </cell>
          <cell r="H1163" t="str">
            <v>Yorkshire and the Humber</v>
          </cell>
          <cell r="I1163" t="str">
            <v>Fieldside</v>
          </cell>
          <cell r="J1163" t="str">
            <v>Crowle</v>
          </cell>
          <cell r="L1163" t="str">
            <v>Scunthorpe</v>
          </cell>
          <cell r="M1163" t="str">
            <v>Lincolnshire</v>
          </cell>
          <cell r="N1163" t="str">
            <v>DN17 4HL</v>
          </cell>
          <cell r="P1163">
            <v>40921</v>
          </cell>
        </row>
        <row r="1164">
          <cell r="A1164">
            <v>8254051</v>
          </cell>
          <cell r="B1164">
            <v>110493</v>
          </cell>
          <cell r="C1164">
            <v>825</v>
          </cell>
          <cell r="D1164" t="str">
            <v>Buckinghamshire</v>
          </cell>
          <cell r="E1164">
            <v>4051</v>
          </cell>
          <cell r="F1164" t="str">
            <v>Eric Mcewen</v>
          </cell>
          <cell r="G1164" t="str">
            <v>Burnham Grammar School</v>
          </cell>
          <cell r="H1164" t="str">
            <v>South East</v>
          </cell>
          <cell r="I1164" t="str">
            <v>Hogfair Lane</v>
          </cell>
          <cell r="J1164" t="str">
            <v>Burnham</v>
          </cell>
          <cell r="L1164" t="str">
            <v>Slough</v>
          </cell>
          <cell r="M1164" t="str">
            <v>Buckinghamshire</v>
          </cell>
          <cell r="N1164" t="str">
            <v>SL1 7HG</v>
          </cell>
          <cell r="O1164" t="str">
            <v>agillespie@bucksgfl.org.uk</v>
          </cell>
          <cell r="P1164">
            <v>40674</v>
          </cell>
        </row>
        <row r="1165">
          <cell r="A1165">
            <v>8573117</v>
          </cell>
          <cell r="B1165">
            <v>120183</v>
          </cell>
          <cell r="C1165">
            <v>857</v>
          </cell>
          <cell r="D1165" t="str">
            <v>Rutland</v>
          </cell>
          <cell r="E1165">
            <v>3117</v>
          </cell>
          <cell r="F1165" t="str">
            <v>Gabriela Grimley</v>
          </cell>
          <cell r="G1165" t="str">
            <v>Whissendine Church of England Primary School</v>
          </cell>
          <cell r="H1165" t="str">
            <v>East Midlands</v>
          </cell>
          <cell r="I1165" t="str">
            <v>Main Street</v>
          </cell>
          <cell r="J1165" t="str">
            <v>Whissendine</v>
          </cell>
          <cell r="L1165" t="str">
            <v>Oakham</v>
          </cell>
          <cell r="M1165" t="str">
            <v>Rutland</v>
          </cell>
          <cell r="N1165" t="str">
            <v>LE15 7ET</v>
          </cell>
          <cell r="O1165" t="str">
            <v>head@whissendine.rutland.sch.uk</v>
          </cell>
        </row>
        <row r="1166">
          <cell r="A1166">
            <v>3052040</v>
          </cell>
          <cell r="B1166">
            <v>101613</v>
          </cell>
          <cell r="C1166">
            <v>305</v>
          </cell>
          <cell r="D1166" t="str">
            <v>Bromley</v>
          </cell>
          <cell r="E1166">
            <v>2040</v>
          </cell>
          <cell r="F1166" t="str">
            <v>Sheila Longstaff</v>
          </cell>
          <cell r="G1166" t="str">
            <v>Darrick Wood Infant School</v>
          </cell>
          <cell r="H1166" t="str">
            <v>London</v>
          </cell>
          <cell r="I1166" t="str">
            <v>Lovibonds Avenue</v>
          </cell>
          <cell r="L1166" t="str">
            <v>Orpington</v>
          </cell>
          <cell r="M1166" t="str">
            <v>Kent</v>
          </cell>
          <cell r="N1166" t="str">
            <v>BR6 8ER</v>
          </cell>
          <cell r="O1166" t="str">
            <v>andrea.moss@darrickwood-inf.bromley.sch.uk</v>
          </cell>
          <cell r="P1166">
            <v>40639</v>
          </cell>
        </row>
        <row r="1167">
          <cell r="A1167">
            <v>3052038</v>
          </cell>
          <cell r="B1167">
            <v>101611</v>
          </cell>
          <cell r="C1167">
            <v>305</v>
          </cell>
          <cell r="D1167" t="str">
            <v>Bromley</v>
          </cell>
          <cell r="E1167">
            <v>2038</v>
          </cell>
          <cell r="F1167" t="str">
            <v>Helen Fisher</v>
          </cell>
          <cell r="G1167" t="str">
            <v>Crofton Infant School</v>
          </cell>
          <cell r="H1167" t="str">
            <v>London</v>
          </cell>
          <cell r="I1167" t="str">
            <v>Town Court Lane</v>
          </cell>
          <cell r="L1167" t="str">
            <v>Orpington</v>
          </cell>
          <cell r="M1167" t="str">
            <v>Kent</v>
          </cell>
          <cell r="N1167" t="str">
            <v>BR5 1EL</v>
          </cell>
          <cell r="O1167" t="str">
            <v>richard@crofton-jun.bromley.sch.uk</v>
          </cell>
          <cell r="P1167">
            <v>40998</v>
          </cell>
        </row>
        <row r="1168">
          <cell r="A1168">
            <v>8817071</v>
          </cell>
          <cell r="B1168">
            <v>135768</v>
          </cell>
          <cell r="C1168">
            <v>881</v>
          </cell>
          <cell r="D1168" t="str">
            <v>Essex</v>
          </cell>
          <cell r="E1168">
            <v>7071</v>
          </cell>
          <cell r="F1168" t="str">
            <v>Joe Farrell</v>
          </cell>
          <cell r="G1168" t="str">
            <v>Columbus School and College</v>
          </cell>
          <cell r="H1168" t="str">
            <v>East of England</v>
          </cell>
          <cell r="I1168" t="str">
            <v>Patching Hall Lane</v>
          </cell>
          <cell r="L1168" t="str">
            <v>Chelmsford</v>
          </cell>
          <cell r="M1168" t="str">
            <v>Essex</v>
          </cell>
          <cell r="N1168" t="str">
            <v>CM1 4BX</v>
          </cell>
          <cell r="O1168" t="str">
            <v>malcolm.reeve@columbus.essex.sch.uk</v>
          </cell>
          <cell r="P1168">
            <v>40667</v>
          </cell>
        </row>
        <row r="1169">
          <cell r="A1169">
            <v>8612064</v>
          </cell>
          <cell r="B1169">
            <v>124002</v>
          </cell>
          <cell r="C1169">
            <v>861</v>
          </cell>
          <cell r="D1169" t="str">
            <v>Stoke-on-Trent</v>
          </cell>
          <cell r="E1169">
            <v>2064</v>
          </cell>
          <cell r="F1169" t="str">
            <v>Julia Waterhouse</v>
          </cell>
          <cell r="G1169" t="str">
            <v>Blurton Primary School</v>
          </cell>
          <cell r="H1169" t="str">
            <v>West Midlands</v>
          </cell>
          <cell r="I1169" t="str">
            <v>Poplar Drive</v>
          </cell>
          <cell r="J1169" t="str">
            <v>Blurton</v>
          </cell>
          <cell r="L1169" t="str">
            <v>Stoke-on-Trent</v>
          </cell>
          <cell r="M1169" t="str">
            <v>Staffordshire</v>
          </cell>
          <cell r="N1169" t="str">
            <v>ST3 3AZ</v>
          </cell>
          <cell r="O1169" t="str">
            <v>vevans11@sgfl.org.uk</v>
          </cell>
        </row>
        <row r="1170">
          <cell r="A1170">
            <v>9282080</v>
          </cell>
          <cell r="B1170">
            <v>121855</v>
          </cell>
          <cell r="C1170">
            <v>928</v>
          </cell>
          <cell r="D1170" t="str">
            <v>Northamptonshire</v>
          </cell>
          <cell r="E1170">
            <v>2080</v>
          </cell>
          <cell r="F1170" t="str">
            <v>Sue Harp</v>
          </cell>
          <cell r="G1170" t="str">
            <v>Rothwell Junior School</v>
          </cell>
          <cell r="H1170" t="str">
            <v>East Midlands</v>
          </cell>
          <cell r="I1170" t="str">
            <v>Gladstone Street</v>
          </cell>
          <cell r="J1170" t="str">
            <v>Rothwell</v>
          </cell>
          <cell r="L1170" t="str">
            <v>Kettering</v>
          </cell>
          <cell r="M1170" t="str">
            <v>Northamptonshire</v>
          </cell>
          <cell r="N1170" t="str">
            <v>NN14 6ER</v>
          </cell>
          <cell r="O1170" t="str">
            <v>head@rothwell-jun.northants-ecl.gov.uk</v>
          </cell>
        </row>
        <row r="1171">
          <cell r="A1171">
            <v>9255412</v>
          </cell>
          <cell r="B1171">
            <v>120708</v>
          </cell>
          <cell r="C1171">
            <v>925</v>
          </cell>
          <cell r="D1171" t="str">
            <v>Lincolnshire</v>
          </cell>
          <cell r="E1171">
            <v>5412</v>
          </cell>
          <cell r="F1171" t="str">
            <v>Grant Dyson</v>
          </cell>
          <cell r="G1171" t="str">
            <v>North Kesteven School</v>
          </cell>
          <cell r="H1171" t="str">
            <v>East Midlands</v>
          </cell>
          <cell r="I1171" t="str">
            <v>Moor Lane</v>
          </cell>
          <cell r="J1171" t="str">
            <v>North Hykeham</v>
          </cell>
          <cell r="L1171" t="str">
            <v>Lincoln</v>
          </cell>
          <cell r="M1171" t="str">
            <v>Lincolnshire</v>
          </cell>
          <cell r="N1171" t="str">
            <v>LN6 9AG</v>
          </cell>
          <cell r="O1171" t="str">
            <v>martin.connor@nkschool.lincs.sch.uk</v>
          </cell>
          <cell r="P1171">
            <v>40632</v>
          </cell>
        </row>
        <row r="1172">
          <cell r="A1172">
            <v>3142014</v>
          </cell>
          <cell r="B1172">
            <v>102571</v>
          </cell>
          <cell r="C1172">
            <v>314</v>
          </cell>
          <cell r="D1172" t="str">
            <v>Kingston upon Thames</v>
          </cell>
          <cell r="E1172">
            <v>2014</v>
          </cell>
          <cell r="F1172" t="str">
            <v>Kiran Teli</v>
          </cell>
          <cell r="G1172" t="str">
            <v>Latchmere School</v>
          </cell>
          <cell r="H1172" t="str">
            <v>London</v>
          </cell>
          <cell r="I1172" t="str">
            <v>Latchmere Road</v>
          </cell>
          <cell r="L1172" t="str">
            <v>Kingston upon Thames</v>
          </cell>
          <cell r="M1172" t="str">
            <v>Surrey</v>
          </cell>
          <cell r="N1172" t="str">
            <v>KT2 5TT</v>
          </cell>
          <cell r="P1172">
            <v>41002</v>
          </cell>
        </row>
        <row r="1173">
          <cell r="A1173">
            <v>8884741</v>
          </cell>
          <cell r="B1173">
            <v>119802</v>
          </cell>
          <cell r="C1173">
            <v>888</v>
          </cell>
          <cell r="D1173" t="str">
            <v>Lancashire</v>
          </cell>
          <cell r="E1173">
            <v>4741</v>
          </cell>
          <cell r="F1173" t="str">
            <v>Viv Clutton</v>
          </cell>
          <cell r="G1173" t="str">
            <v>All Hallows Catholic High School</v>
          </cell>
          <cell r="H1173" t="str">
            <v>North West</v>
          </cell>
          <cell r="I1173" t="str">
            <v>Crabtree Avenue</v>
          </cell>
          <cell r="J1173" t="str">
            <v>Penwortham</v>
          </cell>
          <cell r="L1173" t="str">
            <v>Preston</v>
          </cell>
          <cell r="M1173" t="str">
            <v>Lancashire</v>
          </cell>
          <cell r="N1173" t="str">
            <v>PR1 0LN</v>
          </cell>
          <cell r="O1173" t="str">
            <v>chrisriding58@hotmail.co.uk</v>
          </cell>
        </row>
        <row r="1174">
          <cell r="A1174">
            <v>2132418</v>
          </cell>
          <cell r="B1174">
            <v>101113</v>
          </cell>
          <cell r="C1174">
            <v>213</v>
          </cell>
          <cell r="D1174" t="str">
            <v>Westminster</v>
          </cell>
          <cell r="E1174">
            <v>2418</v>
          </cell>
          <cell r="F1174" t="str">
            <v>Sheila Longstaff</v>
          </cell>
          <cell r="G1174" t="str">
            <v>Millbank Primary School</v>
          </cell>
          <cell r="H1174" t="str">
            <v>London</v>
          </cell>
          <cell r="I1174" t="str">
            <v>Erasmus Street</v>
          </cell>
          <cell r="L1174" t="str">
            <v>London</v>
          </cell>
          <cell r="N1174" t="str">
            <v>SW1P 4HR</v>
          </cell>
          <cell r="O1174" t="str">
            <v>arussen@millbankschool.co.uk</v>
          </cell>
          <cell r="P1174">
            <v>40976</v>
          </cell>
        </row>
        <row r="1175">
          <cell r="A1175">
            <v>8154216</v>
          </cell>
          <cell r="B1175">
            <v>121695</v>
          </cell>
          <cell r="C1175">
            <v>815</v>
          </cell>
          <cell r="D1175" t="str">
            <v>North Yorkshire</v>
          </cell>
          <cell r="E1175">
            <v>4216</v>
          </cell>
          <cell r="F1175" t="str">
            <v>Nick Monton</v>
          </cell>
          <cell r="G1175" t="str">
            <v>Sherburn High School</v>
          </cell>
          <cell r="H1175" t="str">
            <v>Yorkshire and the Humber</v>
          </cell>
          <cell r="I1175" t="str">
            <v>Garden Lane</v>
          </cell>
          <cell r="J1175" t="str">
            <v>Sherburn-in-Elmet</v>
          </cell>
          <cell r="L1175" t="str">
            <v>Leeds</v>
          </cell>
          <cell r="M1175" t="str">
            <v>West Yorkshire</v>
          </cell>
          <cell r="N1175" t="str">
            <v>LS25 6AS</v>
          </cell>
          <cell r="O1175" t="str">
            <v>martyn.sibley@sherburnhigh.co.uk</v>
          </cell>
        </row>
        <row r="1176">
          <cell r="A1176">
            <v>8803119</v>
          </cell>
          <cell r="B1176">
            <v>113401</v>
          </cell>
          <cell r="C1176">
            <v>880</v>
          </cell>
          <cell r="D1176" t="str">
            <v>Torbay</v>
          </cell>
          <cell r="E1176">
            <v>3119</v>
          </cell>
          <cell r="F1176" t="str">
            <v>Niko Thomas</v>
          </cell>
          <cell r="G1176" t="str">
            <v>Ilsham Church of England Primary School</v>
          </cell>
          <cell r="H1176" t="str">
            <v>South West</v>
          </cell>
          <cell r="I1176" t="str">
            <v>Ilsham Road</v>
          </cell>
          <cell r="L1176" t="str">
            <v>Torquay</v>
          </cell>
          <cell r="M1176" t="str">
            <v>Devon</v>
          </cell>
          <cell r="N1176" t="str">
            <v>TQ1 2JQ</v>
          </cell>
          <cell r="O1176" t="str">
            <v>head@ilsham-primary.torbay.sch.uk</v>
          </cell>
          <cell r="P1176">
            <v>40562</v>
          </cell>
        </row>
        <row r="1177">
          <cell r="A1177">
            <v>8412669</v>
          </cell>
          <cell r="B1177">
            <v>114183</v>
          </cell>
          <cell r="C1177">
            <v>841</v>
          </cell>
          <cell r="D1177" t="str">
            <v>Darlington</v>
          </cell>
          <cell r="E1177">
            <v>2669</v>
          </cell>
          <cell r="F1177" t="str">
            <v>Jane Moore</v>
          </cell>
          <cell r="G1177" t="str">
            <v>Red Hall Primary School</v>
          </cell>
          <cell r="H1177" t="str">
            <v>North East</v>
          </cell>
          <cell r="I1177" t="str">
            <v>Headingley Crescent</v>
          </cell>
          <cell r="L1177" t="str">
            <v>Darlington</v>
          </cell>
          <cell r="M1177" t="str">
            <v>County Durham</v>
          </cell>
          <cell r="N1177" t="str">
            <v>DL1 2ST</v>
          </cell>
          <cell r="O1177" t="str">
            <v>admin@redhall.darlington.sch.uk</v>
          </cell>
        </row>
        <row r="1178">
          <cell r="A1178">
            <v>9284066</v>
          </cell>
          <cell r="B1178">
            <v>122074</v>
          </cell>
          <cell r="C1178">
            <v>928</v>
          </cell>
          <cell r="D1178" t="str">
            <v>Northamptonshire</v>
          </cell>
          <cell r="E1178">
            <v>4066</v>
          </cell>
          <cell r="F1178" t="str">
            <v>Jacki Couch</v>
          </cell>
          <cell r="G1178" t="str">
            <v>The Duston School</v>
          </cell>
          <cell r="H1178" t="str">
            <v>East Midlands</v>
          </cell>
          <cell r="I1178" t="str">
            <v>Berrywood Road</v>
          </cell>
          <cell r="J1178" t="str">
            <v>Duston</v>
          </cell>
          <cell r="L1178" t="str">
            <v>Northampton</v>
          </cell>
          <cell r="M1178" t="str">
            <v>Northamptonshire</v>
          </cell>
          <cell r="N1178" t="str">
            <v>NN5 6XA</v>
          </cell>
          <cell r="O1178" t="str">
            <v>gsalver@thedustonschool.northants.sch.uk</v>
          </cell>
          <cell r="P1178">
            <v>40529</v>
          </cell>
        </row>
        <row r="1179">
          <cell r="A1179">
            <v>8402379</v>
          </cell>
          <cell r="B1179">
            <v>114083</v>
          </cell>
          <cell r="C1179">
            <v>840</v>
          </cell>
          <cell r="D1179" t="str">
            <v>Durham</v>
          </cell>
          <cell r="E1179">
            <v>2379</v>
          </cell>
          <cell r="F1179" t="str">
            <v>Janet Smith</v>
          </cell>
          <cell r="G1179" t="str">
            <v>Tudhoe Colliery Primary School</v>
          </cell>
          <cell r="H1179" t="str">
            <v>North East</v>
          </cell>
          <cell r="I1179" t="str">
            <v>Front Street</v>
          </cell>
          <cell r="J1179" t="str">
            <v>Tudhoe Colliery</v>
          </cell>
          <cell r="L1179" t="str">
            <v>Spennymoor</v>
          </cell>
          <cell r="M1179" t="str">
            <v>County Durham</v>
          </cell>
          <cell r="N1179" t="str">
            <v>DL16 6TJ</v>
          </cell>
          <cell r="O1179" t="str">
            <v>j.smith110@durhamlearning.net</v>
          </cell>
          <cell r="P1179">
            <v>41025</v>
          </cell>
        </row>
        <row r="1180">
          <cell r="A1180">
            <v>8254505</v>
          </cell>
          <cell r="B1180">
            <v>110515</v>
          </cell>
          <cell r="C1180">
            <v>825</v>
          </cell>
          <cell r="D1180" t="str">
            <v>Buckinghamshire</v>
          </cell>
          <cell r="E1180">
            <v>4505</v>
          </cell>
          <cell r="F1180" t="str">
            <v>Darren Francis</v>
          </cell>
          <cell r="G1180" t="str">
            <v>Sir William Borlase's Grammar School</v>
          </cell>
          <cell r="H1180" t="str">
            <v>South East</v>
          </cell>
          <cell r="I1180" t="str">
            <v>West Street</v>
          </cell>
          <cell r="L1180" t="str">
            <v>Marlow</v>
          </cell>
          <cell r="M1180" t="str">
            <v>Buckinghamshire</v>
          </cell>
          <cell r="N1180" t="str">
            <v>SL7 2BR</v>
          </cell>
          <cell r="O1180" t="str">
            <v>pholding@swbgs.com</v>
          </cell>
          <cell r="P1180">
            <v>40590</v>
          </cell>
        </row>
        <row r="1181">
          <cell r="A1181">
            <v>3332158</v>
          </cell>
          <cell r="B1181">
            <v>103966</v>
          </cell>
          <cell r="C1181">
            <v>333</v>
          </cell>
          <cell r="D1181" t="str">
            <v>Sandwell</v>
          </cell>
          <cell r="E1181">
            <v>2158</v>
          </cell>
          <cell r="F1181" t="str">
            <v>Hannah Copp</v>
          </cell>
          <cell r="G1181" t="str">
            <v>Timbertree Primary School</v>
          </cell>
          <cell r="H1181" t="str">
            <v>West Midlands</v>
          </cell>
          <cell r="I1181" t="str">
            <v>Valley Road</v>
          </cell>
          <cell r="L1181" t="str">
            <v>Cradley Heath</v>
          </cell>
          <cell r="M1181" t="str">
            <v>West Midlands</v>
          </cell>
          <cell r="N1181" t="str">
            <v>B64 7LT</v>
          </cell>
          <cell r="O1181" t="str">
            <v>tracy.ruddle@corngreaves.sandwell.sch.uk</v>
          </cell>
          <cell r="P1181">
            <v>41101</v>
          </cell>
        </row>
        <row r="1182">
          <cell r="A1182">
            <v>8412663</v>
          </cell>
          <cell r="B1182">
            <v>114178</v>
          </cell>
          <cell r="C1182">
            <v>841</v>
          </cell>
          <cell r="D1182" t="str">
            <v>Darlington</v>
          </cell>
          <cell r="E1182">
            <v>2663</v>
          </cell>
          <cell r="F1182" t="str">
            <v>Jane Moore</v>
          </cell>
          <cell r="G1182" t="str">
            <v>Reid Street Primary School</v>
          </cell>
          <cell r="H1182" t="str">
            <v>North East</v>
          </cell>
          <cell r="I1182" t="str">
            <v>Reid Street</v>
          </cell>
          <cell r="L1182" t="str">
            <v>Darlington</v>
          </cell>
          <cell r="M1182" t="str">
            <v>County Durham</v>
          </cell>
          <cell r="N1182" t="str">
            <v>DL3 6EX</v>
          </cell>
          <cell r="O1182" t="str">
            <v>prhatigan@reidstreet.darlington.sch.uk</v>
          </cell>
          <cell r="P1182">
            <v>40613</v>
          </cell>
        </row>
        <row r="1183">
          <cell r="A1183">
            <v>9312053</v>
          </cell>
          <cell r="B1183">
            <v>122992</v>
          </cell>
          <cell r="C1183">
            <v>931</v>
          </cell>
          <cell r="D1183" t="str">
            <v>Oxfordshire</v>
          </cell>
          <cell r="E1183">
            <v>2053</v>
          </cell>
          <cell r="F1183" t="str">
            <v>Bukky Sawyerr</v>
          </cell>
          <cell r="G1183" t="str">
            <v>Harriers Ground Community Primary School</v>
          </cell>
          <cell r="H1183" t="str">
            <v>South East</v>
          </cell>
          <cell r="I1183" t="str">
            <v>Harriers View</v>
          </cell>
          <cell r="J1183" t="str">
            <v>Bloxham Road</v>
          </cell>
          <cell r="L1183" t="str">
            <v>Banbury</v>
          </cell>
          <cell r="M1183" t="str">
            <v>Oxfordshire</v>
          </cell>
          <cell r="N1183" t="str">
            <v>OX16 9JW</v>
          </cell>
          <cell r="O1183" t="str">
            <v>vmclean@aatbanbury.org</v>
          </cell>
          <cell r="P1183">
            <v>41198</v>
          </cell>
        </row>
        <row r="1184">
          <cell r="A1184">
            <v>9283038</v>
          </cell>
          <cell r="B1184">
            <v>121978</v>
          </cell>
          <cell r="C1184">
            <v>928</v>
          </cell>
          <cell r="D1184" t="str">
            <v>Northamptonshire</v>
          </cell>
          <cell r="E1184">
            <v>3038</v>
          </cell>
          <cell r="F1184" t="str">
            <v>Sue Harp</v>
          </cell>
          <cell r="G1184" t="str">
            <v>St Andrew's Church of England Primary School</v>
          </cell>
          <cell r="H1184" t="str">
            <v>East Midlands</v>
          </cell>
          <cell r="I1184" t="str">
            <v>Grafton Street</v>
          </cell>
          <cell r="L1184" t="str">
            <v>Kettering</v>
          </cell>
          <cell r="M1184" t="str">
            <v>Northamptonshire</v>
          </cell>
          <cell r="N1184" t="str">
            <v>NN16 9DF</v>
          </cell>
          <cell r="O1184" t="str">
            <v>head@standrews.northants-ecl.gov.uk</v>
          </cell>
        </row>
        <row r="1185">
          <cell r="A1185">
            <v>9312561</v>
          </cell>
          <cell r="B1185">
            <v>123060</v>
          </cell>
          <cell r="C1185">
            <v>931</v>
          </cell>
          <cell r="D1185" t="str">
            <v>Oxfordshire</v>
          </cell>
          <cell r="E1185">
            <v>2561</v>
          </cell>
          <cell r="F1185" t="str">
            <v>Bukky Sawyerr</v>
          </cell>
          <cell r="G1185" t="str">
            <v>Faringdon Infant School</v>
          </cell>
          <cell r="H1185" t="str">
            <v>South East</v>
          </cell>
          <cell r="I1185" t="str">
            <v>Lechlade Road</v>
          </cell>
          <cell r="L1185" t="str">
            <v>Faringdon</v>
          </cell>
          <cell r="M1185" t="str">
            <v>Oxfordshire</v>
          </cell>
          <cell r="N1185" t="str">
            <v>SN7 8AH</v>
          </cell>
          <cell r="O1185" t="str">
            <v>head.2561@faringdon-inf.oxon.sch.uk</v>
          </cell>
          <cell r="P1185">
            <v>40884</v>
          </cell>
        </row>
        <row r="1186">
          <cell r="A1186">
            <v>8825950</v>
          </cell>
          <cell r="B1186">
            <v>115385</v>
          </cell>
          <cell r="C1186">
            <v>882</v>
          </cell>
          <cell r="D1186" t="str">
            <v>Southend-on-Sea</v>
          </cell>
          <cell r="E1186">
            <v>5950</v>
          </cell>
          <cell r="F1186" t="str">
            <v>Beverley Samuel</v>
          </cell>
          <cell r="G1186" t="str">
            <v>The St Christopher School</v>
          </cell>
          <cell r="H1186" t="str">
            <v>East of England</v>
          </cell>
          <cell r="I1186" t="str">
            <v>Mountdale Gardens</v>
          </cell>
          <cell r="L1186" t="str">
            <v>Leigh-on-Sea</v>
          </cell>
          <cell r="M1186" t="str">
            <v>Essex</v>
          </cell>
          <cell r="N1186" t="str">
            <v>SS9 4AW</v>
          </cell>
          <cell r="O1186" t="str">
            <v>Head@tscs.southend.sch.uk</v>
          </cell>
          <cell r="P1186">
            <v>40843</v>
          </cell>
        </row>
        <row r="1187">
          <cell r="A1187">
            <v>3434031</v>
          </cell>
          <cell r="B1187">
            <v>104946</v>
          </cell>
          <cell r="C1187">
            <v>343</v>
          </cell>
          <cell r="D1187" t="str">
            <v>Sefton</v>
          </cell>
          <cell r="E1187">
            <v>4031</v>
          </cell>
          <cell r="F1187" t="str">
            <v>Maria Sabberton</v>
          </cell>
          <cell r="G1187" t="str">
            <v>Hillside High School Science and Language College</v>
          </cell>
          <cell r="H1187" t="str">
            <v>North West</v>
          </cell>
          <cell r="I1187" t="str">
            <v>Breeze Hill</v>
          </cell>
          <cell r="L1187" t="str">
            <v>Bootle</v>
          </cell>
          <cell r="M1187" t="str">
            <v>Merseyside</v>
          </cell>
          <cell r="N1187" t="str">
            <v>L20 9NU</v>
          </cell>
          <cell r="O1187" t="str">
            <v>mail@hillside.sefton.sch.uk</v>
          </cell>
        </row>
        <row r="1188">
          <cell r="A1188">
            <v>3735201</v>
          </cell>
          <cell r="B1188">
            <v>107151</v>
          </cell>
          <cell r="C1188">
            <v>373</v>
          </cell>
          <cell r="D1188" t="str">
            <v>Sheffield</v>
          </cell>
          <cell r="E1188">
            <v>5201</v>
          </cell>
          <cell r="F1188" t="str">
            <v>Bev Annables</v>
          </cell>
          <cell r="G1188" t="str">
            <v>St John Fisher Catholic Primary School</v>
          </cell>
          <cell r="H1188" t="str">
            <v>Yorkshire and the Humber</v>
          </cell>
          <cell r="I1188" t="str">
            <v>Springwater Avenue</v>
          </cell>
          <cell r="J1188" t="str">
            <v>Hackenthorpe</v>
          </cell>
          <cell r="L1188" t="str">
            <v>Sheffield</v>
          </cell>
          <cell r="M1188" t="str">
            <v>South Yorkshire</v>
          </cell>
          <cell r="N1188" t="str">
            <v>S12 4HJ</v>
          </cell>
          <cell r="O1188" t="str">
            <v>f.barratt@stjohnfisherlearning.co.uk</v>
          </cell>
          <cell r="P1188">
            <v>41255</v>
          </cell>
        </row>
        <row r="1189">
          <cell r="A1189">
            <v>8302002</v>
          </cell>
          <cell r="B1189">
            <v>112493</v>
          </cell>
          <cell r="C1189">
            <v>830</v>
          </cell>
          <cell r="D1189" t="str">
            <v>Derbyshire</v>
          </cell>
          <cell r="E1189">
            <v>2002</v>
          </cell>
          <cell r="F1189" t="str">
            <v>Paul Hayes</v>
          </cell>
          <cell r="G1189" t="str">
            <v>Croft Infant School</v>
          </cell>
          <cell r="H1189" t="str">
            <v>East Midlands</v>
          </cell>
          <cell r="I1189" t="str">
            <v>Marshall Street</v>
          </cell>
          <cell r="L1189" t="str">
            <v>Alfreton</v>
          </cell>
          <cell r="M1189" t="str">
            <v>Derbyshire</v>
          </cell>
          <cell r="N1189" t="str">
            <v>DE55 7BW</v>
          </cell>
          <cell r="O1189" t="str">
            <v>headteacher@croft.derbyshire.sch.uk</v>
          </cell>
        </row>
        <row r="1190">
          <cell r="A1190">
            <v>9253040</v>
          </cell>
          <cell r="B1190">
            <v>120529</v>
          </cell>
          <cell r="C1190">
            <v>925</v>
          </cell>
          <cell r="D1190" t="str">
            <v>Lincolnshire</v>
          </cell>
          <cell r="E1190">
            <v>3040</v>
          </cell>
          <cell r="F1190" t="str">
            <v>Pauline Cole</v>
          </cell>
          <cell r="G1190" t="str">
            <v>Long Bennington Church of England Primary School</v>
          </cell>
          <cell r="H1190" t="str">
            <v>East Midlands</v>
          </cell>
          <cell r="I1190" t="str">
            <v>Main Road</v>
          </cell>
          <cell r="J1190" t="str">
            <v>Long Bennington</v>
          </cell>
          <cell r="L1190" t="str">
            <v>Newark</v>
          </cell>
          <cell r="M1190" t="str">
            <v>Nottinghamshire</v>
          </cell>
          <cell r="N1190" t="str">
            <v>NG23 5EH</v>
          </cell>
          <cell r="O1190" t="str">
            <v>sue.eveleigh@long-bennington.lincs.sch.uk</v>
          </cell>
          <cell r="P1190">
            <v>40823</v>
          </cell>
        </row>
        <row r="1191">
          <cell r="A1191">
            <v>8963802</v>
          </cell>
          <cell r="B1191">
            <v>134336</v>
          </cell>
          <cell r="C1191">
            <v>896</v>
          </cell>
          <cell r="D1191" t="str">
            <v>Cheshire West and Chester</v>
          </cell>
          <cell r="E1191">
            <v>3802</v>
          </cell>
          <cell r="F1191" t="str">
            <v>Kris Nursiah</v>
          </cell>
          <cell r="G1191" t="str">
            <v>Kingsmead Primary School</v>
          </cell>
          <cell r="H1191" t="str">
            <v>North West</v>
          </cell>
          <cell r="I1191" t="str">
            <v>Dukes Way</v>
          </cell>
          <cell r="J1191" t="str">
            <v>Kingsmead</v>
          </cell>
          <cell r="L1191" t="str">
            <v>Northwich</v>
          </cell>
          <cell r="M1191" t="str">
            <v>Cheshire</v>
          </cell>
          <cell r="N1191" t="str">
            <v>CW9 8WA</v>
          </cell>
          <cell r="O1191" t="str">
            <v>head@kingsmead.cheshire.sch.uk</v>
          </cell>
        </row>
        <row r="1192">
          <cell r="A1192">
            <v>9285206</v>
          </cell>
          <cell r="B1192">
            <v>122108</v>
          </cell>
          <cell r="C1192">
            <v>928</v>
          </cell>
          <cell r="D1192" t="str">
            <v>Northamptonshire</v>
          </cell>
          <cell r="E1192">
            <v>5206</v>
          </cell>
          <cell r="F1192" t="str">
            <v>Sue Harp</v>
          </cell>
          <cell r="G1192" t="str">
            <v>Millbrook Infant School</v>
          </cell>
          <cell r="H1192" t="str">
            <v>East Midlands</v>
          </cell>
          <cell r="I1192" t="str">
            <v>Churchill Way</v>
          </cell>
          <cell r="L1192" t="str">
            <v>Kettering</v>
          </cell>
          <cell r="M1192" t="str">
            <v>Northamptonshire</v>
          </cell>
          <cell r="N1192" t="str">
            <v>NN15 5BZ</v>
          </cell>
          <cell r="O1192" t="str">
            <v>head@millbrook-inf.northants-ecl.gov.uk</v>
          </cell>
        </row>
        <row r="1193">
          <cell r="A1193">
            <v>3107002</v>
          </cell>
          <cell r="B1193">
            <v>102260</v>
          </cell>
          <cell r="C1193">
            <v>310</v>
          </cell>
          <cell r="D1193" t="str">
            <v>Harrow</v>
          </cell>
          <cell r="E1193">
            <v>7002</v>
          </cell>
          <cell r="F1193" t="str">
            <v>Martin Rowley</v>
          </cell>
          <cell r="G1193" t="str">
            <v>Shaftesbury High School</v>
          </cell>
          <cell r="H1193" t="str">
            <v>London</v>
          </cell>
          <cell r="I1193" t="str">
            <v>Headstone Lane</v>
          </cell>
          <cell r="L1193" t="str">
            <v>Harrow</v>
          </cell>
          <cell r="N1193" t="str">
            <v>HA3 6LE</v>
          </cell>
          <cell r="O1193" t="str">
            <v>williamsp@shaftesbury.harrow.sch.uk</v>
          </cell>
        </row>
        <row r="1194">
          <cell r="A1194">
            <v>8832985</v>
          </cell>
          <cell r="B1194">
            <v>115058</v>
          </cell>
          <cell r="C1194">
            <v>883</v>
          </cell>
          <cell r="D1194" t="str">
            <v>Thurrock</v>
          </cell>
          <cell r="E1194">
            <v>2985</v>
          </cell>
          <cell r="F1194" t="str">
            <v>Claire Ivie</v>
          </cell>
          <cell r="G1194" t="str">
            <v>Shaw Primary School</v>
          </cell>
          <cell r="H1194" t="str">
            <v>East of England</v>
          </cell>
          <cell r="I1194" t="str">
            <v>Avon Green</v>
          </cell>
          <cell r="L1194" t="str">
            <v>South Ockendon</v>
          </cell>
          <cell r="M1194" t="str">
            <v>Essex</v>
          </cell>
          <cell r="N1194" t="str">
            <v>RM15 5QJ</v>
          </cell>
          <cell r="O1194" t="str">
            <v>headteacher@shawprimary.thurrock.sch.uk</v>
          </cell>
          <cell r="P1194">
            <v>41101</v>
          </cell>
        </row>
        <row r="1195">
          <cell r="A1195">
            <v>8872413</v>
          </cell>
          <cell r="B1195">
            <v>118432</v>
          </cell>
          <cell r="C1195">
            <v>887</v>
          </cell>
          <cell r="D1195" t="str">
            <v>Medway</v>
          </cell>
          <cell r="E1195">
            <v>2413</v>
          </cell>
          <cell r="F1195" t="str">
            <v>Sarah Mitchell</v>
          </cell>
          <cell r="G1195" t="str">
            <v>Delce Junior School</v>
          </cell>
          <cell r="H1195" t="str">
            <v>South East</v>
          </cell>
          <cell r="I1195" t="str">
            <v>The Tideway</v>
          </cell>
          <cell r="L1195" t="str">
            <v>Rochester</v>
          </cell>
          <cell r="M1195" t="str">
            <v>Kent</v>
          </cell>
          <cell r="N1195" t="str">
            <v>ME1 2NJ</v>
          </cell>
          <cell r="O1195" t="str">
            <v>head@delce-jun.medway.sch.uk</v>
          </cell>
        </row>
        <row r="1196">
          <cell r="A1196">
            <v>3134026</v>
          </cell>
          <cell r="B1196">
            <v>102537</v>
          </cell>
          <cell r="C1196">
            <v>313</v>
          </cell>
          <cell r="D1196" t="str">
            <v>Hounslow</v>
          </cell>
          <cell r="E1196">
            <v>4026</v>
          </cell>
          <cell r="F1196" t="str">
            <v>Sheila Longstaff</v>
          </cell>
          <cell r="G1196" t="str">
            <v>Heston Community School</v>
          </cell>
          <cell r="H1196" t="str">
            <v>London</v>
          </cell>
          <cell r="I1196" t="str">
            <v>Heston Road</v>
          </cell>
          <cell r="J1196" t="str">
            <v>Heston</v>
          </cell>
          <cell r="L1196" t="str">
            <v>Hounslow</v>
          </cell>
          <cell r="N1196" t="str">
            <v>TW5 0QR</v>
          </cell>
          <cell r="O1196" t="str">
            <v>pward@hestoncs.hounslow.sch.uk</v>
          </cell>
          <cell r="P1196">
            <v>40869</v>
          </cell>
        </row>
        <row r="1197">
          <cell r="A1197">
            <v>3564031</v>
          </cell>
          <cell r="B1197">
            <v>106132</v>
          </cell>
          <cell r="C1197">
            <v>356</v>
          </cell>
          <cell r="D1197" t="str">
            <v>Stockport</v>
          </cell>
          <cell r="E1197">
            <v>4031</v>
          </cell>
          <cell r="F1197" t="str">
            <v>Jane McCusker</v>
          </cell>
          <cell r="G1197" t="str">
            <v>Offerton School</v>
          </cell>
          <cell r="H1197" t="str">
            <v>North West</v>
          </cell>
          <cell r="I1197" t="str">
            <v>The Fairway</v>
          </cell>
          <cell r="J1197" t="str">
            <v>Offerton</v>
          </cell>
          <cell r="L1197" t="str">
            <v>Stockport</v>
          </cell>
          <cell r="M1197" t="str">
            <v>Cheshire</v>
          </cell>
          <cell r="N1197" t="str">
            <v>SK2 5DS</v>
          </cell>
          <cell r="O1197" t="str">
            <v>paul.beatty@manchester.ac.uk</v>
          </cell>
        </row>
        <row r="1198">
          <cell r="A1198">
            <v>9252189</v>
          </cell>
          <cell r="B1198">
            <v>120474</v>
          </cell>
          <cell r="C1198">
            <v>925</v>
          </cell>
          <cell r="D1198" t="str">
            <v>Lincolnshire</v>
          </cell>
          <cell r="E1198">
            <v>2189</v>
          </cell>
          <cell r="F1198" t="str">
            <v>Stella Mascarenhas-Keys</v>
          </cell>
          <cell r="G1198" t="str">
            <v>Skegness Junior School (Fast Track)</v>
          </cell>
          <cell r="H1198" t="str">
            <v>East Midlands</v>
          </cell>
          <cell r="I1198" t="str">
            <v>Pelham Road</v>
          </cell>
          <cell r="L1198" t="str">
            <v>Skegness</v>
          </cell>
          <cell r="M1198" t="str">
            <v>Lincolnshire</v>
          </cell>
          <cell r="N1198" t="str">
            <v>PE25 2QX</v>
          </cell>
          <cell r="O1198" t="str">
            <v>Tom.Smith@skegness-jun.lincs.sch.uk</v>
          </cell>
          <cell r="P1198">
            <v>40746</v>
          </cell>
        </row>
        <row r="1199">
          <cell r="A1199">
            <v>8864207</v>
          </cell>
          <cell r="B1199">
            <v>118825</v>
          </cell>
          <cell r="C1199">
            <v>886</v>
          </cell>
          <cell r="D1199" t="str">
            <v>Kent</v>
          </cell>
          <cell r="E1199">
            <v>4207</v>
          </cell>
          <cell r="F1199" t="str">
            <v>Nicky Edwards</v>
          </cell>
          <cell r="G1199" t="str">
            <v>Castle Community College</v>
          </cell>
          <cell r="H1199" t="str">
            <v>South East</v>
          </cell>
          <cell r="I1199" t="str">
            <v>Mill Road</v>
          </cell>
          <cell r="L1199" t="str">
            <v>Deal</v>
          </cell>
          <cell r="M1199" t="str">
            <v>Kent</v>
          </cell>
          <cell r="N1199" t="str">
            <v>CT14 9BD</v>
          </cell>
          <cell r="O1199" t="str">
            <v>sleach@castle.kent.sch.uk</v>
          </cell>
          <cell r="P1199">
            <v>40346</v>
          </cell>
        </row>
        <row r="1200">
          <cell r="A1200">
            <v>9333493</v>
          </cell>
          <cell r="B1200">
            <v>131010</v>
          </cell>
          <cell r="C1200">
            <v>933</v>
          </cell>
          <cell r="D1200" t="str">
            <v>Somerset</v>
          </cell>
          <cell r="E1200">
            <v>3493</v>
          </cell>
          <cell r="F1200" t="str">
            <v>Theresa Oddelm</v>
          </cell>
          <cell r="G1200" t="str">
            <v>All Saints Church of England Primary School</v>
          </cell>
          <cell r="H1200" t="str">
            <v>South West</v>
          </cell>
          <cell r="I1200" t="str">
            <v>Ladies Walk</v>
          </cell>
          <cell r="J1200" t="str">
            <v>Yeovil Road</v>
          </cell>
          <cell r="L1200" t="str">
            <v>Montacute</v>
          </cell>
          <cell r="M1200" t="str">
            <v>Somerset</v>
          </cell>
          <cell r="N1200" t="str">
            <v>TA15 6XG</v>
          </cell>
          <cell r="O1200" t="str">
            <v>PPark@educ.somerset.gov.uk</v>
          </cell>
        </row>
        <row r="1201">
          <cell r="A1201">
            <v>8843055</v>
          </cell>
          <cell r="B1201">
            <v>116820</v>
          </cell>
          <cell r="C1201">
            <v>884</v>
          </cell>
          <cell r="D1201" t="str">
            <v>Herefordshire</v>
          </cell>
          <cell r="E1201">
            <v>3055</v>
          </cell>
          <cell r="F1201" t="str">
            <v>John Edmunds</v>
          </cell>
          <cell r="G1201" t="str">
            <v>Holmer CE Primary School</v>
          </cell>
          <cell r="H1201" t="str">
            <v>West Midlands</v>
          </cell>
          <cell r="I1201" t="str">
            <v>Holmer Road</v>
          </cell>
          <cell r="L1201" t="str">
            <v>Hereford</v>
          </cell>
          <cell r="M1201" t="str">
            <v>Herefordshire</v>
          </cell>
          <cell r="N1201" t="str">
            <v>HR4 9RX</v>
          </cell>
          <cell r="O1201" t="str">
            <v>jcecil@holmer.hereford.sch.uk</v>
          </cell>
          <cell r="P1201">
            <v>40646</v>
          </cell>
        </row>
        <row r="1202">
          <cell r="A1202">
            <v>8733384</v>
          </cell>
          <cell r="B1202">
            <v>131238</v>
          </cell>
          <cell r="C1202">
            <v>873</v>
          </cell>
          <cell r="D1202" t="str">
            <v>Cambridgeshire</v>
          </cell>
          <cell r="E1202">
            <v>3384</v>
          </cell>
          <cell r="F1202" t="str">
            <v>Yvonne Reddington</v>
          </cell>
          <cell r="G1202" t="str">
            <v>St Anne's CofE Primary School</v>
          </cell>
          <cell r="H1202" t="str">
            <v>East of England</v>
          </cell>
          <cell r="I1202" t="str">
            <v>London Road</v>
          </cell>
          <cell r="J1202" t="str">
            <v>Godmanchester</v>
          </cell>
          <cell r="L1202" t="str">
            <v>Huntingdon</v>
          </cell>
          <cell r="M1202" t="str">
            <v>Cambridgeshire</v>
          </cell>
          <cell r="N1202" t="str">
            <v>PE29 2WW</v>
          </cell>
          <cell r="O1202" t="str">
            <v>head@stannes.cambs.sch.uk</v>
          </cell>
        </row>
        <row r="1203">
          <cell r="A1203">
            <v>9164024</v>
          </cell>
          <cell r="B1203">
            <v>115722</v>
          </cell>
          <cell r="C1203">
            <v>916</v>
          </cell>
          <cell r="D1203" t="str">
            <v>Gloucestershire</v>
          </cell>
          <cell r="E1203">
            <v>4024</v>
          </cell>
          <cell r="F1203" t="str">
            <v>Rosie Line</v>
          </cell>
          <cell r="G1203" t="str">
            <v>Cleeve School</v>
          </cell>
          <cell r="H1203" t="str">
            <v>South West</v>
          </cell>
          <cell r="I1203" t="str">
            <v>Two Hedges Road</v>
          </cell>
          <cell r="J1203" t="str">
            <v>Bishops Cleeve</v>
          </cell>
          <cell r="L1203" t="str">
            <v>Cheltenham</v>
          </cell>
          <cell r="M1203" t="str">
            <v>Gloucestershire</v>
          </cell>
          <cell r="N1203" t="str">
            <v>GL52 8AE</v>
          </cell>
          <cell r="O1203" t="str">
            <v>rtb@cleeveschool.net</v>
          </cell>
          <cell r="P1203">
            <v>40588</v>
          </cell>
        </row>
        <row r="1204">
          <cell r="A1204">
            <v>8862536</v>
          </cell>
          <cell r="B1204">
            <v>118499</v>
          </cell>
          <cell r="C1204">
            <v>886</v>
          </cell>
          <cell r="D1204" t="str">
            <v>Kent</v>
          </cell>
          <cell r="E1204">
            <v>2536</v>
          </cell>
          <cell r="G1204" t="str">
            <v>Loose Infant School</v>
          </cell>
          <cell r="H1204" t="str">
            <v>South East</v>
          </cell>
          <cell r="I1204" t="str">
            <v>Loose Road</v>
          </cell>
          <cell r="J1204" t="str">
            <v>Loose</v>
          </cell>
          <cell r="L1204" t="str">
            <v>Maidstone</v>
          </cell>
          <cell r="M1204" t="str">
            <v>Kent</v>
          </cell>
          <cell r="N1204" t="str">
            <v>ME15 9UW</v>
          </cell>
          <cell r="O1204" t="str">
            <v>headteacher@loose-infant.kent.sch.uk</v>
          </cell>
        </row>
        <row r="1205">
          <cell r="A1205">
            <v>3414426</v>
          </cell>
          <cell r="B1205">
            <v>104697</v>
          </cell>
          <cell r="C1205">
            <v>341</v>
          </cell>
          <cell r="D1205" t="str">
            <v>Liverpool</v>
          </cell>
          <cell r="E1205">
            <v>4426</v>
          </cell>
          <cell r="F1205" t="str">
            <v>Maria Sabberton</v>
          </cell>
          <cell r="G1205" t="str">
            <v>Childwall School - A Specialist Sports College</v>
          </cell>
          <cell r="H1205" t="str">
            <v>North West</v>
          </cell>
          <cell r="I1205" t="str">
            <v>Queen's Drive</v>
          </cell>
          <cell r="L1205" t="str">
            <v>Liverpool</v>
          </cell>
          <cell r="M1205" t="str">
            <v>Merseyside</v>
          </cell>
          <cell r="N1205" t="str">
            <v>L15 6XZ</v>
          </cell>
          <cell r="O1205" t="str">
            <v>dwphillips@childwallsc.co.uk</v>
          </cell>
          <cell r="P1205">
            <v>40730</v>
          </cell>
        </row>
        <row r="1206">
          <cell r="A1206">
            <v>8612080</v>
          </cell>
          <cell r="B1206">
            <v>124010</v>
          </cell>
          <cell r="C1206">
            <v>861</v>
          </cell>
          <cell r="D1206" t="str">
            <v>Stoke-on-Trent</v>
          </cell>
          <cell r="E1206">
            <v>2080</v>
          </cell>
          <cell r="F1206" t="str">
            <v>Julia Waterhouse</v>
          </cell>
          <cell r="G1206" t="str">
            <v>Sandon Primary School</v>
          </cell>
          <cell r="H1206" t="str">
            <v>West Midlands</v>
          </cell>
          <cell r="I1206" t="str">
            <v>Normacot Grange Road</v>
          </cell>
          <cell r="J1206" t="str">
            <v>Meir</v>
          </cell>
          <cell r="L1206" t="str">
            <v>Stoke-on-Trent</v>
          </cell>
          <cell r="M1206" t="str">
            <v>Staffordshire</v>
          </cell>
          <cell r="N1206" t="str">
            <v>ST3 7AW</v>
          </cell>
        </row>
        <row r="1207">
          <cell r="A1207">
            <v>3942157</v>
          </cell>
          <cell r="B1207">
            <v>108817</v>
          </cell>
          <cell r="C1207">
            <v>394</v>
          </cell>
          <cell r="D1207" t="str">
            <v>Sunderland</v>
          </cell>
          <cell r="E1207">
            <v>2157</v>
          </cell>
          <cell r="F1207" t="str">
            <v>Glyn Newton</v>
          </cell>
          <cell r="G1207" t="str">
            <v>Lambton Primary School</v>
          </cell>
          <cell r="H1207" t="str">
            <v>North East</v>
          </cell>
          <cell r="I1207" t="str">
            <v>Caradoc Close</v>
          </cell>
          <cell r="J1207" t="str">
            <v>Lambton Village</v>
          </cell>
          <cell r="L1207" t="str">
            <v>Washington</v>
          </cell>
          <cell r="M1207" t="str">
            <v>Tyne and Wear</v>
          </cell>
          <cell r="N1207" t="str">
            <v>NE38 0PL</v>
          </cell>
          <cell r="O1207" t="str">
            <v>Susan.bell@schools.sunderland.gov.uk</v>
          </cell>
        </row>
        <row r="1208">
          <cell r="A1208">
            <v>8877042</v>
          </cell>
          <cell r="B1208">
            <v>119043</v>
          </cell>
          <cell r="C1208">
            <v>887</v>
          </cell>
          <cell r="D1208" t="str">
            <v>Medway</v>
          </cell>
          <cell r="E1208">
            <v>7042</v>
          </cell>
          <cell r="F1208" t="str">
            <v>Sarah Mitchell</v>
          </cell>
          <cell r="G1208" t="str">
            <v>Bradfields School</v>
          </cell>
          <cell r="H1208" t="str">
            <v>South East</v>
          </cell>
          <cell r="I1208" t="str">
            <v>Churchill Avenue</v>
          </cell>
          <cell r="L1208" t="str">
            <v>Chatham</v>
          </cell>
          <cell r="M1208" t="str">
            <v>Kent</v>
          </cell>
          <cell r="N1208" t="str">
            <v>ME5 0LB</v>
          </cell>
          <cell r="O1208" t="str">
            <v>johnk025@medway.org.uk</v>
          </cell>
        </row>
        <row r="1209">
          <cell r="A1209">
            <v>9282013</v>
          </cell>
          <cell r="B1209">
            <v>121804</v>
          </cell>
          <cell r="C1209">
            <v>928</v>
          </cell>
          <cell r="D1209" t="str">
            <v>Northamptonshire</v>
          </cell>
          <cell r="E1209">
            <v>2013</v>
          </cell>
          <cell r="F1209" t="str">
            <v>Sue Harp</v>
          </cell>
          <cell r="G1209" t="str">
            <v>Chipping Warden School</v>
          </cell>
          <cell r="H1209" t="str">
            <v>East Midlands</v>
          </cell>
          <cell r="I1209" t="str">
            <v>Byfield Road</v>
          </cell>
          <cell r="J1209" t="str">
            <v>Chipping Warden</v>
          </cell>
          <cell r="L1209" t="str">
            <v>Banbury</v>
          </cell>
          <cell r="M1209" t="str">
            <v>Oxfordshire</v>
          </cell>
          <cell r="N1209" t="str">
            <v>OX17 1LD</v>
          </cell>
          <cell r="O1209" t="str">
            <v>head@chipping.northants-ecl.gov.uk</v>
          </cell>
          <cell r="P1209">
            <v>41243</v>
          </cell>
        </row>
        <row r="1210">
          <cell r="A1210">
            <v>8505401</v>
          </cell>
          <cell r="B1210">
            <v>116494</v>
          </cell>
          <cell r="C1210">
            <v>850</v>
          </cell>
          <cell r="D1210" t="str">
            <v>Hampshire</v>
          </cell>
          <cell r="E1210">
            <v>5401</v>
          </cell>
          <cell r="F1210" t="str">
            <v>Jacki Couch</v>
          </cell>
          <cell r="G1210" t="str">
            <v>The Burgate School and Sixth Form Centre</v>
          </cell>
          <cell r="H1210" t="str">
            <v>South East</v>
          </cell>
          <cell r="I1210" t="str">
            <v>Salisbury Road</v>
          </cell>
          <cell r="L1210" t="str">
            <v>Fordingbridge</v>
          </cell>
          <cell r="M1210" t="str">
            <v>Hampshire</v>
          </cell>
          <cell r="N1210" t="str">
            <v>SP6 1EZ</v>
          </cell>
          <cell r="O1210" t="str">
            <v>mrdp@burgate.hants.sch.uk</v>
          </cell>
          <cell r="P1210">
            <v>40549</v>
          </cell>
        </row>
        <row r="1211">
          <cell r="A1211">
            <v>9312592</v>
          </cell>
          <cell r="B1211">
            <v>123077</v>
          </cell>
          <cell r="C1211">
            <v>931</v>
          </cell>
          <cell r="D1211" t="str">
            <v>Oxfordshire</v>
          </cell>
          <cell r="E1211">
            <v>2592</v>
          </cell>
          <cell r="F1211" t="str">
            <v>Sarah Nairne</v>
          </cell>
          <cell r="G1211" t="str">
            <v>Dashwood Primary School</v>
          </cell>
          <cell r="H1211" t="str">
            <v>South East</v>
          </cell>
          <cell r="I1211" t="str">
            <v>Merton Street</v>
          </cell>
          <cell r="L1211" t="str">
            <v>Banbury</v>
          </cell>
          <cell r="M1211" t="str">
            <v>Oxfordshire</v>
          </cell>
          <cell r="N1211" t="str">
            <v>OX16 4RX</v>
          </cell>
          <cell r="O1211" t="str">
            <v>fbhammans@banbury.oxon.sch.uk</v>
          </cell>
          <cell r="P1211">
            <v>40651</v>
          </cell>
        </row>
        <row r="1212">
          <cell r="A1212">
            <v>8912812</v>
          </cell>
          <cell r="B1212">
            <v>122670</v>
          </cell>
          <cell r="C1212">
            <v>891</v>
          </cell>
          <cell r="D1212" t="str">
            <v>Nottinghamshire</v>
          </cell>
          <cell r="E1212">
            <v>2812</v>
          </cell>
          <cell r="F1212" t="str">
            <v>Paul Hayes</v>
          </cell>
          <cell r="G1212" t="str">
            <v>Radcliffe-on-Trent Junior School</v>
          </cell>
          <cell r="H1212" t="str">
            <v>East Midlands</v>
          </cell>
          <cell r="I1212" t="str">
            <v>Cropwell Road</v>
          </cell>
          <cell r="J1212" t="str">
            <v>Radcliffe-on-Trent</v>
          </cell>
          <cell r="L1212" t="str">
            <v>Nottingham</v>
          </cell>
          <cell r="M1212" t="str">
            <v>Nottinghamshire</v>
          </cell>
          <cell r="N1212" t="str">
            <v>NG12 2FS</v>
          </cell>
          <cell r="O1212" t="str">
            <v>head@rotjs.notts.sch.uk</v>
          </cell>
        </row>
        <row r="1213">
          <cell r="A1213">
            <v>8503079</v>
          </cell>
          <cell r="B1213">
            <v>116291</v>
          </cell>
          <cell r="C1213">
            <v>850</v>
          </cell>
          <cell r="D1213" t="str">
            <v>Hampshire</v>
          </cell>
          <cell r="E1213">
            <v>3079</v>
          </cell>
          <cell r="F1213" t="str">
            <v>Amanda Barrett</v>
          </cell>
          <cell r="G1213" t="str">
            <v>Hook-with-Warsash Primary</v>
          </cell>
          <cell r="H1213" t="str">
            <v>South East</v>
          </cell>
          <cell r="I1213" t="str">
            <v>Church Road</v>
          </cell>
          <cell r="J1213" t="str">
            <v>Warsash</v>
          </cell>
          <cell r="L1213" t="str">
            <v>Southampton</v>
          </cell>
          <cell r="M1213" t="str">
            <v>Hampshire</v>
          </cell>
          <cell r="N1213" t="str">
            <v>SO31 9GF</v>
          </cell>
          <cell r="O1213" t="str">
            <v>cdlhines@yahoo.com</v>
          </cell>
          <cell r="P1213">
            <v>40967</v>
          </cell>
        </row>
        <row r="1214">
          <cell r="A1214">
            <v>8862288</v>
          </cell>
          <cell r="B1214">
            <v>118380</v>
          </cell>
          <cell r="C1214">
            <v>886</v>
          </cell>
          <cell r="D1214" t="str">
            <v>Kent</v>
          </cell>
          <cell r="E1214">
            <v>2288</v>
          </cell>
          <cell r="F1214" t="str">
            <v>Kevin Hall</v>
          </cell>
          <cell r="G1214" t="str">
            <v>Smarden Primary School</v>
          </cell>
          <cell r="H1214" t="str">
            <v>South East</v>
          </cell>
          <cell r="I1214" t="str">
            <v>Pluckley Road</v>
          </cell>
          <cell r="J1214" t="str">
            <v>Smarden</v>
          </cell>
          <cell r="L1214" t="str">
            <v>Ashford</v>
          </cell>
          <cell r="M1214" t="str">
            <v>Kent</v>
          </cell>
          <cell r="N1214" t="str">
            <v>TN27 8ND</v>
          </cell>
          <cell r="O1214" t="str">
            <v>headteacher@pluckley.kent.sch.uk</v>
          </cell>
          <cell r="P1214">
            <v>40703</v>
          </cell>
        </row>
        <row r="1215">
          <cell r="A1215">
            <v>9282148</v>
          </cell>
          <cell r="B1215">
            <v>121905</v>
          </cell>
          <cell r="C1215">
            <v>928</v>
          </cell>
          <cell r="D1215" t="str">
            <v>Northamptonshire</v>
          </cell>
          <cell r="E1215">
            <v>2148</v>
          </cell>
          <cell r="F1215" t="str">
            <v>Bev Mullin</v>
          </cell>
          <cell r="G1215" t="str">
            <v>Southbrook Infant and Nursery School</v>
          </cell>
          <cell r="H1215" t="str">
            <v>East Midlands</v>
          </cell>
          <cell r="I1215" t="str">
            <v>Hawke Road</v>
          </cell>
          <cell r="L1215" t="str">
            <v>Daventry</v>
          </cell>
          <cell r="M1215" t="str">
            <v>Northamptonshire</v>
          </cell>
          <cell r="N1215" t="str">
            <v>NN11 4LJ</v>
          </cell>
          <cell r="P1215">
            <v>40704</v>
          </cell>
        </row>
        <row r="1216">
          <cell r="A1216">
            <v>8452082</v>
          </cell>
          <cell r="B1216">
            <v>114414</v>
          </cell>
          <cell r="C1216">
            <v>845</v>
          </cell>
          <cell r="D1216" t="str">
            <v>East Sussex</v>
          </cell>
          <cell r="E1216">
            <v>2082</v>
          </cell>
          <cell r="F1216" t="str">
            <v>Sarah Mitchell</v>
          </cell>
          <cell r="G1216" t="str">
            <v>Punnetts Town Community Primary School</v>
          </cell>
          <cell r="H1216" t="str">
            <v>South East</v>
          </cell>
          <cell r="I1216" t="str">
            <v>Battle Road</v>
          </cell>
          <cell r="J1216" t="str">
            <v>Punnetts Town</v>
          </cell>
          <cell r="L1216" t="str">
            <v>Heathfield</v>
          </cell>
          <cell r="M1216" t="str">
            <v>East Sussex</v>
          </cell>
          <cell r="N1216" t="str">
            <v>TN21 9DE</v>
          </cell>
          <cell r="O1216" t="str">
            <v>head@punnettstown.e-sussex.sch.uk</v>
          </cell>
        </row>
        <row r="1217">
          <cell r="A1217">
            <v>9193385</v>
          </cell>
          <cell r="B1217">
            <v>117467</v>
          </cell>
          <cell r="C1217">
            <v>919</v>
          </cell>
          <cell r="D1217" t="str">
            <v>Hertfordshire</v>
          </cell>
          <cell r="E1217">
            <v>3385</v>
          </cell>
          <cell r="F1217" t="str">
            <v>Joe Farrell</v>
          </cell>
          <cell r="G1217" t="str">
            <v xml:space="preserve">St. Andrew's Church of England School </v>
          </cell>
          <cell r="H1217" t="str">
            <v>East of England</v>
          </cell>
          <cell r="I1217" t="str">
            <v>Benslow Lane</v>
          </cell>
          <cell r="L1217" t="str">
            <v>Hitchin</v>
          </cell>
          <cell r="M1217" t="str">
            <v>Hertfordshire</v>
          </cell>
          <cell r="N1217" t="str">
            <v>SG4 9RD</v>
          </cell>
          <cell r="O1217" t="str">
            <v>head@standrews236.herts.sch.uk</v>
          </cell>
        </row>
        <row r="1218">
          <cell r="A1218">
            <v>8252030</v>
          </cell>
          <cell r="B1218">
            <v>110222</v>
          </cell>
          <cell r="C1218">
            <v>825</v>
          </cell>
          <cell r="D1218" t="str">
            <v>Buckinghamshire</v>
          </cell>
          <cell r="E1218">
            <v>2030</v>
          </cell>
          <cell r="F1218" t="str">
            <v>Darren Francis</v>
          </cell>
          <cell r="G1218" t="str">
            <v>Drayton Parslow Village School</v>
          </cell>
          <cell r="H1218" t="str">
            <v>South East</v>
          </cell>
          <cell r="I1218" t="str">
            <v>Main Road</v>
          </cell>
          <cell r="J1218" t="str">
            <v>Drayton Parslow</v>
          </cell>
          <cell r="L1218" t="str">
            <v>Milton Keynes</v>
          </cell>
          <cell r="M1218" t="str">
            <v>Buckinghamshire</v>
          </cell>
          <cell r="N1218" t="str">
            <v>MK17 0JR</v>
          </cell>
        </row>
        <row r="1219">
          <cell r="A1219">
            <v>9197034</v>
          </cell>
          <cell r="B1219">
            <v>131503</v>
          </cell>
          <cell r="C1219">
            <v>919</v>
          </cell>
          <cell r="D1219" t="str">
            <v>Hertfordshire</v>
          </cell>
          <cell r="E1219">
            <v>7034</v>
          </cell>
          <cell r="F1219" t="str">
            <v>Joe Farrell</v>
          </cell>
          <cell r="G1219" t="str">
            <v>Larwood School</v>
          </cell>
          <cell r="H1219" t="str">
            <v>East of England</v>
          </cell>
          <cell r="I1219" t="str">
            <v>Webb Rise</v>
          </cell>
          <cell r="L1219" t="str">
            <v>Stevenage</v>
          </cell>
          <cell r="M1219" t="str">
            <v>Hertfordshire</v>
          </cell>
          <cell r="N1219" t="str">
            <v>SG1 5QU</v>
          </cell>
          <cell r="O1219" t="str">
            <v>head@larwood.herts.sch.uk</v>
          </cell>
        </row>
        <row r="1220">
          <cell r="A1220">
            <v>3722036</v>
          </cell>
          <cell r="B1220">
            <v>106853</v>
          </cell>
          <cell r="C1220">
            <v>372</v>
          </cell>
          <cell r="D1220" t="str">
            <v>Rotherham</v>
          </cell>
          <cell r="E1220">
            <v>2036</v>
          </cell>
          <cell r="F1220" t="str">
            <v>Glyn Newton</v>
          </cell>
          <cell r="G1220" t="str">
            <v>Roughwood Primary School</v>
          </cell>
          <cell r="H1220" t="str">
            <v>Yorkshire and the Humber</v>
          </cell>
          <cell r="I1220" t="str">
            <v>Roughwood Road</v>
          </cell>
          <cell r="L1220" t="str">
            <v>Rotherham</v>
          </cell>
          <cell r="M1220" t="str">
            <v>South Yorkshire</v>
          </cell>
          <cell r="N1220" t="str">
            <v>S61 3HL</v>
          </cell>
          <cell r="O1220" t="str">
            <v>ropkay.jessop@rgfl.org</v>
          </cell>
        </row>
        <row r="1221">
          <cell r="A1221">
            <v>9383363</v>
          </cell>
          <cell r="B1221">
            <v>133972</v>
          </cell>
          <cell r="C1221">
            <v>938</v>
          </cell>
          <cell r="D1221" t="str">
            <v>West Sussex</v>
          </cell>
          <cell r="E1221">
            <v>3363</v>
          </cell>
          <cell r="F1221" t="str">
            <v>Bukky Sawyerr</v>
          </cell>
          <cell r="G1221" t="str">
            <v>Hilltop Primary School</v>
          </cell>
          <cell r="H1221" t="str">
            <v>South East</v>
          </cell>
          <cell r="I1221" t="str">
            <v>Dichling Hill</v>
          </cell>
          <cell r="J1221" t="str">
            <v>Southgate West</v>
          </cell>
          <cell r="L1221" t="str">
            <v>Crawley</v>
          </cell>
          <cell r="M1221" t="str">
            <v>West Sussex</v>
          </cell>
          <cell r="N1221" t="str">
            <v>RH11 8QL</v>
          </cell>
          <cell r="O1221" t="str">
            <v>head@hilltop.w-sussex.sch.uk/office@hilltop.w-sussex.sch.uk</v>
          </cell>
          <cell r="P1221">
            <v>40970</v>
          </cell>
        </row>
        <row r="1222">
          <cell r="A1222">
            <v>8553334</v>
          </cell>
          <cell r="B1222">
            <v>120209</v>
          </cell>
          <cell r="C1222">
            <v>855</v>
          </cell>
          <cell r="D1222" t="str">
            <v>Leicestershire</v>
          </cell>
          <cell r="E1222">
            <v>3334</v>
          </cell>
          <cell r="F1222" t="str">
            <v>Linda Tiley</v>
          </cell>
          <cell r="G1222" t="str">
            <v>St Peter's Church of England Primary School</v>
          </cell>
          <cell r="H1222" t="str">
            <v>East Midlands</v>
          </cell>
          <cell r="I1222" t="str">
            <v>Station Road</v>
          </cell>
          <cell r="J1222" t="str">
            <v>Market Bosworth</v>
          </cell>
          <cell r="L1222" t="str">
            <v>Nuneaton</v>
          </cell>
          <cell r="M1222" t="str">
            <v>Warwickshire</v>
          </cell>
          <cell r="N1222" t="str">
            <v>CV13 0NP</v>
          </cell>
          <cell r="O1222" t="str">
            <v>office.staff@st-peterscofe.leics.sch.uk</v>
          </cell>
          <cell r="P1222">
            <v>41107</v>
          </cell>
        </row>
        <row r="1223">
          <cell r="A1223">
            <v>8742451</v>
          </cell>
          <cell r="B1223">
            <v>130930</v>
          </cell>
          <cell r="C1223">
            <v>874</v>
          </cell>
          <cell r="D1223" t="str">
            <v>Peterborough</v>
          </cell>
          <cell r="E1223">
            <v>2451</v>
          </cell>
          <cell r="F1223" t="str">
            <v>Joe Farrell</v>
          </cell>
          <cell r="G1223" t="str">
            <v>Werrington Primary School</v>
          </cell>
          <cell r="H1223" t="str">
            <v>East of England</v>
          </cell>
          <cell r="I1223" t="str">
            <v>Amberley Slope</v>
          </cell>
          <cell r="J1223" t="str">
            <v>Werrington</v>
          </cell>
          <cell r="L1223" t="str">
            <v>Peterborough</v>
          </cell>
          <cell r="M1223" t="str">
            <v>Cambridgeshire</v>
          </cell>
          <cell r="N1223" t="str">
            <v>PE4 6QG</v>
          </cell>
          <cell r="O1223" t="str">
            <v>head@werringtonprimaryschool.co.uk</v>
          </cell>
        </row>
        <row r="1224">
          <cell r="A1224">
            <v>8653401</v>
          </cell>
          <cell r="B1224">
            <v>126418</v>
          </cell>
          <cell r="C1224">
            <v>865</v>
          </cell>
          <cell r="D1224" t="str">
            <v>Wiltshire</v>
          </cell>
          <cell r="E1224">
            <v>3401</v>
          </cell>
          <cell r="F1224" t="str">
            <v>Theresa Oddelm</v>
          </cell>
          <cell r="G1224" t="str">
            <v>Dauntsey's (Aided) Primary School</v>
          </cell>
          <cell r="H1224" t="str">
            <v>South West</v>
          </cell>
          <cell r="I1224" t="str">
            <v>Sandfield</v>
          </cell>
          <cell r="J1224" t="str">
            <v>West Lavington</v>
          </cell>
          <cell r="L1224" t="str">
            <v>Devizes</v>
          </cell>
          <cell r="M1224" t="str">
            <v>Wiltshire</v>
          </cell>
          <cell r="N1224" t="str">
            <v>SN10 4HY</v>
          </cell>
          <cell r="O1224" t="str">
            <v>head@dauntseys-pri.wilts.sch.uk</v>
          </cell>
        </row>
        <row r="1225">
          <cell r="A1225">
            <v>8814400</v>
          </cell>
          <cell r="B1225">
            <v>115226</v>
          </cell>
          <cell r="C1225">
            <v>881</v>
          </cell>
          <cell r="D1225" t="str">
            <v>Essex</v>
          </cell>
          <cell r="E1225">
            <v>4400</v>
          </cell>
          <cell r="F1225" t="str">
            <v>William Thursfield</v>
          </cell>
          <cell r="G1225" t="str">
            <v>Honywood Community Science School</v>
          </cell>
          <cell r="H1225" t="str">
            <v>East of England</v>
          </cell>
          <cell r="I1225" t="str">
            <v>Westfield Drive</v>
          </cell>
          <cell r="J1225" t="str">
            <v>Coggeshall</v>
          </cell>
          <cell r="L1225" t="str">
            <v>Colchester</v>
          </cell>
          <cell r="M1225" t="str">
            <v>Essex</v>
          </cell>
          <cell r="N1225" t="str">
            <v>CO6 1PZ</v>
          </cell>
          <cell r="O1225" t="str">
            <v>smason@honywood.essex.sch.uk</v>
          </cell>
          <cell r="P1225">
            <v>40345</v>
          </cell>
        </row>
        <row r="1226">
          <cell r="A1226">
            <v>8683322</v>
          </cell>
          <cell r="B1226">
            <v>110018</v>
          </cell>
          <cell r="C1226">
            <v>868</v>
          </cell>
          <cell r="D1226" t="str">
            <v>Windsor and Maidenhead</v>
          </cell>
          <cell r="E1226">
            <v>3322</v>
          </cell>
          <cell r="F1226" t="str">
            <v>Amanda Barrett</v>
          </cell>
          <cell r="G1226" t="str">
            <v>Holy Trinity CofE Primary School, Sunningdale</v>
          </cell>
          <cell r="H1226" t="str">
            <v>South East</v>
          </cell>
          <cell r="I1226" t="str">
            <v>Church Road</v>
          </cell>
          <cell r="J1226" t="str">
            <v>Sunningdale</v>
          </cell>
          <cell r="L1226" t="str">
            <v>Ascot</v>
          </cell>
          <cell r="M1226" t="str">
            <v>Berkshire</v>
          </cell>
          <cell r="N1226" t="str">
            <v>SL5 0NJ</v>
          </cell>
        </row>
        <row r="1227">
          <cell r="A1227">
            <v>3112078</v>
          </cell>
          <cell r="B1227">
            <v>102314</v>
          </cell>
          <cell r="C1227">
            <v>311</v>
          </cell>
          <cell r="D1227" t="str">
            <v>Havering</v>
          </cell>
          <cell r="E1227">
            <v>2078</v>
          </cell>
          <cell r="F1227" t="str">
            <v>Helen Fisher</v>
          </cell>
          <cell r="G1227" t="str">
            <v>Brady Primary School</v>
          </cell>
          <cell r="H1227" t="str">
            <v>London</v>
          </cell>
          <cell r="I1227" t="str">
            <v>Wennington Road</v>
          </cell>
          <cell r="L1227" t="str">
            <v>Rainham</v>
          </cell>
          <cell r="M1227" t="str">
            <v>Essex</v>
          </cell>
          <cell r="N1227" t="str">
            <v>RM13 9XA</v>
          </cell>
          <cell r="O1227" t="str">
            <v>head@brady.havering.sch.uk</v>
          </cell>
        </row>
        <row r="1228">
          <cell r="A1228">
            <v>8413133</v>
          </cell>
          <cell r="B1228">
            <v>114224</v>
          </cell>
          <cell r="C1228">
            <v>841</v>
          </cell>
          <cell r="D1228" t="str">
            <v>Darlington</v>
          </cell>
          <cell r="E1228">
            <v>3133</v>
          </cell>
          <cell r="F1228" t="str">
            <v>Carol Blain</v>
          </cell>
          <cell r="G1228" t="str">
            <v>High Coniscliffe CofE Primary School</v>
          </cell>
          <cell r="H1228" t="str">
            <v>North East</v>
          </cell>
          <cell r="I1228" t="str">
            <v>Ulnaby Lane</v>
          </cell>
          <cell r="J1228" t="str">
            <v>High Coniscliffe</v>
          </cell>
          <cell r="L1228" t="str">
            <v>Darlington</v>
          </cell>
          <cell r="M1228" t="str">
            <v>County Durham</v>
          </cell>
          <cell r="N1228" t="str">
            <v>DL2 2LL</v>
          </cell>
        </row>
        <row r="1229">
          <cell r="A1229">
            <v>3732083</v>
          </cell>
          <cell r="B1229">
            <v>107003</v>
          </cell>
          <cell r="C1229">
            <v>373</v>
          </cell>
          <cell r="D1229" t="str">
            <v>Sheffield</v>
          </cell>
          <cell r="E1229">
            <v>2083</v>
          </cell>
          <cell r="F1229" t="str">
            <v>Bev Annables</v>
          </cell>
          <cell r="G1229" t="str">
            <v>Meynell Community Primary School</v>
          </cell>
          <cell r="H1229" t="str">
            <v>Yorkshire and the Humber</v>
          </cell>
          <cell r="I1229" t="str">
            <v>Meynell Road</v>
          </cell>
          <cell r="L1229" t="str">
            <v>Sheffield</v>
          </cell>
          <cell r="M1229" t="str">
            <v>South Yorkshire</v>
          </cell>
          <cell r="N1229" t="str">
            <v>S5 8GN</v>
          </cell>
          <cell r="O1229" t="str">
            <v>enquiries@meynell.sheffield.sch.uk</v>
          </cell>
        </row>
        <row r="1230">
          <cell r="A1230">
            <v>3332061</v>
          </cell>
          <cell r="B1230">
            <v>103920</v>
          </cell>
          <cell r="C1230">
            <v>333</v>
          </cell>
          <cell r="D1230" t="str">
            <v>Sandwell</v>
          </cell>
          <cell r="E1230">
            <v>2061</v>
          </cell>
          <cell r="F1230" t="str">
            <v>Hannah Copp</v>
          </cell>
          <cell r="G1230" t="str">
            <v>Ocker Hill Junior School</v>
          </cell>
          <cell r="H1230" t="str">
            <v>West Midlands</v>
          </cell>
          <cell r="I1230" t="str">
            <v>Gospel Oak Road</v>
          </cell>
          <cell r="L1230" t="str">
            <v>Tipton</v>
          </cell>
          <cell r="M1230" t="str">
            <v>West Midlands</v>
          </cell>
          <cell r="N1230" t="str">
            <v>DY4 0DS</v>
          </cell>
          <cell r="O1230" t="str">
            <v>adam.hollyhead@ockerhill-jun.sandwell.sch.uk</v>
          </cell>
          <cell r="P1230">
            <v>41250</v>
          </cell>
        </row>
        <row r="1231">
          <cell r="A1231">
            <v>8913696</v>
          </cell>
          <cell r="B1231">
            <v>122812</v>
          </cell>
          <cell r="C1231">
            <v>891</v>
          </cell>
          <cell r="D1231" t="str">
            <v>Nottinghamshire</v>
          </cell>
          <cell r="E1231">
            <v>3696</v>
          </cell>
          <cell r="F1231" t="str">
            <v>Pauline Cole</v>
          </cell>
          <cell r="G1231" t="str">
            <v>The Good Shepherd Catholic Primary, Arnold</v>
          </cell>
          <cell r="H1231" t="str">
            <v>East Midlands</v>
          </cell>
          <cell r="I1231" t="str">
            <v>Somersby Road</v>
          </cell>
          <cell r="J1231" t="str">
            <v>Arnold</v>
          </cell>
          <cell r="L1231" t="str">
            <v>Nottingham</v>
          </cell>
          <cell r="M1231" t="str">
            <v>Nottinghamshire</v>
          </cell>
          <cell r="N1231" t="str">
            <v>NG5 4LT</v>
          </cell>
          <cell r="O1231" t="str">
            <v>gwhittle@goodshepherd.notts.sch.uk</v>
          </cell>
          <cell r="P1231">
            <v>40862</v>
          </cell>
        </row>
        <row r="1232">
          <cell r="A1232">
            <v>3094034</v>
          </cell>
          <cell r="B1232">
            <v>102158</v>
          </cell>
          <cell r="C1232">
            <v>309</v>
          </cell>
          <cell r="D1232" t="str">
            <v>Haringey</v>
          </cell>
          <cell r="E1232">
            <v>4034</v>
          </cell>
          <cell r="F1232" t="str">
            <v>Martin Rowley</v>
          </cell>
          <cell r="G1232" t="str">
            <v>Woodside High School, A Business &amp; Enterprise Specialist School</v>
          </cell>
          <cell r="H1232" t="str">
            <v>London</v>
          </cell>
          <cell r="I1232" t="str">
            <v>White Hart Lane</v>
          </cell>
          <cell r="J1232" t="str">
            <v>Wood Green</v>
          </cell>
          <cell r="L1232" t="str">
            <v>London</v>
          </cell>
          <cell r="N1232" t="str">
            <v>N22 5QJ</v>
          </cell>
          <cell r="O1232" t="str">
            <v>Joan.McVittie@woodsidehighschool.co.uk</v>
          </cell>
          <cell r="P1232">
            <v>40632</v>
          </cell>
        </row>
        <row r="1233">
          <cell r="A1233">
            <v>9082017</v>
          </cell>
          <cell r="B1233">
            <v>111799</v>
          </cell>
          <cell r="C1233">
            <v>908</v>
          </cell>
          <cell r="D1233" t="str">
            <v>Cornwall</v>
          </cell>
          <cell r="E1233">
            <v>2017</v>
          </cell>
          <cell r="F1233" t="str">
            <v>Ed Schuldt</v>
          </cell>
          <cell r="G1233" t="str">
            <v>St. Hilary School</v>
          </cell>
          <cell r="H1233" t="str">
            <v>South West</v>
          </cell>
          <cell r="I1233" t="str">
            <v>School Lane</v>
          </cell>
          <cell r="J1233" t="str">
            <v>St Hilary</v>
          </cell>
          <cell r="L1233" t="str">
            <v>Penzance</v>
          </cell>
          <cell r="M1233" t="str">
            <v>Cornwall</v>
          </cell>
          <cell r="N1233" t="str">
            <v>TR20 9DR</v>
          </cell>
          <cell r="O1233" t="str">
            <v xml:space="preserve"> head@st-hilary.cornwall.sch.uk</v>
          </cell>
          <cell r="P1233">
            <v>40640</v>
          </cell>
        </row>
        <row r="1234">
          <cell r="A1234">
            <v>8814000</v>
          </cell>
          <cell r="B1234">
            <v>131654</v>
          </cell>
          <cell r="C1234">
            <v>881</v>
          </cell>
          <cell r="D1234" t="str">
            <v>Essex</v>
          </cell>
          <cell r="E1234">
            <v>4000</v>
          </cell>
          <cell r="F1234" t="str">
            <v>Joe Farrell</v>
          </cell>
          <cell r="G1234" t="str">
            <v>The James Hornsby High School</v>
          </cell>
          <cell r="H1234" t="str">
            <v>East of England</v>
          </cell>
          <cell r="I1234" t="str">
            <v>Leinster Road</v>
          </cell>
          <cell r="J1234" t="str">
            <v>Laindon</v>
          </cell>
          <cell r="L1234" t="str">
            <v>Basildon</v>
          </cell>
          <cell r="M1234" t="str">
            <v>Essex</v>
          </cell>
          <cell r="N1234" t="str">
            <v>SS15 5NX</v>
          </cell>
          <cell r="O1234" t="str">
            <v>Chris.Hayes@Jameshornsby.essex.sch.uk</v>
          </cell>
        </row>
        <row r="1235">
          <cell r="A1235">
            <v>9284015</v>
          </cell>
          <cell r="B1235">
            <v>122052</v>
          </cell>
          <cell r="C1235">
            <v>928</v>
          </cell>
          <cell r="D1235" t="str">
            <v>Northamptonshire</v>
          </cell>
          <cell r="E1235">
            <v>4015</v>
          </cell>
          <cell r="F1235" t="str">
            <v>Jacki Couch</v>
          </cell>
          <cell r="G1235" t="str">
            <v>Montsaye Community College</v>
          </cell>
          <cell r="H1235" t="str">
            <v>East Midlands</v>
          </cell>
          <cell r="I1235" t="str">
            <v>Greening Road</v>
          </cell>
          <cell r="J1235" t="str">
            <v>Rothwell</v>
          </cell>
          <cell r="L1235" t="str">
            <v>Kettering</v>
          </cell>
          <cell r="M1235" t="str">
            <v>Northamptonshire</v>
          </cell>
          <cell r="N1235" t="str">
            <v>NN14 6BB</v>
          </cell>
          <cell r="O1235" t="str">
            <v>s.fennell@montsaye.northants.sch.co.uk</v>
          </cell>
          <cell r="P1235">
            <v>40638</v>
          </cell>
        </row>
        <row r="1236">
          <cell r="A1236">
            <v>9294130</v>
          </cell>
          <cell r="B1236">
            <v>122328</v>
          </cell>
          <cell r="C1236">
            <v>929</v>
          </cell>
          <cell r="D1236" t="str">
            <v>Northumberland</v>
          </cell>
          <cell r="E1236">
            <v>4130</v>
          </cell>
          <cell r="F1236" t="str">
            <v>Susan Shakespeare</v>
          </cell>
          <cell r="G1236" t="str">
            <v>Haydon Bridge High School and Sports College boarding</v>
          </cell>
          <cell r="H1236" t="str">
            <v>North East</v>
          </cell>
          <cell r="I1236" t="str">
            <v>Haydon Bridge</v>
          </cell>
          <cell r="L1236" t="str">
            <v>Hexham</v>
          </cell>
          <cell r="M1236" t="str">
            <v>Northumberland</v>
          </cell>
          <cell r="N1236" t="str">
            <v>NE47 6LR</v>
          </cell>
          <cell r="O1236" t="str">
            <v>edbrown@go-britain.com</v>
          </cell>
        </row>
        <row r="1237">
          <cell r="A1237">
            <v>8352203</v>
          </cell>
          <cell r="B1237">
            <v>113710</v>
          </cell>
          <cell r="C1237">
            <v>835</v>
          </cell>
          <cell r="D1237" t="str">
            <v>Dorset</v>
          </cell>
          <cell r="E1237">
            <v>2203</v>
          </cell>
          <cell r="F1237" t="str">
            <v>Theresa Oddelm</v>
          </cell>
          <cell r="G1237" t="str">
            <v>Grove Infant School</v>
          </cell>
          <cell r="H1237" t="str">
            <v>South West</v>
          </cell>
          <cell r="I1237" t="str">
            <v>Grove Road</v>
          </cell>
          <cell r="L1237" t="str">
            <v>Portland</v>
          </cell>
          <cell r="M1237" t="str">
            <v>Dorset</v>
          </cell>
          <cell r="N1237" t="str">
            <v>DT5 1DB</v>
          </cell>
          <cell r="O1237" t="str">
            <v>office@groveportland.dorset.sch.uk</v>
          </cell>
        </row>
        <row r="1238">
          <cell r="A1238">
            <v>3342000</v>
          </cell>
          <cell r="B1238">
            <v>104039</v>
          </cell>
          <cell r="C1238">
            <v>334</v>
          </cell>
          <cell r="D1238" t="str">
            <v>Solihull</v>
          </cell>
          <cell r="E1238">
            <v>2000</v>
          </cell>
          <cell r="F1238" t="str">
            <v>Alison Middleton</v>
          </cell>
          <cell r="G1238" t="str">
            <v>Blossomfield Infant School</v>
          </cell>
          <cell r="H1238" t="str">
            <v>West Midlands</v>
          </cell>
          <cell r="I1238" t="str">
            <v>Eastcote Close</v>
          </cell>
          <cell r="J1238" t="str">
            <v>Shirley</v>
          </cell>
          <cell r="L1238" t="str">
            <v>Solihull</v>
          </cell>
          <cell r="M1238" t="str">
            <v>West Midlands</v>
          </cell>
          <cell r="N1238" t="str">
            <v>B90 3QX</v>
          </cell>
          <cell r="O1238" t="str">
            <v>s4aelliott@blossomfield.solihull.sch.uk</v>
          </cell>
        </row>
        <row r="1239">
          <cell r="A1239">
            <v>9213316</v>
          </cell>
          <cell r="B1239">
            <v>134793</v>
          </cell>
          <cell r="C1239">
            <v>921</v>
          </cell>
          <cell r="D1239" t="str">
            <v>Isle of Wight</v>
          </cell>
          <cell r="E1239">
            <v>3316</v>
          </cell>
          <cell r="F1239" t="str">
            <v>Lindsay Morris</v>
          </cell>
          <cell r="G1239" t="str">
            <v>Weston Community School</v>
          </cell>
          <cell r="H1239" t="str">
            <v>South East</v>
          </cell>
          <cell r="I1239" t="str">
            <v>Weston Road</v>
          </cell>
          <cell r="L1239" t="str">
            <v>Totland Bay</v>
          </cell>
          <cell r="M1239" t="str">
            <v>Isle of Wight</v>
          </cell>
          <cell r="N1239" t="str">
            <v>PO39 0HA</v>
          </cell>
          <cell r="O1239" t="str">
            <v>headteacher@westonschool.co.uk</v>
          </cell>
          <cell r="P1239">
            <v>40728</v>
          </cell>
        </row>
        <row r="1240">
          <cell r="A1240">
            <v>8552367</v>
          </cell>
          <cell r="B1240">
            <v>120091</v>
          </cell>
          <cell r="C1240">
            <v>855</v>
          </cell>
          <cell r="D1240" t="str">
            <v>Leicestershire</v>
          </cell>
          <cell r="E1240">
            <v>2367</v>
          </cell>
          <cell r="F1240" t="str">
            <v>Sue Harp</v>
          </cell>
          <cell r="G1240" t="str">
            <v>Highcliffe Primary School and Community Centre</v>
          </cell>
          <cell r="H1240" t="str">
            <v>East Midlands</v>
          </cell>
          <cell r="I1240" t="str">
            <v>Greengate Lane</v>
          </cell>
          <cell r="J1240" t="str">
            <v>Birstall</v>
          </cell>
          <cell r="L1240" t="str">
            <v>Leicester</v>
          </cell>
          <cell r="M1240" t="str">
            <v>Leicestershire</v>
          </cell>
          <cell r="N1240" t="str">
            <v>LE4 3DL</v>
          </cell>
          <cell r="O1240" t="str">
            <v>paveling@highcliffe.leics.sch.uk</v>
          </cell>
        </row>
        <row r="1241">
          <cell r="A1241">
            <v>8604061</v>
          </cell>
          <cell r="B1241">
            <v>124394</v>
          </cell>
          <cell r="C1241">
            <v>860</v>
          </cell>
          <cell r="D1241" t="str">
            <v>Staffordshire</v>
          </cell>
          <cell r="E1241">
            <v>4061</v>
          </cell>
          <cell r="F1241" t="str">
            <v>Bonnie Wang</v>
          </cell>
          <cell r="G1241" t="str">
            <v>John Taylor High School</v>
          </cell>
          <cell r="H1241" t="str">
            <v>West Midlands</v>
          </cell>
          <cell r="I1241" t="str">
            <v>Dunstall Road</v>
          </cell>
          <cell r="J1241" t="str">
            <v>Barton-under-Needwood</v>
          </cell>
          <cell r="L1241" t="str">
            <v>Burton-on-Trent</v>
          </cell>
          <cell r="M1241" t="str">
            <v>Staffordshire</v>
          </cell>
          <cell r="N1241" t="str">
            <v>DE13 8AZ</v>
          </cell>
          <cell r="O1241" t="str">
            <v>mtdonoghue@aol.com</v>
          </cell>
          <cell r="P1241">
            <v>40361</v>
          </cell>
        </row>
        <row r="1242">
          <cell r="A1242">
            <v>9352092</v>
          </cell>
          <cell r="B1242">
            <v>124595</v>
          </cell>
          <cell r="C1242">
            <v>935</v>
          </cell>
          <cell r="D1242" t="str">
            <v>Suffolk</v>
          </cell>
          <cell r="E1242">
            <v>2092</v>
          </cell>
          <cell r="F1242" t="str">
            <v>Joe Farrell</v>
          </cell>
          <cell r="G1242" t="str">
            <v>Bealings School</v>
          </cell>
          <cell r="H1242" t="str">
            <v>East of England</v>
          </cell>
          <cell r="I1242" t="str">
            <v>Sandy Lane</v>
          </cell>
          <cell r="J1242" t="str">
            <v>Little Bealings</v>
          </cell>
          <cell r="L1242" t="str">
            <v>Woodbridge</v>
          </cell>
          <cell r="M1242" t="str">
            <v>Suffolk</v>
          </cell>
          <cell r="N1242" t="str">
            <v>IP13 6LW</v>
          </cell>
          <cell r="O1242" t="str">
            <v>bealings_school@yahoo.co.uk</v>
          </cell>
        </row>
        <row r="1243">
          <cell r="A1243">
            <v>9162136</v>
          </cell>
          <cell r="B1243">
            <v>115572</v>
          </cell>
          <cell r="C1243">
            <v>916</v>
          </cell>
          <cell r="D1243" t="str">
            <v>Gloucestershire</v>
          </cell>
          <cell r="E1243">
            <v>2136</v>
          </cell>
          <cell r="F1243" t="str">
            <v>Gemma Astin</v>
          </cell>
          <cell r="G1243" t="str">
            <v>Foxmoor Primary School</v>
          </cell>
          <cell r="H1243" t="str">
            <v>South West</v>
          </cell>
          <cell r="I1243" t="str">
            <v>Hunters Way</v>
          </cell>
          <cell r="J1243" t="str">
            <v>Cashes Green</v>
          </cell>
          <cell r="L1243" t="str">
            <v>Stroud</v>
          </cell>
          <cell r="M1243" t="str">
            <v>Gloucestershire</v>
          </cell>
          <cell r="N1243" t="str">
            <v>GL5 4UJ</v>
          </cell>
          <cell r="O1243" t="str">
            <v>admin@foxmoor.gloucs.sch.uk</v>
          </cell>
        </row>
        <row r="1244">
          <cell r="A1244">
            <v>9095223</v>
          </cell>
          <cell r="B1244">
            <v>112425</v>
          </cell>
          <cell r="C1244">
            <v>909</v>
          </cell>
          <cell r="D1244" t="str">
            <v>Cumbria</v>
          </cell>
          <cell r="E1244">
            <v>5223</v>
          </cell>
          <cell r="F1244" t="str">
            <v>Linda Tiley</v>
          </cell>
          <cell r="G1244" t="str">
            <v>Crosby-on-Eden CofE School</v>
          </cell>
          <cell r="H1244" t="str">
            <v>North West</v>
          </cell>
          <cell r="J1244" t="str">
            <v>Crosby-on-Eden</v>
          </cell>
          <cell r="L1244" t="str">
            <v>Carlisle</v>
          </cell>
          <cell r="M1244" t="str">
            <v>Cumbria</v>
          </cell>
          <cell r="N1244" t="str">
            <v>CA6 4QN</v>
          </cell>
          <cell r="O1244" t="str">
            <v>head@crosby-on-eden.cumbria.sch.uk</v>
          </cell>
          <cell r="P1244">
            <v>41128</v>
          </cell>
        </row>
        <row r="1245">
          <cell r="A1245">
            <v>3502050</v>
          </cell>
          <cell r="B1245">
            <v>105177</v>
          </cell>
          <cell r="C1245">
            <v>350</v>
          </cell>
          <cell r="D1245" t="str">
            <v>Bolton</v>
          </cell>
          <cell r="E1245">
            <v>2050</v>
          </cell>
          <cell r="F1245" t="str">
            <v>Felicity Price</v>
          </cell>
          <cell r="G1245" t="str">
            <v>Eagley Infant School</v>
          </cell>
          <cell r="H1245" t="str">
            <v>North West</v>
          </cell>
          <cell r="I1245" t="str">
            <v>Stonesteads Drive</v>
          </cell>
          <cell r="J1245" t="str">
            <v>Bromley Cross</v>
          </cell>
          <cell r="L1245" t="str">
            <v>Bolton</v>
          </cell>
          <cell r="M1245" t="str">
            <v>Lancashire</v>
          </cell>
          <cell r="N1245" t="str">
            <v>BL7 9LN</v>
          </cell>
          <cell r="O1245" t="str">
            <v>antwisc@eagley-infant.bolton.sch.uk</v>
          </cell>
          <cell r="P1245">
            <v>40856</v>
          </cell>
        </row>
        <row r="1246">
          <cell r="A1246">
            <v>8552110</v>
          </cell>
          <cell r="B1246">
            <v>119955</v>
          </cell>
          <cell r="C1246">
            <v>855</v>
          </cell>
          <cell r="D1246" t="str">
            <v>Leicestershire</v>
          </cell>
          <cell r="E1246">
            <v>2110</v>
          </cell>
          <cell r="F1246" t="str">
            <v>Stephen Standret</v>
          </cell>
          <cell r="G1246" t="str">
            <v>Church Hill Infant School</v>
          </cell>
          <cell r="H1246" t="str">
            <v>East Midlands</v>
          </cell>
          <cell r="I1246" t="str">
            <v>Church Hill Road</v>
          </cell>
          <cell r="J1246" t="str">
            <v>Thurmaston</v>
          </cell>
          <cell r="L1246" t="str">
            <v>Leicester</v>
          </cell>
          <cell r="M1246" t="str">
            <v>Leicestershire</v>
          </cell>
          <cell r="N1246" t="str">
            <v>LE4 8DE</v>
          </cell>
          <cell r="O1246" t="str">
            <v>mbulsara@churchhill-inf.leics.sch.uk</v>
          </cell>
          <cell r="P1246">
            <v>40977</v>
          </cell>
        </row>
        <row r="1247">
          <cell r="A1247">
            <v>8865209</v>
          </cell>
          <cell r="B1247">
            <v>118855</v>
          </cell>
          <cell r="C1247">
            <v>886</v>
          </cell>
          <cell r="D1247" t="str">
            <v>Kent</v>
          </cell>
          <cell r="E1247">
            <v>5209</v>
          </cell>
          <cell r="F1247" t="str">
            <v>Tony Dunne</v>
          </cell>
          <cell r="G1247" t="str">
            <v>Allington Primary School</v>
          </cell>
          <cell r="H1247" t="str">
            <v>South East</v>
          </cell>
          <cell r="I1247" t="str">
            <v>Hildenborough Crescent</v>
          </cell>
          <cell r="J1247" t="str">
            <v>London Road</v>
          </cell>
          <cell r="L1247" t="str">
            <v>Maidstone</v>
          </cell>
          <cell r="M1247" t="str">
            <v>Kent</v>
          </cell>
          <cell r="N1247" t="str">
            <v>ME16 0PG</v>
          </cell>
          <cell r="O1247" t="str">
            <v>office@allington.kent.sch.uk</v>
          </cell>
          <cell r="P1247">
            <v>41095</v>
          </cell>
        </row>
        <row r="1248">
          <cell r="A1248">
            <v>9282199</v>
          </cell>
          <cell r="B1248">
            <v>121941</v>
          </cell>
          <cell r="C1248">
            <v>928</v>
          </cell>
          <cell r="D1248" t="str">
            <v>Northamptonshire</v>
          </cell>
          <cell r="E1248">
            <v>2199</v>
          </cell>
          <cell r="F1248" t="str">
            <v>Grant Dyson</v>
          </cell>
          <cell r="G1248" t="str">
            <v>Briar Hill Primary School (fast track)</v>
          </cell>
          <cell r="H1248" t="str">
            <v>East Midlands</v>
          </cell>
          <cell r="I1248" t="str">
            <v>Thorn Hill</v>
          </cell>
          <cell r="J1248" t="str">
            <v>Briar Hill</v>
          </cell>
          <cell r="L1248" t="str">
            <v>Northampton</v>
          </cell>
          <cell r="M1248" t="str">
            <v>Northamptonshire</v>
          </cell>
          <cell r="N1248" t="str">
            <v>NN4 8SW</v>
          </cell>
          <cell r="O1248" t="str">
            <v>head@briarhill.northants-ecl.gov.uk</v>
          </cell>
        </row>
        <row r="1249">
          <cell r="A1249">
            <v>8507000</v>
          </cell>
          <cell r="B1249">
            <v>131559</v>
          </cell>
          <cell r="C1249">
            <v>850</v>
          </cell>
          <cell r="D1249" t="str">
            <v>Hampshire</v>
          </cell>
          <cell r="E1249">
            <v>7000</v>
          </cell>
          <cell r="F1249" t="str">
            <v>Amanda Barrett</v>
          </cell>
          <cell r="G1249" t="str">
            <v>Henry Tyndale School</v>
          </cell>
          <cell r="H1249" t="str">
            <v>South East</v>
          </cell>
          <cell r="I1249" t="str">
            <v>Ship Lane</v>
          </cell>
          <cell r="L1249" t="str">
            <v>Farnborough</v>
          </cell>
          <cell r="M1249" t="str">
            <v>Hampshire</v>
          </cell>
          <cell r="N1249" t="str">
            <v>GU14 8BX</v>
          </cell>
          <cell r="O1249" t="str">
            <v>rob.thompson@henrytyndale.hants.sch.uk</v>
          </cell>
        </row>
        <row r="1250">
          <cell r="A1250">
            <v>8504100</v>
          </cell>
          <cell r="B1250">
            <v>116409</v>
          </cell>
          <cell r="C1250">
            <v>850</v>
          </cell>
          <cell r="D1250" t="str">
            <v>Hampshire</v>
          </cell>
          <cell r="E1250">
            <v>4100</v>
          </cell>
          <cell r="F1250" t="str">
            <v>Amanda Barrett</v>
          </cell>
          <cell r="G1250" t="str">
            <v>Amery Hill School</v>
          </cell>
          <cell r="H1250" t="str">
            <v>South East</v>
          </cell>
          <cell r="I1250" t="str">
            <v>Amery Hill</v>
          </cell>
          <cell r="L1250" t="str">
            <v>Alton</v>
          </cell>
          <cell r="M1250" t="str">
            <v>Hampshire</v>
          </cell>
          <cell r="N1250" t="str">
            <v>GU34 2BZ</v>
          </cell>
          <cell r="O1250" t="str">
            <v>stephen.crabtree@ameryhill.hants.sch.uk</v>
          </cell>
          <cell r="P1250">
            <v>40687</v>
          </cell>
        </row>
        <row r="1251">
          <cell r="A1251">
            <v>8782260</v>
          </cell>
          <cell r="B1251">
            <v>113182</v>
          </cell>
          <cell r="C1251">
            <v>878</v>
          </cell>
          <cell r="D1251" t="str">
            <v>Devon</v>
          </cell>
          <cell r="E1251">
            <v>2260</v>
          </cell>
          <cell r="F1251" t="str">
            <v>Dominic Wilson</v>
          </cell>
          <cell r="G1251" t="str">
            <v>Lapford Community Primary School</v>
          </cell>
          <cell r="H1251" t="str">
            <v>South West</v>
          </cell>
          <cell r="I1251" t="str">
            <v>Eastington Road</v>
          </cell>
          <cell r="J1251" t="str">
            <v>Lapford</v>
          </cell>
          <cell r="L1251" t="str">
            <v>Crediton</v>
          </cell>
          <cell r="M1251" t="str">
            <v>Devon</v>
          </cell>
          <cell r="N1251" t="str">
            <v>EX17 6QE</v>
          </cell>
          <cell r="O1251" t="str">
            <v>emanneh@lapford-primary.devon.sch.uk</v>
          </cell>
          <cell r="P1251">
            <v>40820</v>
          </cell>
        </row>
        <row r="1252">
          <cell r="A1252">
            <v>9365402</v>
          </cell>
          <cell r="B1252">
            <v>125302</v>
          </cell>
          <cell r="C1252">
            <v>936</v>
          </cell>
          <cell r="D1252" t="str">
            <v>Surrey</v>
          </cell>
          <cell r="E1252">
            <v>5402</v>
          </cell>
          <cell r="F1252" t="str">
            <v>Gabriela Grimley</v>
          </cell>
          <cell r="G1252" t="str">
            <v>St John the Baptist Catholic School, Woking</v>
          </cell>
          <cell r="H1252" t="str">
            <v>South East</v>
          </cell>
          <cell r="I1252" t="str">
            <v>Elmbridge Lane</v>
          </cell>
          <cell r="J1252" t="str">
            <v>Kingfield</v>
          </cell>
          <cell r="L1252" t="str">
            <v>Woking</v>
          </cell>
          <cell r="M1252" t="str">
            <v>Surrey</v>
          </cell>
          <cell r="N1252" t="str">
            <v>GU22 9AL</v>
          </cell>
          <cell r="O1252" t="str">
            <v>a.magill@sjb.surrey.sch.uk</v>
          </cell>
        </row>
        <row r="1253">
          <cell r="A1253">
            <v>9252137</v>
          </cell>
          <cell r="B1253">
            <v>120438</v>
          </cell>
          <cell r="C1253">
            <v>925</v>
          </cell>
          <cell r="D1253" t="str">
            <v>Lincolnshire</v>
          </cell>
          <cell r="E1253">
            <v>2137</v>
          </cell>
          <cell r="F1253" t="str">
            <v>Pauline Cole</v>
          </cell>
          <cell r="G1253" t="str">
            <v>The Lincoln Manor Leas Infants School</v>
          </cell>
          <cell r="H1253" t="str">
            <v>East Midlands</v>
          </cell>
          <cell r="I1253" t="str">
            <v>Hykeham Road</v>
          </cell>
          <cell r="L1253" t="str">
            <v>Lincoln</v>
          </cell>
          <cell r="M1253" t="str">
            <v>Lincolnshire</v>
          </cell>
          <cell r="N1253" t="str">
            <v>LN6 8BE</v>
          </cell>
          <cell r="O1253" t="str">
            <v>june.austin@manor-leas-infant.lincs.sch.uk</v>
          </cell>
          <cell r="P1253">
            <v>40959</v>
          </cell>
        </row>
        <row r="1254">
          <cell r="A1254">
            <v>3815401</v>
          </cell>
          <cell r="B1254">
            <v>107575</v>
          </cell>
          <cell r="C1254">
            <v>381</v>
          </cell>
          <cell r="D1254" t="str">
            <v>Calderdale</v>
          </cell>
          <cell r="E1254">
            <v>5401</v>
          </cell>
          <cell r="F1254" t="str">
            <v>Bev Annables</v>
          </cell>
          <cell r="G1254" t="str">
            <v>The Crossley Heath School</v>
          </cell>
          <cell r="H1254" t="str">
            <v>Yorkshire and the Humber</v>
          </cell>
          <cell r="I1254" t="str">
            <v>Savile Park</v>
          </cell>
          <cell r="L1254" t="str">
            <v>Halifax</v>
          </cell>
          <cell r="M1254" t="str">
            <v>West Yorkshire</v>
          </cell>
          <cell r="N1254" t="str">
            <v>HX3 0HG</v>
          </cell>
          <cell r="O1254" t="str">
            <v>wendy.moffatt@crossleyheath.org.uk</v>
          </cell>
          <cell r="P1254">
            <v>40644</v>
          </cell>
        </row>
        <row r="1255">
          <cell r="A1255">
            <v>3062102</v>
          </cell>
          <cell r="B1255">
            <v>101783</v>
          </cell>
          <cell r="C1255">
            <v>306</v>
          </cell>
          <cell r="D1255" t="str">
            <v>Croydon</v>
          </cell>
          <cell r="E1255">
            <v>2102</v>
          </cell>
          <cell r="F1255" t="str">
            <v>Helen Barry</v>
          </cell>
          <cell r="G1255" t="str">
            <v>Rockmount Primary School</v>
          </cell>
          <cell r="H1255" t="str">
            <v>London</v>
          </cell>
          <cell r="I1255" t="str">
            <v>Chevening Road</v>
          </cell>
          <cell r="J1255" t="str">
            <v>Upper Norwood</v>
          </cell>
          <cell r="L1255" t="str">
            <v>London</v>
          </cell>
          <cell r="N1255" t="str">
            <v>SE19 3ST</v>
          </cell>
          <cell r="O1255" t="str">
            <v>elizabethmazzola@aol.com</v>
          </cell>
        </row>
        <row r="1256">
          <cell r="A1256">
            <v>8552003</v>
          </cell>
          <cell r="B1256">
            <v>132226</v>
          </cell>
          <cell r="C1256">
            <v>855</v>
          </cell>
          <cell r="D1256" t="str">
            <v>Leicestershire</v>
          </cell>
          <cell r="E1256">
            <v>2003</v>
          </cell>
          <cell r="F1256" t="str">
            <v>Sue Harp</v>
          </cell>
          <cell r="G1256" t="str">
            <v>Greenfield Primary School</v>
          </cell>
          <cell r="H1256" t="str">
            <v>East Midlands</v>
          </cell>
          <cell r="I1256" t="str">
            <v>Gwendoline Drive</v>
          </cell>
          <cell r="J1256" t="str">
            <v>Countesthorpe</v>
          </cell>
          <cell r="L1256" t="str">
            <v>Leicester</v>
          </cell>
          <cell r="M1256" t="str">
            <v>Leicestershire</v>
          </cell>
          <cell r="N1256" t="str">
            <v>LE8 5SG</v>
          </cell>
          <cell r="O1256" t="str">
            <v>c.bowpitt@greenfield.leics.sch.uk</v>
          </cell>
        </row>
        <row r="1257">
          <cell r="A1257">
            <v>2114722</v>
          </cell>
          <cell r="B1257">
            <v>100977</v>
          </cell>
          <cell r="C1257">
            <v>211</v>
          </cell>
          <cell r="D1257" t="str">
            <v>Tower Hamlets</v>
          </cell>
          <cell r="E1257">
            <v>4722</v>
          </cell>
          <cell r="F1257" t="str">
            <v>Martin Rowley</v>
          </cell>
          <cell r="G1257" t="str">
            <v>Sir John Cass Foundation and Redcoat Church of England Secondary School</v>
          </cell>
          <cell r="H1257" t="str">
            <v>London</v>
          </cell>
          <cell r="I1257" t="str">
            <v>Stepney Way</v>
          </cell>
          <cell r="J1257" t="str">
            <v>Stepney</v>
          </cell>
          <cell r="L1257" t="str">
            <v>London</v>
          </cell>
          <cell r="N1257" t="str">
            <v>E1 0RH</v>
          </cell>
          <cell r="O1257" t="str">
            <v>haydnevans111@yahoo.co.uk</v>
          </cell>
        </row>
        <row r="1258">
          <cell r="A1258">
            <v>9283070</v>
          </cell>
          <cell r="B1258">
            <v>121998</v>
          </cell>
          <cell r="C1258">
            <v>928</v>
          </cell>
          <cell r="D1258" t="str">
            <v>Northamptonshire</v>
          </cell>
          <cell r="E1258">
            <v>3070</v>
          </cell>
          <cell r="F1258" t="str">
            <v>Sue Harp</v>
          </cell>
          <cell r="G1258" t="str">
            <v>All Saints Church of England Primary School and Nursery Unit</v>
          </cell>
          <cell r="H1258" t="str">
            <v>East Midlands</v>
          </cell>
          <cell r="I1258" t="str">
            <v>Castle Street</v>
          </cell>
          <cell r="L1258" t="str">
            <v>Wellingborough</v>
          </cell>
          <cell r="M1258" t="str">
            <v>Northamptonshire</v>
          </cell>
          <cell r="N1258" t="str">
            <v>NN8 1LS</v>
          </cell>
          <cell r="O1258" t="str">
            <v>head@allsaints-pri.northants-ecl.gov.uk</v>
          </cell>
        </row>
        <row r="1259">
          <cell r="A1259">
            <v>3352237</v>
          </cell>
          <cell r="B1259">
            <v>104214</v>
          </cell>
          <cell r="C1259">
            <v>335</v>
          </cell>
          <cell r="D1259" t="str">
            <v>Walsall</v>
          </cell>
          <cell r="E1259">
            <v>2237</v>
          </cell>
          <cell r="F1259" t="str">
            <v>Stephen Bagnall</v>
          </cell>
          <cell r="G1259" t="str">
            <v>Pelsall Village School</v>
          </cell>
          <cell r="H1259" t="str">
            <v>West Midlands</v>
          </cell>
          <cell r="I1259" t="str">
            <v>Old Town Lane</v>
          </cell>
          <cell r="J1259" t="str">
            <v>Pelsall</v>
          </cell>
          <cell r="L1259" t="str">
            <v>Walsall</v>
          </cell>
          <cell r="M1259" t="str">
            <v>West Midlands</v>
          </cell>
          <cell r="N1259" t="str">
            <v>WS3 4NJ</v>
          </cell>
          <cell r="O1259" t="str">
            <v>jclark@pelsall.walsall.sch.uk</v>
          </cell>
        </row>
        <row r="1260">
          <cell r="A1260">
            <v>3022073</v>
          </cell>
          <cell r="B1260">
            <v>101314</v>
          </cell>
          <cell r="C1260">
            <v>302</v>
          </cell>
          <cell r="D1260" t="str">
            <v>Barnet</v>
          </cell>
          <cell r="E1260">
            <v>2073</v>
          </cell>
          <cell r="F1260" t="str">
            <v>Bola Bakrin</v>
          </cell>
          <cell r="G1260" t="str">
            <v>Danegrove Primary School</v>
          </cell>
          <cell r="H1260" t="str">
            <v>London</v>
          </cell>
          <cell r="I1260" t="str">
            <v>Windsor Drive</v>
          </cell>
          <cell r="J1260" t="str">
            <v>East Barnet</v>
          </cell>
          <cell r="L1260" t="str">
            <v>Barnet</v>
          </cell>
          <cell r="M1260" t="str">
            <v>Hertfordshire</v>
          </cell>
          <cell r="N1260" t="str">
            <v>EN4 8UD</v>
          </cell>
          <cell r="O1260" t="str">
            <v>head@danegrove.barnetmail.net</v>
          </cell>
        </row>
        <row r="1261">
          <cell r="A1261">
            <v>9362951</v>
          </cell>
          <cell r="B1261">
            <v>125127</v>
          </cell>
          <cell r="C1261">
            <v>936</v>
          </cell>
          <cell r="D1261" t="str">
            <v>Surrey</v>
          </cell>
          <cell r="E1261">
            <v>2951</v>
          </cell>
          <cell r="F1261" t="str">
            <v>Eric Mcewen</v>
          </cell>
          <cell r="G1261" t="str">
            <v>Epsom Downs Primary School and Children's Centre</v>
          </cell>
          <cell r="H1261" t="str">
            <v>South East</v>
          </cell>
          <cell r="I1261" t="str">
            <v>St Leonard's Road</v>
          </cell>
          <cell r="L1261" t="str">
            <v>Epsom Downs</v>
          </cell>
          <cell r="M1261" t="str">
            <v>Surrey</v>
          </cell>
          <cell r="N1261" t="str">
            <v>KT18 5RJ</v>
          </cell>
          <cell r="O1261" t="str">
            <v>head@epsomdowns.surrey.sch.uk</v>
          </cell>
          <cell r="P1261">
            <v>40605</v>
          </cell>
        </row>
        <row r="1262">
          <cell r="A1262">
            <v>8813823</v>
          </cell>
          <cell r="B1262">
            <v>115204</v>
          </cell>
          <cell r="C1262">
            <v>881</v>
          </cell>
          <cell r="D1262" t="str">
            <v>Essex</v>
          </cell>
          <cell r="E1262">
            <v>3823</v>
          </cell>
          <cell r="F1262" t="str">
            <v>David Rudd</v>
          </cell>
          <cell r="G1262" t="str">
            <v>The Bishops' Church of England and Roman Catholic Primary School</v>
          </cell>
          <cell r="H1262" t="str">
            <v>East of England</v>
          </cell>
          <cell r="I1262" t="str">
            <v>Beardsley Drive</v>
          </cell>
          <cell r="J1262" t="str">
            <v>North Springfield</v>
          </cell>
          <cell r="L1262" t="str">
            <v>Chelmsford</v>
          </cell>
          <cell r="M1262" t="str">
            <v>Essex</v>
          </cell>
          <cell r="N1262" t="str">
            <v>CM1 6ZQ</v>
          </cell>
          <cell r="O1262" t="str">
            <v>head@bishops.essex.sch.uk</v>
          </cell>
        </row>
        <row r="1263">
          <cell r="A1263">
            <v>9192341</v>
          </cell>
          <cell r="B1263">
            <v>117285</v>
          </cell>
          <cell r="C1263">
            <v>919</v>
          </cell>
          <cell r="D1263" t="str">
            <v>Hertfordshire</v>
          </cell>
          <cell r="E1263">
            <v>2341</v>
          </cell>
          <cell r="G1263" t="str">
            <v>Martins Wood Primary School</v>
          </cell>
          <cell r="H1263" t="str">
            <v>East of England</v>
          </cell>
          <cell r="I1263" t="str">
            <v>Mildmay Road</v>
          </cell>
          <cell r="L1263" t="str">
            <v>Stevenage</v>
          </cell>
          <cell r="M1263" t="str">
            <v>Hertfordshire</v>
          </cell>
          <cell r="N1263" t="str">
            <v>SG1 5RT</v>
          </cell>
          <cell r="O1263" t="str">
            <v>head@martinswood.herts.sch.uk</v>
          </cell>
        </row>
        <row r="1264">
          <cell r="A1264">
            <v>9162070</v>
          </cell>
          <cell r="B1264">
            <v>115525</v>
          </cell>
          <cell r="C1264">
            <v>916</v>
          </cell>
          <cell r="D1264" t="str">
            <v>Gloucestershire</v>
          </cell>
          <cell r="E1264">
            <v>2070</v>
          </cell>
          <cell r="F1264" t="str">
            <v>Not yet assigned</v>
          </cell>
          <cell r="G1264" t="str">
            <v>Great Rissington Primary School</v>
          </cell>
          <cell r="H1264" t="str">
            <v>South West</v>
          </cell>
          <cell r="I1264" t="str">
            <v>Great Rissington</v>
          </cell>
          <cell r="L1264" t="str">
            <v>Cheltenham</v>
          </cell>
          <cell r="M1264" t="str">
            <v>Gloucestershire</v>
          </cell>
          <cell r="N1264" t="str">
            <v>GL54 2LP</v>
          </cell>
          <cell r="O1264" t="str">
            <v>head@greatrissington.gloucs.sch.uk</v>
          </cell>
        </row>
        <row r="1265">
          <cell r="A1265">
            <v>8812460</v>
          </cell>
          <cell r="B1265">
            <v>114856</v>
          </cell>
          <cell r="C1265">
            <v>881</v>
          </cell>
          <cell r="D1265" t="str">
            <v>Essex</v>
          </cell>
          <cell r="E1265">
            <v>2460</v>
          </cell>
          <cell r="F1265" t="str">
            <v>Claire Ivie</v>
          </cell>
          <cell r="G1265" t="str">
            <v>Rettendon Primary School</v>
          </cell>
          <cell r="H1265" t="str">
            <v>East of England</v>
          </cell>
          <cell r="I1265" t="str">
            <v>Main Road</v>
          </cell>
          <cell r="J1265" t="str">
            <v>Rettendon Common</v>
          </cell>
          <cell r="L1265" t="str">
            <v>Chelmsford</v>
          </cell>
          <cell r="M1265" t="str">
            <v>Essex</v>
          </cell>
          <cell r="N1265" t="str">
            <v>CM3 8DW</v>
          </cell>
          <cell r="O1265" t="str">
            <v>head@rettendon.essex.sch.uk</v>
          </cell>
        </row>
        <row r="1266">
          <cell r="A1266">
            <v>9382134</v>
          </cell>
          <cell r="B1266">
            <v>125888</v>
          </cell>
          <cell r="C1266">
            <v>938</v>
          </cell>
          <cell r="D1266" t="str">
            <v>West Sussex</v>
          </cell>
          <cell r="E1266">
            <v>2134</v>
          </cell>
          <cell r="F1266" t="str">
            <v>Sarah Mitchell</v>
          </cell>
          <cell r="G1266" t="str">
            <v>Southwater Junior School</v>
          </cell>
          <cell r="H1266" t="str">
            <v>South East</v>
          </cell>
          <cell r="I1266" t="str">
            <v>Worthing Road</v>
          </cell>
          <cell r="J1266" t="str">
            <v>Southwater</v>
          </cell>
          <cell r="L1266" t="str">
            <v>Horsham</v>
          </cell>
          <cell r="M1266" t="str">
            <v>West Sussex</v>
          </cell>
          <cell r="N1266" t="str">
            <v>RH13 9JH</v>
          </cell>
          <cell r="O1266" t="str">
            <v>head@southwater-jun.w-sussex.sch.uk</v>
          </cell>
          <cell r="P1266">
            <v>40522</v>
          </cell>
        </row>
        <row r="1267">
          <cell r="A1267">
            <v>9193003</v>
          </cell>
          <cell r="B1267">
            <v>117383</v>
          </cell>
          <cell r="C1267">
            <v>919</v>
          </cell>
          <cell r="D1267" t="str">
            <v>Hertfordshire</v>
          </cell>
          <cell r="E1267">
            <v>3003</v>
          </cell>
          <cell r="F1267" t="str">
            <v>Bonnie Wang</v>
          </cell>
          <cell r="G1267" t="str">
            <v>St John's Church of England Infant and Nursery School</v>
          </cell>
          <cell r="H1267" t="str">
            <v>East of England</v>
          </cell>
          <cell r="I1267" t="str">
            <v>Gills Hill Lane</v>
          </cell>
          <cell r="L1267" t="str">
            <v>Radlett</v>
          </cell>
          <cell r="M1267" t="str">
            <v>Hertfordshire</v>
          </cell>
          <cell r="N1267" t="str">
            <v>WD7 8DD</v>
          </cell>
          <cell r="O1267" t="str">
            <v>head@stjohnsradlett.herts.sch.uk</v>
          </cell>
        </row>
        <row r="1268">
          <cell r="A1268">
            <v>8502089</v>
          </cell>
          <cell r="B1268">
            <v>115899</v>
          </cell>
          <cell r="C1268">
            <v>850</v>
          </cell>
          <cell r="D1268" t="str">
            <v>Hampshire</v>
          </cell>
          <cell r="E1268">
            <v>2089</v>
          </cell>
          <cell r="F1268" t="str">
            <v>Amanda Barrett</v>
          </cell>
          <cell r="G1268" t="str">
            <v>Waterside Primary School</v>
          </cell>
          <cell r="H1268" t="str">
            <v>South East</v>
          </cell>
          <cell r="I1268" t="str">
            <v>Ashford Crescent</v>
          </cell>
          <cell r="J1268" t="str">
            <v>Hythe</v>
          </cell>
          <cell r="L1268" t="str">
            <v>Southampton</v>
          </cell>
          <cell r="M1268" t="str">
            <v>Hampshire</v>
          </cell>
          <cell r="N1268" t="str">
            <v>SO45 6ET</v>
          </cell>
          <cell r="O1268" t="str">
            <v>penny.bullough@waterside.hants.sch.uk</v>
          </cell>
        </row>
        <row r="1269">
          <cell r="A1269">
            <v>8034117</v>
          </cell>
          <cell r="B1269">
            <v>109296</v>
          </cell>
          <cell r="C1269">
            <v>803</v>
          </cell>
          <cell r="D1269" t="str">
            <v>South Gloucestershire</v>
          </cell>
          <cell r="E1269">
            <v>4117</v>
          </cell>
          <cell r="F1269" t="str">
            <v>Nigel Mills</v>
          </cell>
          <cell r="G1269" t="str">
            <v>Patchway Community College</v>
          </cell>
          <cell r="H1269" t="str">
            <v>South West</v>
          </cell>
          <cell r="I1269" t="str">
            <v>Hempton Lane</v>
          </cell>
          <cell r="J1269" t="str">
            <v>Almondsbury</v>
          </cell>
          <cell r="L1269" t="str">
            <v>Bristol</v>
          </cell>
          <cell r="M1269" t="str">
            <v>Somerset</v>
          </cell>
          <cell r="N1269" t="str">
            <v>BS32 4AJ</v>
          </cell>
          <cell r="O1269" t="str">
            <v>jmillicent@patchwaycc.com</v>
          </cell>
          <cell r="P1269">
            <v>40578</v>
          </cell>
        </row>
        <row r="1270">
          <cell r="A1270">
            <v>9357000</v>
          </cell>
          <cell r="B1270">
            <v>124901</v>
          </cell>
          <cell r="C1270">
            <v>935</v>
          </cell>
          <cell r="D1270" t="str">
            <v>Suffolk</v>
          </cell>
          <cell r="E1270">
            <v>7000</v>
          </cell>
          <cell r="F1270" t="str">
            <v>Lin Houston</v>
          </cell>
          <cell r="G1270" t="str">
            <v>Priory School</v>
          </cell>
          <cell r="H1270" t="str">
            <v>East of England</v>
          </cell>
          <cell r="I1270" t="str">
            <v>Mount Road</v>
          </cell>
          <cell r="L1270" t="str">
            <v>Bury St Edmunds</v>
          </cell>
          <cell r="M1270" t="str">
            <v>Suffolk</v>
          </cell>
          <cell r="N1270" t="str">
            <v>IP32 7BH</v>
          </cell>
          <cell r="O1270" t="str">
            <v xml:space="preserve"> roger.mackenzie@priory.suffolk.sch.uk</v>
          </cell>
          <cell r="P1270">
            <v>40610</v>
          </cell>
        </row>
        <row r="1271">
          <cell r="A1271">
            <v>8815234</v>
          </cell>
          <cell r="B1271">
            <v>115274</v>
          </cell>
          <cell r="C1271">
            <v>881</v>
          </cell>
          <cell r="D1271" t="str">
            <v>Essex</v>
          </cell>
          <cell r="E1271">
            <v>5234</v>
          </cell>
          <cell r="F1271" t="str">
            <v>Alan Large</v>
          </cell>
          <cell r="G1271" t="str">
            <v>St Alban's Catholic Primary School</v>
          </cell>
          <cell r="H1271" t="str">
            <v>East of England</v>
          </cell>
          <cell r="I1271" t="str">
            <v>First Avenue</v>
          </cell>
          <cell r="L1271" t="str">
            <v>Harlow</v>
          </cell>
          <cell r="M1271" t="str">
            <v>Essex</v>
          </cell>
          <cell r="N1271" t="str">
            <v>CM20 2NP</v>
          </cell>
          <cell r="O1271" t="str">
            <v>admin@st-albans.essex.sch.uk</v>
          </cell>
          <cell r="P1271">
            <v>40673</v>
          </cell>
        </row>
        <row r="1272">
          <cell r="A1272">
            <v>8705413</v>
          </cell>
          <cell r="B1272">
            <v>110042</v>
          </cell>
          <cell r="C1272">
            <v>870</v>
          </cell>
          <cell r="D1272" t="str">
            <v>Reading</v>
          </cell>
          <cell r="E1272">
            <v>5413</v>
          </cell>
          <cell r="F1272" t="str">
            <v>Darren Francis</v>
          </cell>
          <cell r="G1272" t="str">
            <v>Kendrick School</v>
          </cell>
          <cell r="H1272" t="str">
            <v>South East</v>
          </cell>
          <cell r="I1272" t="str">
            <v>London Road</v>
          </cell>
          <cell r="L1272" t="str">
            <v>Reading</v>
          </cell>
          <cell r="M1272" t="str">
            <v>Berkshire</v>
          </cell>
          <cell r="N1272" t="str">
            <v>RG1 5BN</v>
          </cell>
          <cell r="O1272" t="str">
            <v>marshaelms@sky.com</v>
          </cell>
          <cell r="P1272">
            <v>40459</v>
          </cell>
        </row>
        <row r="1273">
          <cell r="A1273">
            <v>8024139</v>
          </cell>
          <cell r="B1273">
            <v>109312</v>
          </cell>
          <cell r="C1273">
            <v>802</v>
          </cell>
          <cell r="D1273" t="str">
            <v>North Somerset</v>
          </cell>
          <cell r="E1273">
            <v>4139</v>
          </cell>
          <cell r="F1273" t="str">
            <v>Colette Summerson</v>
          </cell>
          <cell r="G1273" t="str">
            <v>Churchill Community Foundation School and Sixth Form Centre</v>
          </cell>
          <cell r="H1273" t="str">
            <v>South West</v>
          </cell>
          <cell r="I1273" t="str">
            <v>Churchill Green</v>
          </cell>
          <cell r="J1273" t="str">
            <v>Churchill</v>
          </cell>
          <cell r="L1273" t="str">
            <v>Winscombe</v>
          </cell>
          <cell r="M1273" t="str">
            <v>Somerset</v>
          </cell>
          <cell r="N1273" t="str">
            <v>BS25 5QN</v>
          </cell>
          <cell r="O1273" t="str">
            <v>shpa@churchill.n-somerset.sch.uk</v>
          </cell>
          <cell r="P1273">
            <v>40627</v>
          </cell>
        </row>
        <row r="1274">
          <cell r="A1274">
            <v>8805401</v>
          </cell>
          <cell r="B1274">
            <v>113556</v>
          </cell>
          <cell r="C1274">
            <v>880</v>
          </cell>
          <cell r="D1274" t="str">
            <v>Torbay</v>
          </cell>
          <cell r="E1274">
            <v>5401</v>
          </cell>
          <cell r="F1274" t="str">
            <v>Nigel Hutchins</v>
          </cell>
          <cell r="G1274" t="str">
            <v>Torquay Boys' Grammar School</v>
          </cell>
          <cell r="H1274" t="str">
            <v>South West</v>
          </cell>
          <cell r="I1274" t="str">
            <v>Shiphay Manor Drive</v>
          </cell>
          <cell r="L1274" t="str">
            <v>Torquay</v>
          </cell>
          <cell r="M1274" t="str">
            <v>Devon</v>
          </cell>
          <cell r="N1274" t="str">
            <v>TQ2 7EL</v>
          </cell>
          <cell r="O1274" t="str">
            <v>rpike@tbgs.torbay.sch.uk</v>
          </cell>
          <cell r="P1274">
            <v>40344</v>
          </cell>
        </row>
        <row r="1275">
          <cell r="A1275">
            <v>3562053</v>
          </cell>
          <cell r="B1275">
            <v>106057</v>
          </cell>
          <cell r="C1275">
            <v>356</v>
          </cell>
          <cell r="D1275" t="str">
            <v>Stockport</v>
          </cell>
          <cell r="E1275">
            <v>2053</v>
          </cell>
          <cell r="F1275" t="str">
            <v>Jane McCusker</v>
          </cell>
          <cell r="G1275" t="str">
            <v>Ludworth Primary School</v>
          </cell>
          <cell r="H1275" t="str">
            <v>North West</v>
          </cell>
          <cell r="I1275" t="str">
            <v>Lower Fold</v>
          </cell>
          <cell r="J1275" t="str">
            <v>Marple Bridge</v>
          </cell>
          <cell r="L1275" t="str">
            <v>Stockport</v>
          </cell>
          <cell r="M1275" t="str">
            <v>Cheshire</v>
          </cell>
          <cell r="N1275" t="str">
            <v>SK6 5DU</v>
          </cell>
          <cell r="O1275" t="str">
            <v>pownall@oldpeacock.wanadoo.co.uk</v>
          </cell>
        </row>
        <row r="1276">
          <cell r="A1276">
            <v>8552157</v>
          </cell>
          <cell r="B1276">
            <v>119968</v>
          </cell>
          <cell r="C1276">
            <v>855</v>
          </cell>
          <cell r="D1276" t="str">
            <v>Leicestershire</v>
          </cell>
          <cell r="E1276">
            <v>2157</v>
          </cell>
          <cell r="F1276" t="str">
            <v>Jacki Couch</v>
          </cell>
          <cell r="G1276" t="str">
            <v>Eastfield Primary School</v>
          </cell>
          <cell r="H1276" t="str">
            <v>East Midlands</v>
          </cell>
          <cell r="I1276" t="str">
            <v>Eastfield Road</v>
          </cell>
          <cell r="J1276" t="str">
            <v>Thurmaston</v>
          </cell>
          <cell r="L1276" t="str">
            <v>Leicester</v>
          </cell>
          <cell r="M1276" t="str">
            <v>Leicestershire</v>
          </cell>
          <cell r="N1276" t="str">
            <v>LE4 8FP</v>
          </cell>
          <cell r="O1276" t="str">
            <v>headteacher@eastfield.leics.sch.uk</v>
          </cell>
          <cell r="P1276">
            <v>40980</v>
          </cell>
        </row>
        <row r="1277">
          <cell r="A1277">
            <v>8862072</v>
          </cell>
          <cell r="B1277">
            <v>118252</v>
          </cell>
          <cell r="C1277">
            <v>886</v>
          </cell>
          <cell r="D1277" t="str">
            <v>Kent</v>
          </cell>
          <cell r="E1277">
            <v>2072</v>
          </cell>
          <cell r="F1277" t="str">
            <v>Tahamina Khan</v>
          </cell>
          <cell r="G1277" t="str">
            <v>Westgate Primary School</v>
          </cell>
          <cell r="H1277" t="str">
            <v>South East</v>
          </cell>
          <cell r="I1277" t="str">
            <v>Summerhill Road</v>
          </cell>
          <cell r="L1277" t="str">
            <v>Dartford</v>
          </cell>
          <cell r="M1277" t="str">
            <v>Kent</v>
          </cell>
          <cell r="N1277" t="str">
            <v>DA1 2LP</v>
          </cell>
          <cell r="O1277" t="str">
            <v>headteacher@westgate.kent.sch.uk</v>
          </cell>
        </row>
        <row r="1278">
          <cell r="A1278">
            <v>8353046</v>
          </cell>
          <cell r="B1278">
            <v>113773</v>
          </cell>
          <cell r="C1278">
            <v>835</v>
          </cell>
          <cell r="D1278" t="str">
            <v>Dorset</v>
          </cell>
          <cell r="E1278">
            <v>3046</v>
          </cell>
          <cell r="F1278" t="str">
            <v>Tahamina Khan</v>
          </cell>
          <cell r="G1278" t="str">
            <v>Loders CE VC Primary School</v>
          </cell>
          <cell r="H1278" t="str">
            <v>South West</v>
          </cell>
          <cell r="I1278" t="str">
            <v>Loders</v>
          </cell>
          <cell r="L1278" t="str">
            <v>Bridport</v>
          </cell>
          <cell r="M1278" t="str">
            <v>Dorset</v>
          </cell>
          <cell r="N1278" t="str">
            <v>DT6 3SA</v>
          </cell>
          <cell r="O1278" t="str">
            <v>office@loders.dorset.sch.uk</v>
          </cell>
        </row>
        <row r="1279">
          <cell r="A1279">
            <v>8783020</v>
          </cell>
          <cell r="B1279">
            <v>113363</v>
          </cell>
          <cell r="C1279">
            <v>878</v>
          </cell>
          <cell r="D1279" t="str">
            <v>Devon</v>
          </cell>
          <cell r="E1279">
            <v>3020</v>
          </cell>
          <cell r="F1279" t="str">
            <v>Lilian Da Cunha</v>
          </cell>
          <cell r="G1279" t="str">
            <v>Sidbury Church of England Primary School</v>
          </cell>
          <cell r="H1279" t="str">
            <v>South West</v>
          </cell>
          <cell r="I1279" t="str">
            <v>Church Street</v>
          </cell>
          <cell r="J1279" t="str">
            <v>Sidbury</v>
          </cell>
          <cell r="L1279" t="str">
            <v>Sidmouth</v>
          </cell>
          <cell r="M1279" t="str">
            <v>Devon</v>
          </cell>
          <cell r="N1279" t="str">
            <v>EX10 0SB</v>
          </cell>
          <cell r="O1279" t="str">
            <v>gchown@me.com</v>
          </cell>
          <cell r="P1279">
            <v>40672</v>
          </cell>
        </row>
        <row r="1280">
          <cell r="A1280">
            <v>8222173</v>
          </cell>
          <cell r="B1280">
            <v>109506</v>
          </cell>
          <cell r="C1280">
            <v>822</v>
          </cell>
          <cell r="D1280" t="str">
            <v>Bedford</v>
          </cell>
          <cell r="E1280">
            <v>2173</v>
          </cell>
          <cell r="F1280" t="str">
            <v>Pam Osborne</v>
          </cell>
          <cell r="G1280" t="str">
            <v>Hazeldene Lower School</v>
          </cell>
          <cell r="H1280" t="str">
            <v>East of England</v>
          </cell>
          <cell r="I1280" t="str">
            <v>Stancliffe Road</v>
          </cell>
          <cell r="L1280" t="str">
            <v>Bedford</v>
          </cell>
          <cell r="M1280" t="str">
            <v>Bedfordshire</v>
          </cell>
          <cell r="N1280" t="str">
            <v>MK41 9AT</v>
          </cell>
          <cell r="O1280" t="str">
            <v>hazeledene@deal.bedfordshire.gov.uk</v>
          </cell>
          <cell r="P1280">
            <v>41194</v>
          </cell>
        </row>
        <row r="1281">
          <cell r="A1281">
            <v>3314030</v>
          </cell>
          <cell r="B1281">
            <v>103733</v>
          </cell>
          <cell r="C1281">
            <v>331</v>
          </cell>
          <cell r="D1281" t="str">
            <v>Coventry</v>
          </cell>
          <cell r="E1281">
            <v>4030</v>
          </cell>
          <cell r="F1281" t="str">
            <v>Ruth Pallister</v>
          </cell>
          <cell r="G1281" t="str">
            <v>Lyng Hall School</v>
          </cell>
          <cell r="H1281" t="str">
            <v>West Midlands</v>
          </cell>
          <cell r="I1281" t="str">
            <v>Blackberry Lane</v>
          </cell>
          <cell r="L1281" t="str">
            <v>Coventry</v>
          </cell>
          <cell r="M1281" t="str">
            <v>West Midlands</v>
          </cell>
          <cell r="N1281" t="str">
            <v>CV2 3JS</v>
          </cell>
          <cell r="O1281" t="str">
            <v>pgreen@lynghall.coventry.sch.uk</v>
          </cell>
          <cell r="P1281">
            <v>40808</v>
          </cell>
        </row>
        <row r="1282">
          <cell r="A1282">
            <v>9192099</v>
          </cell>
          <cell r="B1282">
            <v>117142</v>
          </cell>
          <cell r="C1282">
            <v>919</v>
          </cell>
          <cell r="D1282" t="str">
            <v>Hertfordshire</v>
          </cell>
          <cell r="E1282">
            <v>2099</v>
          </cell>
          <cell r="F1282" t="str">
            <v>Pam Osborne</v>
          </cell>
          <cell r="G1282" t="str">
            <v>Mandeville Primary School</v>
          </cell>
          <cell r="H1282" t="str">
            <v>East of England</v>
          </cell>
          <cell r="I1282" t="str">
            <v>Mandeville Drive</v>
          </cell>
          <cell r="L1282" t="str">
            <v>St Albans</v>
          </cell>
          <cell r="M1282" t="str">
            <v>Hertfordshire</v>
          </cell>
          <cell r="N1282" t="str">
            <v>AL1 2LE</v>
          </cell>
          <cell r="O1282" t="str">
            <v>head@mandeville.herts.sch.uk</v>
          </cell>
          <cell r="P1282">
            <v>41142</v>
          </cell>
        </row>
        <row r="1283">
          <cell r="A1283">
            <v>8102822</v>
          </cell>
          <cell r="B1283">
            <v>117898</v>
          </cell>
          <cell r="C1283">
            <v>810</v>
          </cell>
          <cell r="D1283" t="str">
            <v>Kingston upon Hull City of</v>
          </cell>
          <cell r="E1283">
            <v>2822</v>
          </cell>
          <cell r="F1283" t="str">
            <v>Glyn Newton</v>
          </cell>
          <cell r="G1283" t="str">
            <v>Cleeve Primary School</v>
          </cell>
          <cell r="H1283" t="str">
            <v>Yorkshire and the Humber</v>
          </cell>
          <cell r="I1283" t="str">
            <v>Wawne Road</v>
          </cell>
          <cell r="J1283" t="str">
            <v>Bransholme</v>
          </cell>
          <cell r="L1283" t="str">
            <v>Hull</v>
          </cell>
          <cell r="N1283" t="str">
            <v>HU7 4JH</v>
          </cell>
          <cell r="O1283" t="str">
            <v>head@cleeve.hull.sch.uk</v>
          </cell>
        </row>
        <row r="1284">
          <cell r="A1284">
            <v>8235201</v>
          </cell>
          <cell r="B1284">
            <v>109490</v>
          </cell>
          <cell r="C1284">
            <v>823</v>
          </cell>
          <cell r="D1284" t="str">
            <v>Central Bedfordshire</v>
          </cell>
          <cell r="E1284">
            <v>5201</v>
          </cell>
          <cell r="F1284" t="str">
            <v>Michael Cook</v>
          </cell>
          <cell r="G1284" t="str">
            <v>Westoning Lower School</v>
          </cell>
          <cell r="H1284" t="str">
            <v>East of England</v>
          </cell>
          <cell r="I1284" t="str">
            <v>High Street</v>
          </cell>
          <cell r="J1284" t="str">
            <v>Westoning</v>
          </cell>
          <cell r="L1284" t="str">
            <v>Bedford</v>
          </cell>
          <cell r="M1284" t="str">
            <v>Bedfordshire</v>
          </cell>
          <cell r="N1284" t="str">
            <v>MK45 5JH</v>
          </cell>
          <cell r="O1284" t="str">
            <v xml:space="preserve"> j.boyle@schools.bedfordshire.gov.uk</v>
          </cell>
        </row>
        <row r="1285">
          <cell r="A1285">
            <v>8864622</v>
          </cell>
          <cell r="B1285">
            <v>118843</v>
          </cell>
          <cell r="C1285">
            <v>886</v>
          </cell>
          <cell r="D1285" t="str">
            <v>Kent</v>
          </cell>
          <cell r="E1285">
            <v>4622</v>
          </cell>
          <cell r="F1285" t="str">
            <v>Nicky Edwards</v>
          </cell>
          <cell r="G1285" t="str">
            <v>The Judd School</v>
          </cell>
          <cell r="H1285" t="str">
            <v>South East</v>
          </cell>
          <cell r="I1285" t="str">
            <v>Brook Street</v>
          </cell>
          <cell r="L1285" t="str">
            <v>Tonbridge</v>
          </cell>
          <cell r="M1285" t="str">
            <v>Kent</v>
          </cell>
          <cell r="N1285" t="str">
            <v>TN9 2PN</v>
          </cell>
          <cell r="O1285" t="str">
            <v>robert.masters@judd.kent.sch.uk</v>
          </cell>
        </row>
        <row r="1286">
          <cell r="A1286">
            <v>9283006</v>
          </cell>
          <cell r="B1286">
            <v>121959</v>
          </cell>
          <cell r="C1286">
            <v>928</v>
          </cell>
          <cell r="D1286" t="str">
            <v>Northamptonshire</v>
          </cell>
          <cell r="E1286">
            <v>3006</v>
          </cell>
          <cell r="F1286" t="str">
            <v>Sue Harp</v>
          </cell>
          <cell r="G1286" t="str">
            <v>Blakesley Church of England Primary School</v>
          </cell>
          <cell r="H1286" t="str">
            <v>East Midlands</v>
          </cell>
          <cell r="I1286" t="str">
            <v>The Green</v>
          </cell>
          <cell r="J1286" t="str">
            <v>Blakesley</v>
          </cell>
          <cell r="L1286" t="str">
            <v>Towcester</v>
          </cell>
          <cell r="M1286" t="str">
            <v>Northamptonshire</v>
          </cell>
          <cell r="N1286" t="str">
            <v>NN12 8RD</v>
          </cell>
          <cell r="O1286" t="str">
            <v>head@blakesley.northants-ecl.gov.uk</v>
          </cell>
        </row>
        <row r="1287">
          <cell r="A1287">
            <v>9287018</v>
          </cell>
          <cell r="B1287">
            <v>122162</v>
          </cell>
          <cell r="C1287">
            <v>928</v>
          </cell>
          <cell r="D1287" t="str">
            <v>Northamptonshire</v>
          </cell>
          <cell r="E1287">
            <v>7018</v>
          </cell>
          <cell r="F1287" t="str">
            <v>Stephen Standret</v>
          </cell>
          <cell r="G1287" t="str">
            <v>The Gateway School</v>
          </cell>
          <cell r="H1287" t="str">
            <v>East Midlands</v>
          </cell>
          <cell r="I1287" t="str">
            <v>St John's Road</v>
          </cell>
          <cell r="J1287" t="str">
            <v>Tiffield</v>
          </cell>
          <cell r="L1287" t="str">
            <v>Northampton</v>
          </cell>
          <cell r="M1287" t="str">
            <v>Northamptonshire</v>
          </cell>
          <cell r="N1287" t="str">
            <v>NN12 8AA</v>
          </cell>
          <cell r="O1287" t="str">
            <v>head@thegateway.northants-ecl.gov.uk</v>
          </cell>
        </row>
        <row r="1288">
          <cell r="A1288">
            <v>8404190</v>
          </cell>
          <cell r="B1288">
            <v>114309</v>
          </cell>
          <cell r="C1288">
            <v>840</v>
          </cell>
          <cell r="D1288" t="str">
            <v>Durham</v>
          </cell>
          <cell r="E1288">
            <v>4190</v>
          </cell>
          <cell r="F1288" t="str">
            <v>Carol Ions</v>
          </cell>
          <cell r="G1288" t="str">
            <v>Framwellgate School Durham</v>
          </cell>
          <cell r="H1288" t="str">
            <v>North East</v>
          </cell>
          <cell r="I1288" t="str">
            <v>Newton Drive</v>
          </cell>
          <cell r="J1288" t="str">
            <v>Framwellgate Moor</v>
          </cell>
          <cell r="L1288" t="str">
            <v>Durham</v>
          </cell>
          <cell r="N1288" t="str">
            <v>DH1 5BQ</v>
          </cell>
          <cell r="O1288" t="str">
            <v>joan.sjovoll@fram.durham.sch.uk</v>
          </cell>
          <cell r="P1288">
            <v>40795</v>
          </cell>
        </row>
        <row r="1289">
          <cell r="A1289">
            <v>9252173</v>
          </cell>
          <cell r="B1289">
            <v>120460</v>
          </cell>
          <cell r="C1289">
            <v>925</v>
          </cell>
          <cell r="D1289" t="str">
            <v>Lincolnshire</v>
          </cell>
          <cell r="E1289">
            <v>2173</v>
          </cell>
          <cell r="F1289" t="str">
            <v>Stella Mascarenhas-Keys</v>
          </cell>
          <cell r="G1289" t="str">
            <v>Mablethorpe Community Primary and Nursery School Fast Track</v>
          </cell>
          <cell r="H1289" t="str">
            <v>East Midlands</v>
          </cell>
          <cell r="I1289" t="str">
            <v>High Street</v>
          </cell>
          <cell r="L1289" t="str">
            <v>Mablethorpe</v>
          </cell>
          <cell r="M1289" t="str">
            <v>Lincolnshire</v>
          </cell>
          <cell r="N1289" t="str">
            <v>LN12 1EW</v>
          </cell>
          <cell r="O1289" t="str">
            <v>catherine.teale@mablethorpe.lincs.sch.uk</v>
          </cell>
        </row>
        <row r="1290">
          <cell r="A1290">
            <v>8913763</v>
          </cell>
          <cell r="B1290">
            <v>122815</v>
          </cell>
          <cell r="C1290">
            <v>891</v>
          </cell>
          <cell r="D1290" t="str">
            <v>Nottinghamshire</v>
          </cell>
          <cell r="E1290">
            <v>3763</v>
          </cell>
          <cell r="F1290" t="str">
            <v>Pauline Cole</v>
          </cell>
          <cell r="G1290" t="str">
            <v>Priory Catholic Primary School, Eastwood</v>
          </cell>
          <cell r="H1290" t="str">
            <v>East Midlands</v>
          </cell>
          <cell r="I1290" t="str">
            <v>Raglan Street</v>
          </cell>
          <cell r="J1290" t="str">
            <v>Hill Top</v>
          </cell>
          <cell r="K1290" t="str">
            <v>Eastwood</v>
          </cell>
          <cell r="L1290" t="str">
            <v>Nottingham</v>
          </cell>
          <cell r="M1290" t="str">
            <v>Nottinghamshire</v>
          </cell>
          <cell r="N1290" t="str">
            <v>NG16 3GT</v>
          </cell>
          <cell r="O1290" t="str">
            <v>harrison_ant@ntlworld.com</v>
          </cell>
          <cell r="P1290">
            <v>40857</v>
          </cell>
        </row>
        <row r="1291">
          <cell r="A1291">
            <v>8914408</v>
          </cell>
          <cell r="B1291">
            <v>122866</v>
          </cell>
          <cell r="C1291">
            <v>891</v>
          </cell>
          <cell r="D1291" t="str">
            <v>Nottinghamshire</v>
          </cell>
          <cell r="E1291">
            <v>4408</v>
          </cell>
          <cell r="F1291" t="str">
            <v>Grant Dyson</v>
          </cell>
          <cell r="G1291" t="str">
            <v>The Joseph Whitaker School</v>
          </cell>
          <cell r="H1291" t="str">
            <v>East Midlands</v>
          </cell>
          <cell r="I1291" t="str">
            <v>Warsop Lane</v>
          </cell>
          <cell r="J1291" t="str">
            <v>Rainworth</v>
          </cell>
          <cell r="L1291" t="str">
            <v>Mansfield</v>
          </cell>
          <cell r="M1291" t="str">
            <v>Nottinghamshire</v>
          </cell>
          <cell r="N1291" t="str">
            <v>NG21 0AG</v>
          </cell>
          <cell r="O1291" t="str">
            <v>head@josephwhitaker.notts.sch.uk</v>
          </cell>
          <cell r="P1291">
            <v>40725</v>
          </cell>
        </row>
        <row r="1292">
          <cell r="A1292">
            <v>8943358</v>
          </cell>
          <cell r="B1292">
            <v>123557</v>
          </cell>
          <cell r="C1292">
            <v>894</v>
          </cell>
          <cell r="D1292" t="str">
            <v>Telford and Wrekin</v>
          </cell>
          <cell r="E1292">
            <v>3358</v>
          </cell>
          <cell r="F1292" t="str">
            <v>Stephen Bagnall</v>
          </cell>
          <cell r="G1292" t="str">
            <v>St Matthew's CE (Aided) Primary School</v>
          </cell>
          <cell r="H1292" t="str">
            <v>West Midlands</v>
          </cell>
          <cell r="I1292" t="str">
            <v>Church Road</v>
          </cell>
          <cell r="J1292" t="str">
            <v>Donnington Wood</v>
          </cell>
          <cell r="L1292" t="str">
            <v>Telford</v>
          </cell>
          <cell r="M1292" t="str">
            <v>Shropshire</v>
          </cell>
          <cell r="N1292" t="str">
            <v>TF2 7PZ</v>
          </cell>
          <cell r="O1292" t="str">
            <v>glenn.calcutt@taw.org.uk</v>
          </cell>
          <cell r="P1292">
            <v>40379</v>
          </cell>
        </row>
        <row r="1293">
          <cell r="A1293">
            <v>9362926</v>
          </cell>
          <cell r="B1293">
            <v>125105</v>
          </cell>
          <cell r="C1293">
            <v>936</v>
          </cell>
          <cell r="D1293" t="str">
            <v>Surrey</v>
          </cell>
          <cell r="E1293">
            <v>2926</v>
          </cell>
          <cell r="F1293" t="str">
            <v>Eric Mcewen</v>
          </cell>
          <cell r="G1293" t="str">
            <v>Broadmere Community Primary School</v>
          </cell>
          <cell r="H1293" t="str">
            <v>South East</v>
          </cell>
          <cell r="I1293" t="str">
            <v>Devonshire Avenue</v>
          </cell>
          <cell r="J1293" t="str">
            <v>Sheerwater</v>
          </cell>
          <cell r="L1293" t="str">
            <v>Woking</v>
          </cell>
          <cell r="M1293" t="str">
            <v>Surrey</v>
          </cell>
          <cell r="N1293" t="str">
            <v>GU21 5QE</v>
          </cell>
          <cell r="O1293" t="str">
            <v>Head@broadmere.surrey.sch.uk</v>
          </cell>
          <cell r="P1293">
            <v>40998</v>
          </cell>
        </row>
        <row r="1294">
          <cell r="A1294">
            <v>9082313</v>
          </cell>
          <cell r="B1294">
            <v>111868</v>
          </cell>
          <cell r="C1294">
            <v>908</v>
          </cell>
          <cell r="D1294" t="str">
            <v>Cornwall</v>
          </cell>
          <cell r="E1294">
            <v>2313</v>
          </cell>
          <cell r="F1294" t="str">
            <v>Tahamina Khan</v>
          </cell>
          <cell r="G1294" t="str">
            <v>Mount Hawke Community Primary School</v>
          </cell>
          <cell r="H1294" t="str">
            <v>South West</v>
          </cell>
          <cell r="I1294" t="str">
            <v>Rodda's Road</v>
          </cell>
          <cell r="J1294" t="str">
            <v>Mount Hawke</v>
          </cell>
          <cell r="L1294" t="str">
            <v>Truro</v>
          </cell>
          <cell r="M1294" t="str">
            <v>Cornwall</v>
          </cell>
          <cell r="N1294" t="str">
            <v>TR4 8BA</v>
          </cell>
          <cell r="O1294" t="str">
            <v>head@mount-hawke.cornwall.sch.uk</v>
          </cell>
          <cell r="P1294">
            <v>40548</v>
          </cell>
        </row>
        <row r="1295">
          <cell r="A1295">
            <v>8254009</v>
          </cell>
          <cell r="B1295">
            <v>110485</v>
          </cell>
          <cell r="C1295">
            <v>825</v>
          </cell>
          <cell r="D1295" t="str">
            <v>Buckinghamshire</v>
          </cell>
          <cell r="E1295">
            <v>4009</v>
          </cell>
          <cell r="F1295" t="str">
            <v>Darren Francis</v>
          </cell>
          <cell r="G1295" t="str">
            <v>John Hampden Grammar School</v>
          </cell>
          <cell r="H1295" t="str">
            <v>South East</v>
          </cell>
          <cell r="I1295" t="str">
            <v>Marlow Hill</v>
          </cell>
          <cell r="L1295" t="str">
            <v>High Wycombe</v>
          </cell>
          <cell r="M1295" t="str">
            <v>Buckinghamshire</v>
          </cell>
          <cell r="N1295" t="str">
            <v>HP11 1SZ</v>
          </cell>
          <cell r="O1295" t="str">
            <v>san@jhgs.bucks.sch.uk</v>
          </cell>
          <cell r="P1295">
            <v>40528</v>
          </cell>
        </row>
        <row r="1296">
          <cell r="A1296">
            <v>8575406</v>
          </cell>
          <cell r="B1296">
            <v>120290</v>
          </cell>
          <cell r="C1296">
            <v>857</v>
          </cell>
          <cell r="D1296" t="str">
            <v>Rutland</v>
          </cell>
          <cell r="E1296">
            <v>5406</v>
          </cell>
          <cell r="F1296" t="str">
            <v>Gabriela Grimley</v>
          </cell>
          <cell r="G1296" t="str">
            <v>Catmose College</v>
          </cell>
          <cell r="H1296" t="str">
            <v>East Midlands</v>
          </cell>
          <cell r="I1296" t="str">
            <v>Cold Overton Road</v>
          </cell>
          <cell r="L1296" t="str">
            <v>Oakham</v>
          </cell>
          <cell r="M1296" t="str">
            <v>Rutland</v>
          </cell>
          <cell r="N1296" t="str">
            <v>LE15 6NU</v>
          </cell>
          <cell r="O1296" t="str">
            <v>swilliams@catmosecollege.com</v>
          </cell>
          <cell r="P1296">
            <v>40515</v>
          </cell>
        </row>
        <row r="1297">
          <cell r="A1297">
            <v>8924064</v>
          </cell>
          <cell r="B1297">
            <v>122838</v>
          </cell>
          <cell r="C1297">
            <v>892</v>
          </cell>
          <cell r="D1297" t="str">
            <v>Nottingham</v>
          </cell>
          <cell r="E1297">
            <v>4064</v>
          </cell>
          <cell r="F1297" t="str">
            <v>Grant Dyson</v>
          </cell>
          <cell r="G1297" t="str">
            <v>Fernwood School</v>
          </cell>
          <cell r="H1297" t="str">
            <v>East Midlands</v>
          </cell>
          <cell r="I1297" t="str">
            <v>Goodwood Road</v>
          </cell>
          <cell r="J1297" t="str">
            <v>Wollaton</v>
          </cell>
          <cell r="L1297" t="str">
            <v>Nottingham</v>
          </cell>
          <cell r="M1297" t="str">
            <v>Nottinghamshire</v>
          </cell>
          <cell r="N1297" t="str">
            <v>NG8 2FT</v>
          </cell>
          <cell r="O1297" t="str">
            <v>d.stanley@fernwood-comp.nottingham.sch.uk</v>
          </cell>
          <cell r="P1297">
            <v>40576</v>
          </cell>
        </row>
        <row r="1298">
          <cell r="A1298">
            <v>8864250</v>
          </cell>
          <cell r="B1298">
            <v>131276</v>
          </cell>
          <cell r="C1298">
            <v>886</v>
          </cell>
          <cell r="D1298" t="str">
            <v>Kent</v>
          </cell>
          <cell r="E1298">
            <v>4250</v>
          </cell>
          <cell r="F1298" t="str">
            <v>Nicky Edwards</v>
          </cell>
          <cell r="G1298" t="str">
            <v>Swan Valley Community School</v>
          </cell>
          <cell r="H1298" t="str">
            <v>South East</v>
          </cell>
          <cell r="I1298" t="str">
            <v>Southfleet Road</v>
          </cell>
          <cell r="L1298" t="str">
            <v>Swanscombe</v>
          </cell>
          <cell r="M1298" t="str">
            <v>Kent</v>
          </cell>
          <cell r="N1298" t="str">
            <v>DA10 0BZ</v>
          </cell>
        </row>
        <row r="1299">
          <cell r="A1299">
            <v>8414221</v>
          </cell>
          <cell r="B1299">
            <v>114316</v>
          </cell>
          <cell r="C1299">
            <v>841</v>
          </cell>
          <cell r="D1299" t="str">
            <v>Darlington</v>
          </cell>
          <cell r="E1299">
            <v>4221</v>
          </cell>
          <cell r="F1299" t="str">
            <v>Anita Turnbull</v>
          </cell>
          <cell r="G1299" t="str">
            <v>Hurworth Comprehensive School</v>
          </cell>
          <cell r="H1299" t="str">
            <v>North East</v>
          </cell>
          <cell r="I1299" t="str">
            <v>Croft Road</v>
          </cell>
          <cell r="J1299" t="str">
            <v>Hurworth-on-Tees</v>
          </cell>
          <cell r="L1299" t="str">
            <v>Darlington</v>
          </cell>
          <cell r="M1299" t="str">
            <v>County Durham</v>
          </cell>
          <cell r="N1299" t="str">
            <v>DL2 2JG</v>
          </cell>
          <cell r="O1299" t="str">
            <v>eamonnfarrar@hotmail.com</v>
          </cell>
          <cell r="P1299">
            <v>40529</v>
          </cell>
        </row>
        <row r="1300">
          <cell r="A1300">
            <v>8662003</v>
          </cell>
          <cell r="B1300">
            <v>131785</v>
          </cell>
          <cell r="C1300">
            <v>866</v>
          </cell>
          <cell r="D1300" t="str">
            <v>Swindon</v>
          </cell>
          <cell r="E1300">
            <v>2003</v>
          </cell>
          <cell r="F1300" t="str">
            <v>Nigel Mills</v>
          </cell>
          <cell r="G1300" t="str">
            <v>Mountford Manor Primary School</v>
          </cell>
          <cell r="H1300" t="str">
            <v>South West</v>
          </cell>
          <cell r="I1300" t="str">
            <v>Bothwell Road</v>
          </cell>
          <cell r="J1300" t="str">
            <v>Walcot</v>
          </cell>
          <cell r="L1300" t="str">
            <v>Swindon</v>
          </cell>
          <cell r="M1300" t="str">
            <v>Wiltshire</v>
          </cell>
          <cell r="N1300" t="str">
            <v>SN3 3EZ</v>
          </cell>
          <cell r="O1300" t="str">
            <v>ncapstick@drove-pri.swindon.sch.uk</v>
          </cell>
          <cell r="P1300">
            <v>40865</v>
          </cell>
        </row>
        <row r="1301">
          <cell r="A1301">
            <v>8454036</v>
          </cell>
          <cell r="B1301">
            <v>114589</v>
          </cell>
          <cell r="C1301">
            <v>845</v>
          </cell>
          <cell r="D1301" t="str">
            <v>East Sussex</v>
          </cell>
          <cell r="E1301">
            <v>4036</v>
          </cell>
          <cell r="F1301" t="str">
            <v>Sarah Mitchell</v>
          </cell>
          <cell r="G1301" t="str">
            <v xml:space="preserve">Seaford Head Community College </v>
          </cell>
          <cell r="H1301" t="str">
            <v>South East</v>
          </cell>
          <cell r="I1301" t="str">
            <v>Arundel Road</v>
          </cell>
          <cell r="L1301" t="str">
            <v>Seaford</v>
          </cell>
          <cell r="M1301" t="str">
            <v>East Sussex</v>
          </cell>
          <cell r="N1301" t="str">
            <v>BN25 4LX</v>
          </cell>
          <cell r="O1301" t="str">
            <v>GoldsL@seafordhead.e-sussex.sch.uk</v>
          </cell>
          <cell r="P1301">
            <v>40991</v>
          </cell>
        </row>
        <row r="1302">
          <cell r="A1302">
            <v>2031101</v>
          </cell>
          <cell r="B1302">
            <v>100103</v>
          </cell>
          <cell r="C1302">
            <v>203</v>
          </cell>
          <cell r="D1302" t="str">
            <v>Greenwich</v>
          </cell>
          <cell r="E1302">
            <v>1101</v>
          </cell>
          <cell r="F1302" t="str">
            <v>Nigel Mills</v>
          </cell>
          <cell r="G1302" t="str">
            <v>Newhaven Pupil Referral Unit</v>
          </cell>
          <cell r="H1302" t="str">
            <v>London</v>
          </cell>
          <cell r="I1302" t="str">
            <v>Newhaven Gardens</v>
          </cell>
          <cell r="J1302" t="str">
            <v>Eltham</v>
          </cell>
          <cell r="K1302" t="str">
            <v>Greenwich</v>
          </cell>
          <cell r="L1302" t="str">
            <v>London</v>
          </cell>
          <cell r="N1302" t="str">
            <v>SE9 6HR</v>
          </cell>
          <cell r="O1302" t="str">
            <v>headteacher@newhaven.greenwich.sch.uk</v>
          </cell>
        </row>
        <row r="1303">
          <cell r="A1303">
            <v>8815460</v>
          </cell>
          <cell r="B1303">
            <v>115376</v>
          </cell>
          <cell r="C1303">
            <v>881</v>
          </cell>
          <cell r="D1303" t="str">
            <v>Essex</v>
          </cell>
          <cell r="E1303">
            <v>5460</v>
          </cell>
          <cell r="F1303" t="str">
            <v>Alan Large</v>
          </cell>
          <cell r="G1303" t="str">
            <v>The Colne Community School and College</v>
          </cell>
          <cell r="H1303" t="str">
            <v>East of England</v>
          </cell>
          <cell r="I1303" t="str">
            <v>Church Road</v>
          </cell>
          <cell r="J1303" t="str">
            <v>Brightlingsea</v>
          </cell>
          <cell r="L1303" t="str">
            <v>Colchester</v>
          </cell>
          <cell r="M1303" t="str">
            <v>Essex</v>
          </cell>
          <cell r="N1303" t="str">
            <v>CO7 0QL</v>
          </cell>
          <cell r="O1303" t="str">
            <v>nsharma@colne.essex.sch.uk</v>
          </cell>
          <cell r="P1303">
            <v>40646</v>
          </cell>
        </row>
        <row r="1304">
          <cell r="A1304">
            <v>8782417</v>
          </cell>
          <cell r="B1304">
            <v>113198</v>
          </cell>
          <cell r="C1304">
            <v>878</v>
          </cell>
          <cell r="D1304" t="str">
            <v>Devon</v>
          </cell>
          <cell r="E1304">
            <v>2417</v>
          </cell>
          <cell r="F1304" t="str">
            <v>Theresa Oddelm</v>
          </cell>
          <cell r="G1304" t="str">
            <v>Doddiscombsleigh Community School</v>
          </cell>
          <cell r="H1304" t="str">
            <v>South West</v>
          </cell>
          <cell r="I1304" t="str">
            <v>Doddiscombsleigh</v>
          </cell>
          <cell r="L1304" t="str">
            <v>Exeter</v>
          </cell>
          <cell r="M1304" t="str">
            <v>Devon</v>
          </cell>
          <cell r="N1304" t="str">
            <v>EX6 7PR</v>
          </cell>
          <cell r="O1304" t="str">
            <v>sevans@doddi.devon.sch.uk</v>
          </cell>
        </row>
        <row r="1305">
          <cell r="A1305">
            <v>8864031</v>
          </cell>
          <cell r="B1305">
            <v>118786</v>
          </cell>
          <cell r="C1305">
            <v>886</v>
          </cell>
          <cell r="D1305" t="str">
            <v>Kent</v>
          </cell>
          <cell r="E1305">
            <v>4031</v>
          </cell>
          <cell r="F1305" t="str">
            <v>Kevin Hall</v>
          </cell>
          <cell r="G1305" t="str">
            <v>Swanley Technology College</v>
          </cell>
          <cell r="H1305" t="str">
            <v>South East</v>
          </cell>
          <cell r="I1305" t="str">
            <v>St Mary's Road</v>
          </cell>
          <cell r="L1305" t="str">
            <v>Swanley</v>
          </cell>
          <cell r="M1305" t="str">
            <v>Kent</v>
          </cell>
          <cell r="N1305" t="str">
            <v>BR8 7TE</v>
          </cell>
          <cell r="O1305" t="str">
            <v>john.atkins@thekemnaltrust.org</v>
          </cell>
          <cell r="P1305">
            <v>40380</v>
          </cell>
        </row>
        <row r="1306">
          <cell r="A1306">
            <v>9262252</v>
          </cell>
          <cell r="B1306">
            <v>120905</v>
          </cell>
          <cell r="C1306">
            <v>926</v>
          </cell>
          <cell r="D1306" t="str">
            <v>Norfolk</v>
          </cell>
          <cell r="E1306">
            <v>2252</v>
          </cell>
          <cell r="F1306" t="str">
            <v>Not yet assigned</v>
          </cell>
          <cell r="G1306" t="str">
            <v>Redcastle Furze Primary School</v>
          </cell>
          <cell r="H1306" t="str">
            <v>East of England</v>
          </cell>
          <cell r="I1306" t="str">
            <v>St Martin's Way</v>
          </cell>
          <cell r="L1306" t="str">
            <v>Thetford</v>
          </cell>
          <cell r="M1306" t="str">
            <v>Norfolk</v>
          </cell>
          <cell r="N1306" t="str">
            <v>IP24 3PU</v>
          </cell>
          <cell r="O1306" t="str">
            <v>bramblebank@yahoo.co.uk</v>
          </cell>
        </row>
        <row r="1307">
          <cell r="A1307">
            <v>3843327</v>
          </cell>
          <cell r="B1307">
            <v>108261</v>
          </cell>
          <cell r="C1307">
            <v>384</v>
          </cell>
          <cell r="D1307" t="str">
            <v>Wakefield</v>
          </cell>
          <cell r="E1307">
            <v>3327</v>
          </cell>
          <cell r="F1307" t="str">
            <v>Tony Bretherick</v>
          </cell>
          <cell r="G1307" t="str">
            <v>St Joseph's Catholic Primary School Castleford</v>
          </cell>
          <cell r="H1307" t="str">
            <v>Yorkshire and the Humber</v>
          </cell>
          <cell r="I1307" t="str">
            <v>Pontefract Road</v>
          </cell>
          <cell r="L1307" t="str">
            <v>Castleford</v>
          </cell>
          <cell r="M1307" t="str">
            <v>West Yorkshire</v>
          </cell>
          <cell r="N1307" t="str">
            <v>WF10 4JB</v>
          </cell>
          <cell r="O1307" t="str">
            <v>headteacher@st-josephs-castleford.wakefield.sch.uk</v>
          </cell>
          <cell r="P1307">
            <v>41017</v>
          </cell>
        </row>
        <row r="1308">
          <cell r="A1308">
            <v>8604084</v>
          </cell>
          <cell r="B1308">
            <v>124405</v>
          </cell>
          <cell r="C1308">
            <v>860</v>
          </cell>
          <cell r="D1308" t="str">
            <v>Staffordshire</v>
          </cell>
          <cell r="E1308">
            <v>4084</v>
          </cell>
          <cell r="F1308" t="str">
            <v>Hannah Copp</v>
          </cell>
          <cell r="G1308" t="str">
            <v>Maryhill High School</v>
          </cell>
          <cell r="H1308" t="str">
            <v>West Midlands</v>
          </cell>
          <cell r="I1308" t="str">
            <v>Gloucester Road</v>
          </cell>
          <cell r="J1308" t="str">
            <v>Kidsgrove</v>
          </cell>
          <cell r="L1308" t="str">
            <v>Stoke-on-Trent</v>
          </cell>
          <cell r="M1308" t="str">
            <v>Staffordshire</v>
          </cell>
          <cell r="N1308" t="str">
            <v>ST7 4DL</v>
          </cell>
        </row>
        <row r="1309">
          <cell r="A1309">
            <v>3842078</v>
          </cell>
          <cell r="B1309">
            <v>108163</v>
          </cell>
          <cell r="C1309">
            <v>384</v>
          </cell>
          <cell r="D1309" t="str">
            <v>Wakefield</v>
          </cell>
          <cell r="E1309">
            <v>2078</v>
          </cell>
          <cell r="F1309" t="str">
            <v>Glyn Newton</v>
          </cell>
          <cell r="G1309" t="str">
            <v>Lofthouse Gate Primary School</v>
          </cell>
          <cell r="H1309" t="str">
            <v>Yorkshire and the Humber</v>
          </cell>
          <cell r="I1309" t="str">
            <v>Canal Lane</v>
          </cell>
          <cell r="J1309" t="str">
            <v>Lofthouse Gate</v>
          </cell>
          <cell r="L1309" t="str">
            <v>Wakefield</v>
          </cell>
          <cell r="M1309" t="str">
            <v>West Yorkshire</v>
          </cell>
          <cell r="N1309" t="str">
            <v>WF3 3HU</v>
          </cell>
          <cell r="O1309" t="str">
            <v>headteacher@lofthouse.wakefield.sch.uk</v>
          </cell>
        </row>
        <row r="1310">
          <cell r="A1310">
            <v>9384110</v>
          </cell>
          <cell r="B1310">
            <v>126090</v>
          </cell>
          <cell r="C1310">
            <v>938</v>
          </cell>
          <cell r="D1310" t="str">
            <v>West Sussex</v>
          </cell>
          <cell r="E1310">
            <v>4110</v>
          </cell>
          <cell r="F1310" t="str">
            <v>Sarah Mitchell</v>
          </cell>
          <cell r="G1310" t="str">
            <v>Worthing High School</v>
          </cell>
          <cell r="H1310" t="str">
            <v>South East</v>
          </cell>
          <cell r="I1310" t="str">
            <v>South Farm Road</v>
          </cell>
          <cell r="L1310" t="str">
            <v>Worthing</v>
          </cell>
          <cell r="M1310" t="str">
            <v>West Sussex</v>
          </cell>
          <cell r="N1310" t="str">
            <v>BN14 7AR</v>
          </cell>
          <cell r="O1310" t="str">
            <v>cdickinson@worthinghigh.net</v>
          </cell>
          <cell r="P1310">
            <v>41087</v>
          </cell>
        </row>
        <row r="1311">
          <cell r="A1311">
            <v>9352167</v>
          </cell>
          <cell r="B1311">
            <v>124655</v>
          </cell>
          <cell r="C1311">
            <v>935</v>
          </cell>
          <cell r="D1311" t="str">
            <v>Suffolk</v>
          </cell>
          <cell r="E1311">
            <v>2167</v>
          </cell>
          <cell r="G1311" t="str">
            <v>Rose Hill Primary</v>
          </cell>
          <cell r="H1311" t="str">
            <v>East of England</v>
          </cell>
          <cell r="I1311" t="str">
            <v>Derby Road</v>
          </cell>
          <cell r="L1311" t="str">
            <v>Ipswich</v>
          </cell>
          <cell r="M1311" t="str">
            <v>Suffolk</v>
          </cell>
          <cell r="N1311" t="str">
            <v>IP3 8DL</v>
          </cell>
          <cell r="O1311" t="str">
            <v>head@rosehill.suffolk.sch.uk</v>
          </cell>
        </row>
        <row r="1312">
          <cell r="A1312">
            <v>3434106</v>
          </cell>
          <cell r="B1312">
            <v>104953</v>
          </cell>
          <cell r="C1312">
            <v>343</v>
          </cell>
          <cell r="D1312" t="str">
            <v>Sefton</v>
          </cell>
          <cell r="E1312">
            <v>4106</v>
          </cell>
          <cell r="F1312" t="str">
            <v>Maria Sabberton</v>
          </cell>
          <cell r="G1312" t="str">
            <v>Range High School</v>
          </cell>
          <cell r="H1312" t="str">
            <v>North West</v>
          </cell>
          <cell r="I1312" t="str">
            <v>Stapleton Road</v>
          </cell>
          <cell r="J1312" t="str">
            <v>Formby</v>
          </cell>
          <cell r="L1312" t="str">
            <v>Liverpool</v>
          </cell>
          <cell r="M1312" t="str">
            <v>Merseyside</v>
          </cell>
          <cell r="N1312" t="str">
            <v>L37 2YN</v>
          </cell>
          <cell r="O1312" t="str">
            <v>head.rangehigh@schools.sefton.gov.uk</v>
          </cell>
          <cell r="P1312">
            <v>40633</v>
          </cell>
        </row>
        <row r="1313">
          <cell r="A1313">
            <v>9313826</v>
          </cell>
          <cell r="B1313">
            <v>123209</v>
          </cell>
          <cell r="C1313">
            <v>931</v>
          </cell>
          <cell r="D1313" t="str">
            <v>Oxfordshire</v>
          </cell>
          <cell r="E1313">
            <v>3826</v>
          </cell>
          <cell r="F1313" t="str">
            <v>Sarah Nairne</v>
          </cell>
          <cell r="G1313" t="str">
            <v>St Joseph's Catholic Primary School, Thame</v>
          </cell>
          <cell r="H1313" t="str">
            <v>South East</v>
          </cell>
          <cell r="I1313" t="str">
            <v>Brook Lane</v>
          </cell>
          <cell r="L1313" t="str">
            <v>Thame</v>
          </cell>
          <cell r="M1313" t="str">
            <v>Oxfordshire</v>
          </cell>
          <cell r="N1313" t="str">
            <v>OX9 2AB</v>
          </cell>
          <cell r="O1313" t="str">
            <v>head.3826@st-josephs.oxon.sch.uk</v>
          </cell>
          <cell r="P1313">
            <v>41208</v>
          </cell>
        </row>
        <row r="1314">
          <cell r="A1314">
            <v>8783110</v>
          </cell>
          <cell r="B1314">
            <v>113396</v>
          </cell>
          <cell r="C1314">
            <v>878</v>
          </cell>
          <cell r="D1314" t="str">
            <v>Devon</v>
          </cell>
          <cell r="E1314">
            <v>3110</v>
          </cell>
          <cell r="F1314" t="str">
            <v>Susan Phillips</v>
          </cell>
          <cell r="G1314" t="str">
            <v>Ilsington Church of England Primary School</v>
          </cell>
          <cell r="H1314" t="str">
            <v>South West</v>
          </cell>
          <cell r="I1314" t="str">
            <v>Ilsington</v>
          </cell>
          <cell r="L1314" t="str">
            <v>Newton Abbot</v>
          </cell>
          <cell r="M1314" t="str">
            <v>Devon</v>
          </cell>
          <cell r="N1314" t="str">
            <v>TQ13 9RE</v>
          </cell>
          <cell r="P1314">
            <v>40578</v>
          </cell>
        </row>
        <row r="1315">
          <cell r="A1315">
            <v>8795406</v>
          </cell>
          <cell r="B1315">
            <v>113530</v>
          </cell>
          <cell r="C1315">
            <v>879</v>
          </cell>
          <cell r="D1315" t="str">
            <v>Plymouth</v>
          </cell>
          <cell r="E1315">
            <v>5406</v>
          </cell>
          <cell r="F1315" t="str">
            <v>Ali Bushell</v>
          </cell>
          <cell r="G1315" t="str">
            <v>Devonport High School for Boys</v>
          </cell>
          <cell r="H1315" t="str">
            <v>South West</v>
          </cell>
          <cell r="I1315" t="str">
            <v>Paradise Road</v>
          </cell>
          <cell r="J1315" t="str">
            <v>Stoke</v>
          </cell>
          <cell r="L1315" t="str">
            <v>Plymouth</v>
          </cell>
          <cell r="M1315" t="str">
            <v>Devon</v>
          </cell>
          <cell r="N1315" t="str">
            <v>PL1 5QP</v>
          </cell>
          <cell r="O1315" t="str">
            <v xml:space="preserve"> kieran.j.earley@googlemail.com</v>
          </cell>
          <cell r="P1315">
            <v>40522</v>
          </cell>
        </row>
        <row r="1316">
          <cell r="A1316">
            <v>8104626</v>
          </cell>
          <cell r="B1316">
            <v>118117</v>
          </cell>
          <cell r="C1316">
            <v>810</v>
          </cell>
          <cell r="D1316" t="str">
            <v>Kingston upon Hull City of</v>
          </cell>
          <cell r="E1316">
            <v>4626</v>
          </cell>
          <cell r="F1316" t="str">
            <v>Glyn Newton</v>
          </cell>
          <cell r="G1316" t="str">
            <v>St Mary's College</v>
          </cell>
          <cell r="H1316" t="str">
            <v>Yorkshire and the Humber</v>
          </cell>
          <cell r="I1316" t="str">
            <v>Cranbrook Avenue</v>
          </cell>
          <cell r="L1316" t="str">
            <v>Hull</v>
          </cell>
          <cell r="N1316" t="str">
            <v>HU6 7TN</v>
          </cell>
          <cell r="O1316" t="str">
            <v>gfitzpatrick@staff.st-marys.hull.sch.uk</v>
          </cell>
          <cell r="P1316">
            <v>40558</v>
          </cell>
        </row>
        <row r="1317">
          <cell r="A1317">
            <v>9195411</v>
          </cell>
          <cell r="B1317">
            <v>117583</v>
          </cell>
          <cell r="C1317">
            <v>919</v>
          </cell>
          <cell r="D1317" t="str">
            <v>Hertfordshire</v>
          </cell>
          <cell r="E1317">
            <v>5411</v>
          </cell>
          <cell r="F1317" t="str">
            <v>Lilian Da Cunha</v>
          </cell>
          <cell r="G1317" t="str">
            <v>Mount Grace School</v>
          </cell>
          <cell r="H1317" t="str">
            <v>East of England</v>
          </cell>
          <cell r="I1317" t="str">
            <v>Church Road</v>
          </cell>
          <cell r="L1317" t="str">
            <v>Potters Bar</v>
          </cell>
          <cell r="M1317" t="str">
            <v>Hertfordshire</v>
          </cell>
          <cell r="N1317" t="str">
            <v>EN6 1EZ</v>
          </cell>
          <cell r="O1317" t="str">
            <v>head@mountgrace.herts.sch.uk</v>
          </cell>
          <cell r="P1317">
            <v>40589</v>
          </cell>
        </row>
        <row r="1318">
          <cell r="A1318">
            <v>9283091</v>
          </cell>
          <cell r="B1318">
            <v>122010</v>
          </cell>
          <cell r="C1318">
            <v>928</v>
          </cell>
          <cell r="D1318" t="str">
            <v>Northamptonshire</v>
          </cell>
          <cell r="E1318">
            <v>3091</v>
          </cell>
          <cell r="F1318" t="str">
            <v>Grant Dyson</v>
          </cell>
          <cell r="G1318" t="str">
            <v>Weston Favell CofE VA Primary School</v>
          </cell>
          <cell r="H1318" t="str">
            <v>East Midlands</v>
          </cell>
          <cell r="I1318" t="str">
            <v>Westwood Way</v>
          </cell>
          <cell r="J1318" t="str">
            <v>Wellingborough Road</v>
          </cell>
          <cell r="K1318" t="str">
            <v>Weston Favell</v>
          </cell>
          <cell r="L1318" t="str">
            <v>Northampton</v>
          </cell>
          <cell r="M1318" t="str">
            <v>Northamptonshire</v>
          </cell>
          <cell r="N1318" t="str">
            <v>NN3 3HH</v>
          </cell>
          <cell r="O1318" t="str">
            <v>head@wfps.northants.sch.uk</v>
          </cell>
          <cell r="P1318">
            <v>40911</v>
          </cell>
        </row>
        <row r="1319">
          <cell r="A1319">
            <v>8502115</v>
          </cell>
          <cell r="B1319">
            <v>115918</v>
          </cell>
          <cell r="C1319">
            <v>850</v>
          </cell>
          <cell r="D1319" t="str">
            <v>Hampshire</v>
          </cell>
          <cell r="E1319">
            <v>2115</v>
          </cell>
          <cell r="F1319" t="str">
            <v>Amanda Barrett</v>
          </cell>
          <cell r="G1319" t="str">
            <v>Freegrounds Infant School</v>
          </cell>
          <cell r="H1319" t="str">
            <v>South East</v>
          </cell>
          <cell r="I1319" t="str">
            <v>Hobb Lane</v>
          </cell>
          <cell r="J1319" t="str">
            <v>Hedge End</v>
          </cell>
          <cell r="L1319" t="str">
            <v>Southampton</v>
          </cell>
          <cell r="M1319" t="str">
            <v>Hampshire</v>
          </cell>
          <cell r="N1319" t="str">
            <v>SO30 0GG</v>
          </cell>
          <cell r="O1319" t="str">
            <v>2115af@hants.gov.uk</v>
          </cell>
        </row>
        <row r="1320">
          <cell r="A1320">
            <v>8862545</v>
          </cell>
          <cell r="B1320">
            <v>118505</v>
          </cell>
          <cell r="C1320">
            <v>886</v>
          </cell>
          <cell r="D1320" t="str">
            <v>Kent</v>
          </cell>
          <cell r="E1320">
            <v>2545</v>
          </cell>
          <cell r="F1320" t="str">
            <v>Maryam Jabbari</v>
          </cell>
          <cell r="G1320" t="str">
            <v>Sandgate Primary School</v>
          </cell>
          <cell r="H1320" t="str">
            <v>South East</v>
          </cell>
          <cell r="I1320" t="str">
            <v>Coolinge Lane</v>
          </cell>
          <cell r="L1320" t="str">
            <v>Folkestone</v>
          </cell>
          <cell r="M1320" t="str">
            <v>Kent</v>
          </cell>
          <cell r="N1320" t="str">
            <v>CT20 3QU</v>
          </cell>
          <cell r="O1320" t="str">
            <v>helentaitatsandgate@hotmail.com</v>
          </cell>
          <cell r="P1320">
            <v>41171</v>
          </cell>
        </row>
        <row r="1321">
          <cell r="A1321">
            <v>4203005</v>
          </cell>
          <cell r="B1321">
            <v>133554</v>
          </cell>
          <cell r="C1321">
            <v>420</v>
          </cell>
          <cell r="D1321" t="str">
            <v>Isles of Scilly</v>
          </cell>
          <cell r="E1321">
            <v>3005</v>
          </cell>
          <cell r="F1321" t="str">
            <v>Kate Bosher</v>
          </cell>
          <cell r="G1321" t="str">
            <v>The Five Islands School ( boarding)</v>
          </cell>
          <cell r="H1321" t="str">
            <v>South West</v>
          </cell>
          <cell r="J1321" t="str">
            <v>Carn Gwaval</v>
          </cell>
          <cell r="L1321" t="str">
            <v>St Mary's</v>
          </cell>
          <cell r="M1321" t="str">
            <v>Isles of Scilly</v>
          </cell>
          <cell r="N1321" t="str">
            <v>TR21 0NA</v>
          </cell>
          <cell r="O1321" t="str">
            <v>brycewilby@fiveislands.scilly.sch.uk</v>
          </cell>
        </row>
        <row r="1322">
          <cell r="A1322">
            <v>9282065</v>
          </cell>
          <cell r="B1322">
            <v>121841</v>
          </cell>
          <cell r="C1322">
            <v>928</v>
          </cell>
          <cell r="D1322" t="str">
            <v>Northamptonshire</v>
          </cell>
          <cell r="E1322">
            <v>2065</v>
          </cell>
          <cell r="F1322" t="str">
            <v>Sue Harp</v>
          </cell>
          <cell r="G1322" t="str">
            <v>Kings Sutton Primary School</v>
          </cell>
          <cell r="H1322" t="str">
            <v>East Midlands</v>
          </cell>
          <cell r="I1322" t="str">
            <v>Richmond Street</v>
          </cell>
          <cell r="J1322" t="str">
            <v>Kings Sutton</v>
          </cell>
          <cell r="L1322" t="str">
            <v>Banbury</v>
          </cell>
          <cell r="M1322" t="str">
            <v>Oxfordshire</v>
          </cell>
          <cell r="N1322" t="str">
            <v>OX17 3RT</v>
          </cell>
          <cell r="O1322" t="str">
            <v>head@kingssutton.northants-ecl.gov.uk</v>
          </cell>
        </row>
        <row r="1323">
          <cell r="A1323">
            <v>9362493</v>
          </cell>
          <cell r="B1323">
            <v>125083</v>
          </cell>
          <cell r="C1323">
            <v>936</v>
          </cell>
          <cell r="D1323" t="str">
            <v>Surrey</v>
          </cell>
          <cell r="E1323">
            <v>2493</v>
          </cell>
          <cell r="F1323" t="str">
            <v>Gabriela Grimley</v>
          </cell>
          <cell r="G1323" t="str">
            <v>Meath Green Infant School</v>
          </cell>
          <cell r="H1323" t="str">
            <v>South East</v>
          </cell>
          <cell r="I1323" t="str">
            <v>Kiln Lane</v>
          </cell>
          <cell r="J1323" t="str">
            <v>Meath Green</v>
          </cell>
          <cell r="L1323" t="str">
            <v>Horley</v>
          </cell>
          <cell r="M1323" t="str">
            <v>Surrey</v>
          </cell>
          <cell r="N1323" t="str">
            <v>RH6 8JG</v>
          </cell>
          <cell r="O1323" t="str">
            <v>head@meath-green-infant.surrey.sch.uk</v>
          </cell>
        </row>
        <row r="1324">
          <cell r="A1324">
            <v>8734007</v>
          </cell>
          <cell r="B1324">
            <v>110863</v>
          </cell>
          <cell r="C1324">
            <v>873</v>
          </cell>
          <cell r="D1324" t="str">
            <v>Cambridgeshire</v>
          </cell>
          <cell r="E1324">
            <v>4007</v>
          </cell>
          <cell r="F1324" t="str">
            <v>Vivienne Brown</v>
          </cell>
          <cell r="G1324" t="str">
            <v>Swavesey Village College</v>
          </cell>
          <cell r="H1324" t="str">
            <v>East of England</v>
          </cell>
          <cell r="I1324" t="str">
            <v>Gibraltar Lane</v>
          </cell>
          <cell r="J1324" t="str">
            <v>Swavesey</v>
          </cell>
          <cell r="L1324" t="str">
            <v>Cambridge</v>
          </cell>
          <cell r="M1324" t="str">
            <v>Cambridgeshire</v>
          </cell>
          <cell r="N1324" t="str">
            <v>CB24 4RS</v>
          </cell>
          <cell r="O1324" t="str">
            <v>MBacon@swaveseyvc.co.uk</v>
          </cell>
          <cell r="P1324">
            <v>40500</v>
          </cell>
        </row>
        <row r="1325">
          <cell r="A1325">
            <v>9351107</v>
          </cell>
          <cell r="B1325">
            <v>133715</v>
          </cell>
          <cell r="C1325">
            <v>935</v>
          </cell>
          <cell r="D1325" t="str">
            <v>Suffolk</v>
          </cell>
          <cell r="E1325">
            <v>1107</v>
          </cell>
          <cell r="F1325" t="str">
            <v>Eric Mcewen</v>
          </cell>
          <cell r="G1325" t="str">
            <v>First Base, Ipswich</v>
          </cell>
          <cell r="H1325" t="str">
            <v>East of England</v>
          </cell>
          <cell r="I1325" t="str">
            <v>Raeburn Road</v>
          </cell>
          <cell r="L1325" t="str">
            <v>Ipswich</v>
          </cell>
          <cell r="M1325" t="str">
            <v>Suffolk</v>
          </cell>
          <cell r="N1325" t="str">
            <v>IP3 0EW</v>
          </cell>
          <cell r="O1325" t="str">
            <v>jansiddall.ht@firstbase-ipswich.co.uk</v>
          </cell>
        </row>
        <row r="1326">
          <cell r="A1326">
            <v>3325403</v>
          </cell>
          <cell r="B1326">
            <v>103873</v>
          </cell>
          <cell r="C1326">
            <v>332</v>
          </cell>
          <cell r="D1326" t="str">
            <v>Dudley</v>
          </cell>
          <cell r="E1326">
            <v>5403</v>
          </cell>
          <cell r="F1326" t="str">
            <v>Stephen Bagnall</v>
          </cell>
          <cell r="G1326" t="str">
            <v>The High Arcal School</v>
          </cell>
          <cell r="H1326" t="str">
            <v>West Midlands</v>
          </cell>
          <cell r="I1326" t="str">
            <v>High Arcal Drive</v>
          </cell>
          <cell r="J1326" t="str">
            <v>Sedgley</v>
          </cell>
          <cell r="L1326" t="str">
            <v>Dudley</v>
          </cell>
          <cell r="M1326" t="str">
            <v>West Midlands</v>
          </cell>
          <cell r="N1326" t="str">
            <v>DY3 1BP</v>
          </cell>
          <cell r="O1326" t="str">
            <v>jmanson@high-arcal.dudley.sch.uk</v>
          </cell>
          <cell r="P1326">
            <v>40725</v>
          </cell>
        </row>
        <row r="1327">
          <cell r="A1327">
            <v>9353342</v>
          </cell>
          <cell r="B1327">
            <v>124786</v>
          </cell>
          <cell r="C1327">
            <v>935</v>
          </cell>
          <cell r="D1327" t="str">
            <v>Suffolk</v>
          </cell>
          <cell r="E1327">
            <v>3342</v>
          </cell>
          <cell r="F1327" t="str">
            <v>Joe Farrell</v>
          </cell>
          <cell r="G1327" t="str">
            <v>St Mark's Catholic Primary School, Ipswich</v>
          </cell>
          <cell r="H1327" t="str">
            <v>East of England</v>
          </cell>
          <cell r="I1327" t="str">
            <v>Stone Lodge Lane West</v>
          </cell>
          <cell r="L1327" t="str">
            <v>Ipswich</v>
          </cell>
          <cell r="M1327" t="str">
            <v>Suffolk</v>
          </cell>
          <cell r="N1327" t="str">
            <v>IP2 9HN</v>
          </cell>
          <cell r="O1327" t="str">
            <v>headteacher.stmarks@btinternet.com</v>
          </cell>
        </row>
        <row r="1328">
          <cell r="A1328">
            <v>9253004</v>
          </cell>
          <cell r="B1328">
            <v>120513</v>
          </cell>
          <cell r="C1328">
            <v>925</v>
          </cell>
          <cell r="D1328" t="str">
            <v>Lincolnshire</v>
          </cell>
          <cell r="E1328">
            <v>3004</v>
          </cell>
          <cell r="F1328" t="str">
            <v>Sue Harp</v>
          </cell>
          <cell r="G1328" t="str">
            <v>Barrowby CE Primary</v>
          </cell>
          <cell r="H1328" t="str">
            <v>East Midlands</v>
          </cell>
          <cell r="I1328" t="str">
            <v>Church Street</v>
          </cell>
          <cell r="J1328" t="str">
            <v>Barrowby</v>
          </cell>
          <cell r="L1328" t="str">
            <v>Grantham</v>
          </cell>
          <cell r="M1328" t="str">
            <v>Lincolnshire</v>
          </cell>
          <cell r="N1328" t="str">
            <v>NG32 1BX</v>
          </cell>
          <cell r="O1328" t="str">
            <v>sylvia.west@barrowby.lincs.sch.uk</v>
          </cell>
        </row>
        <row r="1329">
          <cell r="A1329">
            <v>8862268</v>
          </cell>
          <cell r="B1329">
            <v>118363</v>
          </cell>
          <cell r="C1329">
            <v>886</v>
          </cell>
          <cell r="D1329" t="str">
            <v>Kent</v>
          </cell>
          <cell r="E1329">
            <v>2268</v>
          </cell>
          <cell r="F1329" t="str">
            <v>Nicky Edwards</v>
          </cell>
          <cell r="G1329" t="str">
            <v>Westmeads Community Infant School</v>
          </cell>
          <cell r="H1329" t="str">
            <v>South East</v>
          </cell>
          <cell r="I1329" t="str">
            <v>Cromwell Road</v>
          </cell>
          <cell r="L1329" t="str">
            <v>Whitstable</v>
          </cell>
          <cell r="M1329" t="str">
            <v>Kent</v>
          </cell>
          <cell r="N1329" t="str">
            <v>CT5 1NA</v>
          </cell>
          <cell r="O1329" t="str">
            <v>headteacher@westmeads.kent.sch.uk</v>
          </cell>
        </row>
        <row r="1330">
          <cell r="A1330">
            <v>8954116</v>
          </cell>
          <cell r="B1330">
            <v>111402</v>
          </cell>
          <cell r="C1330">
            <v>895</v>
          </cell>
          <cell r="D1330" t="str">
            <v>Cheshire East</v>
          </cell>
          <cell r="E1330">
            <v>4116</v>
          </cell>
          <cell r="F1330" t="str">
            <v>Jane McCusker</v>
          </cell>
          <cell r="G1330" t="str">
            <v>Tytherington High school &amp; Specialist Science College</v>
          </cell>
          <cell r="H1330" t="str">
            <v>North West</v>
          </cell>
          <cell r="I1330" t="str">
            <v>Manchester Road</v>
          </cell>
          <cell r="L1330" t="str">
            <v>Macclesfield</v>
          </cell>
          <cell r="M1330" t="str">
            <v>Cheshire</v>
          </cell>
          <cell r="N1330" t="str">
            <v>SK10 2EE</v>
          </cell>
          <cell r="O1330" t="str">
            <v xml:space="preserve">arobinson@tytheringtonhs.cheshire.sch.uk </v>
          </cell>
        </row>
        <row r="1331">
          <cell r="A1331">
            <v>8234096</v>
          </cell>
          <cell r="B1331">
            <v>109678</v>
          </cell>
          <cell r="C1331">
            <v>823</v>
          </cell>
          <cell r="D1331" t="str">
            <v>Central Bedfordshire</v>
          </cell>
          <cell r="E1331">
            <v>4096</v>
          </cell>
          <cell r="F1331" t="str">
            <v>Michael Cook</v>
          </cell>
          <cell r="G1331" t="str">
            <v>Vandyke Upper School and Community College</v>
          </cell>
          <cell r="H1331" t="str">
            <v>East of England</v>
          </cell>
          <cell r="I1331" t="str">
            <v>Vandyke Road</v>
          </cell>
          <cell r="L1331" t="str">
            <v>Leighton Buzzard</v>
          </cell>
          <cell r="M1331" t="str">
            <v>Bedfordshire</v>
          </cell>
          <cell r="N1331" t="str">
            <v>LU7 3DY</v>
          </cell>
          <cell r="O1331" t="str">
            <v>carrollt@vandyke.cbeds.co.uk</v>
          </cell>
          <cell r="P1331">
            <v>40603</v>
          </cell>
        </row>
        <row r="1332">
          <cell r="A1332">
            <v>3125401</v>
          </cell>
          <cell r="B1332">
            <v>102441</v>
          </cell>
          <cell r="C1332">
            <v>312</v>
          </cell>
          <cell r="D1332" t="str">
            <v>Hillingdon</v>
          </cell>
          <cell r="E1332">
            <v>5401</v>
          </cell>
          <cell r="F1332" t="str">
            <v>Martin Rowley</v>
          </cell>
          <cell r="G1332" t="str">
            <v>Haydon School</v>
          </cell>
          <cell r="H1332" t="str">
            <v>London</v>
          </cell>
          <cell r="I1332" t="str">
            <v>Wiltshire Lane</v>
          </cell>
          <cell r="J1332" t="str">
            <v>Eastcote</v>
          </cell>
          <cell r="L1332" t="str">
            <v>Pinner</v>
          </cell>
          <cell r="N1332" t="str">
            <v>HA5 2LX</v>
          </cell>
          <cell r="O1332" t="str">
            <v>srobson@hillingdongrid.org</v>
          </cell>
          <cell r="P1332">
            <v>40490</v>
          </cell>
        </row>
        <row r="1333">
          <cell r="A1333">
            <v>8842005</v>
          </cell>
          <cell r="B1333">
            <v>116649</v>
          </cell>
          <cell r="C1333">
            <v>884</v>
          </cell>
          <cell r="D1333" t="str">
            <v>Herefordshire</v>
          </cell>
          <cell r="E1333">
            <v>2005</v>
          </cell>
          <cell r="F1333" t="str">
            <v>Beverley Samuel</v>
          </cell>
          <cell r="G1333" t="str">
            <v>Ashperton Primary School</v>
          </cell>
          <cell r="H1333" t="str">
            <v>West Midlands</v>
          </cell>
          <cell r="I1333" t="str">
            <v>Ashperton</v>
          </cell>
          <cell r="L1333" t="str">
            <v>Ledbury</v>
          </cell>
          <cell r="M1333" t="str">
            <v>Herefordshire</v>
          </cell>
          <cell r="N1333" t="str">
            <v>HR8 2SE</v>
          </cell>
          <cell r="O1333" t="str">
            <v>cbandfield@ashperton.hereford.sch.uk</v>
          </cell>
          <cell r="P1333">
            <v>40519</v>
          </cell>
        </row>
        <row r="1334">
          <cell r="A1334">
            <v>8012312</v>
          </cell>
          <cell r="B1334">
            <v>109116</v>
          </cell>
          <cell r="C1334">
            <v>801</v>
          </cell>
          <cell r="D1334" t="str">
            <v>Bristol City of</v>
          </cell>
          <cell r="E1334">
            <v>2312</v>
          </cell>
          <cell r="F1334" t="str">
            <v>Susan Phillips</v>
          </cell>
          <cell r="G1334" t="str">
            <v>Bishop Road Primary School</v>
          </cell>
          <cell r="H1334" t="str">
            <v>South West</v>
          </cell>
          <cell r="I1334" t="str">
            <v>Bishop Road</v>
          </cell>
          <cell r="J1334" t="str">
            <v>Bishopston</v>
          </cell>
          <cell r="L1334" t="str">
            <v>Bristol</v>
          </cell>
          <cell r="N1334" t="str">
            <v>BS7 8LS</v>
          </cell>
          <cell r="O1334" t="str">
            <v>headbishoprdp@bristol.gov.uk</v>
          </cell>
        </row>
        <row r="1335">
          <cell r="A1335">
            <v>9163319</v>
          </cell>
          <cell r="B1335">
            <v>115681</v>
          </cell>
          <cell r="C1335">
            <v>916</v>
          </cell>
          <cell r="D1335" t="str">
            <v>Gloucestershire</v>
          </cell>
          <cell r="E1335">
            <v>3319</v>
          </cell>
          <cell r="F1335" t="str">
            <v>Nigel Mills</v>
          </cell>
          <cell r="G1335" t="str">
            <v>Powell's Church of England Primary School</v>
          </cell>
          <cell r="H1335" t="str">
            <v>South West</v>
          </cell>
          <cell r="I1335" t="str">
            <v>Gloucester Street</v>
          </cell>
          <cell r="L1335" t="str">
            <v>Cirencester</v>
          </cell>
          <cell r="M1335" t="str">
            <v>Gloucestershire</v>
          </cell>
          <cell r="N1335" t="str">
            <v>GL7 2DJ</v>
          </cell>
          <cell r="P1335">
            <v>40735</v>
          </cell>
        </row>
        <row r="1336">
          <cell r="A1336">
            <v>8842014</v>
          </cell>
          <cell r="B1336">
            <v>116657</v>
          </cell>
          <cell r="C1336">
            <v>884</v>
          </cell>
          <cell r="D1336" t="str">
            <v>Herefordshire</v>
          </cell>
          <cell r="E1336">
            <v>2014</v>
          </cell>
          <cell r="F1336" t="str">
            <v>John Edmunds</v>
          </cell>
          <cell r="G1336" t="str">
            <v>Brockhampton Primary School</v>
          </cell>
          <cell r="H1336" t="str">
            <v>West Midlands</v>
          </cell>
          <cell r="I1336" t="str">
            <v>Brockhampton</v>
          </cell>
          <cell r="J1336" t="str">
            <v>Bringsty</v>
          </cell>
          <cell r="L1336" t="str">
            <v>Worcester</v>
          </cell>
          <cell r="M1336" t="str">
            <v>Worcestershire</v>
          </cell>
          <cell r="N1336" t="str">
            <v>WR6 5TD</v>
          </cell>
          <cell r="O1336" t="str">
            <v>brockhamptonhead@yahoo.co.uk</v>
          </cell>
          <cell r="P1336">
            <v>40641</v>
          </cell>
        </row>
        <row r="1337">
          <cell r="A1337">
            <v>8782719</v>
          </cell>
          <cell r="B1337">
            <v>113339</v>
          </cell>
          <cell r="C1337">
            <v>878</v>
          </cell>
          <cell r="D1337" t="str">
            <v>Devon</v>
          </cell>
          <cell r="E1337">
            <v>2719</v>
          </cell>
          <cell r="F1337" t="str">
            <v>Not yet assigned</v>
          </cell>
          <cell r="G1337" t="str">
            <v>Tidcombe Primary School</v>
          </cell>
          <cell r="H1337" t="str">
            <v>South West</v>
          </cell>
          <cell r="I1337" t="str">
            <v>Marina Way</v>
          </cell>
          <cell r="L1337" t="str">
            <v>Tiverton</v>
          </cell>
          <cell r="M1337" t="str">
            <v>Devon</v>
          </cell>
          <cell r="N1337" t="str">
            <v>EX16 4BP</v>
          </cell>
          <cell r="O1337" t="str">
            <v>simongreen@tidcome.devon.sch.uk</v>
          </cell>
        </row>
        <row r="1338">
          <cell r="A1338">
            <v>8304196</v>
          </cell>
          <cell r="B1338">
            <v>112962</v>
          </cell>
          <cell r="C1338">
            <v>830</v>
          </cell>
          <cell r="D1338" t="str">
            <v>Derbyshire</v>
          </cell>
          <cell r="E1338">
            <v>4196</v>
          </cell>
          <cell r="F1338" t="str">
            <v>Stephen Standret</v>
          </cell>
          <cell r="G1338" t="str">
            <v>Brookfield Community School</v>
          </cell>
          <cell r="H1338" t="str">
            <v>East Midlands</v>
          </cell>
          <cell r="I1338" t="str">
            <v>Chatsworth Road</v>
          </cell>
          <cell r="L1338" t="str">
            <v>Chesterfield</v>
          </cell>
          <cell r="M1338" t="str">
            <v>Derbyshire</v>
          </cell>
          <cell r="N1338" t="str">
            <v>S40 3NS</v>
          </cell>
          <cell r="O1338" t="str">
            <v>r.barr@brookfield.derbyshire.sch.uk</v>
          </cell>
          <cell r="P1338">
            <v>40533</v>
          </cell>
        </row>
        <row r="1339">
          <cell r="A1339">
            <v>2071100</v>
          </cell>
          <cell r="B1339">
            <v>100476</v>
          </cell>
          <cell r="C1339">
            <v>207</v>
          </cell>
          <cell r="D1339" t="str">
            <v>Kensington and Chelsea</v>
          </cell>
          <cell r="E1339">
            <v>1100</v>
          </cell>
          <cell r="F1339" t="str">
            <v>Tahir Shams</v>
          </cell>
          <cell r="G1339" t="str">
            <v>The Latimer Education Centre/Pupil Referral Unit</v>
          </cell>
          <cell r="H1339" t="str">
            <v>London</v>
          </cell>
          <cell r="I1339" t="str">
            <v>194 Freston Road</v>
          </cell>
          <cell r="J1339" t="str">
            <v>Latimer Road Station</v>
          </cell>
          <cell r="L1339" t="str">
            <v>London</v>
          </cell>
          <cell r="N1339" t="str">
            <v>W10 6TT</v>
          </cell>
          <cell r="O1339" t="str">
            <v>head@bridge.lbhf.sch.uk</v>
          </cell>
        </row>
        <row r="1340">
          <cell r="A1340">
            <v>8802460</v>
          </cell>
          <cell r="B1340">
            <v>113233</v>
          </cell>
          <cell r="C1340">
            <v>880</v>
          </cell>
          <cell r="D1340" t="str">
            <v>Torbay</v>
          </cell>
          <cell r="E1340">
            <v>2460</v>
          </cell>
          <cell r="F1340" t="str">
            <v>Ali Bushell</v>
          </cell>
          <cell r="G1340" t="str">
            <v>Watcombe Primary School</v>
          </cell>
          <cell r="H1340" t="str">
            <v>South West</v>
          </cell>
          <cell r="I1340" t="str">
            <v>Moor Lane</v>
          </cell>
          <cell r="L1340" t="str">
            <v>Torquay</v>
          </cell>
          <cell r="M1340" t="str">
            <v>Devon</v>
          </cell>
          <cell r="N1340" t="str">
            <v>TQ2 8NU</v>
          </cell>
          <cell r="O1340" t="str">
            <v>head@watcombe-primary.torbay.sch.uk</v>
          </cell>
        </row>
        <row r="1341">
          <cell r="A1341">
            <v>8263384</v>
          </cell>
          <cell r="B1341">
            <v>134423</v>
          </cell>
          <cell r="C1341">
            <v>826</v>
          </cell>
          <cell r="D1341" t="str">
            <v>Milton Keynes</v>
          </cell>
          <cell r="E1341">
            <v>3384</v>
          </cell>
          <cell r="F1341" t="str">
            <v>Nicky Edwards</v>
          </cell>
          <cell r="G1341" t="str">
            <v>Bow Brickhill C of E VA Primary</v>
          </cell>
          <cell r="H1341" t="str">
            <v>South East</v>
          </cell>
          <cell r="I1341" t="str">
            <v>Station Road</v>
          </cell>
          <cell r="J1341" t="str">
            <v>Bow Brickhill</v>
          </cell>
          <cell r="L1341" t="str">
            <v>Milton Keynes</v>
          </cell>
          <cell r="M1341" t="str">
            <v>Buckinghamshire</v>
          </cell>
          <cell r="N1341" t="str">
            <v>MK17 9JT</v>
          </cell>
          <cell r="O1341" t="str">
            <v>jane.bellamy@milton-keynes.gov.uk</v>
          </cell>
        </row>
        <row r="1342">
          <cell r="A1342">
            <v>3912999</v>
          </cell>
          <cell r="B1342">
            <v>108492</v>
          </cell>
          <cell r="C1342">
            <v>391</v>
          </cell>
          <cell r="D1342" t="str">
            <v>Newcastle upon Tyne</v>
          </cell>
          <cell r="E1342">
            <v>2999</v>
          </cell>
          <cell r="F1342" t="str">
            <v>Alan Large</v>
          </cell>
          <cell r="G1342" t="str">
            <v>Moorside Community Primary School</v>
          </cell>
          <cell r="H1342" t="str">
            <v>North East</v>
          </cell>
          <cell r="I1342" t="str">
            <v>Beaconsfield Street</v>
          </cell>
          <cell r="L1342" t="str">
            <v>Newcastle-upon-Tyne</v>
          </cell>
          <cell r="M1342" t="str">
            <v>Tyne and Wear</v>
          </cell>
          <cell r="N1342" t="str">
            <v>NE4 5AW</v>
          </cell>
          <cell r="O1342" t="str">
            <v>j.foster@moorside.newcastle.sch.uk</v>
          </cell>
          <cell r="P1342">
            <v>41109</v>
          </cell>
        </row>
        <row r="1343">
          <cell r="A1343">
            <v>8602345</v>
          </cell>
          <cell r="B1343">
            <v>124164</v>
          </cell>
          <cell r="C1343">
            <v>860</v>
          </cell>
          <cell r="D1343" t="str">
            <v>Staffordshire</v>
          </cell>
          <cell r="E1343">
            <v>2345</v>
          </cell>
          <cell r="F1343" t="str">
            <v>Hannah Copp</v>
          </cell>
          <cell r="G1343" t="str">
            <v>Pirehill First School</v>
          </cell>
          <cell r="H1343" t="str">
            <v>West Midlands</v>
          </cell>
          <cell r="I1343" t="str">
            <v>Tilling Drive</v>
          </cell>
          <cell r="J1343" t="str">
            <v>Walton</v>
          </cell>
          <cell r="L1343" t="str">
            <v>Stone</v>
          </cell>
          <cell r="M1343" t="str">
            <v>Staffordshire</v>
          </cell>
          <cell r="N1343" t="str">
            <v>ST15 0AA</v>
          </cell>
          <cell r="O1343" t="str">
            <v>headteacher@pirehill.staffs.sch.uk</v>
          </cell>
        </row>
        <row r="1344">
          <cell r="A1344">
            <v>9192003</v>
          </cell>
          <cell r="B1344">
            <v>131188</v>
          </cell>
          <cell r="C1344">
            <v>919</v>
          </cell>
          <cell r="D1344" t="str">
            <v>Hertfordshire</v>
          </cell>
          <cell r="E1344">
            <v>2003</v>
          </cell>
          <cell r="F1344" t="str">
            <v>Joe Farrell</v>
          </cell>
          <cell r="G1344" t="str">
            <v>Bovingdon Primary School</v>
          </cell>
          <cell r="H1344" t="str">
            <v>East of England</v>
          </cell>
          <cell r="I1344" t="str">
            <v>High Street</v>
          </cell>
          <cell r="J1344" t="str">
            <v>Bovingdon</v>
          </cell>
          <cell r="L1344" t="str">
            <v>Hemel Hempstead</v>
          </cell>
          <cell r="M1344" t="str">
            <v>Hertfordshire</v>
          </cell>
          <cell r="N1344" t="str">
            <v>HP3 0HL</v>
          </cell>
          <cell r="O1344" t="str">
            <v>head@bovingdon.herts.sch.uk</v>
          </cell>
          <cell r="P1344">
            <v>40528</v>
          </cell>
        </row>
        <row r="1345">
          <cell r="A1345">
            <v>8375405</v>
          </cell>
          <cell r="B1345">
            <v>113905</v>
          </cell>
          <cell r="C1345">
            <v>837</v>
          </cell>
          <cell r="D1345" t="str">
            <v>Bournemouth</v>
          </cell>
          <cell r="E1345">
            <v>5405</v>
          </cell>
          <cell r="F1345" t="str">
            <v>Kate Bosher</v>
          </cell>
          <cell r="G1345" t="str">
            <v>Bournemouth School for Girls</v>
          </cell>
          <cell r="H1345" t="str">
            <v>South West</v>
          </cell>
          <cell r="I1345" t="str">
            <v>Castle Gate Close</v>
          </cell>
          <cell r="J1345" t="str">
            <v>Castle Lane West</v>
          </cell>
          <cell r="L1345" t="str">
            <v>Bournemouth</v>
          </cell>
          <cell r="M1345" t="str">
            <v>Dorset</v>
          </cell>
          <cell r="N1345" t="str">
            <v>BH8 9UJ</v>
          </cell>
          <cell r="O1345" t="str">
            <v>abrien@bsg.bournemouth.sch.uk</v>
          </cell>
          <cell r="P1345">
            <v>40637</v>
          </cell>
        </row>
        <row r="1346">
          <cell r="A1346">
            <v>8412666</v>
          </cell>
          <cell r="B1346">
            <v>114181</v>
          </cell>
          <cell r="C1346">
            <v>841</v>
          </cell>
          <cell r="D1346" t="str">
            <v>Darlington</v>
          </cell>
          <cell r="E1346">
            <v>2666</v>
          </cell>
          <cell r="F1346" t="str">
            <v>Jane Moore</v>
          </cell>
          <cell r="G1346" t="str">
            <v>Abbey Infants' School</v>
          </cell>
          <cell r="H1346" t="str">
            <v>North East</v>
          </cell>
          <cell r="I1346" t="str">
            <v>Cleveland Terrace</v>
          </cell>
          <cell r="L1346" t="str">
            <v>Darlington</v>
          </cell>
          <cell r="M1346" t="str">
            <v>County Durham</v>
          </cell>
          <cell r="N1346" t="str">
            <v>DL3 8JA</v>
          </cell>
          <cell r="O1346" t="str">
            <v>emccue@abbeyfed.darlington.sch.uk</v>
          </cell>
          <cell r="P1346">
            <v>40640</v>
          </cell>
        </row>
        <row r="1347">
          <cell r="A1347">
            <v>3532047</v>
          </cell>
          <cell r="B1347">
            <v>105645</v>
          </cell>
          <cell r="C1347">
            <v>353</v>
          </cell>
          <cell r="D1347" t="str">
            <v>Oldham</v>
          </cell>
          <cell r="E1347">
            <v>2047</v>
          </cell>
          <cell r="F1347" t="str">
            <v>Linda Tiley</v>
          </cell>
          <cell r="G1347" t="str">
            <v>Glodwick Infant and Nursery School</v>
          </cell>
          <cell r="H1347" t="str">
            <v>North West</v>
          </cell>
          <cell r="I1347" t="str">
            <v>Glodwick Road</v>
          </cell>
          <cell r="L1347" t="str">
            <v>Oldham</v>
          </cell>
          <cell r="M1347" t="str">
            <v>Greater Manchester</v>
          </cell>
          <cell r="N1347" t="str">
            <v>OL4 1AJ</v>
          </cell>
          <cell r="O1347" t="str">
            <v>j.brierley@glodwick.oldham.sch.uk</v>
          </cell>
        </row>
        <row r="1348">
          <cell r="A1348">
            <v>3843330</v>
          </cell>
          <cell r="B1348">
            <v>108263</v>
          </cell>
          <cell r="C1348">
            <v>384</v>
          </cell>
          <cell r="D1348" t="str">
            <v>Wakefield</v>
          </cell>
          <cell r="E1348">
            <v>3330</v>
          </cell>
          <cell r="F1348" t="str">
            <v>Tony Bretherick</v>
          </cell>
          <cell r="G1348" t="str">
            <v>St. John the Baptist Catholic Primary School</v>
          </cell>
          <cell r="H1348" t="str">
            <v>Yorkshire and the Humber</v>
          </cell>
          <cell r="I1348" t="str">
            <v>Beckbridge Lane</v>
          </cell>
          <cell r="L1348" t="str">
            <v>Normanton</v>
          </cell>
          <cell r="M1348" t="str">
            <v>West Yorkshire</v>
          </cell>
          <cell r="N1348" t="str">
            <v>WF6 2HZ</v>
          </cell>
          <cell r="O1348" t="str">
            <v>headteacher@st-john.wakefield.sch.uk</v>
          </cell>
          <cell r="P1348">
            <v>41018</v>
          </cell>
        </row>
        <row r="1349">
          <cell r="A1349">
            <v>8815402</v>
          </cell>
          <cell r="B1349">
            <v>115318</v>
          </cell>
          <cell r="C1349">
            <v>881</v>
          </cell>
          <cell r="D1349" t="str">
            <v>Essex</v>
          </cell>
          <cell r="E1349">
            <v>5402</v>
          </cell>
          <cell r="F1349" t="str">
            <v>Claire Ivie</v>
          </cell>
          <cell r="G1349" t="str">
            <v>Plume School</v>
          </cell>
          <cell r="H1349" t="str">
            <v>East of England</v>
          </cell>
          <cell r="I1349" t="str">
            <v>Fambridge Road</v>
          </cell>
          <cell r="L1349" t="str">
            <v>Maldon</v>
          </cell>
          <cell r="M1349" t="str">
            <v>Essex</v>
          </cell>
          <cell r="N1349" t="str">
            <v>CM9 6AB</v>
          </cell>
          <cell r="O1349" t="str">
            <v>d.stephenson@plume.essex.sch.uk</v>
          </cell>
          <cell r="P1349">
            <v>40823</v>
          </cell>
        </row>
        <row r="1350">
          <cell r="A1350">
            <v>3712165</v>
          </cell>
          <cell r="B1350">
            <v>106728</v>
          </cell>
          <cell r="C1350">
            <v>371</v>
          </cell>
          <cell r="D1350" t="str">
            <v>Doncaster</v>
          </cell>
          <cell r="E1350">
            <v>2165</v>
          </cell>
          <cell r="F1350" t="str">
            <v>Glyn Newton</v>
          </cell>
          <cell r="G1350" t="str">
            <v>Park Primary School</v>
          </cell>
          <cell r="H1350" t="str">
            <v>Yorkshire and the Humber</v>
          </cell>
          <cell r="I1350" t="str">
            <v>Monmouth Road</v>
          </cell>
          <cell r="L1350" t="str">
            <v>Doncaster</v>
          </cell>
          <cell r="M1350" t="str">
            <v>South Yorkshire</v>
          </cell>
          <cell r="N1350" t="str">
            <v>DN2 4JP</v>
          </cell>
          <cell r="O1350" t="str">
            <v>head@park.doncaster.sch.uk</v>
          </cell>
        </row>
        <row r="1351">
          <cell r="A1351">
            <v>3304661</v>
          </cell>
          <cell r="B1351">
            <v>103536</v>
          </cell>
          <cell r="C1351">
            <v>330</v>
          </cell>
          <cell r="D1351" t="str">
            <v>Birmingham</v>
          </cell>
          <cell r="E1351">
            <v>4661</v>
          </cell>
          <cell r="F1351" t="str">
            <v>Alison Middleton</v>
          </cell>
          <cell r="G1351" t="str">
            <v>Bishop Walsh Catholic School</v>
          </cell>
          <cell r="H1351" t="str">
            <v>West Midlands</v>
          </cell>
          <cell r="I1351" t="str">
            <v>Wylde Green Road</v>
          </cell>
          <cell r="L1351" t="str">
            <v>Sutton Coldfield</v>
          </cell>
          <cell r="M1351" t="str">
            <v>West Midlands</v>
          </cell>
          <cell r="N1351" t="str">
            <v>B76 1QT</v>
          </cell>
          <cell r="O1351" t="str">
            <v>j.farrell@bishopwalsh.net</v>
          </cell>
          <cell r="P1351">
            <v>41243</v>
          </cell>
        </row>
        <row r="1352">
          <cell r="A1352">
            <v>8504159</v>
          </cell>
          <cell r="B1352">
            <v>116428</v>
          </cell>
          <cell r="C1352">
            <v>850</v>
          </cell>
          <cell r="D1352" t="str">
            <v>Hampshire</v>
          </cell>
          <cell r="E1352">
            <v>4159</v>
          </cell>
          <cell r="F1352" t="str">
            <v>Amanda Barrett</v>
          </cell>
          <cell r="G1352" t="str">
            <v>Crookhorn College of Technology</v>
          </cell>
          <cell r="H1352" t="str">
            <v>South East</v>
          </cell>
          <cell r="I1352" t="str">
            <v>Stakes Hill Road</v>
          </cell>
          <cell r="L1352" t="str">
            <v>Waterlooville</v>
          </cell>
          <cell r="M1352" t="str">
            <v>Hampshire</v>
          </cell>
          <cell r="N1352" t="str">
            <v>PO7 5UD</v>
          </cell>
          <cell r="O1352" t="str">
            <v>grahame.sammons@crookhorn.hants.sch.uk</v>
          </cell>
          <cell r="P1352">
            <v>41214</v>
          </cell>
        </row>
        <row r="1353">
          <cell r="A1353">
            <v>3824000</v>
          </cell>
          <cell r="B1353">
            <v>107754</v>
          </cell>
          <cell r="C1353">
            <v>382</v>
          </cell>
          <cell r="D1353" t="str">
            <v>Kirklees</v>
          </cell>
          <cell r="E1353">
            <v>4000</v>
          </cell>
          <cell r="F1353" t="str">
            <v>Nick Monton</v>
          </cell>
          <cell r="G1353" t="str">
            <v>King James's School</v>
          </cell>
          <cell r="H1353" t="str">
            <v>Yorkshire and the Humber</v>
          </cell>
          <cell r="I1353" t="str">
            <v>St Helen's Gate</v>
          </cell>
          <cell r="J1353" t="str">
            <v>Almondbury</v>
          </cell>
          <cell r="L1353" t="str">
            <v>Huddersfield</v>
          </cell>
          <cell r="M1353" t="str">
            <v>West Yorkshire</v>
          </cell>
          <cell r="N1353" t="str">
            <v>HD4 6SG</v>
          </cell>
          <cell r="O1353" t="str">
            <v>staff.rlamb@kingjames.org.uk</v>
          </cell>
          <cell r="P1353">
            <v>40991</v>
          </cell>
        </row>
        <row r="1354">
          <cell r="A1354">
            <v>3722096</v>
          </cell>
          <cell r="B1354">
            <v>106897</v>
          </cell>
          <cell r="C1354">
            <v>372</v>
          </cell>
          <cell r="D1354" t="str">
            <v>Rotherham</v>
          </cell>
          <cell r="E1354">
            <v>2096</v>
          </cell>
          <cell r="F1354" t="str">
            <v>Bev Annables</v>
          </cell>
          <cell r="G1354" t="str">
            <v>Thurcroft Junior School</v>
          </cell>
          <cell r="H1354" t="str">
            <v>Yorkshire and the Humber</v>
          </cell>
          <cell r="I1354" t="str">
            <v>Green Arbour Road</v>
          </cell>
          <cell r="J1354" t="str">
            <v>Thurcroft</v>
          </cell>
          <cell r="L1354" t="str">
            <v>Rotherham</v>
          </cell>
          <cell r="M1354" t="str">
            <v>South Yorkshire</v>
          </cell>
          <cell r="N1354" t="str">
            <v>S66 9DD</v>
          </cell>
        </row>
        <row r="1355">
          <cell r="A1355">
            <v>8572313</v>
          </cell>
          <cell r="B1355">
            <v>120043</v>
          </cell>
          <cell r="C1355">
            <v>857</v>
          </cell>
          <cell r="D1355" t="str">
            <v>Rutland</v>
          </cell>
          <cell r="E1355">
            <v>2313</v>
          </cell>
          <cell r="F1355" t="str">
            <v>Sue Harp</v>
          </cell>
          <cell r="G1355" t="str">
            <v>Catmose Primary School</v>
          </cell>
          <cell r="H1355" t="str">
            <v>East Midlands</v>
          </cell>
          <cell r="I1355" t="str">
            <v>Sandringham Close</v>
          </cell>
          <cell r="L1355" t="str">
            <v>Oakham</v>
          </cell>
          <cell r="M1355" t="str">
            <v>Rutland</v>
          </cell>
          <cell r="N1355" t="str">
            <v>LE15 6SH</v>
          </cell>
          <cell r="O1355" t="str">
            <v>swilliams@catmoseprimary.com</v>
          </cell>
          <cell r="P1355">
            <v>40856</v>
          </cell>
        </row>
        <row r="1356">
          <cell r="A1356">
            <v>8234006</v>
          </cell>
          <cell r="B1356">
            <v>109646</v>
          </cell>
          <cell r="C1356">
            <v>823</v>
          </cell>
          <cell r="D1356" t="str">
            <v>Central Bedfordshire</v>
          </cell>
          <cell r="E1356">
            <v>4006</v>
          </cell>
          <cell r="F1356" t="str">
            <v>Beverley Samuel</v>
          </cell>
          <cell r="G1356" t="str">
            <v>Holmemead Middle School</v>
          </cell>
          <cell r="H1356" t="str">
            <v>East of England</v>
          </cell>
          <cell r="I1356" t="str">
            <v>Mead End</v>
          </cell>
          <cell r="L1356" t="str">
            <v>Biggleswade</v>
          </cell>
          <cell r="M1356" t="str">
            <v>Bedfordshire</v>
          </cell>
          <cell r="N1356" t="str">
            <v>SG18 8JU</v>
          </cell>
          <cell r="O1356" t="str">
            <v>stephen.phillips@holmemead.beds.sch.uk</v>
          </cell>
          <cell r="P1356">
            <v>40603</v>
          </cell>
        </row>
        <row r="1357">
          <cell r="A1357">
            <v>9252026</v>
          </cell>
          <cell r="B1357">
            <v>120380</v>
          </cell>
          <cell r="C1357">
            <v>925</v>
          </cell>
          <cell r="D1357" t="str">
            <v>Lincolnshire</v>
          </cell>
          <cell r="E1357">
            <v>2026</v>
          </cell>
          <cell r="F1357" t="str">
            <v>Grant Dyson</v>
          </cell>
          <cell r="G1357" t="str">
            <v>Ingoldsby Primary School</v>
          </cell>
          <cell r="H1357" t="str">
            <v>East Midlands</v>
          </cell>
          <cell r="I1357" t="str">
            <v>Ingoldsby</v>
          </cell>
          <cell r="L1357" t="str">
            <v>Grantham</v>
          </cell>
          <cell r="M1357" t="str">
            <v>Lincolnshire</v>
          </cell>
          <cell r="N1357" t="str">
            <v>NG33 4HA</v>
          </cell>
          <cell r="O1357" t="str">
            <v>brian.wooldridge@ingoldsby.lincs.sch.uk</v>
          </cell>
        </row>
        <row r="1358">
          <cell r="A1358">
            <v>3805403</v>
          </cell>
          <cell r="B1358">
            <v>107442</v>
          </cell>
          <cell r="C1358">
            <v>380</v>
          </cell>
          <cell r="D1358" t="str">
            <v>Bradford</v>
          </cell>
          <cell r="E1358">
            <v>5403</v>
          </cell>
          <cell r="F1358" t="str">
            <v>Glyn Newton</v>
          </cell>
          <cell r="G1358" t="str">
            <v>Thornton Grammar School</v>
          </cell>
          <cell r="H1358" t="str">
            <v>Yorkshire and the Humber</v>
          </cell>
          <cell r="I1358" t="str">
            <v>Leaventhorpe Lane</v>
          </cell>
          <cell r="J1358" t="str">
            <v>Thornton</v>
          </cell>
          <cell r="L1358" t="str">
            <v>Bradford</v>
          </cell>
          <cell r="M1358" t="str">
            <v>West Yorkshire</v>
          </cell>
          <cell r="N1358" t="str">
            <v>BD13 3BH</v>
          </cell>
          <cell r="O1358" t="str">
            <v>crs@thorntongs.ngfl.ac.uk</v>
          </cell>
        </row>
        <row r="1359">
          <cell r="A1359">
            <v>3585403</v>
          </cell>
          <cell r="B1359">
            <v>106376</v>
          </cell>
          <cell r="C1359">
            <v>358</v>
          </cell>
          <cell r="D1359" t="str">
            <v>Trafford</v>
          </cell>
          <cell r="E1359">
            <v>5403</v>
          </cell>
          <cell r="F1359" t="str">
            <v>Jane McCusker</v>
          </cell>
          <cell r="G1359" t="str">
            <v>Blessed Thomas Holford Catholic College</v>
          </cell>
          <cell r="H1359" t="str">
            <v>North West</v>
          </cell>
          <cell r="I1359" t="str">
            <v>Urban Road</v>
          </cell>
          <cell r="L1359" t="str">
            <v>Altrincham</v>
          </cell>
          <cell r="M1359" t="str">
            <v>Cheshire</v>
          </cell>
          <cell r="N1359" t="str">
            <v>WA15 8HT</v>
          </cell>
          <cell r="O1359" t="str">
            <v>johncornally@bthcc.org</v>
          </cell>
        </row>
        <row r="1360">
          <cell r="A1360">
            <v>9287014</v>
          </cell>
          <cell r="B1360">
            <v>122160</v>
          </cell>
          <cell r="C1360">
            <v>928</v>
          </cell>
          <cell r="D1360" t="str">
            <v>Northamptonshire</v>
          </cell>
          <cell r="E1360">
            <v>7014</v>
          </cell>
          <cell r="F1360" t="str">
            <v>Stephen Standret</v>
          </cell>
          <cell r="G1360" t="str">
            <v>Fairfields School</v>
          </cell>
          <cell r="H1360" t="str">
            <v>East Midlands</v>
          </cell>
          <cell r="I1360" t="str">
            <v>Trinity Avenue</v>
          </cell>
          <cell r="L1360" t="str">
            <v>Northampton</v>
          </cell>
          <cell r="M1360" t="str">
            <v>Northamptonshire</v>
          </cell>
          <cell r="N1360" t="str">
            <v>NN2 6JN</v>
          </cell>
          <cell r="O1360" t="str">
            <v>head@fairfieldsschool.freeserve.co.uk</v>
          </cell>
        </row>
        <row r="1361">
          <cell r="A1361">
            <v>3732346</v>
          </cell>
          <cell r="B1361">
            <v>107089</v>
          </cell>
          <cell r="C1361">
            <v>373</v>
          </cell>
          <cell r="D1361" t="str">
            <v>Sheffield</v>
          </cell>
          <cell r="E1361">
            <v>2346</v>
          </cell>
          <cell r="F1361" t="str">
            <v>Bev Annables</v>
          </cell>
          <cell r="G1361" t="str">
            <v>Monteney Primary School</v>
          </cell>
          <cell r="H1361" t="str">
            <v>Yorkshire and the Humber</v>
          </cell>
          <cell r="I1361" t="str">
            <v>Monteney Crescent</v>
          </cell>
          <cell r="L1361" t="str">
            <v>Sheffield</v>
          </cell>
          <cell r="M1361" t="str">
            <v>South Yorkshire</v>
          </cell>
          <cell r="N1361" t="str">
            <v>S5 9DN</v>
          </cell>
          <cell r="O1361" t="str">
            <v>headteacher@monteney.sheffield.sch.uk</v>
          </cell>
          <cell r="P1361">
            <v>41040</v>
          </cell>
        </row>
        <row r="1362">
          <cell r="A1362">
            <v>8504110</v>
          </cell>
          <cell r="B1362">
            <v>116410</v>
          </cell>
          <cell r="C1362">
            <v>850</v>
          </cell>
          <cell r="D1362" t="str">
            <v>Hampshire</v>
          </cell>
          <cell r="E1362">
            <v>4110</v>
          </cell>
          <cell r="F1362" t="str">
            <v>Amanda Barrett</v>
          </cell>
          <cell r="G1362" t="str">
            <v>Cowplain Community School</v>
          </cell>
          <cell r="H1362" t="str">
            <v>South East</v>
          </cell>
          <cell r="I1362" t="str">
            <v>Hart Plain Avenue</v>
          </cell>
          <cell r="J1362" t="str">
            <v>Cowplain</v>
          </cell>
          <cell r="L1362" t="str">
            <v>Waterlooville</v>
          </cell>
          <cell r="M1362" t="str">
            <v>Hampshire</v>
          </cell>
          <cell r="N1362" t="str">
            <v>PO8 8RY</v>
          </cell>
          <cell r="O1362" t="str">
            <v>davidr@cowplainschool.co.uk</v>
          </cell>
          <cell r="P1362">
            <v>40637</v>
          </cell>
        </row>
        <row r="1363">
          <cell r="A1363">
            <v>9193986</v>
          </cell>
          <cell r="B1363">
            <v>130160</v>
          </cell>
          <cell r="C1363">
            <v>919</v>
          </cell>
          <cell r="D1363" t="str">
            <v>Hertfordshire</v>
          </cell>
          <cell r="E1363">
            <v>3986</v>
          </cell>
          <cell r="F1363" t="str">
            <v>Kish Chetty</v>
          </cell>
          <cell r="G1363" t="str">
            <v>Summercroft Primary School</v>
          </cell>
          <cell r="H1363" t="str">
            <v>East of England</v>
          </cell>
          <cell r="I1363" t="str">
            <v>Parsonage Lane</v>
          </cell>
          <cell r="L1363" t="str">
            <v>Bishop's Stortford</v>
          </cell>
          <cell r="M1363" t="str">
            <v>Hertfordshire</v>
          </cell>
          <cell r="N1363" t="str">
            <v>CM23 5BJ</v>
          </cell>
          <cell r="O1363" t="str">
            <v>head@summercroft.herts.sch.uk</v>
          </cell>
          <cell r="P1363">
            <v>40506</v>
          </cell>
        </row>
        <row r="1364">
          <cell r="A1364">
            <v>8235410</v>
          </cell>
          <cell r="B1364">
            <v>109714</v>
          </cell>
          <cell r="C1364">
            <v>823</v>
          </cell>
          <cell r="D1364" t="str">
            <v>Central Bedfordshire</v>
          </cell>
          <cell r="E1364">
            <v>5410</v>
          </cell>
          <cell r="F1364" t="str">
            <v>Michael Cook</v>
          </cell>
          <cell r="G1364" t="str">
            <v>Ashton CofE VA Middle School</v>
          </cell>
          <cell r="H1364" t="str">
            <v>East of England</v>
          </cell>
          <cell r="I1364" t="str">
            <v>High Street North</v>
          </cell>
          <cell r="L1364" t="str">
            <v>Dunstable</v>
          </cell>
          <cell r="M1364" t="str">
            <v>Bedfordshire</v>
          </cell>
          <cell r="N1364" t="str">
            <v>LU6 1NH</v>
          </cell>
          <cell r="O1364" t="str">
            <v>lphoffice@ashtonmiddleschool.co.uk</v>
          </cell>
        </row>
        <row r="1365">
          <cell r="A1365">
            <v>8352015</v>
          </cell>
          <cell r="B1365">
            <v>113665</v>
          </cell>
          <cell r="C1365">
            <v>835</v>
          </cell>
          <cell r="D1365" t="str">
            <v>Dorset</v>
          </cell>
          <cell r="E1365">
            <v>2015</v>
          </cell>
          <cell r="F1365" t="str">
            <v>Kate Bosher</v>
          </cell>
          <cell r="G1365" t="str">
            <v>Damers First School</v>
          </cell>
          <cell r="H1365" t="str">
            <v>South West</v>
          </cell>
          <cell r="I1365" t="str">
            <v>Damers Road</v>
          </cell>
          <cell r="L1365" t="str">
            <v>Dorchester</v>
          </cell>
          <cell r="M1365" t="str">
            <v>Dorset</v>
          </cell>
          <cell r="N1365" t="str">
            <v>DT1 2LB</v>
          </cell>
          <cell r="O1365" t="str">
            <v>philminns@damers.dorset.sch.uk</v>
          </cell>
        </row>
        <row r="1366">
          <cell r="A1366">
            <v>3944063</v>
          </cell>
          <cell r="B1366">
            <v>108864</v>
          </cell>
          <cell r="C1366">
            <v>394</v>
          </cell>
          <cell r="D1366" t="str">
            <v>Sunderland</v>
          </cell>
          <cell r="E1366">
            <v>4063</v>
          </cell>
          <cell r="F1366" t="str">
            <v>Janet Smith</v>
          </cell>
          <cell r="G1366" t="str">
            <v>Oxclose Community School</v>
          </cell>
          <cell r="H1366" t="str">
            <v>North East</v>
          </cell>
          <cell r="I1366" t="str">
            <v>Dilston Close</v>
          </cell>
          <cell r="J1366" t="str">
            <v>Oxclose Village</v>
          </cell>
          <cell r="L1366" t="str">
            <v>Washington</v>
          </cell>
          <cell r="M1366" t="str">
            <v>Tyne and Wear</v>
          </cell>
          <cell r="N1366" t="str">
            <v>NE38 0LN</v>
          </cell>
          <cell r="O1366" t="str">
            <v>Cunningham.A@sunderlandlearning.net</v>
          </cell>
          <cell r="P1366">
            <v>41103</v>
          </cell>
        </row>
        <row r="1367">
          <cell r="A1367">
            <v>9374238</v>
          </cell>
          <cell r="B1367">
            <v>125749</v>
          </cell>
          <cell r="C1367">
            <v>937</v>
          </cell>
          <cell r="D1367" t="str">
            <v>Warwickshire</v>
          </cell>
          <cell r="E1367">
            <v>4238</v>
          </cell>
          <cell r="F1367" t="str">
            <v>Stephen Bagnall</v>
          </cell>
          <cell r="G1367" t="str">
            <v>Bilton School - A Maths and Computing College</v>
          </cell>
          <cell r="H1367" t="str">
            <v>West Midlands</v>
          </cell>
          <cell r="I1367" t="str">
            <v>Lawford Lane</v>
          </cell>
          <cell r="J1367" t="str">
            <v>Bilton</v>
          </cell>
          <cell r="L1367" t="str">
            <v>Rugby</v>
          </cell>
          <cell r="M1367" t="str">
            <v>Warwickshire</v>
          </cell>
          <cell r="N1367" t="str">
            <v>CV22 7JT</v>
          </cell>
          <cell r="O1367" t="str">
            <v>pw@biltonmail.com</v>
          </cell>
          <cell r="P1367">
            <v>40711</v>
          </cell>
        </row>
        <row r="1368">
          <cell r="A1368">
            <v>8361100</v>
          </cell>
          <cell r="B1368">
            <v>113657</v>
          </cell>
          <cell r="C1368">
            <v>836</v>
          </cell>
          <cell r="D1368" t="str">
            <v>Poole</v>
          </cell>
          <cell r="E1368">
            <v>1100</v>
          </cell>
          <cell r="F1368" t="str">
            <v>Pat Murison</v>
          </cell>
          <cell r="G1368" t="str">
            <v>The Quay School</v>
          </cell>
          <cell r="H1368" t="str">
            <v>South West</v>
          </cell>
          <cell r="I1368" t="str">
            <v>160 Herbert Avenue</v>
          </cell>
          <cell r="J1368" t="str">
            <v>Parkstone</v>
          </cell>
          <cell r="L1368" t="str">
            <v>Poole</v>
          </cell>
          <cell r="M1368" t="str">
            <v>Dorset</v>
          </cell>
          <cell r="N1368" t="str">
            <v>BH12 4HU</v>
          </cell>
          <cell r="O1368" t="str">
            <v>jo.perry@poole.gov.uk</v>
          </cell>
          <cell r="P1368">
            <v>41092</v>
          </cell>
        </row>
        <row r="1369">
          <cell r="A1369">
            <v>8847008</v>
          </cell>
          <cell r="B1369">
            <v>131817</v>
          </cell>
          <cell r="C1369">
            <v>884</v>
          </cell>
          <cell r="D1369" t="str">
            <v>Herefordshire</v>
          </cell>
          <cell r="E1369">
            <v>7008</v>
          </cell>
          <cell r="F1369" t="str">
            <v>Carla Spink</v>
          </cell>
          <cell r="G1369" t="str">
            <v>Brookfield School</v>
          </cell>
          <cell r="H1369" t="str">
            <v>West Midlands</v>
          </cell>
          <cell r="I1369" t="str">
            <v>Grandstand Road</v>
          </cell>
          <cell r="L1369" t="str">
            <v>Hereford</v>
          </cell>
          <cell r="N1369" t="str">
            <v>HR4 9NG</v>
          </cell>
          <cell r="O1369" t="str">
            <v>oevans@brookfield.hereford.sch.uk</v>
          </cell>
        </row>
        <row r="1370">
          <cell r="A1370">
            <v>8863110</v>
          </cell>
          <cell r="B1370">
            <v>118648</v>
          </cell>
          <cell r="C1370">
            <v>886</v>
          </cell>
          <cell r="D1370" t="str">
            <v>Kent</v>
          </cell>
          <cell r="E1370">
            <v>3110</v>
          </cell>
          <cell r="F1370" t="str">
            <v>Maryam Jabbari</v>
          </cell>
          <cell r="G1370" t="str">
            <v>Milstead and Frinsted Church of England Primary School/ The Village Academy</v>
          </cell>
          <cell r="H1370" t="str">
            <v>South East</v>
          </cell>
          <cell r="I1370" t="str">
            <v>School Lane</v>
          </cell>
          <cell r="J1370" t="str">
            <v>Milstead</v>
          </cell>
          <cell r="L1370" t="str">
            <v>Sittingbourne</v>
          </cell>
          <cell r="M1370" t="str">
            <v>Kent</v>
          </cell>
          <cell r="N1370" t="str">
            <v>ME9 0SJ</v>
          </cell>
          <cell r="O1370" t="str">
            <v>headteacher@milstead.kent.sch.uk</v>
          </cell>
          <cell r="P1370">
            <v>40618</v>
          </cell>
        </row>
        <row r="1371">
          <cell r="A1371">
            <v>9353318</v>
          </cell>
          <cell r="B1371">
            <v>124768</v>
          </cell>
          <cell r="C1371">
            <v>935</v>
          </cell>
          <cell r="D1371" t="str">
            <v>Suffolk</v>
          </cell>
          <cell r="E1371">
            <v>3318</v>
          </cell>
          <cell r="F1371" t="str">
            <v>Joe Farrell</v>
          </cell>
          <cell r="G1371" t="str">
            <v>St Louis Roman Catholic Primary School</v>
          </cell>
          <cell r="H1371" t="str">
            <v>East of England</v>
          </cell>
          <cell r="I1371" t="str">
            <v>Fordham Road</v>
          </cell>
          <cell r="L1371" t="str">
            <v>Newmarket</v>
          </cell>
          <cell r="M1371" t="str">
            <v>Suffolk</v>
          </cell>
          <cell r="N1371" t="str">
            <v>CB8 7AA</v>
          </cell>
          <cell r="O1371" t="str">
            <v>teresa.selvey@st-louis-pri.suffolk.sch.uk</v>
          </cell>
        </row>
        <row r="1372">
          <cell r="A1372">
            <v>3832479</v>
          </cell>
          <cell r="B1372">
            <v>107955</v>
          </cell>
          <cell r="C1372">
            <v>383</v>
          </cell>
          <cell r="D1372" t="str">
            <v>Leeds</v>
          </cell>
          <cell r="E1372">
            <v>2479</v>
          </cell>
          <cell r="F1372" t="str">
            <v>Jayne Turner</v>
          </cell>
          <cell r="G1372" t="str">
            <v>Cross Flatts Park Primary School</v>
          </cell>
          <cell r="H1372" t="str">
            <v>Yorkshire and the Humber</v>
          </cell>
          <cell r="I1372" t="str">
            <v>Harlech Road</v>
          </cell>
          <cell r="L1372" t="str">
            <v>Leeds</v>
          </cell>
          <cell r="M1372" t="str">
            <v>West Yorkshire</v>
          </cell>
          <cell r="N1372" t="str">
            <v>LS11 7DG</v>
          </cell>
          <cell r="O1372" t="str">
            <v>pickare02@leedslearning.net</v>
          </cell>
        </row>
        <row r="1373">
          <cell r="A1373">
            <v>9082023</v>
          </cell>
          <cell r="B1373">
            <v>111802</v>
          </cell>
          <cell r="C1373">
            <v>908</v>
          </cell>
          <cell r="D1373" t="str">
            <v>Cornwall</v>
          </cell>
          <cell r="E1373">
            <v>2023</v>
          </cell>
          <cell r="F1373" t="str">
            <v>Kate Bosher</v>
          </cell>
          <cell r="G1373" t="str">
            <v>Pendeen School</v>
          </cell>
          <cell r="H1373" t="str">
            <v>South West</v>
          </cell>
          <cell r="I1373" t="str">
            <v>Church Road</v>
          </cell>
          <cell r="J1373" t="str">
            <v>Pendeen</v>
          </cell>
          <cell r="L1373" t="str">
            <v>Penzance</v>
          </cell>
          <cell r="M1373" t="str">
            <v>Cornwall</v>
          </cell>
          <cell r="N1373" t="str">
            <v>TR19 7SE</v>
          </cell>
          <cell r="O1373" t="str">
            <v>head@pendeen.cornwall.sch.uk</v>
          </cell>
          <cell r="P1373">
            <v>40751</v>
          </cell>
        </row>
        <row r="1374">
          <cell r="A1374">
            <v>8305416</v>
          </cell>
          <cell r="B1374">
            <v>113001</v>
          </cell>
          <cell r="C1374">
            <v>830</v>
          </cell>
          <cell r="D1374" t="str">
            <v>Derbyshire</v>
          </cell>
          <cell r="E1374">
            <v>5416</v>
          </cell>
          <cell r="G1374" t="str">
            <v>Mill Hill School</v>
          </cell>
          <cell r="H1374" t="str">
            <v>East Midlands</v>
          </cell>
          <cell r="I1374" t="str">
            <v>Peasehill</v>
          </cell>
          <cell r="L1374" t="str">
            <v>Ripley</v>
          </cell>
          <cell r="M1374" t="str">
            <v>Derbyshire</v>
          </cell>
          <cell r="N1374" t="str">
            <v>DE5 3JQ</v>
          </cell>
          <cell r="O1374" t="str">
            <v>headteacher@millhill.derbyshire.sch.uk</v>
          </cell>
        </row>
        <row r="1375">
          <cell r="A1375">
            <v>3142037</v>
          </cell>
          <cell r="B1375">
            <v>131097</v>
          </cell>
          <cell r="C1375">
            <v>314</v>
          </cell>
          <cell r="D1375" t="str">
            <v>Kingston upon Thames</v>
          </cell>
          <cell r="E1375">
            <v>2037</v>
          </cell>
          <cell r="F1375" t="str">
            <v>Bola Bakrin</v>
          </cell>
          <cell r="G1375" t="str">
            <v>Fern Hill Primary School</v>
          </cell>
          <cell r="H1375" t="str">
            <v>London</v>
          </cell>
          <cell r="I1375" t="str">
            <v>Richmond Road</v>
          </cell>
          <cell r="L1375" t="str">
            <v>Kingston upon Thames</v>
          </cell>
          <cell r="M1375" t="str">
            <v>Surrey</v>
          </cell>
          <cell r="N1375" t="str">
            <v>KT2 5PE</v>
          </cell>
          <cell r="O1375" t="str">
            <v>diana.brotherston@rbksch.org</v>
          </cell>
        </row>
        <row r="1376">
          <cell r="A1376">
            <v>8893500</v>
          </cell>
          <cell r="B1376">
            <v>119510</v>
          </cell>
          <cell r="C1376">
            <v>889</v>
          </cell>
          <cell r="D1376" t="str">
            <v>Blackburn with Darwen</v>
          </cell>
          <cell r="E1376">
            <v>3500</v>
          </cell>
          <cell r="F1376" t="str">
            <v>Viv Clutton</v>
          </cell>
          <cell r="G1376" t="str">
            <v>Sacred Heart Roman Catholic Primary School Blackburn</v>
          </cell>
          <cell r="H1376" t="str">
            <v>North West</v>
          </cell>
          <cell r="I1376" t="str">
            <v>Lynwood Road</v>
          </cell>
          <cell r="L1376" t="str">
            <v>Blackburn</v>
          </cell>
          <cell r="M1376" t="str">
            <v>Lancashire</v>
          </cell>
          <cell r="N1376" t="str">
            <v>BB2 6HQ</v>
          </cell>
          <cell r="O1376" t="str">
            <v>humma.ahmed@blackburn.gov.uk</v>
          </cell>
        </row>
        <row r="1377">
          <cell r="A1377">
            <v>8012337</v>
          </cell>
          <cell r="B1377">
            <v>109138</v>
          </cell>
          <cell r="C1377">
            <v>801</v>
          </cell>
          <cell r="D1377" t="str">
            <v>Bristol City of</v>
          </cell>
          <cell r="E1377">
            <v>2337</v>
          </cell>
          <cell r="F1377" t="str">
            <v>Kate Bosher</v>
          </cell>
          <cell r="G1377" t="str">
            <v>Bank Leaze Primary School</v>
          </cell>
          <cell r="H1377" t="str">
            <v>South West</v>
          </cell>
          <cell r="I1377" t="str">
            <v>Corbet Close</v>
          </cell>
          <cell r="J1377" t="str">
            <v>Lawrence Weston</v>
          </cell>
          <cell r="L1377" t="str">
            <v>Bristol</v>
          </cell>
          <cell r="N1377" t="str">
            <v>BS11 0SN</v>
          </cell>
          <cell r="O1377" t="str">
            <v>bankleazep@bristol.gov.uk</v>
          </cell>
        </row>
        <row r="1378">
          <cell r="A1378">
            <v>9255208</v>
          </cell>
          <cell r="B1378">
            <v>120675</v>
          </cell>
          <cell r="C1378">
            <v>925</v>
          </cell>
          <cell r="D1378" t="str">
            <v>Lincolnshire</v>
          </cell>
          <cell r="E1378">
            <v>5208</v>
          </cell>
          <cell r="F1378" t="str">
            <v>Grant Dyson</v>
          </cell>
          <cell r="G1378" t="str">
            <v>St Andrew's CofE Primary School</v>
          </cell>
          <cell r="H1378" t="str">
            <v>East Midlands</v>
          </cell>
          <cell r="I1378" t="str">
            <v>King Edward Crescent</v>
          </cell>
          <cell r="L1378" t="str">
            <v>Woodhall Spa</v>
          </cell>
          <cell r="M1378" t="str">
            <v>Lincolnshire</v>
          </cell>
          <cell r="N1378" t="str">
            <v>LN10 6RQ</v>
          </cell>
          <cell r="O1378" t="str">
            <v>Headteacher@st-andrews-woodhall.lincs.sch.uk</v>
          </cell>
          <cell r="P1378">
            <v>40935</v>
          </cell>
        </row>
        <row r="1379">
          <cell r="A1379">
            <v>8563422</v>
          </cell>
          <cell r="B1379">
            <v>120222</v>
          </cell>
          <cell r="C1379">
            <v>856</v>
          </cell>
          <cell r="D1379" t="str">
            <v>Leicester</v>
          </cell>
          <cell r="E1379">
            <v>3422</v>
          </cell>
          <cell r="F1379" t="str">
            <v>Michael Corner</v>
          </cell>
          <cell r="G1379" t="str">
            <v>Sacred Heart Catholic Primary School</v>
          </cell>
          <cell r="H1379" t="str">
            <v>East Midlands</v>
          </cell>
          <cell r="I1379" t="str">
            <v>Mere Close</v>
          </cell>
          <cell r="J1379" t="str">
            <v>Off Mere Road</v>
          </cell>
          <cell r="L1379" t="str">
            <v>Leicester</v>
          </cell>
          <cell r="M1379" t="str">
            <v>Leicestershire</v>
          </cell>
          <cell r="N1379" t="str">
            <v>LE5 3HH</v>
          </cell>
          <cell r="O1379" t="str">
            <v>GHIRST@sacredheart.leicester.sch.uk</v>
          </cell>
          <cell r="P1379">
            <v>40885</v>
          </cell>
        </row>
        <row r="1380">
          <cell r="A1380">
            <v>9354097</v>
          </cell>
          <cell r="B1380">
            <v>124847</v>
          </cell>
          <cell r="C1380">
            <v>935</v>
          </cell>
          <cell r="D1380" t="str">
            <v>Suffolk</v>
          </cell>
          <cell r="E1380">
            <v>4097</v>
          </cell>
          <cell r="F1380" t="str">
            <v>William Thursfield</v>
          </cell>
          <cell r="G1380" t="str">
            <v>East Bergholt High School</v>
          </cell>
          <cell r="H1380" t="str">
            <v>East of England</v>
          </cell>
          <cell r="I1380" t="str">
            <v>Heath Road</v>
          </cell>
          <cell r="J1380" t="str">
            <v>East Bergholt</v>
          </cell>
          <cell r="L1380" t="str">
            <v>Colchester</v>
          </cell>
          <cell r="M1380" t="str">
            <v>Essex</v>
          </cell>
          <cell r="N1380" t="str">
            <v>CO7 6RJ</v>
          </cell>
          <cell r="O1380" t="str">
            <v>colin.turner@eastbergholthigh.suffolk.sch.uk</v>
          </cell>
          <cell r="P1380">
            <v>40632</v>
          </cell>
        </row>
        <row r="1381">
          <cell r="A1381">
            <v>9095206</v>
          </cell>
          <cell r="B1381">
            <v>112408</v>
          </cell>
          <cell r="C1381">
            <v>909</v>
          </cell>
          <cell r="D1381" t="str">
            <v>Cumbria</v>
          </cell>
          <cell r="E1381">
            <v>5206</v>
          </cell>
          <cell r="F1381" t="str">
            <v>Linda Tiley</v>
          </cell>
          <cell r="G1381" t="str">
            <v>Appleby Primary School</v>
          </cell>
          <cell r="H1381" t="str">
            <v>North West</v>
          </cell>
          <cell r="I1381" t="str">
            <v>Station Road</v>
          </cell>
          <cell r="L1381" t="str">
            <v>Appleby-in-Westmorland</v>
          </cell>
          <cell r="M1381" t="str">
            <v>Cumbria</v>
          </cell>
          <cell r="N1381" t="str">
            <v>CA16 6TX</v>
          </cell>
          <cell r="O1381" t="str">
            <v>head@applebyprimary.cumbria.sch.uk</v>
          </cell>
        </row>
        <row r="1382">
          <cell r="A1382">
            <v>8783305</v>
          </cell>
          <cell r="B1382">
            <v>113426</v>
          </cell>
          <cell r="C1382">
            <v>878</v>
          </cell>
          <cell r="D1382" t="str">
            <v>Devon</v>
          </cell>
          <cell r="E1382">
            <v>3305</v>
          </cell>
          <cell r="F1382" t="str">
            <v>Nigel Hutchins</v>
          </cell>
          <cell r="G1382" t="str">
            <v>All Saints Church of England Primary School</v>
          </cell>
          <cell r="H1382" t="str">
            <v>South West</v>
          </cell>
          <cell r="I1382" t="str">
            <v>All Saints</v>
          </cell>
          <cell r="L1382" t="str">
            <v>Axminster</v>
          </cell>
          <cell r="M1382" t="str">
            <v>Devon</v>
          </cell>
          <cell r="N1382" t="str">
            <v>EX13 7LX</v>
          </cell>
          <cell r="O1382" t="str">
            <v>admin@all-saints-ce-primary.devon.sch.uk</v>
          </cell>
        </row>
        <row r="1383">
          <cell r="A1383">
            <v>8552146</v>
          </cell>
          <cell r="B1383">
            <v>119965</v>
          </cell>
          <cell r="C1383">
            <v>855</v>
          </cell>
          <cell r="D1383" t="str">
            <v>Leicestershire</v>
          </cell>
          <cell r="E1383">
            <v>2146</v>
          </cell>
          <cell r="F1383" t="str">
            <v>Stephen Standret</v>
          </cell>
          <cell r="G1383" t="str">
            <v>Stafford Leys Community Primary School</v>
          </cell>
          <cell r="H1383" t="str">
            <v>East Midlands</v>
          </cell>
          <cell r="I1383" t="str">
            <v>Stafford Leys</v>
          </cell>
          <cell r="J1383" t="str">
            <v>Leicester Forest East</v>
          </cell>
          <cell r="L1383" t="str">
            <v>Leicester</v>
          </cell>
          <cell r="M1383" t="str">
            <v>Leicestershire</v>
          </cell>
          <cell r="N1383" t="str">
            <v>LE3 3LJ</v>
          </cell>
          <cell r="O1383" t="str">
            <v>edm2@staffordleys.leics.sch.uk</v>
          </cell>
          <cell r="P1383">
            <v>40934</v>
          </cell>
        </row>
        <row r="1384">
          <cell r="A1384">
            <v>9312594</v>
          </cell>
          <cell r="B1384">
            <v>123079</v>
          </cell>
          <cell r="C1384">
            <v>931</v>
          </cell>
          <cell r="D1384" t="str">
            <v>Oxfordshire</v>
          </cell>
          <cell r="E1384">
            <v>2594</v>
          </cell>
          <cell r="F1384" t="str">
            <v>Sarah Nairne</v>
          </cell>
          <cell r="G1384" t="str">
            <v>Stephen Freeman Community Primary School</v>
          </cell>
          <cell r="H1384" t="str">
            <v>South East</v>
          </cell>
          <cell r="I1384" t="str">
            <v>Freeman Road</v>
          </cell>
          <cell r="L1384" t="str">
            <v>Didcot</v>
          </cell>
          <cell r="M1384" t="str">
            <v>Oxfordshire</v>
          </cell>
          <cell r="N1384" t="str">
            <v>OX11 7BZ</v>
          </cell>
          <cell r="O1384" t="str">
            <v>head.2594@stephen-freeman.oxon.sch.uk</v>
          </cell>
        </row>
        <row r="1385">
          <cell r="A1385">
            <v>8914041</v>
          </cell>
          <cell r="B1385">
            <v>122830</v>
          </cell>
          <cell r="C1385">
            <v>891</v>
          </cell>
          <cell r="D1385" t="str">
            <v>Nottinghamshire</v>
          </cell>
          <cell r="E1385">
            <v>4041</v>
          </cell>
          <cell r="G1385" t="str">
            <v>Garibaldi College</v>
          </cell>
          <cell r="H1385" t="str">
            <v>East Midlands</v>
          </cell>
          <cell r="I1385" t="str">
            <v>Forest Town</v>
          </cell>
          <cell r="L1385" t="str">
            <v>Mansfield</v>
          </cell>
          <cell r="M1385" t="str">
            <v>Nottinghamshire</v>
          </cell>
          <cell r="N1385" t="str">
            <v>NG19 0JX</v>
          </cell>
          <cell r="O1385" t="str">
            <v>ehuckerby@garibaldi.notts.sch.uk</v>
          </cell>
        </row>
        <row r="1386">
          <cell r="A1386">
            <v>8365407</v>
          </cell>
          <cell r="B1386">
            <v>113907</v>
          </cell>
          <cell r="C1386">
            <v>836</v>
          </cell>
          <cell r="D1386" t="str">
            <v>Poole</v>
          </cell>
          <cell r="E1386">
            <v>5407</v>
          </cell>
          <cell r="F1386" t="str">
            <v>Theresa Oddelm</v>
          </cell>
          <cell r="G1386" t="str">
            <v>Poole High School</v>
          </cell>
          <cell r="H1386" t="str">
            <v>South West</v>
          </cell>
          <cell r="I1386" t="str">
            <v>Wimborne Road</v>
          </cell>
          <cell r="L1386" t="str">
            <v>Poole</v>
          </cell>
          <cell r="M1386" t="str">
            <v>Dorset</v>
          </cell>
          <cell r="N1386" t="str">
            <v>BH15 2BW</v>
          </cell>
          <cell r="O1386" t="str">
            <v>f.heafield@poolehigh.poole.sch.uk</v>
          </cell>
          <cell r="P1386">
            <v>41181</v>
          </cell>
        </row>
        <row r="1387">
          <cell r="A1387">
            <v>9095402</v>
          </cell>
          <cell r="B1387">
            <v>112429</v>
          </cell>
          <cell r="C1387">
            <v>909</v>
          </cell>
          <cell r="D1387" t="str">
            <v>Cumbria</v>
          </cell>
          <cell r="E1387">
            <v>5402</v>
          </cell>
          <cell r="F1387" t="str">
            <v>Linda Tiley</v>
          </cell>
          <cell r="G1387" t="str">
            <v>Trinity School</v>
          </cell>
          <cell r="H1387" t="str">
            <v>North West</v>
          </cell>
          <cell r="I1387" t="str">
            <v>Strand Road</v>
          </cell>
          <cell r="L1387" t="str">
            <v>Carlisle</v>
          </cell>
          <cell r="M1387" t="str">
            <v>Cumbria</v>
          </cell>
          <cell r="N1387" t="str">
            <v>CA1 1JB</v>
          </cell>
          <cell r="O1387" t="str">
            <v>amo@trinity.cumbria.sch.uk</v>
          </cell>
          <cell r="P1387">
            <v>40640</v>
          </cell>
        </row>
        <row r="1388">
          <cell r="A1388">
            <v>8967110</v>
          </cell>
          <cell r="B1388">
            <v>111506</v>
          </cell>
          <cell r="C1388">
            <v>896</v>
          </cell>
          <cell r="D1388" t="str">
            <v>Cheshire West and Chester</v>
          </cell>
          <cell r="E1388">
            <v>7110</v>
          </cell>
          <cell r="F1388" t="str">
            <v>Maria Sabberton</v>
          </cell>
          <cell r="G1388" t="str">
            <v>The Russett School</v>
          </cell>
          <cell r="H1388" t="str">
            <v>North West</v>
          </cell>
          <cell r="I1388" t="str">
            <v>Middlehurst Avenue</v>
          </cell>
          <cell r="J1388" t="str">
            <v>Weaverham</v>
          </cell>
          <cell r="L1388" t="str">
            <v>Northwich</v>
          </cell>
          <cell r="M1388" t="str">
            <v>Cheshire</v>
          </cell>
          <cell r="N1388" t="str">
            <v>CW8 3BW</v>
          </cell>
          <cell r="O1388" t="str">
            <v>THERUSSETTHEAD@cheshirewestandchester.gov.uk</v>
          </cell>
        </row>
        <row r="1389">
          <cell r="A1389">
            <v>9192000</v>
          </cell>
          <cell r="B1389">
            <v>117083</v>
          </cell>
          <cell r="C1389">
            <v>919</v>
          </cell>
          <cell r="D1389" t="str">
            <v>Hertfordshire</v>
          </cell>
          <cell r="E1389">
            <v>2000</v>
          </cell>
          <cell r="F1389" t="str">
            <v>Shreena Patel</v>
          </cell>
          <cell r="G1389" t="str">
            <v>Abbots Langley School</v>
          </cell>
          <cell r="H1389" t="str">
            <v>East of England</v>
          </cell>
          <cell r="I1389" t="str">
            <v>Parsonage Close</v>
          </cell>
          <cell r="L1389" t="str">
            <v>Abbots Langley</v>
          </cell>
          <cell r="M1389" t="str">
            <v>Hertfordshire</v>
          </cell>
          <cell r="N1389" t="str">
            <v>WD5 0BQ</v>
          </cell>
          <cell r="O1389" t="str">
            <v>head@abbotslangley.herts.sch.uk</v>
          </cell>
        </row>
        <row r="1390">
          <cell r="A1390">
            <v>9195403</v>
          </cell>
          <cell r="B1390">
            <v>117575</v>
          </cell>
          <cell r="C1390">
            <v>919</v>
          </cell>
          <cell r="D1390" t="str">
            <v>Hertfordshire</v>
          </cell>
          <cell r="E1390">
            <v>5403</v>
          </cell>
          <cell r="F1390" t="str">
            <v>Bonnie Wang</v>
          </cell>
          <cell r="G1390" t="str">
            <v>Watford Grammar School for Girls</v>
          </cell>
          <cell r="H1390" t="str">
            <v>East of England</v>
          </cell>
          <cell r="I1390" t="str">
            <v>Lady's Close</v>
          </cell>
          <cell r="L1390" t="str">
            <v>Watford</v>
          </cell>
          <cell r="M1390" t="str">
            <v>Hertfordshire</v>
          </cell>
          <cell r="N1390" t="str">
            <v>WD18 0AE</v>
          </cell>
          <cell r="O1390" t="str">
            <v>hyde.h@ntlworld.com</v>
          </cell>
          <cell r="P1390">
            <v>40357</v>
          </cell>
        </row>
        <row r="1391">
          <cell r="A1391">
            <v>9252116</v>
          </cell>
          <cell r="B1391">
            <v>120426</v>
          </cell>
          <cell r="C1391">
            <v>925</v>
          </cell>
          <cell r="D1391" t="str">
            <v>Lincolnshire</v>
          </cell>
          <cell r="E1391">
            <v>2116</v>
          </cell>
          <cell r="F1391" t="str">
            <v>Grant Dyson</v>
          </cell>
          <cell r="G1391" t="str">
            <v>Boston West Primary School</v>
          </cell>
          <cell r="H1391" t="str">
            <v>East Midlands</v>
          </cell>
          <cell r="I1391" t="str">
            <v>Sussex Avenue</v>
          </cell>
          <cell r="L1391" t="str">
            <v>Boston</v>
          </cell>
          <cell r="M1391" t="str">
            <v>Lincolnshire</v>
          </cell>
          <cell r="N1391" t="str">
            <v>PE21 7QG</v>
          </cell>
          <cell r="O1391" t="str">
            <v>mike.schofield@boston-west.lincs.sch.uk</v>
          </cell>
          <cell r="P1391">
            <v>40940</v>
          </cell>
        </row>
        <row r="1392">
          <cell r="A1392">
            <v>3702014</v>
          </cell>
          <cell r="B1392">
            <v>106560</v>
          </cell>
          <cell r="C1392">
            <v>370</v>
          </cell>
          <cell r="D1392" t="str">
            <v>Barnsley</v>
          </cell>
          <cell r="E1392">
            <v>2014</v>
          </cell>
          <cell r="F1392" t="str">
            <v>Lisa Sargeant</v>
          </cell>
          <cell r="G1392" t="str">
            <v>Pipers Grove Primary School</v>
          </cell>
          <cell r="H1392" t="str">
            <v>Yorkshire and the Humber</v>
          </cell>
          <cell r="I1392" t="str">
            <v>Queens Road</v>
          </cell>
          <cell r="L1392" t="str">
            <v>Barnsley</v>
          </cell>
          <cell r="M1392" t="str">
            <v>South Yorkshire</v>
          </cell>
          <cell r="N1392" t="str">
            <v>S71 1AR</v>
          </cell>
          <cell r="O1392" t="str">
            <v>pipersgrove@barnsley.org</v>
          </cell>
        </row>
        <row r="1393">
          <cell r="A1393">
            <v>3352241</v>
          </cell>
          <cell r="B1393">
            <v>104218</v>
          </cell>
          <cell r="C1393">
            <v>335</v>
          </cell>
          <cell r="D1393" t="str">
            <v>Walsall</v>
          </cell>
          <cell r="E1393">
            <v>2241</v>
          </cell>
          <cell r="F1393" t="str">
            <v>Hannah Copp</v>
          </cell>
          <cell r="G1393" t="str">
            <v>Harden Primary School</v>
          </cell>
          <cell r="H1393" t="str">
            <v>West Midlands</v>
          </cell>
          <cell r="I1393" t="str">
            <v>Goldsmith Road</v>
          </cell>
          <cell r="J1393" t="str">
            <v>Harden</v>
          </cell>
          <cell r="L1393" t="str">
            <v>Walsall</v>
          </cell>
          <cell r="M1393" t="str">
            <v>West Midlands</v>
          </cell>
          <cell r="N1393" t="str">
            <v>WS3 1DL</v>
          </cell>
          <cell r="O1393" t="str">
            <v>postbox@harden.walsall.sch.uk</v>
          </cell>
          <cell r="P1393">
            <v>40968</v>
          </cell>
        </row>
        <row r="1394">
          <cell r="A1394">
            <v>9363927</v>
          </cell>
          <cell r="B1394">
            <v>125245</v>
          </cell>
          <cell r="C1394">
            <v>936</v>
          </cell>
          <cell r="D1394" t="str">
            <v>Surrey</v>
          </cell>
          <cell r="E1394">
            <v>3927</v>
          </cell>
          <cell r="F1394" t="str">
            <v>Gabriela Grimley</v>
          </cell>
          <cell r="G1394" t="str">
            <v>Grayswood CofE Aided Infant School</v>
          </cell>
          <cell r="H1394" t="str">
            <v>South East</v>
          </cell>
          <cell r="I1394" t="str">
            <v>Lower Road</v>
          </cell>
          <cell r="J1394" t="str">
            <v>Grayswood</v>
          </cell>
          <cell r="L1394" t="str">
            <v>Haslemere</v>
          </cell>
          <cell r="M1394" t="str">
            <v>Surrey</v>
          </cell>
          <cell r="N1394" t="str">
            <v>GU27 2DR</v>
          </cell>
        </row>
        <row r="1395">
          <cell r="A1395">
            <v>3825400</v>
          </cell>
          <cell r="B1395">
            <v>107784</v>
          </cell>
          <cell r="C1395">
            <v>382</v>
          </cell>
          <cell r="D1395" t="str">
            <v>Kirklees</v>
          </cell>
          <cell r="E1395">
            <v>5400</v>
          </cell>
          <cell r="F1395" t="str">
            <v>Bev Annables</v>
          </cell>
          <cell r="G1395" t="str">
            <v>Castle Hall School</v>
          </cell>
          <cell r="H1395" t="str">
            <v>Yorkshire and the Humber</v>
          </cell>
          <cell r="I1395" t="str">
            <v>Richard Thorpe Avenue</v>
          </cell>
          <cell r="J1395" t="str">
            <v>Crowlees Road</v>
          </cell>
          <cell r="L1395" t="str">
            <v>Mirfield</v>
          </cell>
          <cell r="M1395" t="str">
            <v>West Yorkshire</v>
          </cell>
          <cell r="N1395" t="str">
            <v>WF14 9PH</v>
          </cell>
          <cell r="O1395" t="str">
            <v>apugh@castlehall.com</v>
          </cell>
          <cell r="P1395">
            <v>40647</v>
          </cell>
        </row>
        <row r="1396">
          <cell r="A1396">
            <v>8832592</v>
          </cell>
          <cell r="B1396">
            <v>114906</v>
          </cell>
          <cell r="C1396">
            <v>883</v>
          </cell>
          <cell r="D1396" t="str">
            <v>Thurrock</v>
          </cell>
          <cell r="E1396">
            <v>2592</v>
          </cell>
          <cell r="F1396" t="str">
            <v>Colin McGuffie</v>
          </cell>
          <cell r="G1396" t="str">
            <v>West Thurrock Primary School</v>
          </cell>
          <cell r="H1396" t="str">
            <v>East of England</v>
          </cell>
          <cell r="I1396" t="str">
            <v>Schoolfield Road</v>
          </cell>
          <cell r="L1396" t="str">
            <v>Grays</v>
          </cell>
          <cell r="M1396" t="str">
            <v>Essex</v>
          </cell>
          <cell r="N1396" t="str">
            <v>RM20 3HR</v>
          </cell>
          <cell r="O1396" t="str">
            <v>headteacher@westthurrockprimary.thurrock.sch.uk</v>
          </cell>
          <cell r="P1396">
            <v>41087</v>
          </cell>
        </row>
        <row r="1397">
          <cell r="A1397">
            <v>9362873</v>
          </cell>
          <cell r="B1397">
            <v>125088</v>
          </cell>
          <cell r="C1397">
            <v>936</v>
          </cell>
          <cell r="D1397" t="str">
            <v>Surrey</v>
          </cell>
          <cell r="E1397">
            <v>2873</v>
          </cell>
          <cell r="F1397" t="str">
            <v>Gabriela Grimley</v>
          </cell>
          <cell r="G1397" t="str">
            <v>Clarendon Primary School</v>
          </cell>
          <cell r="H1397" t="str">
            <v>South East</v>
          </cell>
          <cell r="I1397" t="str">
            <v>Knapp Road</v>
          </cell>
          <cell r="L1397" t="str">
            <v>Ashford</v>
          </cell>
          <cell r="M1397" t="str">
            <v>Surrey</v>
          </cell>
          <cell r="N1397" t="str">
            <v>TW15 2HZ</v>
          </cell>
          <cell r="O1397" t="str">
            <v>tanyadakin@gmail.com</v>
          </cell>
        </row>
        <row r="1398">
          <cell r="A1398">
            <v>9163345</v>
          </cell>
          <cell r="B1398">
            <v>115698</v>
          </cell>
          <cell r="C1398">
            <v>916</v>
          </cell>
          <cell r="D1398" t="str">
            <v>Gloucestershire</v>
          </cell>
          <cell r="E1398">
            <v>3345</v>
          </cell>
          <cell r="F1398" t="str">
            <v>Not yet assigned</v>
          </cell>
          <cell r="G1398" t="str">
            <v>Sapperton Church of England Primary School</v>
          </cell>
          <cell r="H1398" t="str">
            <v>South West</v>
          </cell>
          <cell r="I1398" t="str">
            <v>Sapperton</v>
          </cell>
          <cell r="L1398" t="str">
            <v>Cirencester</v>
          </cell>
          <cell r="M1398" t="str">
            <v>Gloucestershire</v>
          </cell>
          <cell r="N1398" t="str">
            <v>GL7 6LQ</v>
          </cell>
          <cell r="O1398" t="str">
            <v>headf@sapperton.gloucs.sch.uk</v>
          </cell>
        </row>
        <row r="1399">
          <cell r="A1399">
            <v>9197004</v>
          </cell>
          <cell r="B1399">
            <v>117664</v>
          </cell>
          <cell r="C1399">
            <v>919</v>
          </cell>
          <cell r="D1399" t="str">
            <v>Hertfordshire</v>
          </cell>
          <cell r="E1399">
            <v>7004</v>
          </cell>
          <cell r="F1399" t="str">
            <v>Joe Farrell</v>
          </cell>
          <cell r="G1399" t="str">
            <v>Pinewood School</v>
          </cell>
          <cell r="H1399" t="str">
            <v>East of England</v>
          </cell>
          <cell r="I1399" t="str">
            <v>Hoe Lane</v>
          </cell>
          <cell r="L1399" t="str">
            <v>Ware</v>
          </cell>
          <cell r="M1399" t="str">
            <v>Hertfordshire</v>
          </cell>
          <cell r="N1399" t="str">
            <v>SG12 9PB</v>
          </cell>
          <cell r="O1399" t="str">
            <v>mfuller@pinewood.herts.sch.uk</v>
          </cell>
        </row>
        <row r="1400">
          <cell r="A1400">
            <v>3352224</v>
          </cell>
          <cell r="B1400">
            <v>104205</v>
          </cell>
          <cell r="C1400">
            <v>335</v>
          </cell>
          <cell r="D1400" t="str">
            <v>Walsall</v>
          </cell>
          <cell r="E1400">
            <v>2224</v>
          </cell>
          <cell r="F1400" t="str">
            <v>Lilian Da Cunha</v>
          </cell>
          <cell r="G1400" t="str">
            <v>Ryders Hayes Community School</v>
          </cell>
          <cell r="H1400" t="str">
            <v>West Midlands</v>
          </cell>
          <cell r="I1400" t="str">
            <v>Gilpin Crescent</v>
          </cell>
          <cell r="J1400" t="str">
            <v>Pelsall</v>
          </cell>
          <cell r="L1400" t="str">
            <v>Walsall</v>
          </cell>
          <cell r="M1400" t="str">
            <v>West Midlands</v>
          </cell>
          <cell r="N1400" t="str">
            <v>WS3 4HX</v>
          </cell>
          <cell r="O1400" t="str">
            <v>jspeller@ryders-hayes.walsall.sch.uk</v>
          </cell>
          <cell r="P1400">
            <v>40459</v>
          </cell>
        </row>
        <row r="1401">
          <cell r="A1401">
            <v>8934412</v>
          </cell>
          <cell r="B1401">
            <v>123578</v>
          </cell>
          <cell r="C1401">
            <v>893</v>
          </cell>
          <cell r="D1401" t="str">
            <v>Shropshire</v>
          </cell>
          <cell r="E1401">
            <v>4412</v>
          </cell>
          <cell r="F1401" t="str">
            <v>Julia Waterhouse</v>
          </cell>
          <cell r="G1401" t="str">
            <v>Lacon Childe School</v>
          </cell>
          <cell r="H1401" t="str">
            <v>West Midlands</v>
          </cell>
          <cell r="I1401" t="str">
            <v>Love Lane</v>
          </cell>
          <cell r="J1401" t="str">
            <v>Cleobury Mortimer</v>
          </cell>
          <cell r="L1401" t="str">
            <v>Kidderminster</v>
          </cell>
          <cell r="M1401" t="str">
            <v>Worcestershire</v>
          </cell>
          <cell r="N1401" t="str">
            <v>DY14 8PE</v>
          </cell>
          <cell r="O1401" t="str">
            <v>bill.a@shropshirelg.net</v>
          </cell>
        </row>
        <row r="1402">
          <cell r="A1402">
            <v>8863910</v>
          </cell>
          <cell r="B1402">
            <v>135130</v>
          </cell>
          <cell r="C1402">
            <v>886</v>
          </cell>
          <cell r="D1402" t="str">
            <v>Kent</v>
          </cell>
          <cell r="E1402">
            <v>3910</v>
          </cell>
          <cell r="G1402" t="str">
            <v>Joy Lane Primary School</v>
          </cell>
          <cell r="H1402" t="str">
            <v>South East</v>
          </cell>
          <cell r="I1402" t="str">
            <v>Joy Lane</v>
          </cell>
          <cell r="L1402" t="str">
            <v>Whitstable</v>
          </cell>
          <cell r="M1402" t="str">
            <v>Kent</v>
          </cell>
          <cell r="N1402" t="str">
            <v>CT5 4LT</v>
          </cell>
          <cell r="O1402" t="str">
            <v>headteacher@joylane.kent.sch.uk</v>
          </cell>
        </row>
        <row r="1403">
          <cell r="A1403">
            <v>8553059</v>
          </cell>
          <cell r="B1403">
            <v>120145</v>
          </cell>
          <cell r="C1403">
            <v>855</v>
          </cell>
          <cell r="D1403" t="str">
            <v>Leicestershire</v>
          </cell>
          <cell r="E1403">
            <v>3059</v>
          </cell>
          <cell r="F1403" t="str">
            <v>Stephen Standret</v>
          </cell>
          <cell r="G1403" t="str">
            <v>Great Bowden Church of England Primary School</v>
          </cell>
          <cell r="H1403" t="str">
            <v>East Midlands</v>
          </cell>
          <cell r="I1403" t="str">
            <v>Gunnsbrook Close</v>
          </cell>
          <cell r="J1403" t="str">
            <v>Off Main Street</v>
          </cell>
          <cell r="K1403" t="str">
            <v>Great Bowden</v>
          </cell>
          <cell r="L1403" t="str">
            <v>Market Harborough</v>
          </cell>
          <cell r="M1403" t="str">
            <v>Leicestershire</v>
          </cell>
          <cell r="N1403" t="str">
            <v>LE16 7HZ</v>
          </cell>
          <cell r="O1403" t="str">
            <v>stefaniee2@greatbowden.leics.sch.uk</v>
          </cell>
          <cell r="P1403">
            <v>40934</v>
          </cell>
        </row>
        <row r="1404">
          <cell r="A1404">
            <v>3355403</v>
          </cell>
          <cell r="B1404">
            <v>104261</v>
          </cell>
          <cell r="C1404">
            <v>335</v>
          </cell>
          <cell r="D1404" t="str">
            <v>Walsall</v>
          </cell>
          <cell r="E1404">
            <v>5403</v>
          </cell>
          <cell r="F1404" t="str">
            <v>Beverley Samuel</v>
          </cell>
          <cell r="G1404" t="str">
            <v>Queen Mary's High school</v>
          </cell>
          <cell r="H1404" t="str">
            <v>West Midlands</v>
          </cell>
          <cell r="I1404" t="str">
            <v>Upper Forster Street</v>
          </cell>
          <cell r="L1404" t="str">
            <v>Walsall</v>
          </cell>
          <cell r="M1404" t="str">
            <v>West Midlands</v>
          </cell>
          <cell r="N1404" t="str">
            <v>WS4 2AE</v>
          </cell>
          <cell r="O1404" t="str">
            <v>a.bruton@qmhs.org.uk</v>
          </cell>
          <cell r="P1404">
            <v>40529</v>
          </cell>
        </row>
        <row r="1405">
          <cell r="A1405">
            <v>8552085</v>
          </cell>
          <cell r="B1405">
            <v>119946</v>
          </cell>
          <cell r="C1405">
            <v>855</v>
          </cell>
          <cell r="D1405" t="str">
            <v>Leicestershire</v>
          </cell>
          <cell r="E1405">
            <v>2085</v>
          </cell>
          <cell r="F1405" t="str">
            <v>Sue Harp</v>
          </cell>
          <cell r="G1405" t="str">
            <v>Ratby Primary School</v>
          </cell>
          <cell r="H1405" t="str">
            <v>East Midlands</v>
          </cell>
          <cell r="I1405" t="str">
            <v>Main Street</v>
          </cell>
          <cell r="J1405" t="str">
            <v>Ratby</v>
          </cell>
          <cell r="L1405" t="str">
            <v>Leicester</v>
          </cell>
          <cell r="M1405" t="str">
            <v>Leicestershire</v>
          </cell>
          <cell r="N1405" t="str">
            <v>LE6 0LN</v>
          </cell>
          <cell r="O1405" t="str">
            <v>laitken@ratby.leics.sch.uk</v>
          </cell>
          <cell r="P1405">
            <v>41135</v>
          </cell>
        </row>
        <row r="1406">
          <cell r="A1406">
            <v>8563433</v>
          </cell>
          <cell r="B1406">
            <v>134744</v>
          </cell>
          <cell r="C1406">
            <v>856</v>
          </cell>
          <cell r="D1406" t="str">
            <v>Leicester</v>
          </cell>
          <cell r="E1406">
            <v>3433</v>
          </cell>
          <cell r="F1406" t="str">
            <v>Grant Dyson</v>
          </cell>
          <cell r="G1406" t="str">
            <v>Queensmead Community Primary School</v>
          </cell>
          <cell r="H1406" t="str">
            <v>East Midlands</v>
          </cell>
          <cell r="I1406" t="str">
            <v>Winstanley Drive</v>
          </cell>
          <cell r="L1406" t="str">
            <v>Leicester</v>
          </cell>
          <cell r="M1406" t="str">
            <v>Leicestershire</v>
          </cell>
          <cell r="N1406" t="str">
            <v>LE3 1PF</v>
          </cell>
          <cell r="O1406" t="str">
            <v>office@queensmead.leicester.sch.uk</v>
          </cell>
          <cell r="P1406">
            <v>41095</v>
          </cell>
        </row>
        <row r="1407">
          <cell r="A1407">
            <v>8603474</v>
          </cell>
          <cell r="B1407">
            <v>124366</v>
          </cell>
          <cell r="C1407">
            <v>860</v>
          </cell>
          <cell r="D1407" t="str">
            <v>Staffordshire</v>
          </cell>
          <cell r="E1407">
            <v>3474</v>
          </cell>
          <cell r="F1407" t="str">
            <v>Hannah Copp</v>
          </cell>
          <cell r="G1407" t="str">
            <v>St Joseph's Catholic Primary School</v>
          </cell>
          <cell r="H1407" t="str">
            <v>West Midlands</v>
          </cell>
          <cell r="I1407" t="str">
            <v>Springfield Road</v>
          </cell>
          <cell r="L1407" t="str">
            <v>Uttoxeter</v>
          </cell>
          <cell r="M1407" t="str">
            <v>Staffordshire</v>
          </cell>
          <cell r="N1407" t="str">
            <v>ST14 7JX</v>
          </cell>
          <cell r="O1407" t="str">
            <v>headteacher@st-josephs-uttoxeter.staffs.sch.uk</v>
          </cell>
          <cell r="P1407">
            <v>41051</v>
          </cell>
        </row>
        <row r="1408">
          <cell r="A1408">
            <v>9283082</v>
          </cell>
          <cell r="B1408">
            <v>122004</v>
          </cell>
          <cell r="C1408">
            <v>928</v>
          </cell>
          <cell r="D1408" t="str">
            <v>Northamptonshire</v>
          </cell>
          <cell r="E1408">
            <v>3082</v>
          </cell>
          <cell r="F1408" t="str">
            <v>Sue Harp</v>
          </cell>
          <cell r="G1408" t="str">
            <v>Wilbarston Church of England Primary School</v>
          </cell>
          <cell r="H1408" t="str">
            <v>East Midlands</v>
          </cell>
          <cell r="I1408" t="str">
            <v>School Lane</v>
          </cell>
          <cell r="J1408" t="str">
            <v>Wilbarston</v>
          </cell>
          <cell r="L1408" t="str">
            <v>Market Harborough</v>
          </cell>
          <cell r="M1408" t="str">
            <v>Leicestershire</v>
          </cell>
          <cell r="N1408" t="str">
            <v>LE16 8QN</v>
          </cell>
          <cell r="O1408" t="str">
            <v>head@wilbarston.northants-ecl.gov.uk</v>
          </cell>
        </row>
        <row r="1409">
          <cell r="A1409">
            <v>8503017</v>
          </cell>
          <cell r="B1409">
            <v>116274</v>
          </cell>
          <cell r="C1409">
            <v>850</v>
          </cell>
          <cell r="D1409" t="str">
            <v>Hampshire</v>
          </cell>
          <cell r="E1409">
            <v>3017</v>
          </cell>
          <cell r="F1409" t="str">
            <v>Amanda Barrett</v>
          </cell>
          <cell r="G1409" t="str">
            <v>Bransgore Church of England Primary School</v>
          </cell>
          <cell r="H1409" t="str">
            <v>South East</v>
          </cell>
          <cell r="I1409" t="str">
            <v>Ringwood Road</v>
          </cell>
          <cell r="J1409" t="str">
            <v>Bransgore</v>
          </cell>
          <cell r="L1409" t="str">
            <v>Christchurch</v>
          </cell>
          <cell r="M1409" t="str">
            <v>Dorset</v>
          </cell>
          <cell r="N1409" t="str">
            <v>BH23 8JH</v>
          </cell>
          <cell r="O1409" t="str">
            <v>peter.pretlove@bransgore.hants.sch.uk</v>
          </cell>
          <cell r="P1409">
            <v>40718</v>
          </cell>
        </row>
        <row r="1410">
          <cell r="A1410">
            <v>9195418</v>
          </cell>
          <cell r="B1410">
            <v>117590</v>
          </cell>
          <cell r="C1410">
            <v>919</v>
          </cell>
          <cell r="D1410" t="str">
            <v>Hertfordshire</v>
          </cell>
          <cell r="E1410">
            <v>5418</v>
          </cell>
          <cell r="F1410" t="str">
            <v>Claire Ivie</v>
          </cell>
          <cell r="G1410" t="str">
            <v>Saint Joan of Arc Catholic School</v>
          </cell>
          <cell r="H1410" t="str">
            <v>East of England</v>
          </cell>
          <cell r="I1410" t="str">
            <v>High Street</v>
          </cell>
          <cell r="L1410" t="str">
            <v>Rickmansworth</v>
          </cell>
          <cell r="M1410" t="str">
            <v>Hertfordshire</v>
          </cell>
          <cell r="N1410" t="str">
            <v>WD3 1HG</v>
          </cell>
          <cell r="O1410" t="str">
            <v>psweeney@joa.herts.sch.uk</v>
          </cell>
          <cell r="P1410">
            <v>40858</v>
          </cell>
        </row>
        <row r="1411">
          <cell r="A1411">
            <v>9314126</v>
          </cell>
          <cell r="B1411">
            <v>123256</v>
          </cell>
          <cell r="C1411">
            <v>931</v>
          </cell>
          <cell r="D1411" t="str">
            <v>Oxfordshire</v>
          </cell>
          <cell r="E1411">
            <v>4126</v>
          </cell>
          <cell r="F1411" t="str">
            <v>Sarah Nairne</v>
          </cell>
          <cell r="G1411" t="str">
            <v>John Mason School</v>
          </cell>
          <cell r="H1411" t="str">
            <v>South East</v>
          </cell>
          <cell r="I1411" t="str">
            <v>Wootton Road</v>
          </cell>
          <cell r="L1411" t="str">
            <v>Abingdon</v>
          </cell>
          <cell r="M1411" t="str">
            <v>Oxfordshire</v>
          </cell>
          <cell r="N1411" t="str">
            <v>OX14 1JB</v>
          </cell>
          <cell r="O1411" t="str">
            <v>d.mashiter@johnmason.oxon.sch.uk</v>
          </cell>
        </row>
        <row r="1412">
          <cell r="A1412">
            <v>8662194</v>
          </cell>
          <cell r="B1412">
            <v>126268</v>
          </cell>
          <cell r="C1412">
            <v>866</v>
          </cell>
          <cell r="D1412" t="str">
            <v>Swindon</v>
          </cell>
          <cell r="E1412">
            <v>2194</v>
          </cell>
          <cell r="F1412" t="str">
            <v>Ali Bushell</v>
          </cell>
          <cell r="G1412" t="str">
            <v>Colebrook Infant School</v>
          </cell>
          <cell r="H1412" t="str">
            <v>South West</v>
          </cell>
          <cell r="I1412" t="str">
            <v>Towcester Road</v>
          </cell>
          <cell r="J1412" t="str">
            <v>Stratton St Margaret</v>
          </cell>
          <cell r="L1412" t="str">
            <v>Swindon</v>
          </cell>
          <cell r="M1412" t="str">
            <v>Wiltshire</v>
          </cell>
          <cell r="N1412" t="str">
            <v>SN3 4AS</v>
          </cell>
          <cell r="O1412" t="str">
            <v>head@colebrook-inf.swindon.sch.uk</v>
          </cell>
          <cell r="P1412">
            <v>40694</v>
          </cell>
        </row>
        <row r="1413">
          <cell r="A1413">
            <v>3303008</v>
          </cell>
          <cell r="B1413">
            <v>103400</v>
          </cell>
          <cell r="C1413">
            <v>330</v>
          </cell>
          <cell r="D1413" t="str">
            <v>Birmingham</v>
          </cell>
          <cell r="E1413">
            <v>3008</v>
          </cell>
          <cell r="F1413" t="str">
            <v>Carol Ions</v>
          </cell>
          <cell r="G1413" t="str">
            <v>St Clement's Church of England Primary School</v>
          </cell>
          <cell r="H1413" t="str">
            <v>West Midlands</v>
          </cell>
          <cell r="I1413" t="str">
            <v>Butlin Street</v>
          </cell>
          <cell r="L1413" t="str">
            <v>Birmingham</v>
          </cell>
          <cell r="M1413" t="str">
            <v>West Midlands</v>
          </cell>
          <cell r="N1413" t="str">
            <v>B7 5NS</v>
          </cell>
          <cell r="O1413" t="str">
            <v>enquiry@stclemce.bham.sch.uk</v>
          </cell>
          <cell r="P1413">
            <v>40970</v>
          </cell>
        </row>
        <row r="1414">
          <cell r="A1414">
            <v>8564251</v>
          </cell>
          <cell r="B1414">
            <v>120287</v>
          </cell>
          <cell r="C1414">
            <v>856</v>
          </cell>
          <cell r="D1414" t="str">
            <v>Leicester</v>
          </cell>
          <cell r="E1414">
            <v>4251</v>
          </cell>
          <cell r="F1414" t="str">
            <v>Mike Couzens</v>
          </cell>
          <cell r="G1414" t="str">
            <v>Judgemeadow Community College</v>
          </cell>
          <cell r="H1414" t="str">
            <v>East Midlands</v>
          </cell>
          <cell r="I1414" t="str">
            <v>Marydene Drive</v>
          </cell>
          <cell r="J1414" t="str">
            <v>Evington</v>
          </cell>
          <cell r="L1414" t="str">
            <v>Leicester</v>
          </cell>
          <cell r="M1414" t="str">
            <v>Leicestershire</v>
          </cell>
          <cell r="N1414" t="str">
            <v>LE5 6HP</v>
          </cell>
          <cell r="O1414" t="str">
            <v>dpowell@judgemeadow.leicester.sch.uk</v>
          </cell>
        </row>
        <row r="1415">
          <cell r="A1415">
            <v>3327008</v>
          </cell>
          <cell r="B1415">
            <v>103882</v>
          </cell>
          <cell r="C1415">
            <v>332</v>
          </cell>
          <cell r="D1415" t="str">
            <v>Dudley</v>
          </cell>
          <cell r="E1415">
            <v>7008</v>
          </cell>
          <cell r="F1415" t="str">
            <v>Tony Bretherick</v>
          </cell>
          <cell r="G1415" t="str">
            <v>Rosewood School</v>
          </cell>
          <cell r="H1415" t="str">
            <v>West Midlands</v>
          </cell>
          <cell r="I1415" t="str">
            <v>Bell Street</v>
          </cell>
          <cell r="J1415" t="str">
            <v>Coseley</v>
          </cell>
          <cell r="L1415" t="str">
            <v>Bilston</v>
          </cell>
          <cell r="M1415" t="str">
            <v>West Midlands</v>
          </cell>
          <cell r="N1415" t="str">
            <v>WV14 8XJ</v>
          </cell>
          <cell r="O1415" t="str">
            <v>dkirk@rosewood.dudley.sch.uk</v>
          </cell>
        </row>
        <row r="1416">
          <cell r="A1416">
            <v>9333289</v>
          </cell>
          <cell r="B1416">
            <v>123825</v>
          </cell>
          <cell r="C1416">
            <v>933</v>
          </cell>
          <cell r="D1416" t="str">
            <v>Somerset</v>
          </cell>
          <cell r="E1416">
            <v>3289</v>
          </cell>
          <cell r="F1416" t="str">
            <v>Theresa Oddelm</v>
          </cell>
          <cell r="G1416" t="str">
            <v>Wembdon St George's Church of England Primary School</v>
          </cell>
          <cell r="H1416" t="str">
            <v>South West</v>
          </cell>
          <cell r="I1416" t="str">
            <v>Brantwood Road</v>
          </cell>
          <cell r="J1416" t="str">
            <v>Wembdon</v>
          </cell>
          <cell r="L1416" t="str">
            <v>Bridgwater</v>
          </cell>
          <cell r="M1416" t="str">
            <v>Somerset</v>
          </cell>
          <cell r="N1416" t="str">
            <v>TA6 7PS</v>
          </cell>
          <cell r="O1416" t="str">
            <v>dhatrey@educ.somerset.gov.uk</v>
          </cell>
        </row>
        <row r="1417">
          <cell r="A1417">
            <v>9283320</v>
          </cell>
          <cell r="B1417">
            <v>122023</v>
          </cell>
          <cell r="C1417">
            <v>928</v>
          </cell>
          <cell r="D1417" t="str">
            <v>Northamptonshire</v>
          </cell>
          <cell r="E1417">
            <v>3320</v>
          </cell>
          <cell r="F1417" t="str">
            <v>Sue Harp</v>
          </cell>
          <cell r="G1417" t="str">
            <v>Isham Church of England Primary School</v>
          </cell>
          <cell r="H1417" t="str">
            <v>East Midlands</v>
          </cell>
          <cell r="I1417" t="str">
            <v>Church Street</v>
          </cell>
          <cell r="J1417" t="str">
            <v>Isham</v>
          </cell>
          <cell r="L1417" t="str">
            <v>Kettering</v>
          </cell>
          <cell r="M1417" t="str">
            <v>Northamptonshire</v>
          </cell>
          <cell r="N1417" t="str">
            <v>NN14 1HD</v>
          </cell>
          <cell r="O1417" t="str">
            <v>head@isham.northants-ecl.gov.uk</v>
          </cell>
        </row>
        <row r="1418">
          <cell r="A1418">
            <v>8662204</v>
          </cell>
          <cell r="B1418">
            <v>126275</v>
          </cell>
          <cell r="C1418">
            <v>866</v>
          </cell>
          <cell r="D1418" t="str">
            <v>Swindon</v>
          </cell>
          <cell r="E1418">
            <v>2204</v>
          </cell>
          <cell r="F1418" t="str">
            <v>Nigel Mills</v>
          </cell>
          <cell r="G1418" t="str">
            <v>Rodbourne Cheney Primary School</v>
          </cell>
          <cell r="H1418" t="str">
            <v>South West</v>
          </cell>
          <cell r="I1418" t="str">
            <v>Broadway</v>
          </cell>
          <cell r="L1418" t="str">
            <v>Swindon</v>
          </cell>
          <cell r="M1418" t="str">
            <v>Wiltshire</v>
          </cell>
          <cell r="N1418" t="str">
            <v>SN25 3BN</v>
          </cell>
          <cell r="O1418" t="str">
            <v>head@rodbournecheney.swindon.sch.uk</v>
          </cell>
          <cell r="P1418">
            <v>40865</v>
          </cell>
        </row>
        <row r="1419">
          <cell r="A1419">
            <v>8604093</v>
          </cell>
          <cell r="B1419">
            <v>124411</v>
          </cell>
          <cell r="C1419">
            <v>860</v>
          </cell>
          <cell r="D1419" t="str">
            <v>Staffordshire</v>
          </cell>
          <cell r="E1419">
            <v>4093</v>
          </cell>
          <cell r="F1419" t="str">
            <v>Hannah Copp</v>
          </cell>
          <cell r="G1419" t="str">
            <v>Chesterton Community Sports College</v>
          </cell>
          <cell r="H1419" t="str">
            <v>West Midlands</v>
          </cell>
          <cell r="I1419" t="str">
            <v>Castle Street</v>
          </cell>
          <cell r="J1419" t="str">
            <v>Chesterton</v>
          </cell>
          <cell r="L1419" t="str">
            <v>Newcastle</v>
          </cell>
          <cell r="M1419" t="str">
            <v>Staffordshire</v>
          </cell>
          <cell r="N1419" t="str">
            <v>ST5 7LP</v>
          </cell>
          <cell r="O1419" t="str">
            <v>ljackson@ccsc.staffs.sch.uk</v>
          </cell>
          <cell r="P1419">
            <v>41006</v>
          </cell>
        </row>
        <row r="1420">
          <cell r="A1420">
            <v>3104027</v>
          </cell>
          <cell r="B1420">
            <v>102240</v>
          </cell>
          <cell r="C1420">
            <v>310</v>
          </cell>
          <cell r="D1420" t="str">
            <v>Harrow</v>
          </cell>
          <cell r="E1420">
            <v>4027</v>
          </cell>
          <cell r="F1420" t="str">
            <v>Sheila Longstaff</v>
          </cell>
          <cell r="G1420" t="str">
            <v>Rooks Heath High School</v>
          </cell>
          <cell r="H1420" t="str">
            <v>London</v>
          </cell>
          <cell r="I1420" t="str">
            <v>Eastcote Lane</v>
          </cell>
          <cell r="J1420" t="str">
            <v>South Harrow</v>
          </cell>
          <cell r="L1420" t="str">
            <v>Harrow</v>
          </cell>
          <cell r="N1420" t="str">
            <v>HA2 9AH</v>
          </cell>
          <cell r="O1420" t="str">
            <v xml:space="preserve"> jreavley@hotmail.com</v>
          </cell>
          <cell r="P1420">
            <v>40592</v>
          </cell>
        </row>
        <row r="1421">
          <cell r="A1421">
            <v>8862511</v>
          </cell>
          <cell r="B1421">
            <v>118481</v>
          </cell>
          <cell r="C1421">
            <v>886</v>
          </cell>
          <cell r="D1421" t="str">
            <v>Kent</v>
          </cell>
          <cell r="E1421">
            <v>2511</v>
          </cell>
          <cell r="F1421" t="str">
            <v>Tony Dunne</v>
          </cell>
          <cell r="G1421" t="str">
            <v>Hartley Primary School</v>
          </cell>
          <cell r="H1421" t="str">
            <v>South East</v>
          </cell>
          <cell r="I1421" t="str">
            <v>Round Ash Way</v>
          </cell>
          <cell r="J1421" t="str">
            <v>Hartley</v>
          </cell>
          <cell r="L1421" t="str">
            <v>Longfield</v>
          </cell>
          <cell r="M1421" t="str">
            <v>Kent</v>
          </cell>
          <cell r="N1421" t="str">
            <v>DA3 8BT</v>
          </cell>
          <cell r="O1421" t="str">
            <v>headteacher@hartley.kent.sch.uk</v>
          </cell>
          <cell r="P1421">
            <v>40991</v>
          </cell>
        </row>
        <row r="1422">
          <cell r="A1422">
            <v>3332082</v>
          </cell>
          <cell r="B1422">
            <v>103928</v>
          </cell>
          <cell r="C1422">
            <v>333</v>
          </cell>
          <cell r="D1422" t="str">
            <v>Sandwell</v>
          </cell>
          <cell r="E1422">
            <v>2082</v>
          </cell>
          <cell r="F1422" t="str">
            <v>Hannah Copp</v>
          </cell>
          <cell r="G1422" t="str">
            <v>Tipton Green Junior School</v>
          </cell>
          <cell r="H1422" t="str">
            <v>West Midlands</v>
          </cell>
          <cell r="I1422" t="str">
            <v>Park Lane West</v>
          </cell>
          <cell r="L1422" t="str">
            <v>Tipton</v>
          </cell>
          <cell r="M1422" t="str">
            <v>West Midlands</v>
          </cell>
          <cell r="N1422" t="str">
            <v>DY4 8LE</v>
          </cell>
          <cell r="O1422" t="str">
            <v>lawrence.rouse@tiptongreen.sandwell.sch.uk</v>
          </cell>
        </row>
        <row r="1423">
          <cell r="A1423">
            <v>3415900</v>
          </cell>
          <cell r="B1423">
            <v>131320</v>
          </cell>
          <cell r="C1423">
            <v>341</v>
          </cell>
          <cell r="D1423" t="str">
            <v>Liverpool</v>
          </cell>
          <cell r="E1423">
            <v>5900</v>
          </cell>
          <cell r="F1423" t="str">
            <v>Maria Sabberton</v>
          </cell>
          <cell r="G1423" t="str">
            <v>St Edward's College</v>
          </cell>
          <cell r="H1423" t="str">
            <v>North West</v>
          </cell>
          <cell r="I1423" t="str">
            <v>North Drive</v>
          </cell>
          <cell r="J1423" t="str">
            <v>Sandfield Park</v>
          </cell>
          <cell r="L1423" t="str">
            <v>Liverpool</v>
          </cell>
          <cell r="M1423" t="str">
            <v>Merseyside</v>
          </cell>
          <cell r="N1423" t="str">
            <v>L12 1LF</v>
          </cell>
          <cell r="O1423" t="str">
            <v>john.waszek@st-edwards.liverpool.sch.uk</v>
          </cell>
          <cell r="P1423">
            <v>40557</v>
          </cell>
        </row>
        <row r="1424">
          <cell r="A1424">
            <v>8792643</v>
          </cell>
          <cell r="B1424">
            <v>113281</v>
          </cell>
          <cell r="C1424">
            <v>879</v>
          </cell>
          <cell r="D1424" t="str">
            <v>Plymouth</v>
          </cell>
          <cell r="E1424">
            <v>2643</v>
          </cell>
          <cell r="F1424" t="str">
            <v>Ali Bushell</v>
          </cell>
          <cell r="G1424" t="str">
            <v>Mount Street Primary School</v>
          </cell>
          <cell r="H1424" t="str">
            <v>South West</v>
          </cell>
          <cell r="I1424" t="str">
            <v>Mount Street</v>
          </cell>
          <cell r="J1424" t="str">
            <v>Greenbank</v>
          </cell>
          <cell r="L1424" t="str">
            <v>Plymouth</v>
          </cell>
          <cell r="M1424" t="str">
            <v>Devon</v>
          </cell>
          <cell r="N1424" t="str">
            <v>PL4 8NZ</v>
          </cell>
          <cell r="O1424" t="str">
            <v>sandie@mountstreet.plymouth.sch.uk</v>
          </cell>
          <cell r="P1424">
            <v>40676</v>
          </cell>
        </row>
        <row r="1425">
          <cell r="A1425">
            <v>3557025</v>
          </cell>
          <cell r="B1425">
            <v>106009</v>
          </cell>
          <cell r="C1425">
            <v>355</v>
          </cell>
          <cell r="D1425" t="str">
            <v>Salford</v>
          </cell>
          <cell r="E1425">
            <v>7025</v>
          </cell>
          <cell r="F1425" t="str">
            <v>Tony Bretherick</v>
          </cell>
          <cell r="G1425" t="str">
            <v>Oakwood High School</v>
          </cell>
          <cell r="H1425" t="str">
            <v>North West</v>
          </cell>
          <cell r="I1425" t="str">
            <v>Chatsworth Road</v>
          </cell>
          <cell r="J1425" t="str">
            <v>Ellesmere Park</v>
          </cell>
          <cell r="L1425" t="str">
            <v>Eccles</v>
          </cell>
          <cell r="M1425" t="str">
            <v>Lancashire</v>
          </cell>
          <cell r="N1425" t="str">
            <v>M30 9DY</v>
          </cell>
          <cell r="O1425" t="str">
            <v>anicholson@oakwoodhighschool.co.uk</v>
          </cell>
          <cell r="P1425">
            <v>40690</v>
          </cell>
        </row>
        <row r="1426">
          <cell r="A1426">
            <v>3712143</v>
          </cell>
          <cell r="B1426">
            <v>106714</v>
          </cell>
          <cell r="C1426">
            <v>371</v>
          </cell>
          <cell r="D1426" t="str">
            <v>Doncaster</v>
          </cell>
          <cell r="E1426">
            <v>2143</v>
          </cell>
          <cell r="F1426" t="str">
            <v>Glyn Newton</v>
          </cell>
          <cell r="G1426" t="str">
            <v>Auckley Junior and Infant School</v>
          </cell>
          <cell r="H1426" t="str">
            <v>Yorkshire and the Humber</v>
          </cell>
          <cell r="I1426" t="str">
            <v>School Lane</v>
          </cell>
          <cell r="J1426" t="str">
            <v>Auckley</v>
          </cell>
          <cell r="L1426" t="str">
            <v>Doncaster</v>
          </cell>
          <cell r="M1426" t="str">
            <v>South Yorkshire</v>
          </cell>
          <cell r="N1426" t="str">
            <v>DN9 3JN</v>
          </cell>
          <cell r="O1426" t="str">
            <v>mevans@auckley.doncaster.sch.uk</v>
          </cell>
          <cell r="P1426">
            <v>40676</v>
          </cell>
        </row>
        <row r="1427">
          <cell r="A1427">
            <v>8554049</v>
          </cell>
          <cell r="B1427">
            <v>120267</v>
          </cell>
          <cell r="C1427">
            <v>855</v>
          </cell>
          <cell r="D1427" t="str">
            <v>Leicestershire</v>
          </cell>
          <cell r="E1427">
            <v>4049</v>
          </cell>
          <cell r="F1427" t="str">
            <v>Sue Harp</v>
          </cell>
          <cell r="G1427" t="str">
            <v>Wreake Valley Community College</v>
          </cell>
          <cell r="H1427" t="str">
            <v>East Midlands</v>
          </cell>
          <cell r="I1427" t="str">
            <v>Parkstone Road</v>
          </cell>
          <cell r="J1427" t="str">
            <v>Syston</v>
          </cell>
          <cell r="L1427" t="str">
            <v>Leicester</v>
          </cell>
          <cell r="M1427" t="str">
            <v>Leicestershire</v>
          </cell>
          <cell r="N1427" t="str">
            <v>LE7 1LY</v>
          </cell>
          <cell r="O1427" t="str">
            <v>tony.pinnock@wvcc.leics.sch.uk</v>
          </cell>
          <cell r="P1427">
            <v>40888</v>
          </cell>
        </row>
        <row r="1428">
          <cell r="A1428">
            <v>9084172</v>
          </cell>
          <cell r="B1428">
            <v>112066</v>
          </cell>
          <cell r="C1428">
            <v>908</v>
          </cell>
          <cell r="D1428" t="str">
            <v>Cornwall</v>
          </cell>
          <cell r="E1428">
            <v>4172</v>
          </cell>
          <cell r="F1428" t="str">
            <v>Kate Bosher</v>
          </cell>
          <cell r="G1428" t="str">
            <v>Mounts Bay School</v>
          </cell>
          <cell r="H1428" t="str">
            <v>South West</v>
          </cell>
          <cell r="I1428" t="str">
            <v>Boscathnoe Lane</v>
          </cell>
          <cell r="J1428" t="str">
            <v>Heamoor</v>
          </cell>
          <cell r="L1428" t="str">
            <v>Penzance</v>
          </cell>
          <cell r="M1428" t="str">
            <v>Cornwall</v>
          </cell>
          <cell r="N1428" t="str">
            <v>TR18 3JT</v>
          </cell>
          <cell r="O1428" t="str">
            <v>head@mounts-bay.cornwall.sch.uk</v>
          </cell>
          <cell r="P1428">
            <v>40634</v>
          </cell>
        </row>
        <row r="1429">
          <cell r="A1429">
            <v>8375400</v>
          </cell>
          <cell r="B1429">
            <v>113900</v>
          </cell>
          <cell r="C1429">
            <v>837</v>
          </cell>
          <cell r="D1429" t="str">
            <v>Bournemouth</v>
          </cell>
          <cell r="E1429">
            <v>5400</v>
          </cell>
          <cell r="F1429" t="str">
            <v>Maria Whiting</v>
          </cell>
          <cell r="G1429" t="str">
            <v>Bournemouth School</v>
          </cell>
          <cell r="H1429" t="str">
            <v>South West</v>
          </cell>
          <cell r="I1429" t="str">
            <v>East Way</v>
          </cell>
          <cell r="L1429" t="str">
            <v>Bournemouth</v>
          </cell>
          <cell r="M1429" t="str">
            <v>Dorset</v>
          </cell>
          <cell r="N1429" t="str">
            <v>BH8 9PY</v>
          </cell>
          <cell r="O1429" t="str">
            <v>dlewis@bournemouth-school.org</v>
          </cell>
        </row>
        <row r="1430">
          <cell r="A1430">
            <v>8884402</v>
          </cell>
          <cell r="B1430">
            <v>119767</v>
          </cell>
          <cell r="C1430">
            <v>888</v>
          </cell>
          <cell r="D1430" t="str">
            <v>Lancashire</v>
          </cell>
          <cell r="E1430">
            <v>4402</v>
          </cell>
          <cell r="F1430" t="str">
            <v>Viv Clutton</v>
          </cell>
          <cell r="G1430" t="str">
            <v>Haslingden High School</v>
          </cell>
          <cell r="H1430" t="str">
            <v>North West</v>
          </cell>
          <cell r="I1430" t="str">
            <v>Broadway</v>
          </cell>
          <cell r="J1430" t="str">
            <v>Haslingden</v>
          </cell>
          <cell r="L1430" t="str">
            <v>Rossendale</v>
          </cell>
          <cell r="M1430" t="str">
            <v>Lancashire</v>
          </cell>
          <cell r="N1430" t="str">
            <v>BB4 4EY</v>
          </cell>
          <cell r="O1430" t="str">
            <v>head@haslingdenhigh.lancs.sch.uk</v>
          </cell>
        </row>
        <row r="1431">
          <cell r="A1431">
            <v>9082409</v>
          </cell>
          <cell r="B1431">
            <v>111886</v>
          </cell>
          <cell r="C1431">
            <v>908</v>
          </cell>
          <cell r="D1431" t="str">
            <v>Cornwall</v>
          </cell>
          <cell r="E1431">
            <v>2409</v>
          </cell>
          <cell r="F1431" t="str">
            <v>Vicky Dare</v>
          </cell>
          <cell r="G1431" t="str">
            <v>Trenance Infant School</v>
          </cell>
          <cell r="H1431" t="str">
            <v>South West</v>
          </cell>
          <cell r="I1431" t="str">
            <v>Trenance Road</v>
          </cell>
          <cell r="L1431" t="str">
            <v>Newquay</v>
          </cell>
          <cell r="M1431" t="str">
            <v>Cornwall</v>
          </cell>
          <cell r="N1431" t="str">
            <v>TR7 2LU</v>
          </cell>
          <cell r="O1431" t="str">
            <v>head@trenance.cornwall.sch.uk</v>
          </cell>
          <cell r="P1431">
            <v>40358</v>
          </cell>
        </row>
        <row r="1432">
          <cell r="A1432">
            <v>3837072</v>
          </cell>
          <cell r="B1432">
            <v>108133</v>
          </cell>
          <cell r="C1432">
            <v>383</v>
          </cell>
          <cell r="D1432" t="str">
            <v>Leeds</v>
          </cell>
          <cell r="E1432">
            <v>7072</v>
          </cell>
          <cell r="F1432" t="str">
            <v>Bev Annables</v>
          </cell>
          <cell r="G1432" t="str">
            <v>West Oaks School and Technology College</v>
          </cell>
          <cell r="H1432" t="str">
            <v>Yorkshire and the Humber</v>
          </cell>
          <cell r="I1432" t="str">
            <v>Westwood Way</v>
          </cell>
          <cell r="J1432" t="str">
            <v>Boston Spa</v>
          </cell>
          <cell r="L1432" t="str">
            <v>Wetherby</v>
          </cell>
          <cell r="M1432" t="str">
            <v>West Yorkshire</v>
          </cell>
          <cell r="N1432" t="str">
            <v>LS23 6DX</v>
          </cell>
          <cell r="O1432" t="str">
            <v>hodkina02@leedslearning.net.</v>
          </cell>
        </row>
        <row r="1433">
          <cell r="A1433">
            <v>9284022</v>
          </cell>
          <cell r="B1433">
            <v>122055</v>
          </cell>
          <cell r="C1433">
            <v>928</v>
          </cell>
          <cell r="D1433" t="str">
            <v>Northamptonshire</v>
          </cell>
          <cell r="E1433">
            <v>4022</v>
          </cell>
          <cell r="F1433" t="str">
            <v>Sue Harp</v>
          </cell>
          <cell r="G1433" t="str">
            <v>Moulton School and Science College</v>
          </cell>
          <cell r="H1433" t="str">
            <v>East Midlands</v>
          </cell>
          <cell r="I1433" t="str">
            <v>Pound Lane</v>
          </cell>
          <cell r="J1433" t="str">
            <v>Moulton</v>
          </cell>
          <cell r="L1433" t="str">
            <v>Northampton</v>
          </cell>
          <cell r="M1433" t="str">
            <v>Northamptonshire</v>
          </cell>
          <cell r="N1433" t="str">
            <v>NN3 7SD</v>
          </cell>
          <cell r="O1433" t="str">
            <v>trevor.jones@moultonschool.co.uk</v>
          </cell>
          <cell r="P1433">
            <v>40721</v>
          </cell>
        </row>
        <row r="1434">
          <cell r="A1434">
            <v>8354002</v>
          </cell>
          <cell r="B1434">
            <v>113852</v>
          </cell>
          <cell r="C1434">
            <v>835</v>
          </cell>
          <cell r="D1434" t="str">
            <v>Dorset</v>
          </cell>
          <cell r="E1434">
            <v>4002</v>
          </cell>
          <cell r="F1434" t="str">
            <v>Tahamina Khan</v>
          </cell>
          <cell r="G1434" t="str">
            <v>Sir John Colfox School</v>
          </cell>
          <cell r="H1434" t="str">
            <v>South West</v>
          </cell>
          <cell r="I1434" t="str">
            <v>Ridgeway</v>
          </cell>
          <cell r="L1434" t="str">
            <v>Bridport</v>
          </cell>
          <cell r="M1434" t="str">
            <v>Dorset</v>
          </cell>
          <cell r="N1434" t="str">
            <v>DT6 3DT</v>
          </cell>
          <cell r="O1434" t="str">
            <v>k.taylor@colfox.dorset.sch.uk</v>
          </cell>
          <cell r="P1434">
            <v>41257</v>
          </cell>
        </row>
        <row r="1435">
          <cell r="A1435">
            <v>9162033</v>
          </cell>
          <cell r="B1435">
            <v>115498</v>
          </cell>
          <cell r="C1435">
            <v>916</v>
          </cell>
          <cell r="D1435" t="str">
            <v>Gloucestershire</v>
          </cell>
          <cell r="E1435">
            <v>2033</v>
          </cell>
          <cell r="F1435" t="str">
            <v>Not yet assigned</v>
          </cell>
          <cell r="G1435" t="str">
            <v>Longlevens Infant School</v>
          </cell>
          <cell r="H1435" t="str">
            <v>South West</v>
          </cell>
          <cell r="I1435" t="str">
            <v>Paygrove Lane</v>
          </cell>
          <cell r="J1435" t="str">
            <v>Longlevens</v>
          </cell>
          <cell r="L1435" t="str">
            <v>Gloucester</v>
          </cell>
          <cell r="M1435" t="str">
            <v>Gloucestershire</v>
          </cell>
          <cell r="N1435" t="str">
            <v>GL2 0AX</v>
          </cell>
        </row>
        <row r="1436">
          <cell r="A1436">
            <v>9372639</v>
          </cell>
          <cell r="B1436">
            <v>130873</v>
          </cell>
          <cell r="C1436">
            <v>937</v>
          </cell>
          <cell r="D1436" t="str">
            <v>Warwickshire</v>
          </cell>
          <cell r="E1436">
            <v>2639</v>
          </cell>
          <cell r="F1436" t="str">
            <v>Sally Gardiner</v>
          </cell>
          <cell r="G1436" t="str">
            <v>Acorns Primary School</v>
          </cell>
          <cell r="H1436" t="str">
            <v>West Midlands</v>
          </cell>
          <cell r="I1436" t="str">
            <v>School Close</v>
          </cell>
          <cell r="J1436" t="str">
            <v>Long Compton</v>
          </cell>
          <cell r="L1436" t="str">
            <v>Shipston-on-Stour</v>
          </cell>
          <cell r="M1436" t="str">
            <v>Warwickshire</v>
          </cell>
          <cell r="N1436" t="str">
            <v>CV36 5LA</v>
          </cell>
          <cell r="P1436">
            <v>41182</v>
          </cell>
        </row>
        <row r="1437">
          <cell r="A1437">
            <v>9255221</v>
          </cell>
          <cell r="B1437">
            <v>120688</v>
          </cell>
          <cell r="C1437">
            <v>925</v>
          </cell>
          <cell r="D1437" t="str">
            <v>Lincolnshire</v>
          </cell>
          <cell r="E1437">
            <v>5221</v>
          </cell>
          <cell r="F1437" t="str">
            <v>Grant Dyson</v>
          </cell>
          <cell r="G1437" t="str">
            <v>Tower Road Primary School</v>
          </cell>
          <cell r="H1437" t="str">
            <v>East Midlands</v>
          </cell>
          <cell r="I1437" t="str">
            <v>Ashlawn Drive</v>
          </cell>
          <cell r="L1437" t="str">
            <v>Boston</v>
          </cell>
          <cell r="M1437" t="str">
            <v>Lincolnshire</v>
          </cell>
          <cell r="N1437" t="str">
            <v>PE21 9PX</v>
          </cell>
          <cell r="O1437" t="str">
            <v>dl.towerroad@btconnect.com</v>
          </cell>
          <cell r="P1437">
            <v>40570</v>
          </cell>
        </row>
        <row r="1438">
          <cell r="A1438">
            <v>3182010</v>
          </cell>
          <cell r="B1438">
            <v>102889</v>
          </cell>
          <cell r="C1438">
            <v>318</v>
          </cell>
          <cell r="D1438" t="str">
            <v>Richmond upon Thames</v>
          </cell>
          <cell r="E1438">
            <v>2010</v>
          </cell>
          <cell r="F1438" t="str">
            <v>Tahir Shams</v>
          </cell>
          <cell r="G1438" t="str">
            <v>Hampton Wick Infant and Nursery School</v>
          </cell>
          <cell r="H1438" t="str">
            <v>London</v>
          </cell>
          <cell r="I1438" t="str">
            <v>Normansfield Avenue</v>
          </cell>
          <cell r="L1438" t="str">
            <v>Teddington</v>
          </cell>
          <cell r="N1438" t="str">
            <v>TW11 9RP</v>
          </cell>
          <cell r="O1438" t="str">
            <v>heidi.johnson-paul@hamptonwick.richmond.sch.uk</v>
          </cell>
        </row>
        <row r="1439">
          <cell r="A1439">
            <v>8682108</v>
          </cell>
          <cell r="B1439">
            <v>109842</v>
          </cell>
          <cell r="C1439">
            <v>868</v>
          </cell>
          <cell r="D1439" t="str">
            <v>Windsor and Maidenhead</v>
          </cell>
          <cell r="E1439">
            <v>2108</v>
          </cell>
          <cell r="F1439" t="str">
            <v>Darren Francis</v>
          </cell>
          <cell r="G1439" t="str">
            <v>Furze Platt Junior School</v>
          </cell>
          <cell r="H1439" t="str">
            <v>South East</v>
          </cell>
          <cell r="I1439" t="str">
            <v>Oaken Grove</v>
          </cell>
          <cell r="L1439" t="str">
            <v>Maidenhead</v>
          </cell>
          <cell r="M1439" t="str">
            <v>Berkshire</v>
          </cell>
          <cell r="N1439" t="str">
            <v>SL6 6HQ</v>
          </cell>
          <cell r="O1439" t="str">
            <v>jaqup001@rbwm.org</v>
          </cell>
        </row>
        <row r="1440">
          <cell r="A1440">
            <v>3132073</v>
          </cell>
          <cell r="B1440">
            <v>102520</v>
          </cell>
          <cell r="C1440">
            <v>313</v>
          </cell>
          <cell r="D1440" t="str">
            <v>Hounslow</v>
          </cell>
          <cell r="E1440">
            <v>2073</v>
          </cell>
          <cell r="F1440" t="str">
            <v>Sheila Longstaff</v>
          </cell>
          <cell r="G1440" t="str">
            <v>Beavers Community Primary School</v>
          </cell>
          <cell r="H1440" t="str">
            <v>London</v>
          </cell>
          <cell r="I1440" t="str">
            <v>Arundel Road</v>
          </cell>
          <cell r="L1440" t="str">
            <v>Hounslow</v>
          </cell>
          <cell r="N1440" t="str">
            <v>TW4 6HR</v>
          </cell>
          <cell r="O1440" t="str">
            <v>head@beavers.hounslow.sch.uk</v>
          </cell>
        </row>
        <row r="1441">
          <cell r="A1441">
            <v>3092029</v>
          </cell>
          <cell r="B1441">
            <v>102097</v>
          </cell>
          <cell r="C1441">
            <v>309</v>
          </cell>
          <cell r="D1441" t="str">
            <v>Haringey</v>
          </cell>
          <cell r="E1441">
            <v>2029</v>
          </cell>
          <cell r="F1441" t="str">
            <v>Helen Fisher</v>
          </cell>
          <cell r="G1441" t="str">
            <v>Coldfall Primary School</v>
          </cell>
          <cell r="H1441" t="str">
            <v>London</v>
          </cell>
          <cell r="I1441" t="str">
            <v>Coldfall Avenue</v>
          </cell>
          <cell r="J1441" t="str">
            <v>Muswell Hill</v>
          </cell>
          <cell r="L1441" t="str">
            <v>London</v>
          </cell>
          <cell r="N1441" t="str">
            <v>N10 1HS</v>
          </cell>
          <cell r="O1441" t="str">
            <v>e.davies@coldfall.haringey.sch.uk</v>
          </cell>
        </row>
        <row r="1442">
          <cell r="A1442">
            <v>8652193</v>
          </cell>
          <cell r="B1442">
            <v>126267</v>
          </cell>
          <cell r="C1442">
            <v>865</v>
          </cell>
          <cell r="D1442" t="str">
            <v>Wiltshire</v>
          </cell>
          <cell r="E1442">
            <v>2193</v>
          </cell>
          <cell r="F1442" t="str">
            <v>Simon Foster</v>
          </cell>
          <cell r="G1442" t="str">
            <v>Wansdyke Community School</v>
          </cell>
          <cell r="H1442" t="str">
            <v>South West</v>
          </cell>
          <cell r="I1442" t="str">
            <v>Downlands Road</v>
          </cell>
          <cell r="L1442" t="str">
            <v>Devizes</v>
          </cell>
          <cell r="M1442" t="str">
            <v>Wiltshire</v>
          </cell>
          <cell r="N1442" t="str">
            <v>SN10 5EF</v>
          </cell>
          <cell r="O1442" t="str">
            <v>headteacher@wansdyke.wilts.sch.uk</v>
          </cell>
          <cell r="P1442">
            <v>41003</v>
          </cell>
        </row>
        <row r="1443">
          <cell r="A1443">
            <v>8103302</v>
          </cell>
          <cell r="B1443">
            <v>118031</v>
          </cell>
          <cell r="C1443">
            <v>810</v>
          </cell>
          <cell r="D1443" t="str">
            <v>Kingston upon Hull City of</v>
          </cell>
          <cell r="E1443">
            <v>3302</v>
          </cell>
          <cell r="F1443" t="str">
            <v>Glyn Newton</v>
          </cell>
          <cell r="G1443" t="str">
            <v>Newland St John CofE Primary School</v>
          </cell>
          <cell r="H1443" t="str">
            <v>Yorkshire and the Humber</v>
          </cell>
          <cell r="I1443" t="str">
            <v>Beresford Avenue</v>
          </cell>
          <cell r="L1443" t="str">
            <v>Hull</v>
          </cell>
          <cell r="N1443" t="str">
            <v>HU6 7LS</v>
          </cell>
          <cell r="O1443" t="str">
            <v>head@nsj.hull.sch.uk</v>
          </cell>
        </row>
        <row r="1444">
          <cell r="A1444">
            <v>8224127</v>
          </cell>
          <cell r="B1444">
            <v>109693</v>
          </cell>
          <cell r="C1444">
            <v>822</v>
          </cell>
          <cell r="D1444" t="str">
            <v>Bedford</v>
          </cell>
          <cell r="E1444">
            <v>4127</v>
          </cell>
          <cell r="F1444" t="str">
            <v>Michael Cook</v>
          </cell>
          <cell r="G1444" t="str">
            <v>Harrowden Middle School</v>
          </cell>
          <cell r="H1444" t="str">
            <v>East of England</v>
          </cell>
          <cell r="I1444" t="str">
            <v>Oak Road</v>
          </cell>
          <cell r="L1444" t="str">
            <v>Bedford</v>
          </cell>
          <cell r="M1444" t="str">
            <v>Bedfordshire</v>
          </cell>
          <cell r="N1444" t="str">
            <v>MK42 0HH</v>
          </cell>
          <cell r="O1444" t="str">
            <v>dmurphy@harrowden.beds.sch.uk</v>
          </cell>
        </row>
        <row r="1445">
          <cell r="A1445">
            <v>9312578</v>
          </cell>
          <cell r="B1445">
            <v>123071</v>
          </cell>
          <cell r="C1445">
            <v>931</v>
          </cell>
          <cell r="D1445" t="str">
            <v>Oxfordshire</v>
          </cell>
          <cell r="E1445">
            <v>2578</v>
          </cell>
          <cell r="F1445" t="str">
            <v>Sarah Nairne</v>
          </cell>
          <cell r="G1445" t="str">
            <v>Fir Tree Junior School</v>
          </cell>
          <cell r="H1445" t="str">
            <v>South East</v>
          </cell>
          <cell r="I1445" t="str">
            <v>Radnor Road</v>
          </cell>
          <cell r="L1445" t="str">
            <v>Wallingford</v>
          </cell>
          <cell r="M1445" t="str">
            <v>Oxfordshire</v>
          </cell>
          <cell r="N1445" t="str">
            <v>OX10 0NY</v>
          </cell>
        </row>
        <row r="1446">
          <cell r="A1446">
            <v>9373035</v>
          </cell>
          <cell r="B1446">
            <v>125637</v>
          </cell>
          <cell r="C1446">
            <v>937</v>
          </cell>
          <cell r="D1446" t="str">
            <v>Warwickshire</v>
          </cell>
          <cell r="E1446">
            <v>3035</v>
          </cell>
          <cell r="F1446" t="str">
            <v>Carla Spink</v>
          </cell>
          <cell r="G1446" t="str">
            <v>Ilmington CofE Primary School</v>
          </cell>
          <cell r="H1446" t="str">
            <v>West Midlands</v>
          </cell>
          <cell r="I1446" t="str">
            <v>Back Street</v>
          </cell>
          <cell r="J1446" t="str">
            <v>Ilmington</v>
          </cell>
          <cell r="L1446" t="str">
            <v>Shipston-on-Stour</v>
          </cell>
          <cell r="M1446" t="str">
            <v>Warwickshire</v>
          </cell>
          <cell r="N1446" t="str">
            <v>CV36 4LJ</v>
          </cell>
          <cell r="O1446" t="str">
            <v>sally.naish@btinternet.com</v>
          </cell>
        </row>
        <row r="1447">
          <cell r="A1447">
            <v>8842096</v>
          </cell>
          <cell r="B1447">
            <v>116701</v>
          </cell>
          <cell r="C1447">
            <v>884</v>
          </cell>
          <cell r="D1447" t="str">
            <v>Herefordshire</v>
          </cell>
          <cell r="E1447">
            <v>2096</v>
          </cell>
          <cell r="F1447" t="str">
            <v>Hannah Copp</v>
          </cell>
          <cell r="G1447" t="str">
            <v>Kington Primary School</v>
          </cell>
          <cell r="H1447" t="str">
            <v>West Midlands</v>
          </cell>
          <cell r="I1447" t="str">
            <v>Mill Street</v>
          </cell>
          <cell r="L1447" t="str">
            <v>Kington</v>
          </cell>
          <cell r="M1447" t="str">
            <v>Herefordshire</v>
          </cell>
          <cell r="N1447" t="str">
            <v>HR5 3AL</v>
          </cell>
          <cell r="O1447" t="str">
            <v>admin@kington-primary.hereford.sch.uk</v>
          </cell>
          <cell r="P1447">
            <v>40701</v>
          </cell>
        </row>
        <row r="1448">
          <cell r="A1448">
            <v>8865437</v>
          </cell>
          <cell r="B1448">
            <v>118909</v>
          </cell>
          <cell r="C1448">
            <v>886</v>
          </cell>
          <cell r="D1448" t="str">
            <v>Kent</v>
          </cell>
          <cell r="E1448">
            <v>5437</v>
          </cell>
          <cell r="F1448" t="str">
            <v>Maryam Jabbari</v>
          </cell>
          <cell r="G1448" t="str">
            <v>The Folkestone School for Girls</v>
          </cell>
          <cell r="H1448" t="str">
            <v>South East</v>
          </cell>
          <cell r="I1448" t="str">
            <v>Coolinge Lane</v>
          </cell>
          <cell r="L1448" t="str">
            <v>Folkestone</v>
          </cell>
          <cell r="M1448" t="str">
            <v>Kent</v>
          </cell>
          <cell r="N1448" t="str">
            <v>CT20 3RB</v>
          </cell>
          <cell r="O1448" t="str">
            <v>cstubbings@folkestonegirls.kent.sch.uk</v>
          </cell>
          <cell r="P1448">
            <v>40589</v>
          </cell>
        </row>
        <row r="1449">
          <cell r="A1449">
            <v>3054002</v>
          </cell>
          <cell r="B1449">
            <v>101657</v>
          </cell>
          <cell r="C1449">
            <v>305</v>
          </cell>
          <cell r="D1449" t="str">
            <v>Bromley</v>
          </cell>
          <cell r="E1449">
            <v>4002</v>
          </cell>
          <cell r="F1449" t="str">
            <v>Beverley Samuel</v>
          </cell>
          <cell r="G1449" t="str">
            <v>Cator Park School</v>
          </cell>
          <cell r="H1449" t="str">
            <v>London</v>
          </cell>
          <cell r="I1449" t="str">
            <v>Lennard Road</v>
          </cell>
          <cell r="L1449" t="str">
            <v>Beckenham</v>
          </cell>
          <cell r="M1449" t="str">
            <v>Kent</v>
          </cell>
          <cell r="N1449" t="str">
            <v>BR3 1QR</v>
          </cell>
          <cell r="O1449" t="str">
            <v>office@catorpark.bromley.sch.uk</v>
          </cell>
          <cell r="P1449">
            <v>40624</v>
          </cell>
        </row>
        <row r="1450">
          <cell r="A1450">
            <v>9162043</v>
          </cell>
          <cell r="B1450">
            <v>115503</v>
          </cell>
          <cell r="C1450">
            <v>916</v>
          </cell>
          <cell r="D1450" t="str">
            <v>Gloucestershire</v>
          </cell>
          <cell r="E1450">
            <v>2043</v>
          </cell>
          <cell r="F1450" t="str">
            <v>Theresa Oddelm</v>
          </cell>
          <cell r="G1450" t="str">
            <v>Berkeley Primary School</v>
          </cell>
          <cell r="H1450" t="str">
            <v>South West</v>
          </cell>
          <cell r="I1450" t="str">
            <v>Marybrook Street</v>
          </cell>
          <cell r="L1450" t="str">
            <v>Berkeley</v>
          </cell>
          <cell r="M1450" t="str">
            <v>Gloucestershire</v>
          </cell>
          <cell r="N1450" t="str">
            <v>GL13 9AZ</v>
          </cell>
          <cell r="O1450" t="str">
            <v>head@berkeley.gloucs.sch.uk</v>
          </cell>
        </row>
        <row r="1451">
          <cell r="A1451">
            <v>3832405</v>
          </cell>
          <cell r="B1451">
            <v>107881</v>
          </cell>
          <cell r="C1451">
            <v>383</v>
          </cell>
          <cell r="D1451" t="str">
            <v>Leeds</v>
          </cell>
          <cell r="E1451">
            <v>2405</v>
          </cell>
          <cell r="F1451" t="str">
            <v>Bev Annables</v>
          </cell>
          <cell r="G1451" t="str">
            <v>Otley the Whartons Primary School</v>
          </cell>
          <cell r="H1451" t="str">
            <v>Yorkshire and the Humber</v>
          </cell>
          <cell r="I1451" t="str">
            <v>The Whartons</v>
          </cell>
          <cell r="L1451" t="str">
            <v>Otley</v>
          </cell>
          <cell r="M1451" t="str">
            <v>West Yorkshire</v>
          </cell>
          <cell r="N1451" t="str">
            <v>LS21 2BS</v>
          </cell>
          <cell r="O1451" t="str">
            <v>vincenjs01@leedslearning.net</v>
          </cell>
        </row>
        <row r="1452">
          <cell r="A1452">
            <v>9253166</v>
          </cell>
          <cell r="B1452">
            <v>120595</v>
          </cell>
          <cell r="C1452">
            <v>925</v>
          </cell>
          <cell r="D1452" t="str">
            <v>Lincolnshire</v>
          </cell>
          <cell r="E1452">
            <v>3166</v>
          </cell>
          <cell r="F1452" t="str">
            <v>Helen Whetter</v>
          </cell>
          <cell r="G1452" t="str">
            <v>Ellison Boulters Church of England Primary School</v>
          </cell>
          <cell r="H1452" t="str">
            <v>East Midlands</v>
          </cell>
          <cell r="I1452" t="str">
            <v>Sudbrooke Road</v>
          </cell>
          <cell r="J1452" t="str">
            <v>Scothern</v>
          </cell>
          <cell r="L1452" t="str">
            <v>Lincoln</v>
          </cell>
          <cell r="M1452" t="str">
            <v>Lincolnshire</v>
          </cell>
          <cell r="N1452" t="str">
            <v>LN2 2UZ</v>
          </cell>
          <cell r="O1452" t="str">
            <v>jenny.wheeldon@ellison-boulters.lincs.sch.uk</v>
          </cell>
          <cell r="P1452">
            <v>41054</v>
          </cell>
        </row>
        <row r="1453">
          <cell r="A1453">
            <v>9265218</v>
          </cell>
          <cell r="B1453">
            <v>120857</v>
          </cell>
          <cell r="C1453">
            <v>926</v>
          </cell>
          <cell r="D1453" t="str">
            <v>Norfolk</v>
          </cell>
          <cell r="E1453">
            <v>5218</v>
          </cell>
          <cell r="F1453" t="str">
            <v>Not yet assigned</v>
          </cell>
          <cell r="G1453" t="str">
            <v>Thompson Primary School</v>
          </cell>
          <cell r="H1453" t="str">
            <v>East of England</v>
          </cell>
          <cell r="I1453" t="str">
            <v>School Road</v>
          </cell>
          <cell r="J1453" t="str">
            <v>Thompson</v>
          </cell>
          <cell r="L1453" t="str">
            <v>Thetford</v>
          </cell>
          <cell r="M1453" t="str">
            <v>Norfolk</v>
          </cell>
          <cell r="N1453" t="str">
            <v>IP24 1PY</v>
          </cell>
          <cell r="O1453" t="str">
            <v>head@thompson.norfolk.sch.uk</v>
          </cell>
        </row>
        <row r="1454">
          <cell r="A1454">
            <v>8507073</v>
          </cell>
          <cell r="B1454">
            <v>116640</v>
          </cell>
          <cell r="C1454">
            <v>850</v>
          </cell>
          <cell r="D1454" t="str">
            <v>Hampshire</v>
          </cell>
          <cell r="E1454">
            <v>7073</v>
          </cell>
          <cell r="F1454" t="str">
            <v>Amanda Barrett</v>
          </cell>
          <cell r="G1454" t="str">
            <v>Samuel Cody Specialist Sports College</v>
          </cell>
          <cell r="H1454" t="str">
            <v>South East</v>
          </cell>
          <cell r="I1454" t="str">
            <v>Lynchford Road</v>
          </cell>
          <cell r="L1454" t="str">
            <v>Farnborough</v>
          </cell>
          <cell r="M1454" t="str">
            <v>Hampshire</v>
          </cell>
          <cell r="N1454" t="str">
            <v>GU14 6BJ</v>
          </cell>
          <cell r="O1454" t="str">
            <v>anna.dawson@samuelcody.hants.sch.uk</v>
          </cell>
        </row>
        <row r="1455">
          <cell r="A1455">
            <v>9162051</v>
          </cell>
          <cell r="B1455">
            <v>115510</v>
          </cell>
          <cell r="C1455">
            <v>916</v>
          </cell>
          <cell r="D1455" t="str">
            <v>Gloucestershire</v>
          </cell>
          <cell r="E1455">
            <v>2051</v>
          </cell>
          <cell r="F1455" t="str">
            <v>Not yet assigned</v>
          </cell>
          <cell r="G1455" t="str">
            <v>Churcham Primary School</v>
          </cell>
          <cell r="H1455" t="str">
            <v>South West</v>
          </cell>
          <cell r="I1455" t="str">
            <v>Churcham</v>
          </cell>
          <cell r="L1455" t="str">
            <v>Gloucester</v>
          </cell>
          <cell r="M1455" t="str">
            <v>Gloucestershire</v>
          </cell>
          <cell r="N1455" t="str">
            <v>GL2 8BD</v>
          </cell>
          <cell r="O1455" t="str">
            <v>head@churcham.gloucs.sch.uk</v>
          </cell>
        </row>
        <row r="1456">
          <cell r="A1456">
            <v>9163073</v>
          </cell>
          <cell r="B1456">
            <v>115654</v>
          </cell>
          <cell r="C1456">
            <v>916</v>
          </cell>
          <cell r="D1456" t="str">
            <v>Gloucestershire</v>
          </cell>
          <cell r="E1456">
            <v>3073</v>
          </cell>
          <cell r="F1456" t="str">
            <v>Nigel Mills</v>
          </cell>
          <cell r="G1456" t="str">
            <v>Tewkesbury Church of England Primary School</v>
          </cell>
          <cell r="H1456" t="str">
            <v>South West</v>
          </cell>
          <cell r="I1456" t="str">
            <v>Chance Street</v>
          </cell>
          <cell r="L1456" t="str">
            <v>Tewkesbury</v>
          </cell>
          <cell r="M1456" t="str">
            <v>Gloucestershire</v>
          </cell>
          <cell r="N1456" t="str">
            <v>GL20 5RQ</v>
          </cell>
          <cell r="O1456" t="str">
            <v xml:space="preserve"> head@tewkesbury-pri.gloucs.sch.uk</v>
          </cell>
          <cell r="P1456">
            <v>40750</v>
          </cell>
        </row>
        <row r="1457">
          <cell r="A1457">
            <v>8255402</v>
          </cell>
          <cell r="B1457">
            <v>110528</v>
          </cell>
          <cell r="C1457">
            <v>825</v>
          </cell>
          <cell r="D1457" t="str">
            <v>Buckinghamshire</v>
          </cell>
          <cell r="E1457">
            <v>5402</v>
          </cell>
          <cell r="F1457" t="str">
            <v>Darren Francis</v>
          </cell>
          <cell r="G1457" t="str">
            <v>Beaconsfield High School</v>
          </cell>
          <cell r="H1457" t="str">
            <v>South East</v>
          </cell>
          <cell r="I1457" t="str">
            <v>Wattleton Road</v>
          </cell>
          <cell r="L1457" t="str">
            <v>Beaconsfield</v>
          </cell>
          <cell r="M1457" t="str">
            <v>Buckinghamshire</v>
          </cell>
          <cell r="N1457" t="str">
            <v>HP9 1RR</v>
          </cell>
          <cell r="O1457" t="str">
            <v>France-A@beaconsfieldhigh.bucks.sch.uk</v>
          </cell>
        </row>
        <row r="1458">
          <cell r="A1458">
            <v>9362093</v>
          </cell>
          <cell r="B1458">
            <v>124961</v>
          </cell>
          <cell r="C1458">
            <v>936</v>
          </cell>
          <cell r="D1458" t="str">
            <v>Surrey</v>
          </cell>
          <cell r="E1458">
            <v>2093</v>
          </cell>
          <cell r="F1458" t="str">
            <v>Gabriela Grimley</v>
          </cell>
          <cell r="G1458" t="str">
            <v>West Ewell Infant School</v>
          </cell>
          <cell r="H1458" t="str">
            <v>South East</v>
          </cell>
          <cell r="I1458" t="str">
            <v>Ruxley Lane</v>
          </cell>
          <cell r="J1458" t="str">
            <v>West Ewell</v>
          </cell>
          <cell r="L1458" t="str">
            <v>Epsom</v>
          </cell>
          <cell r="M1458" t="str">
            <v>Surrey</v>
          </cell>
          <cell r="N1458" t="str">
            <v>KT19 0UY</v>
          </cell>
          <cell r="O1458" t="str">
            <v>head@west-ewell.surrey.sch.uk</v>
          </cell>
        </row>
        <row r="1459">
          <cell r="A1459">
            <v>8512715</v>
          </cell>
          <cell r="B1459">
            <v>116222</v>
          </cell>
          <cell r="C1459">
            <v>851</v>
          </cell>
          <cell r="D1459" t="str">
            <v>Portsmouth</v>
          </cell>
          <cell r="E1459">
            <v>2715</v>
          </cell>
          <cell r="F1459" t="str">
            <v>Eric Mcewen</v>
          </cell>
          <cell r="G1459" t="str">
            <v>Meon Junior School</v>
          </cell>
          <cell r="H1459" t="str">
            <v>South East</v>
          </cell>
          <cell r="I1459" t="str">
            <v>Shelford Road</v>
          </cell>
          <cell r="J1459" t="str">
            <v>Southsea</v>
          </cell>
          <cell r="L1459" t="str">
            <v>Portsmouth</v>
          </cell>
          <cell r="M1459" t="str">
            <v>Hampshire</v>
          </cell>
          <cell r="N1459" t="str">
            <v>PO4 8NT</v>
          </cell>
          <cell r="O1459" t="str">
            <v>head@meon-jun.portsmouth.sch.uk</v>
          </cell>
        </row>
        <row r="1460">
          <cell r="A1460">
            <v>9282210</v>
          </cell>
          <cell r="B1460">
            <v>121945</v>
          </cell>
          <cell r="C1460">
            <v>928</v>
          </cell>
          <cell r="D1460" t="str">
            <v>Northamptonshire</v>
          </cell>
          <cell r="E1460">
            <v>2210</v>
          </cell>
          <cell r="F1460" t="str">
            <v>Stephen Standret</v>
          </cell>
          <cell r="G1460" t="str">
            <v>Duston Eldean Primary School</v>
          </cell>
          <cell r="H1460" t="str">
            <v>East Midlands</v>
          </cell>
          <cell r="I1460" t="str">
            <v>Main Road</v>
          </cell>
          <cell r="J1460" t="str">
            <v>Duston</v>
          </cell>
          <cell r="L1460" t="str">
            <v>Northampton</v>
          </cell>
          <cell r="M1460" t="str">
            <v>Northamptonshire</v>
          </cell>
          <cell r="N1460" t="str">
            <v>NN5 6PP</v>
          </cell>
        </row>
        <row r="1461">
          <cell r="A1461">
            <v>3124600</v>
          </cell>
          <cell r="B1461">
            <v>102429</v>
          </cell>
          <cell r="C1461">
            <v>312</v>
          </cell>
          <cell r="D1461" t="str">
            <v>Hillingdon</v>
          </cell>
          <cell r="E1461">
            <v>4600</v>
          </cell>
          <cell r="F1461" t="str">
            <v>Tahir Shams</v>
          </cell>
          <cell r="G1461" t="str">
            <v>Bishop Ramsey CofE Voluntary Aided Secondary School</v>
          </cell>
          <cell r="H1461" t="str">
            <v>London</v>
          </cell>
          <cell r="I1461" t="str">
            <v>Hume Way</v>
          </cell>
          <cell r="L1461" t="str">
            <v>Ruislip</v>
          </cell>
          <cell r="N1461" t="str">
            <v>HA4 8EE</v>
          </cell>
          <cell r="O1461" t="str">
            <v>awilcock@hillingdongrid.org</v>
          </cell>
          <cell r="P1461">
            <v>40647</v>
          </cell>
        </row>
        <row r="1462">
          <cell r="A1462">
            <v>9284005</v>
          </cell>
          <cell r="B1462">
            <v>134177</v>
          </cell>
          <cell r="C1462">
            <v>928</v>
          </cell>
          <cell r="D1462" t="str">
            <v>Northamptonshire</v>
          </cell>
          <cell r="E1462">
            <v>4005</v>
          </cell>
          <cell r="F1462" t="str">
            <v>Linda Brooks</v>
          </cell>
          <cell r="G1462" t="str">
            <v>Caroline Chisholm School</v>
          </cell>
          <cell r="H1462" t="str">
            <v>East Midlands</v>
          </cell>
          <cell r="I1462" t="str">
            <v>Wooldale Road</v>
          </cell>
          <cell r="J1462" t="str">
            <v>Wootton Fields</v>
          </cell>
          <cell r="L1462" t="str">
            <v>Northampton</v>
          </cell>
          <cell r="M1462" t="str">
            <v>Northamptonshire</v>
          </cell>
          <cell r="N1462" t="str">
            <v>NN4 6TP</v>
          </cell>
          <cell r="O1462" t="str">
            <v>tdowning@ccs.northants.sch.uk</v>
          </cell>
          <cell r="P1462">
            <v>40504</v>
          </cell>
        </row>
        <row r="1463">
          <cell r="A1463">
            <v>9282170</v>
          </cell>
          <cell r="B1463">
            <v>121917</v>
          </cell>
          <cell r="C1463">
            <v>928</v>
          </cell>
          <cell r="D1463" t="str">
            <v>Northamptonshire</v>
          </cell>
          <cell r="E1463">
            <v>2170</v>
          </cell>
          <cell r="F1463" t="str">
            <v>Sue Harp</v>
          </cell>
          <cell r="G1463" t="str">
            <v>Queen Eleanor Primary School</v>
          </cell>
          <cell r="H1463" t="str">
            <v>East Midlands</v>
          </cell>
          <cell r="I1463" t="str">
            <v>Queen Eleanor Road</v>
          </cell>
          <cell r="L1463" t="str">
            <v>Northampton</v>
          </cell>
          <cell r="M1463" t="str">
            <v>Northamptonshire</v>
          </cell>
          <cell r="N1463" t="str">
            <v>NN4 8NN</v>
          </cell>
          <cell r="O1463" t="str">
            <v>head@queeneleanor.northants-ecl.gov.uk</v>
          </cell>
        </row>
        <row r="1464">
          <cell r="A1464">
            <v>8552355</v>
          </cell>
          <cell r="B1464">
            <v>120080</v>
          </cell>
          <cell r="C1464">
            <v>855</v>
          </cell>
          <cell r="D1464" t="str">
            <v>Leicestershire</v>
          </cell>
          <cell r="E1464">
            <v>2355</v>
          </cell>
          <cell r="F1464" t="str">
            <v>Helen Whetter</v>
          </cell>
          <cell r="G1464" t="str">
            <v>Parkland Primary School South Wigston</v>
          </cell>
          <cell r="H1464" t="str">
            <v>East Midlands</v>
          </cell>
          <cell r="I1464" t="str">
            <v>St Thomas Road</v>
          </cell>
          <cell r="J1464" t="str">
            <v>South Wigston</v>
          </cell>
          <cell r="L1464" t="str">
            <v>Wigston</v>
          </cell>
          <cell r="M1464" t="str">
            <v>Leicestershire</v>
          </cell>
          <cell r="N1464" t="str">
            <v>LE18 4TA</v>
          </cell>
          <cell r="O1464" t="str">
            <v>head.teacher@parkland.leics.sch.uk</v>
          </cell>
          <cell r="P1464">
            <v>40879</v>
          </cell>
        </row>
        <row r="1465">
          <cell r="A1465">
            <v>3202013</v>
          </cell>
          <cell r="B1465">
            <v>134213</v>
          </cell>
          <cell r="C1465">
            <v>320</v>
          </cell>
          <cell r="D1465" t="str">
            <v>Waltham Forest</v>
          </cell>
          <cell r="E1465">
            <v>2013</v>
          </cell>
          <cell r="F1465" t="str">
            <v>Bola Bakrin</v>
          </cell>
          <cell r="G1465" t="str">
            <v>Woodside School</v>
          </cell>
          <cell r="H1465" t="str">
            <v>London</v>
          </cell>
          <cell r="I1465" t="str">
            <v>Wood Street</v>
          </cell>
          <cell r="L1465" t="str">
            <v>London</v>
          </cell>
          <cell r="N1465" t="str">
            <v>E17 3JX</v>
          </cell>
          <cell r="O1465" t="str">
            <v>info@woodside.waltham.sch.uk</v>
          </cell>
        </row>
        <row r="1466">
          <cell r="A1466">
            <v>9252072</v>
          </cell>
          <cell r="B1466">
            <v>120402</v>
          </cell>
          <cell r="C1466">
            <v>925</v>
          </cell>
          <cell r="D1466" t="str">
            <v>Lincolnshire</v>
          </cell>
          <cell r="E1466">
            <v>2072</v>
          </cell>
          <cell r="F1466" t="str">
            <v>Helen Whetter</v>
          </cell>
          <cell r="G1466" t="str">
            <v>Bourne Westfield Primary School</v>
          </cell>
          <cell r="H1466" t="str">
            <v>East Midlands</v>
          </cell>
          <cell r="I1466" t="str">
            <v>Westbourne Park</v>
          </cell>
          <cell r="L1466" t="str">
            <v>Bourne</v>
          </cell>
          <cell r="M1466" t="str">
            <v>Lincolnshire</v>
          </cell>
          <cell r="N1466" t="str">
            <v>PE10 9QS</v>
          </cell>
          <cell r="O1466" t="str">
            <v>tim.bright@bournewestfield.lincs.sch.uk</v>
          </cell>
          <cell r="P1466">
            <v>40704</v>
          </cell>
        </row>
        <row r="1467">
          <cell r="A1467">
            <v>9317027</v>
          </cell>
          <cell r="B1467">
            <v>123342</v>
          </cell>
          <cell r="C1467">
            <v>931</v>
          </cell>
          <cell r="D1467" t="str">
            <v>Oxfordshire</v>
          </cell>
          <cell r="E1467">
            <v>7027</v>
          </cell>
          <cell r="F1467" t="str">
            <v>Sanjiv Jhalla</v>
          </cell>
          <cell r="G1467" t="str">
            <v>Fitzwaryn School</v>
          </cell>
          <cell r="H1467" t="str">
            <v>South East</v>
          </cell>
          <cell r="I1467" t="str">
            <v>Denchworth Road</v>
          </cell>
          <cell r="L1467" t="str">
            <v>Wantage</v>
          </cell>
          <cell r="M1467" t="str">
            <v>Oxfordshire</v>
          </cell>
          <cell r="N1467" t="str">
            <v>OX12 9ET</v>
          </cell>
          <cell r="P1467">
            <v>41033</v>
          </cell>
        </row>
        <row r="1468">
          <cell r="A1468">
            <v>9192266</v>
          </cell>
          <cell r="B1468">
            <v>117245</v>
          </cell>
          <cell r="C1468">
            <v>919</v>
          </cell>
          <cell r="D1468" t="str">
            <v>Hertfordshire</v>
          </cell>
          <cell r="E1468">
            <v>2266</v>
          </cell>
          <cell r="F1468" t="str">
            <v>Joe Farrell</v>
          </cell>
          <cell r="G1468" t="str">
            <v>Eastbury Farm JMI School</v>
          </cell>
          <cell r="H1468" t="str">
            <v>East of England</v>
          </cell>
          <cell r="I1468" t="str">
            <v>Bishops Avenue</v>
          </cell>
          <cell r="L1468" t="str">
            <v>Northwood</v>
          </cell>
          <cell r="N1468" t="str">
            <v>HA6 3DG</v>
          </cell>
          <cell r="O1468" t="str">
            <v>head@eastburyfarm.herts.sch.uk</v>
          </cell>
        </row>
        <row r="1469">
          <cell r="A1469">
            <v>3844028</v>
          </cell>
          <cell r="B1469">
            <v>108280</v>
          </cell>
          <cell r="C1469">
            <v>384</v>
          </cell>
          <cell r="D1469" t="str">
            <v>Wakefield</v>
          </cell>
          <cell r="E1469">
            <v>4028</v>
          </cell>
          <cell r="F1469" t="str">
            <v>Jayne Turner</v>
          </cell>
          <cell r="G1469" t="str">
            <v>Horbury School - A Specialist Language College</v>
          </cell>
          <cell r="H1469" t="str">
            <v>Yorkshire and the Humber</v>
          </cell>
          <cell r="I1469" t="str">
            <v>Wakefield Road</v>
          </cell>
          <cell r="J1469" t="str">
            <v>Horbury</v>
          </cell>
          <cell r="L1469" t="str">
            <v>Wakefield</v>
          </cell>
          <cell r="M1469" t="str">
            <v>West Yorkshire</v>
          </cell>
          <cell r="N1469" t="str">
            <v>WF4 5HE</v>
          </cell>
          <cell r="O1469" t="str">
            <v>moakley@horbury.wakefield.sch.uk</v>
          </cell>
          <cell r="P1469">
            <v>40973</v>
          </cell>
        </row>
        <row r="1470">
          <cell r="A1470">
            <v>3514007</v>
          </cell>
          <cell r="B1470">
            <v>105355</v>
          </cell>
          <cell r="C1470">
            <v>351</v>
          </cell>
          <cell r="D1470" t="str">
            <v>Bury</v>
          </cell>
          <cell r="E1470">
            <v>4007</v>
          </cell>
          <cell r="F1470" t="str">
            <v>Viv Clutton</v>
          </cell>
          <cell r="G1470" t="str">
            <v>The Derby High School Science &amp; Arts College</v>
          </cell>
          <cell r="H1470" t="str">
            <v>North West</v>
          </cell>
          <cell r="I1470" t="str">
            <v>Radcliffe Road</v>
          </cell>
          <cell r="L1470" t="str">
            <v>Bury</v>
          </cell>
          <cell r="M1470" t="str">
            <v>Lancashire</v>
          </cell>
          <cell r="N1470" t="str">
            <v>BL9 9NH</v>
          </cell>
          <cell r="O1470" t="str">
            <v>a.e.byrne@bury.gov.uk</v>
          </cell>
        </row>
        <row r="1471">
          <cell r="A1471">
            <v>3342057</v>
          </cell>
          <cell r="B1471">
            <v>104064</v>
          </cell>
          <cell r="C1471">
            <v>334</v>
          </cell>
          <cell r="D1471" t="str">
            <v>Solihull</v>
          </cell>
          <cell r="E1471">
            <v>2057</v>
          </cell>
          <cell r="F1471" t="str">
            <v>Ruth Pallister</v>
          </cell>
          <cell r="G1471" t="str">
            <v>Hockley Heath Primary School</v>
          </cell>
          <cell r="H1471" t="str">
            <v>West Midlands</v>
          </cell>
          <cell r="I1471" t="str">
            <v>School Road</v>
          </cell>
          <cell r="J1471" t="str">
            <v>Hockley Heath</v>
          </cell>
          <cell r="L1471" t="str">
            <v>Solihull</v>
          </cell>
          <cell r="M1471" t="str">
            <v>West Midlands</v>
          </cell>
          <cell r="N1471" t="str">
            <v>B94 6RA</v>
          </cell>
          <cell r="O1471" t="str">
            <v>office@hockley-heath.solihull.sch.uk</v>
          </cell>
          <cell r="P1471">
            <v>40931</v>
          </cell>
        </row>
        <row r="1472">
          <cell r="A1472">
            <v>8952211</v>
          </cell>
          <cell r="B1472">
            <v>111069</v>
          </cell>
          <cell r="C1472">
            <v>895</v>
          </cell>
          <cell r="D1472" t="str">
            <v>Cheshire East</v>
          </cell>
          <cell r="E1472">
            <v>2211</v>
          </cell>
          <cell r="F1472" t="str">
            <v>Kris Nursiah</v>
          </cell>
          <cell r="G1472" t="str">
            <v>Hungerford Primary School</v>
          </cell>
          <cell r="H1472" t="str">
            <v>North West</v>
          </cell>
          <cell r="I1472" t="str">
            <v>School Crescent</v>
          </cell>
          <cell r="J1472" t="str">
            <v>Hungerford Road</v>
          </cell>
          <cell r="L1472" t="str">
            <v>Crewe</v>
          </cell>
          <cell r="M1472" t="str">
            <v>Cheshire</v>
          </cell>
          <cell r="N1472" t="str">
            <v>CW1 5HA</v>
          </cell>
          <cell r="O1472" t="str">
            <v>head@hungerford.cheshire.sch.uk</v>
          </cell>
        </row>
        <row r="1473">
          <cell r="A1473">
            <v>9083878</v>
          </cell>
          <cell r="B1473">
            <v>112026</v>
          </cell>
          <cell r="C1473">
            <v>908</v>
          </cell>
          <cell r="D1473" t="str">
            <v>Cornwall</v>
          </cell>
          <cell r="E1473">
            <v>3878</v>
          </cell>
          <cell r="F1473" t="str">
            <v>Kate Bosher</v>
          </cell>
          <cell r="G1473" t="str">
            <v>Lerryn CofE Primary School</v>
          </cell>
          <cell r="H1473" t="str">
            <v>South West</v>
          </cell>
          <cell r="I1473" t="str">
            <v>Lerryn</v>
          </cell>
          <cell r="L1473" t="str">
            <v>Lostwithiel</v>
          </cell>
          <cell r="M1473" t="str">
            <v>Cornwall</v>
          </cell>
          <cell r="N1473" t="str">
            <v>PL22 0QA</v>
          </cell>
          <cell r="O1473" t="str">
            <v>head@lerryn.cornwall.sch.uk</v>
          </cell>
          <cell r="P1473">
            <v>41124</v>
          </cell>
        </row>
        <row r="1474">
          <cell r="A1474">
            <v>9364469</v>
          </cell>
          <cell r="B1474">
            <v>133404</v>
          </cell>
          <cell r="C1474">
            <v>936</v>
          </cell>
          <cell r="D1474" t="str">
            <v>Surrey</v>
          </cell>
          <cell r="E1474">
            <v>4469</v>
          </cell>
          <cell r="F1474" t="str">
            <v>Gabriela Grimley</v>
          </cell>
          <cell r="G1474" t="str">
            <v>Jubilee International High School</v>
          </cell>
          <cell r="H1474" t="str">
            <v>South East</v>
          </cell>
          <cell r="I1474" t="str">
            <v>School Lane</v>
          </cell>
          <cell r="L1474" t="str">
            <v>Addlestone</v>
          </cell>
          <cell r="M1474" t="str">
            <v>Surrey</v>
          </cell>
          <cell r="N1474" t="str">
            <v>KT15 1TE</v>
          </cell>
          <cell r="O1474" t="str">
            <v>g.balch@sky.com</v>
          </cell>
          <cell r="P1474">
            <v>40641</v>
          </cell>
        </row>
        <row r="1475">
          <cell r="A1475">
            <v>8923314</v>
          </cell>
          <cell r="B1475">
            <v>122779</v>
          </cell>
          <cell r="C1475">
            <v>892</v>
          </cell>
          <cell r="D1475" t="str">
            <v>Nottingham</v>
          </cell>
          <cell r="E1475">
            <v>3314</v>
          </cell>
          <cell r="F1475" t="str">
            <v>Grant Dyson</v>
          </cell>
          <cell r="G1475" t="str">
            <v>St Augustine's Catholic Primary and Nursery School</v>
          </cell>
          <cell r="H1475" t="str">
            <v>East Midlands</v>
          </cell>
          <cell r="I1475" t="str">
            <v>Park Avenue</v>
          </cell>
          <cell r="J1475" t="str">
            <v>Mapperley Road</v>
          </cell>
          <cell r="L1475" t="str">
            <v>Nottingham</v>
          </cell>
          <cell r="M1475" t="str">
            <v>Nottinghamshire</v>
          </cell>
          <cell r="N1475" t="str">
            <v>NG3 4JS</v>
          </cell>
          <cell r="O1475" t="str">
            <v>headteacher@st-augustines.nottingham.sch.uk</v>
          </cell>
        </row>
        <row r="1476">
          <cell r="A1476">
            <v>8232129</v>
          </cell>
          <cell r="B1476">
            <v>109484</v>
          </cell>
          <cell r="C1476">
            <v>823</v>
          </cell>
          <cell r="D1476" t="str">
            <v>Central Bedfordshire</v>
          </cell>
          <cell r="E1476">
            <v>2129</v>
          </cell>
          <cell r="F1476" t="str">
            <v>Michael Cook</v>
          </cell>
          <cell r="G1476" t="str">
            <v>Roecroft Lower School</v>
          </cell>
          <cell r="H1476" t="str">
            <v>East of England</v>
          </cell>
          <cell r="I1476" t="str">
            <v>Church Road</v>
          </cell>
          <cell r="J1476" t="str">
            <v>Stotfold</v>
          </cell>
          <cell r="L1476" t="str">
            <v>Hitchin</v>
          </cell>
          <cell r="M1476" t="str">
            <v>Hertfordshire</v>
          </cell>
          <cell r="N1476" t="str">
            <v>SG5 4NE</v>
          </cell>
          <cell r="O1476" t="str">
            <v>jpearson@cbc.beds.sch.uk</v>
          </cell>
        </row>
        <row r="1477">
          <cell r="A1477">
            <v>8812601</v>
          </cell>
          <cell r="B1477">
            <v>114910</v>
          </cell>
          <cell r="C1477">
            <v>881</v>
          </cell>
          <cell r="D1477" t="str">
            <v>Essex</v>
          </cell>
          <cell r="E1477">
            <v>2601</v>
          </cell>
          <cell r="F1477" t="str">
            <v>Claire Ivie</v>
          </cell>
          <cell r="G1477" t="str">
            <v>Sunnymede Junior School</v>
          </cell>
          <cell r="H1477" t="str">
            <v>East of England</v>
          </cell>
          <cell r="I1477" t="str">
            <v>The Meadoway</v>
          </cell>
          <cell r="L1477" t="str">
            <v>Billericay</v>
          </cell>
          <cell r="M1477" t="str">
            <v>Essex</v>
          </cell>
          <cell r="N1477" t="str">
            <v>CM11 2HL</v>
          </cell>
          <cell r="O1477" t="str">
            <v>headteacher@sunnymede-jun.essex.sch.uk</v>
          </cell>
        </row>
        <row r="1478">
          <cell r="A1478">
            <v>8503177</v>
          </cell>
          <cell r="B1478">
            <v>116328</v>
          </cell>
          <cell r="C1478">
            <v>850</v>
          </cell>
          <cell r="D1478" t="str">
            <v>Hampshire</v>
          </cell>
          <cell r="E1478">
            <v>3177</v>
          </cell>
          <cell r="F1478" t="str">
            <v>Amanda Barrett</v>
          </cell>
          <cell r="G1478" t="str">
            <v>St Thomas' Church of England Infant School, Woolton Hill</v>
          </cell>
          <cell r="H1478" t="str">
            <v>South East</v>
          </cell>
          <cell r="I1478" t="str">
            <v>Woolton Hill</v>
          </cell>
          <cell r="L1478" t="str">
            <v>Newbury</v>
          </cell>
          <cell r="M1478" t="str">
            <v>Berkshire</v>
          </cell>
          <cell r="N1478" t="str">
            <v>RG20 9XF</v>
          </cell>
          <cell r="O1478" t="str">
            <v>gill.roberts@st-thomas.hants.sch.uk</v>
          </cell>
        </row>
        <row r="1479">
          <cell r="A1479">
            <v>8882443</v>
          </cell>
          <cell r="B1479">
            <v>119287</v>
          </cell>
          <cell r="C1479">
            <v>888</v>
          </cell>
          <cell r="D1479" t="str">
            <v>Lancashire</v>
          </cell>
          <cell r="E1479">
            <v>2443</v>
          </cell>
          <cell r="F1479" t="str">
            <v>Viv Clutton</v>
          </cell>
          <cell r="G1479" t="str">
            <v>Aughton Town Green Primary School</v>
          </cell>
          <cell r="H1479" t="str">
            <v>North West</v>
          </cell>
          <cell r="I1479" t="str">
            <v>Town Green Lane</v>
          </cell>
          <cell r="J1479" t="str">
            <v>Aughton</v>
          </cell>
          <cell r="L1479" t="str">
            <v>Ormskirk</v>
          </cell>
          <cell r="M1479" t="str">
            <v>Lancashire</v>
          </cell>
          <cell r="N1479" t="str">
            <v>L39 6SF</v>
          </cell>
          <cell r="O1479" t="str">
            <v>head@towngreen.lancs.sch.uk</v>
          </cell>
        </row>
        <row r="1480">
          <cell r="A1480">
            <v>3207005</v>
          </cell>
          <cell r="B1480">
            <v>103117</v>
          </cell>
          <cell r="C1480">
            <v>320</v>
          </cell>
          <cell r="D1480" t="str">
            <v>Waltham Forest</v>
          </cell>
          <cell r="E1480">
            <v>7005</v>
          </cell>
          <cell r="F1480" t="str">
            <v>Lin Houston</v>
          </cell>
          <cell r="G1480" t="str">
            <v>Brookfield House School</v>
          </cell>
          <cell r="H1480" t="str">
            <v>London</v>
          </cell>
          <cell r="I1480" t="str">
            <v>Alders Avenue</v>
          </cell>
          <cell r="L1480" t="str">
            <v>Woodford Green</v>
          </cell>
          <cell r="M1480" t="str">
            <v>Essex</v>
          </cell>
          <cell r="N1480" t="str">
            <v>IG8 9PY</v>
          </cell>
          <cell r="O1480" t="str">
            <v>gary.pocock@brookfieldhouse.waltham.sch.uk</v>
          </cell>
          <cell r="P1480">
            <v>40968</v>
          </cell>
        </row>
        <row r="1481">
          <cell r="A1481">
            <v>8102868</v>
          </cell>
          <cell r="B1481">
            <v>117904</v>
          </cell>
          <cell r="C1481">
            <v>810</v>
          </cell>
          <cell r="D1481" t="str">
            <v>Kingston upon Hull City of</v>
          </cell>
          <cell r="E1481">
            <v>2868</v>
          </cell>
          <cell r="F1481" t="str">
            <v>Adriarna Goodinson</v>
          </cell>
          <cell r="G1481" t="str">
            <v>Highlands Primary School</v>
          </cell>
          <cell r="H1481" t="str">
            <v>Yorkshire and the Humber</v>
          </cell>
          <cell r="I1481" t="str">
            <v>Lothian Way</v>
          </cell>
          <cell r="J1481" t="str">
            <v>Bransholme</v>
          </cell>
          <cell r="L1481" t="str">
            <v>Hull</v>
          </cell>
          <cell r="N1481" t="str">
            <v>HU7 5DD</v>
          </cell>
          <cell r="O1481" t="str">
            <v>head@highlands.hull.sch.uk</v>
          </cell>
          <cell r="P1481">
            <v>41051</v>
          </cell>
        </row>
        <row r="1482">
          <cell r="A1482">
            <v>8733367</v>
          </cell>
          <cell r="B1482">
            <v>110846</v>
          </cell>
          <cell r="C1482">
            <v>873</v>
          </cell>
          <cell r="D1482" t="str">
            <v>Cambridgeshire</v>
          </cell>
          <cell r="E1482">
            <v>3367</v>
          </cell>
          <cell r="F1482" t="str">
            <v>Claire Ivie</v>
          </cell>
          <cell r="G1482" t="str">
            <v>Bury CofE Primary School</v>
          </cell>
          <cell r="H1482" t="str">
            <v>East of England</v>
          </cell>
          <cell r="I1482" t="str">
            <v>Owls End</v>
          </cell>
          <cell r="J1482" t="str">
            <v>Bury</v>
          </cell>
          <cell r="L1482" t="str">
            <v>Huntingdon</v>
          </cell>
          <cell r="M1482" t="str">
            <v>Cambridgeshire</v>
          </cell>
          <cell r="N1482" t="str">
            <v>PE26 2NJ</v>
          </cell>
          <cell r="O1482" t="str">
            <v>head@bury.cambs.sch.uk</v>
          </cell>
          <cell r="P1482">
            <v>41220</v>
          </cell>
        </row>
        <row r="1483">
          <cell r="A1483">
            <v>8134501</v>
          </cell>
          <cell r="B1483">
            <v>118112</v>
          </cell>
          <cell r="C1483">
            <v>813</v>
          </cell>
          <cell r="D1483" t="str">
            <v>North Lincolnshire</v>
          </cell>
          <cell r="E1483">
            <v>4501</v>
          </cell>
          <cell r="F1483" t="str">
            <v>Nick Monton</v>
          </cell>
          <cell r="G1483" t="str">
            <v>Sir John Nelthorpe School - A Specialist Technology College for Science, Mathematics and Computing</v>
          </cell>
          <cell r="H1483" t="str">
            <v>Yorkshire and the Humber</v>
          </cell>
          <cell r="I1483" t="str">
            <v>Grammar School Road</v>
          </cell>
          <cell r="L1483" t="str">
            <v>Brigg</v>
          </cell>
          <cell r="M1483" t="str">
            <v>Lincolnshire</v>
          </cell>
          <cell r="N1483" t="str">
            <v>DN20 8AA</v>
          </cell>
          <cell r="O1483" t="str">
            <v>head.sjn@northlincs.gov.uk</v>
          </cell>
        </row>
        <row r="1484">
          <cell r="A1484">
            <v>8814680</v>
          </cell>
          <cell r="B1484">
            <v>115237</v>
          </cell>
          <cell r="C1484">
            <v>881</v>
          </cell>
          <cell r="D1484" t="str">
            <v>Essex</v>
          </cell>
          <cell r="E1484">
            <v>4680</v>
          </cell>
          <cell r="F1484" t="str">
            <v>Stella Aina</v>
          </cell>
          <cell r="G1484" t="str">
            <v>De La Salle School and Language College</v>
          </cell>
          <cell r="H1484" t="str">
            <v>East of England</v>
          </cell>
          <cell r="I1484" t="str">
            <v>Ghyllgrove</v>
          </cell>
          <cell r="L1484" t="str">
            <v>Basildon</v>
          </cell>
          <cell r="M1484" t="str">
            <v>Essex</v>
          </cell>
          <cell r="N1484" t="str">
            <v>SS14 2LA</v>
          </cell>
          <cell r="O1484" t="str">
            <v>mcurnock@delasalle.essex.sch.uk</v>
          </cell>
          <cell r="P1484">
            <v>41257</v>
          </cell>
        </row>
        <row r="1485">
          <cell r="A1485">
            <v>3122078</v>
          </cell>
          <cell r="B1485">
            <v>102415</v>
          </cell>
          <cell r="C1485">
            <v>312</v>
          </cell>
          <cell r="D1485" t="str">
            <v>Hillingdon</v>
          </cell>
          <cell r="E1485">
            <v>2078</v>
          </cell>
          <cell r="F1485" t="str">
            <v>Sheila Longstaff</v>
          </cell>
          <cell r="G1485" t="str">
            <v>Cranford Park Primary School</v>
          </cell>
          <cell r="H1485" t="str">
            <v>London</v>
          </cell>
          <cell r="I1485" t="str">
            <v>Phelps Way</v>
          </cell>
          <cell r="J1485" t="str">
            <v>Harlington</v>
          </cell>
          <cell r="L1485" t="str">
            <v>Hayes</v>
          </cell>
          <cell r="N1485" t="str">
            <v>UB3 4LQ</v>
          </cell>
          <cell r="O1485" t="str">
            <v>myoung@hillingdongrid.org</v>
          </cell>
          <cell r="P1485">
            <v>41051</v>
          </cell>
        </row>
        <row r="1486">
          <cell r="A1486">
            <v>3812004</v>
          </cell>
          <cell r="B1486">
            <v>107479</v>
          </cell>
          <cell r="C1486">
            <v>381</v>
          </cell>
          <cell r="D1486" t="str">
            <v>Calderdale</v>
          </cell>
          <cell r="E1486">
            <v>2004</v>
          </cell>
          <cell r="F1486" t="str">
            <v>Bev Annables</v>
          </cell>
          <cell r="G1486" t="str">
            <v>Bradshaw Primary School</v>
          </cell>
          <cell r="H1486" t="str">
            <v>Yorkshire and the Humber</v>
          </cell>
          <cell r="I1486" t="str">
            <v>Ingham Lane</v>
          </cell>
          <cell r="J1486" t="str">
            <v>Bradshaw</v>
          </cell>
          <cell r="L1486" t="str">
            <v>Halifax</v>
          </cell>
          <cell r="M1486" t="str">
            <v>West Yorkshire</v>
          </cell>
          <cell r="N1486" t="str">
            <v>HX2 9PF</v>
          </cell>
          <cell r="O1486" t="str">
            <v>admin@bradshaw.calderdale.sch.uk</v>
          </cell>
          <cell r="P1486">
            <v>40837</v>
          </cell>
        </row>
        <row r="1487">
          <cell r="A1487">
            <v>8233014</v>
          </cell>
          <cell r="B1487">
            <v>109606</v>
          </cell>
          <cell r="C1487">
            <v>823</v>
          </cell>
          <cell r="D1487" t="str">
            <v>Central Bedfordshire</v>
          </cell>
          <cell r="E1487">
            <v>3014</v>
          </cell>
          <cell r="F1487" t="str">
            <v>Stella Aina</v>
          </cell>
          <cell r="G1487" t="str">
            <v>St Mary's VC Lower School</v>
          </cell>
          <cell r="H1487" t="str">
            <v>East of England</v>
          </cell>
          <cell r="I1487" t="str">
            <v>Rook Tree Lane</v>
          </cell>
          <cell r="J1487" t="str">
            <v>Stotfold</v>
          </cell>
          <cell r="L1487" t="str">
            <v>Hitchin</v>
          </cell>
          <cell r="M1487" t="str">
            <v>Hertfordshire</v>
          </cell>
          <cell r="N1487" t="str">
            <v>SG5 4DL</v>
          </cell>
          <cell r="O1487" t="str">
            <v xml:space="preserve"> c.phelps@schools.bedfordshire.gov.uk</v>
          </cell>
          <cell r="P1487">
            <v>40751</v>
          </cell>
        </row>
        <row r="1488">
          <cell r="A1488">
            <v>3112067</v>
          </cell>
          <cell r="B1488">
            <v>102307</v>
          </cell>
          <cell r="C1488">
            <v>311</v>
          </cell>
          <cell r="D1488" t="str">
            <v>Havering</v>
          </cell>
          <cell r="E1488">
            <v>2067</v>
          </cell>
          <cell r="F1488" t="str">
            <v>Kiran Teli</v>
          </cell>
          <cell r="G1488" t="str">
            <v>Upminster Infant School</v>
          </cell>
          <cell r="H1488" t="str">
            <v>London</v>
          </cell>
          <cell r="I1488" t="str">
            <v>St Mary's Lane</v>
          </cell>
          <cell r="L1488" t="str">
            <v>Upminster</v>
          </cell>
          <cell r="M1488" t="str">
            <v>Essex</v>
          </cell>
          <cell r="N1488" t="str">
            <v>RM14 3BS</v>
          </cell>
          <cell r="O1488" t="str">
            <v>lbeck@uis.havering.sch.uk</v>
          </cell>
          <cell r="P1488">
            <v>41067</v>
          </cell>
        </row>
        <row r="1489">
          <cell r="A1489">
            <v>9194001</v>
          </cell>
          <cell r="B1489">
            <v>131971</v>
          </cell>
          <cell r="C1489">
            <v>919</v>
          </cell>
          <cell r="D1489" t="str">
            <v>Hertfordshire</v>
          </cell>
          <cell r="E1489">
            <v>4001</v>
          </cell>
          <cell r="F1489" t="str">
            <v>Kevin Hall</v>
          </cell>
          <cell r="G1489" t="str">
            <v>Hertswood School</v>
          </cell>
          <cell r="H1489" t="str">
            <v>East of England</v>
          </cell>
          <cell r="I1489" t="str">
            <v>Cowley Hill</v>
          </cell>
          <cell r="L1489" t="str">
            <v>Borehamwood</v>
          </cell>
          <cell r="M1489" t="str">
            <v>Hertfordshire</v>
          </cell>
          <cell r="N1489" t="str">
            <v>WD6 5LG</v>
          </cell>
          <cell r="O1489" t="str">
            <v>head@hertswood.herts.sch.uk</v>
          </cell>
        </row>
        <row r="1490">
          <cell r="A1490">
            <v>3333004</v>
          </cell>
          <cell r="B1490">
            <v>103988</v>
          </cell>
          <cell r="C1490">
            <v>333</v>
          </cell>
          <cell r="D1490" t="str">
            <v>Sandwell</v>
          </cell>
          <cell r="E1490">
            <v>3004</v>
          </cell>
          <cell r="F1490" t="str">
            <v>Hannah Copp</v>
          </cell>
          <cell r="G1490" t="str">
            <v>St Paul's CofE (C) Primary School</v>
          </cell>
          <cell r="H1490" t="str">
            <v>West Midlands</v>
          </cell>
          <cell r="I1490" t="str">
            <v>Robert Road</v>
          </cell>
          <cell r="L1490" t="str">
            <v>Tipton</v>
          </cell>
          <cell r="M1490" t="str">
            <v>West Midlands</v>
          </cell>
          <cell r="N1490" t="str">
            <v>DY4 9BH</v>
          </cell>
          <cell r="O1490" t="str">
            <v>headteacher@st-pauls.sandwell.sch.uk</v>
          </cell>
        </row>
        <row r="1491">
          <cell r="A1491">
            <v>8553085</v>
          </cell>
          <cell r="B1491">
            <v>120160</v>
          </cell>
          <cell r="C1491">
            <v>855</v>
          </cell>
          <cell r="D1491" t="str">
            <v>Leicestershire</v>
          </cell>
          <cell r="E1491">
            <v>3085</v>
          </cell>
          <cell r="F1491" t="str">
            <v>Sue Harp</v>
          </cell>
          <cell r="G1491" t="str">
            <v>South Kilworth Church of England Primary School</v>
          </cell>
          <cell r="H1491" t="str">
            <v>East Midlands</v>
          </cell>
          <cell r="I1491" t="str">
            <v>Walcote Road</v>
          </cell>
          <cell r="J1491" t="str">
            <v>South Kilworth</v>
          </cell>
          <cell r="L1491" t="str">
            <v>Lutterworth</v>
          </cell>
          <cell r="M1491" t="str">
            <v>Leicestershire</v>
          </cell>
          <cell r="N1491" t="str">
            <v>LE17 6EG</v>
          </cell>
          <cell r="O1491" t="str">
            <v>headteacher@southkilworth.leics.sch.uk</v>
          </cell>
        </row>
        <row r="1492">
          <cell r="A1492">
            <v>9162045</v>
          </cell>
          <cell r="B1492">
            <v>115505</v>
          </cell>
          <cell r="C1492">
            <v>916</v>
          </cell>
          <cell r="D1492" t="str">
            <v>Gloucestershire</v>
          </cell>
          <cell r="E1492">
            <v>2045</v>
          </cell>
          <cell r="F1492" t="str">
            <v>Not yet assigned</v>
          </cell>
          <cell r="G1492" t="str">
            <v>Bledington Primary School</v>
          </cell>
          <cell r="H1492" t="str">
            <v>South West</v>
          </cell>
          <cell r="I1492" t="str">
            <v>Old Burford Road</v>
          </cell>
          <cell r="J1492" t="str">
            <v>Bledington</v>
          </cell>
          <cell r="L1492" t="str">
            <v>Chipping Norton</v>
          </cell>
          <cell r="M1492" t="str">
            <v>Oxfordshire</v>
          </cell>
          <cell r="N1492" t="str">
            <v>OX7 6US</v>
          </cell>
          <cell r="O1492" t="str">
            <v>head@bledington.gloucs.sch.uk</v>
          </cell>
        </row>
        <row r="1493">
          <cell r="A1493">
            <v>8557005</v>
          </cell>
          <cell r="B1493">
            <v>120351</v>
          </cell>
          <cell r="C1493">
            <v>855</v>
          </cell>
          <cell r="D1493" t="str">
            <v>Leicestershire</v>
          </cell>
          <cell r="E1493">
            <v>7005</v>
          </cell>
          <cell r="F1493" t="str">
            <v>Gabriela Grimley</v>
          </cell>
          <cell r="G1493" t="str">
            <v>Birkett House Special School</v>
          </cell>
          <cell r="H1493" t="str">
            <v>East Midlands</v>
          </cell>
          <cell r="I1493" t="str">
            <v>Launceston Road</v>
          </cell>
          <cell r="L1493" t="str">
            <v>Wigston</v>
          </cell>
          <cell r="M1493" t="str">
            <v>Leicestershire</v>
          </cell>
          <cell r="N1493" t="str">
            <v>LE18 2FZ</v>
          </cell>
          <cell r="O1493" t="str">
            <v>s.horn@birketthouse.leics.sch.uk</v>
          </cell>
          <cell r="P1493">
            <v>40934</v>
          </cell>
        </row>
        <row r="1494">
          <cell r="A1494">
            <v>3942338</v>
          </cell>
          <cell r="B1494">
            <v>133344</v>
          </cell>
          <cell r="C1494">
            <v>394</v>
          </cell>
          <cell r="D1494" t="str">
            <v>Sunderland</v>
          </cell>
          <cell r="E1494">
            <v>2338</v>
          </cell>
          <cell r="F1494" t="str">
            <v>June Laughton</v>
          </cell>
          <cell r="G1494" t="str">
            <v>Farringdon Primary School</v>
          </cell>
          <cell r="H1494" t="str">
            <v>North East</v>
          </cell>
          <cell r="I1494" t="str">
            <v>Archer Road</v>
          </cell>
          <cell r="J1494" t="str">
            <v>Farringdon</v>
          </cell>
          <cell r="L1494" t="str">
            <v>Sunderland</v>
          </cell>
          <cell r="M1494" t="str">
            <v>Tyne and Wear</v>
          </cell>
          <cell r="N1494" t="str">
            <v>SR3 3DJ</v>
          </cell>
          <cell r="O1494" t="str">
            <v>ann.henderson@schools.sunderland.gov.uk</v>
          </cell>
          <cell r="P1494">
            <v>41115</v>
          </cell>
        </row>
        <row r="1495">
          <cell r="A1495">
            <v>9334290</v>
          </cell>
          <cell r="B1495">
            <v>123876</v>
          </cell>
          <cell r="C1495">
            <v>933</v>
          </cell>
          <cell r="D1495" t="str">
            <v>Somerset</v>
          </cell>
          <cell r="E1495">
            <v>4290</v>
          </cell>
          <cell r="F1495" t="str">
            <v>Ali Bushell</v>
          </cell>
          <cell r="G1495" t="str">
            <v xml:space="preserve">Minehead Middle School </v>
          </cell>
          <cell r="H1495" t="str">
            <v>South West</v>
          </cell>
          <cell r="I1495" t="str">
            <v>Ponsford Road</v>
          </cell>
          <cell r="L1495" t="str">
            <v>Minehead</v>
          </cell>
          <cell r="M1495" t="str">
            <v>Somerset</v>
          </cell>
          <cell r="N1495" t="str">
            <v>TA24 5RH</v>
          </cell>
          <cell r="O1495" t="str">
            <v>pzrushforth@educ.somerset.gov.uk</v>
          </cell>
          <cell r="P1495">
            <v>40618</v>
          </cell>
        </row>
        <row r="1496">
          <cell r="A1496">
            <v>8914756</v>
          </cell>
          <cell r="B1496">
            <v>122900</v>
          </cell>
          <cell r="C1496">
            <v>891</v>
          </cell>
          <cell r="D1496" t="str">
            <v>Nottinghamshire</v>
          </cell>
          <cell r="E1496">
            <v>4756</v>
          </cell>
          <cell r="F1496" t="str">
            <v>Sue Harp</v>
          </cell>
          <cell r="G1496" t="str">
            <v>All Saints RC Comprehensive School</v>
          </cell>
          <cell r="H1496" t="str">
            <v>East Midlands</v>
          </cell>
          <cell r="I1496" t="str">
            <v>Broomhill Lane</v>
          </cell>
          <cell r="L1496" t="str">
            <v>Mansfield</v>
          </cell>
          <cell r="M1496" t="str">
            <v>Nottinghamshire</v>
          </cell>
          <cell r="N1496" t="str">
            <v>NG19 6BW</v>
          </cell>
        </row>
        <row r="1497">
          <cell r="A1497">
            <v>3812079</v>
          </cell>
          <cell r="B1497">
            <v>107527</v>
          </cell>
          <cell r="C1497">
            <v>381</v>
          </cell>
          <cell r="D1497" t="str">
            <v>Calderdale</v>
          </cell>
          <cell r="E1497">
            <v>2079</v>
          </cell>
          <cell r="F1497" t="str">
            <v>Bev Annables</v>
          </cell>
          <cell r="G1497" t="str">
            <v>Field Lane Primary School</v>
          </cell>
          <cell r="H1497" t="str">
            <v>Yorkshire and the Humber</v>
          </cell>
          <cell r="I1497" t="str">
            <v>Burnsall Road</v>
          </cell>
          <cell r="J1497" t="str">
            <v>Rastrick</v>
          </cell>
          <cell r="L1497" t="str">
            <v>Brighouse</v>
          </cell>
          <cell r="M1497" t="str">
            <v>West Yorkshire</v>
          </cell>
          <cell r="N1497" t="str">
            <v>HD6 3JT</v>
          </cell>
          <cell r="O1497" t="str">
            <v>head@fieldlane.calderdale.sch.uk</v>
          </cell>
        </row>
        <row r="1498">
          <cell r="A1498">
            <v>9352133</v>
          </cell>
          <cell r="B1498">
            <v>124626</v>
          </cell>
          <cell r="C1498">
            <v>935</v>
          </cell>
          <cell r="D1498" t="str">
            <v>Suffolk</v>
          </cell>
          <cell r="E1498">
            <v>2133</v>
          </cell>
          <cell r="F1498" t="str">
            <v>Joe Farrell</v>
          </cell>
          <cell r="G1498" t="str">
            <v>Brooklands Primary School</v>
          </cell>
          <cell r="H1498" t="str">
            <v>East of England</v>
          </cell>
          <cell r="I1498" t="str">
            <v>Palfrey Heights</v>
          </cell>
          <cell r="J1498" t="str">
            <v>Brantham</v>
          </cell>
          <cell r="L1498" t="str">
            <v>Manningtree</v>
          </cell>
          <cell r="M1498" t="str">
            <v>Essex</v>
          </cell>
          <cell r="N1498" t="str">
            <v>CO11 1RX</v>
          </cell>
          <cell r="O1498" t="str">
            <v>ht.brooklands.p@talk21.com</v>
          </cell>
        </row>
        <row r="1499">
          <cell r="A1499">
            <v>3305405</v>
          </cell>
          <cell r="B1499">
            <v>103552</v>
          </cell>
          <cell r="C1499">
            <v>330</v>
          </cell>
          <cell r="D1499" t="str">
            <v>Birmingham</v>
          </cell>
          <cell r="E1499">
            <v>5405</v>
          </cell>
          <cell r="F1499" t="str">
            <v>Lilian Da Cunha</v>
          </cell>
          <cell r="G1499" t="str">
            <v>King Edward VI Five Ways School</v>
          </cell>
          <cell r="H1499" t="str">
            <v>West Midlands</v>
          </cell>
          <cell r="I1499" t="str">
            <v>Scotland Lane</v>
          </cell>
          <cell r="J1499" t="str">
            <v>Bartley Green</v>
          </cell>
          <cell r="L1499" t="str">
            <v>Birmingham</v>
          </cell>
          <cell r="M1499" t="str">
            <v>West Midlands</v>
          </cell>
          <cell r="N1499" t="str">
            <v>B32 4BT</v>
          </cell>
          <cell r="O1499" t="str">
            <v>head@ke5ways.bham.sch.uk</v>
          </cell>
          <cell r="P1499">
            <v>40511</v>
          </cell>
        </row>
        <row r="1500">
          <cell r="A1500">
            <v>8354512</v>
          </cell>
          <cell r="B1500">
            <v>113890</v>
          </cell>
          <cell r="C1500">
            <v>835</v>
          </cell>
          <cell r="D1500" t="str">
            <v>Dorset</v>
          </cell>
          <cell r="E1500">
            <v>4512</v>
          </cell>
          <cell r="F1500" t="str">
            <v>Ed Schuldt</v>
          </cell>
          <cell r="G1500" t="str">
            <v>The Gryphon School</v>
          </cell>
          <cell r="H1500" t="str">
            <v>South West</v>
          </cell>
          <cell r="I1500" t="str">
            <v>Bristol Road</v>
          </cell>
          <cell r="L1500" t="str">
            <v>Sherborne</v>
          </cell>
          <cell r="M1500" t="str">
            <v>Dorset</v>
          </cell>
          <cell r="N1500" t="str">
            <v>DT9 4EQ</v>
          </cell>
          <cell r="O1500" t="str">
            <v>steve.hillier@gryphon.dorset.sch.uk</v>
          </cell>
          <cell r="P1500">
            <v>41025</v>
          </cell>
        </row>
        <row r="1501">
          <cell r="A1501">
            <v>8815405</v>
          </cell>
          <cell r="B1501">
            <v>115321</v>
          </cell>
          <cell r="C1501">
            <v>881</v>
          </cell>
          <cell r="D1501" t="str">
            <v>Essex</v>
          </cell>
          <cell r="E1501">
            <v>5405</v>
          </cell>
          <cell r="F1501" t="str">
            <v>Claire Ivie</v>
          </cell>
          <cell r="G1501" t="str">
            <v>West Hatch High School</v>
          </cell>
          <cell r="H1501" t="str">
            <v>East of England</v>
          </cell>
          <cell r="I1501" t="str">
            <v>High Road</v>
          </cell>
          <cell r="L1501" t="str">
            <v>Chigwell</v>
          </cell>
          <cell r="M1501" t="str">
            <v>Essex</v>
          </cell>
          <cell r="N1501" t="str">
            <v>IG7 5BT</v>
          </cell>
          <cell r="O1501" t="str">
            <v>plaker@westhatch.essex.sch.uk</v>
          </cell>
          <cell r="P1501">
            <v>40592</v>
          </cell>
        </row>
        <row r="1502">
          <cell r="A1502">
            <v>8733063</v>
          </cell>
          <cell r="B1502">
            <v>110810</v>
          </cell>
          <cell r="C1502">
            <v>873</v>
          </cell>
          <cell r="D1502" t="str">
            <v>Cambridgeshire</v>
          </cell>
          <cell r="E1502">
            <v>3063</v>
          </cell>
          <cell r="F1502" t="str">
            <v>Yvonne Reddington</v>
          </cell>
          <cell r="G1502" t="str">
            <v>Buckden CofE Primary School</v>
          </cell>
          <cell r="H1502" t="str">
            <v>East of England</v>
          </cell>
          <cell r="I1502" t="str">
            <v>School Lane</v>
          </cell>
          <cell r="J1502" t="str">
            <v>Buckden</v>
          </cell>
          <cell r="L1502" t="str">
            <v>St Neots</v>
          </cell>
          <cell r="M1502" t="str">
            <v>Cambridgeshire</v>
          </cell>
          <cell r="N1502" t="str">
            <v>PE19 5TT</v>
          </cell>
          <cell r="O1502" t="str">
            <v>Head@buckden.cambs.sch.uk</v>
          </cell>
          <cell r="P1502">
            <v>40681</v>
          </cell>
        </row>
        <row r="1503">
          <cell r="A1503">
            <v>9374002</v>
          </cell>
          <cell r="B1503">
            <v>125730</v>
          </cell>
          <cell r="C1503">
            <v>937</v>
          </cell>
          <cell r="D1503" t="str">
            <v>Warwickshire</v>
          </cell>
          <cell r="E1503">
            <v>4002</v>
          </cell>
          <cell r="F1503" t="str">
            <v>Carol Ions</v>
          </cell>
          <cell r="G1503" t="str">
            <v>Stratford-upon-Avon Grammar School for Girls A Specialist College for Language and Science</v>
          </cell>
          <cell r="H1503" t="str">
            <v>West Midlands</v>
          </cell>
          <cell r="I1503" t="str">
            <v>Shottery Manor</v>
          </cell>
          <cell r="L1503" t="str">
            <v>Stratford-upon-Avon</v>
          </cell>
          <cell r="M1503" t="str">
            <v>Warwickshire</v>
          </cell>
          <cell r="N1503" t="str">
            <v>CV37 9HA</v>
          </cell>
          <cell r="O1503" t="str">
            <v>barnett.k1@we-learn.com</v>
          </cell>
          <cell r="P1503">
            <v>40519</v>
          </cell>
        </row>
        <row r="1504">
          <cell r="A1504">
            <v>8554045</v>
          </cell>
          <cell r="B1504">
            <v>120265</v>
          </cell>
          <cell r="C1504">
            <v>855</v>
          </cell>
          <cell r="D1504" t="str">
            <v>Leicestershire</v>
          </cell>
          <cell r="E1504">
            <v>4045</v>
          </cell>
          <cell r="F1504" t="str">
            <v>Stephen Standret</v>
          </cell>
          <cell r="G1504" t="str">
            <v>The Beauchamp College</v>
          </cell>
          <cell r="H1504" t="str">
            <v>East Midlands</v>
          </cell>
          <cell r="I1504" t="str">
            <v>Ridge Way</v>
          </cell>
          <cell r="J1504" t="str">
            <v>Oadby</v>
          </cell>
          <cell r="L1504" t="str">
            <v>Leicester</v>
          </cell>
          <cell r="M1504" t="str">
            <v>Leicestershire</v>
          </cell>
          <cell r="N1504" t="str">
            <v>LE2 5TP</v>
          </cell>
          <cell r="O1504" t="str">
            <v>jgr@beauchamp.org.uk</v>
          </cell>
        </row>
        <row r="1505">
          <cell r="A1505">
            <v>8655413</v>
          </cell>
          <cell r="B1505">
            <v>126508</v>
          </cell>
          <cell r="C1505">
            <v>865</v>
          </cell>
          <cell r="D1505" t="str">
            <v>Wiltshire</v>
          </cell>
          <cell r="E1505">
            <v>5413</v>
          </cell>
          <cell r="F1505" t="str">
            <v>Ali Bushell</v>
          </cell>
          <cell r="G1505" t="str">
            <v>Bishop Wordsworth's Grammar School</v>
          </cell>
          <cell r="H1505" t="str">
            <v>South West</v>
          </cell>
          <cell r="I1505" t="str">
            <v>11 The Close</v>
          </cell>
          <cell r="L1505" t="str">
            <v>Salisbury</v>
          </cell>
          <cell r="M1505" t="str">
            <v>Wiltshire</v>
          </cell>
          <cell r="N1505" t="str">
            <v>SP1 2EB</v>
          </cell>
          <cell r="O1505" t="str">
            <v>sds@bws.wilts.sch.uk</v>
          </cell>
          <cell r="P1505">
            <v>40484</v>
          </cell>
        </row>
        <row r="1506">
          <cell r="A1506">
            <v>3724800</v>
          </cell>
          <cell r="B1506">
            <v>106963</v>
          </cell>
          <cell r="C1506">
            <v>372</v>
          </cell>
          <cell r="D1506" t="str">
            <v>Rotherham</v>
          </cell>
          <cell r="E1506">
            <v>4800</v>
          </cell>
          <cell r="F1506" t="str">
            <v>Michael Corner</v>
          </cell>
          <cell r="G1506" t="str">
            <v>St Bernard's Catholic High School</v>
          </cell>
          <cell r="H1506" t="str">
            <v>Yorkshire and the Humber</v>
          </cell>
          <cell r="I1506" t="str">
            <v>Herringthorpe Valley Road</v>
          </cell>
          <cell r="L1506" t="str">
            <v>Rotherham</v>
          </cell>
          <cell r="M1506" t="str">
            <v>South Yorkshire</v>
          </cell>
          <cell r="N1506" t="str">
            <v>S65 3BE</v>
          </cell>
          <cell r="O1506" t="str">
            <v>sbccdbutler@rgfl.org</v>
          </cell>
          <cell r="P1506">
            <v>40963</v>
          </cell>
        </row>
        <row r="1507">
          <cell r="A1507">
            <v>8452159</v>
          </cell>
          <cell r="B1507">
            <v>114481</v>
          </cell>
          <cell r="C1507">
            <v>845</v>
          </cell>
          <cell r="D1507" t="str">
            <v>East Sussex</v>
          </cell>
          <cell r="E1507">
            <v>2159</v>
          </cell>
          <cell r="F1507" t="str">
            <v>Sarah Mitchell</v>
          </cell>
          <cell r="G1507" t="str">
            <v>Little Ridge Community Primary School</v>
          </cell>
          <cell r="H1507" t="str">
            <v>South East</v>
          </cell>
          <cell r="I1507" t="str">
            <v>Little Ridge Avenue</v>
          </cell>
          <cell r="L1507" t="str">
            <v>St Leonards-on-Sea</v>
          </cell>
          <cell r="M1507" t="str">
            <v>East Sussex</v>
          </cell>
          <cell r="N1507" t="str">
            <v>TN37 7LR</v>
          </cell>
          <cell r="O1507" t="str">
            <v>head@littleridge.e-sussex.sch.uk</v>
          </cell>
        </row>
        <row r="1508">
          <cell r="A1508">
            <v>9332175</v>
          </cell>
          <cell r="B1508">
            <v>123689</v>
          </cell>
          <cell r="C1508">
            <v>933</v>
          </cell>
          <cell r="D1508" t="str">
            <v>Somerset</v>
          </cell>
          <cell r="E1508">
            <v>2175</v>
          </cell>
          <cell r="F1508" t="str">
            <v>Ali Bushell</v>
          </cell>
          <cell r="G1508" t="str">
            <v>North Newton Community Primary School</v>
          </cell>
          <cell r="H1508" t="str">
            <v>South West</v>
          </cell>
          <cell r="I1508" t="str">
            <v>Church Road</v>
          </cell>
          <cell r="J1508" t="str">
            <v>North Newton</v>
          </cell>
          <cell r="L1508" t="str">
            <v>Bridgwater</v>
          </cell>
          <cell r="M1508" t="str">
            <v>Somerset</v>
          </cell>
          <cell r="N1508" t="str">
            <v>TA7 0BG</v>
          </cell>
          <cell r="O1508" t="str">
            <v>DGLIDDON@EDUC.SOMERSET.GOV.UK</v>
          </cell>
        </row>
        <row r="1509">
          <cell r="A1509">
            <v>9195413</v>
          </cell>
          <cell r="B1509">
            <v>117585</v>
          </cell>
          <cell r="C1509">
            <v>919</v>
          </cell>
          <cell r="D1509" t="str">
            <v>Hertfordshire</v>
          </cell>
          <cell r="E1509">
            <v>5413</v>
          </cell>
          <cell r="F1509" t="str">
            <v>Claire Ivie</v>
          </cell>
          <cell r="G1509" t="str">
            <v>The John Henry Newman Catholic School</v>
          </cell>
          <cell r="H1509" t="str">
            <v>East of England</v>
          </cell>
          <cell r="I1509" t="str">
            <v>Hitchin Road</v>
          </cell>
          <cell r="L1509" t="str">
            <v>Stevenage</v>
          </cell>
          <cell r="M1509" t="str">
            <v>Hertfordshire</v>
          </cell>
          <cell r="N1509" t="str">
            <v>SG1 4AE</v>
          </cell>
          <cell r="O1509" t="str">
            <v>head@johnhenrynewman.herts.sch.uk</v>
          </cell>
          <cell r="P1509">
            <v>40890</v>
          </cell>
        </row>
        <row r="1510">
          <cell r="A1510">
            <v>8833822</v>
          </cell>
          <cell r="B1510">
            <v>109308</v>
          </cell>
          <cell r="C1510">
            <v>883</v>
          </cell>
          <cell r="D1510" t="str">
            <v>Thurrock</v>
          </cell>
          <cell r="E1510">
            <v>3822</v>
          </cell>
          <cell r="F1510" t="str">
            <v>Claire Ivie</v>
          </cell>
          <cell r="G1510" t="str">
            <v>Abbots Hall Primary School</v>
          </cell>
          <cell r="H1510" t="str">
            <v>East of England</v>
          </cell>
          <cell r="I1510" t="str">
            <v>Abbots Drive</v>
          </cell>
          <cell r="L1510" t="str">
            <v>Stanford-le-Hope</v>
          </cell>
          <cell r="M1510" t="str">
            <v>Essex</v>
          </cell>
          <cell r="N1510" t="str">
            <v>SS17 7BW</v>
          </cell>
          <cell r="O1510" t="str">
            <v>headteacher@abbotshall.thurrock.sch.uk</v>
          </cell>
          <cell r="P1510">
            <v>41057</v>
          </cell>
        </row>
        <row r="1511">
          <cell r="A1511">
            <v>3125402</v>
          </cell>
          <cell r="B1511">
            <v>102442</v>
          </cell>
          <cell r="C1511">
            <v>312</v>
          </cell>
          <cell r="D1511" t="str">
            <v>Hillingdon</v>
          </cell>
          <cell r="E1511">
            <v>5402</v>
          </cell>
          <cell r="F1511" t="str">
            <v>Martin Rowley</v>
          </cell>
          <cell r="G1511" t="str">
            <v>Vyners School</v>
          </cell>
          <cell r="H1511" t="str">
            <v>London</v>
          </cell>
          <cell r="I1511" t="str">
            <v>Warren Road</v>
          </cell>
          <cell r="J1511" t="str">
            <v>Ickenham</v>
          </cell>
          <cell r="L1511" t="str">
            <v>Uxbridge</v>
          </cell>
          <cell r="N1511" t="str">
            <v>UB10 8AB</v>
          </cell>
          <cell r="O1511" t="str">
            <v>sgould1@hillingdongrid.org</v>
          </cell>
          <cell r="P1511">
            <v>40704</v>
          </cell>
        </row>
        <row r="1512">
          <cell r="A1512">
            <v>3125412</v>
          </cell>
          <cell r="B1512">
            <v>131639</v>
          </cell>
          <cell r="C1512">
            <v>312</v>
          </cell>
          <cell r="D1512" t="str">
            <v>Hillingdon</v>
          </cell>
          <cell r="E1512">
            <v>5412</v>
          </cell>
          <cell r="F1512" t="str">
            <v>Martin Rowley</v>
          </cell>
          <cell r="G1512" t="str">
            <v>Barnhill Community High School</v>
          </cell>
          <cell r="H1512" t="str">
            <v>London</v>
          </cell>
          <cell r="I1512" t="str">
            <v>Yeading Lane</v>
          </cell>
          <cell r="L1512" t="str">
            <v>Hayes</v>
          </cell>
          <cell r="N1512" t="str">
            <v>UB4 9LE</v>
          </cell>
          <cell r="O1512" t="str">
            <v>rlobatto.312@lgflmail.org</v>
          </cell>
          <cell r="P1512">
            <v>40554</v>
          </cell>
        </row>
        <row r="1513">
          <cell r="A1513">
            <v>8927026</v>
          </cell>
          <cell r="B1513">
            <v>122958</v>
          </cell>
          <cell r="C1513">
            <v>892</v>
          </cell>
          <cell r="D1513" t="str">
            <v>Nottingham</v>
          </cell>
          <cell r="E1513">
            <v>7026</v>
          </cell>
          <cell r="F1513" t="str">
            <v>Grant Dyson</v>
          </cell>
          <cell r="G1513" t="str">
            <v>Nethergate School</v>
          </cell>
          <cell r="H1513" t="str">
            <v>East Midlands</v>
          </cell>
          <cell r="I1513" t="str">
            <v>Swansdowne Drive</v>
          </cell>
          <cell r="J1513" t="str">
            <v>Clifton</v>
          </cell>
          <cell r="L1513" t="str">
            <v>Nottingham</v>
          </cell>
          <cell r="M1513" t="str">
            <v>Nottinghamshire</v>
          </cell>
          <cell r="N1513" t="str">
            <v>NG11 8HX</v>
          </cell>
          <cell r="O1513" t="str">
            <v>headteacher@nethergate.nottingham.sch.uk</v>
          </cell>
          <cell r="P1513">
            <v>40816</v>
          </cell>
        </row>
        <row r="1514">
          <cell r="A1514">
            <v>3702131</v>
          </cell>
          <cell r="B1514">
            <v>106619</v>
          </cell>
          <cell r="C1514">
            <v>370</v>
          </cell>
          <cell r="D1514" t="str">
            <v>Barnsley</v>
          </cell>
          <cell r="E1514">
            <v>2131</v>
          </cell>
          <cell r="F1514" t="str">
            <v>Lisa Sargeant</v>
          </cell>
          <cell r="G1514" t="str">
            <v>Shafton Primary School</v>
          </cell>
          <cell r="H1514" t="str">
            <v>Yorkshire and the Humber</v>
          </cell>
          <cell r="I1514" t="str">
            <v>High Street</v>
          </cell>
          <cell r="J1514" t="str">
            <v>Shafton</v>
          </cell>
          <cell r="L1514" t="str">
            <v>Barnsley</v>
          </cell>
          <cell r="M1514" t="str">
            <v>South Yorkshire</v>
          </cell>
          <cell r="N1514" t="str">
            <v>S72 8QA</v>
          </cell>
          <cell r="O1514" t="str">
            <v>vverma@academiesenterprisetrust.org</v>
          </cell>
        </row>
        <row r="1515">
          <cell r="A1515">
            <v>9255226</v>
          </cell>
          <cell r="B1515">
            <v>120693</v>
          </cell>
          <cell r="C1515">
            <v>925</v>
          </cell>
          <cell r="D1515" t="str">
            <v>Lincolnshire</v>
          </cell>
          <cell r="E1515">
            <v>5226</v>
          </cell>
          <cell r="F1515" t="str">
            <v>Sue Harp</v>
          </cell>
          <cell r="G1515" t="str">
            <v>Ruskington Chestnut Street CE Primary School</v>
          </cell>
          <cell r="H1515" t="str">
            <v>East Midlands</v>
          </cell>
          <cell r="I1515" t="str">
            <v>Chestnut Street</v>
          </cell>
          <cell r="J1515" t="str">
            <v>Ruskington</v>
          </cell>
          <cell r="L1515" t="str">
            <v>Sleaford</v>
          </cell>
          <cell r="M1515" t="str">
            <v>Lincolnshire</v>
          </cell>
          <cell r="N1515" t="str">
            <v>NG34 9DL</v>
          </cell>
          <cell r="O1515" t="str">
            <v>t.cook@emdirect.co.uk</v>
          </cell>
          <cell r="P1515">
            <v>40893</v>
          </cell>
        </row>
        <row r="1516">
          <cell r="A1516">
            <v>8865439</v>
          </cell>
          <cell r="B1516">
            <v>118911</v>
          </cell>
          <cell r="C1516">
            <v>886</v>
          </cell>
          <cell r="D1516" t="str">
            <v>Kent</v>
          </cell>
          <cell r="E1516">
            <v>5439</v>
          </cell>
          <cell r="F1516" t="str">
            <v>Sarah Mitchell</v>
          </cell>
          <cell r="G1516" t="str">
            <v>Mascalls School</v>
          </cell>
          <cell r="H1516" t="str">
            <v>South East</v>
          </cell>
          <cell r="I1516" t="str">
            <v>Maidstone Road</v>
          </cell>
          <cell r="J1516" t="str">
            <v>Paddock Wood</v>
          </cell>
          <cell r="L1516" t="str">
            <v>Tonbridge</v>
          </cell>
          <cell r="M1516" t="str">
            <v>Kent</v>
          </cell>
          <cell r="N1516" t="str">
            <v>TN12 6LT</v>
          </cell>
          <cell r="O1516" t="str">
            <v>reeves@mascalls.kent.sch.uk</v>
          </cell>
          <cell r="P1516">
            <v>40633</v>
          </cell>
        </row>
        <row r="1517">
          <cell r="A1517">
            <v>2122314</v>
          </cell>
          <cell r="B1517">
            <v>101013</v>
          </cell>
          <cell r="C1517">
            <v>212</v>
          </cell>
          <cell r="D1517" t="str">
            <v>Wandsworth</v>
          </cell>
          <cell r="E1517">
            <v>2314</v>
          </cell>
          <cell r="F1517" t="str">
            <v>Tahir Shams</v>
          </cell>
          <cell r="G1517" t="str">
            <v>Hotham Primary School</v>
          </cell>
          <cell r="H1517" t="str">
            <v>London</v>
          </cell>
          <cell r="I1517" t="str">
            <v>Charlwood Road</v>
          </cell>
          <cell r="J1517" t="str">
            <v>Putney</v>
          </cell>
          <cell r="L1517" t="str">
            <v>London</v>
          </cell>
          <cell r="N1517" t="str">
            <v>SW15 1PN</v>
          </cell>
          <cell r="O1517" t="str">
            <v>pam.young@hotham.wandsworth.sch.uk</v>
          </cell>
        </row>
        <row r="1518">
          <cell r="A1518">
            <v>8154041</v>
          </cell>
          <cell r="B1518">
            <v>121668</v>
          </cell>
          <cell r="C1518">
            <v>815</v>
          </cell>
          <cell r="D1518" t="str">
            <v>North Yorkshire</v>
          </cell>
          <cell r="E1518">
            <v>4041</v>
          </cell>
          <cell r="F1518" t="str">
            <v>Jane Moore</v>
          </cell>
          <cell r="G1518" t="str">
            <v>Eskdale School</v>
          </cell>
          <cell r="H1518" t="str">
            <v>Yorkshire and the Humber</v>
          </cell>
          <cell r="I1518" t="str">
            <v>Stainsacre Lane</v>
          </cell>
          <cell r="L1518" t="str">
            <v>Whitby</v>
          </cell>
          <cell r="M1518" t="str">
            <v>North Yorkshire</v>
          </cell>
          <cell r="N1518" t="str">
            <v>YO22 4HS</v>
          </cell>
          <cell r="O1518" t="str">
            <v>admin@eskdale.n-yorks.sch.uk</v>
          </cell>
        </row>
        <row r="1519">
          <cell r="A1519">
            <v>8967109</v>
          </cell>
          <cell r="B1519">
            <v>111505</v>
          </cell>
          <cell r="C1519">
            <v>896</v>
          </cell>
          <cell r="D1519" t="str">
            <v>Cheshire West and Chester</v>
          </cell>
          <cell r="E1519">
            <v>7109</v>
          </cell>
          <cell r="F1519" t="str">
            <v>Susan Shakespeare</v>
          </cell>
          <cell r="G1519" t="str">
            <v>Hebden Green Community School</v>
          </cell>
          <cell r="H1519" t="str">
            <v>North West</v>
          </cell>
          <cell r="I1519" t="str">
            <v>Woodford Lane West</v>
          </cell>
          <cell r="L1519" t="str">
            <v>Winsford</v>
          </cell>
          <cell r="M1519" t="str">
            <v>Cheshire</v>
          </cell>
          <cell r="N1519" t="str">
            <v>CW7 4EJ</v>
          </cell>
          <cell r="O1519" t="str">
            <v>afarren@hebdengreen.cheshire.sch.uk</v>
          </cell>
        </row>
        <row r="1520">
          <cell r="A1520">
            <v>3075200</v>
          </cell>
          <cell r="B1520">
            <v>101935</v>
          </cell>
          <cell r="C1520">
            <v>307</v>
          </cell>
          <cell r="D1520" t="str">
            <v>Ealing</v>
          </cell>
          <cell r="E1520">
            <v>5200</v>
          </cell>
          <cell r="F1520" t="str">
            <v>Sheila Longstaff</v>
          </cell>
          <cell r="G1520" t="str">
            <v>Wood End Junior School</v>
          </cell>
          <cell r="H1520" t="str">
            <v>London</v>
          </cell>
          <cell r="I1520" t="str">
            <v>Vernon Rise</v>
          </cell>
          <cell r="L1520" t="str">
            <v>Greenford</v>
          </cell>
          <cell r="N1520" t="str">
            <v>UB6 0EQ</v>
          </cell>
          <cell r="O1520" t="str">
            <v>head@woodend-jun.ealing.sch.uk</v>
          </cell>
          <cell r="P1520">
            <v>40578</v>
          </cell>
        </row>
        <row r="1521">
          <cell r="A1521">
            <v>8603422</v>
          </cell>
          <cell r="B1521">
            <v>124327</v>
          </cell>
          <cell r="C1521">
            <v>860</v>
          </cell>
          <cell r="D1521" t="str">
            <v>Staffordshire</v>
          </cell>
          <cell r="E1521">
            <v>3422</v>
          </cell>
          <cell r="F1521" t="str">
            <v>Stephen Bagnall</v>
          </cell>
          <cell r="G1521" t="str">
            <v>Holy Rosary Catholic Primary School</v>
          </cell>
          <cell r="H1521" t="str">
            <v>West Midlands</v>
          </cell>
          <cell r="I1521" t="str">
            <v>Alexandra Road</v>
          </cell>
          <cell r="L1521" t="str">
            <v>Burton-on-Trent</v>
          </cell>
          <cell r="M1521" t="str">
            <v>Staffordshire</v>
          </cell>
          <cell r="N1521" t="str">
            <v>DE15 0JE</v>
          </cell>
          <cell r="O1521" t="str">
            <v>headteacher@holyrosary.staffs.sch.uk</v>
          </cell>
        </row>
        <row r="1522">
          <cell r="A1522">
            <v>9285404</v>
          </cell>
          <cell r="B1522">
            <v>122117</v>
          </cell>
          <cell r="C1522">
            <v>928</v>
          </cell>
          <cell r="D1522" t="str">
            <v>Northamptonshire</v>
          </cell>
          <cell r="E1522">
            <v>5404</v>
          </cell>
          <cell r="F1522" t="str">
            <v>Sean Cox</v>
          </cell>
          <cell r="G1522" t="str">
            <v>Northampton School for Boys</v>
          </cell>
          <cell r="H1522" t="str">
            <v>East Midlands</v>
          </cell>
          <cell r="I1522" t="str">
            <v>Billing Road</v>
          </cell>
          <cell r="L1522" t="str">
            <v>Northampton</v>
          </cell>
          <cell r="M1522" t="str">
            <v>Northamptonshire</v>
          </cell>
          <cell r="N1522" t="str">
            <v>NN1 5RT</v>
          </cell>
          <cell r="O1522" t="str">
            <v>mgriffiths@nsb.northants.sch.uk</v>
          </cell>
          <cell r="P1522">
            <v>40357</v>
          </cell>
        </row>
        <row r="1523">
          <cell r="A1523">
            <v>8843078</v>
          </cell>
          <cell r="B1523">
            <v>116832</v>
          </cell>
          <cell r="C1523">
            <v>884</v>
          </cell>
          <cell r="D1523" t="str">
            <v>Herefordshire</v>
          </cell>
          <cell r="E1523">
            <v>3078</v>
          </cell>
          <cell r="F1523" t="str">
            <v>Julia Waterhouse</v>
          </cell>
          <cell r="G1523" t="str">
            <v>Mordiford CofE Primary School</v>
          </cell>
          <cell r="H1523" t="str">
            <v>West Midlands</v>
          </cell>
          <cell r="I1523" t="str">
            <v>Mordiford</v>
          </cell>
          <cell r="L1523" t="str">
            <v>Hereford</v>
          </cell>
          <cell r="M1523" t="str">
            <v>Herefordshire</v>
          </cell>
          <cell r="N1523" t="str">
            <v>HR1 4LW</v>
          </cell>
          <cell r="O1523" t="str">
            <v>ekearns@mordiford.hereford.sch.uk</v>
          </cell>
          <cell r="P1523">
            <v>40878</v>
          </cell>
        </row>
        <row r="1524">
          <cell r="A1524">
            <v>3102085</v>
          </cell>
          <cell r="B1524">
            <v>102214</v>
          </cell>
          <cell r="C1524">
            <v>310</v>
          </cell>
          <cell r="D1524" t="str">
            <v>Harrow</v>
          </cell>
          <cell r="E1524">
            <v>2085</v>
          </cell>
          <cell r="F1524" t="str">
            <v>Helen Fisher</v>
          </cell>
          <cell r="G1524" t="str">
            <v>Stanburn First School</v>
          </cell>
          <cell r="H1524" t="str">
            <v>London</v>
          </cell>
          <cell r="I1524" t="str">
            <v>Abercorn Road</v>
          </cell>
          <cell r="L1524" t="str">
            <v>Stanmore</v>
          </cell>
          <cell r="N1524" t="str">
            <v>HA7 2PJ</v>
          </cell>
          <cell r="O1524" t="str">
            <v>adrakeford.310@lgflmail.org</v>
          </cell>
        </row>
        <row r="1525">
          <cell r="A1525">
            <v>3912910</v>
          </cell>
          <cell r="B1525">
            <v>108482</v>
          </cell>
          <cell r="C1525">
            <v>391</v>
          </cell>
          <cell r="D1525" t="str">
            <v>Newcastle upon Tyne</v>
          </cell>
          <cell r="E1525">
            <v>2910</v>
          </cell>
          <cell r="F1525" t="str">
            <v>Carol Blain</v>
          </cell>
          <cell r="G1525" t="str">
            <v>Westgate Hill Primary School</v>
          </cell>
          <cell r="H1525" t="str">
            <v>North East</v>
          </cell>
          <cell r="I1525" t="str">
            <v>Westgate Road</v>
          </cell>
          <cell r="L1525" t="str">
            <v>Newcastle-upon-Tyne</v>
          </cell>
          <cell r="M1525" t="str">
            <v>Tyne and Wear</v>
          </cell>
          <cell r="N1525" t="str">
            <v>NE4 6NY</v>
          </cell>
          <cell r="O1525" t="str">
            <v>admin@moorside.newcastle.sch.uk</v>
          </cell>
          <cell r="P1525">
            <v>41116</v>
          </cell>
        </row>
        <row r="1526">
          <cell r="A1526">
            <v>9084159</v>
          </cell>
          <cell r="B1526">
            <v>112054</v>
          </cell>
          <cell r="C1526">
            <v>908</v>
          </cell>
          <cell r="D1526" t="str">
            <v>Cornwall</v>
          </cell>
          <cell r="E1526">
            <v>4159</v>
          </cell>
          <cell r="F1526" t="str">
            <v>Not yet assigned</v>
          </cell>
          <cell r="G1526" t="str">
            <v>Redruth School: A Technology College</v>
          </cell>
          <cell r="H1526" t="str">
            <v>South West</v>
          </cell>
          <cell r="I1526" t="str">
            <v>Tolgus Vean</v>
          </cell>
          <cell r="L1526" t="str">
            <v>Redruth</v>
          </cell>
          <cell r="M1526" t="str">
            <v>Cornwall</v>
          </cell>
          <cell r="N1526" t="str">
            <v>TR15 1TA</v>
          </cell>
          <cell r="O1526" t="str">
            <v>cmartin@redruth.cornwall.sch.uk</v>
          </cell>
        </row>
        <row r="1527">
          <cell r="A1527">
            <v>9163064</v>
          </cell>
          <cell r="B1527">
            <v>115646</v>
          </cell>
          <cell r="C1527">
            <v>916</v>
          </cell>
          <cell r="D1527" t="str">
            <v>Gloucestershire</v>
          </cell>
          <cell r="E1527">
            <v>3064</v>
          </cell>
          <cell r="F1527" t="str">
            <v>Nigel Mills</v>
          </cell>
          <cell r="G1527" t="str">
            <v>Redmarley Church of England Primary School</v>
          </cell>
          <cell r="H1527" t="str">
            <v>South West</v>
          </cell>
          <cell r="I1527" t="str">
            <v>Redmarley</v>
          </cell>
          <cell r="L1527" t="str">
            <v>Gloucester</v>
          </cell>
          <cell r="M1527" t="str">
            <v>Gloucestershire</v>
          </cell>
          <cell r="N1527" t="str">
            <v>GL19 3HS</v>
          </cell>
          <cell r="O1527" t="str">
            <v xml:space="preserve"> head@redmarley.gloucs.sch.uk</v>
          </cell>
          <cell r="P1527">
            <v>40567</v>
          </cell>
        </row>
        <row r="1528">
          <cell r="A1528">
            <v>9255416</v>
          </cell>
          <cell r="B1528">
            <v>120712</v>
          </cell>
          <cell r="C1528">
            <v>925</v>
          </cell>
          <cell r="D1528" t="str">
            <v>Lincolnshire</v>
          </cell>
          <cell r="E1528">
            <v>5416</v>
          </cell>
          <cell r="F1528" t="str">
            <v>Sue Harp</v>
          </cell>
          <cell r="G1528" t="str">
            <v>Sir John Gleed School</v>
          </cell>
          <cell r="H1528" t="str">
            <v>East Midlands</v>
          </cell>
          <cell r="I1528" t="str">
            <v>Neville Avenue</v>
          </cell>
          <cell r="L1528" t="str">
            <v>Spalding</v>
          </cell>
          <cell r="M1528" t="str">
            <v>Lincolnshire</v>
          </cell>
          <cell r="N1528" t="str">
            <v>PE11 2EJ</v>
          </cell>
          <cell r="O1528" t="str">
            <v>janet.daniels@gleed.lincs.sch.uk</v>
          </cell>
          <cell r="P1528">
            <v>41101</v>
          </cell>
        </row>
        <row r="1529">
          <cell r="A1529">
            <v>3325402</v>
          </cell>
          <cell r="B1529">
            <v>103872</v>
          </cell>
          <cell r="C1529">
            <v>332</v>
          </cell>
          <cell r="D1529" t="str">
            <v>Dudley</v>
          </cell>
          <cell r="E1529">
            <v>5402</v>
          </cell>
          <cell r="F1529" t="str">
            <v>Stephen Bagnall</v>
          </cell>
          <cell r="G1529" t="str">
            <v>The Kingswinford School A Science College</v>
          </cell>
          <cell r="H1529" t="str">
            <v>West Midlands</v>
          </cell>
          <cell r="I1529" t="str">
            <v>Water Street</v>
          </cell>
          <cell r="L1529" t="str">
            <v>Kingswinford</v>
          </cell>
          <cell r="M1529" t="str">
            <v>West Midlands</v>
          </cell>
          <cell r="N1529" t="str">
            <v>DY6 7AD</v>
          </cell>
          <cell r="O1529" t="str">
            <v>bhedley@kingswinford.dudley.sch.uk</v>
          </cell>
          <cell r="P1529">
            <v>40737</v>
          </cell>
        </row>
        <row r="1530">
          <cell r="A1530">
            <v>8815222</v>
          </cell>
          <cell r="B1530">
            <v>115262</v>
          </cell>
          <cell r="C1530">
            <v>881</v>
          </cell>
          <cell r="D1530" t="str">
            <v>Essex</v>
          </cell>
          <cell r="E1530">
            <v>5222</v>
          </cell>
          <cell r="F1530" t="str">
            <v>Lilian Da Cunha</v>
          </cell>
          <cell r="G1530" t="str">
            <v>South Benfleet Foundation Primary School</v>
          </cell>
          <cell r="H1530" t="str">
            <v>East of England</v>
          </cell>
          <cell r="I1530" t="str">
            <v>High Road</v>
          </cell>
          <cell r="J1530" t="str">
            <v>South Benfleet</v>
          </cell>
          <cell r="L1530" t="str">
            <v>Benfleet</v>
          </cell>
          <cell r="M1530" t="str">
            <v>Essex</v>
          </cell>
          <cell r="N1530" t="str">
            <v>SS7 5HA</v>
          </cell>
          <cell r="O1530" t="str">
            <v>headt@southbenfleet.essex.sch.uk</v>
          </cell>
          <cell r="P1530">
            <v>40606</v>
          </cell>
        </row>
        <row r="1531">
          <cell r="A1531">
            <v>9362108</v>
          </cell>
          <cell r="B1531">
            <v>124969</v>
          </cell>
          <cell r="C1531">
            <v>936</v>
          </cell>
          <cell r="D1531" t="str">
            <v>Surrey</v>
          </cell>
          <cell r="E1531">
            <v>2108</v>
          </cell>
          <cell r="F1531" t="str">
            <v>Gabriela Grimley</v>
          </cell>
          <cell r="G1531" t="str">
            <v>The Bourne Community School</v>
          </cell>
          <cell r="H1531" t="str">
            <v>South East</v>
          </cell>
          <cell r="I1531" t="str">
            <v>School Lane</v>
          </cell>
          <cell r="J1531" t="str">
            <v>Lower Bourne</v>
          </cell>
          <cell r="L1531" t="str">
            <v>Farnham</v>
          </cell>
          <cell r="M1531" t="str">
            <v>Surrey</v>
          </cell>
          <cell r="N1531" t="str">
            <v>GU10 3PE</v>
          </cell>
          <cell r="O1531" t="str">
            <v>csmail@tinyworld.co.uk</v>
          </cell>
        </row>
        <row r="1532">
          <cell r="A1532">
            <v>3582014</v>
          </cell>
          <cell r="B1532">
            <v>106296</v>
          </cell>
          <cell r="C1532">
            <v>358</v>
          </cell>
          <cell r="D1532" t="str">
            <v>Trafford</v>
          </cell>
          <cell r="E1532">
            <v>2014</v>
          </cell>
          <cell r="F1532" t="str">
            <v>Jane McCusker</v>
          </cell>
          <cell r="G1532" t="str">
            <v>Bollin Primary School</v>
          </cell>
          <cell r="H1532" t="str">
            <v>North West</v>
          </cell>
          <cell r="I1532" t="str">
            <v>Apsley Grove</v>
          </cell>
          <cell r="J1532" t="str">
            <v>Bowdon</v>
          </cell>
          <cell r="L1532" t="str">
            <v>Altrincham</v>
          </cell>
          <cell r="M1532" t="str">
            <v>Cheshire</v>
          </cell>
          <cell r="N1532" t="str">
            <v>WA14 3AH</v>
          </cell>
          <cell r="O1532" t="str">
            <v>head@bollin.trafford.sch.uk</v>
          </cell>
        </row>
        <row r="1533">
          <cell r="A1533">
            <v>9165423</v>
          </cell>
          <cell r="B1533">
            <v>115774</v>
          </cell>
          <cell r="C1533">
            <v>916</v>
          </cell>
          <cell r="D1533" t="str">
            <v>Gloucestershire</v>
          </cell>
          <cell r="E1533">
            <v>5423</v>
          </cell>
          <cell r="F1533" t="str">
            <v>Theresa Oddelm</v>
          </cell>
          <cell r="G1533" t="str">
            <v>Lakers School</v>
          </cell>
          <cell r="H1533" t="str">
            <v>South West</v>
          </cell>
          <cell r="I1533" t="str">
            <v>Five Acres</v>
          </cell>
          <cell r="L1533" t="str">
            <v>Coleford</v>
          </cell>
          <cell r="M1533" t="str">
            <v>Gloucestershire</v>
          </cell>
          <cell r="N1533" t="str">
            <v>GL16 7QW</v>
          </cell>
          <cell r="O1533" t="str">
            <v>elliotta@lakers.gloucs.sch.uk</v>
          </cell>
          <cell r="P1533">
            <v>40991</v>
          </cell>
        </row>
        <row r="1534">
          <cell r="A1534">
            <v>3303420</v>
          </cell>
          <cell r="B1534">
            <v>133995</v>
          </cell>
          <cell r="C1534">
            <v>330</v>
          </cell>
          <cell r="D1534" t="str">
            <v>Birmingham</v>
          </cell>
          <cell r="E1534">
            <v>3420</v>
          </cell>
          <cell r="F1534" t="str">
            <v>Alison Middleton</v>
          </cell>
          <cell r="G1534" t="str">
            <v>Four Dwellings Primary School</v>
          </cell>
          <cell r="H1534" t="str">
            <v>West Midlands</v>
          </cell>
          <cell r="I1534" t="str">
            <v>Quinton Road West</v>
          </cell>
          <cell r="L1534" t="str">
            <v>Birmingham</v>
          </cell>
          <cell r="M1534" t="str">
            <v>West Midlands</v>
          </cell>
          <cell r="N1534" t="str">
            <v>B32 1PJ</v>
          </cell>
          <cell r="O1534" t="str">
            <v>enquiry@fdwellp.bham.sch.uk</v>
          </cell>
        </row>
        <row r="1535">
          <cell r="A1535">
            <v>3065900</v>
          </cell>
          <cell r="B1535">
            <v>131280</v>
          </cell>
          <cell r="C1535">
            <v>306</v>
          </cell>
          <cell r="D1535" t="str">
            <v>Croydon</v>
          </cell>
          <cell r="E1535">
            <v>5900</v>
          </cell>
          <cell r="F1535" t="str">
            <v>Helen Barry</v>
          </cell>
          <cell r="G1535" t="str">
            <v>Virgo Fidelis Convent Senior School</v>
          </cell>
          <cell r="H1535" t="str">
            <v>London</v>
          </cell>
          <cell r="I1535" t="str">
            <v>147 Central Hill</v>
          </cell>
          <cell r="J1535" t="str">
            <v>Upper Norwood</v>
          </cell>
          <cell r="L1535" t="str">
            <v>London</v>
          </cell>
          <cell r="N1535" t="str">
            <v>SE19 1RS</v>
          </cell>
          <cell r="O1535" t="str">
            <v xml:space="preserve">Sr.Bernadette@virgofidelis.org.uk </v>
          </cell>
        </row>
        <row r="1536">
          <cell r="A1536">
            <v>8254044</v>
          </cell>
          <cell r="B1536">
            <v>110491</v>
          </cell>
          <cell r="C1536">
            <v>825</v>
          </cell>
          <cell r="D1536" t="str">
            <v>Buckinghamshire</v>
          </cell>
          <cell r="E1536">
            <v>4044</v>
          </cell>
          <cell r="F1536" t="str">
            <v>Darren Francis</v>
          </cell>
          <cell r="G1536" t="str">
            <v>John Colet School</v>
          </cell>
          <cell r="H1536" t="str">
            <v>South East</v>
          </cell>
          <cell r="I1536" t="str">
            <v>Wharf Road</v>
          </cell>
          <cell r="J1536" t="str">
            <v>Wendover</v>
          </cell>
          <cell r="L1536" t="str">
            <v>Aylesbury</v>
          </cell>
          <cell r="M1536" t="str">
            <v>Buckinghamshire</v>
          </cell>
          <cell r="N1536" t="str">
            <v>HP22 6HF</v>
          </cell>
          <cell r="O1536" t="str">
            <v>cmclintock@johncolet.co.uk</v>
          </cell>
          <cell r="P1536">
            <v>40634</v>
          </cell>
        </row>
        <row r="1537">
          <cell r="A1537">
            <v>8732318</v>
          </cell>
          <cell r="B1537">
            <v>110751</v>
          </cell>
          <cell r="C1537">
            <v>873</v>
          </cell>
          <cell r="D1537" t="str">
            <v>Cambridgeshire</v>
          </cell>
          <cell r="E1537">
            <v>2318</v>
          </cell>
          <cell r="F1537" t="str">
            <v>Colin McGuffie</v>
          </cell>
          <cell r="G1537" t="str">
            <v>Histon and Impington Junior School</v>
          </cell>
          <cell r="H1537" t="str">
            <v>East of England</v>
          </cell>
          <cell r="I1537" t="str">
            <v>The Green</v>
          </cell>
          <cell r="J1537" t="str">
            <v>Histon</v>
          </cell>
          <cell r="L1537" t="str">
            <v>Cambridge</v>
          </cell>
          <cell r="M1537" t="str">
            <v>Cambridgeshire</v>
          </cell>
          <cell r="N1537" t="str">
            <v>CB24 9JA</v>
          </cell>
          <cell r="O1537" t="str">
            <v>head@histonimpington-jun.cambs.sch.uk</v>
          </cell>
          <cell r="P1537">
            <v>41011</v>
          </cell>
        </row>
        <row r="1538">
          <cell r="A1538">
            <v>8944425</v>
          </cell>
          <cell r="B1538">
            <v>123582</v>
          </cell>
          <cell r="C1538">
            <v>894</v>
          </cell>
          <cell r="D1538" t="str">
            <v>Telford and Wrekin</v>
          </cell>
          <cell r="E1538">
            <v>4425</v>
          </cell>
          <cell r="F1538" t="str">
            <v>Hannah Copp</v>
          </cell>
          <cell r="G1538" t="str">
            <v>The Lord Silkin School</v>
          </cell>
          <cell r="H1538" t="str">
            <v>West Midlands</v>
          </cell>
          <cell r="I1538" t="str">
            <v>District Centre</v>
          </cell>
          <cell r="J1538" t="str">
            <v>Stirchley</v>
          </cell>
          <cell r="L1538" t="str">
            <v>Telford</v>
          </cell>
          <cell r="M1538" t="str">
            <v>Shropshire</v>
          </cell>
          <cell r="N1538" t="str">
            <v>TF3 1FA</v>
          </cell>
          <cell r="O1538" t="str">
            <v>trevor.goddard@taw.org.uk</v>
          </cell>
          <cell r="P1538">
            <v>41227</v>
          </cell>
        </row>
        <row r="1539">
          <cell r="A1539">
            <v>8414603</v>
          </cell>
          <cell r="B1539">
            <v>114324</v>
          </cell>
          <cell r="C1539">
            <v>841</v>
          </cell>
          <cell r="D1539" t="str">
            <v>Darlington</v>
          </cell>
          <cell r="E1539">
            <v>4603</v>
          </cell>
          <cell r="F1539" t="str">
            <v>Jane Moore</v>
          </cell>
          <cell r="G1539" t="str">
            <v>Carmel RC College</v>
          </cell>
          <cell r="H1539" t="str">
            <v>North East</v>
          </cell>
          <cell r="I1539" t="str">
            <v>The Headlands</v>
          </cell>
          <cell r="L1539" t="str">
            <v>Darlington</v>
          </cell>
          <cell r="M1539" t="str">
            <v>County Durham</v>
          </cell>
          <cell r="N1539" t="str">
            <v>DL3 8RW</v>
          </cell>
          <cell r="O1539" t="str">
            <v>mregan@carmel.org.uk</v>
          </cell>
          <cell r="P1539">
            <v>40728</v>
          </cell>
        </row>
        <row r="1540">
          <cell r="A1540">
            <v>8014101</v>
          </cell>
          <cell r="B1540">
            <v>109290</v>
          </cell>
          <cell r="C1540">
            <v>801</v>
          </cell>
          <cell r="D1540" t="str">
            <v>Bristol City of</v>
          </cell>
          <cell r="E1540">
            <v>4101</v>
          </cell>
          <cell r="F1540" t="str">
            <v>Theresa Oddelm</v>
          </cell>
          <cell r="G1540" t="str">
            <v>Fairfield High School</v>
          </cell>
          <cell r="H1540" t="str">
            <v>South West</v>
          </cell>
          <cell r="I1540" t="str">
            <v>Allfoxton Road</v>
          </cell>
          <cell r="J1540" t="str">
            <v>Horfield</v>
          </cell>
          <cell r="L1540" t="str">
            <v>Bristol</v>
          </cell>
          <cell r="N1540" t="str">
            <v>BS7 9NL</v>
          </cell>
          <cell r="O1540" t="str">
            <v>cma@fairfield.bristol.sch.uk</v>
          </cell>
          <cell r="P1540">
            <v>41190</v>
          </cell>
        </row>
        <row r="1541">
          <cell r="A1541">
            <v>8512697</v>
          </cell>
          <cell r="B1541">
            <v>116210</v>
          </cell>
          <cell r="C1541">
            <v>851</v>
          </cell>
          <cell r="D1541" t="str">
            <v>Portsmouth</v>
          </cell>
          <cell r="E1541">
            <v>2697</v>
          </cell>
          <cell r="F1541" t="str">
            <v>Eric Mcewen</v>
          </cell>
          <cell r="G1541" t="str">
            <v>Penhale Infant School,Nursery &amp; Hearing Impaired Resource</v>
          </cell>
          <cell r="H1541" t="str">
            <v>South East</v>
          </cell>
          <cell r="I1541" t="str">
            <v>Lincoln Road</v>
          </cell>
          <cell r="J1541" t="str">
            <v>Fratton</v>
          </cell>
          <cell r="L1541" t="str">
            <v>Portsmouth</v>
          </cell>
          <cell r="M1541" t="str">
            <v>Hampshire</v>
          </cell>
          <cell r="N1541" t="str">
            <v>PO1 5BG</v>
          </cell>
          <cell r="O1541" t="str">
            <v>k.keller@penhale.portsmouth.sch.uk</v>
          </cell>
        </row>
        <row r="1542">
          <cell r="A1542">
            <v>8914463</v>
          </cell>
          <cell r="B1542">
            <v>133266</v>
          </cell>
          <cell r="C1542">
            <v>891</v>
          </cell>
          <cell r="D1542" t="str">
            <v>Nottinghamshire</v>
          </cell>
          <cell r="E1542">
            <v>4463</v>
          </cell>
          <cell r="F1542" t="str">
            <v>Sue Harp</v>
          </cell>
          <cell r="G1542" t="str">
            <v>The Brunts School</v>
          </cell>
          <cell r="H1542" t="str">
            <v>East Midlands</v>
          </cell>
          <cell r="I1542" t="str">
            <v>The Park</v>
          </cell>
          <cell r="L1542" t="str">
            <v>Mansfield</v>
          </cell>
          <cell r="M1542" t="str">
            <v>Nottinghamshire</v>
          </cell>
          <cell r="N1542" t="str">
            <v>NG18 2AT</v>
          </cell>
          <cell r="O1542" t="str">
            <v>jaddison@thebrunts.org</v>
          </cell>
          <cell r="P1542">
            <v>40745</v>
          </cell>
        </row>
        <row r="1543">
          <cell r="A1543">
            <v>9083717</v>
          </cell>
          <cell r="B1543">
            <v>112019</v>
          </cell>
          <cell r="C1543">
            <v>908</v>
          </cell>
          <cell r="D1543" t="str">
            <v>Cornwall</v>
          </cell>
          <cell r="E1543">
            <v>3717</v>
          </cell>
          <cell r="F1543" t="str">
            <v>Kate Bosher</v>
          </cell>
          <cell r="G1543" t="str">
            <v>St Tudy CofE VA Primary School</v>
          </cell>
          <cell r="H1543" t="str">
            <v>South West</v>
          </cell>
          <cell r="I1543" t="str">
            <v>St Tudy</v>
          </cell>
          <cell r="L1543" t="str">
            <v>Bodmin</v>
          </cell>
          <cell r="M1543" t="str">
            <v>Cornwall</v>
          </cell>
          <cell r="N1543" t="str">
            <v>PL30 3NH</v>
          </cell>
          <cell r="O1543" t="str">
            <v>head@st-tudy.cornwall.sch.uk</v>
          </cell>
          <cell r="P1543">
            <v>41129</v>
          </cell>
        </row>
        <row r="1544">
          <cell r="A1544">
            <v>8454026</v>
          </cell>
          <cell r="B1544">
            <v>114585</v>
          </cell>
          <cell r="C1544">
            <v>845</v>
          </cell>
          <cell r="D1544" t="str">
            <v>East Sussex</v>
          </cell>
          <cell r="E1544">
            <v>4026</v>
          </cell>
          <cell r="F1544" t="str">
            <v>Sarah Mitchell</v>
          </cell>
          <cell r="G1544" t="str">
            <v>Beacon Community College</v>
          </cell>
          <cell r="H1544" t="str">
            <v>South East</v>
          </cell>
          <cell r="I1544" t="str">
            <v>East Beeches Road</v>
          </cell>
          <cell r="L1544" t="str">
            <v>Crowborough</v>
          </cell>
          <cell r="M1544" t="str">
            <v>East Sussex</v>
          </cell>
          <cell r="N1544" t="str">
            <v>TN6 2AS</v>
          </cell>
          <cell r="O1544" t="str">
            <v>p.swan@beacon.e-sussex.sch.uk</v>
          </cell>
          <cell r="P1544">
            <v>40813</v>
          </cell>
        </row>
        <row r="1545">
          <cell r="A1545">
            <v>9167017</v>
          </cell>
          <cell r="B1545">
            <v>115823</v>
          </cell>
          <cell r="C1545">
            <v>916</v>
          </cell>
          <cell r="D1545" t="str">
            <v>Gloucestershire</v>
          </cell>
          <cell r="E1545">
            <v>7017</v>
          </cell>
          <cell r="F1545" t="str">
            <v>Ed Schuldt</v>
          </cell>
          <cell r="G1545" t="str">
            <v>The Shrubberies School</v>
          </cell>
          <cell r="H1545" t="str">
            <v>South West</v>
          </cell>
          <cell r="I1545" t="str">
            <v>Oldends Lane</v>
          </cell>
          <cell r="L1545" t="str">
            <v>Stonehouse</v>
          </cell>
          <cell r="M1545" t="str">
            <v>Gloucestershire</v>
          </cell>
          <cell r="N1545" t="str">
            <v>GL10 2DG</v>
          </cell>
          <cell r="O1545" t="str">
            <v>head@shrubberies.gloucs.sch.uk</v>
          </cell>
        </row>
        <row r="1546">
          <cell r="A1546">
            <v>8884403</v>
          </cell>
          <cell r="B1546">
            <v>119768</v>
          </cell>
          <cell r="C1546">
            <v>888</v>
          </cell>
          <cell r="D1546" t="str">
            <v>Lancashire</v>
          </cell>
          <cell r="E1546">
            <v>4403</v>
          </cell>
          <cell r="F1546" t="str">
            <v>Stuart Mepham</v>
          </cell>
          <cell r="G1546" t="str">
            <v>Albany Science College</v>
          </cell>
          <cell r="H1546" t="str">
            <v>North West</v>
          </cell>
          <cell r="I1546" t="str">
            <v>Bolton Road</v>
          </cell>
          <cell r="L1546" t="str">
            <v>Chorley</v>
          </cell>
          <cell r="M1546" t="str">
            <v>Lancashire</v>
          </cell>
          <cell r="N1546" t="str">
            <v>PR7 3AY</v>
          </cell>
          <cell r="O1546" t="str">
            <v>head@albanysciencecollege.co.uk</v>
          </cell>
          <cell r="P1546">
            <v>40882</v>
          </cell>
        </row>
        <row r="1547">
          <cell r="A1547">
            <v>8555401</v>
          </cell>
          <cell r="B1547">
            <v>120309</v>
          </cell>
          <cell r="C1547">
            <v>855</v>
          </cell>
          <cell r="D1547" t="str">
            <v>Leicestershire</v>
          </cell>
          <cell r="E1547">
            <v>5401</v>
          </cell>
          <cell r="F1547" t="str">
            <v>Stephen Standret</v>
          </cell>
          <cell r="G1547" t="str">
            <v>Bushloe High School</v>
          </cell>
          <cell r="H1547" t="str">
            <v>East Midlands</v>
          </cell>
          <cell r="I1547" t="str">
            <v>Station Road</v>
          </cell>
          <cell r="J1547" t="str">
            <v>Wigston Magna</v>
          </cell>
          <cell r="L1547" t="str">
            <v>Wigston</v>
          </cell>
          <cell r="M1547" t="str">
            <v>Leicestershire</v>
          </cell>
          <cell r="N1547" t="str">
            <v>LE18 2DT</v>
          </cell>
          <cell r="O1547" t="str">
            <v>bbrand@bushloe.leics.sch.uk</v>
          </cell>
          <cell r="P1547">
            <v>41019</v>
          </cell>
        </row>
        <row r="1548">
          <cell r="A1548">
            <v>8504182</v>
          </cell>
          <cell r="B1548">
            <v>116441</v>
          </cell>
          <cell r="C1548">
            <v>850</v>
          </cell>
          <cell r="D1548" t="str">
            <v>Hampshire</v>
          </cell>
          <cell r="E1548">
            <v>4182</v>
          </cell>
          <cell r="F1548" t="str">
            <v>Gabriela Grimley</v>
          </cell>
          <cell r="G1548" t="str">
            <v>Brighton Hill Community College</v>
          </cell>
          <cell r="H1548" t="str">
            <v>South East</v>
          </cell>
          <cell r="I1548" t="str">
            <v>Brighton Way</v>
          </cell>
          <cell r="L1548" t="str">
            <v>Basingstoke</v>
          </cell>
          <cell r="M1548" t="str">
            <v>Hampshire</v>
          </cell>
          <cell r="N1548" t="str">
            <v>RG22 4HS</v>
          </cell>
          <cell r="O1548" t="str">
            <v>david.eyre@brightonhill.hants.sch.uk</v>
          </cell>
        </row>
        <row r="1549">
          <cell r="A1549">
            <v>8872412</v>
          </cell>
          <cell r="B1549">
            <v>118431</v>
          </cell>
          <cell r="C1549">
            <v>887</v>
          </cell>
          <cell r="D1549" t="str">
            <v>Medway</v>
          </cell>
          <cell r="E1549">
            <v>2412</v>
          </cell>
          <cell r="F1549" t="str">
            <v>Sarah Mitchell</v>
          </cell>
          <cell r="G1549" t="str">
            <v>Woodlands Primary School</v>
          </cell>
          <cell r="H1549" t="str">
            <v>South East</v>
          </cell>
          <cell r="I1549" t="str">
            <v>Woodlands Road</v>
          </cell>
          <cell r="L1549" t="str">
            <v>Gillingham</v>
          </cell>
          <cell r="M1549" t="str">
            <v>Kent</v>
          </cell>
          <cell r="N1549" t="str">
            <v>ME7 2DU</v>
          </cell>
          <cell r="O1549" t="str">
            <v>fiddn001@medway.org.uk</v>
          </cell>
          <cell r="P1549">
            <v>40918</v>
          </cell>
        </row>
        <row r="1550">
          <cell r="A1550">
            <v>3847055</v>
          </cell>
          <cell r="B1550">
            <v>133719</v>
          </cell>
          <cell r="C1550">
            <v>384</v>
          </cell>
          <cell r="D1550" t="str">
            <v>Wakefield</v>
          </cell>
          <cell r="E1550">
            <v>7055</v>
          </cell>
          <cell r="F1550" t="str">
            <v>Glyn Newton</v>
          </cell>
          <cell r="G1550" t="str">
            <v>Oakfield Park School, Ackworth</v>
          </cell>
          <cell r="H1550" t="str">
            <v>Yorkshire and the Humber</v>
          </cell>
          <cell r="I1550" t="str">
            <v>Barnsley Road</v>
          </cell>
          <cell r="J1550" t="str">
            <v>Ackworth</v>
          </cell>
          <cell r="L1550" t="str">
            <v>Pontefract</v>
          </cell>
          <cell r="M1550" t="str">
            <v>West Yorkshire</v>
          </cell>
          <cell r="N1550" t="str">
            <v>WF7 7DT</v>
          </cell>
          <cell r="O1550" t="str">
            <v>wendyfereday@hotmail.com</v>
          </cell>
        </row>
        <row r="1551">
          <cell r="A1551">
            <v>3802038</v>
          </cell>
          <cell r="B1551">
            <v>107209</v>
          </cell>
          <cell r="C1551">
            <v>380</v>
          </cell>
          <cell r="D1551" t="str">
            <v>Bradford</v>
          </cell>
          <cell r="E1551">
            <v>2038</v>
          </cell>
          <cell r="F1551" t="str">
            <v>Janet Smith</v>
          </cell>
          <cell r="G1551" t="str">
            <v>Heaton Primary School</v>
          </cell>
          <cell r="H1551" t="str">
            <v>Yorkshire and the Humber</v>
          </cell>
          <cell r="I1551" t="str">
            <v>Haworth Road</v>
          </cell>
          <cell r="L1551" t="str">
            <v>Bradford</v>
          </cell>
          <cell r="M1551" t="str">
            <v>West Yorkshire</v>
          </cell>
          <cell r="N1551" t="str">
            <v>BD9 6LL</v>
          </cell>
          <cell r="O1551" t="str">
            <v>beverley.ledra@heaton.bradford.sch.uk</v>
          </cell>
          <cell r="P1551">
            <v>40661</v>
          </cell>
        </row>
        <row r="1552">
          <cell r="A1552">
            <v>8724048</v>
          </cell>
          <cell r="B1552">
            <v>110059</v>
          </cell>
          <cell r="C1552">
            <v>872</v>
          </cell>
          <cell r="D1552" t="str">
            <v>Wokingham</v>
          </cell>
          <cell r="E1552">
            <v>4048</v>
          </cell>
          <cell r="F1552" t="str">
            <v>Sarah Nairne</v>
          </cell>
          <cell r="G1552" t="str">
            <v>St Crispin's School</v>
          </cell>
          <cell r="H1552" t="str">
            <v>South East</v>
          </cell>
          <cell r="I1552" t="str">
            <v>London Road</v>
          </cell>
          <cell r="L1552" t="str">
            <v>Wokingham</v>
          </cell>
          <cell r="M1552" t="str">
            <v>Berkshire</v>
          </cell>
          <cell r="N1552" t="str">
            <v>RG40 1SS</v>
          </cell>
          <cell r="O1552" t="str">
            <v>biddlea@st-crispins.wokingham.sch.uk</v>
          </cell>
        </row>
        <row r="1553">
          <cell r="A1553">
            <v>9194006</v>
          </cell>
          <cell r="B1553">
            <v>117501</v>
          </cell>
          <cell r="C1553">
            <v>919</v>
          </cell>
          <cell r="D1553" t="str">
            <v>Hertfordshire</v>
          </cell>
          <cell r="E1553">
            <v>4006</v>
          </cell>
          <cell r="F1553" t="str">
            <v>Beverley Samuel</v>
          </cell>
          <cell r="G1553" t="str">
            <v>Richard Hale School</v>
          </cell>
          <cell r="H1553" t="str">
            <v>East of England</v>
          </cell>
          <cell r="I1553" t="str">
            <v>Hale Road</v>
          </cell>
          <cell r="L1553" t="str">
            <v>Hertford</v>
          </cell>
          <cell r="M1553" t="str">
            <v>Hertfordshire</v>
          </cell>
          <cell r="N1553" t="str">
            <v>SG13 8EN</v>
          </cell>
          <cell r="O1553" t="str">
            <v>head@richardhale.co.uk</v>
          </cell>
          <cell r="P1553">
            <v>40739</v>
          </cell>
        </row>
        <row r="1554">
          <cell r="A1554">
            <v>8554022</v>
          </cell>
          <cell r="B1554">
            <v>120249</v>
          </cell>
          <cell r="C1554">
            <v>855</v>
          </cell>
          <cell r="D1554" t="str">
            <v>Leicestershire</v>
          </cell>
          <cell r="E1554">
            <v>4022</v>
          </cell>
          <cell r="F1554" t="str">
            <v>Grant Dyson</v>
          </cell>
          <cell r="G1554" t="str">
            <v>Roundhill Community College</v>
          </cell>
          <cell r="H1554" t="str">
            <v>East Midlands</v>
          </cell>
          <cell r="I1554" t="str">
            <v>997 Melton Road</v>
          </cell>
          <cell r="J1554" t="str">
            <v>Thurmaston</v>
          </cell>
          <cell r="L1554" t="str">
            <v>Leicester</v>
          </cell>
          <cell r="M1554" t="str">
            <v>Leicestershire</v>
          </cell>
          <cell r="N1554" t="str">
            <v>LE4 8GQ</v>
          </cell>
          <cell r="O1554" t="str">
            <v>pauline.munro@roundhill.leics.sch.uk</v>
          </cell>
          <cell r="P1554">
            <v>40882</v>
          </cell>
        </row>
        <row r="1555">
          <cell r="A1555">
            <v>8854005</v>
          </cell>
          <cell r="B1555">
            <v>116931</v>
          </cell>
          <cell r="C1555">
            <v>885</v>
          </cell>
          <cell r="D1555" t="str">
            <v>Worcestershire</v>
          </cell>
          <cell r="E1555">
            <v>4005</v>
          </cell>
          <cell r="F1555" t="str">
            <v>Carla Spink</v>
          </cell>
          <cell r="G1555" t="str">
            <v>Droitwich Spa High School</v>
          </cell>
          <cell r="H1555" t="str">
            <v>West Midlands</v>
          </cell>
          <cell r="I1555" t="str">
            <v>Briar Mill</v>
          </cell>
          <cell r="L1555" t="str">
            <v>Droitwich Spa</v>
          </cell>
          <cell r="M1555" t="str">
            <v>Worcestershire</v>
          </cell>
          <cell r="N1555" t="str">
            <v>WR9 0AA</v>
          </cell>
          <cell r="O1555" t="str">
            <v>watersnj@droitwichspahigh.worcs.sch.uk</v>
          </cell>
          <cell r="P1555">
            <v>40633</v>
          </cell>
        </row>
        <row r="1556">
          <cell r="A1556">
            <v>8922907</v>
          </cell>
          <cell r="B1556">
            <v>122712</v>
          </cell>
          <cell r="C1556">
            <v>892</v>
          </cell>
          <cell r="D1556" t="str">
            <v>Nottingham</v>
          </cell>
          <cell r="E1556">
            <v>2907</v>
          </cell>
          <cell r="F1556" t="str">
            <v>Pauline Cole</v>
          </cell>
          <cell r="G1556" t="str">
            <v>Glapton Primary and Nursery School</v>
          </cell>
          <cell r="H1556" t="str">
            <v>East Midlands</v>
          </cell>
          <cell r="I1556" t="str">
            <v>Glapton Lane</v>
          </cell>
          <cell r="J1556" t="str">
            <v>Clifton</v>
          </cell>
          <cell r="L1556" t="str">
            <v>Nottingham</v>
          </cell>
          <cell r="M1556" t="str">
            <v>Nottinghamshire</v>
          </cell>
          <cell r="N1556" t="str">
            <v>NG11 8EA</v>
          </cell>
          <cell r="O1556" t="str">
            <v>headteacher@glapton.nottingham.sch.uk</v>
          </cell>
          <cell r="P1556">
            <v>41225</v>
          </cell>
        </row>
        <row r="1557">
          <cell r="A1557">
            <v>3844026</v>
          </cell>
          <cell r="B1557">
            <v>108278</v>
          </cell>
          <cell r="C1557">
            <v>384</v>
          </cell>
          <cell r="D1557" t="str">
            <v>Wakefield</v>
          </cell>
          <cell r="E1557">
            <v>4026</v>
          </cell>
          <cell r="F1557" t="str">
            <v>John Edmunds</v>
          </cell>
          <cell r="G1557" t="str">
            <v>Airedale High School</v>
          </cell>
          <cell r="H1557" t="str">
            <v>Yorkshire and the Humber</v>
          </cell>
          <cell r="I1557" t="str">
            <v>Crewe Road</v>
          </cell>
          <cell r="J1557" t="str">
            <v>Airedale</v>
          </cell>
          <cell r="L1557" t="str">
            <v>Castleford</v>
          </cell>
          <cell r="M1557" t="str">
            <v>West Yorkshire</v>
          </cell>
          <cell r="N1557" t="str">
            <v>WF10 3JU</v>
          </cell>
          <cell r="O1557" t="str">
            <v>fra@airedalehigh.com</v>
          </cell>
          <cell r="P1557">
            <v>40527</v>
          </cell>
        </row>
        <row r="1558">
          <cell r="A1558">
            <v>3701101</v>
          </cell>
          <cell r="B1558">
            <v>134055</v>
          </cell>
          <cell r="C1558">
            <v>370</v>
          </cell>
          <cell r="D1558" t="str">
            <v>Barnsley</v>
          </cell>
          <cell r="E1558">
            <v>1101</v>
          </cell>
          <cell r="F1558" t="str">
            <v>Pat Murison</v>
          </cell>
          <cell r="G1558" t="str">
            <v>Barnsley PRU (Springwell Centre)</v>
          </cell>
          <cell r="H1558" t="str">
            <v>Yorkshire and the Humber</v>
          </cell>
          <cell r="I1558" t="str">
            <v>St Helen's Boulevard</v>
          </cell>
          <cell r="J1558" t="str">
            <v>Carlton Road</v>
          </cell>
          <cell r="L1558" t="str">
            <v>Barnsley</v>
          </cell>
          <cell r="M1558" t="str">
            <v>South Yorkshire</v>
          </cell>
          <cell r="N1558" t="str">
            <v>S71 2AT</v>
          </cell>
          <cell r="O1558" t="str">
            <v>jthirkell@barnsley.org</v>
          </cell>
          <cell r="P1558">
            <v>40991</v>
          </cell>
        </row>
        <row r="1559">
          <cell r="A1559">
            <v>3114037</v>
          </cell>
          <cell r="B1559">
            <v>102345</v>
          </cell>
          <cell r="C1559">
            <v>311</v>
          </cell>
          <cell r="D1559" t="str">
            <v>Havering</v>
          </cell>
          <cell r="E1559">
            <v>4037</v>
          </cell>
          <cell r="F1559" t="str">
            <v>Helen Fisher</v>
          </cell>
          <cell r="G1559" t="str">
            <v>Marshalls Park School</v>
          </cell>
          <cell r="H1559" t="str">
            <v>London</v>
          </cell>
          <cell r="I1559" t="str">
            <v>Pettits Lane</v>
          </cell>
          <cell r="L1559" t="str">
            <v>Romford</v>
          </cell>
          <cell r="M1559" t="str">
            <v>Essex</v>
          </cell>
          <cell r="N1559" t="str">
            <v>RM1 4EH</v>
          </cell>
          <cell r="O1559" t="str">
            <v>pmason@marshallspark.havering.sch.uk</v>
          </cell>
        </row>
        <row r="1560">
          <cell r="A1560">
            <v>8812471</v>
          </cell>
          <cell r="B1560">
            <v>114859</v>
          </cell>
          <cell r="C1560">
            <v>881</v>
          </cell>
          <cell r="D1560" t="str">
            <v>Essex</v>
          </cell>
          <cell r="E1560">
            <v>2471</v>
          </cell>
          <cell r="F1560" t="str">
            <v>Susan Dean</v>
          </cell>
          <cell r="G1560" t="str">
            <v>Greensted Junior School</v>
          </cell>
          <cell r="H1560" t="str">
            <v>East of England</v>
          </cell>
          <cell r="I1560" t="str">
            <v>Kirby Road</v>
          </cell>
          <cell r="L1560" t="str">
            <v>Basildon</v>
          </cell>
          <cell r="M1560" t="str">
            <v>Essex</v>
          </cell>
          <cell r="N1560" t="str">
            <v>SS14 1RX</v>
          </cell>
          <cell r="O1560" t="str">
            <v>Headteacher@leechapel.essex.sch.uk</v>
          </cell>
        </row>
        <row r="1561">
          <cell r="A1561">
            <v>9384000</v>
          </cell>
          <cell r="B1561">
            <v>126062</v>
          </cell>
          <cell r="C1561">
            <v>938</v>
          </cell>
          <cell r="D1561" t="str">
            <v>West Sussex</v>
          </cell>
          <cell r="E1561">
            <v>4000</v>
          </cell>
          <cell r="F1561" t="str">
            <v>Sarah Mitchell</v>
          </cell>
          <cell r="G1561" t="str">
            <v>Chichester High School for Boys</v>
          </cell>
          <cell r="H1561" t="str">
            <v>South East</v>
          </cell>
          <cell r="I1561" t="str">
            <v>Kingsham Rd</v>
          </cell>
          <cell r="L1561" t="str">
            <v>Chichester</v>
          </cell>
          <cell r="M1561" t="str">
            <v>West Sussex</v>
          </cell>
          <cell r="N1561" t="str">
            <v>PO19 8AE</v>
          </cell>
          <cell r="O1561" t="str">
            <v>gsalvesen@chsb.org.uk</v>
          </cell>
        </row>
        <row r="1562">
          <cell r="A1562">
            <v>8863360</v>
          </cell>
          <cell r="B1562">
            <v>118750</v>
          </cell>
          <cell r="C1562">
            <v>886</v>
          </cell>
          <cell r="D1562" t="str">
            <v>Kent</v>
          </cell>
          <cell r="E1562">
            <v>3360</v>
          </cell>
          <cell r="G1562" t="str">
            <v>St Peter-in-Thanet CofE Junior School</v>
          </cell>
          <cell r="H1562" t="str">
            <v>South East</v>
          </cell>
          <cell r="I1562" t="str">
            <v>Grange Road</v>
          </cell>
          <cell r="J1562" t="str">
            <v>St Peter's</v>
          </cell>
          <cell r="L1562" t="str">
            <v>Broadstairs</v>
          </cell>
          <cell r="M1562" t="str">
            <v>Kent</v>
          </cell>
          <cell r="N1562" t="str">
            <v>CT10 3EP</v>
          </cell>
          <cell r="O1562" t="str">
            <v>headteacher@st-peters-broadstairs.kent.sch.uk</v>
          </cell>
        </row>
        <row r="1563">
          <cell r="A1563">
            <v>3422066</v>
          </cell>
          <cell r="B1563">
            <v>104783</v>
          </cell>
          <cell r="C1563">
            <v>342</v>
          </cell>
          <cell r="D1563" t="str">
            <v>St. Helens</v>
          </cell>
          <cell r="E1563">
            <v>2066</v>
          </cell>
          <cell r="F1563" t="str">
            <v>Jane McCusker</v>
          </cell>
          <cell r="G1563" t="str">
            <v>Eccleston Mere Primary School</v>
          </cell>
          <cell r="H1563" t="str">
            <v>North West</v>
          </cell>
          <cell r="I1563" t="str">
            <v>Saleswood Avenue</v>
          </cell>
          <cell r="J1563" t="str">
            <v>Eccleston</v>
          </cell>
          <cell r="L1563" t="str">
            <v>St Helens</v>
          </cell>
          <cell r="M1563" t="str">
            <v>Merseyside</v>
          </cell>
          <cell r="N1563" t="str">
            <v>WA10 5NX</v>
          </cell>
          <cell r="O1563" t="str">
            <v>ecclestonmere@sthelens.org.uk</v>
          </cell>
        </row>
        <row r="1564">
          <cell r="A1564">
            <v>8863713</v>
          </cell>
          <cell r="B1564">
            <v>118757</v>
          </cell>
          <cell r="C1564">
            <v>886</v>
          </cell>
          <cell r="D1564" t="str">
            <v>Kent</v>
          </cell>
          <cell r="E1564">
            <v>3713</v>
          </cell>
          <cell r="F1564" t="str">
            <v>Nicky Edwards</v>
          </cell>
          <cell r="G1564" t="str">
            <v>St Edward's Catholic Primary School</v>
          </cell>
          <cell r="H1564" t="str">
            <v>South East</v>
          </cell>
          <cell r="I1564" t="str">
            <v>New Road</v>
          </cell>
          <cell r="L1564" t="str">
            <v>Sheerness</v>
          </cell>
          <cell r="M1564" t="str">
            <v>Kent</v>
          </cell>
          <cell r="N1564" t="str">
            <v>ME12 1BW</v>
          </cell>
          <cell r="O1564" t="str">
            <v>headteacher@st-peters-sittingbourne.kent.sch.uk</v>
          </cell>
        </row>
        <row r="1565">
          <cell r="A1565">
            <v>9282191</v>
          </cell>
          <cell r="B1565">
            <v>121934</v>
          </cell>
          <cell r="C1565">
            <v>928</v>
          </cell>
          <cell r="D1565" t="str">
            <v>Northamptonshire</v>
          </cell>
          <cell r="E1565">
            <v>2191</v>
          </cell>
          <cell r="F1565" t="str">
            <v>Stephen Standret</v>
          </cell>
          <cell r="G1565" t="str">
            <v>Castle Primary School</v>
          </cell>
          <cell r="H1565" t="str">
            <v>East Midlands</v>
          </cell>
          <cell r="I1565" t="str">
            <v>St George's Street</v>
          </cell>
          <cell r="L1565" t="str">
            <v>Northampton</v>
          </cell>
          <cell r="M1565" t="str">
            <v>Northamptonshire</v>
          </cell>
          <cell r="N1565" t="str">
            <v>NN1 2TR</v>
          </cell>
          <cell r="O1565" t="str">
            <v>head@castle-pri.northants-ecl.gov.uk</v>
          </cell>
        </row>
        <row r="1566">
          <cell r="A1566">
            <v>8813831</v>
          </cell>
          <cell r="B1566">
            <v>134718</v>
          </cell>
          <cell r="C1566">
            <v>881</v>
          </cell>
          <cell r="D1566" t="str">
            <v>Essex</v>
          </cell>
          <cell r="E1566">
            <v>3831</v>
          </cell>
          <cell r="F1566" t="str">
            <v>Aminat Alli</v>
          </cell>
          <cell r="G1566" t="str">
            <v>Great Clacton Church of England (Voluntary Aided) Junior School</v>
          </cell>
          <cell r="H1566" t="str">
            <v>East of England</v>
          </cell>
          <cell r="I1566" t="str">
            <v>Craigfield</v>
          </cell>
          <cell r="J1566" t="str">
            <v>Great Clacton</v>
          </cell>
          <cell r="L1566" t="str">
            <v>Clacton-on-Sea</v>
          </cell>
          <cell r="M1566" t="str">
            <v>Essex</v>
          </cell>
          <cell r="N1566" t="str">
            <v>CO15 4HR</v>
          </cell>
        </row>
        <row r="1567">
          <cell r="A1567">
            <v>9313803</v>
          </cell>
          <cell r="B1567">
            <v>123201</v>
          </cell>
          <cell r="C1567">
            <v>931</v>
          </cell>
          <cell r="D1567" t="str">
            <v>Oxfordshire</v>
          </cell>
          <cell r="E1567">
            <v>3803</v>
          </cell>
          <cell r="F1567" t="str">
            <v>Sarah Nairne</v>
          </cell>
          <cell r="G1567" t="str">
            <v>Goring Church of England Aided Primary School</v>
          </cell>
          <cell r="H1567" t="str">
            <v>South East</v>
          </cell>
          <cell r="I1567" t="str">
            <v>Wallingford Road</v>
          </cell>
          <cell r="J1567" t="str">
            <v>Goring-on-Thames</v>
          </cell>
          <cell r="L1567" t="str">
            <v>Reading</v>
          </cell>
          <cell r="M1567" t="str">
            <v>Berkshire</v>
          </cell>
          <cell r="N1567" t="str">
            <v>RG8 0BG</v>
          </cell>
        </row>
        <row r="1568">
          <cell r="A1568">
            <v>8412668</v>
          </cell>
          <cell r="B1568">
            <v>114182</v>
          </cell>
          <cell r="C1568">
            <v>841</v>
          </cell>
          <cell r="D1568" t="str">
            <v>Darlington</v>
          </cell>
          <cell r="E1568">
            <v>2668</v>
          </cell>
          <cell r="F1568" t="str">
            <v>Alan Large</v>
          </cell>
          <cell r="G1568" t="str">
            <v>Mowden Infants' School</v>
          </cell>
          <cell r="H1568" t="str">
            <v>North East</v>
          </cell>
          <cell r="I1568" t="str">
            <v>Bushel Hill Drive</v>
          </cell>
          <cell r="L1568" t="str">
            <v>Darlington</v>
          </cell>
          <cell r="M1568" t="str">
            <v>County Durham</v>
          </cell>
          <cell r="N1568" t="str">
            <v>DL3 9QG</v>
          </cell>
          <cell r="O1568" t="str">
            <v>bwatkinson@mowdenfederation.darlington.sch.uk</v>
          </cell>
          <cell r="P1568">
            <v>40928</v>
          </cell>
        </row>
        <row r="1569">
          <cell r="A1569">
            <v>8602320</v>
          </cell>
          <cell r="B1569">
            <v>124145</v>
          </cell>
          <cell r="C1569">
            <v>860</v>
          </cell>
          <cell r="D1569" t="str">
            <v>Staffordshire</v>
          </cell>
          <cell r="E1569">
            <v>2320</v>
          </cell>
          <cell r="F1569" t="str">
            <v>Hannah Copp</v>
          </cell>
          <cell r="G1569" t="str">
            <v>Meir Heath Primary School</v>
          </cell>
          <cell r="H1569" t="str">
            <v>West Midlands</v>
          </cell>
          <cell r="I1569" t="str">
            <v>Golborn Avenue</v>
          </cell>
          <cell r="J1569" t="str">
            <v>Meir Heath</v>
          </cell>
          <cell r="L1569" t="str">
            <v>Stoke-on-Trent</v>
          </cell>
          <cell r="M1569" t="str">
            <v>Staffordshire</v>
          </cell>
          <cell r="N1569" t="str">
            <v>ST3 7JQ</v>
          </cell>
          <cell r="O1569" t="str">
            <v>headteacher@meirheath.staffs.sch.uk</v>
          </cell>
        </row>
        <row r="1570">
          <cell r="A1570">
            <v>3052043</v>
          </cell>
          <cell r="B1570">
            <v>101616</v>
          </cell>
          <cell r="C1570">
            <v>305</v>
          </cell>
          <cell r="D1570" t="str">
            <v>Bromley</v>
          </cell>
          <cell r="E1570">
            <v>2043</v>
          </cell>
          <cell r="F1570" t="str">
            <v>Sheila Longstaff</v>
          </cell>
          <cell r="G1570" t="str">
            <v>Green Street Green Primary School</v>
          </cell>
          <cell r="H1570" t="str">
            <v>London</v>
          </cell>
          <cell r="I1570" t="str">
            <v>Vine Road</v>
          </cell>
          <cell r="J1570" t="str">
            <v>Green Street Green</v>
          </cell>
          <cell r="L1570" t="str">
            <v>Orpington</v>
          </cell>
          <cell r="M1570" t="str">
            <v>Kent</v>
          </cell>
          <cell r="N1570" t="str">
            <v>BR6 6DT</v>
          </cell>
          <cell r="O1570" t="str">
            <v>lynne.dando@greenstreetgreen.bromley.sch.uk</v>
          </cell>
          <cell r="P1570">
            <v>40634</v>
          </cell>
        </row>
        <row r="1571">
          <cell r="A1571">
            <v>8232046</v>
          </cell>
          <cell r="B1571">
            <v>109449</v>
          </cell>
          <cell r="C1571">
            <v>823</v>
          </cell>
          <cell r="D1571" t="str">
            <v>Central Bedfordshire</v>
          </cell>
          <cell r="E1571">
            <v>2046</v>
          </cell>
          <cell r="F1571" t="str">
            <v>Michael Cook</v>
          </cell>
          <cell r="G1571" t="str">
            <v>Eversholt Lower School</v>
          </cell>
          <cell r="H1571" t="str">
            <v>East of England</v>
          </cell>
          <cell r="I1571" t="str">
            <v>Church End</v>
          </cell>
          <cell r="J1571" t="str">
            <v>Eversholt</v>
          </cell>
          <cell r="L1571" t="str">
            <v>Milton Keynes</v>
          </cell>
          <cell r="M1571" t="str">
            <v>Bedfordshire</v>
          </cell>
          <cell r="N1571" t="str">
            <v>MK17 9DU</v>
          </cell>
          <cell r="O1571" t="str">
            <v>eversholtlower@schools.bedfordshire.gov.uk</v>
          </cell>
          <cell r="P1571">
            <v>40604</v>
          </cell>
        </row>
        <row r="1572">
          <cell r="A1572">
            <v>3075403</v>
          </cell>
          <cell r="B1572">
            <v>101942</v>
          </cell>
          <cell r="C1572">
            <v>307</v>
          </cell>
          <cell r="D1572" t="str">
            <v>Ealing</v>
          </cell>
          <cell r="E1572">
            <v>5403</v>
          </cell>
          <cell r="F1572" t="str">
            <v>Martin Rowley</v>
          </cell>
          <cell r="G1572" t="str">
            <v>Drayton Manor High School</v>
          </cell>
          <cell r="H1572" t="str">
            <v>London</v>
          </cell>
          <cell r="I1572" t="str">
            <v>Drayton Bridge Road</v>
          </cell>
          <cell r="J1572" t="str">
            <v>Hanwell</v>
          </cell>
          <cell r="L1572" t="str">
            <v>London</v>
          </cell>
          <cell r="N1572" t="str">
            <v>W7 1EU</v>
          </cell>
          <cell r="O1572" t="str">
            <v>psi@draytonmanor.ealing.sch.uk</v>
          </cell>
          <cell r="P1572">
            <v>40638</v>
          </cell>
        </row>
        <row r="1573">
          <cell r="A1573">
            <v>2102857</v>
          </cell>
          <cell r="B1573">
            <v>130917</v>
          </cell>
          <cell r="C1573">
            <v>210</v>
          </cell>
          <cell r="D1573" t="str">
            <v>Southwark</v>
          </cell>
          <cell r="E1573">
            <v>2857</v>
          </cell>
          <cell r="F1573" t="str">
            <v>Beverley Samuel</v>
          </cell>
          <cell r="G1573" t="str">
            <v>Peckham Park Primary School</v>
          </cell>
          <cell r="H1573" t="str">
            <v>London</v>
          </cell>
          <cell r="I1573" t="str">
            <v>Marmont Road</v>
          </cell>
          <cell r="J1573" t="str">
            <v>Peckham</v>
          </cell>
          <cell r="L1573" t="str">
            <v>London</v>
          </cell>
          <cell r="N1573" t="str">
            <v>SE15 5TD</v>
          </cell>
          <cell r="O1573" t="str">
            <v>headteacher@peckhampark.southwark.sch.uk</v>
          </cell>
          <cell r="P1573">
            <v>40592</v>
          </cell>
        </row>
        <row r="1574">
          <cell r="A1574">
            <v>8232112</v>
          </cell>
          <cell r="B1574">
            <v>109472</v>
          </cell>
          <cell r="C1574">
            <v>823</v>
          </cell>
          <cell r="D1574" t="str">
            <v>Central Bedfordshire</v>
          </cell>
          <cell r="E1574">
            <v>2112</v>
          </cell>
          <cell r="F1574" t="str">
            <v>Not yet assigned</v>
          </cell>
          <cell r="G1574" t="str">
            <v>Maulden Lower School</v>
          </cell>
          <cell r="H1574" t="str">
            <v>East of England</v>
          </cell>
          <cell r="I1574" t="str">
            <v>Church Road</v>
          </cell>
          <cell r="J1574" t="str">
            <v>Maulden</v>
          </cell>
          <cell r="L1574" t="str">
            <v>Bedford</v>
          </cell>
          <cell r="M1574" t="str">
            <v>Bedfordshire</v>
          </cell>
          <cell r="N1574" t="str">
            <v>MK45 2AU</v>
          </cell>
          <cell r="O1574" t="str">
            <v>v.wang@schools.bedfordshire.gov.uk</v>
          </cell>
        </row>
        <row r="1575">
          <cell r="A1575">
            <v>8502519</v>
          </cell>
          <cell r="B1575">
            <v>116145</v>
          </cell>
          <cell r="C1575">
            <v>850</v>
          </cell>
          <cell r="D1575" t="str">
            <v>Hampshire</v>
          </cell>
          <cell r="E1575">
            <v>2519</v>
          </cell>
          <cell r="F1575" t="str">
            <v>Amanda Barrett</v>
          </cell>
          <cell r="G1575" t="str">
            <v>North Farnborough Infant School</v>
          </cell>
          <cell r="H1575" t="str">
            <v>South East</v>
          </cell>
          <cell r="I1575" t="str">
            <v>Rectory Road</v>
          </cell>
          <cell r="L1575" t="str">
            <v>Farnborough</v>
          </cell>
          <cell r="M1575" t="str">
            <v>Hampshire</v>
          </cell>
          <cell r="N1575" t="str">
            <v>GU14 8AJ</v>
          </cell>
          <cell r="O1575" t="str">
            <v>sarah.holland@nfis.hants.sch.uk</v>
          </cell>
        </row>
        <row r="1576">
          <cell r="A1576">
            <v>8794180</v>
          </cell>
          <cell r="B1576">
            <v>113537</v>
          </cell>
          <cell r="C1576">
            <v>879</v>
          </cell>
          <cell r="D1576" t="str">
            <v>Plymouth</v>
          </cell>
          <cell r="E1576">
            <v>4180</v>
          </cell>
          <cell r="F1576" t="str">
            <v>Susan Phillips</v>
          </cell>
          <cell r="G1576" t="str">
            <v>Plymstock School</v>
          </cell>
          <cell r="H1576" t="str">
            <v>South West</v>
          </cell>
          <cell r="I1576" t="str">
            <v>Church Road</v>
          </cell>
          <cell r="J1576" t="str">
            <v>Plymstock</v>
          </cell>
          <cell r="L1576" t="str">
            <v>Plymouth</v>
          </cell>
          <cell r="M1576" t="str">
            <v>Devon</v>
          </cell>
          <cell r="N1576" t="str">
            <v>PL9 9AZ</v>
          </cell>
          <cell r="O1576" t="str">
            <v>dfarmer@plymstockschool.org.uk</v>
          </cell>
          <cell r="P1576">
            <v>40562</v>
          </cell>
        </row>
        <row r="1577">
          <cell r="A1577">
            <v>3025400</v>
          </cell>
          <cell r="B1577">
            <v>101357</v>
          </cell>
          <cell r="C1577">
            <v>302</v>
          </cell>
          <cell r="D1577" t="str">
            <v>Barnet</v>
          </cell>
          <cell r="E1577">
            <v>5400</v>
          </cell>
          <cell r="F1577" t="str">
            <v>Tahir Shams</v>
          </cell>
          <cell r="G1577" t="str">
            <v>Hendon School</v>
          </cell>
          <cell r="H1577" t="str">
            <v>London</v>
          </cell>
          <cell r="I1577" t="str">
            <v>Golders Rise</v>
          </cell>
          <cell r="J1577" t="str">
            <v>Hendon</v>
          </cell>
          <cell r="L1577" t="str">
            <v>London</v>
          </cell>
          <cell r="N1577" t="str">
            <v>NW4 2HP</v>
          </cell>
          <cell r="O1577" t="str">
            <v>mckellarm@hendonschool.co.uk</v>
          </cell>
          <cell r="P1577">
            <v>40709</v>
          </cell>
        </row>
        <row r="1578">
          <cell r="A1578">
            <v>8767003</v>
          </cell>
          <cell r="B1578">
            <v>111497</v>
          </cell>
          <cell r="C1578">
            <v>876</v>
          </cell>
          <cell r="D1578" t="str">
            <v>Halton</v>
          </cell>
          <cell r="E1578">
            <v>7003</v>
          </cell>
          <cell r="F1578" t="str">
            <v>Maria Sabberton</v>
          </cell>
          <cell r="G1578" t="str">
            <v>Cavendish High School</v>
          </cell>
          <cell r="H1578" t="str">
            <v>North West</v>
          </cell>
          <cell r="I1578" t="str">
            <v>Lincoln Close</v>
          </cell>
          <cell r="L1578" t="str">
            <v>Runcorn</v>
          </cell>
          <cell r="M1578" t="str">
            <v>Cheshire</v>
          </cell>
          <cell r="N1578" t="str">
            <v>WA7 4YX</v>
          </cell>
          <cell r="O1578" t="str">
            <v>head.cavendish@halton.gov.uk</v>
          </cell>
        </row>
        <row r="1579">
          <cell r="A1579">
            <v>3062057</v>
          </cell>
          <cell r="B1579">
            <v>101752</v>
          </cell>
          <cell r="C1579">
            <v>306</v>
          </cell>
          <cell r="D1579" t="str">
            <v>Croydon</v>
          </cell>
          <cell r="E1579">
            <v>2057</v>
          </cell>
          <cell r="F1579" t="str">
            <v>Helen Barry</v>
          </cell>
          <cell r="G1579" t="str">
            <v>Chipstead Valley Primary School</v>
          </cell>
          <cell r="H1579" t="str">
            <v>London</v>
          </cell>
          <cell r="I1579" t="str">
            <v>Chipstead Valley Road</v>
          </cell>
          <cell r="L1579" t="str">
            <v>Coulsdon</v>
          </cell>
          <cell r="M1579" t="str">
            <v>Surrey</v>
          </cell>
          <cell r="N1579" t="str">
            <v>CR5 3BW</v>
          </cell>
          <cell r="O1579" t="str">
            <v>head@chipstead.croydon.sch.uk</v>
          </cell>
        </row>
        <row r="1580">
          <cell r="A1580">
            <v>8852915</v>
          </cell>
          <cell r="B1580">
            <v>116777</v>
          </cell>
          <cell r="C1580">
            <v>885</v>
          </cell>
          <cell r="D1580" t="str">
            <v>Worcestershire</v>
          </cell>
          <cell r="E1580">
            <v>2915</v>
          </cell>
          <cell r="F1580" t="str">
            <v>Stephen Bagnall</v>
          </cell>
          <cell r="G1580" t="str">
            <v>Hollywood, the Coppice Primary School</v>
          </cell>
          <cell r="H1580" t="str">
            <v>West Midlands</v>
          </cell>
          <cell r="I1580" t="str">
            <v>Shawhurst Lane</v>
          </cell>
          <cell r="J1580" t="str">
            <v>Hollywood</v>
          </cell>
          <cell r="L1580" t="str">
            <v>Birmingham</v>
          </cell>
          <cell r="M1580" t="str">
            <v>West Midlands</v>
          </cell>
          <cell r="N1580" t="str">
            <v>B47 5JN</v>
          </cell>
          <cell r="O1580" t="str">
            <v>head@coppice.worcs.sch.uk</v>
          </cell>
          <cell r="P1580">
            <v>40730</v>
          </cell>
        </row>
        <row r="1581">
          <cell r="A1581">
            <v>8354187</v>
          </cell>
          <cell r="B1581">
            <v>113879</v>
          </cell>
          <cell r="C1581">
            <v>835</v>
          </cell>
          <cell r="D1581" t="str">
            <v>Dorset</v>
          </cell>
          <cell r="E1581">
            <v>4187</v>
          </cell>
          <cell r="F1581" t="str">
            <v>Maria Whiting</v>
          </cell>
          <cell r="G1581" t="str">
            <v>The Wey Valley School</v>
          </cell>
          <cell r="H1581" t="str">
            <v>South West</v>
          </cell>
          <cell r="I1581" t="str">
            <v>Dorchester Road</v>
          </cell>
          <cell r="L1581" t="str">
            <v>Weymouth</v>
          </cell>
          <cell r="M1581" t="str">
            <v>Dorset</v>
          </cell>
          <cell r="N1581" t="str">
            <v>DT3 5AN</v>
          </cell>
          <cell r="O1581" t="str">
            <v>p.c.thomas@weyvalley.dorset.sch.uk</v>
          </cell>
          <cell r="P1581">
            <v>40954</v>
          </cell>
        </row>
        <row r="1582">
          <cell r="A1582">
            <v>9084152</v>
          </cell>
          <cell r="B1582">
            <v>112047</v>
          </cell>
          <cell r="C1582">
            <v>908</v>
          </cell>
          <cell r="D1582" t="str">
            <v>Cornwall</v>
          </cell>
          <cell r="E1582">
            <v>4152</v>
          </cell>
          <cell r="F1582" t="str">
            <v>Kate Bosher</v>
          </cell>
          <cell r="G1582" t="str">
            <v>Falmouth School</v>
          </cell>
          <cell r="H1582" t="str">
            <v>South West</v>
          </cell>
          <cell r="I1582" t="str">
            <v>Trescobeas Road</v>
          </cell>
          <cell r="L1582" t="str">
            <v>Falmouth</v>
          </cell>
          <cell r="M1582" t="str">
            <v>Cornwall</v>
          </cell>
          <cell r="N1582" t="str">
            <v>TR11 4LH</v>
          </cell>
          <cell r="O1582" t="str">
            <v>headteacher@falmouth.cornwall.sch.uk</v>
          </cell>
          <cell r="P1582">
            <v>40620</v>
          </cell>
        </row>
        <row r="1583">
          <cell r="A1583">
            <v>3804502</v>
          </cell>
          <cell r="B1583">
            <v>107421</v>
          </cell>
          <cell r="C1583">
            <v>380</v>
          </cell>
          <cell r="D1583" t="str">
            <v>Bradford</v>
          </cell>
          <cell r="E1583">
            <v>4502</v>
          </cell>
          <cell r="F1583" t="str">
            <v>Glyn Newton</v>
          </cell>
          <cell r="G1583" t="str">
            <v>Ilkley Grammar School</v>
          </cell>
          <cell r="H1583" t="str">
            <v>Yorkshire and the Humber</v>
          </cell>
          <cell r="I1583" t="str">
            <v>Cowpasture Road</v>
          </cell>
          <cell r="L1583" t="str">
            <v>Ilkley</v>
          </cell>
          <cell r="M1583" t="str">
            <v>West Yorkshire</v>
          </cell>
          <cell r="N1583" t="str">
            <v>LS29 8TR</v>
          </cell>
          <cell r="O1583" t="str">
            <v>gillian.james@ilkleygs.ngfl.ac.uk</v>
          </cell>
          <cell r="P1583">
            <v>40613</v>
          </cell>
        </row>
        <row r="1584">
          <cell r="A1584">
            <v>2042865</v>
          </cell>
          <cell r="B1584">
            <v>100259</v>
          </cell>
          <cell r="C1584">
            <v>204</v>
          </cell>
          <cell r="D1584" t="str">
            <v>Hackney</v>
          </cell>
          <cell r="E1584">
            <v>2865</v>
          </cell>
          <cell r="F1584" t="str">
            <v>Bola Bakrin</v>
          </cell>
          <cell r="G1584" t="str">
            <v>Parkwood Primary School</v>
          </cell>
          <cell r="H1584" t="str">
            <v>London</v>
          </cell>
          <cell r="I1584" t="str">
            <v>Queen's Drive</v>
          </cell>
          <cell r="L1584" t="str">
            <v>London</v>
          </cell>
          <cell r="N1584" t="str">
            <v>N4 2HQ</v>
          </cell>
          <cell r="O1584" t="str">
            <v>pcardis@parkwood.hackney.sch.uk</v>
          </cell>
        </row>
        <row r="1585">
          <cell r="A1585">
            <v>9253310</v>
          </cell>
          <cell r="B1585">
            <v>120599</v>
          </cell>
          <cell r="C1585">
            <v>925</v>
          </cell>
          <cell r="D1585" t="str">
            <v>Lincolnshire</v>
          </cell>
          <cell r="E1585">
            <v>3310</v>
          </cell>
          <cell r="F1585" t="str">
            <v>Pauline Cole</v>
          </cell>
          <cell r="G1585" t="str">
            <v>The Harrowby Church of England Infant School, Grantham</v>
          </cell>
          <cell r="H1585" t="str">
            <v>East Midlands</v>
          </cell>
          <cell r="I1585" t="str">
            <v>New Beacon Road</v>
          </cell>
          <cell r="L1585" t="str">
            <v>Grantham</v>
          </cell>
          <cell r="M1585" t="str">
            <v>Lincolnshire</v>
          </cell>
          <cell r="N1585" t="str">
            <v>NG31 9LJ</v>
          </cell>
          <cell r="O1585" t="str">
            <v>john.gibbs@national.lincs.sch.uk</v>
          </cell>
          <cell r="P1585">
            <v>41001</v>
          </cell>
        </row>
        <row r="1586">
          <cell r="A1586">
            <v>8814290</v>
          </cell>
          <cell r="B1586">
            <v>115214</v>
          </cell>
          <cell r="C1586">
            <v>881</v>
          </cell>
          <cell r="D1586" t="str">
            <v>Essex</v>
          </cell>
          <cell r="E1586">
            <v>4290</v>
          </cell>
          <cell r="F1586" t="str">
            <v>Claire Ivie</v>
          </cell>
          <cell r="G1586" t="str">
            <v>St Peter's High School</v>
          </cell>
          <cell r="H1586" t="str">
            <v>East of England</v>
          </cell>
          <cell r="I1586" t="str">
            <v>Southminster Road</v>
          </cell>
          <cell r="L1586" t="str">
            <v>Burnham-on-Crouch</v>
          </cell>
          <cell r="M1586" t="str">
            <v>Essex</v>
          </cell>
          <cell r="N1586" t="str">
            <v>CM0 8QB</v>
          </cell>
          <cell r="O1586" t="str">
            <v>jcostello@stpetershigh.essex.sch.uk</v>
          </cell>
        </row>
        <row r="1587">
          <cell r="A1587">
            <v>8134090</v>
          </cell>
          <cell r="B1587">
            <v>118099</v>
          </cell>
          <cell r="C1587">
            <v>813</v>
          </cell>
          <cell r="D1587" t="str">
            <v>North Lincolnshire</v>
          </cell>
          <cell r="E1587">
            <v>4090</v>
          </cell>
          <cell r="F1587" t="str">
            <v>Lisa Sargeant</v>
          </cell>
          <cell r="G1587" t="str">
            <v>Winterton Comprehensive School with Specialist Status in Engineering</v>
          </cell>
          <cell r="H1587" t="str">
            <v>Yorkshire and the Humber</v>
          </cell>
          <cell r="I1587" t="str">
            <v>Newport Drive</v>
          </cell>
          <cell r="J1587" t="str">
            <v>Winterton</v>
          </cell>
          <cell r="L1587" t="str">
            <v>Scunthorpe</v>
          </cell>
          <cell r="M1587" t="str">
            <v>Lincolnshire</v>
          </cell>
          <cell r="N1587" t="str">
            <v>DN15 9QD</v>
          </cell>
          <cell r="O1587" t="str">
            <v>head.wintertoncomp@northlincs.gov.uk</v>
          </cell>
          <cell r="P1587">
            <v>41029</v>
          </cell>
        </row>
        <row r="1588">
          <cell r="A1588">
            <v>8064703</v>
          </cell>
          <cell r="B1588">
            <v>135856</v>
          </cell>
          <cell r="C1588">
            <v>806</v>
          </cell>
          <cell r="D1588" t="str">
            <v>Middlesbrough</v>
          </cell>
          <cell r="E1588">
            <v>4703</v>
          </cell>
          <cell r="F1588" t="str">
            <v>Jane Moore</v>
          </cell>
          <cell r="G1588" t="str">
            <v>Oakfields Community College</v>
          </cell>
          <cell r="H1588" t="str">
            <v>North East</v>
          </cell>
          <cell r="I1588" t="str">
            <v>Hall Drive</v>
          </cell>
          <cell r="J1588" t="str">
            <v>Acklam</v>
          </cell>
          <cell r="L1588" t="str">
            <v>Middlesbrough</v>
          </cell>
          <cell r="N1588" t="str">
            <v>TS5 7JX</v>
          </cell>
        </row>
        <row r="1589">
          <cell r="A1589">
            <v>8554018</v>
          </cell>
          <cell r="B1589">
            <v>120247</v>
          </cell>
          <cell r="C1589">
            <v>855</v>
          </cell>
          <cell r="D1589" t="str">
            <v>Leicestershire</v>
          </cell>
          <cell r="E1589">
            <v>4018</v>
          </cell>
          <cell r="F1589" t="str">
            <v>Sue Harp</v>
          </cell>
          <cell r="G1589" t="str">
            <v>South Charnwood High School</v>
          </cell>
          <cell r="H1589" t="str">
            <v>East Midlands</v>
          </cell>
          <cell r="I1589" t="str">
            <v>Broad Lane</v>
          </cell>
          <cell r="L1589" t="str">
            <v>Markfield</v>
          </cell>
          <cell r="M1589" t="str">
            <v>Leicestershire</v>
          </cell>
          <cell r="N1589" t="str">
            <v>LE67 9TB</v>
          </cell>
          <cell r="P1589">
            <v>41211</v>
          </cell>
        </row>
        <row r="1590">
          <cell r="A1590">
            <v>9165418</v>
          </cell>
          <cell r="B1590">
            <v>115769</v>
          </cell>
          <cell r="C1590">
            <v>916</v>
          </cell>
          <cell r="D1590" t="str">
            <v>Gloucestershire</v>
          </cell>
          <cell r="E1590">
            <v>5418</v>
          </cell>
          <cell r="F1590" t="str">
            <v>Nigel Mills</v>
          </cell>
          <cell r="G1590" t="str">
            <v>Cheltenham Bournside School and Sixth Form Centre</v>
          </cell>
          <cell r="H1590" t="str">
            <v>South West</v>
          </cell>
          <cell r="I1590" t="str">
            <v>Warden Hill Road</v>
          </cell>
          <cell r="L1590" t="str">
            <v>Cheltenham</v>
          </cell>
          <cell r="M1590" t="str">
            <v>Gloucestershire</v>
          </cell>
          <cell r="N1590" t="str">
            <v>GL51 3EF</v>
          </cell>
          <cell r="O1590" t="str">
            <v>agf@bournside.gloucs.sch.uk</v>
          </cell>
          <cell r="P1590">
            <v>40574</v>
          </cell>
        </row>
        <row r="1591">
          <cell r="A1591">
            <v>8233007</v>
          </cell>
          <cell r="B1591">
            <v>109600</v>
          </cell>
          <cell r="C1591">
            <v>823</v>
          </cell>
          <cell r="D1591" t="str">
            <v>East Riding of Yorkshire</v>
          </cell>
          <cell r="E1591">
            <v>3007</v>
          </cell>
          <cell r="F1591" t="str">
            <v>Michael Cook</v>
          </cell>
          <cell r="G1591" t="str">
            <v>Greenfield VC Lower School</v>
          </cell>
          <cell r="H1591" t="str">
            <v>East of England</v>
          </cell>
          <cell r="I1591" t="str">
            <v>Pulloxhill Road</v>
          </cell>
          <cell r="J1591" t="str">
            <v>Greenfield</v>
          </cell>
          <cell r="L1591" t="str">
            <v>Bedford</v>
          </cell>
          <cell r="M1591" t="str">
            <v>Bedfordshire</v>
          </cell>
          <cell r="N1591" t="str">
            <v>MK45 5ES</v>
          </cell>
          <cell r="O1591" t="str">
            <v>amccullion@yahoo.co.uk</v>
          </cell>
          <cell r="P1591">
            <v>40569</v>
          </cell>
        </row>
        <row r="1592">
          <cell r="A1592">
            <v>8907019</v>
          </cell>
          <cell r="B1592">
            <v>119867</v>
          </cell>
          <cell r="C1592">
            <v>890</v>
          </cell>
          <cell r="D1592" t="str">
            <v>Blackpool</v>
          </cell>
          <cell r="E1592">
            <v>7019</v>
          </cell>
          <cell r="F1592" t="str">
            <v>Viv Clutton</v>
          </cell>
          <cell r="G1592" t="str">
            <v>Park School</v>
          </cell>
          <cell r="H1592" t="str">
            <v>North West</v>
          </cell>
          <cell r="I1592" t="str">
            <v>158 Whitegate Drive</v>
          </cell>
          <cell r="L1592" t="str">
            <v>Blackpool</v>
          </cell>
          <cell r="M1592" t="str">
            <v>Lancashire</v>
          </cell>
          <cell r="N1592" t="str">
            <v>FY3 9HF</v>
          </cell>
          <cell r="O1592" t="str">
            <v>Keith.Berry@park.blackpool.sch.uk</v>
          </cell>
          <cell r="P1592">
            <v>41228</v>
          </cell>
        </row>
        <row r="1593">
          <cell r="A1593">
            <v>8554011</v>
          </cell>
          <cell r="B1593">
            <v>120241</v>
          </cell>
          <cell r="C1593">
            <v>855</v>
          </cell>
          <cell r="D1593" t="str">
            <v>Leicestershire</v>
          </cell>
          <cell r="E1593">
            <v>4011</v>
          </cell>
          <cell r="F1593" t="str">
            <v>Sue Harp</v>
          </cell>
          <cell r="G1593" t="str">
            <v>Heathfield High School</v>
          </cell>
          <cell r="H1593" t="str">
            <v>East Midlands</v>
          </cell>
          <cell r="I1593" t="str">
            <v>Belle Vue Road</v>
          </cell>
          <cell r="J1593" t="str">
            <v>Earl Shilton</v>
          </cell>
          <cell r="L1593" t="str">
            <v>Leicester</v>
          </cell>
          <cell r="M1593" t="str">
            <v>Leicestershire</v>
          </cell>
          <cell r="N1593" t="str">
            <v>LE9 7PA</v>
          </cell>
          <cell r="O1593" t="str">
            <v>grahamjones@heathfield.leics.sch.uk</v>
          </cell>
          <cell r="P1593">
            <v>40963</v>
          </cell>
        </row>
        <row r="1594">
          <cell r="A1594">
            <v>9363022</v>
          </cell>
          <cell r="B1594">
            <v>125143</v>
          </cell>
          <cell r="C1594">
            <v>936</v>
          </cell>
          <cell r="D1594" t="str">
            <v>Surrey</v>
          </cell>
          <cell r="E1594">
            <v>3022</v>
          </cell>
          <cell r="F1594" t="str">
            <v>Gabriela Grimley</v>
          </cell>
          <cell r="G1594" t="str">
            <v>Royal Kent Primary School</v>
          </cell>
          <cell r="H1594" t="str">
            <v>South East</v>
          </cell>
          <cell r="I1594" t="str">
            <v>Oakshade Road</v>
          </cell>
          <cell r="J1594" t="str">
            <v>Oxshott</v>
          </cell>
          <cell r="L1594" t="str">
            <v>Leatherhead</v>
          </cell>
          <cell r="M1594" t="str">
            <v>Surrey</v>
          </cell>
          <cell r="N1594" t="str">
            <v>KT22 0LE</v>
          </cell>
          <cell r="O1594" t="str">
            <v>head@royal-Kent.surrey.sch.uk</v>
          </cell>
        </row>
        <row r="1595">
          <cell r="A1595">
            <v>3142036</v>
          </cell>
          <cell r="B1595">
            <v>102583</v>
          </cell>
          <cell r="C1595">
            <v>314</v>
          </cell>
          <cell r="D1595" t="str">
            <v>Kingston upon Thames</v>
          </cell>
          <cell r="E1595">
            <v>2036</v>
          </cell>
          <cell r="F1595" t="str">
            <v>Tahir Shams</v>
          </cell>
          <cell r="G1595" t="str">
            <v>Lovelace Primary School</v>
          </cell>
          <cell r="H1595" t="str">
            <v>London</v>
          </cell>
          <cell r="I1595" t="str">
            <v>Mansfield Road</v>
          </cell>
          <cell r="J1595" t="str">
            <v>Hook</v>
          </cell>
          <cell r="L1595" t="str">
            <v>Chessington</v>
          </cell>
          <cell r="M1595" t="str">
            <v>Surrey</v>
          </cell>
          <cell r="N1595" t="str">
            <v>KT9 2RN</v>
          </cell>
          <cell r="O1595" t="str">
            <v>linda.howells@rbksch.org</v>
          </cell>
        </row>
        <row r="1596">
          <cell r="A1596">
            <v>8005401</v>
          </cell>
          <cell r="B1596">
            <v>109333</v>
          </cell>
          <cell r="C1596">
            <v>800</v>
          </cell>
          <cell r="D1596" t="str">
            <v>Bath and North East Somerset</v>
          </cell>
          <cell r="E1596">
            <v>5401</v>
          </cell>
          <cell r="F1596" t="str">
            <v>Elridge Foster</v>
          </cell>
          <cell r="G1596" t="str">
            <v>Oldfield School</v>
          </cell>
          <cell r="H1596" t="str">
            <v>South West</v>
          </cell>
          <cell r="I1596" t="str">
            <v>Kelston Road</v>
          </cell>
          <cell r="L1596" t="str">
            <v>Bath</v>
          </cell>
          <cell r="M1596" t="str">
            <v>Somerset</v>
          </cell>
          <cell r="N1596" t="str">
            <v>BA1 9AB</v>
          </cell>
          <cell r="O1596" t="str">
            <v>headteacher@oldfield.bathnes.sch.uk</v>
          </cell>
          <cell r="P1596">
            <v>40339</v>
          </cell>
        </row>
        <row r="1597">
          <cell r="A1597">
            <v>8864101</v>
          </cell>
          <cell r="B1597">
            <v>118805</v>
          </cell>
          <cell r="C1597">
            <v>886</v>
          </cell>
          <cell r="D1597" t="str">
            <v>Kent</v>
          </cell>
          <cell r="E1597">
            <v>4101</v>
          </cell>
          <cell r="F1597" t="str">
            <v>Maryam Jabbari</v>
          </cell>
          <cell r="G1597" t="str">
            <v>The Harvey Grammar School</v>
          </cell>
          <cell r="H1597" t="str">
            <v>South East</v>
          </cell>
          <cell r="I1597" t="str">
            <v>Cheriton Road</v>
          </cell>
          <cell r="L1597" t="str">
            <v>Folkestone</v>
          </cell>
          <cell r="M1597" t="str">
            <v>Kent</v>
          </cell>
          <cell r="N1597" t="str">
            <v>CT19 5JY</v>
          </cell>
          <cell r="O1597" t="str">
            <v>wtwright@harveygs.kent.sch.uk</v>
          </cell>
          <cell r="P1597">
            <v>40947</v>
          </cell>
        </row>
        <row r="1598">
          <cell r="A1598">
            <v>3125410</v>
          </cell>
          <cell r="B1598">
            <v>102450</v>
          </cell>
          <cell r="C1598">
            <v>312</v>
          </cell>
          <cell r="D1598" t="str">
            <v>Hillingdon</v>
          </cell>
          <cell r="E1598">
            <v>5410</v>
          </cell>
          <cell r="F1598" t="str">
            <v>Martin Rowley</v>
          </cell>
          <cell r="G1598" t="str">
            <v>Swakeleys School</v>
          </cell>
          <cell r="H1598" t="str">
            <v>London</v>
          </cell>
          <cell r="I1598" t="str">
            <v>Clifton Gardens</v>
          </cell>
          <cell r="J1598" t="str">
            <v>Hillingdon</v>
          </cell>
          <cell r="L1598" t="str">
            <v>Uxbridge</v>
          </cell>
          <cell r="N1598" t="str">
            <v>UB10 0EJ</v>
          </cell>
          <cell r="O1598" t="str">
            <v>spryor@hillingdongrid.org</v>
          </cell>
          <cell r="P1598">
            <v>40557</v>
          </cell>
        </row>
        <row r="1599">
          <cell r="A1599">
            <v>3302249</v>
          </cell>
          <cell r="B1599">
            <v>103297</v>
          </cell>
          <cell r="C1599">
            <v>330</v>
          </cell>
          <cell r="D1599" t="str">
            <v>Birmingham</v>
          </cell>
          <cell r="E1599">
            <v>2249</v>
          </cell>
          <cell r="F1599" t="str">
            <v>Alison Middleton</v>
          </cell>
          <cell r="G1599" t="str">
            <v>Ley Hill Junior and Infant (NC) School</v>
          </cell>
          <cell r="H1599" t="str">
            <v>West Midlands</v>
          </cell>
          <cell r="I1599" t="str">
            <v>Rhayader Road</v>
          </cell>
          <cell r="L1599" t="str">
            <v>Birmingham</v>
          </cell>
          <cell r="M1599" t="str">
            <v>West Midlands</v>
          </cell>
          <cell r="N1599" t="str">
            <v>B31 1TX</v>
          </cell>
          <cell r="O1599" t="str">
            <v>cchambers@leyhill.bham.sch.uk</v>
          </cell>
        </row>
        <row r="1600">
          <cell r="A1600">
            <v>3712108</v>
          </cell>
          <cell r="B1600">
            <v>106695</v>
          </cell>
          <cell r="C1600">
            <v>371</v>
          </cell>
          <cell r="D1600" t="str">
            <v>Doncaster</v>
          </cell>
          <cell r="E1600">
            <v>2108</v>
          </cell>
          <cell r="F1600" t="str">
            <v>Bev Mullin</v>
          </cell>
          <cell r="G1600" t="str">
            <v>Rowena Nursery and Infant School</v>
          </cell>
          <cell r="H1600" t="str">
            <v>Yorkshire and the Humber</v>
          </cell>
          <cell r="I1600" t="str">
            <v>Gardens Lane</v>
          </cell>
          <cell r="J1600" t="str">
            <v>Conisbrough</v>
          </cell>
          <cell r="L1600" t="str">
            <v>Doncaster</v>
          </cell>
          <cell r="M1600" t="str">
            <v>South Yorkshire</v>
          </cell>
          <cell r="N1600" t="str">
            <v>DN12 3JY</v>
          </cell>
          <cell r="O1600" t="str">
            <v>head@conisbroughrowena.doncaster.sch.uk</v>
          </cell>
          <cell r="P1600">
            <v>40718</v>
          </cell>
        </row>
        <row r="1601">
          <cell r="A1601">
            <v>8602217</v>
          </cell>
          <cell r="B1601">
            <v>124088</v>
          </cell>
          <cell r="C1601">
            <v>860</v>
          </cell>
          <cell r="D1601" t="str">
            <v>Staffordshire</v>
          </cell>
          <cell r="E1601">
            <v>2217</v>
          </cell>
          <cell r="F1601" t="str">
            <v>Stephen Bagnall</v>
          </cell>
          <cell r="G1601" t="str">
            <v>Littleton Green Community School</v>
          </cell>
          <cell r="H1601" t="str">
            <v>West Midlands</v>
          </cell>
          <cell r="I1601" t="str">
            <v>Colliers Way</v>
          </cell>
          <cell r="J1601" t="str">
            <v>Huntington</v>
          </cell>
          <cell r="L1601" t="str">
            <v>Cannock</v>
          </cell>
          <cell r="M1601" t="str">
            <v>Staffordshire</v>
          </cell>
          <cell r="N1601" t="str">
            <v>WS12 4UD</v>
          </cell>
          <cell r="O1601" t="str">
            <v>headteacher@littletongreen.staffs.sch.uk</v>
          </cell>
          <cell r="P1601">
            <v>40861</v>
          </cell>
        </row>
        <row r="1602">
          <cell r="A1602">
            <v>2085404</v>
          </cell>
          <cell r="B1602">
            <v>100641</v>
          </cell>
          <cell r="C1602">
            <v>208</v>
          </cell>
          <cell r="D1602" t="str">
            <v>Lambeth</v>
          </cell>
          <cell r="E1602">
            <v>5404</v>
          </cell>
          <cell r="F1602" t="str">
            <v>Helen Fisher</v>
          </cell>
          <cell r="G1602" t="str">
            <v>St Martin in the Fields High School for Girls</v>
          </cell>
          <cell r="H1602" t="str">
            <v>London</v>
          </cell>
          <cell r="I1602" t="str">
            <v>155 Tulse Hill</v>
          </cell>
          <cell r="L1602" t="str">
            <v>London</v>
          </cell>
          <cell r="N1602" t="str">
            <v>SW2 3UP</v>
          </cell>
          <cell r="O1602" t="str">
            <v>lmorrison@stmartins.lambeth.sch.uk</v>
          </cell>
          <cell r="P1602">
            <v>40905</v>
          </cell>
        </row>
        <row r="1603">
          <cell r="A1603">
            <v>8862235</v>
          </cell>
          <cell r="B1603">
            <v>118344</v>
          </cell>
          <cell r="C1603">
            <v>886</v>
          </cell>
          <cell r="D1603" t="str">
            <v>Kent</v>
          </cell>
          <cell r="E1603">
            <v>2235</v>
          </cell>
          <cell r="F1603" t="str">
            <v>Tony Dunne</v>
          </cell>
          <cell r="G1603" t="str">
            <v>Minster in Sheppey Primary School</v>
          </cell>
          <cell r="H1603" t="str">
            <v>South East</v>
          </cell>
          <cell r="I1603" t="str">
            <v>Brecon Chase</v>
          </cell>
          <cell r="J1603" t="str">
            <v>Minster</v>
          </cell>
          <cell r="L1603" t="str">
            <v>Sheerness</v>
          </cell>
          <cell r="M1603" t="str">
            <v>Kent</v>
          </cell>
          <cell r="N1603" t="str">
            <v>ME12 2HX</v>
          </cell>
          <cell r="O1603" t="str">
            <v>headteacher@minster-sheppey.kent.sch.uk</v>
          </cell>
        </row>
        <row r="1604">
          <cell r="A1604">
            <v>8132001</v>
          </cell>
          <cell r="B1604">
            <v>131216</v>
          </cell>
          <cell r="C1604">
            <v>813</v>
          </cell>
          <cell r="D1604" t="str">
            <v>North Lincolnshire</v>
          </cell>
          <cell r="E1604">
            <v>2001</v>
          </cell>
          <cell r="F1604" t="str">
            <v>Bev Annables</v>
          </cell>
          <cell r="G1604" t="str">
            <v>Westcliffe Primary School</v>
          </cell>
          <cell r="H1604" t="str">
            <v>Yorkshire and the Humber</v>
          </cell>
          <cell r="I1604" t="str">
            <v>Dryden Road</v>
          </cell>
          <cell r="L1604" t="str">
            <v>Scunthorpe</v>
          </cell>
          <cell r="M1604" t="str">
            <v>Lincolnshire</v>
          </cell>
          <cell r="N1604" t="str">
            <v>DN17 1PN</v>
          </cell>
          <cell r="O1604" t="str">
            <v>head.westcliffeprimary@northlincs.gov.uk</v>
          </cell>
        </row>
        <row r="1605">
          <cell r="A1605">
            <v>9334583</v>
          </cell>
          <cell r="B1605">
            <v>123896</v>
          </cell>
          <cell r="C1605">
            <v>933</v>
          </cell>
          <cell r="D1605" t="str">
            <v>Somerset</v>
          </cell>
          <cell r="E1605">
            <v>4583</v>
          </cell>
          <cell r="F1605" t="str">
            <v>Vivienne Brown</v>
          </cell>
          <cell r="G1605" t="str">
            <v>The Kings of Wessex School</v>
          </cell>
          <cell r="H1605" t="str">
            <v>South West</v>
          </cell>
          <cell r="I1605" t="str">
            <v>Station Road</v>
          </cell>
          <cell r="L1605" t="str">
            <v>Cheddar</v>
          </cell>
          <cell r="M1605" t="str">
            <v>Somerset</v>
          </cell>
          <cell r="N1605" t="str">
            <v>BS27 3AQ</v>
          </cell>
          <cell r="O1605" t="str">
            <v>jowens@educ.somerset.gov.uk</v>
          </cell>
          <cell r="P1605">
            <v>40352</v>
          </cell>
        </row>
        <row r="1606">
          <cell r="A1606">
            <v>8884630</v>
          </cell>
          <cell r="B1606">
            <v>119791</v>
          </cell>
          <cell r="C1606">
            <v>888</v>
          </cell>
          <cell r="D1606" t="str">
            <v>Lancashire</v>
          </cell>
          <cell r="E1606">
            <v>4630</v>
          </cell>
          <cell r="F1606" t="str">
            <v>Colin McGuffie</v>
          </cell>
          <cell r="G1606" t="str">
            <v>Accrington St Christopher's Church of England High School</v>
          </cell>
          <cell r="H1606" t="str">
            <v>North West</v>
          </cell>
          <cell r="I1606" t="str">
            <v>Queen's Road West</v>
          </cell>
          <cell r="L1606" t="str">
            <v>Accrington</v>
          </cell>
          <cell r="M1606" t="str">
            <v>Lancashire</v>
          </cell>
          <cell r="N1606" t="str">
            <v>BB5 4AY</v>
          </cell>
          <cell r="O1606" t="str">
            <v>p.crewe@st-christopher.lancs.sch.uk</v>
          </cell>
          <cell r="P1606">
            <v>40721</v>
          </cell>
        </row>
        <row r="1607">
          <cell r="A1607">
            <v>8842063</v>
          </cell>
          <cell r="B1607">
            <v>116684</v>
          </cell>
          <cell r="C1607">
            <v>884</v>
          </cell>
          <cell r="D1607" t="str">
            <v>Herefordshire</v>
          </cell>
          <cell r="E1607">
            <v>2063</v>
          </cell>
          <cell r="F1607" t="str">
            <v>Carla Spink</v>
          </cell>
          <cell r="G1607" t="str">
            <v>Marlbrook Community Primary School</v>
          </cell>
          <cell r="H1607" t="str">
            <v>West Midlands</v>
          </cell>
          <cell r="I1607" t="str">
            <v>Green Croft</v>
          </cell>
          <cell r="J1607" t="str">
            <v>Redhill</v>
          </cell>
          <cell r="L1607" t="str">
            <v>Hereford</v>
          </cell>
          <cell r="M1607" t="str">
            <v>Herefordshire</v>
          </cell>
          <cell r="N1607" t="str">
            <v>HR2 7NT</v>
          </cell>
          <cell r="O1607" t="str">
            <v>tkneale@marlbrook.hereford.sch.uk</v>
          </cell>
        </row>
        <row r="1608">
          <cell r="A1608">
            <v>9333040</v>
          </cell>
          <cell r="B1608">
            <v>123752</v>
          </cell>
          <cell r="C1608">
            <v>933</v>
          </cell>
          <cell r="D1608" t="str">
            <v>Somerset</v>
          </cell>
          <cell r="E1608">
            <v>3040</v>
          </cell>
          <cell r="F1608" t="str">
            <v>Theresa Oddelm</v>
          </cell>
          <cell r="G1608" t="str">
            <v>Curry Rivel Church of England VC Primary School</v>
          </cell>
          <cell r="H1608" t="str">
            <v>South West</v>
          </cell>
          <cell r="I1608" t="str">
            <v>Church Street</v>
          </cell>
          <cell r="J1608" t="str">
            <v>Curry Rivel</v>
          </cell>
          <cell r="L1608" t="str">
            <v>Langport</v>
          </cell>
          <cell r="M1608" t="str">
            <v>Somerset</v>
          </cell>
          <cell r="N1608" t="str">
            <v>TA10 0HD</v>
          </cell>
          <cell r="O1608" t="str">
            <v>ARussell@educ.somerset.gov.uk</v>
          </cell>
        </row>
        <row r="1609">
          <cell r="A1609">
            <v>8884041</v>
          </cell>
          <cell r="B1609">
            <v>119726</v>
          </cell>
          <cell r="C1609">
            <v>888</v>
          </cell>
          <cell r="D1609" t="str">
            <v>Lancashire</v>
          </cell>
          <cell r="E1609">
            <v>4041</v>
          </cell>
          <cell r="F1609" t="str">
            <v>Viv Clutton</v>
          </cell>
          <cell r="G1609" t="str">
            <v>Bowland High School</v>
          </cell>
          <cell r="H1609" t="str">
            <v>North West</v>
          </cell>
          <cell r="I1609" t="str">
            <v>Riversmead</v>
          </cell>
          <cell r="J1609" t="str">
            <v>Grindleton</v>
          </cell>
          <cell r="L1609" t="str">
            <v>Clitheroe</v>
          </cell>
          <cell r="M1609" t="str">
            <v>Lancashire</v>
          </cell>
          <cell r="N1609" t="str">
            <v>BB7 4QS</v>
          </cell>
          <cell r="O1609" t="str">
            <v>scox@bowlandhigh.lancs.sch.uk</v>
          </cell>
          <cell r="P1609">
            <v>40574</v>
          </cell>
        </row>
        <row r="1610">
          <cell r="A1610">
            <v>8107008</v>
          </cell>
          <cell r="B1610">
            <v>118141</v>
          </cell>
          <cell r="C1610">
            <v>810</v>
          </cell>
          <cell r="D1610" t="str">
            <v>Kingston upon Hull City of</v>
          </cell>
          <cell r="E1610">
            <v>7008</v>
          </cell>
          <cell r="F1610" t="str">
            <v>Adriarna Goodinson</v>
          </cell>
          <cell r="G1610" t="str">
            <v>Tweendykes School</v>
          </cell>
          <cell r="H1610" t="str">
            <v>Yorkshire and the Humber</v>
          </cell>
          <cell r="I1610" t="str">
            <v>Tweendykes Road</v>
          </cell>
          <cell r="L1610" t="str">
            <v>Hull</v>
          </cell>
          <cell r="N1610" t="str">
            <v>HU7 4XJ</v>
          </cell>
          <cell r="O1610" t="str">
            <v>head@tweendykes.hull.sch.uk</v>
          </cell>
          <cell r="P1610">
            <v>41051</v>
          </cell>
        </row>
        <row r="1611">
          <cell r="A1611">
            <v>3404612</v>
          </cell>
          <cell r="B1611">
            <v>135476</v>
          </cell>
          <cell r="C1611">
            <v>340</v>
          </cell>
          <cell r="D1611" t="str">
            <v>Knowsley</v>
          </cell>
          <cell r="E1611">
            <v>4612</v>
          </cell>
          <cell r="F1611" t="str">
            <v>Maria Sabberton</v>
          </cell>
          <cell r="G1611" t="str">
            <v>Huyton Arts &amp; Sports Centre for Learning (Community)</v>
          </cell>
          <cell r="H1611" t="str">
            <v>North West</v>
          </cell>
          <cell r="I1611" t="str">
            <v>Seel Road</v>
          </cell>
          <cell r="J1611" t="str">
            <v>Huyton</v>
          </cell>
          <cell r="L1611" t="str">
            <v>Liverpool</v>
          </cell>
          <cell r="M1611" t="str">
            <v>Merseyside</v>
          </cell>
          <cell r="N1611" t="str">
            <v>L36 6DG</v>
          </cell>
          <cell r="O1611" t="str">
            <v>sjamieson1@klear.org.uk</v>
          </cell>
        </row>
        <row r="1612">
          <cell r="A1612">
            <v>9282106</v>
          </cell>
          <cell r="B1612">
            <v>121875</v>
          </cell>
          <cell r="C1612">
            <v>928</v>
          </cell>
          <cell r="D1612" t="str">
            <v>Northamptonshire</v>
          </cell>
          <cell r="E1612">
            <v>2106</v>
          </cell>
          <cell r="F1612" t="str">
            <v>Grant Dyson</v>
          </cell>
          <cell r="G1612" t="str">
            <v>Wootton Primary School</v>
          </cell>
          <cell r="H1612" t="str">
            <v>East Midlands</v>
          </cell>
          <cell r="I1612" t="str">
            <v>Farmclose Road</v>
          </cell>
          <cell r="J1612" t="str">
            <v>Wootton</v>
          </cell>
          <cell r="L1612" t="str">
            <v>Northampton</v>
          </cell>
          <cell r="M1612" t="str">
            <v>Northamptonshire</v>
          </cell>
          <cell r="N1612" t="str">
            <v>NN4 6HJ</v>
          </cell>
          <cell r="O1612" t="str">
            <v>head@wootton.northants-ecl.gov.uk</v>
          </cell>
          <cell r="P1612">
            <v>40984</v>
          </cell>
        </row>
        <row r="1613">
          <cell r="A1613">
            <v>8575405</v>
          </cell>
          <cell r="B1613">
            <v>120289</v>
          </cell>
          <cell r="C1613">
            <v>857</v>
          </cell>
          <cell r="D1613" t="str">
            <v>Rutland</v>
          </cell>
          <cell r="E1613">
            <v>5405</v>
          </cell>
          <cell r="F1613" t="str">
            <v>Grant Dyson</v>
          </cell>
          <cell r="G1613" t="str">
            <v>Casterton Business and Enterprise College</v>
          </cell>
          <cell r="H1613" t="str">
            <v>East Midlands</v>
          </cell>
          <cell r="I1613" t="str">
            <v>Ryhall Road</v>
          </cell>
          <cell r="J1613" t="str">
            <v>Great Casterton</v>
          </cell>
          <cell r="L1613" t="str">
            <v>Stamford</v>
          </cell>
          <cell r="M1613" t="str">
            <v>Lincolnshire</v>
          </cell>
          <cell r="N1613" t="str">
            <v>PE9 4AT</v>
          </cell>
          <cell r="O1613" t="str">
            <v>vc@cbec.rutland.sch.uk</v>
          </cell>
          <cell r="P1613">
            <v>40616</v>
          </cell>
        </row>
        <row r="1614">
          <cell r="A1614">
            <v>8665221</v>
          </cell>
          <cell r="B1614">
            <v>126301</v>
          </cell>
          <cell r="C1614">
            <v>866</v>
          </cell>
          <cell r="D1614" t="str">
            <v>Swindon</v>
          </cell>
          <cell r="E1614">
            <v>5221</v>
          </cell>
          <cell r="F1614" t="str">
            <v>Ali Bushell</v>
          </cell>
          <cell r="G1614" t="str">
            <v>St Leonard's school / St Andrews Church of England Primary School, Blunsdon</v>
          </cell>
          <cell r="H1614" t="str">
            <v>South West</v>
          </cell>
          <cell r="I1614" t="str">
            <v>Linley Road</v>
          </cell>
          <cell r="J1614" t="str">
            <v>Blunsdon</v>
          </cell>
          <cell r="L1614" t="str">
            <v>Swindon</v>
          </cell>
          <cell r="M1614" t="str">
            <v>Wiltshire</v>
          </cell>
          <cell r="N1614" t="str">
            <v>SN26 7AP</v>
          </cell>
          <cell r="O1614" t="str">
            <v>head@standrews.swindon.sch.uk</v>
          </cell>
          <cell r="P1614">
            <v>40742</v>
          </cell>
        </row>
        <row r="1615">
          <cell r="A1615">
            <v>8792637</v>
          </cell>
          <cell r="B1615">
            <v>113275</v>
          </cell>
          <cell r="C1615">
            <v>879</v>
          </cell>
          <cell r="D1615" t="str">
            <v>Plymouth</v>
          </cell>
          <cell r="E1615">
            <v>2637</v>
          </cell>
          <cell r="F1615" t="str">
            <v>Ali Bushell</v>
          </cell>
          <cell r="G1615" t="str">
            <v>Hyde Park Infant Schools</v>
          </cell>
          <cell r="H1615" t="str">
            <v>South West</v>
          </cell>
          <cell r="I1615" t="str">
            <v>Hyde Park Road</v>
          </cell>
          <cell r="J1615" t="str">
            <v>Mutley</v>
          </cell>
          <cell r="L1615" t="str">
            <v>Plymouth</v>
          </cell>
          <cell r="M1615" t="str">
            <v>Devon</v>
          </cell>
          <cell r="N1615" t="str">
            <v>PL3 4RF</v>
          </cell>
          <cell r="O1615" t="str">
            <v>hyde.park.infants.school@plymouth.gov.uk</v>
          </cell>
        </row>
        <row r="1616">
          <cell r="A1616">
            <v>8815427</v>
          </cell>
          <cell r="B1616">
            <v>115343</v>
          </cell>
          <cell r="C1616">
            <v>881</v>
          </cell>
          <cell r="D1616" t="str">
            <v>Essex</v>
          </cell>
          <cell r="E1616">
            <v>5427</v>
          </cell>
          <cell r="F1616" t="str">
            <v>William Thursfield</v>
          </cell>
          <cell r="G1616" t="str">
            <v>William de Ferrers School</v>
          </cell>
          <cell r="H1616" t="str">
            <v>East of England</v>
          </cell>
          <cell r="I1616" t="str">
            <v>Trinity Square</v>
          </cell>
          <cell r="J1616" t="str">
            <v>South Woodham Ferrers</v>
          </cell>
          <cell r="L1616" t="str">
            <v>Chelmsford</v>
          </cell>
          <cell r="M1616" t="str">
            <v>Essex</v>
          </cell>
          <cell r="N1616" t="str">
            <v>CM3 5JU</v>
          </cell>
          <cell r="O1616" t="str">
            <v>rayling@williamdeferrers.essex.sch.uk</v>
          </cell>
          <cell r="P1616">
            <v>40525</v>
          </cell>
        </row>
        <row r="1617">
          <cell r="A1617">
            <v>8783124</v>
          </cell>
          <cell r="B1617">
            <v>113405</v>
          </cell>
          <cell r="C1617">
            <v>878</v>
          </cell>
          <cell r="D1617" t="str">
            <v>Devon</v>
          </cell>
          <cell r="E1617">
            <v>3124</v>
          </cell>
          <cell r="F1617" t="str">
            <v>Lilian Da Cunha</v>
          </cell>
          <cell r="G1617" t="str">
            <v>Salcombe Church of England Primary School</v>
          </cell>
          <cell r="H1617" t="str">
            <v>South West</v>
          </cell>
          <cell r="I1617" t="str">
            <v>Onslow Road</v>
          </cell>
          <cell r="L1617" t="str">
            <v>Salcombe</v>
          </cell>
          <cell r="M1617" t="str">
            <v>Devon</v>
          </cell>
          <cell r="N1617" t="str">
            <v>TQ8 8AG</v>
          </cell>
          <cell r="P1617">
            <v>40672</v>
          </cell>
        </row>
        <row r="1618">
          <cell r="A1618">
            <v>8742263</v>
          </cell>
          <cell r="B1618">
            <v>110718</v>
          </cell>
          <cell r="C1618">
            <v>874</v>
          </cell>
          <cell r="D1618" t="str">
            <v>Peterborough</v>
          </cell>
          <cell r="E1618">
            <v>2263</v>
          </cell>
          <cell r="F1618" t="str">
            <v>Joe Farrell</v>
          </cell>
          <cell r="G1618" t="str">
            <v>Dogsthorpe Junior School</v>
          </cell>
          <cell r="H1618" t="str">
            <v>East of England</v>
          </cell>
          <cell r="I1618" t="str">
            <v>Central Avenue</v>
          </cell>
          <cell r="J1618" t="str">
            <v>Dogsthorpe</v>
          </cell>
          <cell r="L1618" t="str">
            <v>Peterborough</v>
          </cell>
          <cell r="M1618" t="str">
            <v>Cambridgeshire</v>
          </cell>
          <cell r="N1618" t="str">
            <v>PE1 4LH</v>
          </cell>
          <cell r="O1618" t="str">
            <v>mary.foreman@dogsthorpe-jun.peterborough.sch.uk</v>
          </cell>
        </row>
        <row r="1619">
          <cell r="A1619">
            <v>3192045</v>
          </cell>
          <cell r="B1619">
            <v>102987</v>
          </cell>
          <cell r="C1619">
            <v>319</v>
          </cell>
          <cell r="D1619" t="str">
            <v>Sutton</v>
          </cell>
          <cell r="E1619">
            <v>2045</v>
          </cell>
          <cell r="F1619" t="str">
            <v>Helen Barry</v>
          </cell>
          <cell r="G1619" t="str">
            <v>Westbourne Primary</v>
          </cell>
          <cell r="H1619" t="str">
            <v>London</v>
          </cell>
          <cell r="I1619" t="str">
            <v>Anton Crescent</v>
          </cell>
          <cell r="J1619" t="str">
            <v>Collingwood Road</v>
          </cell>
          <cell r="L1619" t="str">
            <v>Sutton</v>
          </cell>
          <cell r="M1619" t="str">
            <v>Surrey</v>
          </cell>
          <cell r="N1619" t="str">
            <v>SM1 2NT</v>
          </cell>
          <cell r="O1619" t="str">
            <v>mhiley@suttonlea.org</v>
          </cell>
          <cell r="P1619">
            <v>40578</v>
          </cell>
        </row>
        <row r="1620">
          <cell r="A1620">
            <v>9333283</v>
          </cell>
          <cell r="B1620">
            <v>123819</v>
          </cell>
          <cell r="C1620">
            <v>933</v>
          </cell>
          <cell r="D1620" t="str">
            <v>Somerset</v>
          </cell>
          <cell r="E1620">
            <v>3283</v>
          </cell>
          <cell r="F1620" t="str">
            <v>Theresa Oddelm</v>
          </cell>
          <cell r="G1620" t="str">
            <v>Preston CofE VC Primary School</v>
          </cell>
          <cell r="H1620" t="str">
            <v>South West</v>
          </cell>
          <cell r="I1620" t="str">
            <v>The Toose</v>
          </cell>
          <cell r="J1620" t="str">
            <v>Abbey Manor Park</v>
          </cell>
          <cell r="L1620" t="str">
            <v>Yeovil</v>
          </cell>
          <cell r="M1620" t="str">
            <v>Somerset</v>
          </cell>
          <cell r="N1620" t="str">
            <v>BA21 3SN</v>
          </cell>
          <cell r="O1620" t="str">
            <v>bgreen@educ.somerset.gov.uk</v>
          </cell>
        </row>
        <row r="1621">
          <cell r="A1621">
            <v>8861119</v>
          </cell>
          <cell r="B1621">
            <v>132186</v>
          </cell>
          <cell r="C1621">
            <v>886</v>
          </cell>
          <cell r="D1621" t="str">
            <v>Kent</v>
          </cell>
          <cell r="E1621">
            <v>1119</v>
          </cell>
          <cell r="F1621" t="str">
            <v>Linda Tiley</v>
          </cell>
          <cell r="G1621" t="str">
            <v>West Kent Health Needs Education Service</v>
          </cell>
          <cell r="H1621" t="str">
            <v>South East</v>
          </cell>
          <cell r="I1621" t="str">
            <v>Birling Grange/Leybourne Chase</v>
          </cell>
          <cell r="J1621" t="str">
            <v>Birling Road</v>
          </cell>
          <cell r="K1621" t="str">
            <v>Leybourne</v>
          </cell>
          <cell r="L1621" t="str">
            <v>West Malling</v>
          </cell>
          <cell r="M1621" t="str">
            <v>Kent</v>
          </cell>
          <cell r="N1621" t="str">
            <v>ME19 5QA</v>
          </cell>
          <cell r="O1621" t="str">
            <v>g.taylor@wkhnes.kent.sch.uk</v>
          </cell>
        </row>
        <row r="1622">
          <cell r="A1622">
            <v>8307018</v>
          </cell>
          <cell r="B1622">
            <v>113040</v>
          </cell>
          <cell r="C1622">
            <v>830</v>
          </cell>
          <cell r="D1622" t="str">
            <v>Derbyshire</v>
          </cell>
          <cell r="E1622">
            <v>7018</v>
          </cell>
          <cell r="F1622" t="str">
            <v>Tony Bretherick</v>
          </cell>
          <cell r="G1622" t="str">
            <v>Alfreton Park Community Special School</v>
          </cell>
          <cell r="H1622" t="str">
            <v>East Midlands</v>
          </cell>
          <cell r="I1622" t="str">
            <v>Alfreton Park</v>
          </cell>
          <cell r="J1622" t="str">
            <v>Wingfield Road</v>
          </cell>
          <cell r="L1622" t="str">
            <v>Alfreton</v>
          </cell>
          <cell r="M1622" t="str">
            <v>Derbyshire</v>
          </cell>
          <cell r="N1622" t="str">
            <v>DE55 7AL</v>
          </cell>
          <cell r="O1622" t="str">
            <v>rosemarym1@alfretonpark.derbyshire.sch.uk</v>
          </cell>
        </row>
        <row r="1623">
          <cell r="A1623">
            <v>9364193</v>
          </cell>
          <cell r="B1623">
            <v>125262</v>
          </cell>
          <cell r="C1623">
            <v>936</v>
          </cell>
          <cell r="D1623" t="str">
            <v>Surrey</v>
          </cell>
          <cell r="E1623">
            <v>4193</v>
          </cell>
          <cell r="F1623" t="str">
            <v>Gabriela Grimley</v>
          </cell>
          <cell r="G1623" t="str">
            <v>Rydens School</v>
          </cell>
          <cell r="H1623" t="str">
            <v>South East</v>
          </cell>
          <cell r="I1623" t="str">
            <v>Hersham Road</v>
          </cell>
          <cell r="L1623" t="str">
            <v>Walton-on-Thames</v>
          </cell>
          <cell r="M1623" t="str">
            <v>Surrey</v>
          </cell>
          <cell r="N1623" t="str">
            <v>KT12 5PY</v>
          </cell>
          <cell r="O1623" t="str">
            <v>head@rydens.surrey.sch.uk</v>
          </cell>
          <cell r="P1623">
            <v>40630</v>
          </cell>
        </row>
        <row r="1624">
          <cell r="A1624">
            <v>8934391</v>
          </cell>
          <cell r="B1624">
            <v>123567</v>
          </cell>
          <cell r="C1624">
            <v>893</v>
          </cell>
          <cell r="D1624" t="str">
            <v>Shropshire</v>
          </cell>
          <cell r="E1624">
            <v>4391</v>
          </cell>
          <cell r="F1624" t="str">
            <v>Julia Waterhouse</v>
          </cell>
          <cell r="G1624" t="str">
            <v>William Brookes School</v>
          </cell>
          <cell r="H1624" t="str">
            <v>West Midlands</v>
          </cell>
          <cell r="I1624" t="str">
            <v>Farley Road</v>
          </cell>
          <cell r="L1624" t="str">
            <v>Much Wenlock</v>
          </cell>
          <cell r="M1624" t="str">
            <v>Shropshire</v>
          </cell>
          <cell r="N1624" t="str">
            <v>TF13 6NB</v>
          </cell>
          <cell r="O1624" t="str">
            <v>renwick.g@shropshirelg.net</v>
          </cell>
          <cell r="P1624">
            <v>41110</v>
          </cell>
        </row>
        <row r="1625">
          <cell r="A1625">
            <v>9093379</v>
          </cell>
          <cell r="B1625">
            <v>112329</v>
          </cell>
          <cell r="C1625">
            <v>909</v>
          </cell>
          <cell r="D1625" t="str">
            <v>Cumbria</v>
          </cell>
          <cell r="E1625">
            <v>3379</v>
          </cell>
          <cell r="F1625" t="str">
            <v>Linda Tiley</v>
          </cell>
          <cell r="G1625" t="str">
            <v>St Mary's CofE Nursery and Infant School</v>
          </cell>
          <cell r="H1625" t="str">
            <v>North West</v>
          </cell>
          <cell r="I1625" t="str">
            <v>Princes Road</v>
          </cell>
          <cell r="L1625" t="str">
            <v>Windermere</v>
          </cell>
          <cell r="M1625" t="str">
            <v>Cumbria</v>
          </cell>
          <cell r="N1625" t="str">
            <v>LA23 2DD</v>
          </cell>
          <cell r="O1625" t="str">
            <v>judithgore@st-marys-windermere-inf.cumbria.sch.uk</v>
          </cell>
          <cell r="P1625">
            <v>40836</v>
          </cell>
        </row>
        <row r="1626">
          <cell r="A1626">
            <v>9253029</v>
          </cell>
          <cell r="B1626">
            <v>120524</v>
          </cell>
          <cell r="C1626">
            <v>925</v>
          </cell>
          <cell r="D1626" t="str">
            <v>Lincolnshire</v>
          </cell>
          <cell r="E1626">
            <v>3029</v>
          </cell>
          <cell r="F1626" t="str">
            <v>Jacki Couch</v>
          </cell>
          <cell r="G1626" t="str">
            <v>Gonerby Hill Foot Church of England Primary School</v>
          </cell>
          <cell r="H1626" t="str">
            <v>East Midlands</v>
          </cell>
          <cell r="I1626" t="str">
            <v>Gonerby Hill Foot</v>
          </cell>
          <cell r="L1626" t="str">
            <v>Grantham</v>
          </cell>
          <cell r="M1626" t="str">
            <v>Lincolnshire</v>
          </cell>
          <cell r="N1626" t="str">
            <v>NG31 8HQ</v>
          </cell>
          <cell r="O1626" t="str">
            <v>peter.riches@gonerbyhillfoot.lincs.sch.uk</v>
          </cell>
        </row>
        <row r="1627">
          <cell r="A1627">
            <v>3052025</v>
          </cell>
          <cell r="B1627">
            <v>101603</v>
          </cell>
          <cell r="C1627">
            <v>305</v>
          </cell>
          <cell r="D1627" t="str">
            <v>Bromley</v>
          </cell>
          <cell r="E1627">
            <v>2025</v>
          </cell>
          <cell r="F1627" t="str">
            <v>Sheila Longstaff</v>
          </cell>
          <cell r="G1627" t="str">
            <v>Mead Road Infant School</v>
          </cell>
          <cell r="H1627" t="str">
            <v>London</v>
          </cell>
          <cell r="I1627" t="str">
            <v>Mead Road</v>
          </cell>
          <cell r="L1627" t="str">
            <v>Chislehurst</v>
          </cell>
          <cell r="M1627" t="str">
            <v>Kent</v>
          </cell>
          <cell r="N1627" t="str">
            <v>BR7 6AD</v>
          </cell>
          <cell r="O1627" t="str">
            <v>sue.waters@meadroad.bromley.sch.uk</v>
          </cell>
        </row>
        <row r="1628">
          <cell r="A1628">
            <v>8562378</v>
          </cell>
          <cell r="B1628">
            <v>120101</v>
          </cell>
          <cell r="C1628">
            <v>856</v>
          </cell>
          <cell r="D1628" t="str">
            <v>Leicester</v>
          </cell>
          <cell r="E1628">
            <v>2378</v>
          </cell>
          <cell r="F1628" t="str">
            <v>Sue Harp</v>
          </cell>
          <cell r="G1628" t="str">
            <v>Slater Primary School</v>
          </cell>
          <cell r="H1628" t="str">
            <v>East Midlands</v>
          </cell>
          <cell r="I1628" t="str">
            <v>Slater Street</v>
          </cell>
          <cell r="L1628" t="str">
            <v>Leicester</v>
          </cell>
          <cell r="M1628" t="str">
            <v>Leicestershire</v>
          </cell>
          <cell r="N1628" t="str">
            <v>LE3 5AS</v>
          </cell>
          <cell r="O1628" t="str">
            <v>chenderson@slater.leicester.sch.uk</v>
          </cell>
        </row>
        <row r="1629">
          <cell r="A1629">
            <v>8865425</v>
          </cell>
          <cell r="B1629">
            <v>118897</v>
          </cell>
          <cell r="C1629">
            <v>886</v>
          </cell>
          <cell r="D1629" t="str">
            <v>Kent</v>
          </cell>
          <cell r="E1629">
            <v>5425</v>
          </cell>
          <cell r="F1629" t="str">
            <v>Nicky Edwards</v>
          </cell>
          <cell r="G1629" t="str">
            <v>The Malling School</v>
          </cell>
          <cell r="H1629" t="str">
            <v>South East</v>
          </cell>
          <cell r="I1629" t="str">
            <v>Beech Road</v>
          </cell>
          <cell r="J1629" t="str">
            <v>East Malling</v>
          </cell>
          <cell r="L1629" t="str">
            <v>West Malling</v>
          </cell>
          <cell r="M1629" t="str">
            <v>Kent</v>
          </cell>
          <cell r="N1629" t="str">
            <v>ME19 6DH</v>
          </cell>
          <cell r="O1629" t="str">
            <v>carl.roberts@themallingschool.kent.sch.uk</v>
          </cell>
          <cell r="P1629">
            <v>40571</v>
          </cell>
        </row>
        <row r="1630">
          <cell r="A1630">
            <v>3323053</v>
          </cell>
          <cell r="B1630">
            <v>103841</v>
          </cell>
          <cell r="C1630">
            <v>332</v>
          </cell>
          <cell r="D1630" t="str">
            <v>Dudley</v>
          </cell>
          <cell r="E1630">
            <v>3053</v>
          </cell>
          <cell r="F1630" t="str">
            <v>Stephen Bagnall</v>
          </cell>
          <cell r="G1630" t="str">
            <v>Netherton CofE Primary School</v>
          </cell>
          <cell r="H1630" t="str">
            <v>West Midlands</v>
          </cell>
          <cell r="I1630" t="str">
            <v>Highbridge Road</v>
          </cell>
          <cell r="J1630" t="str">
            <v>Netherton</v>
          </cell>
          <cell r="L1630" t="str">
            <v>Dudley</v>
          </cell>
          <cell r="M1630" t="str">
            <v>West Midlands</v>
          </cell>
          <cell r="N1630" t="str">
            <v>DY2 0HU</v>
          </cell>
          <cell r="O1630" t="str">
            <v>arushton@netherton.dudley.sch.uk</v>
          </cell>
        </row>
        <row r="1631">
          <cell r="A1631">
            <v>9354503</v>
          </cell>
          <cell r="B1631">
            <v>124859</v>
          </cell>
          <cell r="C1631">
            <v>935</v>
          </cell>
          <cell r="D1631" t="str">
            <v>Suffolk</v>
          </cell>
          <cell r="E1631">
            <v>4503</v>
          </cell>
          <cell r="F1631" t="str">
            <v>Joe Farrell</v>
          </cell>
          <cell r="G1631" t="str">
            <v>Blackbourne Church of England Voluntary Controlled Middle School, Stanton</v>
          </cell>
          <cell r="H1631" t="str">
            <v>East of England</v>
          </cell>
          <cell r="I1631" t="str">
            <v>Upthorpe Road</v>
          </cell>
          <cell r="J1631" t="str">
            <v>Stanton</v>
          </cell>
          <cell r="L1631" t="str">
            <v>Bury St Edmunds</v>
          </cell>
          <cell r="M1631" t="str">
            <v>Suffolk</v>
          </cell>
          <cell r="N1631" t="str">
            <v>IP31 2AW</v>
          </cell>
          <cell r="O1631" t="str">
            <v>p.vigrass@blackbourne.suffolk.sch.uk</v>
          </cell>
        </row>
        <row r="1632">
          <cell r="A1632">
            <v>9195426</v>
          </cell>
          <cell r="B1632">
            <v>117597</v>
          </cell>
          <cell r="C1632">
            <v>919</v>
          </cell>
          <cell r="D1632" t="str">
            <v>Hertfordshire</v>
          </cell>
          <cell r="E1632">
            <v>5426</v>
          </cell>
          <cell r="F1632" t="str">
            <v>Joe Farrell</v>
          </cell>
          <cell r="G1632" t="str">
            <v>The John Warner School</v>
          </cell>
          <cell r="H1632" t="str">
            <v>East of England</v>
          </cell>
          <cell r="I1632" t="str">
            <v>Stanstead Road</v>
          </cell>
          <cell r="L1632" t="str">
            <v>Hoddesdon</v>
          </cell>
          <cell r="M1632" t="str">
            <v>Hertfordshire</v>
          </cell>
          <cell r="N1632" t="str">
            <v>EN11 0QF</v>
          </cell>
          <cell r="O1632" t="str">
            <v>djk@johnwarner.herts.sch.uk</v>
          </cell>
          <cell r="P1632">
            <v>40514</v>
          </cell>
        </row>
        <row r="1633">
          <cell r="A1633">
            <v>9254027</v>
          </cell>
          <cell r="B1633">
            <v>120642</v>
          </cell>
          <cell r="C1633">
            <v>925</v>
          </cell>
          <cell r="D1633" t="str">
            <v>Lincolnshire</v>
          </cell>
          <cell r="E1633">
            <v>4027</v>
          </cell>
          <cell r="F1633" t="str">
            <v>Grant Dyson</v>
          </cell>
          <cell r="G1633" t="str">
            <v>Spalding High School - withdrawn</v>
          </cell>
          <cell r="H1633" t="str">
            <v>East Midlands</v>
          </cell>
          <cell r="I1633" t="str">
            <v>Stonegate</v>
          </cell>
          <cell r="L1633" t="str">
            <v>Spalding</v>
          </cell>
          <cell r="M1633" t="str">
            <v>Lincolnshire</v>
          </cell>
          <cell r="N1633" t="str">
            <v>PE11 2PJ</v>
          </cell>
          <cell r="O1633" t="str">
            <v>tim.clark@spaldinghigh.lincs.sch.uk</v>
          </cell>
          <cell r="P1633">
            <v>40553</v>
          </cell>
        </row>
        <row r="1634">
          <cell r="A1634">
            <v>9373216</v>
          </cell>
          <cell r="B1634">
            <v>130379</v>
          </cell>
          <cell r="C1634">
            <v>937</v>
          </cell>
          <cell r="D1634" t="str">
            <v>Warwickshire</v>
          </cell>
          <cell r="E1634">
            <v>3216</v>
          </cell>
          <cell r="F1634" t="str">
            <v>Carla Spink</v>
          </cell>
          <cell r="G1634" t="str">
            <v>The Dassett CofE Primary School</v>
          </cell>
          <cell r="H1634" t="str">
            <v>West Midlands</v>
          </cell>
          <cell r="I1634" t="str">
            <v>Fenny Compton</v>
          </cell>
          <cell r="L1634" t="str">
            <v>Southam</v>
          </cell>
          <cell r="M1634" t="str">
            <v>Warwickshire</v>
          </cell>
          <cell r="N1634" t="str">
            <v>CV47 2XU</v>
          </cell>
          <cell r="O1634" t="str">
            <v>head3216@we-learn.com</v>
          </cell>
        </row>
        <row r="1635">
          <cell r="A1635">
            <v>8884160</v>
          </cell>
          <cell r="B1635">
            <v>119747</v>
          </cell>
          <cell r="C1635">
            <v>888</v>
          </cell>
          <cell r="D1635" t="str">
            <v>Lancashire</v>
          </cell>
          <cell r="E1635">
            <v>4160</v>
          </cell>
          <cell r="F1635" t="str">
            <v>Viv Clutton</v>
          </cell>
          <cell r="G1635" t="str">
            <v>Garstang High School : A Community Technology College</v>
          </cell>
          <cell r="H1635" t="str">
            <v>North West</v>
          </cell>
          <cell r="I1635" t="str">
            <v>Bowgreave</v>
          </cell>
          <cell r="J1635" t="str">
            <v>Garstang</v>
          </cell>
          <cell r="L1635" t="str">
            <v>Preston</v>
          </cell>
          <cell r="M1635" t="str">
            <v>Lancashire</v>
          </cell>
          <cell r="N1635" t="str">
            <v>PR3 1YE</v>
          </cell>
          <cell r="O1635" t="str">
            <v xml:space="preserve"> pbirch@garstanghigh.lancs.sch.uk</v>
          </cell>
          <cell r="P1635">
            <v>40592</v>
          </cell>
        </row>
        <row r="1636">
          <cell r="A1636">
            <v>3712110</v>
          </cell>
          <cell r="B1636">
            <v>106696</v>
          </cell>
          <cell r="C1636">
            <v>371</v>
          </cell>
          <cell r="D1636" t="str">
            <v>Doncaster</v>
          </cell>
          <cell r="E1636">
            <v>2110</v>
          </cell>
          <cell r="F1636" t="str">
            <v>Lisa Sargeant</v>
          </cell>
          <cell r="G1636" t="str">
            <v>Grange Lane Infant School</v>
          </cell>
          <cell r="H1636" t="str">
            <v>Yorkshire and the Humber</v>
          </cell>
          <cell r="I1636" t="str">
            <v>Grange Lane</v>
          </cell>
          <cell r="J1636" t="str">
            <v>Rossington</v>
          </cell>
          <cell r="L1636" t="str">
            <v>Doncaster</v>
          </cell>
          <cell r="M1636" t="str">
            <v>South Yorkshire</v>
          </cell>
          <cell r="N1636" t="str">
            <v>DN11 0QY</v>
          </cell>
          <cell r="O1636" t="str">
            <v>headteacher@grangelane.doncaster.sch.uk</v>
          </cell>
          <cell r="P1636">
            <v>40609</v>
          </cell>
        </row>
        <row r="1637">
          <cell r="A1637">
            <v>8123517</v>
          </cell>
          <cell r="B1637">
            <v>131224</v>
          </cell>
          <cell r="C1637">
            <v>812</v>
          </cell>
          <cell r="D1637" t="str">
            <v>North East Lincolnshire</v>
          </cell>
          <cell r="E1637">
            <v>3517</v>
          </cell>
          <cell r="F1637" t="str">
            <v>Bev Annables</v>
          </cell>
          <cell r="G1637" t="str">
            <v>Eastfield Primary School</v>
          </cell>
          <cell r="H1637" t="str">
            <v>Yorkshire and the Humber</v>
          </cell>
          <cell r="I1637" t="str">
            <v>Margaret Street</v>
          </cell>
          <cell r="L1637" t="str">
            <v>Immingham</v>
          </cell>
          <cell r="M1637" t="str">
            <v>Lincolnshire</v>
          </cell>
          <cell r="N1637" t="str">
            <v>DN40 1LD</v>
          </cell>
          <cell r="O1637" t="str">
            <v>head@eastfieldpri.tlfe.org</v>
          </cell>
        </row>
        <row r="1638">
          <cell r="A1638">
            <v>3053510</v>
          </cell>
          <cell r="B1638">
            <v>135320</v>
          </cell>
          <cell r="C1638">
            <v>305</v>
          </cell>
          <cell r="D1638" t="str">
            <v>Bromley</v>
          </cell>
          <cell r="E1638">
            <v>3510</v>
          </cell>
          <cell r="F1638" t="str">
            <v>Sheila Longstaff</v>
          </cell>
          <cell r="G1638" t="str">
            <v>Biggin Hill Primary School</v>
          </cell>
          <cell r="H1638" t="str">
            <v>London</v>
          </cell>
          <cell r="I1638" t="str">
            <v>Old Tye Avenue</v>
          </cell>
          <cell r="J1638" t="str">
            <v>Biggin Hill</v>
          </cell>
          <cell r="L1638" t="str">
            <v>Westerham</v>
          </cell>
          <cell r="M1638" t="str">
            <v>Kent</v>
          </cell>
          <cell r="N1638" t="str">
            <v>TN16 3LY</v>
          </cell>
          <cell r="O1638" t="str">
            <v>dave.payne@bigginhill.bromley.sch.uk</v>
          </cell>
          <cell r="P1638">
            <v>40661</v>
          </cell>
        </row>
        <row r="1639">
          <cell r="A1639">
            <v>8774206</v>
          </cell>
          <cell r="B1639">
            <v>111434</v>
          </cell>
          <cell r="C1639">
            <v>877</v>
          </cell>
          <cell r="D1639" t="str">
            <v>Warrington</v>
          </cell>
          <cell r="E1639">
            <v>4206</v>
          </cell>
          <cell r="F1639" t="str">
            <v>Cathy Dudley</v>
          </cell>
          <cell r="G1639" t="str">
            <v>Great Sankey High School</v>
          </cell>
          <cell r="H1639" t="str">
            <v>North West</v>
          </cell>
          <cell r="I1639" t="str">
            <v>Barrow Hall Lane</v>
          </cell>
          <cell r="J1639" t="str">
            <v>Great Sankey</v>
          </cell>
          <cell r="L1639" t="str">
            <v>Warrington</v>
          </cell>
          <cell r="M1639" t="str">
            <v>Cheshire</v>
          </cell>
          <cell r="N1639" t="str">
            <v>WA5 3AA</v>
          </cell>
          <cell r="O1639" t="str">
            <v>helen.jones@greatsankey.org</v>
          </cell>
          <cell r="P1639">
            <v>40893</v>
          </cell>
        </row>
        <row r="1640">
          <cell r="A1640">
            <v>8552070</v>
          </cell>
          <cell r="B1640">
            <v>119938</v>
          </cell>
          <cell r="C1640">
            <v>855</v>
          </cell>
          <cell r="D1640" t="str">
            <v>Leicestershire</v>
          </cell>
          <cell r="E1640">
            <v>2070</v>
          </cell>
          <cell r="F1640" t="str">
            <v>Sue Harp</v>
          </cell>
          <cell r="G1640" t="str">
            <v>Stanton Under Bardon Community Primary School</v>
          </cell>
          <cell r="H1640" t="str">
            <v>East Midlands</v>
          </cell>
          <cell r="I1640" t="str">
            <v>Main Street</v>
          </cell>
          <cell r="J1640" t="str">
            <v>Stanton-under-Bardon</v>
          </cell>
          <cell r="L1640" t="str">
            <v>Markfield</v>
          </cell>
          <cell r="M1640" t="str">
            <v>Leicestershire</v>
          </cell>
          <cell r="N1640" t="str">
            <v>LE67 9TQ</v>
          </cell>
          <cell r="O1640" t="str">
            <v>head@stanton-u-b.leics.sch.uk</v>
          </cell>
          <cell r="P1640">
            <v>41200</v>
          </cell>
        </row>
        <row r="1641">
          <cell r="A1641">
            <v>9082229</v>
          </cell>
          <cell r="B1641">
            <v>111848</v>
          </cell>
          <cell r="C1641">
            <v>908</v>
          </cell>
          <cell r="D1641" t="str">
            <v>Cornwall</v>
          </cell>
          <cell r="E1641">
            <v>2229</v>
          </cell>
          <cell r="F1641" t="str">
            <v>Tahamina Khan</v>
          </cell>
          <cell r="G1641" t="str">
            <v>Bodriggy Primary School</v>
          </cell>
          <cell r="H1641" t="str">
            <v>South West</v>
          </cell>
          <cell r="I1641" t="str">
            <v>Humphry Davy Lane</v>
          </cell>
          <cell r="L1641" t="str">
            <v>Hayle</v>
          </cell>
          <cell r="M1641" t="str">
            <v>Cornwall</v>
          </cell>
          <cell r="N1641" t="str">
            <v>TR27 4DR</v>
          </cell>
          <cell r="O1641" t="str">
            <v xml:space="preserve"> head@bodriggy.cornwall.sch.uk</v>
          </cell>
          <cell r="P1641">
            <v>40529</v>
          </cell>
        </row>
        <row r="1642">
          <cell r="A1642">
            <v>8934368</v>
          </cell>
          <cell r="B1642">
            <v>123562</v>
          </cell>
          <cell r="C1642">
            <v>893</v>
          </cell>
          <cell r="D1642" t="str">
            <v>Shropshire</v>
          </cell>
          <cell r="E1642">
            <v>4368</v>
          </cell>
          <cell r="F1642" t="str">
            <v>Sally Gardiner</v>
          </cell>
          <cell r="G1642" t="str">
            <v>The Priory School, A Business and Enterprise College</v>
          </cell>
          <cell r="H1642" t="str">
            <v>West Midlands</v>
          </cell>
          <cell r="I1642" t="str">
            <v>Longden Road</v>
          </cell>
          <cell r="L1642" t="str">
            <v>Shrewsbury</v>
          </cell>
          <cell r="M1642" t="str">
            <v>Shropshire</v>
          </cell>
          <cell r="N1642" t="str">
            <v>SY3 9EE</v>
          </cell>
          <cell r="O1642" t="str">
            <v>cg@priory.shropshire.sch.uk</v>
          </cell>
          <cell r="P1642">
            <v>40891</v>
          </cell>
        </row>
        <row r="1643">
          <cell r="A1643">
            <v>8884410</v>
          </cell>
          <cell r="B1643">
            <v>119773</v>
          </cell>
          <cell r="C1643">
            <v>888</v>
          </cell>
          <cell r="D1643" t="str">
            <v>Lancashire</v>
          </cell>
          <cell r="E1643">
            <v>4410</v>
          </cell>
          <cell r="F1643" t="str">
            <v>Viv Clutton</v>
          </cell>
          <cell r="G1643" t="str">
            <v>Moor Park Business and Enterprise School</v>
          </cell>
          <cell r="H1643" t="str">
            <v>North West</v>
          </cell>
          <cell r="I1643" t="str">
            <v>Moor Park Avenue</v>
          </cell>
          <cell r="L1643" t="str">
            <v>Preston</v>
          </cell>
          <cell r="M1643" t="str">
            <v>Lancashire</v>
          </cell>
          <cell r="N1643" t="str">
            <v>PR1 6DT</v>
          </cell>
          <cell r="O1643" t="str">
            <v>head@moorpark.lancs.sch.uk</v>
          </cell>
        </row>
        <row r="1644">
          <cell r="A1644">
            <v>8784109</v>
          </cell>
          <cell r="B1644">
            <v>113520</v>
          </cell>
          <cell r="C1644">
            <v>878</v>
          </cell>
          <cell r="D1644" t="str">
            <v>Devon</v>
          </cell>
          <cell r="E1644">
            <v>4109</v>
          </cell>
          <cell r="G1644" t="str">
            <v>King Edward VI Community College</v>
          </cell>
          <cell r="H1644" t="str">
            <v>South West</v>
          </cell>
          <cell r="I1644" t="str">
            <v>Ashburton Road</v>
          </cell>
          <cell r="L1644" t="str">
            <v>Totnes</v>
          </cell>
          <cell r="M1644" t="str">
            <v>Devon</v>
          </cell>
          <cell r="N1644" t="str">
            <v>TQ9 5JX</v>
          </cell>
          <cell r="O1644" t="str">
            <v>jsloane@kingedwardvi.devon.sch.uk</v>
          </cell>
        </row>
        <row r="1645">
          <cell r="A1645">
            <v>9365204</v>
          </cell>
          <cell r="B1645">
            <v>125286</v>
          </cell>
          <cell r="C1645">
            <v>936</v>
          </cell>
          <cell r="D1645" t="str">
            <v>Surrey</v>
          </cell>
          <cell r="E1645">
            <v>5204</v>
          </cell>
          <cell r="F1645" t="str">
            <v>Gabriela Grimley</v>
          </cell>
          <cell r="G1645" t="str">
            <v>Pewley Down Infants School</v>
          </cell>
          <cell r="H1645" t="str">
            <v>South East</v>
          </cell>
          <cell r="I1645" t="str">
            <v>Semaphore Road</v>
          </cell>
          <cell r="L1645" t="str">
            <v>Guildford</v>
          </cell>
          <cell r="M1645" t="str">
            <v>Surrey</v>
          </cell>
          <cell r="N1645" t="str">
            <v>GU1 3PT</v>
          </cell>
          <cell r="O1645" t="str">
            <v>richardr@holytrinity.surrey.sch.uk</v>
          </cell>
        </row>
        <row r="1646">
          <cell r="A1646">
            <v>9165403</v>
          </cell>
          <cell r="B1646">
            <v>115754</v>
          </cell>
          <cell r="C1646">
            <v>916</v>
          </cell>
          <cell r="D1646" t="str">
            <v>Gloucestershire</v>
          </cell>
          <cell r="E1646">
            <v>5403</v>
          </cell>
          <cell r="F1646" t="str">
            <v>Nigel Mills</v>
          </cell>
          <cell r="G1646" t="str">
            <v>Pate's Grammar School</v>
          </cell>
          <cell r="H1646" t="str">
            <v>South West</v>
          </cell>
          <cell r="I1646" t="str">
            <v>Princess Elizabeth Way</v>
          </cell>
          <cell r="L1646" t="str">
            <v>Cheltenham</v>
          </cell>
          <cell r="M1646" t="str">
            <v>Gloucestershire</v>
          </cell>
          <cell r="N1646" t="str">
            <v>GL51 0HG</v>
          </cell>
          <cell r="O1646" t="str">
            <v>head@pates.gloucs.sch.uk</v>
          </cell>
          <cell r="P1646">
            <v>40358</v>
          </cell>
        </row>
        <row r="1647">
          <cell r="A1647">
            <v>8922152</v>
          </cell>
          <cell r="B1647">
            <v>122475</v>
          </cell>
          <cell r="C1647">
            <v>892</v>
          </cell>
          <cell r="D1647" t="str">
            <v>Nottingham</v>
          </cell>
          <cell r="E1647">
            <v>2152</v>
          </cell>
          <cell r="F1647" t="str">
            <v>Frances Blow</v>
          </cell>
          <cell r="G1647" t="str">
            <v>Old Basford Primary and Nursery School</v>
          </cell>
          <cell r="H1647" t="str">
            <v>East Midlands</v>
          </cell>
          <cell r="I1647" t="str">
            <v>Percy Street</v>
          </cell>
          <cell r="J1647" t="str">
            <v>Old Basford</v>
          </cell>
          <cell r="L1647" t="str">
            <v>Nottingham</v>
          </cell>
          <cell r="M1647" t="str">
            <v>Nottinghamshire</v>
          </cell>
          <cell r="N1647" t="str">
            <v>NG6 0GF</v>
          </cell>
          <cell r="O1647" t="str">
            <v>headteacher@oldbasford.nottingham.sch.uk</v>
          </cell>
          <cell r="P1647">
            <v>41038</v>
          </cell>
        </row>
        <row r="1648">
          <cell r="A1648">
            <v>8552177</v>
          </cell>
          <cell r="B1648">
            <v>119981</v>
          </cell>
          <cell r="C1648">
            <v>855</v>
          </cell>
          <cell r="D1648" t="str">
            <v>Leicestershire</v>
          </cell>
          <cell r="E1648">
            <v>2177</v>
          </cell>
          <cell r="F1648" t="str">
            <v>Sue Harp</v>
          </cell>
          <cell r="G1648" t="str">
            <v>Warren Hills Community Primary School</v>
          </cell>
          <cell r="H1648" t="str">
            <v>East Midlands</v>
          </cell>
          <cell r="I1648" t="str">
            <v>Stamford Drive</v>
          </cell>
          <cell r="L1648" t="str">
            <v>Coalville</v>
          </cell>
          <cell r="M1648" t="str">
            <v>Leicestershire</v>
          </cell>
          <cell r="N1648" t="str">
            <v>LE67 4TA</v>
          </cell>
          <cell r="O1648" t="str">
            <v>office@warrenhills.leics.sch.uk</v>
          </cell>
        </row>
        <row r="1649">
          <cell r="A1649">
            <v>3834045</v>
          </cell>
          <cell r="B1649">
            <v>108063</v>
          </cell>
          <cell r="C1649">
            <v>383</v>
          </cell>
          <cell r="D1649" t="str">
            <v>Leeds</v>
          </cell>
          <cell r="E1649">
            <v>4045</v>
          </cell>
          <cell r="F1649" t="str">
            <v>John Edmunds</v>
          </cell>
          <cell r="G1649" t="str">
            <v>John Smeaton Community College</v>
          </cell>
          <cell r="H1649" t="str">
            <v>Yorkshire and the Humber</v>
          </cell>
          <cell r="I1649" t="str">
            <v>Smeaton Approach</v>
          </cell>
          <cell r="J1649" t="str">
            <v>Barwick Road</v>
          </cell>
          <cell r="L1649" t="str">
            <v>Leeds</v>
          </cell>
          <cell r="M1649" t="str">
            <v>West Yorkshire</v>
          </cell>
          <cell r="N1649" t="str">
            <v>LS15 8TA</v>
          </cell>
          <cell r="O1649" t="str">
            <v>daulbyj01@leedslearning.net</v>
          </cell>
          <cell r="P1649">
            <v>40507</v>
          </cell>
        </row>
        <row r="1650">
          <cell r="A1650">
            <v>8865201</v>
          </cell>
          <cell r="B1650">
            <v>118847</v>
          </cell>
          <cell r="C1650">
            <v>886</v>
          </cell>
          <cell r="D1650" t="str">
            <v>Kent</v>
          </cell>
          <cell r="E1650">
            <v>5201</v>
          </cell>
          <cell r="F1650" t="str">
            <v>Sarah Nairne</v>
          </cell>
          <cell r="G1650" t="str">
            <v>Borough Green Primary School</v>
          </cell>
          <cell r="H1650" t="str">
            <v>South East</v>
          </cell>
          <cell r="I1650" t="str">
            <v>School Approach</v>
          </cell>
          <cell r="J1650" t="str">
            <v>Borough Green</v>
          </cell>
          <cell r="L1650" t="str">
            <v>Sevenoaks</v>
          </cell>
          <cell r="M1650" t="str">
            <v>Kent</v>
          </cell>
          <cell r="N1650" t="str">
            <v>TN15 8JZ</v>
          </cell>
          <cell r="O1650" t="str">
            <v>headteacher@bgpschool.kent.sch.uk</v>
          </cell>
          <cell r="P1650">
            <v>40591</v>
          </cell>
        </row>
        <row r="1651">
          <cell r="A1651">
            <v>8012091</v>
          </cell>
          <cell r="B1651">
            <v>108973</v>
          </cell>
          <cell r="C1651">
            <v>801</v>
          </cell>
          <cell r="D1651" t="str">
            <v>Bristol City of</v>
          </cell>
          <cell r="E1651">
            <v>2091</v>
          </cell>
          <cell r="F1651" t="str">
            <v>Simon Foster</v>
          </cell>
          <cell r="G1651" t="str">
            <v>Westbury Park Primary School</v>
          </cell>
          <cell r="H1651" t="str">
            <v>South West</v>
          </cell>
          <cell r="I1651" t="str">
            <v>Bayswater Avenue</v>
          </cell>
          <cell r="J1651" t="str">
            <v>Westbury Park</v>
          </cell>
          <cell r="L1651" t="str">
            <v>Bristol</v>
          </cell>
          <cell r="N1651" t="str">
            <v>BS6 7NU</v>
          </cell>
          <cell r="O1651" t="str">
            <v>head.westbury.park.p@bristol.gov.uk</v>
          </cell>
          <cell r="P1651">
            <v>40987</v>
          </cell>
        </row>
        <row r="1652">
          <cell r="A1652">
            <v>9294309</v>
          </cell>
          <cell r="B1652">
            <v>122346</v>
          </cell>
          <cell r="C1652">
            <v>929</v>
          </cell>
          <cell r="D1652" t="str">
            <v>Northumberland</v>
          </cell>
          <cell r="E1652">
            <v>4309</v>
          </cell>
          <cell r="F1652" t="str">
            <v>Bev Mullin</v>
          </cell>
          <cell r="G1652" t="str">
            <v>Morpeth Newminster Middle School</v>
          </cell>
          <cell r="H1652" t="str">
            <v>North East</v>
          </cell>
          <cell r="I1652" t="str">
            <v>Mitford Road</v>
          </cell>
          <cell r="L1652" t="str">
            <v>Morpeth</v>
          </cell>
          <cell r="M1652" t="str">
            <v>Northumberland</v>
          </cell>
          <cell r="N1652" t="str">
            <v>NE61 1RH</v>
          </cell>
          <cell r="O1652" t="str">
            <v>simon.taylor@northumberland.gov.uk</v>
          </cell>
          <cell r="P1652">
            <v>40746</v>
          </cell>
        </row>
        <row r="1653">
          <cell r="A1653">
            <v>8863317</v>
          </cell>
          <cell r="B1653">
            <v>118721</v>
          </cell>
          <cell r="C1653">
            <v>886</v>
          </cell>
          <cell r="D1653" t="str">
            <v>Kent</v>
          </cell>
          <cell r="E1653">
            <v>3317</v>
          </cell>
          <cell r="F1653" t="str">
            <v>Amanda Barrett</v>
          </cell>
          <cell r="G1653" t="str">
            <v>Lady Boswell's Church of England Voluntary Aided Primary School, Sevenoaks</v>
          </cell>
          <cell r="H1653" t="str">
            <v>South East</v>
          </cell>
          <cell r="I1653" t="str">
            <v>Plymouth Drive</v>
          </cell>
          <cell r="L1653" t="str">
            <v>Sevenoaks</v>
          </cell>
          <cell r="M1653" t="str">
            <v>Kent</v>
          </cell>
          <cell r="N1653" t="str">
            <v>TN13 3RW</v>
          </cell>
          <cell r="O1653" t="str">
            <v>headteacher@ladyboswells.kent.sch.uk</v>
          </cell>
          <cell r="P1653">
            <v>40703</v>
          </cell>
        </row>
        <row r="1654">
          <cell r="A1654">
            <v>3904606</v>
          </cell>
          <cell r="B1654">
            <v>108413</v>
          </cell>
          <cell r="C1654">
            <v>390</v>
          </cell>
          <cell r="D1654" t="str">
            <v>Gateshead</v>
          </cell>
          <cell r="E1654">
            <v>4606</v>
          </cell>
          <cell r="F1654" t="str">
            <v>Glyn Newton</v>
          </cell>
          <cell r="G1654" t="str">
            <v>St Thomas More Catholic School</v>
          </cell>
          <cell r="H1654" t="str">
            <v>North East</v>
          </cell>
          <cell r="I1654" t="str">
            <v>Croftdale Road</v>
          </cell>
          <cell r="L1654" t="str">
            <v>Blaydon-on-Tyne</v>
          </cell>
          <cell r="M1654" t="str">
            <v>Tyne and Wear</v>
          </cell>
          <cell r="N1654" t="str">
            <v>NE21 4BQ</v>
          </cell>
          <cell r="O1654" t="str">
            <v>jparkinson@stthomasmore.org.uk</v>
          </cell>
          <cell r="P1654">
            <v>40749</v>
          </cell>
        </row>
        <row r="1655">
          <cell r="A1655">
            <v>9082018</v>
          </cell>
          <cell r="B1655">
            <v>111800</v>
          </cell>
          <cell r="C1655">
            <v>908</v>
          </cell>
          <cell r="D1655" t="str">
            <v>Cornwall</v>
          </cell>
          <cell r="E1655">
            <v>2018</v>
          </cell>
          <cell r="F1655" t="str">
            <v>Tahamina Khan</v>
          </cell>
          <cell r="G1655" t="str">
            <v>St Ives Junior School</v>
          </cell>
          <cell r="H1655" t="str">
            <v>South West</v>
          </cell>
          <cell r="I1655" t="str">
            <v>The Burrows</v>
          </cell>
          <cell r="L1655" t="str">
            <v>St Ives</v>
          </cell>
          <cell r="M1655" t="str">
            <v>Cornwall</v>
          </cell>
          <cell r="N1655" t="str">
            <v>TR26 1DN</v>
          </cell>
          <cell r="O1655" t="str">
            <v>secretary@st-ives-jnr.cornwall.sch.uk</v>
          </cell>
        </row>
        <row r="1656">
          <cell r="A1656">
            <v>8122003</v>
          </cell>
          <cell r="B1656">
            <v>133342</v>
          </cell>
          <cell r="C1656">
            <v>812</v>
          </cell>
          <cell r="D1656" t="str">
            <v>North East Lincolnshire</v>
          </cell>
          <cell r="E1656">
            <v>2003</v>
          </cell>
          <cell r="F1656" t="str">
            <v>Bev Annables</v>
          </cell>
          <cell r="G1656" t="str">
            <v>Nunsthorpe Community School</v>
          </cell>
          <cell r="H1656" t="str">
            <v>Yorkshire and the Humber</v>
          </cell>
          <cell r="I1656" t="str">
            <v>Sutcliffe Avenue</v>
          </cell>
          <cell r="L1656" t="str">
            <v>Grimsby</v>
          </cell>
          <cell r="M1656" t="str">
            <v>Lincolnshire</v>
          </cell>
          <cell r="N1656" t="str">
            <v>DN33 1AW</v>
          </cell>
          <cell r="O1656" t="str">
            <v>head@nc.tlfe.org</v>
          </cell>
        </row>
        <row r="1657">
          <cell r="A1657">
            <v>9165421</v>
          </cell>
          <cell r="B1657">
            <v>115772</v>
          </cell>
          <cell r="C1657">
            <v>916</v>
          </cell>
          <cell r="D1657" t="str">
            <v>Gloucestershire</v>
          </cell>
          <cell r="E1657">
            <v>5421</v>
          </cell>
          <cell r="F1657" t="str">
            <v>Nigel Mills</v>
          </cell>
          <cell r="G1657" t="str">
            <v>Pittville School</v>
          </cell>
          <cell r="H1657" t="str">
            <v>South West</v>
          </cell>
          <cell r="I1657" t="str">
            <v>Albert Road</v>
          </cell>
          <cell r="L1657" t="str">
            <v>Cheltenham</v>
          </cell>
          <cell r="M1657" t="str">
            <v>Gloucestershire</v>
          </cell>
          <cell r="N1657" t="str">
            <v>GL52 3JD</v>
          </cell>
          <cell r="O1657" t="str">
            <v>r.gilpin@pittville.gloucs.sch.uk</v>
          </cell>
          <cell r="P1657">
            <v>40690</v>
          </cell>
        </row>
        <row r="1658">
          <cell r="A1658">
            <v>3824019</v>
          </cell>
          <cell r="B1658">
            <v>107758</v>
          </cell>
          <cell r="C1658">
            <v>382</v>
          </cell>
          <cell r="D1658" t="str">
            <v>Kirklees</v>
          </cell>
          <cell r="E1658">
            <v>4019</v>
          </cell>
          <cell r="F1658" t="str">
            <v>Bev Annables</v>
          </cell>
          <cell r="G1658" t="str">
            <v>Almondbury High School and Language College</v>
          </cell>
          <cell r="H1658" t="str">
            <v>Yorkshire and the Humber</v>
          </cell>
          <cell r="I1658" t="str">
            <v>Fernside Avenue</v>
          </cell>
          <cell r="J1658" t="str">
            <v>Almondbury</v>
          </cell>
          <cell r="L1658" t="str">
            <v>Huddersfield</v>
          </cell>
          <cell r="M1658" t="str">
            <v>West Yorkshire</v>
          </cell>
          <cell r="N1658" t="str">
            <v>HD5 8PQ</v>
          </cell>
          <cell r="O1658" t="str">
            <v>janet.tolley@edukirklees.net</v>
          </cell>
        </row>
        <row r="1659">
          <cell r="A1659">
            <v>9252214</v>
          </cell>
          <cell r="B1659">
            <v>120492</v>
          </cell>
          <cell r="C1659">
            <v>925</v>
          </cell>
          <cell r="D1659" t="str">
            <v>Lincolnshire</v>
          </cell>
          <cell r="E1659">
            <v>2214</v>
          </cell>
          <cell r="F1659" t="str">
            <v>Grant Dyson</v>
          </cell>
          <cell r="G1659" t="str">
            <v>The Gainsborough Charles Baines Community Primary School</v>
          </cell>
          <cell r="H1659" t="str">
            <v>East Midlands</v>
          </cell>
          <cell r="I1659" t="str">
            <v>Baines Road</v>
          </cell>
          <cell r="L1659" t="str">
            <v>Gainsborough</v>
          </cell>
          <cell r="M1659" t="str">
            <v>Lincolnshire</v>
          </cell>
          <cell r="N1659" t="str">
            <v>DN21 1TE</v>
          </cell>
          <cell r="O1659" t="str">
            <v>enquiries@charles-baines.lincs.sch.uk</v>
          </cell>
        </row>
        <row r="1660">
          <cell r="A1660">
            <v>8952378</v>
          </cell>
          <cell r="B1660">
            <v>111171</v>
          </cell>
          <cell r="C1660">
            <v>895</v>
          </cell>
          <cell r="D1660" t="str">
            <v>Cheshire East</v>
          </cell>
          <cell r="E1660">
            <v>2378</v>
          </cell>
          <cell r="F1660" t="str">
            <v>Kris Nursiah</v>
          </cell>
          <cell r="G1660" t="str">
            <v>Goostrey Community Primary School</v>
          </cell>
          <cell r="H1660" t="str">
            <v>North West</v>
          </cell>
          <cell r="I1660" t="str">
            <v>Main Road</v>
          </cell>
          <cell r="J1660" t="str">
            <v>Goostrey</v>
          </cell>
          <cell r="L1660" t="str">
            <v>Near Crewe</v>
          </cell>
          <cell r="M1660" t="str">
            <v>Cheshire</v>
          </cell>
          <cell r="N1660" t="str">
            <v>CW4 8PE</v>
          </cell>
          <cell r="O1660" t="str">
            <v>head@goostrey.cheshire.sch.uk</v>
          </cell>
        </row>
        <row r="1661">
          <cell r="A1661">
            <v>3924006</v>
          </cell>
          <cell r="B1661">
            <v>108627</v>
          </cell>
          <cell r="C1661">
            <v>392</v>
          </cell>
          <cell r="D1661" t="str">
            <v>North Tyneside</v>
          </cell>
          <cell r="E1661">
            <v>4006</v>
          </cell>
          <cell r="G1661" t="str">
            <v>Marden High School</v>
          </cell>
          <cell r="H1661" t="str">
            <v>North East</v>
          </cell>
          <cell r="I1661" t="str">
            <v>Hartington Road</v>
          </cell>
          <cell r="J1661" t="str">
            <v>Cullercoats</v>
          </cell>
          <cell r="L1661" t="str">
            <v>North Shields</v>
          </cell>
          <cell r="M1661" t="str">
            <v>Tyne and Wear</v>
          </cell>
          <cell r="N1661" t="str">
            <v>NE30 3RZ</v>
          </cell>
          <cell r="O1661" t="str">
            <v>david.stainthorpe@ntlp.org.uk</v>
          </cell>
        </row>
        <row r="1662">
          <cell r="A1662">
            <v>8822127</v>
          </cell>
          <cell r="B1662">
            <v>114790</v>
          </cell>
          <cell r="C1662">
            <v>882</v>
          </cell>
          <cell r="D1662" t="str">
            <v>Southend-on-Sea</v>
          </cell>
          <cell r="E1662">
            <v>2127</v>
          </cell>
          <cell r="F1662" t="str">
            <v>Michael Cook</v>
          </cell>
          <cell r="G1662" t="str">
            <v>Darlinghurst Primary and Nursery School</v>
          </cell>
          <cell r="H1662" t="str">
            <v>East of England</v>
          </cell>
          <cell r="I1662" t="str">
            <v>Pavilion Drive</v>
          </cell>
          <cell r="L1662" t="str">
            <v>Leigh-on-Sea</v>
          </cell>
          <cell r="M1662" t="str">
            <v>Essex</v>
          </cell>
          <cell r="N1662" t="str">
            <v>SS9 3JS</v>
          </cell>
          <cell r="O1662" t="str">
            <v>bobknight@darlinghurst.southend.sch.uk</v>
          </cell>
        </row>
        <row r="1663">
          <cell r="A1663">
            <v>9352080</v>
          </cell>
          <cell r="B1663">
            <v>124585</v>
          </cell>
          <cell r="C1663">
            <v>935</v>
          </cell>
          <cell r="D1663" t="str">
            <v>Suffolk</v>
          </cell>
          <cell r="E1663">
            <v>2080</v>
          </cell>
          <cell r="F1663" t="str">
            <v>Joe Farrell</v>
          </cell>
          <cell r="G1663" t="str">
            <v>Edgar Sewter Primary School</v>
          </cell>
          <cell r="H1663" t="str">
            <v>East of England</v>
          </cell>
          <cell r="I1663" t="str">
            <v>Norwich Road</v>
          </cell>
          <cell r="L1663" t="str">
            <v>Halesworth</v>
          </cell>
          <cell r="M1663" t="str">
            <v>Suffolk</v>
          </cell>
          <cell r="N1663" t="str">
            <v>IP19 8BU</v>
          </cell>
          <cell r="O1663" t="str">
            <v>edgar.sewter@talk21.com</v>
          </cell>
        </row>
        <row r="1664">
          <cell r="A1664">
            <v>3065401</v>
          </cell>
          <cell r="B1664">
            <v>101819</v>
          </cell>
          <cell r="C1664">
            <v>306</v>
          </cell>
          <cell r="D1664" t="str">
            <v>Croydon</v>
          </cell>
          <cell r="E1664">
            <v>5401</v>
          </cell>
          <cell r="F1664" t="str">
            <v>Helen Fisher</v>
          </cell>
          <cell r="G1664" t="str">
            <v>Edenham High School</v>
          </cell>
          <cell r="H1664" t="str">
            <v>London</v>
          </cell>
          <cell r="I1664" t="str">
            <v>Orchard Way</v>
          </cell>
          <cell r="J1664" t="str">
            <v>Shirley</v>
          </cell>
          <cell r="L1664" t="str">
            <v>Croydon</v>
          </cell>
          <cell r="M1664" t="str">
            <v>Surrey</v>
          </cell>
          <cell r="N1664" t="str">
            <v>CR0 7NJ</v>
          </cell>
          <cell r="O1664" t="str">
            <v>rrudd@edenham.net</v>
          </cell>
          <cell r="P1664">
            <v>40975</v>
          </cell>
        </row>
        <row r="1665">
          <cell r="A1665">
            <v>8153360</v>
          </cell>
          <cell r="B1665">
            <v>121629</v>
          </cell>
          <cell r="C1665">
            <v>815</v>
          </cell>
          <cell r="D1665" t="str">
            <v>North Yorkshire</v>
          </cell>
          <cell r="E1665">
            <v>3360</v>
          </cell>
          <cell r="G1665" t="str">
            <v>Kirkby-in-Malhamdale United VA Primary School</v>
          </cell>
          <cell r="H1665" t="str">
            <v>Yorkshire and the Humber</v>
          </cell>
          <cell r="I1665" t="str">
            <v>Kirkby Malham</v>
          </cell>
          <cell r="L1665" t="str">
            <v>Skipton</v>
          </cell>
          <cell r="M1665" t="str">
            <v>North Yorkshire</v>
          </cell>
          <cell r="N1665" t="str">
            <v>BD23 4BY</v>
          </cell>
          <cell r="O1665" t="str">
            <v>headteacher@kirkby-in-malhamdale.n-yorks.sch.uk</v>
          </cell>
        </row>
        <row r="1666">
          <cell r="A1666">
            <v>8862249</v>
          </cell>
          <cell r="B1666">
            <v>118351</v>
          </cell>
          <cell r="C1666">
            <v>886</v>
          </cell>
          <cell r="D1666" t="str">
            <v>Kent</v>
          </cell>
          <cell r="E1666">
            <v>2249</v>
          </cell>
          <cell r="F1666" t="str">
            <v>Nicky Edwards</v>
          </cell>
          <cell r="G1666" t="str">
            <v>Regis Manor Community Primary School</v>
          </cell>
          <cell r="H1666" t="str">
            <v>South East</v>
          </cell>
          <cell r="I1666" t="str">
            <v>Middletune Avenue</v>
          </cell>
          <cell r="J1666" t="str">
            <v>Milton Regis</v>
          </cell>
          <cell r="L1666" t="str">
            <v>Sittingbourne</v>
          </cell>
          <cell r="M1666" t="str">
            <v>Kent</v>
          </cell>
          <cell r="N1666" t="str">
            <v>ME10 2HT</v>
          </cell>
          <cell r="O1666" t="str">
            <v>headteacher@regis-manor.kent.sch.uk</v>
          </cell>
          <cell r="P1666">
            <v>40583</v>
          </cell>
        </row>
        <row r="1667">
          <cell r="A1667">
            <v>9287019</v>
          </cell>
          <cell r="B1667">
            <v>122163</v>
          </cell>
          <cell r="C1667">
            <v>928</v>
          </cell>
          <cell r="D1667" t="str">
            <v>Northamptonshire</v>
          </cell>
          <cell r="E1667">
            <v>7019</v>
          </cell>
          <cell r="F1667" t="str">
            <v>Not yet assigned</v>
          </cell>
          <cell r="G1667" t="str">
            <v>Greenfields School and Sports College</v>
          </cell>
          <cell r="H1667" t="str">
            <v>East Midlands</v>
          </cell>
          <cell r="I1667" t="str">
            <v>Prentice Court</v>
          </cell>
          <cell r="J1667" t="str">
            <v>Lings Way</v>
          </cell>
          <cell r="K1667" t="str">
            <v>Goldings</v>
          </cell>
          <cell r="L1667" t="str">
            <v>Northampton</v>
          </cell>
          <cell r="M1667" t="str">
            <v>Northamptonshire</v>
          </cell>
          <cell r="N1667" t="str">
            <v>NN3 8XS</v>
          </cell>
          <cell r="O1667" t="str">
            <v>head@greenfields.northants-ecl.gov.uk</v>
          </cell>
        </row>
        <row r="1668">
          <cell r="A1668">
            <v>3543009</v>
          </cell>
          <cell r="B1668">
            <v>105807</v>
          </cell>
          <cell r="C1668">
            <v>354</v>
          </cell>
          <cell r="D1668" t="str">
            <v>Rochdale</v>
          </cell>
          <cell r="E1668">
            <v>3009</v>
          </cell>
          <cell r="F1668" t="str">
            <v>Jane McCusker</v>
          </cell>
          <cell r="G1668" t="str">
            <v>St Andrew's Church of England Primary School, Dearnley</v>
          </cell>
          <cell r="H1668" t="str">
            <v>North West</v>
          </cell>
          <cell r="I1668" t="str">
            <v>Union Road</v>
          </cell>
          <cell r="L1668" t="str">
            <v>Rochdale</v>
          </cell>
          <cell r="M1668" t="str">
            <v>Lancashire</v>
          </cell>
          <cell r="N1668" t="str">
            <v>OL12 9QA</v>
          </cell>
          <cell r="O1668" t="str">
            <v>office@standrewsce.rochdale.sch.uk</v>
          </cell>
        </row>
        <row r="1669">
          <cell r="A1669">
            <v>9284004</v>
          </cell>
          <cell r="B1669">
            <v>122051</v>
          </cell>
          <cell r="C1669">
            <v>928</v>
          </cell>
          <cell r="D1669" t="str">
            <v>Northamptonshire</v>
          </cell>
          <cell r="E1669">
            <v>4004</v>
          </cell>
          <cell r="F1669" t="str">
            <v>Sean Cox</v>
          </cell>
          <cell r="G1669" t="str">
            <v>Sponne School Technology College</v>
          </cell>
          <cell r="H1669" t="str">
            <v>East Midlands</v>
          </cell>
          <cell r="I1669" t="str">
            <v>Brackley Road</v>
          </cell>
          <cell r="L1669" t="str">
            <v>Towcester</v>
          </cell>
          <cell r="M1669" t="str">
            <v>Northamptonshire</v>
          </cell>
          <cell r="N1669" t="str">
            <v>NN12 6DJ</v>
          </cell>
          <cell r="O1669" t="str">
            <v>jclarke@sponneschool.northants.sch.uk</v>
          </cell>
          <cell r="P1669">
            <v>40464</v>
          </cell>
        </row>
        <row r="1670">
          <cell r="A1670">
            <v>9093064</v>
          </cell>
          <cell r="B1670">
            <v>112269</v>
          </cell>
          <cell r="C1670">
            <v>909</v>
          </cell>
          <cell r="D1670" t="str">
            <v>Cumbria</v>
          </cell>
          <cell r="E1670">
            <v>3064</v>
          </cell>
          <cell r="F1670" t="str">
            <v>Steve Bibby</v>
          </cell>
          <cell r="G1670" t="str">
            <v>Vicarage Park CofE Primary School</v>
          </cell>
          <cell r="H1670" t="str">
            <v>North West</v>
          </cell>
          <cell r="I1670" t="str">
            <v>Vicarage Drive</v>
          </cell>
          <cell r="L1670" t="str">
            <v>Kendal</v>
          </cell>
          <cell r="M1670" t="str">
            <v>Cumbria</v>
          </cell>
          <cell r="N1670" t="str">
            <v>LA9 5BP</v>
          </cell>
          <cell r="O1670" t="str">
            <v>admin@vicaragepark.cumbria.sch.uk</v>
          </cell>
        </row>
        <row r="1671">
          <cell r="A1671">
            <v>8862296</v>
          </cell>
          <cell r="B1671">
            <v>118384</v>
          </cell>
          <cell r="C1671">
            <v>886</v>
          </cell>
          <cell r="D1671" t="str">
            <v>Kent</v>
          </cell>
          <cell r="E1671">
            <v>2296</v>
          </cell>
          <cell r="F1671" t="str">
            <v>Maryam Jabbari</v>
          </cell>
          <cell r="G1671" t="str">
            <v>Mundella Primary School</v>
          </cell>
          <cell r="H1671" t="str">
            <v>South East</v>
          </cell>
          <cell r="I1671" t="str">
            <v>Black Bull Road</v>
          </cell>
          <cell r="L1671" t="str">
            <v>Folkestone</v>
          </cell>
          <cell r="M1671" t="str">
            <v>Kent</v>
          </cell>
          <cell r="N1671" t="str">
            <v>CT19 5QX</v>
          </cell>
          <cell r="O1671" t="str">
            <v>Headteacher@mundella.kent.sch.uk</v>
          </cell>
          <cell r="P1671">
            <v>41129</v>
          </cell>
        </row>
        <row r="1672">
          <cell r="A1672">
            <v>8122124</v>
          </cell>
          <cell r="B1672">
            <v>117742</v>
          </cell>
          <cell r="C1672">
            <v>812</v>
          </cell>
          <cell r="D1672" t="str">
            <v>North East Lincolnshire</v>
          </cell>
          <cell r="E1672">
            <v>2124</v>
          </cell>
          <cell r="F1672" t="str">
            <v>Bev Annables</v>
          </cell>
          <cell r="G1672" t="str">
            <v>New Waltham Primary School</v>
          </cell>
          <cell r="H1672" t="str">
            <v>Yorkshire and the Humber</v>
          </cell>
          <cell r="I1672" t="str">
            <v>Peaks Lane</v>
          </cell>
          <cell r="J1672" t="str">
            <v>New Waltham</v>
          </cell>
          <cell r="L1672" t="str">
            <v>Grimsby</v>
          </cell>
          <cell r="M1672" t="str">
            <v>Lincolnshire</v>
          </cell>
          <cell r="N1672" t="str">
            <v>DN36 4NH</v>
          </cell>
          <cell r="O1672" t="str">
            <v>head@newwaltham.net</v>
          </cell>
          <cell r="P1672">
            <v>40710</v>
          </cell>
        </row>
        <row r="1673">
          <cell r="A1673">
            <v>8234043</v>
          </cell>
          <cell r="B1673">
            <v>109658</v>
          </cell>
          <cell r="C1673">
            <v>823</v>
          </cell>
          <cell r="D1673" t="str">
            <v>Central Bedfordshire</v>
          </cell>
          <cell r="E1673">
            <v>4043</v>
          </cell>
          <cell r="F1673" t="str">
            <v>Michael Cook</v>
          </cell>
          <cell r="G1673" t="str">
            <v>Fulbrook Middle School</v>
          </cell>
          <cell r="H1673" t="str">
            <v>East of England</v>
          </cell>
          <cell r="I1673" t="str">
            <v>Weathercock Lane</v>
          </cell>
          <cell r="J1673" t="str">
            <v>Woburn Sands</v>
          </cell>
          <cell r="L1673" t="str">
            <v>Milton Keynes</v>
          </cell>
          <cell r="M1673" t="str">
            <v>Buckinghamshire</v>
          </cell>
          <cell r="N1673" t="str">
            <v>MK17 8NP</v>
          </cell>
          <cell r="O1673" t="str">
            <v>fulbrook@deal.bedfordshire.gov.uk</v>
          </cell>
          <cell r="P1673">
            <v>40612</v>
          </cell>
        </row>
        <row r="1674">
          <cell r="A1674">
            <v>8735412</v>
          </cell>
          <cell r="B1674">
            <v>110906</v>
          </cell>
          <cell r="C1674">
            <v>873</v>
          </cell>
          <cell r="D1674" t="str">
            <v>Cambridgeshire</v>
          </cell>
          <cell r="E1674">
            <v>5412</v>
          </cell>
          <cell r="F1674" t="str">
            <v>Yvonne Reddington</v>
          </cell>
          <cell r="G1674" t="str">
            <v>St Peter's School</v>
          </cell>
          <cell r="H1674" t="str">
            <v>East of England</v>
          </cell>
          <cell r="I1674" t="str">
            <v>St Peter's Road</v>
          </cell>
          <cell r="L1674" t="str">
            <v>Huntingdon</v>
          </cell>
          <cell r="M1674" t="str">
            <v>Cambridgeshire</v>
          </cell>
          <cell r="N1674" t="str">
            <v>PE29 7DD</v>
          </cell>
          <cell r="O1674" t="str">
            <v>vford@stpeters.camb.sch.uk</v>
          </cell>
          <cell r="P1674">
            <v>40633</v>
          </cell>
        </row>
        <row r="1675">
          <cell r="A1675">
            <v>3834112</v>
          </cell>
          <cell r="B1675">
            <v>108089</v>
          </cell>
          <cell r="C1675">
            <v>383</v>
          </cell>
          <cell r="D1675" t="str">
            <v>Leeds</v>
          </cell>
          <cell r="E1675">
            <v>4112</v>
          </cell>
          <cell r="F1675" t="str">
            <v>Christine Kane</v>
          </cell>
          <cell r="G1675" t="str">
            <v>Garforth Community College</v>
          </cell>
          <cell r="H1675" t="str">
            <v>Yorkshire and the Humber</v>
          </cell>
          <cell r="I1675" t="str">
            <v>Lidgett Lane</v>
          </cell>
          <cell r="J1675" t="str">
            <v>Garforth</v>
          </cell>
          <cell r="L1675" t="str">
            <v>Leeds</v>
          </cell>
          <cell r="M1675" t="str">
            <v>West Yorkshire</v>
          </cell>
          <cell r="N1675" t="str">
            <v>LS25 1LJ</v>
          </cell>
          <cell r="O1675" t="str">
            <v>horneraj01@leedslearning.net</v>
          </cell>
          <cell r="P1675">
            <v>40371</v>
          </cell>
        </row>
        <row r="1676">
          <cell r="A1676">
            <v>8454037</v>
          </cell>
          <cell r="B1676">
            <v>114590</v>
          </cell>
          <cell r="C1676">
            <v>845</v>
          </cell>
          <cell r="D1676" t="str">
            <v>East Sussex</v>
          </cell>
          <cell r="E1676">
            <v>4037</v>
          </cell>
          <cell r="F1676" t="str">
            <v>Sarah Mitchell</v>
          </cell>
          <cell r="G1676" t="str">
            <v>Uckfield Community Technology College</v>
          </cell>
          <cell r="H1676" t="str">
            <v>South East</v>
          </cell>
          <cell r="I1676" t="str">
            <v>Downsview Crescent</v>
          </cell>
          <cell r="L1676" t="str">
            <v>Uckfield</v>
          </cell>
          <cell r="M1676" t="str">
            <v>East Sussex</v>
          </cell>
          <cell r="N1676" t="str">
            <v>TN22 3DJ</v>
          </cell>
          <cell r="O1676" t="str">
            <v>ucchhennebry@uctc.e-sussex.sch.uk</v>
          </cell>
        </row>
        <row r="1677">
          <cell r="A1677">
            <v>9383354</v>
          </cell>
          <cell r="B1677">
            <v>126058</v>
          </cell>
          <cell r="C1677">
            <v>938</v>
          </cell>
          <cell r="D1677" t="str">
            <v>West Sussex</v>
          </cell>
          <cell r="E1677">
            <v>3354</v>
          </cell>
          <cell r="F1677" t="str">
            <v>Sarah Mitchell</v>
          </cell>
          <cell r="G1677" t="str">
            <v>St. Lawrence CE Primary School</v>
          </cell>
          <cell r="H1677" t="str">
            <v>South East</v>
          </cell>
          <cell r="I1677" t="str">
            <v>Trinity Road</v>
          </cell>
          <cell r="J1677" t="str">
            <v>Hurstpierpoint</v>
          </cell>
          <cell r="L1677" t="str">
            <v>Hassocks</v>
          </cell>
          <cell r="M1677" t="str">
            <v>West Sussex</v>
          </cell>
          <cell r="N1677" t="str">
            <v>BN6 9UY</v>
          </cell>
          <cell r="O1677" t="str">
            <v>pdyer@wsgfl.org.uk</v>
          </cell>
        </row>
        <row r="1678">
          <cell r="A1678">
            <v>9254005</v>
          </cell>
          <cell r="B1678">
            <v>120633</v>
          </cell>
          <cell r="C1678">
            <v>925</v>
          </cell>
          <cell r="D1678" t="str">
            <v>Lincolnshire</v>
          </cell>
          <cell r="E1678">
            <v>4005</v>
          </cell>
          <cell r="F1678" t="str">
            <v>Grant Dyson</v>
          </cell>
          <cell r="G1678" t="str">
            <v>Kesteven and Sleaford High School for Girls</v>
          </cell>
          <cell r="H1678" t="str">
            <v>East Midlands</v>
          </cell>
          <cell r="I1678" t="str">
            <v>Jermyn Street</v>
          </cell>
          <cell r="L1678" t="str">
            <v>Sleaford</v>
          </cell>
          <cell r="M1678" t="str">
            <v>Lincolnshire</v>
          </cell>
          <cell r="N1678" t="str">
            <v>NG34 7RS</v>
          </cell>
          <cell r="O1678" t="str">
            <v>enquiries@kshs.lincs.sch.uk</v>
          </cell>
          <cell r="P1678">
            <v>40688</v>
          </cell>
        </row>
        <row r="1679">
          <cell r="A1679">
            <v>8783604</v>
          </cell>
          <cell r="B1679">
            <v>113462</v>
          </cell>
          <cell r="C1679">
            <v>878</v>
          </cell>
          <cell r="D1679" t="str">
            <v>Devon</v>
          </cell>
          <cell r="E1679">
            <v>3604</v>
          </cell>
          <cell r="F1679" t="str">
            <v>Not yet assigned</v>
          </cell>
          <cell r="G1679" t="str">
            <v>Harbertonford Church of England Primary School</v>
          </cell>
          <cell r="H1679" t="str">
            <v>South West</v>
          </cell>
          <cell r="I1679" t="str">
            <v>Old Road</v>
          </cell>
          <cell r="J1679" t="str">
            <v>Harbertonford</v>
          </cell>
          <cell r="L1679" t="str">
            <v>Totnes</v>
          </cell>
          <cell r="M1679" t="str">
            <v>Devon</v>
          </cell>
          <cell r="N1679" t="str">
            <v>TQ9 7TA</v>
          </cell>
          <cell r="O1679" t="str">
            <v>janetronson@harbertonford-primary.devon.sch.uk</v>
          </cell>
        </row>
        <row r="1680">
          <cell r="A1680">
            <v>8842154</v>
          </cell>
          <cell r="B1680">
            <v>116742</v>
          </cell>
          <cell r="C1680">
            <v>884</v>
          </cell>
          <cell r="D1680" t="str">
            <v>Herefordshire</v>
          </cell>
          <cell r="E1680">
            <v>2154</v>
          </cell>
          <cell r="F1680" t="str">
            <v>Beverley Samuel</v>
          </cell>
          <cell r="G1680" t="str">
            <v xml:space="preserve">Sutton Primary School </v>
          </cell>
          <cell r="H1680" t="str">
            <v>West Midlands</v>
          </cell>
          <cell r="I1680" t="str">
            <v>Sutton St Nicholas</v>
          </cell>
          <cell r="L1680" t="str">
            <v>Hereford</v>
          </cell>
          <cell r="M1680" t="str">
            <v>Herefordshire</v>
          </cell>
          <cell r="N1680" t="str">
            <v>HR1 3AZ</v>
          </cell>
          <cell r="O1680" t="str">
            <v>admin@sutton.hereford.sch.uk</v>
          </cell>
          <cell r="P1680">
            <v>40521</v>
          </cell>
        </row>
        <row r="1681">
          <cell r="A1681">
            <v>9084143</v>
          </cell>
          <cell r="B1681">
            <v>112040</v>
          </cell>
          <cell r="C1681">
            <v>908</v>
          </cell>
          <cell r="D1681" t="str">
            <v>Cornwall</v>
          </cell>
          <cell r="E1681">
            <v>4143</v>
          </cell>
          <cell r="F1681" t="str">
            <v>Tahamina Khan</v>
          </cell>
          <cell r="G1681" t="str">
            <v>Saltash.net community School</v>
          </cell>
          <cell r="H1681" t="str">
            <v>South West</v>
          </cell>
          <cell r="I1681" t="str">
            <v>Wearde Road</v>
          </cell>
          <cell r="L1681" t="str">
            <v>Saltash</v>
          </cell>
          <cell r="M1681" t="str">
            <v>Cornwall</v>
          </cell>
          <cell r="N1681" t="str">
            <v>PL12 4AY</v>
          </cell>
          <cell r="O1681" t="str">
            <v>Bryce@saltash.Cornwall.sch.uk</v>
          </cell>
          <cell r="P1681">
            <v>40534</v>
          </cell>
        </row>
        <row r="1682">
          <cell r="A1682">
            <v>8695406</v>
          </cell>
          <cell r="B1682">
            <v>110102</v>
          </cell>
          <cell r="C1682">
            <v>869</v>
          </cell>
          <cell r="D1682" t="str">
            <v>West Berkshire</v>
          </cell>
          <cell r="E1682">
            <v>5406</v>
          </cell>
          <cell r="F1682" t="str">
            <v>Darren Francis</v>
          </cell>
          <cell r="G1682" t="str">
            <v>The Downs School</v>
          </cell>
          <cell r="H1682" t="str">
            <v>South East</v>
          </cell>
          <cell r="I1682" t="str">
            <v>Manor Crescent</v>
          </cell>
          <cell r="J1682" t="str">
            <v>Compton</v>
          </cell>
          <cell r="L1682" t="str">
            <v>Newbury</v>
          </cell>
          <cell r="M1682" t="str">
            <v>Berkshire</v>
          </cell>
          <cell r="N1682" t="str">
            <v>RG20 6NU</v>
          </cell>
          <cell r="O1682" t="str">
            <v>lhill@westberks.org</v>
          </cell>
        </row>
        <row r="1683">
          <cell r="A1683">
            <v>8164063</v>
          </cell>
          <cell r="B1683">
            <v>121673</v>
          </cell>
          <cell r="C1683">
            <v>816</v>
          </cell>
          <cell r="D1683" t="str">
            <v>York</v>
          </cell>
          <cell r="E1683">
            <v>4063</v>
          </cell>
          <cell r="F1683" t="str">
            <v>Glyn Newton</v>
          </cell>
          <cell r="G1683" t="str">
            <v>Huntington School</v>
          </cell>
          <cell r="H1683" t="str">
            <v>Yorkshire and the Humber</v>
          </cell>
          <cell r="I1683" t="str">
            <v>Huntington Road</v>
          </cell>
          <cell r="J1683" t="str">
            <v>Huntington</v>
          </cell>
          <cell r="L1683" t="str">
            <v>York</v>
          </cell>
          <cell r="M1683" t="str">
            <v>North Yorkshire</v>
          </cell>
          <cell r="N1683" t="str">
            <v>YO32 9WT</v>
          </cell>
          <cell r="O1683" t="str">
            <v>j.tomsett@huntington-ed.org.uk</v>
          </cell>
        </row>
        <row r="1684">
          <cell r="A1684">
            <v>8744082</v>
          </cell>
          <cell r="B1684">
            <v>135002</v>
          </cell>
          <cell r="C1684">
            <v>874</v>
          </cell>
          <cell r="D1684" t="str">
            <v>Peterborough</v>
          </cell>
          <cell r="E1684">
            <v>4082</v>
          </cell>
          <cell r="F1684" t="str">
            <v>Joe Farrell</v>
          </cell>
          <cell r="G1684" t="str">
            <v>Hampton College</v>
          </cell>
          <cell r="H1684" t="str">
            <v>East of England</v>
          </cell>
          <cell r="I1684" t="str">
            <v>Eagle Way</v>
          </cell>
          <cell r="J1684" t="str">
            <v>Hampton Vale</v>
          </cell>
          <cell r="L1684" t="str">
            <v>Peterborough</v>
          </cell>
          <cell r="M1684" t="str">
            <v>Cambridgeshire</v>
          </cell>
          <cell r="N1684" t="str">
            <v>PE7 8BF</v>
          </cell>
          <cell r="O1684" t="str">
            <v>phains@hamptoncollege.peterborough.sch.uk</v>
          </cell>
        </row>
        <row r="1685">
          <cell r="A1685">
            <v>8372227</v>
          </cell>
          <cell r="B1685">
            <v>113726</v>
          </cell>
          <cell r="C1685">
            <v>837</v>
          </cell>
          <cell r="D1685" t="str">
            <v>Bournemouth</v>
          </cell>
          <cell r="E1685">
            <v>2227</v>
          </cell>
          <cell r="F1685" t="str">
            <v>Kate Bosher</v>
          </cell>
          <cell r="G1685" t="str">
            <v>Pokesdown Community Primary School</v>
          </cell>
          <cell r="H1685" t="str">
            <v>South West</v>
          </cell>
          <cell r="I1685" t="str">
            <v>Livingstone Road</v>
          </cell>
          <cell r="L1685" t="str">
            <v>Bournemouth</v>
          </cell>
          <cell r="M1685" t="str">
            <v>Dorset</v>
          </cell>
          <cell r="N1685" t="str">
            <v>BH5 2AS</v>
          </cell>
          <cell r="O1685" t="str">
            <v>viv.arkell@bournemouth.gov.uk</v>
          </cell>
          <cell r="P1685">
            <v>41241</v>
          </cell>
        </row>
        <row r="1686">
          <cell r="A1686">
            <v>9282215</v>
          </cell>
          <cell r="B1686">
            <v>121949</v>
          </cell>
          <cell r="C1686">
            <v>928</v>
          </cell>
          <cell r="D1686" t="str">
            <v>Northamptonshire</v>
          </cell>
          <cell r="E1686">
            <v>2215</v>
          </cell>
          <cell r="F1686" t="str">
            <v>Sue Harp</v>
          </cell>
          <cell r="G1686" t="str">
            <v>Redwell Infant School</v>
          </cell>
          <cell r="H1686" t="str">
            <v>East Midlands</v>
          </cell>
          <cell r="I1686" t="str">
            <v>Barnwell Road</v>
          </cell>
          <cell r="L1686" t="str">
            <v>Wellingborough</v>
          </cell>
          <cell r="M1686" t="str">
            <v>Northamptonshire</v>
          </cell>
          <cell r="N1686" t="str">
            <v>NN8 5LQ</v>
          </cell>
          <cell r="O1686" t="str">
            <v>head@redwell-inf.northants-ecl.gov.uk</v>
          </cell>
        </row>
        <row r="1687">
          <cell r="A1687">
            <v>3342085</v>
          </cell>
          <cell r="B1687">
            <v>104075</v>
          </cell>
          <cell r="C1687">
            <v>334</v>
          </cell>
          <cell r="D1687" t="str">
            <v>Solihull</v>
          </cell>
          <cell r="E1687">
            <v>2085</v>
          </cell>
          <cell r="F1687" t="str">
            <v>Alison Middleton</v>
          </cell>
          <cell r="G1687" t="str">
            <v>Peterbrook Primary School</v>
          </cell>
          <cell r="H1687" t="str">
            <v>West Midlands</v>
          </cell>
          <cell r="I1687" t="str">
            <v>High Street</v>
          </cell>
          <cell r="J1687" t="str">
            <v>Solihull Lodge</v>
          </cell>
          <cell r="K1687" t="str">
            <v>Shirley</v>
          </cell>
          <cell r="L1687" t="str">
            <v>Solihull</v>
          </cell>
          <cell r="M1687" t="str">
            <v>West Midlands</v>
          </cell>
          <cell r="N1687" t="str">
            <v>B90 1HR</v>
          </cell>
          <cell r="O1687" t="str">
            <v>s43mcgaw@peterbrook.solihull.sch.uk</v>
          </cell>
        </row>
        <row r="1688">
          <cell r="A1688">
            <v>8304111</v>
          </cell>
          <cell r="B1688">
            <v>112942</v>
          </cell>
          <cell r="C1688">
            <v>830</v>
          </cell>
          <cell r="D1688" t="str">
            <v>Derbyshire</v>
          </cell>
          <cell r="E1688">
            <v>4111</v>
          </cell>
          <cell r="F1688" t="str">
            <v>Linda Brooks</v>
          </cell>
          <cell r="G1688" t="str">
            <v>Hope Valley College</v>
          </cell>
          <cell r="H1688" t="str">
            <v>East Midlands</v>
          </cell>
          <cell r="I1688" t="str">
            <v>Castleton Road</v>
          </cell>
          <cell r="J1688" t="str">
            <v>Hope</v>
          </cell>
          <cell r="L1688" t="str">
            <v>Hope Valley</v>
          </cell>
          <cell r="M1688" t="str">
            <v>Derbyshire</v>
          </cell>
          <cell r="N1688" t="str">
            <v>S33 6SD</v>
          </cell>
          <cell r="O1688" t="str">
            <v>headteacher@hopevalley.derbyshire.sch.uk</v>
          </cell>
          <cell r="P1688">
            <v>40648</v>
          </cell>
        </row>
        <row r="1689">
          <cell r="A1689">
            <v>2131101</v>
          </cell>
          <cell r="B1689">
            <v>133923</v>
          </cell>
          <cell r="C1689">
            <v>213</v>
          </cell>
          <cell r="D1689" t="str">
            <v>Westminster</v>
          </cell>
          <cell r="E1689">
            <v>1101</v>
          </cell>
          <cell r="F1689" t="str">
            <v>Tahir Shams</v>
          </cell>
          <cell r="G1689" t="str">
            <v>Beachcroft School</v>
          </cell>
          <cell r="H1689" t="str">
            <v>London</v>
          </cell>
          <cell r="I1689" t="str">
            <v>111 Shirland Road</v>
          </cell>
          <cell r="L1689" t="str">
            <v>London</v>
          </cell>
          <cell r="N1689" t="str">
            <v>W9 2EL</v>
          </cell>
          <cell r="O1689" t="str">
            <v>head@bridge.lbhf.sch.uk</v>
          </cell>
        </row>
        <row r="1690">
          <cell r="A1690">
            <v>9283029</v>
          </cell>
          <cell r="B1690">
            <v>121971</v>
          </cell>
          <cell r="C1690">
            <v>928</v>
          </cell>
          <cell r="D1690" t="str">
            <v>Northamptonshire</v>
          </cell>
          <cell r="E1690">
            <v>3029</v>
          </cell>
          <cell r="F1690" t="str">
            <v>Stephen Standret</v>
          </cell>
          <cell r="G1690" t="str">
            <v>Gayton C of E Primary school</v>
          </cell>
          <cell r="H1690" t="str">
            <v>East Midlands</v>
          </cell>
          <cell r="I1690" t="str">
            <v>Bugbrooke Road</v>
          </cell>
          <cell r="J1690" t="str">
            <v>Gayton</v>
          </cell>
          <cell r="L1690" t="str">
            <v>Northampton</v>
          </cell>
          <cell r="M1690" t="str">
            <v>Northamptonshire</v>
          </cell>
          <cell r="N1690" t="str">
            <v>NN7 3EU</v>
          </cell>
          <cell r="O1690" t="str">
            <v>head@gayton-ce.northants-ecl.gov.uk</v>
          </cell>
        </row>
        <row r="1691">
          <cell r="A1691">
            <v>3117002</v>
          </cell>
          <cell r="B1691">
            <v>102363</v>
          </cell>
          <cell r="C1691">
            <v>311</v>
          </cell>
          <cell r="D1691" t="str">
            <v>Havering</v>
          </cell>
          <cell r="E1691">
            <v>7002</v>
          </cell>
          <cell r="F1691" t="str">
            <v>Tahir Shams</v>
          </cell>
          <cell r="G1691" t="str">
            <v>Dycorts School</v>
          </cell>
          <cell r="H1691" t="str">
            <v>London</v>
          </cell>
          <cell r="I1691" t="str">
            <v>Settle Road</v>
          </cell>
          <cell r="J1691" t="str">
            <v>Harold Hill</v>
          </cell>
          <cell r="L1691" t="str">
            <v>Romford</v>
          </cell>
          <cell r="M1691" t="str">
            <v>Essex</v>
          </cell>
          <cell r="N1691" t="str">
            <v>RM3 9YA</v>
          </cell>
          <cell r="O1691" t="str">
            <v>contact.dycorts.havering@lgfl.net</v>
          </cell>
        </row>
        <row r="1692">
          <cell r="A1692">
            <v>8552004</v>
          </cell>
          <cell r="B1692">
            <v>119904</v>
          </cell>
          <cell r="C1692">
            <v>855</v>
          </cell>
          <cell r="D1692" t="str">
            <v>Leicestershire</v>
          </cell>
          <cell r="E1692">
            <v>2004</v>
          </cell>
          <cell r="F1692" t="str">
            <v>Stephen Standret</v>
          </cell>
          <cell r="G1692" t="str">
            <v>Asfordby Hill Primary School</v>
          </cell>
          <cell r="H1692" t="str">
            <v>East Midlands</v>
          </cell>
          <cell r="I1692" t="str">
            <v>Melton Road</v>
          </cell>
          <cell r="J1692" t="str">
            <v>Asfordby Hill</v>
          </cell>
          <cell r="L1692" t="str">
            <v>Melton Mowbray</v>
          </cell>
          <cell r="M1692" t="str">
            <v>Leicestershire</v>
          </cell>
          <cell r="N1692" t="str">
            <v>LE14 3RB</v>
          </cell>
          <cell r="O1692" t="str">
            <v>headteacher@asfordbyhill.leics.sch.uk</v>
          </cell>
          <cell r="P1692">
            <v>41226</v>
          </cell>
        </row>
        <row r="1693">
          <cell r="A1693">
            <v>8603457</v>
          </cell>
          <cell r="B1693">
            <v>124350</v>
          </cell>
          <cell r="C1693">
            <v>860</v>
          </cell>
          <cell r="D1693" t="str">
            <v>Staffordshire</v>
          </cell>
          <cell r="E1693">
            <v>3457</v>
          </cell>
          <cell r="F1693" t="str">
            <v>Hannah Copp</v>
          </cell>
          <cell r="G1693" t="str">
            <v>St Filumena's Catholic Primary School</v>
          </cell>
          <cell r="H1693" t="str">
            <v>West Midlands</v>
          </cell>
          <cell r="I1693" t="str">
            <v>Caverswall</v>
          </cell>
          <cell r="J1693" t="str">
            <v>Blythe Bridge</v>
          </cell>
          <cell r="L1693" t="str">
            <v>Stoke-on-Trent</v>
          </cell>
          <cell r="M1693" t="str">
            <v>Staffordshire</v>
          </cell>
          <cell r="N1693" t="str">
            <v>ST11 9EA</v>
          </cell>
          <cell r="O1693" t="str">
            <v>headteacher@st-filumenas.staffs.sch.uk</v>
          </cell>
          <cell r="P1693">
            <v>41057</v>
          </cell>
        </row>
        <row r="1694">
          <cell r="A1694">
            <v>3305411</v>
          </cell>
          <cell r="B1694">
            <v>103558</v>
          </cell>
          <cell r="C1694">
            <v>330</v>
          </cell>
          <cell r="D1694" t="str">
            <v>Birmingham</v>
          </cell>
          <cell r="E1694">
            <v>5411</v>
          </cell>
          <cell r="F1694" t="str">
            <v>Lilian Da Cunha</v>
          </cell>
          <cell r="G1694" t="str">
            <v>Ninestiles School</v>
          </cell>
          <cell r="H1694" t="str">
            <v>West Midlands</v>
          </cell>
          <cell r="I1694" t="str">
            <v>Hartfield Crescent</v>
          </cell>
          <cell r="L1694" t="str">
            <v>Birmingham</v>
          </cell>
          <cell r="M1694" t="str">
            <v>West Midlands</v>
          </cell>
          <cell r="N1694" t="str">
            <v>B27 7QG</v>
          </cell>
          <cell r="O1694" t="str">
            <v>christineq@ninestiles.bham.sch.uk</v>
          </cell>
          <cell r="P1694">
            <v>40340</v>
          </cell>
        </row>
        <row r="1695">
          <cell r="A1695">
            <v>8314182</v>
          </cell>
          <cell r="B1695">
            <v>112956</v>
          </cell>
          <cell r="C1695">
            <v>831</v>
          </cell>
          <cell r="D1695" t="str">
            <v>Derby</v>
          </cell>
          <cell r="E1695">
            <v>4182</v>
          </cell>
          <cell r="F1695" t="str">
            <v>Grant Dyson</v>
          </cell>
          <cell r="G1695" t="str">
            <v>Littleover Community School</v>
          </cell>
          <cell r="H1695" t="str">
            <v>East Midlands</v>
          </cell>
          <cell r="I1695" t="str">
            <v>Pastures Hill</v>
          </cell>
          <cell r="J1695" t="str">
            <v>Littleover</v>
          </cell>
          <cell r="L1695" t="str">
            <v>Derby</v>
          </cell>
          <cell r="M1695" t="str">
            <v>Derbyshire</v>
          </cell>
          <cell r="N1695" t="str">
            <v>DE23 4BZ</v>
          </cell>
          <cell r="O1695" t="str">
            <v>A.Venkatesh@littleover.derby.sch.uk</v>
          </cell>
        </row>
        <row r="1696">
          <cell r="A1696">
            <v>3447001</v>
          </cell>
          <cell r="B1696">
            <v>105129</v>
          </cell>
          <cell r="C1696">
            <v>344</v>
          </cell>
          <cell r="D1696" t="str">
            <v>Wirral</v>
          </cell>
          <cell r="E1696">
            <v>7001</v>
          </cell>
          <cell r="F1696" t="str">
            <v>Maria Sabberton</v>
          </cell>
          <cell r="G1696" t="str">
            <v>Clare Mount Specialist Sports College</v>
          </cell>
          <cell r="H1696" t="str">
            <v>North West</v>
          </cell>
          <cell r="I1696" t="str">
            <v>Fender Lane</v>
          </cell>
          <cell r="J1696" t="str">
            <v>Moreton</v>
          </cell>
          <cell r="L1696" t="str">
            <v>Wirral</v>
          </cell>
          <cell r="M1696" t="str">
            <v>Merseyside</v>
          </cell>
          <cell r="N1696" t="str">
            <v>CH46 9PA</v>
          </cell>
          <cell r="O1696" t="str">
            <v>headteacher@claremount.wirral.sch.uk</v>
          </cell>
        </row>
        <row r="1697">
          <cell r="A1697">
            <v>8863912</v>
          </cell>
          <cell r="B1697">
            <v>135158</v>
          </cell>
          <cell r="C1697">
            <v>886</v>
          </cell>
          <cell r="D1697" t="str">
            <v>Kent</v>
          </cell>
          <cell r="E1697">
            <v>3912</v>
          </cell>
          <cell r="F1697" t="str">
            <v>Sarah Mitchell</v>
          </cell>
          <cell r="G1697" t="str">
            <v>Woodgrove Primary School</v>
          </cell>
          <cell r="H1697" t="str">
            <v>South East</v>
          </cell>
          <cell r="I1697" t="str">
            <v>Homewood Avenue</v>
          </cell>
          <cell r="L1697" t="str">
            <v>Sittingbourne</v>
          </cell>
          <cell r="M1697" t="str">
            <v>Kent</v>
          </cell>
          <cell r="N1697" t="str">
            <v>ME10 1XN</v>
          </cell>
          <cell r="O1697" t="str">
            <v>headteacher@woodgrove.kent.sch.uk</v>
          </cell>
          <cell r="P1697">
            <v>40360</v>
          </cell>
        </row>
        <row r="1698">
          <cell r="A1698">
            <v>3832314</v>
          </cell>
          <cell r="B1698">
            <v>107834</v>
          </cell>
          <cell r="C1698">
            <v>383</v>
          </cell>
          <cell r="D1698" t="str">
            <v>Leeds</v>
          </cell>
          <cell r="E1698">
            <v>2314</v>
          </cell>
          <cell r="F1698" t="str">
            <v>Bev Annables</v>
          </cell>
          <cell r="G1698" t="str">
            <v>Woodlesford Primary School</v>
          </cell>
          <cell r="H1698" t="str">
            <v>Yorkshire and the Humber</v>
          </cell>
          <cell r="I1698" t="str">
            <v>Church Street</v>
          </cell>
          <cell r="J1698" t="str">
            <v>Woodlesford</v>
          </cell>
          <cell r="L1698" t="str">
            <v>Leeds</v>
          </cell>
          <cell r="M1698" t="str">
            <v>West Yorkshire</v>
          </cell>
          <cell r="N1698" t="str">
            <v>LS26 8RD</v>
          </cell>
          <cell r="O1698" t="str">
            <v>rossitmf01@leedslearning.net</v>
          </cell>
        </row>
        <row r="1699">
          <cell r="A1699">
            <v>8852914</v>
          </cell>
          <cell r="B1699">
            <v>116776</v>
          </cell>
          <cell r="C1699">
            <v>885</v>
          </cell>
          <cell r="D1699" t="str">
            <v>Worcestershire</v>
          </cell>
          <cell r="E1699">
            <v>2914</v>
          </cell>
          <cell r="F1699" t="str">
            <v>Carla Spink</v>
          </cell>
          <cell r="G1699" t="str">
            <v>Leigh and Bransford Primary School</v>
          </cell>
          <cell r="H1699" t="str">
            <v>West Midlands</v>
          </cell>
          <cell r="I1699" t="str">
            <v>Hoopers Close</v>
          </cell>
          <cell r="J1699" t="str">
            <v>Leigh Sinton</v>
          </cell>
          <cell r="L1699" t="str">
            <v>Malvern</v>
          </cell>
          <cell r="M1699" t="str">
            <v>Worcestershire</v>
          </cell>
          <cell r="N1699" t="str">
            <v>WR13 5DX</v>
          </cell>
          <cell r="O1699" t="str">
            <v>head@leighbransford.worcs.sch.uk</v>
          </cell>
        </row>
        <row r="1700">
          <cell r="A1700">
            <v>3355402</v>
          </cell>
          <cell r="B1700">
            <v>104260</v>
          </cell>
          <cell r="C1700">
            <v>335</v>
          </cell>
          <cell r="D1700" t="str">
            <v>Walsall</v>
          </cell>
          <cell r="E1700">
            <v>5402</v>
          </cell>
          <cell r="F1700" t="str">
            <v>Lilian Da Cunha</v>
          </cell>
          <cell r="G1700" t="str">
            <v>Shire Oak School - A Science College</v>
          </cell>
          <cell r="H1700" t="str">
            <v>West Midlands</v>
          </cell>
          <cell r="I1700" t="str">
            <v>Lichfield Road</v>
          </cell>
          <cell r="J1700" t="str">
            <v>Walsall Wood</v>
          </cell>
          <cell r="L1700" t="str">
            <v>Walsall</v>
          </cell>
          <cell r="M1700" t="str">
            <v>West Midlands</v>
          </cell>
          <cell r="N1700" t="str">
            <v>WS9 9PA</v>
          </cell>
          <cell r="O1700" t="str">
            <v>garycrowther@blueyonder.co.uk</v>
          </cell>
          <cell r="P1700">
            <v>40511</v>
          </cell>
        </row>
        <row r="1701">
          <cell r="A1701">
            <v>8813452</v>
          </cell>
          <cell r="B1701">
            <v>115161</v>
          </cell>
          <cell r="C1701">
            <v>881</v>
          </cell>
          <cell r="D1701" t="str">
            <v>Essex</v>
          </cell>
          <cell r="E1701">
            <v>3452</v>
          </cell>
          <cell r="F1701" t="str">
            <v>Beverley Samuel</v>
          </cell>
          <cell r="G1701" t="str">
            <v>St Mary's Church of England Voluntary Aided Primary School, Shenfield</v>
          </cell>
          <cell r="H1701" t="str">
            <v>East of England</v>
          </cell>
          <cell r="I1701" t="str">
            <v>Hall Lane</v>
          </cell>
          <cell r="J1701" t="str">
            <v>Shenfield</v>
          </cell>
          <cell r="L1701" t="str">
            <v>Brentwood</v>
          </cell>
          <cell r="M1701" t="str">
            <v>Essex</v>
          </cell>
          <cell r="N1701" t="str">
            <v>CM15 9AL</v>
          </cell>
          <cell r="O1701" t="str">
            <v>head@shenfield-st-marys.essex.sch.uk</v>
          </cell>
          <cell r="P1701">
            <v>41255</v>
          </cell>
        </row>
        <row r="1702">
          <cell r="A1702">
            <v>8252000</v>
          </cell>
          <cell r="B1702">
            <v>131852</v>
          </cell>
          <cell r="C1702">
            <v>825</v>
          </cell>
          <cell r="D1702" t="str">
            <v>Buckinghamshire</v>
          </cell>
          <cell r="E1702">
            <v>2000</v>
          </cell>
          <cell r="F1702" t="str">
            <v>Darren Francis</v>
          </cell>
          <cell r="G1702" t="str">
            <v>The Disraeli School and Children's Centre</v>
          </cell>
          <cell r="H1702" t="str">
            <v>South East</v>
          </cell>
          <cell r="I1702" t="str">
            <v>The Pastures</v>
          </cell>
          <cell r="L1702" t="str">
            <v>High Wycombe</v>
          </cell>
          <cell r="M1702" t="str">
            <v>Buckinghamshire</v>
          </cell>
          <cell r="N1702" t="str">
            <v>HP13 5JS</v>
          </cell>
          <cell r="O1702" t="str">
            <v>headteacher@disraeli.bucks.sch.uk</v>
          </cell>
        </row>
        <row r="1703">
          <cell r="A1703">
            <v>8234502</v>
          </cell>
          <cell r="B1703">
            <v>109694</v>
          </cell>
          <cell r="C1703">
            <v>823</v>
          </cell>
          <cell r="D1703" t="str">
            <v>Central Bedfordshire</v>
          </cell>
          <cell r="E1703">
            <v>4502</v>
          </cell>
          <cell r="F1703" t="str">
            <v>Not yet assigned</v>
          </cell>
          <cell r="G1703" t="str">
            <v>Edward Peake CofE VC Middle School</v>
          </cell>
          <cell r="H1703" t="str">
            <v>East of England</v>
          </cell>
          <cell r="I1703" t="str">
            <v>Potton Road</v>
          </cell>
          <cell r="L1703" t="str">
            <v>Biggleswade</v>
          </cell>
          <cell r="M1703" t="str">
            <v>Bedfordshire</v>
          </cell>
          <cell r="N1703" t="str">
            <v>SG18 0EJ</v>
          </cell>
          <cell r="O1703" t="str">
            <v>mreddick@bg7.md.e2bn.net</v>
          </cell>
        </row>
        <row r="1704">
          <cell r="A1704">
            <v>8732094</v>
          </cell>
          <cell r="B1704">
            <v>110652</v>
          </cell>
          <cell r="C1704">
            <v>873</v>
          </cell>
          <cell r="D1704" t="str">
            <v>Cambridgeshire</v>
          </cell>
          <cell r="E1704">
            <v>2094</v>
          </cell>
          <cell r="F1704" t="str">
            <v>Joe Farrell</v>
          </cell>
          <cell r="G1704" t="str">
            <v>Peckover Primary School</v>
          </cell>
          <cell r="H1704" t="str">
            <v>East of England</v>
          </cell>
          <cell r="I1704" t="str">
            <v>Leverington Road</v>
          </cell>
          <cell r="L1704" t="str">
            <v>Wisbech</v>
          </cell>
          <cell r="M1704" t="str">
            <v>Cambridgeshire</v>
          </cell>
          <cell r="N1704" t="str">
            <v>PE13 1PJ</v>
          </cell>
          <cell r="O1704" t="str">
            <v>head@peckover.cambs.sch.uk</v>
          </cell>
          <cell r="P1704">
            <v>41248</v>
          </cell>
        </row>
        <row r="1705">
          <cell r="A1705">
            <v>8313543</v>
          </cell>
          <cell r="B1705">
            <v>112927</v>
          </cell>
          <cell r="C1705">
            <v>831</v>
          </cell>
          <cell r="D1705" t="str">
            <v>Derby</v>
          </cell>
          <cell r="E1705">
            <v>3543</v>
          </cell>
          <cell r="F1705" t="str">
            <v>Sue Harp</v>
          </cell>
          <cell r="G1705" t="str">
            <v>St Alban's Catholic Primary School, Chaddesden, Derby</v>
          </cell>
          <cell r="H1705" t="str">
            <v>East Midlands</v>
          </cell>
          <cell r="I1705" t="str">
            <v>Newstead Avenue</v>
          </cell>
          <cell r="J1705" t="str">
            <v>Chaddesden</v>
          </cell>
          <cell r="L1705" t="str">
            <v>Derby</v>
          </cell>
          <cell r="M1705" t="str">
            <v>Derbyshire</v>
          </cell>
          <cell r="N1705" t="str">
            <v>DE21 6NU</v>
          </cell>
          <cell r="O1705" t="str">
            <v>admin@stalbans.derby.sch.uk</v>
          </cell>
        </row>
        <row r="1706">
          <cell r="A1706">
            <v>8554035</v>
          </cell>
          <cell r="B1706">
            <v>120258</v>
          </cell>
          <cell r="C1706">
            <v>855</v>
          </cell>
          <cell r="D1706" t="str">
            <v>Leicestershire</v>
          </cell>
          <cell r="E1706">
            <v>4035</v>
          </cell>
          <cell r="F1706" t="str">
            <v>Sue Harp</v>
          </cell>
          <cell r="G1706" t="str">
            <v>Castle Rock High School</v>
          </cell>
          <cell r="H1706" t="str">
            <v>East Midlands</v>
          </cell>
          <cell r="I1706" t="str">
            <v>Meadow Lane</v>
          </cell>
          <cell r="L1706" t="str">
            <v>Coalville</v>
          </cell>
          <cell r="M1706" t="str">
            <v>Leicestershire</v>
          </cell>
          <cell r="N1706" t="str">
            <v>LE67 4BR</v>
          </cell>
          <cell r="O1706" t="str">
            <v>jpatrick@castlerock.leics.sch.uk</v>
          </cell>
          <cell r="P1706">
            <v>40974</v>
          </cell>
        </row>
        <row r="1707">
          <cell r="A1707">
            <v>8554028</v>
          </cell>
          <cell r="B1707">
            <v>120251</v>
          </cell>
          <cell r="C1707">
            <v>855</v>
          </cell>
          <cell r="D1707" t="str">
            <v>Leicestershire</v>
          </cell>
          <cell r="E1707">
            <v>4028</v>
          </cell>
          <cell r="F1707" t="str">
            <v>Sue Harp</v>
          </cell>
          <cell r="G1707" t="str">
            <v>Ivanhoe College Ashby-De-La-Zouch</v>
          </cell>
          <cell r="H1707" t="str">
            <v>East Midlands</v>
          </cell>
          <cell r="I1707" t="str">
            <v>North Street</v>
          </cell>
          <cell r="L1707" t="str">
            <v>Ashby-de-la-Zouch</v>
          </cell>
          <cell r="M1707" t="str">
            <v>Leicestershire</v>
          </cell>
          <cell r="N1707" t="str">
            <v>LE65 1HX</v>
          </cell>
          <cell r="O1707" t="str">
            <v>a.blewitt@ivanhoecollege.leics.sch.uk</v>
          </cell>
          <cell r="P1707">
            <v>40942</v>
          </cell>
        </row>
        <row r="1708">
          <cell r="A1708">
            <v>8815410</v>
          </cell>
          <cell r="B1708">
            <v>115326</v>
          </cell>
          <cell r="C1708">
            <v>881</v>
          </cell>
          <cell r="D1708" t="str">
            <v>Essex</v>
          </cell>
          <cell r="E1708">
            <v>5410</v>
          </cell>
          <cell r="F1708" t="str">
            <v>Charlene Hird</v>
          </cell>
          <cell r="G1708" t="str">
            <v>Chelmsford County High School</v>
          </cell>
          <cell r="H1708" t="str">
            <v>East of England</v>
          </cell>
          <cell r="I1708" t="str">
            <v>Broomfield Road</v>
          </cell>
          <cell r="L1708" t="str">
            <v>Chelmsford</v>
          </cell>
          <cell r="M1708" t="str">
            <v>Essex</v>
          </cell>
          <cell r="N1708" t="str">
            <v>CM1 1RW</v>
          </cell>
          <cell r="O1708" t="str">
            <v>nchapman@cchs.essex.sch.uk</v>
          </cell>
          <cell r="P1708">
            <v>40385</v>
          </cell>
        </row>
        <row r="1709">
          <cell r="A1709">
            <v>8825428</v>
          </cell>
          <cell r="B1709">
            <v>115344</v>
          </cell>
          <cell r="C1709">
            <v>882</v>
          </cell>
          <cell r="D1709" t="str">
            <v>Southend-on-Sea</v>
          </cell>
          <cell r="E1709">
            <v>5428</v>
          </cell>
          <cell r="F1709" t="str">
            <v>Claire Ivie</v>
          </cell>
          <cell r="G1709" t="str">
            <v>Southend High School for Girls</v>
          </cell>
          <cell r="H1709" t="str">
            <v>East of England</v>
          </cell>
          <cell r="I1709" t="str">
            <v>Southchurch Boulevard</v>
          </cell>
          <cell r="L1709" t="str">
            <v>Southend-on-Sea</v>
          </cell>
          <cell r="M1709" t="str">
            <v>Essex</v>
          </cell>
          <cell r="N1709" t="str">
            <v>SS2 4UZ</v>
          </cell>
          <cell r="O1709" t="str">
            <v>aclewlow@shsg.org</v>
          </cell>
          <cell r="P1709">
            <v>40470</v>
          </cell>
        </row>
        <row r="1710">
          <cell r="A1710">
            <v>8084023</v>
          </cell>
          <cell r="B1710">
            <v>111730</v>
          </cell>
          <cell r="C1710">
            <v>808</v>
          </cell>
          <cell r="D1710" t="str">
            <v>Stockton-on-Tees</v>
          </cell>
          <cell r="E1710">
            <v>4023</v>
          </cell>
          <cell r="F1710" t="str">
            <v>Alan Large</v>
          </cell>
          <cell r="G1710" t="str">
            <v>Conyers School</v>
          </cell>
          <cell r="H1710" t="str">
            <v>North East</v>
          </cell>
          <cell r="I1710" t="str">
            <v>Green Lane</v>
          </cell>
          <cell r="L1710" t="str">
            <v>Yarm</v>
          </cell>
          <cell r="M1710" t="str">
            <v>North Yorkshire</v>
          </cell>
          <cell r="N1710" t="str">
            <v>TS15 9ET</v>
          </cell>
          <cell r="O1710" t="str">
            <v>lspellman@conyers.org.uk</v>
          </cell>
          <cell r="P1710">
            <v>41165</v>
          </cell>
        </row>
        <row r="1711">
          <cell r="A1711">
            <v>2104265</v>
          </cell>
          <cell r="B1711">
            <v>100844</v>
          </cell>
          <cell r="C1711">
            <v>210</v>
          </cell>
          <cell r="D1711" t="str">
            <v>Southwark</v>
          </cell>
          <cell r="E1711">
            <v>4265</v>
          </cell>
          <cell r="F1711" t="str">
            <v>Susan Shakespeare</v>
          </cell>
          <cell r="G1711" t="str">
            <v>Kingsdale Foundation School</v>
          </cell>
          <cell r="H1711" t="str">
            <v>London</v>
          </cell>
          <cell r="I1711" t="str">
            <v>Alleyn Park</v>
          </cell>
          <cell r="J1711" t="str">
            <v>Dulwich</v>
          </cell>
          <cell r="L1711" t="str">
            <v>London</v>
          </cell>
          <cell r="N1711" t="str">
            <v>SE21 8SQ</v>
          </cell>
          <cell r="O1711" t="str">
            <v>SMTClerk@kingsdale.southwark.sch.uk</v>
          </cell>
          <cell r="P1711">
            <v>40359</v>
          </cell>
        </row>
        <row r="1712">
          <cell r="A1712">
            <v>8652137</v>
          </cell>
          <cell r="B1712">
            <v>126234</v>
          </cell>
          <cell r="C1712">
            <v>865</v>
          </cell>
          <cell r="D1712" t="str">
            <v>Wiltshire</v>
          </cell>
          <cell r="E1712">
            <v>2137</v>
          </cell>
          <cell r="F1712" t="str">
            <v>Not yet assigned</v>
          </cell>
          <cell r="G1712" t="str">
            <v>Westwood-with-Iford School</v>
          </cell>
          <cell r="H1712" t="str">
            <v>South West</v>
          </cell>
          <cell r="I1712" t="str">
            <v>Boswell Road</v>
          </cell>
          <cell r="J1712" t="str">
            <v>Lower Westwood</v>
          </cell>
          <cell r="L1712" t="str">
            <v>Bradford-on-Avon</v>
          </cell>
          <cell r="M1712" t="str">
            <v>Wiltshire</v>
          </cell>
          <cell r="N1712" t="str">
            <v>BA15 2BY</v>
          </cell>
          <cell r="O1712" t="str">
            <v>head@westwood-with-Iford.wilts.sch.uk</v>
          </cell>
        </row>
        <row r="1713">
          <cell r="A1713">
            <v>9082752</v>
          </cell>
          <cell r="B1713">
            <v>130928</v>
          </cell>
          <cell r="C1713">
            <v>908</v>
          </cell>
          <cell r="D1713" t="str">
            <v>Cornwall</v>
          </cell>
          <cell r="E1713">
            <v>2752</v>
          </cell>
          <cell r="F1713" t="str">
            <v>Kate Bosher</v>
          </cell>
          <cell r="G1713" t="str">
            <v>St Dennis Community Primary School</v>
          </cell>
          <cell r="H1713" t="str">
            <v>South West</v>
          </cell>
          <cell r="I1713" t="str">
            <v>Carne Hill</v>
          </cell>
          <cell r="J1713" t="str">
            <v>St Dennis</v>
          </cell>
          <cell r="L1713" t="str">
            <v>St Austell</v>
          </cell>
          <cell r="M1713" t="str">
            <v>Cornwall</v>
          </cell>
          <cell r="N1713" t="str">
            <v>PL26 8AY</v>
          </cell>
          <cell r="O1713" t="str">
            <v>head@st-dennis.cornwall.sch.uk</v>
          </cell>
        </row>
        <row r="1714">
          <cell r="A1714">
            <v>9253005</v>
          </cell>
          <cell r="B1714">
            <v>120514</v>
          </cell>
          <cell r="C1714">
            <v>925</v>
          </cell>
          <cell r="D1714" t="str">
            <v>Lincolnshire</v>
          </cell>
          <cell r="E1714">
            <v>3005</v>
          </cell>
          <cell r="F1714" t="str">
            <v>Grant Dyson</v>
          </cell>
          <cell r="G1714" t="str">
            <v>Baston CE Primary School</v>
          </cell>
          <cell r="H1714" t="str">
            <v>East Midlands</v>
          </cell>
          <cell r="I1714" t="str">
            <v>103a Main Street</v>
          </cell>
          <cell r="J1714" t="str">
            <v>Baston</v>
          </cell>
          <cell r="L1714" t="str">
            <v>Peterborough</v>
          </cell>
          <cell r="M1714" t="str">
            <v>Lincolnshire</v>
          </cell>
          <cell r="N1714" t="str">
            <v>PE6 9PB</v>
          </cell>
          <cell r="O1714" t="str">
            <v>frances.dicker@baston.lincs.sch.uk</v>
          </cell>
        </row>
        <row r="1715">
          <cell r="A1715">
            <v>8312418</v>
          </cell>
          <cell r="B1715">
            <v>112723</v>
          </cell>
          <cell r="C1715">
            <v>831</v>
          </cell>
          <cell r="D1715" t="str">
            <v>Derby</v>
          </cell>
          <cell r="E1715">
            <v>2418</v>
          </cell>
          <cell r="F1715" t="str">
            <v>Pauline Cole</v>
          </cell>
          <cell r="G1715" t="str">
            <v>Moorhead Primary School</v>
          </cell>
          <cell r="H1715" t="str">
            <v>East Midlands</v>
          </cell>
          <cell r="I1715" t="str">
            <v>Brackens Lane</v>
          </cell>
          <cell r="J1715" t="str">
            <v>Alvaston</v>
          </cell>
          <cell r="L1715" t="str">
            <v>Derby</v>
          </cell>
          <cell r="M1715" t="str">
            <v>Derbyshire</v>
          </cell>
          <cell r="N1715" t="str">
            <v>DE24 0AN</v>
          </cell>
          <cell r="O1715" t="str">
            <v>admin@moorhead.derby.sch.uk</v>
          </cell>
          <cell r="P1715">
            <v>40987</v>
          </cell>
        </row>
        <row r="1716">
          <cell r="A1716">
            <v>2054620</v>
          </cell>
          <cell r="B1716">
            <v>100363</v>
          </cell>
          <cell r="C1716">
            <v>205</v>
          </cell>
          <cell r="D1716" t="str">
            <v>Hammersmith and Fulham</v>
          </cell>
          <cell r="E1716">
            <v>4620</v>
          </cell>
          <cell r="F1716" t="str">
            <v>Helen Fisher</v>
          </cell>
          <cell r="G1716" t="str">
            <v>Sacred Heart High School</v>
          </cell>
          <cell r="H1716" t="str">
            <v>London</v>
          </cell>
          <cell r="I1716" t="str">
            <v>212 Hammersmith Road</v>
          </cell>
          <cell r="J1716" t="str">
            <v>(Entrance Bute Gardens)</v>
          </cell>
          <cell r="K1716" t="str">
            <v>Hammersmith</v>
          </cell>
          <cell r="L1716" t="str">
            <v>London</v>
          </cell>
          <cell r="N1716" t="str">
            <v>W6 7DG</v>
          </cell>
          <cell r="O1716" t="str">
            <v>christinetcarpenter@yahoo.co.uk</v>
          </cell>
          <cell r="P1716">
            <v>40898</v>
          </cell>
        </row>
        <row r="1717">
          <cell r="A1717">
            <v>3344019</v>
          </cell>
          <cell r="B1717">
            <v>104113</v>
          </cell>
          <cell r="C1717">
            <v>334</v>
          </cell>
          <cell r="D1717" t="str">
            <v>Solihull</v>
          </cell>
          <cell r="E1717">
            <v>4019</v>
          </cell>
          <cell r="F1717" t="str">
            <v>Carol Ions</v>
          </cell>
          <cell r="G1717" t="str">
            <v>Lode Heath School</v>
          </cell>
          <cell r="H1717" t="str">
            <v>West Midlands</v>
          </cell>
          <cell r="I1717" t="str">
            <v>Lode Lane</v>
          </cell>
          <cell r="L1717" t="str">
            <v>Solihull</v>
          </cell>
          <cell r="M1717" t="str">
            <v>West Midlands</v>
          </cell>
          <cell r="N1717" t="str">
            <v>B91 2HW</v>
          </cell>
          <cell r="O1717" t="str">
            <v>s208jburton@lode-heath.solihull.sch.uk</v>
          </cell>
          <cell r="P1717">
            <v>40641</v>
          </cell>
        </row>
        <row r="1718">
          <cell r="A1718">
            <v>8843385</v>
          </cell>
          <cell r="B1718">
            <v>116919</v>
          </cell>
          <cell r="C1718">
            <v>884</v>
          </cell>
          <cell r="D1718" t="str">
            <v>Herefordshire</v>
          </cell>
          <cell r="E1718">
            <v>3385</v>
          </cell>
          <cell r="F1718" t="str">
            <v>Carla Spink</v>
          </cell>
          <cell r="G1718" t="str">
            <v>Whitchurch CofE Primary School</v>
          </cell>
          <cell r="H1718" t="str">
            <v>West Midlands</v>
          </cell>
          <cell r="I1718" t="str">
            <v>Whitchurch</v>
          </cell>
          <cell r="L1718" t="str">
            <v>Ross-on-Wye</v>
          </cell>
          <cell r="M1718" t="str">
            <v>Herefordshire</v>
          </cell>
          <cell r="N1718" t="str">
            <v>HR9 6DA</v>
          </cell>
          <cell r="O1718" t="str">
            <v>cmckeown@whitchurch.hereford.sch.uk</v>
          </cell>
        </row>
        <row r="1719">
          <cell r="A1719">
            <v>8553046</v>
          </cell>
          <cell r="B1719">
            <v>120137</v>
          </cell>
          <cell r="C1719">
            <v>855</v>
          </cell>
          <cell r="D1719" t="str">
            <v>Leicestershire</v>
          </cell>
          <cell r="E1719">
            <v>3046</v>
          </cell>
          <cell r="F1719" t="str">
            <v>Sue Harp</v>
          </cell>
          <cell r="G1719" t="str">
            <v>Husbands Bosworth Church of England Primary School</v>
          </cell>
          <cell r="H1719" t="str">
            <v>East Midlands</v>
          </cell>
          <cell r="I1719" t="str">
            <v>School Lane</v>
          </cell>
          <cell r="J1719" t="str">
            <v>Husbands Bosworth</v>
          </cell>
          <cell r="L1719" t="str">
            <v>Lutterworth</v>
          </cell>
          <cell r="M1719" t="str">
            <v>Leicestershire</v>
          </cell>
          <cell r="N1719" t="str">
            <v>LE17 6JU</v>
          </cell>
          <cell r="O1719" t="str">
            <v>mbown@husbandsbosworth.leics.sch.uk</v>
          </cell>
        </row>
        <row r="1720">
          <cell r="A1720">
            <v>8884158</v>
          </cell>
          <cell r="B1720">
            <v>119745</v>
          </cell>
          <cell r="C1720">
            <v>888</v>
          </cell>
          <cell r="D1720" t="str">
            <v>Lancashire</v>
          </cell>
          <cell r="E1720">
            <v>4158</v>
          </cell>
          <cell r="F1720" t="str">
            <v>Viv Clutton</v>
          </cell>
          <cell r="G1720" t="str">
            <v>Fearns Community Sports College</v>
          </cell>
          <cell r="H1720" t="str">
            <v>North West</v>
          </cell>
          <cell r="I1720" t="str">
            <v>Fearns Moss</v>
          </cell>
          <cell r="L1720" t="str">
            <v>Bacup</v>
          </cell>
          <cell r="M1720" t="str">
            <v>Lancashire</v>
          </cell>
          <cell r="N1720" t="str">
            <v>OL13 0TG</v>
          </cell>
          <cell r="O1720" t="str">
            <v>head@fearns.lancs.sch.uk</v>
          </cell>
        </row>
        <row r="1721">
          <cell r="A1721">
            <v>3302298</v>
          </cell>
          <cell r="B1721">
            <v>103322</v>
          </cell>
          <cell r="C1721">
            <v>330</v>
          </cell>
          <cell r="D1721" t="str">
            <v>Birmingham</v>
          </cell>
          <cell r="E1721">
            <v>2298</v>
          </cell>
          <cell r="F1721" t="str">
            <v>Ruth Pallister</v>
          </cell>
          <cell r="G1721" t="str">
            <v>Chilwell Croft Primary School</v>
          </cell>
          <cell r="H1721" t="str">
            <v>West Midlands</v>
          </cell>
          <cell r="I1721" t="str">
            <v>Chilwell Croft</v>
          </cell>
          <cell r="J1721" t="str">
            <v>Newtown</v>
          </cell>
          <cell r="L1721" t="str">
            <v>Birmingham</v>
          </cell>
          <cell r="M1721" t="str">
            <v>West Midlands</v>
          </cell>
          <cell r="N1721" t="str">
            <v>B19 2QH</v>
          </cell>
          <cell r="O1721" t="str">
            <v>enquiry@chilwellcroft.bham.sch.uk</v>
          </cell>
        </row>
        <row r="1722">
          <cell r="A1722">
            <v>8835266</v>
          </cell>
          <cell r="B1722">
            <v>115306</v>
          </cell>
          <cell r="C1722">
            <v>883</v>
          </cell>
          <cell r="D1722" t="str">
            <v>Thurrock</v>
          </cell>
          <cell r="E1722">
            <v>5266</v>
          </cell>
          <cell r="F1722" t="str">
            <v>Michael Cook</v>
          </cell>
          <cell r="G1722" t="str">
            <v>Kenningtons Primary School</v>
          </cell>
          <cell r="H1722" t="str">
            <v>East of England</v>
          </cell>
          <cell r="I1722" t="str">
            <v>Tamar Drive</v>
          </cell>
          <cell r="J1722" t="str">
            <v>Aveley</v>
          </cell>
          <cell r="L1722" t="str">
            <v>South Ockendon</v>
          </cell>
          <cell r="M1722" t="str">
            <v>Essex</v>
          </cell>
          <cell r="N1722" t="str">
            <v>RM15 4NB</v>
          </cell>
          <cell r="O1722" t="str">
            <v>headteacher@kenningtons.thurrock.sch.uk</v>
          </cell>
          <cell r="P1722">
            <v>41018</v>
          </cell>
        </row>
        <row r="1723">
          <cell r="A1723">
            <v>8013008</v>
          </cell>
          <cell r="B1723">
            <v>109143</v>
          </cell>
          <cell r="C1723">
            <v>801</v>
          </cell>
          <cell r="D1723" t="str">
            <v>Bristol City of</v>
          </cell>
          <cell r="E1723">
            <v>3008</v>
          </cell>
          <cell r="F1723" t="str">
            <v>Susan Phillips</v>
          </cell>
          <cell r="G1723" t="str">
            <v>Horfield Church of England Primary School</v>
          </cell>
          <cell r="H1723" t="str">
            <v>South West</v>
          </cell>
          <cell r="I1723" t="str">
            <v>Bishop Manor Road</v>
          </cell>
          <cell r="J1723" t="str">
            <v>Westbury-on-Trym</v>
          </cell>
          <cell r="L1723" t="str">
            <v>Bristol</v>
          </cell>
          <cell r="N1723" t="str">
            <v>BS10 5BD</v>
          </cell>
          <cell r="O1723" t="str">
            <v>cghorfield@bristol.gov.uk</v>
          </cell>
        </row>
        <row r="1724">
          <cell r="A1724">
            <v>9082437</v>
          </cell>
          <cell r="B1724">
            <v>111896</v>
          </cell>
          <cell r="C1724">
            <v>908</v>
          </cell>
          <cell r="D1724" t="str">
            <v>Cornwall</v>
          </cell>
          <cell r="E1724">
            <v>2437</v>
          </cell>
          <cell r="F1724" t="str">
            <v>Bev Mullin</v>
          </cell>
          <cell r="G1724" t="str">
            <v>St Mewan Community Primary School</v>
          </cell>
          <cell r="H1724" t="str">
            <v>South West</v>
          </cell>
          <cell r="I1724" t="str">
            <v>St Mewan</v>
          </cell>
          <cell r="L1724" t="str">
            <v>St Austell</v>
          </cell>
          <cell r="M1724" t="str">
            <v>Cornwall</v>
          </cell>
          <cell r="N1724" t="str">
            <v>PL26 7DP</v>
          </cell>
          <cell r="O1724" t="str">
            <v>head@st-mewan.cornwall.sch.uk</v>
          </cell>
          <cell r="P1724">
            <v>40658</v>
          </cell>
        </row>
        <row r="1725">
          <cell r="A1725">
            <v>8864059</v>
          </cell>
          <cell r="B1725">
            <v>118793</v>
          </cell>
          <cell r="C1725">
            <v>886</v>
          </cell>
          <cell r="D1725" t="str">
            <v>Kent</v>
          </cell>
          <cell r="E1725">
            <v>4059</v>
          </cell>
          <cell r="F1725" t="str">
            <v>Not yet assigned</v>
          </cell>
          <cell r="G1725" t="str">
            <v>Swadelands School</v>
          </cell>
          <cell r="H1725" t="str">
            <v>South East</v>
          </cell>
          <cell r="I1725" t="str">
            <v>Ham Lane</v>
          </cell>
          <cell r="J1725" t="str">
            <v>Lenham</v>
          </cell>
          <cell r="L1725" t="str">
            <v>Maidstone</v>
          </cell>
          <cell r="M1725" t="str">
            <v>Kent</v>
          </cell>
          <cell r="N1725" t="str">
            <v>ME17 2QJ</v>
          </cell>
          <cell r="O1725" t="str">
            <v>rbaddeley@swadelands.kent.sch.uk</v>
          </cell>
        </row>
        <row r="1726">
          <cell r="A1726">
            <v>3575402</v>
          </cell>
          <cell r="B1726">
            <v>106275</v>
          </cell>
          <cell r="C1726">
            <v>357</v>
          </cell>
          <cell r="D1726" t="str">
            <v>Tameside</v>
          </cell>
          <cell r="E1726">
            <v>5402</v>
          </cell>
          <cell r="F1726" t="str">
            <v>Struan Mackenzie</v>
          </cell>
          <cell r="G1726" t="str">
            <v>Fairfield High School for Girls</v>
          </cell>
          <cell r="H1726" t="str">
            <v>North West</v>
          </cell>
          <cell r="I1726" t="str">
            <v>Fairfield Avenue</v>
          </cell>
          <cell r="J1726" t="str">
            <v>Droylsden</v>
          </cell>
          <cell r="L1726" t="str">
            <v>Manchester</v>
          </cell>
          <cell r="N1726" t="str">
            <v>M43 6AB</v>
          </cell>
          <cell r="O1726" t="str">
            <v>jhedley@fairfieldhigh.tameside.sch.uk</v>
          </cell>
          <cell r="P1726">
            <v>40522</v>
          </cell>
        </row>
        <row r="1727">
          <cell r="A1727">
            <v>8224098</v>
          </cell>
          <cell r="B1727">
            <v>109679</v>
          </cell>
          <cell r="C1727">
            <v>822</v>
          </cell>
          <cell r="D1727" t="str">
            <v>Bedford</v>
          </cell>
          <cell r="E1727">
            <v>4098</v>
          </cell>
          <cell r="F1727" t="str">
            <v>Beverley Samuel</v>
          </cell>
          <cell r="G1727" t="str">
            <v>Daubeney Middle School</v>
          </cell>
          <cell r="H1727" t="str">
            <v>East of England</v>
          </cell>
          <cell r="I1727" t="str">
            <v>Orchard Street</v>
          </cell>
          <cell r="J1727" t="str">
            <v>Kempston</v>
          </cell>
          <cell r="L1727" t="str">
            <v>Bedford</v>
          </cell>
          <cell r="M1727" t="str">
            <v>Bedfordshire</v>
          </cell>
          <cell r="N1727" t="str">
            <v>MK42 7PS</v>
          </cell>
          <cell r="O1727" t="str">
            <v>daubeneyms@deal.bedfordshire.gov.uk</v>
          </cell>
          <cell r="P1727">
            <v>40871</v>
          </cell>
        </row>
        <row r="1728">
          <cell r="A1728">
            <v>3093307</v>
          </cell>
          <cell r="B1728">
            <v>102140</v>
          </cell>
          <cell r="C1728">
            <v>309</v>
          </cell>
          <cell r="D1728" t="str">
            <v>Haringey</v>
          </cell>
          <cell r="E1728">
            <v>3307</v>
          </cell>
          <cell r="F1728" t="str">
            <v>Sheila Longstaff</v>
          </cell>
          <cell r="G1728" t="str">
            <v>St Michael's CofE Primary School</v>
          </cell>
          <cell r="H1728" t="str">
            <v>London</v>
          </cell>
          <cell r="I1728" t="str">
            <v>Bounds Green Road</v>
          </cell>
          <cell r="J1728" t="str">
            <v>Wood Green</v>
          </cell>
          <cell r="L1728" t="str">
            <v>London</v>
          </cell>
          <cell r="N1728" t="str">
            <v>N22 8HE</v>
          </cell>
          <cell r="O1728" t="str">
            <v>head@stmichaelsn22.haringey.sch.uk</v>
          </cell>
          <cell r="P1728">
            <v>41204</v>
          </cell>
        </row>
        <row r="1729">
          <cell r="A1729">
            <v>8554052</v>
          </cell>
          <cell r="B1729">
            <v>120270</v>
          </cell>
          <cell r="C1729">
            <v>855</v>
          </cell>
          <cell r="D1729" t="str">
            <v>Leicestershire</v>
          </cell>
          <cell r="E1729">
            <v>4052</v>
          </cell>
          <cell r="F1729" t="str">
            <v>Pauline Cole</v>
          </cell>
          <cell r="G1729" t="str">
            <v>Groby Community College</v>
          </cell>
          <cell r="H1729" t="str">
            <v>East Midlands</v>
          </cell>
          <cell r="I1729" t="str">
            <v>Ratby Road</v>
          </cell>
          <cell r="J1729" t="str">
            <v>Groby</v>
          </cell>
          <cell r="L1729" t="str">
            <v>Leicester</v>
          </cell>
          <cell r="M1729" t="str">
            <v>Leicestershire</v>
          </cell>
          <cell r="N1729" t="str">
            <v>LE6 0GE</v>
          </cell>
          <cell r="P1729">
            <v>40966</v>
          </cell>
        </row>
        <row r="1730">
          <cell r="A1730">
            <v>3843104</v>
          </cell>
          <cell r="B1730">
            <v>108183</v>
          </cell>
          <cell r="C1730">
            <v>384</v>
          </cell>
          <cell r="D1730" t="str">
            <v>Wakefield</v>
          </cell>
          <cell r="E1730">
            <v>3104</v>
          </cell>
          <cell r="F1730" t="str">
            <v>Lisa Sargeant</v>
          </cell>
          <cell r="G1730" t="str">
            <v>Knottingley Church of England Voluntary Controlled Junior and Infant School</v>
          </cell>
          <cell r="H1730" t="str">
            <v>Yorkshire and the Humber</v>
          </cell>
          <cell r="I1730" t="str">
            <v>Primrose Vale</v>
          </cell>
          <cell r="L1730" t="str">
            <v>Knottingley</v>
          </cell>
          <cell r="M1730" t="str">
            <v>West Yorkshire</v>
          </cell>
          <cell r="N1730" t="str">
            <v>WF11 9BT</v>
          </cell>
          <cell r="O1730" t="str">
            <v>headteacher@knottingley-cofe.wakefield.sch.uk</v>
          </cell>
          <cell r="P1730">
            <v>41038</v>
          </cell>
        </row>
        <row r="1731">
          <cell r="A1731">
            <v>8022310</v>
          </cell>
          <cell r="B1731">
            <v>109115</v>
          </cell>
          <cell r="C1731">
            <v>802</v>
          </cell>
          <cell r="D1731" t="str">
            <v>North Somerset</v>
          </cell>
          <cell r="E1731">
            <v>2310</v>
          </cell>
          <cell r="F1731" t="str">
            <v>Theresa Oddelm</v>
          </cell>
          <cell r="G1731" t="str">
            <v>Mary Elton Primary School</v>
          </cell>
          <cell r="H1731" t="str">
            <v>South West</v>
          </cell>
          <cell r="I1731" t="str">
            <v>Holland Road</v>
          </cell>
          <cell r="L1731" t="str">
            <v>Clevedon</v>
          </cell>
          <cell r="M1731" t="str">
            <v>Somerset</v>
          </cell>
          <cell r="N1731" t="str">
            <v>BS21 7SX</v>
          </cell>
          <cell r="O1731" t="str">
            <v>owely@live.co.uk</v>
          </cell>
        </row>
        <row r="1732">
          <cell r="A1732">
            <v>9334259</v>
          </cell>
          <cell r="B1732">
            <v>123868</v>
          </cell>
          <cell r="C1732">
            <v>933</v>
          </cell>
          <cell r="D1732" t="str">
            <v>Somerset</v>
          </cell>
          <cell r="E1732">
            <v>4259</v>
          </cell>
          <cell r="F1732" t="str">
            <v>Vivienne Brown</v>
          </cell>
          <cell r="G1732" t="str">
            <v xml:space="preserve">Huish Episcopi School </v>
          </cell>
          <cell r="H1732" t="str">
            <v>South West</v>
          </cell>
          <cell r="I1732" t="str">
            <v>Wincanton Road</v>
          </cell>
          <cell r="J1732" t="str">
            <v>Huish Episcopi</v>
          </cell>
          <cell r="L1732" t="str">
            <v>Langport</v>
          </cell>
          <cell r="M1732" t="str">
            <v>Somerset</v>
          </cell>
          <cell r="N1732" t="str">
            <v>TA10 9SS</v>
          </cell>
          <cell r="O1732" t="str">
            <v>Groff@educ.somerset.gov.uk</v>
          </cell>
          <cell r="P1732">
            <v>40346</v>
          </cell>
        </row>
        <row r="1733">
          <cell r="A1733">
            <v>9263053</v>
          </cell>
          <cell r="B1733">
            <v>121045</v>
          </cell>
          <cell r="C1733">
            <v>926</v>
          </cell>
          <cell r="D1733" t="str">
            <v>Norfolk</v>
          </cell>
          <cell r="E1733">
            <v>3053</v>
          </cell>
          <cell r="F1733" t="str">
            <v>Joe Farrell</v>
          </cell>
          <cell r="G1733" t="str">
            <v>St Mary's C of E Junior</v>
          </cell>
          <cell r="H1733" t="str">
            <v>East of England</v>
          </cell>
          <cell r="I1733" t="str">
            <v>Swan Lane</v>
          </cell>
          <cell r="J1733" t="str">
            <v>Long Stratton</v>
          </cell>
          <cell r="L1733" t="str">
            <v>Norwich</v>
          </cell>
          <cell r="M1733" t="str">
            <v>Norfolk</v>
          </cell>
          <cell r="N1733" t="str">
            <v>NR15 2UY</v>
          </cell>
          <cell r="O1733" t="str">
            <v>office@st-marys.norfolk.sch.uk</v>
          </cell>
          <cell r="P1733">
            <v>40632</v>
          </cell>
        </row>
        <row r="1734">
          <cell r="A1734">
            <v>9252234</v>
          </cell>
          <cell r="B1734">
            <v>120500</v>
          </cell>
          <cell r="C1734">
            <v>925</v>
          </cell>
          <cell r="D1734" t="str">
            <v>Lincolnshire</v>
          </cell>
          <cell r="E1734">
            <v>2234</v>
          </cell>
          <cell r="F1734" t="str">
            <v>Grant Dyson</v>
          </cell>
          <cell r="G1734" t="str">
            <v>Carlton Road Primary School</v>
          </cell>
          <cell r="H1734" t="str">
            <v>East Midlands</v>
          </cell>
          <cell r="I1734" t="str">
            <v>Carlton Road</v>
          </cell>
          <cell r="L1734" t="str">
            <v>Boston</v>
          </cell>
          <cell r="M1734" t="str">
            <v>Lincolnshire</v>
          </cell>
          <cell r="N1734" t="str">
            <v>PE21 8QX</v>
          </cell>
          <cell r="O1734" t="str">
            <v>Adrian.Reed@hhtc.org.uk</v>
          </cell>
          <cell r="P1734">
            <v>40890</v>
          </cell>
        </row>
        <row r="1735">
          <cell r="A1735">
            <v>3303303</v>
          </cell>
          <cell r="B1735">
            <v>103413</v>
          </cell>
          <cell r="C1735">
            <v>330</v>
          </cell>
          <cell r="D1735" t="str">
            <v>Birmingham</v>
          </cell>
          <cell r="E1735">
            <v>3303</v>
          </cell>
          <cell r="F1735" t="str">
            <v>Nicole Felicien</v>
          </cell>
          <cell r="G1735" t="str">
            <v>Holy Trinity Church of England Primary School</v>
          </cell>
          <cell r="H1735" t="str">
            <v>West Midlands</v>
          </cell>
          <cell r="I1735" t="str">
            <v>Havelock Road</v>
          </cell>
          <cell r="J1735" t="str">
            <v>Handsworth</v>
          </cell>
          <cell r="L1735" t="str">
            <v>Birmingham</v>
          </cell>
          <cell r="M1735" t="str">
            <v>West Midlands</v>
          </cell>
          <cell r="N1735" t="str">
            <v>B20 3LP</v>
          </cell>
          <cell r="O1735" t="str">
            <v>c.dunford@holytrinity-pri.bham.sch.uk</v>
          </cell>
          <cell r="P1735">
            <v>41240</v>
          </cell>
        </row>
        <row r="1736">
          <cell r="A1736">
            <v>3094703</v>
          </cell>
          <cell r="B1736">
            <v>102161</v>
          </cell>
          <cell r="C1736">
            <v>309</v>
          </cell>
          <cell r="D1736" t="str">
            <v>Haringey</v>
          </cell>
          <cell r="E1736">
            <v>4703</v>
          </cell>
          <cell r="F1736" t="str">
            <v>Sheila Longstaff</v>
          </cell>
          <cell r="G1736" t="str">
            <v>St Thomas More Catholic School</v>
          </cell>
          <cell r="H1736" t="str">
            <v>London</v>
          </cell>
          <cell r="I1736" t="str">
            <v>Glendale Avenue</v>
          </cell>
          <cell r="J1736" t="str">
            <v>Wood Green</v>
          </cell>
          <cell r="L1736" t="str">
            <v>London</v>
          </cell>
          <cell r="N1736" t="str">
            <v>N22 5HN</v>
          </cell>
          <cell r="O1736" t="str">
            <v>headteacher@stthomasmoreschool.org.uk</v>
          </cell>
          <cell r="P1736">
            <v>41184</v>
          </cell>
        </row>
        <row r="1737">
          <cell r="A1737">
            <v>9382053</v>
          </cell>
          <cell r="B1737">
            <v>125851</v>
          </cell>
          <cell r="C1737">
            <v>938</v>
          </cell>
          <cell r="D1737" t="str">
            <v>West Sussex</v>
          </cell>
          <cell r="E1737">
            <v>2053</v>
          </cell>
          <cell r="F1737" t="str">
            <v>Sarah Mitchell</v>
          </cell>
          <cell r="G1737" t="str">
            <v>Rustington Community Primary School</v>
          </cell>
          <cell r="H1737" t="str">
            <v>South East</v>
          </cell>
          <cell r="I1737" t="str">
            <v>North Lane</v>
          </cell>
          <cell r="J1737" t="str">
            <v>Rustington</v>
          </cell>
          <cell r="L1737" t="str">
            <v>Littlehampton</v>
          </cell>
          <cell r="M1737" t="str">
            <v>West Sussex</v>
          </cell>
          <cell r="N1737" t="str">
            <v>BN16 3PW</v>
          </cell>
          <cell r="O1737" t="str">
            <v>nwhite@wsgfl.org.uk</v>
          </cell>
          <cell r="P1737">
            <v>41242</v>
          </cell>
        </row>
        <row r="1738">
          <cell r="A1738">
            <v>8552162</v>
          </cell>
          <cell r="B1738">
            <v>119971</v>
          </cell>
          <cell r="C1738">
            <v>855</v>
          </cell>
          <cell r="D1738" t="str">
            <v>Leicestershire</v>
          </cell>
          <cell r="E1738">
            <v>2162</v>
          </cell>
          <cell r="F1738" t="str">
            <v>Sue Harp</v>
          </cell>
          <cell r="G1738" t="str">
            <v>Battling Brook Community Primary School</v>
          </cell>
          <cell r="H1738" t="str">
            <v>East Midlands</v>
          </cell>
          <cell r="I1738" t="str">
            <v>Frederick Avenue</v>
          </cell>
          <cell r="L1738" t="str">
            <v>Hinckley</v>
          </cell>
          <cell r="M1738" t="str">
            <v>Leicestershire</v>
          </cell>
          <cell r="N1738" t="str">
            <v>LE10 0EX</v>
          </cell>
          <cell r="O1738" t="str">
            <v>smarsden@bbrook.leics.sch.uk</v>
          </cell>
        </row>
        <row r="1739">
          <cell r="A1739">
            <v>9192014</v>
          </cell>
          <cell r="B1739">
            <v>117090</v>
          </cell>
          <cell r="C1739">
            <v>919</v>
          </cell>
          <cell r="D1739" t="str">
            <v>Hertfordshire</v>
          </cell>
          <cell r="E1739">
            <v>2014</v>
          </cell>
          <cell r="F1739" t="str">
            <v>Joe Farrell</v>
          </cell>
          <cell r="G1739" t="str">
            <v>Merry Hill Infant School and Nursery</v>
          </cell>
          <cell r="H1739" t="str">
            <v>East of England</v>
          </cell>
          <cell r="I1739" t="str">
            <v>School Lane</v>
          </cell>
          <cell r="L1739" t="str">
            <v>Bushey</v>
          </cell>
          <cell r="M1739" t="str">
            <v>Hertfordshire</v>
          </cell>
          <cell r="N1739" t="str">
            <v>WD23 1ST</v>
          </cell>
          <cell r="O1739" t="str">
            <v>head@merryhill.herts.sch.uk</v>
          </cell>
        </row>
        <row r="1740">
          <cell r="A1740">
            <v>8783012</v>
          </cell>
          <cell r="B1740">
            <v>113356</v>
          </cell>
          <cell r="C1740">
            <v>878</v>
          </cell>
          <cell r="D1740" t="str">
            <v>Devon</v>
          </cell>
          <cell r="E1740">
            <v>3012</v>
          </cell>
          <cell r="F1740" t="str">
            <v>Not yet assigned</v>
          </cell>
          <cell r="G1740" t="str">
            <v>Hawkchurch Church of England School</v>
          </cell>
          <cell r="H1740" t="str">
            <v>South West</v>
          </cell>
          <cell r="I1740" t="str">
            <v>Hawkchurch</v>
          </cell>
          <cell r="L1740" t="str">
            <v>Axminster</v>
          </cell>
          <cell r="M1740" t="str">
            <v>Devon</v>
          </cell>
          <cell r="N1740" t="str">
            <v>EX13 5XD</v>
          </cell>
          <cell r="O1740" t="str">
            <v>cliffseabrook@hawkchurch-primary.devon.sch.uk</v>
          </cell>
        </row>
        <row r="1741">
          <cell r="A1741">
            <v>8404054</v>
          </cell>
          <cell r="B1741">
            <v>114290</v>
          </cell>
          <cell r="C1741">
            <v>840</v>
          </cell>
          <cell r="D1741" t="str">
            <v>Durham</v>
          </cell>
          <cell r="E1741">
            <v>4054</v>
          </cell>
          <cell r="F1741" t="str">
            <v>John Edmunds</v>
          </cell>
          <cell r="G1741" t="str">
            <v>The Hermitage School</v>
          </cell>
          <cell r="H1741" t="str">
            <v>North East</v>
          </cell>
          <cell r="I1741" t="str">
            <v>Waldridge Lane</v>
          </cell>
          <cell r="L1741" t="str">
            <v>Chester le Street</v>
          </cell>
          <cell r="M1741" t="str">
            <v>County Durham</v>
          </cell>
          <cell r="N1741" t="str">
            <v>DH2 3AD</v>
          </cell>
          <cell r="O1741" t="str">
            <v>mmurray@thehermitage-lc.net</v>
          </cell>
          <cell r="P1741">
            <v>40196</v>
          </cell>
        </row>
        <row r="1742">
          <cell r="A1742">
            <v>8774201</v>
          </cell>
          <cell r="B1742">
            <v>111431</v>
          </cell>
          <cell r="C1742">
            <v>877</v>
          </cell>
          <cell r="D1742" t="str">
            <v>Warrington</v>
          </cell>
          <cell r="E1742">
            <v>4201</v>
          </cell>
          <cell r="F1742" t="str">
            <v>Cathy Dudley</v>
          </cell>
          <cell r="G1742" t="str">
            <v>Penketh High School</v>
          </cell>
          <cell r="H1742" t="str">
            <v>North West</v>
          </cell>
          <cell r="I1742" t="str">
            <v>Heath Road</v>
          </cell>
          <cell r="J1742" t="str">
            <v>Penketh</v>
          </cell>
          <cell r="L1742" t="str">
            <v>Warrington</v>
          </cell>
          <cell r="M1742" t="str">
            <v>Cheshire</v>
          </cell>
          <cell r="N1742" t="str">
            <v>WA5 2BY</v>
          </cell>
          <cell r="O1742" t="str">
            <v>jhughes@penketh.warrington.sch.uk</v>
          </cell>
          <cell r="P1742">
            <v>41103</v>
          </cell>
        </row>
        <row r="1743">
          <cell r="A1743">
            <v>9195400</v>
          </cell>
          <cell r="B1743">
            <v>117572</v>
          </cell>
          <cell r="C1743">
            <v>919</v>
          </cell>
          <cell r="D1743" t="str">
            <v>Hertfordshire</v>
          </cell>
          <cell r="E1743">
            <v>5400</v>
          </cell>
          <cell r="F1743" t="str">
            <v>Joe Farrell</v>
          </cell>
          <cell r="G1743" t="str">
            <v>Rickmansworth School</v>
          </cell>
          <cell r="H1743" t="str">
            <v>East of England</v>
          </cell>
          <cell r="I1743" t="str">
            <v>Scots Hill</v>
          </cell>
          <cell r="L1743" t="str">
            <v>Rickmansworth</v>
          </cell>
          <cell r="M1743" t="str">
            <v>Hertfordshire</v>
          </cell>
          <cell r="N1743" t="str">
            <v>WD3 3AQ</v>
          </cell>
          <cell r="O1743" t="str">
            <v>sburton@rickamnsworth.herts.sch.uk</v>
          </cell>
          <cell r="P1743">
            <v>40528</v>
          </cell>
        </row>
        <row r="1744">
          <cell r="A1744">
            <v>8844058</v>
          </cell>
          <cell r="B1744">
            <v>116955</v>
          </cell>
          <cell r="C1744">
            <v>884</v>
          </cell>
          <cell r="D1744" t="str">
            <v>Herefordshire</v>
          </cell>
          <cell r="E1744">
            <v>4058</v>
          </cell>
          <cell r="F1744" t="str">
            <v>Carla Spink</v>
          </cell>
          <cell r="G1744" t="str">
            <v>John Masefield High School</v>
          </cell>
          <cell r="H1744" t="str">
            <v>West Midlands</v>
          </cell>
          <cell r="I1744" t="str">
            <v>Mabel's Furlong</v>
          </cell>
          <cell r="L1744" t="str">
            <v>Ledbury</v>
          </cell>
          <cell r="M1744" t="str">
            <v>Herefordshire</v>
          </cell>
          <cell r="N1744" t="str">
            <v>HR8 2HF</v>
          </cell>
          <cell r="O1744" t="str">
            <v>andy.evans@jmonline.org.uk</v>
          </cell>
          <cell r="P1744">
            <v>40568</v>
          </cell>
        </row>
        <row r="1745">
          <cell r="A1745">
            <v>8404162</v>
          </cell>
          <cell r="B1745">
            <v>114301</v>
          </cell>
          <cell r="C1745">
            <v>840</v>
          </cell>
          <cell r="D1745" t="str">
            <v>Durham</v>
          </cell>
          <cell r="E1745">
            <v>4162</v>
          </cell>
          <cell r="F1745" t="str">
            <v>Alan Large</v>
          </cell>
          <cell r="G1745" t="str">
            <v>Bishop Barrington School A Sports with Mathematics College</v>
          </cell>
          <cell r="H1745" t="str">
            <v>North East</v>
          </cell>
          <cell r="I1745" t="str">
            <v>Woodhouse Lane</v>
          </cell>
          <cell r="L1745" t="str">
            <v>Bishop Auckland</v>
          </cell>
          <cell r="M1745" t="str">
            <v>County Durham</v>
          </cell>
          <cell r="N1745" t="str">
            <v>DL14 6LA</v>
          </cell>
          <cell r="O1745" t="str">
            <v>jackie.gent@bishopbarrington.net</v>
          </cell>
          <cell r="P1745">
            <v>40738</v>
          </cell>
        </row>
        <row r="1746">
          <cell r="A1746">
            <v>3812031</v>
          </cell>
          <cell r="B1746">
            <v>107496</v>
          </cell>
          <cell r="C1746">
            <v>381</v>
          </cell>
          <cell r="D1746" t="str">
            <v>Calderdale</v>
          </cell>
          <cell r="E1746">
            <v>2031</v>
          </cell>
          <cell r="F1746" t="str">
            <v>Adriarna Goodinson</v>
          </cell>
          <cell r="G1746" t="str">
            <v>Whitehill Community Trust School</v>
          </cell>
          <cell r="H1746" t="str">
            <v>Yorkshire and the Humber</v>
          </cell>
          <cell r="I1746" t="str">
            <v>Occupation Lane</v>
          </cell>
          <cell r="J1746" t="str">
            <v>Illingworth</v>
          </cell>
          <cell r="L1746" t="str">
            <v>Halifax</v>
          </cell>
          <cell r="M1746" t="str">
            <v>West Yorkshire</v>
          </cell>
          <cell r="N1746" t="str">
            <v>HX2 9RL</v>
          </cell>
          <cell r="O1746" t="str">
            <v>head@whitehill.calderdale.sch.uk</v>
          </cell>
          <cell r="P1746">
            <v>40576</v>
          </cell>
        </row>
        <row r="1747">
          <cell r="A1747">
            <v>8524311</v>
          </cell>
          <cell r="B1747">
            <v>116469</v>
          </cell>
          <cell r="C1747">
            <v>852</v>
          </cell>
          <cell r="D1747" t="str">
            <v>Southampton</v>
          </cell>
          <cell r="E1747">
            <v>4311</v>
          </cell>
          <cell r="F1747" t="str">
            <v>Lindsay Morris</v>
          </cell>
          <cell r="G1747" t="str">
            <v>Cantell Maths and Computing College</v>
          </cell>
          <cell r="H1747" t="str">
            <v>South East</v>
          </cell>
          <cell r="I1747" t="str">
            <v>Violet Road</v>
          </cell>
          <cell r="J1747" t="str">
            <v>Bassett</v>
          </cell>
          <cell r="L1747" t="str">
            <v>Southampton</v>
          </cell>
          <cell r="M1747" t="str">
            <v>Hampshire</v>
          </cell>
          <cell r="N1747" t="str">
            <v>SO16 3GJ</v>
          </cell>
          <cell r="O1747" t="str">
            <v>head@cantellschool.llplus.net</v>
          </cell>
          <cell r="P1747">
            <v>40856</v>
          </cell>
        </row>
        <row r="1748">
          <cell r="A1748">
            <v>8014042</v>
          </cell>
          <cell r="B1748">
            <v>109286</v>
          </cell>
          <cell r="C1748">
            <v>801</v>
          </cell>
          <cell r="D1748" t="str">
            <v>Bristol City of</v>
          </cell>
          <cell r="E1748">
            <v>4042</v>
          </cell>
          <cell r="G1748" t="str">
            <v xml:space="preserve">Bridge Learning Campus Secondary </v>
          </cell>
          <cell r="H1748" t="str">
            <v>South West</v>
          </cell>
          <cell r="I1748" t="str">
            <v>Bridge Learning Campus</v>
          </cell>
          <cell r="J1748" t="str">
            <v>Bishport Avenue</v>
          </cell>
          <cell r="K1748" t="str">
            <v>Hartcliffe</v>
          </cell>
          <cell r="L1748" t="str">
            <v>Bristol</v>
          </cell>
          <cell r="N1748" t="str">
            <v>BS13 0RH</v>
          </cell>
          <cell r="O1748" t="str">
            <v>mdavies@bridgelearningcampus.com</v>
          </cell>
        </row>
        <row r="1749">
          <cell r="A1749">
            <v>8844601</v>
          </cell>
          <cell r="B1749">
            <v>116992</v>
          </cell>
          <cell r="C1749">
            <v>884</v>
          </cell>
          <cell r="D1749" t="str">
            <v>Herefordshire</v>
          </cell>
          <cell r="E1749">
            <v>4601</v>
          </cell>
          <cell r="F1749" t="str">
            <v>Julia Waterhouse</v>
          </cell>
          <cell r="G1749" t="str">
            <v>St Mary's RC High School a Specialist Science and Applied Learning  College</v>
          </cell>
          <cell r="H1749" t="str">
            <v>West Midlands</v>
          </cell>
          <cell r="I1749" t="str">
            <v>Lugwardine</v>
          </cell>
          <cell r="L1749" t="str">
            <v>Hereford</v>
          </cell>
          <cell r="M1749" t="str">
            <v>Herefordshire</v>
          </cell>
          <cell r="N1749" t="str">
            <v>HR1 4DR</v>
          </cell>
          <cell r="O1749" t="str">
            <v>clambert@st-maryshigh.hereford.sch.uk</v>
          </cell>
        </row>
        <row r="1750">
          <cell r="A1750">
            <v>9264054</v>
          </cell>
          <cell r="B1750">
            <v>121169</v>
          </cell>
          <cell r="C1750">
            <v>926</v>
          </cell>
          <cell r="D1750" t="str">
            <v>Norfolk</v>
          </cell>
          <cell r="E1750">
            <v>4054</v>
          </cell>
          <cell r="F1750" t="str">
            <v>Julie McDowall</v>
          </cell>
          <cell r="G1750" t="str">
            <v>Old Buckenham High School</v>
          </cell>
          <cell r="H1750" t="str">
            <v>East of England</v>
          </cell>
          <cell r="I1750" t="str">
            <v>Abbey Road</v>
          </cell>
          <cell r="J1750" t="str">
            <v>Old Buckenham</v>
          </cell>
          <cell r="L1750" t="str">
            <v>Attleborough</v>
          </cell>
          <cell r="M1750" t="str">
            <v>Norfolk</v>
          </cell>
          <cell r="N1750" t="str">
            <v>NR17 1RL</v>
          </cell>
          <cell r="O1750" t="str">
            <v>head@oldbuckenhamhigh.norfolk.sch.uk</v>
          </cell>
          <cell r="P1750">
            <v>41256</v>
          </cell>
        </row>
        <row r="1751">
          <cell r="A1751">
            <v>3302463</v>
          </cell>
          <cell r="B1751">
            <v>103389</v>
          </cell>
          <cell r="C1751">
            <v>330</v>
          </cell>
          <cell r="D1751" t="str">
            <v>Birmingham</v>
          </cell>
          <cell r="E1751">
            <v>2463</v>
          </cell>
          <cell r="F1751" t="str">
            <v>Alison Middleton</v>
          </cell>
          <cell r="G1751" t="str">
            <v>Mere Green Combined School</v>
          </cell>
          <cell r="H1751" t="str">
            <v>West Midlands</v>
          </cell>
          <cell r="I1751" t="str">
            <v>Mere Green Road</v>
          </cell>
          <cell r="L1751" t="str">
            <v>Sutton Coldfield</v>
          </cell>
          <cell r="M1751" t="str">
            <v>West Midlands</v>
          </cell>
          <cell r="N1751" t="str">
            <v>B75 5BL</v>
          </cell>
          <cell r="O1751" t="str">
            <v>admin@meregrn.bham.sch.uk</v>
          </cell>
          <cell r="P1751">
            <v>41060</v>
          </cell>
        </row>
        <row r="1752">
          <cell r="A1752">
            <v>9255407</v>
          </cell>
          <cell r="B1752">
            <v>120703</v>
          </cell>
          <cell r="C1752">
            <v>925</v>
          </cell>
          <cell r="D1752" t="str">
            <v>Lincolnshire</v>
          </cell>
          <cell r="E1752">
            <v>5407</v>
          </cell>
          <cell r="F1752" t="str">
            <v>Grant Dyson</v>
          </cell>
          <cell r="G1752" t="str">
            <v>Yarborough School</v>
          </cell>
          <cell r="H1752" t="str">
            <v>East Midlands</v>
          </cell>
          <cell r="I1752" t="str">
            <v>Riseholme Road</v>
          </cell>
          <cell r="L1752" t="str">
            <v>Lincoln</v>
          </cell>
          <cell r="M1752" t="str">
            <v>Lincolnshire</v>
          </cell>
          <cell r="N1752" t="str">
            <v>LN1 3SP</v>
          </cell>
          <cell r="O1752" t="str">
            <v>sjr@yarborough.lincs.sch.uk</v>
          </cell>
          <cell r="P1752">
            <v>40548</v>
          </cell>
        </row>
        <row r="1753">
          <cell r="A1753">
            <v>8554057</v>
          </cell>
          <cell r="B1753">
            <v>120275</v>
          </cell>
          <cell r="C1753">
            <v>855</v>
          </cell>
          <cell r="D1753" t="str">
            <v>Leicestershire</v>
          </cell>
          <cell r="E1753">
            <v>4057</v>
          </cell>
          <cell r="F1753" t="str">
            <v>Pauline Cole</v>
          </cell>
          <cell r="G1753" t="str">
            <v>Thomas Estley Community College</v>
          </cell>
          <cell r="H1753" t="str">
            <v>East Midlands</v>
          </cell>
          <cell r="I1753" t="str">
            <v>Station Road</v>
          </cell>
          <cell r="J1753" t="str">
            <v>Broughton Astley</v>
          </cell>
          <cell r="L1753" t="str">
            <v>Leicester</v>
          </cell>
          <cell r="M1753" t="str">
            <v>Leicestershire</v>
          </cell>
          <cell r="N1753" t="str">
            <v>LE9 6PT</v>
          </cell>
          <cell r="O1753" t="str">
            <v>tmoralee@thomestcc.leics.sch.uk</v>
          </cell>
          <cell r="P1753">
            <v>40998</v>
          </cell>
        </row>
        <row r="1754">
          <cell r="A1754">
            <v>3071103</v>
          </cell>
          <cell r="B1754">
            <v>131753</v>
          </cell>
          <cell r="C1754">
            <v>307</v>
          </cell>
          <cell r="D1754" t="str">
            <v>Ealing</v>
          </cell>
          <cell r="E1754">
            <v>1103</v>
          </cell>
          <cell r="F1754" t="str">
            <v>Tahir Shams</v>
          </cell>
          <cell r="G1754" t="str">
            <v>The Study Centre</v>
          </cell>
          <cell r="H1754" t="str">
            <v>London</v>
          </cell>
          <cell r="I1754" t="str">
            <v>Compton Close</v>
          </cell>
          <cell r="J1754" t="str">
            <v>Ealing</v>
          </cell>
          <cell r="L1754" t="str">
            <v>London</v>
          </cell>
          <cell r="N1754" t="str">
            <v>W13 0LR</v>
          </cell>
          <cell r="O1754" t="str">
            <v>tmcneil@study.ealing.sch.uk</v>
          </cell>
        </row>
        <row r="1755">
          <cell r="A1755">
            <v>8224035</v>
          </cell>
          <cell r="B1755">
            <v>109653</v>
          </cell>
          <cell r="C1755">
            <v>822</v>
          </cell>
          <cell r="D1755" t="str">
            <v>Bedford</v>
          </cell>
          <cell r="E1755">
            <v>4035</v>
          </cell>
          <cell r="F1755" t="str">
            <v>Michael Cook</v>
          </cell>
          <cell r="G1755" t="str">
            <v>Marston Vale Middle School</v>
          </cell>
          <cell r="H1755" t="str">
            <v>East of England</v>
          </cell>
          <cell r="I1755" t="str">
            <v>The Crescent</v>
          </cell>
          <cell r="L1755" t="str">
            <v>Stewartby</v>
          </cell>
          <cell r="M1755" t="str">
            <v>Bedfordshire</v>
          </cell>
          <cell r="N1755" t="str">
            <v>MK43 9NH</v>
          </cell>
          <cell r="O1755" t="str">
            <v>marstonm@deal.bedfordshire.gov.uk</v>
          </cell>
          <cell r="P1755">
            <v>41017</v>
          </cell>
        </row>
        <row r="1756">
          <cell r="A1756">
            <v>9282134</v>
          </cell>
          <cell r="B1756">
            <v>121895</v>
          </cell>
          <cell r="C1756">
            <v>928</v>
          </cell>
          <cell r="D1756" t="str">
            <v>Northamptonshire</v>
          </cell>
          <cell r="E1756">
            <v>2134</v>
          </cell>
          <cell r="F1756" t="str">
            <v>Bev Mullin</v>
          </cell>
          <cell r="G1756" t="str">
            <v>Southbrook Junior School</v>
          </cell>
          <cell r="H1756" t="str">
            <v>East Midlands</v>
          </cell>
          <cell r="I1756" t="str">
            <v>Southbrook Estate</v>
          </cell>
          <cell r="J1756" t="str">
            <v>Hawke Road</v>
          </cell>
          <cell r="L1756" t="str">
            <v>Daventry</v>
          </cell>
          <cell r="M1756" t="str">
            <v>Northamptonshire</v>
          </cell>
          <cell r="N1756" t="str">
            <v>NN11 4LJ</v>
          </cell>
          <cell r="P1756">
            <v>40704</v>
          </cell>
        </row>
        <row r="1757">
          <cell r="A1757">
            <v>8874069</v>
          </cell>
          <cell r="B1757">
            <v>118798</v>
          </cell>
          <cell r="C1757">
            <v>887</v>
          </cell>
          <cell r="D1757" t="str">
            <v>Medway</v>
          </cell>
          <cell r="E1757">
            <v>4069</v>
          </cell>
          <cell r="F1757" t="str">
            <v>Sarah Hall</v>
          </cell>
          <cell r="G1757" t="str">
            <v>Fort Pitt Grammar School</v>
          </cell>
          <cell r="H1757" t="str">
            <v>South East</v>
          </cell>
          <cell r="I1757" t="str">
            <v>Fort Pitt Hill</v>
          </cell>
          <cell r="L1757" t="str">
            <v>Chatham</v>
          </cell>
          <cell r="M1757" t="str">
            <v>Kent</v>
          </cell>
          <cell r="N1757" t="str">
            <v>ME4 6TJ</v>
          </cell>
          <cell r="O1757" t="str">
            <v>jbell@fortpitt.medway.sch.uk</v>
          </cell>
          <cell r="P1757">
            <v>40350</v>
          </cell>
        </row>
        <row r="1758">
          <cell r="A1758">
            <v>9377002</v>
          </cell>
          <cell r="B1758">
            <v>134110</v>
          </cell>
          <cell r="C1758">
            <v>937</v>
          </cell>
          <cell r="D1758" t="str">
            <v>Warwickshire</v>
          </cell>
          <cell r="E1758">
            <v>7002</v>
          </cell>
          <cell r="F1758" t="str">
            <v>Sally Gardiner</v>
          </cell>
          <cell r="G1758" t="str">
            <v>Oak Wood Primary School</v>
          </cell>
          <cell r="H1758" t="str">
            <v>West Midlands</v>
          </cell>
          <cell r="I1758" t="str">
            <v>Morris Drive</v>
          </cell>
          <cell r="L1758" t="str">
            <v>Nuneaton</v>
          </cell>
          <cell r="M1758" t="str">
            <v>Warwickshire</v>
          </cell>
          <cell r="N1758" t="str">
            <v>CV11 4QH</v>
          </cell>
          <cell r="O1758" t="str">
            <v>head7046@oakwoodschools.co.uk</v>
          </cell>
          <cell r="P1758">
            <v>41249</v>
          </cell>
        </row>
        <row r="1759">
          <cell r="A1759">
            <v>3812019</v>
          </cell>
          <cell r="B1759">
            <v>107488</v>
          </cell>
          <cell r="C1759">
            <v>381</v>
          </cell>
          <cell r="D1759" t="str">
            <v>Calderdale</v>
          </cell>
          <cell r="E1759">
            <v>2019</v>
          </cell>
          <cell r="F1759" t="str">
            <v>Bev Annables</v>
          </cell>
          <cell r="G1759" t="str">
            <v>Beech Hill Junior and Infant School</v>
          </cell>
          <cell r="H1759" t="str">
            <v>Yorkshire and the Humber</v>
          </cell>
          <cell r="I1759" t="str">
            <v>Mount Pleasant Avenue</v>
          </cell>
          <cell r="L1759" t="str">
            <v>Halifax</v>
          </cell>
          <cell r="M1759" t="str">
            <v>West Yorkshire</v>
          </cell>
          <cell r="N1759" t="str">
            <v>HX1 5TN</v>
          </cell>
          <cell r="O1759" t="str">
            <v xml:space="preserve"> jonmoss_uk@yahoo.co.uk</v>
          </cell>
          <cell r="P1759">
            <v>40667</v>
          </cell>
        </row>
        <row r="1760">
          <cell r="A1760">
            <v>8102888</v>
          </cell>
          <cell r="B1760">
            <v>117915</v>
          </cell>
          <cell r="C1760">
            <v>810</v>
          </cell>
          <cell r="D1760" t="str">
            <v>Kingston upon Hull City of</v>
          </cell>
          <cell r="E1760">
            <v>2888</v>
          </cell>
          <cell r="F1760" t="str">
            <v>Claire Ryan</v>
          </cell>
          <cell r="G1760" t="str">
            <v>Newington Primary School</v>
          </cell>
          <cell r="H1760" t="str">
            <v>Yorkshire and the Humber</v>
          </cell>
          <cell r="I1760" t="str">
            <v>Dairycoates Avenue</v>
          </cell>
          <cell r="L1760" t="str">
            <v>Hull</v>
          </cell>
          <cell r="N1760" t="str">
            <v>HU3 5DD</v>
          </cell>
        </row>
        <row r="1761">
          <cell r="A1761">
            <v>9082238</v>
          </cell>
          <cell r="B1761">
            <v>111855</v>
          </cell>
          <cell r="C1761">
            <v>908</v>
          </cell>
          <cell r="D1761" t="str">
            <v>Cornwall</v>
          </cell>
          <cell r="E1761">
            <v>2238</v>
          </cell>
          <cell r="F1761" t="str">
            <v>Tahamina Khan</v>
          </cell>
          <cell r="G1761" t="str">
            <v>Mabe Community Primary School</v>
          </cell>
          <cell r="H1761" t="str">
            <v>South West</v>
          </cell>
          <cell r="I1761" t="str">
            <v>Cunningham Park</v>
          </cell>
          <cell r="J1761" t="str">
            <v>Mabe</v>
          </cell>
          <cell r="L1761" t="str">
            <v>Penryn</v>
          </cell>
          <cell r="M1761" t="str">
            <v>Cornwall</v>
          </cell>
          <cell r="N1761" t="str">
            <v>TR10 9HB</v>
          </cell>
          <cell r="O1761" t="str">
            <v>head@mabe.cornwall.sch.uk</v>
          </cell>
        </row>
        <row r="1762">
          <cell r="A1762">
            <v>8023121</v>
          </cell>
          <cell r="B1762">
            <v>109223</v>
          </cell>
          <cell r="C1762">
            <v>802</v>
          </cell>
          <cell r="D1762" t="str">
            <v>North Somerset</v>
          </cell>
          <cell r="E1762">
            <v>3121</v>
          </cell>
          <cell r="F1762" t="str">
            <v>Theresa Oddelm</v>
          </cell>
          <cell r="G1762" t="str">
            <v>Court-de-Wyck Primary School</v>
          </cell>
          <cell r="H1762" t="str">
            <v>South West</v>
          </cell>
          <cell r="I1762" t="str">
            <v>Bishops Road</v>
          </cell>
          <cell r="J1762" t="str">
            <v>Claverham</v>
          </cell>
          <cell r="L1762" t="str">
            <v>Bristol</v>
          </cell>
          <cell r="M1762" t="str">
            <v>Somerset</v>
          </cell>
          <cell r="N1762" t="str">
            <v>BS49 4NF</v>
          </cell>
          <cell r="O1762" t="str">
            <v>nick.riddiough@n-somerset.gov.uk</v>
          </cell>
        </row>
        <row r="1763">
          <cell r="A1763">
            <v>3564033</v>
          </cell>
          <cell r="B1763">
            <v>106134</v>
          </cell>
          <cell r="C1763">
            <v>356</v>
          </cell>
          <cell r="D1763" t="str">
            <v>Stockport</v>
          </cell>
          <cell r="E1763">
            <v>4033</v>
          </cell>
          <cell r="F1763" t="str">
            <v>Stuart Mepham</v>
          </cell>
          <cell r="G1763" t="str">
            <v>Reddish Vale Technology College</v>
          </cell>
          <cell r="H1763" t="str">
            <v>North West</v>
          </cell>
          <cell r="I1763" t="str">
            <v>Reddish Vale Road</v>
          </cell>
          <cell r="J1763" t="str">
            <v>Reddish</v>
          </cell>
          <cell r="L1763" t="str">
            <v>Stockport</v>
          </cell>
          <cell r="M1763" t="str">
            <v>Cheshire</v>
          </cell>
          <cell r="N1763" t="str">
            <v>SK5 7HD</v>
          </cell>
          <cell r="O1763" t="str">
            <v>j_campbell@reddish.stockport.sch.uk</v>
          </cell>
          <cell r="P1763">
            <v>40739</v>
          </cell>
        </row>
        <row r="1764">
          <cell r="A1764">
            <v>8503662</v>
          </cell>
          <cell r="B1764">
            <v>116401</v>
          </cell>
          <cell r="C1764">
            <v>850</v>
          </cell>
          <cell r="D1764" t="str">
            <v>Hampshire</v>
          </cell>
          <cell r="E1764">
            <v>3662</v>
          </cell>
          <cell r="F1764" t="str">
            <v>Sarah Hall</v>
          </cell>
          <cell r="G1764" t="str">
            <v>St Anthony's Catholic Primary School</v>
          </cell>
          <cell r="H1764" t="str">
            <v>South East</v>
          </cell>
          <cell r="I1764" t="str">
            <v>Primate Road</v>
          </cell>
          <cell r="J1764" t="str">
            <v>Titchfield Common</v>
          </cell>
          <cell r="L1764" t="str">
            <v>Fareham</v>
          </cell>
          <cell r="M1764" t="str">
            <v>Hampshire</v>
          </cell>
          <cell r="N1764" t="str">
            <v>PO14 4RP</v>
          </cell>
          <cell r="O1764" t="str">
            <v>marjorie.dean@st-anthonys.hants.sch.uk</v>
          </cell>
          <cell r="P1764">
            <v>40681</v>
          </cell>
        </row>
        <row r="1765">
          <cell r="A1765">
            <v>9253322</v>
          </cell>
          <cell r="B1765">
            <v>120606</v>
          </cell>
          <cell r="C1765">
            <v>925</v>
          </cell>
          <cell r="D1765" t="str">
            <v>Lincolnshire</v>
          </cell>
          <cell r="E1765">
            <v>3322</v>
          </cell>
          <cell r="F1765" t="str">
            <v>Grant Dyson</v>
          </cell>
          <cell r="G1765" t="str">
            <v>The St Gilbert of Sempringham Church of England Primary School, Pointon</v>
          </cell>
          <cell r="H1765" t="str">
            <v>East Midlands</v>
          </cell>
          <cell r="I1765" t="str">
            <v>West Road</v>
          </cell>
          <cell r="J1765" t="str">
            <v>Pointon</v>
          </cell>
          <cell r="L1765" t="str">
            <v>Sleaford</v>
          </cell>
          <cell r="M1765" t="str">
            <v>Lincolnshire</v>
          </cell>
          <cell r="N1765" t="str">
            <v>NG34 0NA</v>
          </cell>
          <cell r="O1765" t="str">
            <v>emma.hunt@pointon.lincs.sch.uk</v>
          </cell>
        </row>
        <row r="1766">
          <cell r="A1766">
            <v>3554614</v>
          </cell>
          <cell r="B1766">
            <v>105985</v>
          </cell>
          <cell r="C1766">
            <v>355</v>
          </cell>
          <cell r="D1766" t="str">
            <v>Salford</v>
          </cell>
          <cell r="E1766">
            <v>4614</v>
          </cell>
          <cell r="F1766" t="str">
            <v>Jane McCusker</v>
          </cell>
          <cell r="G1766" t="str">
            <v>St George's RC High School</v>
          </cell>
          <cell r="H1766" t="str">
            <v>North West</v>
          </cell>
          <cell r="I1766" t="str">
            <v>Parsonage Drive</v>
          </cell>
          <cell r="J1766" t="str">
            <v>Worsley</v>
          </cell>
          <cell r="L1766" t="str">
            <v>Manchester</v>
          </cell>
          <cell r="N1766" t="str">
            <v>M28 3SH</v>
          </cell>
          <cell r="O1766" t="str">
            <v>philip.harte@salford.gov.uk</v>
          </cell>
        </row>
        <row r="1767">
          <cell r="A1767">
            <v>8122943</v>
          </cell>
          <cell r="B1767">
            <v>117968</v>
          </cell>
          <cell r="C1767">
            <v>812</v>
          </cell>
          <cell r="D1767" t="str">
            <v>North East Lincolnshire</v>
          </cell>
          <cell r="E1767">
            <v>2943</v>
          </cell>
          <cell r="F1767" t="str">
            <v>Bev Annables</v>
          </cell>
          <cell r="G1767" t="str">
            <v>Bursar Primary School</v>
          </cell>
          <cell r="H1767" t="str">
            <v>Yorkshire and the Humber</v>
          </cell>
          <cell r="I1767" t="str">
            <v>Bursar Street</v>
          </cell>
          <cell r="L1767" t="str">
            <v>Cleethorpes</v>
          </cell>
          <cell r="M1767" t="str">
            <v>Lincolnshire</v>
          </cell>
          <cell r="N1767" t="str">
            <v>DN35 8DS</v>
          </cell>
          <cell r="O1767" t="str">
            <v>head@bp.tlfe.org</v>
          </cell>
          <cell r="P1767">
            <v>40879</v>
          </cell>
        </row>
        <row r="1768">
          <cell r="A1768">
            <v>8893183</v>
          </cell>
          <cell r="B1768">
            <v>119408</v>
          </cell>
          <cell r="C1768">
            <v>889</v>
          </cell>
          <cell r="D1768" t="str">
            <v>Blackburn with Darwen</v>
          </cell>
          <cell r="E1768">
            <v>3183</v>
          </cell>
          <cell r="F1768" t="str">
            <v>Viv Clutton</v>
          </cell>
          <cell r="G1768" t="str">
            <v>Turton and Edgworth CE/Methodist Primary School</v>
          </cell>
          <cell r="H1768" t="str">
            <v>North West</v>
          </cell>
          <cell r="I1768" t="str">
            <v>Bolton Road</v>
          </cell>
          <cell r="J1768" t="str">
            <v>Edgworth</v>
          </cell>
          <cell r="L1768" t="str">
            <v>Bolton</v>
          </cell>
          <cell r="M1768" t="str">
            <v>Lancashire</v>
          </cell>
          <cell r="N1768" t="str">
            <v>BL7 0AH</v>
          </cell>
          <cell r="O1768" t="str">
            <v>stewart.plowes@blackburn.gov.uk</v>
          </cell>
        </row>
        <row r="1769">
          <cell r="A1769">
            <v>3302111</v>
          </cell>
          <cell r="B1769">
            <v>103218</v>
          </cell>
          <cell r="C1769">
            <v>330</v>
          </cell>
          <cell r="D1769" t="str">
            <v>Birmingham</v>
          </cell>
          <cell r="E1769">
            <v>2111</v>
          </cell>
          <cell r="F1769" t="str">
            <v>Hannah Copp</v>
          </cell>
          <cell r="G1769" t="str">
            <v>Jervoise Junior and Infant School</v>
          </cell>
          <cell r="H1769" t="str">
            <v>West Midlands</v>
          </cell>
          <cell r="I1769" t="str">
            <v>Jervoise Road</v>
          </cell>
          <cell r="J1769" t="str">
            <v>Weoley Castle</v>
          </cell>
          <cell r="L1769" t="str">
            <v>Birmingham</v>
          </cell>
          <cell r="M1769" t="str">
            <v>West Midlands</v>
          </cell>
          <cell r="N1769" t="str">
            <v>B29 5QU</v>
          </cell>
          <cell r="O1769" t="str">
            <v>enquiry@jervoise.bham.sch.uk</v>
          </cell>
        </row>
        <row r="1770">
          <cell r="A1770">
            <v>3022002</v>
          </cell>
          <cell r="B1770">
            <v>101258</v>
          </cell>
          <cell r="C1770">
            <v>302</v>
          </cell>
          <cell r="D1770" t="str">
            <v>Barnet</v>
          </cell>
          <cell r="E1770">
            <v>2002</v>
          </cell>
          <cell r="F1770" t="str">
            <v>Bola Bakrin</v>
          </cell>
          <cell r="G1770" t="str">
            <v>Barnfield Primary School</v>
          </cell>
          <cell r="H1770" t="str">
            <v>London</v>
          </cell>
          <cell r="I1770" t="str">
            <v>Silkstream Road</v>
          </cell>
          <cell r="L1770" t="str">
            <v>Edgware</v>
          </cell>
          <cell r="N1770" t="str">
            <v>HA8 0DA</v>
          </cell>
          <cell r="O1770" t="str">
            <v>head@barnfield.barnetmail.net</v>
          </cell>
        </row>
        <row r="1771">
          <cell r="A1771">
            <v>9353341</v>
          </cell>
          <cell r="B1771">
            <v>124785</v>
          </cell>
          <cell r="C1771">
            <v>935</v>
          </cell>
          <cell r="D1771" t="str">
            <v>Suffolk</v>
          </cell>
          <cell r="E1771">
            <v>3341</v>
          </cell>
          <cell r="F1771" t="str">
            <v>Joe Farrell</v>
          </cell>
          <cell r="G1771" t="str">
            <v>St Pancras Catholic Primary School, Ipswich</v>
          </cell>
          <cell r="H1771" t="str">
            <v>East of England</v>
          </cell>
          <cell r="I1771" t="str">
            <v>Stratford Road</v>
          </cell>
          <cell r="L1771" t="str">
            <v>Ipswich</v>
          </cell>
          <cell r="M1771" t="str">
            <v>Suffolk</v>
          </cell>
          <cell r="N1771" t="str">
            <v>IP1 6EF</v>
          </cell>
          <cell r="O1771" t="str">
            <v>ad.st.pancras.p@talk21.com</v>
          </cell>
        </row>
        <row r="1772">
          <cell r="A1772">
            <v>9252177</v>
          </cell>
          <cell r="B1772">
            <v>120464</v>
          </cell>
          <cell r="C1772">
            <v>925</v>
          </cell>
          <cell r="D1772" t="str">
            <v>Lincolnshire</v>
          </cell>
          <cell r="E1772">
            <v>2177</v>
          </cell>
          <cell r="F1772" t="str">
            <v>Grant Dyson</v>
          </cell>
          <cell r="G1772" t="str">
            <v>Morton Trentside Primary School</v>
          </cell>
          <cell r="H1772" t="str">
            <v>East Midlands</v>
          </cell>
          <cell r="I1772" t="str">
            <v>Crooked Billet Street</v>
          </cell>
          <cell r="J1772" t="str">
            <v>Morton</v>
          </cell>
          <cell r="L1772" t="str">
            <v>Gainsborough</v>
          </cell>
          <cell r="M1772" t="str">
            <v>Lincolnshire</v>
          </cell>
          <cell r="N1772" t="str">
            <v>DN21 3AH</v>
          </cell>
          <cell r="O1772" t="str">
            <v>Beverley.Riddle@mortontrentside.lincs.sch.uk</v>
          </cell>
          <cell r="P1772">
            <v>40800</v>
          </cell>
        </row>
        <row r="1773">
          <cell r="A1773">
            <v>8683050</v>
          </cell>
          <cell r="B1773">
            <v>109985</v>
          </cell>
          <cell r="C1773">
            <v>868</v>
          </cell>
          <cell r="D1773" t="str">
            <v>Windsor and Maidenhead</v>
          </cell>
          <cell r="E1773">
            <v>3050</v>
          </cell>
          <cell r="F1773" t="str">
            <v>Darren Francis</v>
          </cell>
          <cell r="G1773" t="str">
            <v>White Waltham CofE School</v>
          </cell>
          <cell r="H1773" t="str">
            <v>South East</v>
          </cell>
          <cell r="I1773" t="str">
            <v>Waltham Road</v>
          </cell>
          <cell r="J1773" t="str">
            <v>White Waltham</v>
          </cell>
          <cell r="L1773" t="str">
            <v>Maidenhead</v>
          </cell>
          <cell r="M1773" t="str">
            <v>Berkshire</v>
          </cell>
          <cell r="N1773" t="str">
            <v>SL6 3SG</v>
          </cell>
          <cell r="O1773" t="str">
            <v>cooki001@rbwm.org.uk</v>
          </cell>
          <cell r="P1773">
            <v>40961</v>
          </cell>
        </row>
        <row r="1774">
          <cell r="A1774">
            <v>3833363</v>
          </cell>
          <cell r="B1774">
            <v>108017</v>
          </cell>
          <cell r="C1774">
            <v>383</v>
          </cell>
          <cell r="D1774" t="str">
            <v>Leeds</v>
          </cell>
          <cell r="E1774">
            <v>3363</v>
          </cell>
          <cell r="F1774" t="str">
            <v>Tony Bretherick</v>
          </cell>
          <cell r="G1774" t="str">
            <v>St Peter and Paul Catholic Primary School, Yeadon</v>
          </cell>
          <cell r="H1774" t="str">
            <v>Yorkshire and the Humber</v>
          </cell>
          <cell r="I1774" t="str">
            <v>New Road</v>
          </cell>
          <cell r="J1774" t="str">
            <v>Yeadon</v>
          </cell>
          <cell r="L1774" t="str">
            <v>Leeds</v>
          </cell>
          <cell r="M1774" t="str">
            <v>West Yorkshire</v>
          </cell>
          <cell r="N1774" t="str">
            <v>LS19 7HW</v>
          </cell>
          <cell r="O1774" t="str">
            <v>toddd01@leedslearning.net</v>
          </cell>
          <cell r="P1774">
            <v>41225</v>
          </cell>
        </row>
        <row r="1775">
          <cell r="A1775">
            <v>9364763</v>
          </cell>
          <cell r="B1775">
            <v>125280</v>
          </cell>
          <cell r="C1775">
            <v>936</v>
          </cell>
          <cell r="D1775" t="str">
            <v>Surrey</v>
          </cell>
          <cell r="E1775">
            <v>4763</v>
          </cell>
          <cell r="F1775" t="str">
            <v>Eric Mcewen</v>
          </cell>
          <cell r="G1775" t="str">
            <v>The Bishop Wand Church of England School</v>
          </cell>
          <cell r="H1775" t="str">
            <v>South East</v>
          </cell>
          <cell r="I1775" t="str">
            <v>Laytons Lane</v>
          </cell>
          <cell r="L1775" t="str">
            <v>Sunbury-on-Thames</v>
          </cell>
          <cell r="M1775" t="str">
            <v>Surrey</v>
          </cell>
          <cell r="N1775" t="str">
            <v>TW16 6LT</v>
          </cell>
          <cell r="O1775" t="str">
            <v xml:space="preserve"> tmiller@bishopwand.surrey.sch.uk</v>
          </cell>
          <cell r="P1775">
            <v>40968</v>
          </cell>
        </row>
        <row r="1776">
          <cell r="A1776">
            <v>8505204</v>
          </cell>
          <cell r="B1776">
            <v>116484</v>
          </cell>
          <cell r="C1776">
            <v>850</v>
          </cell>
          <cell r="D1776" t="str">
            <v>Hampshire</v>
          </cell>
          <cell r="E1776">
            <v>5204</v>
          </cell>
          <cell r="F1776" t="str">
            <v>Sarah Nairne</v>
          </cell>
          <cell r="G1776" t="str">
            <v>St Joseph's Catholic Primary School</v>
          </cell>
          <cell r="H1776" t="str">
            <v>South East</v>
          </cell>
          <cell r="I1776" t="str">
            <v>Bridge Road</v>
          </cell>
          <cell r="L1776" t="str">
            <v>Aldershot</v>
          </cell>
          <cell r="M1776" t="str">
            <v>Hampshire</v>
          </cell>
          <cell r="N1776" t="str">
            <v>GU11 3DD</v>
          </cell>
          <cell r="O1776" t="str">
            <v>head@st-josephs.hants.sch.uk</v>
          </cell>
          <cell r="P1776">
            <v>40683</v>
          </cell>
        </row>
        <row r="1777">
          <cell r="A1777">
            <v>3802087</v>
          </cell>
          <cell r="B1777">
            <v>107240</v>
          </cell>
          <cell r="C1777">
            <v>380</v>
          </cell>
          <cell r="D1777" t="str">
            <v>Bradford</v>
          </cell>
          <cell r="E1777">
            <v>2087</v>
          </cell>
          <cell r="F1777" t="str">
            <v>Glyn Newton</v>
          </cell>
          <cell r="G1777" t="str">
            <v>Carrwood Primary School</v>
          </cell>
          <cell r="H1777" t="str">
            <v>Yorkshire and the Humber</v>
          </cell>
          <cell r="I1777" t="str">
            <v>Eversley Drive</v>
          </cell>
          <cell r="J1777" t="str">
            <v>Holme Wood</v>
          </cell>
          <cell r="L1777" t="str">
            <v>Bradford</v>
          </cell>
          <cell r="M1777" t="str">
            <v>West Yorkshire</v>
          </cell>
          <cell r="N1777" t="str">
            <v>BD4 0EQ</v>
          </cell>
          <cell r="O1777" t="str">
            <v>hilary.beards@carrwood.bradford.sch.uk</v>
          </cell>
        </row>
        <row r="1778">
          <cell r="A1778">
            <v>3144011</v>
          </cell>
          <cell r="B1778">
            <v>102603</v>
          </cell>
          <cell r="C1778">
            <v>314</v>
          </cell>
          <cell r="D1778" t="str">
            <v>Kingston upon Thames</v>
          </cell>
          <cell r="E1778">
            <v>4011</v>
          </cell>
          <cell r="F1778" t="str">
            <v>Bola Bakrin</v>
          </cell>
          <cell r="G1778" t="str">
            <v>Tolworth Girls' School and Centre for Continuing Education</v>
          </cell>
          <cell r="H1778" t="str">
            <v>London</v>
          </cell>
          <cell r="I1778" t="str">
            <v>Fullers Way North</v>
          </cell>
          <cell r="L1778" t="str">
            <v>Surbiton</v>
          </cell>
          <cell r="M1778" t="str">
            <v>Surrey</v>
          </cell>
          <cell r="N1778" t="str">
            <v>KT6 7LQ</v>
          </cell>
          <cell r="O1778" t="str">
            <v>siobhan.lowe@rbksch.org</v>
          </cell>
          <cell r="P1778">
            <v>40585</v>
          </cell>
        </row>
        <row r="1779">
          <cell r="A1779">
            <v>9365417</v>
          </cell>
          <cell r="B1779">
            <v>131386</v>
          </cell>
          <cell r="C1779">
            <v>936</v>
          </cell>
          <cell r="D1779" t="str">
            <v>Surrey</v>
          </cell>
          <cell r="E1779">
            <v>5417</v>
          </cell>
          <cell r="F1779" t="str">
            <v>Tony Dunne</v>
          </cell>
          <cell r="G1779" t="str">
            <v>Blenheim High School</v>
          </cell>
          <cell r="H1779" t="str">
            <v>South East</v>
          </cell>
          <cell r="I1779" t="str">
            <v>Longmead Road</v>
          </cell>
          <cell r="L1779" t="str">
            <v>Epsom</v>
          </cell>
          <cell r="M1779" t="str">
            <v>Surrey</v>
          </cell>
          <cell r="N1779" t="str">
            <v>KT19 9BH</v>
          </cell>
          <cell r="O1779" t="str">
            <v>headteacher@blenheim.surrey.sch.uk</v>
          </cell>
          <cell r="P1779">
            <v>40689</v>
          </cell>
        </row>
        <row r="1780">
          <cell r="A1780">
            <v>8522001</v>
          </cell>
          <cell r="B1780">
            <v>132025</v>
          </cell>
          <cell r="C1780">
            <v>852</v>
          </cell>
          <cell r="D1780" t="str">
            <v>Southampton</v>
          </cell>
          <cell r="E1780">
            <v>2001</v>
          </cell>
          <cell r="F1780" t="str">
            <v>Lindsay Morris</v>
          </cell>
          <cell r="G1780" t="str">
            <v>Valentine Infant School</v>
          </cell>
          <cell r="H1780" t="str">
            <v>South East</v>
          </cell>
          <cell r="I1780" t="str">
            <v>Valentine Avenue</v>
          </cell>
          <cell r="J1780" t="str">
            <v>Sholing</v>
          </cell>
          <cell r="L1780" t="str">
            <v>Southampton</v>
          </cell>
          <cell r="M1780" t="str">
            <v>Hampshire</v>
          </cell>
          <cell r="N1780" t="str">
            <v>SO19 0EQ</v>
          </cell>
          <cell r="O1780" t="str">
            <v>head@valentine.southampton.sch.uk</v>
          </cell>
        </row>
        <row r="1781">
          <cell r="A1781">
            <v>8552161</v>
          </cell>
          <cell r="B1781">
            <v>119970</v>
          </cell>
          <cell r="C1781">
            <v>855</v>
          </cell>
          <cell r="D1781" t="str">
            <v>Leicestershire</v>
          </cell>
          <cell r="E1781">
            <v>2161</v>
          </cell>
          <cell r="F1781" t="str">
            <v>Sue Harp</v>
          </cell>
          <cell r="G1781" t="str">
            <v>The Merton Primary School</v>
          </cell>
          <cell r="H1781" t="str">
            <v>East Midlands</v>
          </cell>
          <cell r="I1781" t="str">
            <v>Cherry Drive</v>
          </cell>
          <cell r="J1781" t="str">
            <v>Syston</v>
          </cell>
          <cell r="L1781" t="str">
            <v>Leicester</v>
          </cell>
          <cell r="M1781" t="str">
            <v>Leicestershire</v>
          </cell>
          <cell r="N1781" t="str">
            <v>LE7 2PT</v>
          </cell>
          <cell r="O1781" t="str">
            <v>sthomson@merton.leics.sch.uk</v>
          </cell>
          <cell r="P1781">
            <v>40977</v>
          </cell>
        </row>
        <row r="1782">
          <cell r="A1782">
            <v>3575400</v>
          </cell>
          <cell r="B1782">
            <v>106273</v>
          </cell>
          <cell r="C1782">
            <v>357</v>
          </cell>
          <cell r="D1782" t="str">
            <v>Tameside</v>
          </cell>
          <cell r="E1782">
            <v>5400</v>
          </cell>
          <cell r="F1782" t="str">
            <v>Linda Tiley</v>
          </cell>
          <cell r="G1782" t="str">
            <v>Audenshaw School</v>
          </cell>
          <cell r="H1782" t="str">
            <v>North West</v>
          </cell>
          <cell r="I1782" t="str">
            <v>Hazel Street</v>
          </cell>
          <cell r="J1782" t="str">
            <v>Audenshaw</v>
          </cell>
          <cell r="L1782" t="str">
            <v>Manchester</v>
          </cell>
          <cell r="N1782" t="str">
            <v>M34 5NB</v>
          </cell>
          <cell r="O1782" t="str">
            <v>turners@audenshaw.tameside.sch.uk</v>
          </cell>
          <cell r="P1782">
            <v>40351</v>
          </cell>
        </row>
        <row r="1783">
          <cell r="A1783">
            <v>8743384</v>
          </cell>
          <cell r="B1783">
            <v>134461</v>
          </cell>
          <cell r="C1783">
            <v>874</v>
          </cell>
          <cell r="D1783" t="str">
            <v>Peterborough</v>
          </cell>
          <cell r="E1783">
            <v>3384</v>
          </cell>
          <cell r="F1783" t="str">
            <v>Aminat Alli</v>
          </cell>
          <cell r="G1783" t="str">
            <v>Fulbridge Primary School</v>
          </cell>
          <cell r="H1783" t="str">
            <v>East of England</v>
          </cell>
          <cell r="I1783" t="str">
            <v>Keeton Road</v>
          </cell>
          <cell r="L1783" t="str">
            <v>Peterborough</v>
          </cell>
          <cell r="M1783" t="str">
            <v>Cambridgeshire</v>
          </cell>
          <cell r="N1783" t="str">
            <v>PE1 3JQ</v>
          </cell>
          <cell r="O1783" t="str">
            <v>head@fulbridgeschool.co.uk</v>
          </cell>
          <cell r="P1783">
            <v>41058</v>
          </cell>
        </row>
        <row r="1784">
          <cell r="A1784">
            <v>8234034</v>
          </cell>
          <cell r="B1784">
            <v>109652</v>
          </cell>
          <cell r="C1784">
            <v>823</v>
          </cell>
          <cell r="D1784" t="str">
            <v>Central Bedfordshire</v>
          </cell>
          <cell r="E1784">
            <v>4034</v>
          </cell>
          <cell r="F1784" t="str">
            <v>Joe Farrell</v>
          </cell>
          <cell r="G1784" t="str">
            <v>Robert Bloomfield Middle School</v>
          </cell>
          <cell r="H1784" t="str">
            <v>East of England</v>
          </cell>
          <cell r="I1784" t="str">
            <v>Bloomfield Drive</v>
          </cell>
          <cell r="L1784" t="str">
            <v>Shefford</v>
          </cell>
          <cell r="M1784" t="str">
            <v>Bedfordshire</v>
          </cell>
          <cell r="N1784" t="str">
            <v>SG17 5BU</v>
          </cell>
          <cell r="O1784" t="str">
            <v>arogers@bf5.md.e2bn.net</v>
          </cell>
          <cell r="P1784">
            <v>40497</v>
          </cell>
        </row>
        <row r="1785">
          <cell r="A1785">
            <v>3503009</v>
          </cell>
          <cell r="B1785">
            <v>105206</v>
          </cell>
          <cell r="C1785">
            <v>350</v>
          </cell>
          <cell r="D1785" t="str">
            <v>Bolton</v>
          </cell>
          <cell r="E1785">
            <v>3009</v>
          </cell>
          <cell r="F1785" t="str">
            <v>Felicity Price</v>
          </cell>
          <cell r="G1785" t="str">
            <v>St Paul's CofE Primary School, Astley Bridge</v>
          </cell>
          <cell r="H1785" t="str">
            <v>North West</v>
          </cell>
          <cell r="I1785" t="str">
            <v>Newnham Street</v>
          </cell>
          <cell r="J1785" t="str">
            <v>Astley Bridge</v>
          </cell>
          <cell r="L1785" t="str">
            <v>Bolton</v>
          </cell>
          <cell r="M1785" t="str">
            <v>Lancashire</v>
          </cell>
          <cell r="N1785" t="str">
            <v>BL1 8QA</v>
          </cell>
          <cell r="O1785" t="str">
            <v>kb@st-pauls.bolton.sch.uk</v>
          </cell>
          <cell r="P1785">
            <v>40956</v>
          </cell>
        </row>
        <row r="1786">
          <cell r="A1786">
            <v>8304000</v>
          </cell>
          <cell r="B1786">
            <v>112930</v>
          </cell>
          <cell r="C1786">
            <v>830</v>
          </cell>
          <cell r="D1786" t="str">
            <v>Derbyshire</v>
          </cell>
          <cell r="E1786">
            <v>4000</v>
          </cell>
          <cell r="F1786" t="str">
            <v>Stephen Standret</v>
          </cell>
          <cell r="G1786" t="str">
            <v>Swanwick Hall School</v>
          </cell>
          <cell r="H1786" t="str">
            <v>East Midlands</v>
          </cell>
          <cell r="I1786" t="str">
            <v>Derby Road</v>
          </cell>
          <cell r="J1786" t="str">
            <v>Swanwick</v>
          </cell>
          <cell r="L1786" t="str">
            <v>Alfreton</v>
          </cell>
          <cell r="M1786" t="str">
            <v>Derbyshire</v>
          </cell>
          <cell r="N1786" t="str">
            <v>DE55 1AE</v>
          </cell>
        </row>
        <row r="1787">
          <cell r="A1787">
            <v>8253326</v>
          </cell>
          <cell r="B1787">
            <v>110458</v>
          </cell>
          <cell r="C1787">
            <v>825</v>
          </cell>
          <cell r="D1787" t="str">
            <v>Buckinghamshire</v>
          </cell>
          <cell r="E1787">
            <v>3326</v>
          </cell>
          <cell r="F1787" t="str">
            <v>Darren Francis</v>
          </cell>
          <cell r="G1787" t="str">
            <v>Seer Green Church of England Combined School</v>
          </cell>
          <cell r="H1787" t="str">
            <v>South East</v>
          </cell>
          <cell r="I1787" t="str">
            <v>School Lane</v>
          </cell>
          <cell r="J1787" t="str">
            <v>Seer Green</v>
          </cell>
          <cell r="L1787" t="str">
            <v>Beaconsfield</v>
          </cell>
          <cell r="M1787" t="str">
            <v>Buckinghamshire</v>
          </cell>
          <cell r="N1787" t="str">
            <v>HP9 2QJ</v>
          </cell>
          <cell r="O1787" t="str">
            <v>head@seergreen.bucks.sch.uk</v>
          </cell>
          <cell r="P1787">
            <v>41109</v>
          </cell>
        </row>
        <row r="1788">
          <cell r="A1788">
            <v>9374236</v>
          </cell>
          <cell r="B1788">
            <v>125747</v>
          </cell>
          <cell r="C1788">
            <v>937</v>
          </cell>
          <cell r="D1788" t="str">
            <v>Warwickshire</v>
          </cell>
          <cell r="E1788">
            <v>4236</v>
          </cell>
          <cell r="F1788" t="str">
            <v>Carla Spink</v>
          </cell>
          <cell r="G1788" t="str">
            <v>Kenilworth School and Sports College</v>
          </cell>
          <cell r="H1788" t="str">
            <v>West Midlands</v>
          </cell>
          <cell r="I1788" t="str">
            <v>Leyes Lane</v>
          </cell>
          <cell r="L1788" t="str">
            <v>Kenilworth</v>
          </cell>
          <cell r="M1788" t="str">
            <v>Warwickshire</v>
          </cell>
          <cell r="N1788" t="str">
            <v>CV8 2DA</v>
          </cell>
          <cell r="O1788" t="str">
            <v>ks.haab@ksn.org.uk</v>
          </cell>
        </row>
        <row r="1789">
          <cell r="A1789">
            <v>9364619</v>
          </cell>
          <cell r="B1789">
            <v>125276</v>
          </cell>
          <cell r="C1789">
            <v>936</v>
          </cell>
          <cell r="D1789" t="str">
            <v>Surrey</v>
          </cell>
          <cell r="E1789">
            <v>4619</v>
          </cell>
          <cell r="F1789" t="str">
            <v>Gabriela Grimley</v>
          </cell>
          <cell r="G1789" t="str">
            <v>St Peter's Catholic School</v>
          </cell>
          <cell r="H1789" t="str">
            <v>South East</v>
          </cell>
          <cell r="I1789" t="str">
            <v>Horseshoe Lane East</v>
          </cell>
          <cell r="J1789" t="str">
            <v>Merrow</v>
          </cell>
          <cell r="L1789" t="str">
            <v>Guildford</v>
          </cell>
          <cell r="M1789" t="str">
            <v>Surrey</v>
          </cell>
          <cell r="N1789" t="str">
            <v>GU1 2TN</v>
          </cell>
        </row>
        <row r="1790">
          <cell r="A1790">
            <v>2053368</v>
          </cell>
          <cell r="B1790">
            <v>100346</v>
          </cell>
          <cell r="C1790">
            <v>205</v>
          </cell>
          <cell r="D1790" t="str">
            <v>Hammersmith and Fulham</v>
          </cell>
          <cell r="E1790">
            <v>3368</v>
          </cell>
          <cell r="F1790" t="str">
            <v>Allan Thomson</v>
          </cell>
          <cell r="G1790" t="str">
            <v>John Betts Primary School</v>
          </cell>
          <cell r="H1790" t="str">
            <v>London</v>
          </cell>
          <cell r="I1790" t="str">
            <v>Paddenswick Road</v>
          </cell>
          <cell r="L1790" t="str">
            <v>London</v>
          </cell>
          <cell r="N1790" t="str">
            <v>W6 0UA</v>
          </cell>
          <cell r="O1790" t="str">
            <v>admin@johnbetts.lbhf.sch.uk</v>
          </cell>
        </row>
        <row r="1791">
          <cell r="A1791">
            <v>3434108</v>
          </cell>
          <cell r="B1791">
            <v>104954</v>
          </cell>
          <cell r="C1791">
            <v>343</v>
          </cell>
          <cell r="D1791" t="str">
            <v>Sefton</v>
          </cell>
          <cell r="E1791">
            <v>4108</v>
          </cell>
          <cell r="F1791" t="str">
            <v>Maria Sabberton</v>
          </cell>
          <cell r="G1791" t="str">
            <v>Birkdale High School</v>
          </cell>
          <cell r="H1791" t="str">
            <v>North West</v>
          </cell>
          <cell r="I1791" t="str">
            <v>Windy Harbour Road</v>
          </cell>
          <cell r="J1791" t="str">
            <v>Birkdale</v>
          </cell>
          <cell r="L1791" t="str">
            <v>Southport</v>
          </cell>
          <cell r="M1791" t="str">
            <v>Merseyside</v>
          </cell>
          <cell r="N1791" t="str">
            <v>PR8 3DT</v>
          </cell>
          <cell r="P1791">
            <v>40588</v>
          </cell>
        </row>
        <row r="1792">
          <cell r="A1792">
            <v>2034243</v>
          </cell>
          <cell r="B1792">
            <v>100185</v>
          </cell>
          <cell r="C1792">
            <v>203</v>
          </cell>
          <cell r="D1792" t="str">
            <v>Greenwich</v>
          </cell>
          <cell r="E1792">
            <v>4243</v>
          </cell>
          <cell r="F1792" t="str">
            <v>Bola Bakrin</v>
          </cell>
          <cell r="G1792" t="str">
            <v>Kidbrooke School</v>
          </cell>
          <cell r="H1792" t="str">
            <v>London</v>
          </cell>
          <cell r="I1792" t="str">
            <v>Corelli Road</v>
          </cell>
          <cell r="J1792" t="str">
            <v>Shooters Hill Road</v>
          </cell>
          <cell r="L1792" t="str">
            <v>London</v>
          </cell>
          <cell r="N1792" t="str">
            <v>SE3 8EP</v>
          </cell>
          <cell r="O1792" t="str">
            <v>tjaffe@kidbrooke.greenwich.sch.uk</v>
          </cell>
          <cell r="P1792">
            <v>40585</v>
          </cell>
        </row>
        <row r="1793">
          <cell r="A1793">
            <v>3184603</v>
          </cell>
          <cell r="B1793">
            <v>102929</v>
          </cell>
          <cell r="C1793">
            <v>318</v>
          </cell>
          <cell r="D1793" t="str">
            <v>Richmond upon Thames</v>
          </cell>
          <cell r="E1793">
            <v>4603</v>
          </cell>
          <cell r="F1793" t="str">
            <v>Tahir Shams</v>
          </cell>
          <cell r="G1793" t="str">
            <v>Christ's Church of England Comprehensive Secondary</v>
          </cell>
          <cell r="H1793" t="str">
            <v>London</v>
          </cell>
          <cell r="I1793" t="str">
            <v>Queens Road</v>
          </cell>
          <cell r="L1793" t="str">
            <v>Richmond</v>
          </cell>
          <cell r="M1793" t="str">
            <v>Surrey</v>
          </cell>
          <cell r="N1793" t="str">
            <v>TW10 6HW</v>
          </cell>
          <cell r="O1793" t="str">
            <v>rburke@christs.richmond.sch.uk</v>
          </cell>
        </row>
        <row r="1794">
          <cell r="A1794">
            <v>8813460</v>
          </cell>
          <cell r="B1794">
            <v>115162</v>
          </cell>
          <cell r="C1794">
            <v>881</v>
          </cell>
          <cell r="D1794" t="str">
            <v>Essex</v>
          </cell>
          <cell r="E1794">
            <v>3460</v>
          </cell>
          <cell r="F1794" t="str">
            <v>David Rudd</v>
          </cell>
          <cell r="G1794" t="str">
            <v>Stisted Church of England Voluntary Aided Primary School</v>
          </cell>
          <cell r="H1794" t="str">
            <v>East of England</v>
          </cell>
          <cell r="I1794" t="str">
            <v>The Street</v>
          </cell>
          <cell r="J1794" t="str">
            <v>Stisted</v>
          </cell>
          <cell r="L1794" t="str">
            <v>Braintree</v>
          </cell>
          <cell r="M1794" t="str">
            <v>Essex</v>
          </cell>
          <cell r="N1794" t="str">
            <v>CM77 8AN</v>
          </cell>
          <cell r="O1794" t="str">
            <v>admin@stisted.essex.sch.uk</v>
          </cell>
          <cell r="P1794">
            <v>40717</v>
          </cell>
        </row>
        <row r="1795">
          <cell r="A1795">
            <v>9194499</v>
          </cell>
          <cell r="B1795">
            <v>117552</v>
          </cell>
          <cell r="C1795">
            <v>919</v>
          </cell>
          <cell r="D1795" t="str">
            <v>Hertfordshire</v>
          </cell>
          <cell r="E1795">
            <v>4499</v>
          </cell>
          <cell r="F1795" t="str">
            <v>Joe Farrell</v>
          </cell>
          <cell r="G1795" t="str">
            <v>The Astley Cooper School</v>
          </cell>
          <cell r="H1795" t="str">
            <v>East of England</v>
          </cell>
          <cell r="I1795" t="str">
            <v>St Agnell's Lane</v>
          </cell>
          <cell r="L1795" t="str">
            <v>Hemel Hempstead</v>
          </cell>
          <cell r="M1795" t="str">
            <v>Hertfordshire</v>
          </cell>
          <cell r="N1795" t="str">
            <v>HP2 7HL</v>
          </cell>
          <cell r="O1795" t="str">
            <v>head@astleycooper.herts.sch.uk</v>
          </cell>
        </row>
        <row r="1796">
          <cell r="A1796">
            <v>8865200</v>
          </cell>
          <cell r="B1796">
            <v>118846</v>
          </cell>
          <cell r="C1796">
            <v>886</v>
          </cell>
          <cell r="D1796" t="str">
            <v>Kent</v>
          </cell>
          <cell r="E1796">
            <v>5200</v>
          </cell>
          <cell r="G1796" t="str">
            <v>Snodland Church of England Primary School</v>
          </cell>
          <cell r="H1796" t="str">
            <v>South East</v>
          </cell>
          <cell r="I1796" t="str">
            <v>Roberts Road</v>
          </cell>
          <cell r="L1796" t="str">
            <v>Snodland</v>
          </cell>
          <cell r="M1796" t="str">
            <v>Kent</v>
          </cell>
          <cell r="N1796" t="str">
            <v>ME6 5HL</v>
          </cell>
          <cell r="O1796" t="str">
            <v>headteacher@snodland.kent.sch.uk</v>
          </cell>
        </row>
        <row r="1797">
          <cell r="A1797">
            <v>8404171</v>
          </cell>
          <cell r="B1797">
            <v>114302</v>
          </cell>
          <cell r="C1797">
            <v>840</v>
          </cell>
          <cell r="D1797" t="str">
            <v>Durham</v>
          </cell>
          <cell r="E1797">
            <v>4171</v>
          </cell>
          <cell r="F1797" t="str">
            <v>Jane Moore</v>
          </cell>
          <cell r="G1797" t="str">
            <v>Staindrop School A Business and Enterprise College</v>
          </cell>
          <cell r="H1797" t="str">
            <v>North East</v>
          </cell>
          <cell r="I1797" t="str">
            <v>Cleatlam Lane</v>
          </cell>
          <cell r="J1797" t="str">
            <v>Staindrop</v>
          </cell>
          <cell r="L1797" t="str">
            <v>Darlington</v>
          </cell>
          <cell r="M1797" t="str">
            <v>County Durham</v>
          </cell>
          <cell r="N1797" t="str">
            <v>DL2 3JU</v>
          </cell>
          <cell r="O1797" t="str">
            <v>a.flint@staindropschool.com</v>
          </cell>
          <cell r="P1797">
            <v>40605</v>
          </cell>
        </row>
        <row r="1798">
          <cell r="A1798">
            <v>9082745</v>
          </cell>
          <cell r="B1798">
            <v>111981</v>
          </cell>
          <cell r="C1798">
            <v>908</v>
          </cell>
          <cell r="D1798" t="str">
            <v>Cornwall</v>
          </cell>
          <cell r="E1798">
            <v>2745</v>
          </cell>
          <cell r="F1798" t="str">
            <v>Ali Bushell</v>
          </cell>
          <cell r="G1798" t="str">
            <v>Biscovey Junior School</v>
          </cell>
          <cell r="H1798" t="str">
            <v>South West</v>
          </cell>
          <cell r="I1798" t="str">
            <v>Lamellyn Road</v>
          </cell>
          <cell r="L1798" t="str">
            <v>Par</v>
          </cell>
          <cell r="M1798" t="str">
            <v>Cornwall</v>
          </cell>
          <cell r="N1798" t="str">
            <v>PL24 2DB</v>
          </cell>
          <cell r="O1798" t="str">
            <v>head@biscovey-jnr.cornwall.sch.uk</v>
          </cell>
          <cell r="P1798">
            <v>40732</v>
          </cell>
        </row>
        <row r="1799">
          <cell r="A1799">
            <v>9193359</v>
          </cell>
          <cell r="B1799">
            <v>117447</v>
          </cell>
          <cell r="C1799">
            <v>919</v>
          </cell>
          <cell r="D1799" t="str">
            <v>Hertfordshire</v>
          </cell>
          <cell r="E1799">
            <v>3359</v>
          </cell>
          <cell r="G1799" t="str">
            <v>St Mary's Church of England Primary School, Rickmansworth</v>
          </cell>
          <cell r="H1799" t="str">
            <v>East of England</v>
          </cell>
          <cell r="I1799" t="str">
            <v>Stockers Farm Road</v>
          </cell>
          <cell r="L1799" t="str">
            <v>Rickmansworth</v>
          </cell>
          <cell r="M1799" t="str">
            <v>Hertfordshire</v>
          </cell>
          <cell r="N1799" t="str">
            <v>WD3 1NY</v>
          </cell>
          <cell r="O1799" t="str">
            <v>head@stmarys698.herts.sch.uk</v>
          </cell>
        </row>
        <row r="1800">
          <cell r="A1800">
            <v>8934503</v>
          </cell>
          <cell r="B1800">
            <v>123589</v>
          </cell>
          <cell r="C1800">
            <v>893</v>
          </cell>
          <cell r="D1800" t="str">
            <v>Shropshire</v>
          </cell>
          <cell r="E1800">
            <v>4503</v>
          </cell>
          <cell r="F1800" t="str">
            <v>Susan Shakespeare</v>
          </cell>
          <cell r="G1800" t="str">
            <v>The Thomas Adams School, Wem</v>
          </cell>
          <cell r="H1800" t="str">
            <v>West Midlands</v>
          </cell>
          <cell r="I1800" t="str">
            <v>Lowe Hill</v>
          </cell>
          <cell r="J1800" t="str">
            <v>Wem</v>
          </cell>
          <cell r="L1800" t="str">
            <v>Shrewsbury</v>
          </cell>
          <cell r="M1800" t="str">
            <v>Shropshire</v>
          </cell>
          <cell r="N1800" t="str">
            <v>SY4 5UB</v>
          </cell>
          <cell r="O1800" t="str">
            <v>hemming.n@shropshirelg.net</v>
          </cell>
          <cell r="P1800">
            <v>41228</v>
          </cell>
        </row>
        <row r="1801">
          <cell r="A1801">
            <v>8235400</v>
          </cell>
          <cell r="B1801">
            <v>109704</v>
          </cell>
          <cell r="C1801">
            <v>823</v>
          </cell>
          <cell r="D1801" t="str">
            <v>Central Bedfordshire</v>
          </cell>
          <cell r="E1801">
            <v>5400</v>
          </cell>
          <cell r="F1801" t="str">
            <v>Alan Large</v>
          </cell>
          <cell r="G1801" t="str">
            <v>Queensbury Upper School</v>
          </cell>
          <cell r="H1801" t="str">
            <v>East of England</v>
          </cell>
          <cell r="I1801" t="str">
            <v>Langdale Road</v>
          </cell>
          <cell r="L1801" t="str">
            <v>Dunstable</v>
          </cell>
          <cell r="M1801" t="str">
            <v>Bedfordshire</v>
          </cell>
          <cell r="N1801" t="str">
            <v>LU6 3BU</v>
          </cell>
        </row>
        <row r="1802">
          <cell r="A1802">
            <v>8803120</v>
          </cell>
          <cell r="B1802">
            <v>113402</v>
          </cell>
          <cell r="C1802">
            <v>880</v>
          </cell>
          <cell r="D1802" t="str">
            <v>Torbay</v>
          </cell>
          <cell r="E1802">
            <v>3120</v>
          </cell>
          <cell r="F1802" t="str">
            <v>Theresa Oddelm</v>
          </cell>
          <cell r="G1802" t="str">
            <v>Upton St James CofE Primary School</v>
          </cell>
          <cell r="H1802" t="str">
            <v>South West</v>
          </cell>
          <cell r="I1802" t="str">
            <v>St James Road</v>
          </cell>
          <cell r="J1802" t="str">
            <v>Upton</v>
          </cell>
          <cell r="L1802" t="str">
            <v>Torquay</v>
          </cell>
          <cell r="M1802" t="str">
            <v>Devon</v>
          </cell>
          <cell r="N1802" t="str">
            <v>TQ1 4AZ</v>
          </cell>
          <cell r="O1802" t="str">
            <v>cprynn@upton-st-james-primary.torbay.sch.uk</v>
          </cell>
          <cell r="P1802">
            <v>41226</v>
          </cell>
        </row>
        <row r="1803">
          <cell r="A1803">
            <v>9333361</v>
          </cell>
          <cell r="B1803">
            <v>123842</v>
          </cell>
          <cell r="C1803">
            <v>933</v>
          </cell>
          <cell r="D1803" t="str">
            <v>Somerset</v>
          </cell>
          <cell r="E1803">
            <v>3361</v>
          </cell>
          <cell r="F1803" t="str">
            <v>Ali Bushell</v>
          </cell>
          <cell r="G1803" t="str">
            <v>St Joseph and St Teresa Catholic Primary School</v>
          </cell>
          <cell r="H1803" t="str">
            <v>South West</v>
          </cell>
          <cell r="I1803" t="str">
            <v>Lovers Walk</v>
          </cell>
          <cell r="L1803" t="str">
            <v>Wells</v>
          </cell>
          <cell r="M1803" t="str">
            <v>Somerset</v>
          </cell>
          <cell r="N1803" t="str">
            <v>BA5 2QL</v>
          </cell>
        </row>
        <row r="1804">
          <cell r="A1804">
            <v>9363924</v>
          </cell>
          <cell r="B1804">
            <v>125242</v>
          </cell>
          <cell r="C1804">
            <v>936</v>
          </cell>
          <cell r="D1804" t="str">
            <v>Surrey</v>
          </cell>
          <cell r="E1804">
            <v>3924</v>
          </cell>
          <cell r="F1804" t="str">
            <v>Not yet assigned</v>
          </cell>
          <cell r="G1804" t="str">
            <v>St Bartholomew's C of E (VA) Primary School</v>
          </cell>
          <cell r="H1804" t="str">
            <v>South East</v>
          </cell>
          <cell r="I1804" t="str">
            <v>Derby Road</v>
          </cell>
          <cell r="L1804" t="str">
            <v>Haslemere</v>
          </cell>
          <cell r="M1804" t="str">
            <v>Surrey</v>
          </cell>
          <cell r="N1804" t="str">
            <v>GU27 1BP</v>
          </cell>
          <cell r="O1804" t="str">
            <v>info@stbartholomews.surrey.sch.uk</v>
          </cell>
        </row>
        <row r="1805">
          <cell r="A1805">
            <v>9165420</v>
          </cell>
          <cell r="B1805">
            <v>115771</v>
          </cell>
          <cell r="C1805">
            <v>916</v>
          </cell>
          <cell r="D1805" t="str">
            <v>Gloucestershire</v>
          </cell>
          <cell r="E1805">
            <v>5420</v>
          </cell>
          <cell r="F1805" t="str">
            <v>Nigel Mills</v>
          </cell>
          <cell r="G1805" t="str">
            <v>Cirencester Deer Park School</v>
          </cell>
          <cell r="H1805" t="str">
            <v>South West</v>
          </cell>
          <cell r="I1805" t="str">
            <v>Stroud Road</v>
          </cell>
          <cell r="L1805" t="str">
            <v>Cirencester</v>
          </cell>
          <cell r="M1805" t="str">
            <v>Gloucestershire</v>
          </cell>
          <cell r="N1805" t="str">
            <v>GL7 1XB</v>
          </cell>
          <cell r="O1805" t="str">
            <v>chiquita.henson@deerparkschool.net</v>
          </cell>
          <cell r="P1805">
            <v>40529</v>
          </cell>
        </row>
        <row r="1806">
          <cell r="A1806">
            <v>3195403</v>
          </cell>
          <cell r="B1806">
            <v>103010</v>
          </cell>
          <cell r="C1806">
            <v>319</v>
          </cell>
          <cell r="D1806" t="str">
            <v>Sutton</v>
          </cell>
          <cell r="E1806">
            <v>5403</v>
          </cell>
          <cell r="F1806" t="str">
            <v>Helen Barry</v>
          </cell>
          <cell r="G1806" t="str">
            <v>Cheam High School</v>
          </cell>
          <cell r="H1806" t="str">
            <v>London</v>
          </cell>
          <cell r="I1806" t="str">
            <v>Chatsworth Road</v>
          </cell>
          <cell r="J1806" t="str">
            <v>Cheam</v>
          </cell>
          <cell r="L1806" t="str">
            <v>Sutton</v>
          </cell>
          <cell r="M1806" t="str">
            <v>Surrey</v>
          </cell>
          <cell r="N1806" t="str">
            <v>SM3 8PW</v>
          </cell>
          <cell r="O1806" t="str">
            <v>rallott@suttonlea.org</v>
          </cell>
          <cell r="P1806">
            <v>40619</v>
          </cell>
        </row>
        <row r="1807">
          <cell r="A1807">
            <v>8034124</v>
          </cell>
          <cell r="B1807">
            <v>109300</v>
          </cell>
          <cell r="C1807">
            <v>803</v>
          </cell>
          <cell r="D1807" t="str">
            <v>South Gloucestershire</v>
          </cell>
          <cell r="E1807">
            <v>4124</v>
          </cell>
          <cell r="F1807" t="str">
            <v>Not yet assigned</v>
          </cell>
          <cell r="G1807" t="str">
            <v>Sir Bernard Lovell School</v>
          </cell>
          <cell r="H1807" t="str">
            <v>South West</v>
          </cell>
          <cell r="I1807" t="str">
            <v>North Street</v>
          </cell>
          <cell r="J1807" t="str">
            <v>Oldland Common</v>
          </cell>
          <cell r="L1807" t="str">
            <v>Bristol</v>
          </cell>
          <cell r="N1807" t="str">
            <v>BS30 8TS</v>
          </cell>
          <cell r="O1807" t="str">
            <v>larmstrong@sblonline.org.uk</v>
          </cell>
        </row>
        <row r="1808">
          <cell r="A1808">
            <v>8553340</v>
          </cell>
          <cell r="B1808">
            <v>120214</v>
          </cell>
          <cell r="C1808">
            <v>855</v>
          </cell>
          <cell r="D1808" t="str">
            <v>Leicestershire</v>
          </cell>
          <cell r="E1808">
            <v>3340</v>
          </cell>
          <cell r="F1808" t="str">
            <v>Grant Dyson</v>
          </cell>
          <cell r="G1808" t="str">
            <v>Holy Cross Catholic Primary School, Whitwick, Leicestershire</v>
          </cell>
          <cell r="H1808" t="str">
            <v>East Midlands</v>
          </cell>
          <cell r="I1808" t="str">
            <v>Parsonwood Hill</v>
          </cell>
          <cell r="J1808" t="str">
            <v>Whitwick</v>
          </cell>
          <cell r="L1808" t="str">
            <v>Coalville</v>
          </cell>
          <cell r="M1808" t="str">
            <v>Leicestershire</v>
          </cell>
          <cell r="N1808" t="str">
            <v>LE67 5AT</v>
          </cell>
          <cell r="O1808" t="str">
            <v>admin@whx.leics.sch.uk</v>
          </cell>
          <cell r="P1808">
            <v>41019</v>
          </cell>
        </row>
        <row r="1809">
          <cell r="A1809">
            <v>9254067</v>
          </cell>
          <cell r="B1809">
            <v>120657</v>
          </cell>
          <cell r="C1809">
            <v>925</v>
          </cell>
          <cell r="D1809" t="str">
            <v>Lincolnshire</v>
          </cell>
          <cell r="E1809">
            <v>4067</v>
          </cell>
          <cell r="F1809" t="str">
            <v>Grant Dyson</v>
          </cell>
          <cell r="G1809" t="str">
            <v>Stamford Queen Eleanor Technology College</v>
          </cell>
          <cell r="H1809" t="str">
            <v>East Midlands</v>
          </cell>
          <cell r="I1809" t="str">
            <v>Green Lane</v>
          </cell>
          <cell r="L1809" t="str">
            <v>Stamford</v>
          </cell>
          <cell r="M1809" t="str">
            <v>Lincolnshire</v>
          </cell>
          <cell r="N1809" t="str">
            <v>PE9 1HE</v>
          </cell>
          <cell r="O1809" t="str">
            <v>wendy.hamilton@queen-eleanor.lincs.sch.uk</v>
          </cell>
          <cell r="P1809">
            <v>40742</v>
          </cell>
        </row>
        <row r="1810">
          <cell r="A1810">
            <v>8023122</v>
          </cell>
          <cell r="B1810">
            <v>109224</v>
          </cell>
          <cell r="C1810">
            <v>802</v>
          </cell>
          <cell r="D1810" t="str">
            <v>North Somerset</v>
          </cell>
          <cell r="E1810">
            <v>3122</v>
          </cell>
          <cell r="F1810" t="str">
            <v>Theresa Oddelm</v>
          </cell>
          <cell r="G1810" t="str">
            <v>All Saints East Clevedon Church of England Primary School</v>
          </cell>
          <cell r="H1810" t="str">
            <v>South West</v>
          </cell>
          <cell r="I1810" t="str">
            <v>All Saints Lane</v>
          </cell>
          <cell r="L1810" t="str">
            <v>Clevedon</v>
          </cell>
          <cell r="M1810" t="str">
            <v>Somerset</v>
          </cell>
          <cell r="N1810" t="str">
            <v>BS21 6AU</v>
          </cell>
          <cell r="O1810" t="str">
            <v>stephenwebber39@btinternet.com</v>
          </cell>
        </row>
        <row r="1811">
          <cell r="A1811">
            <v>8604612</v>
          </cell>
          <cell r="B1811">
            <v>124457</v>
          </cell>
          <cell r="C1811">
            <v>860</v>
          </cell>
          <cell r="D1811" t="str">
            <v>Staffordshire</v>
          </cell>
          <cell r="E1811">
            <v>4612</v>
          </cell>
          <cell r="F1811" t="str">
            <v>Alison Middleton</v>
          </cell>
          <cell r="G1811" t="str">
            <v>Christ Church CofE (A) Middle School</v>
          </cell>
          <cell r="H1811" t="str">
            <v>West Midlands</v>
          </cell>
          <cell r="I1811" t="str">
            <v>Old Road</v>
          </cell>
          <cell r="L1811" t="str">
            <v>Stone</v>
          </cell>
          <cell r="M1811" t="str">
            <v>Staffordshire</v>
          </cell>
          <cell r="N1811" t="str">
            <v>ST15 8JD</v>
          </cell>
          <cell r="O1811" t="str">
            <v>headteacher@christchurch-middle.staffs.sch.uk</v>
          </cell>
          <cell r="P1811">
            <v>40589</v>
          </cell>
        </row>
        <row r="1812">
          <cell r="A1812">
            <v>8114625</v>
          </cell>
          <cell r="B1812">
            <v>118116</v>
          </cell>
          <cell r="C1812">
            <v>811</v>
          </cell>
          <cell r="D1812" t="str">
            <v>East Riding of Yorkshire</v>
          </cell>
          <cell r="E1812">
            <v>4625</v>
          </cell>
          <cell r="F1812" t="str">
            <v>Glyn Newton</v>
          </cell>
          <cell r="G1812" t="str">
            <v>Beverley Grammar School</v>
          </cell>
          <cell r="H1812" t="str">
            <v>Yorkshire and the Humber</v>
          </cell>
          <cell r="I1812" t="str">
            <v>Queensgate</v>
          </cell>
          <cell r="L1812" t="str">
            <v>Beverley</v>
          </cell>
          <cell r="N1812" t="str">
            <v>HU17 8NF</v>
          </cell>
          <cell r="O1812" t="str">
            <v>beverleygrammar.secondary@eastriding.gov.uk</v>
          </cell>
          <cell r="P1812">
            <v>40606</v>
          </cell>
        </row>
        <row r="1813">
          <cell r="A1813">
            <v>3842095</v>
          </cell>
          <cell r="B1813">
            <v>108174</v>
          </cell>
          <cell r="C1813">
            <v>384</v>
          </cell>
          <cell r="D1813" t="str">
            <v>Wakefield</v>
          </cell>
          <cell r="E1813">
            <v>2095</v>
          </cell>
          <cell r="F1813" t="str">
            <v>Jayne Turner</v>
          </cell>
          <cell r="G1813" t="str">
            <v>The Rookeries Carleton Junior and Infant School: With Hearing Impairment Resource</v>
          </cell>
          <cell r="H1813" t="str">
            <v>Yorkshire and the Humber</v>
          </cell>
          <cell r="I1813" t="str">
            <v>Carleton Road</v>
          </cell>
          <cell r="J1813" t="str">
            <v>Carleton</v>
          </cell>
          <cell r="L1813" t="str">
            <v>Pontefract</v>
          </cell>
          <cell r="M1813" t="str">
            <v>West Yorkshire</v>
          </cell>
          <cell r="N1813" t="str">
            <v>WF8 3NP</v>
          </cell>
          <cell r="O1813" t="str">
            <v>headteacher@rookeriescarleton.wakefield.sch.uk</v>
          </cell>
          <cell r="P1813">
            <v>41177</v>
          </cell>
        </row>
        <row r="1814">
          <cell r="A1814">
            <v>8783321</v>
          </cell>
          <cell r="B1814">
            <v>113440</v>
          </cell>
          <cell r="C1814">
            <v>878</v>
          </cell>
          <cell r="D1814" t="str">
            <v>Devon</v>
          </cell>
          <cell r="E1814">
            <v>3321</v>
          </cell>
          <cell r="F1814" t="str">
            <v>Susan Phillips</v>
          </cell>
          <cell r="G1814" t="str">
            <v>Woodbury Church of England Primary School</v>
          </cell>
          <cell r="H1814" t="str">
            <v>South West</v>
          </cell>
          <cell r="I1814" t="str">
            <v>Castle Lane</v>
          </cell>
          <cell r="J1814" t="str">
            <v>Woodbury</v>
          </cell>
          <cell r="L1814" t="str">
            <v>Exeter</v>
          </cell>
          <cell r="M1814" t="str">
            <v>Devon</v>
          </cell>
          <cell r="N1814" t="str">
            <v>EX5 1NB</v>
          </cell>
          <cell r="O1814" t="str">
            <v>ntancock@woodbury.devon.sch.uk</v>
          </cell>
        </row>
        <row r="1815">
          <cell r="A1815">
            <v>8504191</v>
          </cell>
          <cell r="B1815">
            <v>116445</v>
          </cell>
          <cell r="C1815">
            <v>850</v>
          </cell>
          <cell r="D1815" t="str">
            <v>Hampshire</v>
          </cell>
          <cell r="E1815">
            <v>4191</v>
          </cell>
          <cell r="F1815" t="str">
            <v>Amanda Barrett</v>
          </cell>
          <cell r="G1815" t="str">
            <v>Crestwood College for Business and Enterprise</v>
          </cell>
          <cell r="H1815" t="str">
            <v>South East</v>
          </cell>
          <cell r="I1815" t="str">
            <v>Shakespeare Road</v>
          </cell>
          <cell r="J1815" t="str">
            <v>Boyatt Wood</v>
          </cell>
          <cell r="L1815" t="str">
            <v>Eastleigh</v>
          </cell>
          <cell r="M1815" t="str">
            <v>Hampshire</v>
          </cell>
          <cell r="N1815" t="str">
            <v>SO50 4FZ</v>
          </cell>
          <cell r="O1815" t="str">
            <v>krista.dawkins@crestwood.hants.sch.uk</v>
          </cell>
        </row>
        <row r="1816">
          <cell r="A1816">
            <v>3815405</v>
          </cell>
          <cell r="B1816">
            <v>107579</v>
          </cell>
          <cell r="C1816">
            <v>381</v>
          </cell>
          <cell r="D1816" t="str">
            <v>Calderdale</v>
          </cell>
          <cell r="E1816">
            <v>5405</v>
          </cell>
          <cell r="F1816" t="str">
            <v>Elinor Harman</v>
          </cell>
          <cell r="G1816" t="str">
            <v>The Brooksbank School</v>
          </cell>
          <cell r="H1816" t="str">
            <v>Yorkshire and the Humber</v>
          </cell>
          <cell r="I1816" t="str">
            <v>Victoria Road</v>
          </cell>
          <cell r="L1816" t="str">
            <v>Elland</v>
          </cell>
          <cell r="M1816" t="str">
            <v>West Yorkshire</v>
          </cell>
          <cell r="N1816" t="str">
            <v>HX5 0QG</v>
          </cell>
          <cell r="O1816" t="str">
            <v xml:space="preserve"> jwatson@bbs.calderdale.sch.uk</v>
          </cell>
          <cell r="P1816">
            <v>40704</v>
          </cell>
        </row>
        <row r="1817">
          <cell r="A1817">
            <v>9253027</v>
          </cell>
          <cell r="B1817">
            <v>120523</v>
          </cell>
          <cell r="C1817">
            <v>925</v>
          </cell>
          <cell r="D1817" t="str">
            <v>Lincolnshire</v>
          </cell>
          <cell r="E1817">
            <v>3027</v>
          </cell>
          <cell r="F1817" t="str">
            <v>Servet Bicer</v>
          </cell>
          <cell r="G1817" t="str">
            <v>Spitalgate C of E Primary School</v>
          </cell>
          <cell r="H1817" t="str">
            <v>East Midlands</v>
          </cell>
          <cell r="I1817" t="str">
            <v>Trent Road</v>
          </cell>
          <cell r="L1817" t="str">
            <v>Grantham</v>
          </cell>
          <cell r="M1817" t="str">
            <v>Lincolnshire</v>
          </cell>
          <cell r="N1817" t="str">
            <v>NG31 7XQ</v>
          </cell>
          <cell r="O1817" t="str">
            <v>trudy.brothwell@wgfederation.com</v>
          </cell>
          <cell r="P1817">
            <v>40357</v>
          </cell>
        </row>
        <row r="1818">
          <cell r="A1818">
            <v>8864092</v>
          </cell>
          <cell r="B1818">
            <v>118804</v>
          </cell>
          <cell r="C1818">
            <v>886</v>
          </cell>
          <cell r="D1818" t="str">
            <v>Kent</v>
          </cell>
          <cell r="E1818">
            <v>4092</v>
          </cell>
          <cell r="F1818" t="str">
            <v>Sarah Mitchell</v>
          </cell>
          <cell r="G1818" t="str">
            <v>Highworth Grammar School for Girls</v>
          </cell>
          <cell r="H1818" t="str">
            <v>South East</v>
          </cell>
          <cell r="I1818" t="str">
            <v>Quantock Drive</v>
          </cell>
          <cell r="L1818" t="str">
            <v>Ashford</v>
          </cell>
          <cell r="M1818" t="str">
            <v>Kent</v>
          </cell>
          <cell r="N1818" t="str">
            <v>TN24 8UD</v>
          </cell>
          <cell r="O1818" t="str">
            <v>p.danielsen@highworth.kent.sch.uk</v>
          </cell>
          <cell r="P1818">
            <v>40374</v>
          </cell>
        </row>
        <row r="1819">
          <cell r="A1819">
            <v>3422051</v>
          </cell>
          <cell r="B1819">
            <v>104773</v>
          </cell>
          <cell r="C1819">
            <v>342</v>
          </cell>
          <cell r="D1819" t="str">
            <v>St. Helens</v>
          </cell>
          <cell r="E1819">
            <v>2051</v>
          </cell>
          <cell r="F1819" t="str">
            <v>Jane McCusker</v>
          </cell>
          <cell r="G1819" t="str">
            <v>Bleak Hill Primary School</v>
          </cell>
          <cell r="H1819" t="str">
            <v>North West</v>
          </cell>
          <cell r="I1819" t="str">
            <v>Hamilton Road</v>
          </cell>
          <cell r="J1819" t="str">
            <v>Windle</v>
          </cell>
          <cell r="L1819" t="str">
            <v>St Helens</v>
          </cell>
          <cell r="M1819" t="str">
            <v>Merseyside</v>
          </cell>
          <cell r="N1819" t="str">
            <v>WA10 6HG</v>
          </cell>
          <cell r="O1819" t="str">
            <v xml:space="preserve"> ian.wellens@sthelens.org.uk</v>
          </cell>
        </row>
        <row r="1820">
          <cell r="A1820">
            <v>9254516</v>
          </cell>
          <cell r="B1820">
            <v>120664</v>
          </cell>
          <cell r="C1820">
            <v>925</v>
          </cell>
          <cell r="D1820" t="str">
            <v>Lincolnshire</v>
          </cell>
          <cell r="E1820">
            <v>4516</v>
          </cell>
          <cell r="F1820" t="str">
            <v>Grant Dyson</v>
          </cell>
          <cell r="G1820" t="str">
            <v>William Lovell Church of England School</v>
          </cell>
          <cell r="H1820" t="str">
            <v>East Midlands</v>
          </cell>
          <cell r="I1820" t="str">
            <v>Main Road</v>
          </cell>
          <cell r="J1820" t="str">
            <v>Stickney</v>
          </cell>
          <cell r="L1820" t="str">
            <v>Boston</v>
          </cell>
          <cell r="M1820" t="str">
            <v>Lincolnshire</v>
          </cell>
          <cell r="N1820" t="str">
            <v>PE22 8AA</v>
          </cell>
          <cell r="O1820" t="str">
            <v>andrew.fulbrook@stickney.lincs.sch.uk</v>
          </cell>
          <cell r="P1820">
            <v>40925</v>
          </cell>
        </row>
        <row r="1821">
          <cell r="A1821">
            <v>3722038</v>
          </cell>
          <cell r="B1821">
            <v>106855</v>
          </cell>
          <cell r="C1821">
            <v>372</v>
          </cell>
          <cell r="D1821" t="str">
            <v>Rotherham</v>
          </cell>
          <cell r="E1821">
            <v>2038</v>
          </cell>
          <cell r="F1821" t="str">
            <v>Glyn Newton</v>
          </cell>
          <cell r="G1821" t="str">
            <v>Rockingham Junior and Infant School</v>
          </cell>
          <cell r="H1821" t="str">
            <v>Yorkshire and the Humber</v>
          </cell>
          <cell r="I1821" t="str">
            <v>Roughwood Road</v>
          </cell>
          <cell r="J1821" t="str">
            <v>Wingfield Estate</v>
          </cell>
          <cell r="L1821" t="str">
            <v>Rotherham</v>
          </cell>
          <cell r="M1821" t="str">
            <v>South Yorkshire</v>
          </cell>
          <cell r="N1821" t="str">
            <v>S61 4HY</v>
          </cell>
          <cell r="O1821" t="str">
            <v>rjihgreen@rgfl.org</v>
          </cell>
        </row>
        <row r="1822">
          <cell r="A1822">
            <v>9255418</v>
          </cell>
          <cell r="B1822">
            <v>120714</v>
          </cell>
          <cell r="C1822">
            <v>925</v>
          </cell>
          <cell r="D1822" t="str">
            <v>Lincolnshire</v>
          </cell>
          <cell r="E1822">
            <v>5418</v>
          </cell>
          <cell r="F1822" t="str">
            <v>Servet Bicer</v>
          </cell>
          <cell r="G1822" t="str">
            <v>Branston Community College</v>
          </cell>
          <cell r="H1822" t="str">
            <v>East Midlands</v>
          </cell>
          <cell r="I1822" t="str">
            <v>Station Road</v>
          </cell>
          <cell r="J1822" t="str">
            <v>Branston</v>
          </cell>
          <cell r="L1822" t="str">
            <v>Lincoln</v>
          </cell>
          <cell r="M1822" t="str">
            <v>Lincolnshire</v>
          </cell>
          <cell r="N1822" t="str">
            <v>LN4 1LH</v>
          </cell>
          <cell r="O1822" t="str">
            <v>beighpet@branstoncc.lincs.sch.uk</v>
          </cell>
          <cell r="P1822">
            <v>40359</v>
          </cell>
        </row>
        <row r="1823">
          <cell r="A1823">
            <v>9353346</v>
          </cell>
          <cell r="B1823">
            <v>134882</v>
          </cell>
          <cell r="C1823">
            <v>935</v>
          </cell>
          <cell r="D1823" t="str">
            <v>Suffolk</v>
          </cell>
          <cell r="E1823">
            <v>3346</v>
          </cell>
          <cell r="F1823" t="str">
            <v>Joe Farrell</v>
          </cell>
          <cell r="G1823" t="str">
            <v>Rendlesham Primary School</v>
          </cell>
          <cell r="H1823" t="str">
            <v>East of England</v>
          </cell>
          <cell r="I1823" t="str">
            <v>Sycamore Drive</v>
          </cell>
          <cell r="J1823" t="str">
            <v>Rendlesham</v>
          </cell>
          <cell r="L1823" t="str">
            <v>Woodbridge</v>
          </cell>
          <cell r="M1823" t="str">
            <v>Suffolk</v>
          </cell>
          <cell r="N1823" t="str">
            <v>IP12 2GF</v>
          </cell>
          <cell r="O1823" t="str">
            <v>sarah.gallagher1@btinternet.com</v>
          </cell>
        </row>
        <row r="1824">
          <cell r="A1824">
            <v>3437011</v>
          </cell>
          <cell r="B1824">
            <v>104982</v>
          </cell>
          <cell r="C1824">
            <v>343</v>
          </cell>
          <cell r="D1824" t="str">
            <v>Sefton</v>
          </cell>
          <cell r="E1824">
            <v>7011</v>
          </cell>
          <cell r="F1824" t="str">
            <v>Maria Sabberton</v>
          </cell>
          <cell r="G1824" t="str">
            <v>Newfield School</v>
          </cell>
          <cell r="H1824" t="str">
            <v>North West</v>
          </cell>
          <cell r="I1824" t="str">
            <v>Edge Lane</v>
          </cell>
          <cell r="J1824" t="str">
            <v>Crosby</v>
          </cell>
          <cell r="L1824" t="str">
            <v>Liverpool</v>
          </cell>
          <cell r="M1824" t="str">
            <v>Merseyside</v>
          </cell>
          <cell r="N1824" t="str">
            <v>L23 4TG</v>
          </cell>
          <cell r="O1824" t="str">
            <v>head.newfield@schools.sefton.gov.uk</v>
          </cell>
        </row>
        <row r="1825">
          <cell r="A1825">
            <v>8724047</v>
          </cell>
          <cell r="B1825">
            <v>110058</v>
          </cell>
          <cell r="C1825">
            <v>872</v>
          </cell>
          <cell r="D1825" t="str">
            <v>Wokingham</v>
          </cell>
          <cell r="E1825">
            <v>4047</v>
          </cell>
          <cell r="F1825" t="str">
            <v>Lindsay Morris</v>
          </cell>
          <cell r="G1825" t="str">
            <v>The Holt School</v>
          </cell>
          <cell r="H1825" t="str">
            <v>South East</v>
          </cell>
          <cell r="I1825" t="str">
            <v>Holt Lane</v>
          </cell>
          <cell r="L1825" t="str">
            <v>Wokingham</v>
          </cell>
          <cell r="M1825" t="str">
            <v>Berkshire</v>
          </cell>
          <cell r="N1825" t="str">
            <v>RG41 1EE</v>
          </cell>
          <cell r="O1825" t="str">
            <v>rc@holt.wokingham.sch.uk</v>
          </cell>
          <cell r="P1825">
            <v>40616</v>
          </cell>
        </row>
        <row r="1826">
          <cell r="A1826">
            <v>3303402</v>
          </cell>
          <cell r="B1826">
            <v>103474</v>
          </cell>
          <cell r="C1826">
            <v>330</v>
          </cell>
          <cell r="D1826" t="str">
            <v>Birmingham</v>
          </cell>
          <cell r="E1826">
            <v>3402</v>
          </cell>
          <cell r="F1826" t="str">
            <v>Ruth Pallister</v>
          </cell>
          <cell r="G1826" t="str">
            <v>Holy Cross Catholic Primary School</v>
          </cell>
          <cell r="H1826" t="str">
            <v>West Midlands</v>
          </cell>
          <cell r="I1826" t="str">
            <v>Laburnum Drive</v>
          </cell>
          <cell r="J1826" t="str">
            <v>Walmley</v>
          </cell>
          <cell r="L1826" t="str">
            <v>Sutton Coldfield</v>
          </cell>
          <cell r="M1826" t="str">
            <v>West Midlands</v>
          </cell>
          <cell r="N1826" t="str">
            <v>B76 2SP</v>
          </cell>
          <cell r="O1826" t="str">
            <v>j.deasy@holycros.bham.sch.uk</v>
          </cell>
        </row>
        <row r="1827">
          <cell r="A1827">
            <v>8813128</v>
          </cell>
          <cell r="B1827">
            <v>115098</v>
          </cell>
          <cell r="C1827">
            <v>881</v>
          </cell>
          <cell r="D1827" t="str">
            <v>Essex</v>
          </cell>
          <cell r="E1827">
            <v>3128</v>
          </cell>
          <cell r="F1827" t="str">
            <v>Claire Ivie</v>
          </cell>
          <cell r="G1827" t="str">
            <v>Fawbert and Barnard's Primary School</v>
          </cell>
          <cell r="H1827" t="str">
            <v>East of England</v>
          </cell>
          <cell r="I1827" t="str">
            <v>London Road</v>
          </cell>
          <cell r="L1827" t="str">
            <v>Old Harlow</v>
          </cell>
          <cell r="M1827" t="str">
            <v>Essex</v>
          </cell>
          <cell r="N1827" t="str">
            <v>CM17 0DA</v>
          </cell>
          <cell r="O1827" t="str">
            <v>admin@fawbert-barnards.essex.sch.uk</v>
          </cell>
        </row>
        <row r="1828">
          <cell r="A1828">
            <v>9081100</v>
          </cell>
          <cell r="B1828">
            <v>137738</v>
          </cell>
          <cell r="C1828">
            <v>908</v>
          </cell>
          <cell r="D1828" t="str">
            <v>Cornwall</v>
          </cell>
          <cell r="E1828">
            <v>1100</v>
          </cell>
          <cell r="F1828" t="str">
            <v>Nigel Mills</v>
          </cell>
          <cell r="G1828" t="str">
            <v>Community &amp; Hospital Education Service</v>
          </cell>
          <cell r="H1828" t="str">
            <v>South West</v>
          </cell>
          <cell r="I1828" t="str">
            <v>The Old Liskeard Infant School Site</v>
          </cell>
          <cell r="J1828" t="str">
            <v>West Street</v>
          </cell>
          <cell r="L1828" t="str">
            <v>Liskeard</v>
          </cell>
          <cell r="M1828" t="str">
            <v>Cornwall</v>
          </cell>
          <cell r="N1828" t="str">
            <v>PL14 6BS</v>
          </cell>
          <cell r="O1828" t="str">
            <v>rgasson@cornwall.gov.uk</v>
          </cell>
          <cell r="P1828">
            <v>41023</v>
          </cell>
        </row>
        <row r="1829">
          <cell r="A1829">
            <v>8772335</v>
          </cell>
          <cell r="B1829">
            <v>111150</v>
          </cell>
          <cell r="C1829">
            <v>877</v>
          </cell>
          <cell r="D1829" t="str">
            <v>Warrington</v>
          </cell>
          <cell r="E1829">
            <v>2335</v>
          </cell>
          <cell r="F1829" t="str">
            <v>Maria Sabberton</v>
          </cell>
          <cell r="G1829" t="str">
            <v>Cherry Tree Primary School</v>
          </cell>
          <cell r="H1829" t="str">
            <v>North West</v>
          </cell>
          <cell r="I1829" t="str">
            <v>Hardy Road</v>
          </cell>
          <cell r="L1829" t="str">
            <v>Lymm</v>
          </cell>
          <cell r="M1829" t="str">
            <v>Cheshire</v>
          </cell>
          <cell r="N1829" t="str">
            <v>WA13 0NX</v>
          </cell>
          <cell r="O1829" t="str">
            <v>cherrytree_primary_head@warrington.gov.uk</v>
          </cell>
        </row>
        <row r="1830">
          <cell r="A1830">
            <v>8854006</v>
          </cell>
          <cell r="B1830">
            <v>116932</v>
          </cell>
          <cell r="C1830">
            <v>885</v>
          </cell>
          <cell r="D1830" t="str">
            <v>Worcestershire</v>
          </cell>
          <cell r="E1830">
            <v>4006</v>
          </cell>
          <cell r="F1830" t="str">
            <v>Nicole Felicien</v>
          </cell>
          <cell r="G1830" t="str">
            <v>Evesham High School</v>
          </cell>
          <cell r="H1830" t="str">
            <v>West Midlands</v>
          </cell>
          <cell r="I1830" t="str">
            <v>Four Pools Road</v>
          </cell>
          <cell r="L1830" t="str">
            <v>Evesham</v>
          </cell>
          <cell r="M1830" t="str">
            <v>Worcestershire</v>
          </cell>
          <cell r="N1830" t="str">
            <v>WR11 1DQ</v>
          </cell>
          <cell r="O1830" t="str">
            <v>head@eveshamhigh.worcs.sch.uk</v>
          </cell>
          <cell r="P1830">
            <v>41256</v>
          </cell>
        </row>
        <row r="1831">
          <cell r="A1831">
            <v>9255227</v>
          </cell>
          <cell r="B1831">
            <v>120694</v>
          </cell>
          <cell r="C1831">
            <v>925</v>
          </cell>
          <cell r="D1831" t="str">
            <v>Lincolnshire</v>
          </cell>
          <cell r="E1831">
            <v>5227</v>
          </cell>
          <cell r="F1831" t="str">
            <v>Jacki Couch</v>
          </cell>
          <cell r="G1831" t="str">
            <v>Mount Street Infant and Nursery School</v>
          </cell>
          <cell r="H1831" t="str">
            <v>East Midlands</v>
          </cell>
          <cell r="I1831" t="str">
            <v>Mount Street</v>
          </cell>
          <cell r="L1831" t="str">
            <v>Lincoln</v>
          </cell>
          <cell r="M1831" t="str">
            <v>Lincolnshire</v>
          </cell>
          <cell r="N1831" t="str">
            <v>LN1 3JG</v>
          </cell>
          <cell r="O1831" t="str">
            <v>cpaine@lincolnmountstreet.lincs.sch.uk</v>
          </cell>
          <cell r="P1831">
            <v>40675</v>
          </cell>
        </row>
        <row r="1832">
          <cell r="A1832">
            <v>9312254</v>
          </cell>
          <cell r="B1832">
            <v>123016</v>
          </cell>
          <cell r="C1832">
            <v>931</v>
          </cell>
          <cell r="D1832" t="str">
            <v>Oxfordshire</v>
          </cell>
          <cell r="E1832">
            <v>2254</v>
          </cell>
          <cell r="F1832" t="str">
            <v>Sarah Nairne</v>
          </cell>
          <cell r="G1832" t="str">
            <v>Gateway Primary School</v>
          </cell>
          <cell r="H1832" t="str">
            <v>South East</v>
          </cell>
          <cell r="I1832" t="str">
            <v>Netheravon Close</v>
          </cell>
          <cell r="L1832" t="str">
            <v>Carterton</v>
          </cell>
          <cell r="M1832" t="str">
            <v>Oxfordshire</v>
          </cell>
          <cell r="N1832" t="str">
            <v>OX18 3SF</v>
          </cell>
          <cell r="O1832" t="str">
            <v>office.2254@gateway.oxon.sch.uk</v>
          </cell>
        </row>
        <row r="1833">
          <cell r="A1833">
            <v>3582005</v>
          </cell>
          <cell r="B1833">
            <v>106287</v>
          </cell>
          <cell r="C1833">
            <v>358</v>
          </cell>
          <cell r="D1833" t="str">
            <v>Trafford</v>
          </cell>
          <cell r="E1833">
            <v>2005</v>
          </cell>
          <cell r="F1833" t="str">
            <v>Ruth Pallister</v>
          </cell>
          <cell r="G1833" t="str">
            <v>Park Road Primary School, Timperley</v>
          </cell>
          <cell r="H1833" t="str">
            <v>North West</v>
          </cell>
          <cell r="I1833" t="str">
            <v>Frieston Road</v>
          </cell>
          <cell r="J1833" t="str">
            <v>Timperley</v>
          </cell>
          <cell r="L1833" t="str">
            <v>Altrincham</v>
          </cell>
          <cell r="M1833" t="str">
            <v>Cheshire</v>
          </cell>
          <cell r="N1833" t="str">
            <v>WA14 5AP</v>
          </cell>
          <cell r="O1833" t="str">
            <v>parkroadtimp.admin@trafford.gov.uk</v>
          </cell>
          <cell r="P1833">
            <v>40352</v>
          </cell>
        </row>
        <row r="1834">
          <cell r="A1834">
            <v>3122048</v>
          </cell>
          <cell r="B1834">
            <v>102397</v>
          </cell>
          <cell r="C1834">
            <v>312</v>
          </cell>
          <cell r="D1834" t="str">
            <v>Hillingdon</v>
          </cell>
          <cell r="E1834">
            <v>2048</v>
          </cell>
          <cell r="F1834" t="str">
            <v>Martin Rowley</v>
          </cell>
          <cell r="G1834" t="str">
            <v>Ryefield School</v>
          </cell>
          <cell r="H1834" t="str">
            <v>London</v>
          </cell>
          <cell r="I1834" t="str">
            <v>Ryefield Avenue</v>
          </cell>
          <cell r="J1834" t="str">
            <v>Hillingdon</v>
          </cell>
          <cell r="L1834" t="str">
            <v>Uxbridge</v>
          </cell>
          <cell r="N1834" t="str">
            <v>UB10 9DE</v>
          </cell>
          <cell r="O1834" t="str">
            <v>pdodd@hillingdongrid.org</v>
          </cell>
        </row>
        <row r="1835">
          <cell r="A1835">
            <v>9314560</v>
          </cell>
          <cell r="B1835">
            <v>123267</v>
          </cell>
          <cell r="C1835">
            <v>931</v>
          </cell>
          <cell r="D1835" t="str">
            <v>Oxfordshire</v>
          </cell>
          <cell r="E1835">
            <v>4560</v>
          </cell>
          <cell r="F1835" t="str">
            <v>Sarah Nairne</v>
          </cell>
          <cell r="G1835" t="str">
            <v>The Marlborough Church of England School</v>
          </cell>
          <cell r="H1835" t="str">
            <v>South East</v>
          </cell>
          <cell r="I1835" t="str">
            <v>Shipton Road</v>
          </cell>
          <cell r="L1835" t="str">
            <v>Woodstock</v>
          </cell>
          <cell r="M1835" t="str">
            <v>Oxfordshire</v>
          </cell>
          <cell r="N1835" t="str">
            <v>OX20 1LP</v>
          </cell>
          <cell r="O1835" t="str">
            <v>jfenn1679@marlborough.ocnmail.net</v>
          </cell>
          <cell r="P1835">
            <v>41037</v>
          </cell>
        </row>
        <row r="1836">
          <cell r="A1836">
            <v>8252245</v>
          </cell>
          <cell r="B1836">
            <v>110329</v>
          </cell>
          <cell r="C1836">
            <v>825</v>
          </cell>
          <cell r="D1836" t="str">
            <v>Buckinghamshire</v>
          </cell>
          <cell r="E1836">
            <v>2245</v>
          </cell>
          <cell r="F1836" t="str">
            <v>Darren Francis</v>
          </cell>
          <cell r="G1836" t="str">
            <v>Buckingham Primary School</v>
          </cell>
          <cell r="H1836" t="str">
            <v>South East</v>
          </cell>
          <cell r="I1836" t="str">
            <v>Foscott Way</v>
          </cell>
          <cell r="L1836" t="str">
            <v>Buckingham</v>
          </cell>
          <cell r="M1836" t="str">
            <v>Buckinghamshire</v>
          </cell>
          <cell r="N1836" t="str">
            <v>MK18 1TT</v>
          </cell>
          <cell r="O1836" t="str">
            <v>jjones@bucksgfl.org.uk</v>
          </cell>
          <cell r="P1836">
            <v>40711</v>
          </cell>
        </row>
        <row r="1837">
          <cell r="A1837">
            <v>9333151</v>
          </cell>
          <cell r="B1837">
            <v>123784</v>
          </cell>
          <cell r="C1837">
            <v>933</v>
          </cell>
          <cell r="D1837" t="str">
            <v>Somerset</v>
          </cell>
          <cell r="E1837">
            <v>3151</v>
          </cell>
          <cell r="F1837" t="str">
            <v>Theresa Oddelm</v>
          </cell>
          <cell r="G1837" t="str">
            <v>St Mary's Voluntary Controlled Church of England Primary School</v>
          </cell>
          <cell r="H1837" t="str">
            <v>South West</v>
          </cell>
          <cell r="I1837" t="str">
            <v>Oakfield Road</v>
          </cell>
          <cell r="L1837" t="str">
            <v>Bridgwater</v>
          </cell>
          <cell r="M1837" t="str">
            <v>Somerset</v>
          </cell>
          <cell r="N1837" t="str">
            <v>TA6 7LX</v>
          </cell>
          <cell r="O1837" t="str">
            <v>mcollington@educ.somerset.gov.uk</v>
          </cell>
        </row>
        <row r="1838">
          <cell r="A1838">
            <v>3572069</v>
          </cell>
          <cell r="B1838">
            <v>106220</v>
          </cell>
          <cell r="C1838">
            <v>357</v>
          </cell>
          <cell r="D1838" t="str">
            <v>Tameside</v>
          </cell>
          <cell r="E1838">
            <v>2069</v>
          </cell>
          <cell r="F1838" t="str">
            <v>Linda Tiley</v>
          </cell>
          <cell r="G1838" t="str">
            <v>Manor Green school</v>
          </cell>
          <cell r="H1838" t="str">
            <v>North West</v>
          </cell>
          <cell r="I1838" t="str">
            <v>Mancunian Road</v>
          </cell>
          <cell r="J1838" t="str">
            <v>Haughton Green</v>
          </cell>
          <cell r="K1838" t="str">
            <v>Denton</v>
          </cell>
          <cell r="L1838" t="str">
            <v>Manchester</v>
          </cell>
          <cell r="N1838" t="str">
            <v>M34 7NS</v>
          </cell>
          <cell r="O1838" t="str">
            <v>admin@manorgreen.tameside.sch.uk</v>
          </cell>
        </row>
        <row r="1839">
          <cell r="A1839">
            <v>8862654</v>
          </cell>
          <cell r="B1839">
            <v>118569</v>
          </cell>
          <cell r="C1839">
            <v>886</v>
          </cell>
          <cell r="D1839" t="str">
            <v>Kent</v>
          </cell>
          <cell r="E1839">
            <v>2654</v>
          </cell>
          <cell r="F1839" t="str">
            <v>Sarah Mitchell</v>
          </cell>
          <cell r="G1839" t="str">
            <v>The Canterbury Primary School</v>
          </cell>
          <cell r="H1839" t="str">
            <v>South East</v>
          </cell>
          <cell r="I1839" t="str">
            <v>City View</v>
          </cell>
          <cell r="J1839" t="str">
            <v>Franklyn Road</v>
          </cell>
          <cell r="L1839" t="str">
            <v>Canterbury</v>
          </cell>
          <cell r="M1839" t="str">
            <v>Kent</v>
          </cell>
          <cell r="N1839" t="str">
            <v>CT2 8PT</v>
          </cell>
          <cell r="O1839" t="str">
            <v>pkarnavas@canterbury.kent.sch.uk</v>
          </cell>
          <cell r="P1839">
            <v>40358</v>
          </cell>
        </row>
        <row r="1840">
          <cell r="A1840">
            <v>8885405</v>
          </cell>
          <cell r="B1840">
            <v>119814</v>
          </cell>
          <cell r="C1840">
            <v>888</v>
          </cell>
          <cell r="D1840" t="str">
            <v>Lancashire</v>
          </cell>
          <cell r="E1840">
            <v>5405</v>
          </cell>
          <cell r="F1840" t="str">
            <v>Viv Clutton</v>
          </cell>
          <cell r="G1840" t="str">
            <v>Archbishop Temple School</v>
          </cell>
          <cell r="H1840" t="str">
            <v>North West</v>
          </cell>
          <cell r="I1840" t="str">
            <v>St Vincent's Road</v>
          </cell>
          <cell r="J1840" t="str">
            <v>Fulwood</v>
          </cell>
          <cell r="L1840" t="str">
            <v>Preston</v>
          </cell>
          <cell r="M1840" t="str">
            <v>Lancashire</v>
          </cell>
          <cell r="N1840" t="str">
            <v>PR2 8RA</v>
          </cell>
          <cell r="O1840" t="str">
            <v>mj@archtemple.lancsngfl.ac.uk</v>
          </cell>
        </row>
        <row r="1841">
          <cell r="A1841">
            <v>9197042</v>
          </cell>
          <cell r="B1841">
            <v>117690</v>
          </cell>
          <cell r="C1841">
            <v>919</v>
          </cell>
          <cell r="D1841" t="str">
            <v>Hertfordshire</v>
          </cell>
          <cell r="E1841">
            <v>7042</v>
          </cell>
          <cell r="F1841" t="str">
            <v>Joe Farrell</v>
          </cell>
          <cell r="G1841" t="str">
            <v>Greenside School</v>
          </cell>
          <cell r="H1841" t="str">
            <v>East of England</v>
          </cell>
          <cell r="I1841" t="str">
            <v>Shephall Green</v>
          </cell>
          <cell r="L1841" t="str">
            <v>Stevenage</v>
          </cell>
          <cell r="M1841" t="str">
            <v>Hertfordshire</v>
          </cell>
          <cell r="N1841" t="str">
            <v>SG2 9XS</v>
          </cell>
          <cell r="O1841" t="str">
            <v xml:space="preserve"> head@greenside.herts.sch.uk</v>
          </cell>
        </row>
        <row r="1842">
          <cell r="A1842">
            <v>2034716</v>
          </cell>
          <cell r="B1842">
            <v>100196</v>
          </cell>
          <cell r="C1842">
            <v>203</v>
          </cell>
          <cell r="D1842" t="str">
            <v>Greenwich</v>
          </cell>
          <cell r="E1842">
            <v>4716</v>
          </cell>
          <cell r="F1842" t="str">
            <v>Tahir Shams</v>
          </cell>
          <cell r="G1842" t="str">
            <v>St Thomas More Roman Catholic Comprehensive School</v>
          </cell>
          <cell r="H1842" t="str">
            <v>London</v>
          </cell>
          <cell r="I1842" t="str">
            <v>Footscray Road</v>
          </cell>
          <cell r="L1842" t="str">
            <v>London</v>
          </cell>
          <cell r="N1842" t="str">
            <v>SE9 2SU</v>
          </cell>
          <cell r="O1842" t="str">
            <v xml:space="preserve">cbeale@stmcomprehensive.org
</v>
          </cell>
          <cell r="P1842">
            <v>40625</v>
          </cell>
        </row>
        <row r="1843">
          <cell r="A1843">
            <v>9283340</v>
          </cell>
          <cell r="B1843">
            <v>122031</v>
          </cell>
          <cell r="C1843">
            <v>928</v>
          </cell>
          <cell r="D1843" t="str">
            <v>Northamptonshire</v>
          </cell>
          <cell r="E1843">
            <v>3340</v>
          </cell>
          <cell r="F1843" t="str">
            <v>Sue Harp</v>
          </cell>
          <cell r="G1843" t="str">
            <v>Tiffield Church of England Voluntary Aided Primary School</v>
          </cell>
          <cell r="H1843" t="str">
            <v>East Midlands</v>
          </cell>
          <cell r="I1843" t="str">
            <v>High Street South</v>
          </cell>
          <cell r="J1843" t="str">
            <v>Tiffield</v>
          </cell>
          <cell r="L1843" t="str">
            <v>Towcester</v>
          </cell>
          <cell r="M1843" t="str">
            <v>Northamptonshire</v>
          </cell>
          <cell r="N1843" t="str">
            <v>NN12 8AB</v>
          </cell>
          <cell r="O1843" t="str">
            <v>head@tiffield-ce.northants-ecl.gov.uk</v>
          </cell>
        </row>
        <row r="1844">
          <cell r="A1844">
            <v>9281100</v>
          </cell>
          <cell r="B1844">
            <v>121789</v>
          </cell>
          <cell r="C1844">
            <v>928</v>
          </cell>
          <cell r="D1844" t="str">
            <v>Northamptonshire</v>
          </cell>
          <cell r="E1844">
            <v>1100</v>
          </cell>
          <cell r="F1844" t="str">
            <v>Tahir Shams</v>
          </cell>
          <cell r="G1844" t="str">
            <v>Complementary Education</v>
          </cell>
          <cell r="H1844" t="str">
            <v>East Midlands</v>
          </cell>
          <cell r="I1844" t="str">
            <v>Complementary Education County Office</v>
          </cell>
          <cell r="J1844" t="str">
            <v>Cromwell Complementary Education Centre</v>
          </cell>
          <cell r="K1844" t="str">
            <v>Poole Street</v>
          </cell>
          <cell r="L1844" t="str">
            <v>Northampton</v>
          </cell>
          <cell r="M1844" t="str">
            <v>Northamptonshire</v>
          </cell>
          <cell r="N1844" t="str">
            <v>NN1 3EX</v>
          </cell>
          <cell r="O1844" t="str">
            <v>head@cec.northants-ecl.gov.uk</v>
          </cell>
          <cell r="P1844">
            <v>40991</v>
          </cell>
        </row>
        <row r="1845">
          <cell r="A1845">
            <v>8954165</v>
          </cell>
          <cell r="B1845">
            <v>111428</v>
          </cell>
          <cell r="C1845">
            <v>895</v>
          </cell>
          <cell r="D1845" t="str">
            <v>Cheshire East</v>
          </cell>
          <cell r="E1845">
            <v>4165</v>
          </cell>
          <cell r="F1845" t="str">
            <v>Pat Murison</v>
          </cell>
          <cell r="G1845" t="str">
            <v>Holmes Chapel Comprehensive School</v>
          </cell>
          <cell r="H1845" t="str">
            <v>North West</v>
          </cell>
          <cell r="I1845" t="str">
            <v>Selkirk Drive</v>
          </cell>
          <cell r="J1845" t="str">
            <v>Holmes Chapel</v>
          </cell>
          <cell r="L1845" t="str">
            <v>Crewe</v>
          </cell>
          <cell r="M1845" t="str">
            <v>Cheshire</v>
          </cell>
          <cell r="N1845" t="str">
            <v>CW4 7DX</v>
          </cell>
          <cell r="O1845" t="str">
            <v>denis.oliver@hccs.info</v>
          </cell>
          <cell r="P1845">
            <v>40553</v>
          </cell>
        </row>
        <row r="1846">
          <cell r="A1846">
            <v>8864080</v>
          </cell>
          <cell r="B1846">
            <v>118802</v>
          </cell>
          <cell r="C1846">
            <v>886</v>
          </cell>
          <cell r="D1846" t="str">
            <v>Kent</v>
          </cell>
          <cell r="E1846">
            <v>4080</v>
          </cell>
          <cell r="F1846" t="str">
            <v>Sarah Mitchell</v>
          </cell>
          <cell r="G1846" t="str">
            <v>Highsted Grammar School</v>
          </cell>
          <cell r="H1846" t="str">
            <v>South East</v>
          </cell>
          <cell r="I1846" t="str">
            <v>Highsted Road</v>
          </cell>
          <cell r="L1846" t="str">
            <v>Sittingbourne</v>
          </cell>
          <cell r="M1846" t="str">
            <v>Kent</v>
          </cell>
          <cell r="N1846" t="str">
            <v>ME10 4PT</v>
          </cell>
          <cell r="O1846" t="str">
            <v>j.payne@highsted.kent.sch.uk</v>
          </cell>
          <cell r="P1846">
            <v>40357</v>
          </cell>
        </row>
        <row r="1847">
          <cell r="A1847">
            <v>8255210</v>
          </cell>
          <cell r="B1847">
            <v>110436</v>
          </cell>
          <cell r="C1847">
            <v>825</v>
          </cell>
          <cell r="D1847" t="str">
            <v>Buckinghamshire</v>
          </cell>
          <cell r="E1847">
            <v>5210</v>
          </cell>
          <cell r="F1847" t="str">
            <v>Maryam Jabbari</v>
          </cell>
          <cell r="G1847" t="str">
            <v>The Gerrards Cross Church of England School</v>
          </cell>
          <cell r="H1847" t="str">
            <v>South East</v>
          </cell>
          <cell r="I1847" t="str">
            <v>Moreland Drive</v>
          </cell>
          <cell r="L1847" t="str">
            <v>Gerrards Cross</v>
          </cell>
          <cell r="M1847" t="str">
            <v>Buckinghamshire</v>
          </cell>
          <cell r="N1847" t="str">
            <v>SL9 8BD</v>
          </cell>
          <cell r="O1847" t="str">
            <v>Head@gerrardscross.bucks.sch.uk</v>
          </cell>
          <cell r="P1847">
            <v>40751</v>
          </cell>
        </row>
        <row r="1848">
          <cell r="A1848">
            <v>8812891</v>
          </cell>
          <cell r="B1848">
            <v>115033</v>
          </cell>
          <cell r="C1848">
            <v>881</v>
          </cell>
          <cell r="D1848" t="str">
            <v>Essex</v>
          </cell>
          <cell r="E1848">
            <v>2891</v>
          </cell>
          <cell r="F1848" t="str">
            <v>Tony Bretherick</v>
          </cell>
          <cell r="G1848" t="str">
            <v>Hilltop Junior School</v>
          </cell>
          <cell r="H1848" t="str">
            <v>East of England</v>
          </cell>
          <cell r="I1848" t="str">
            <v>Hill Avenue</v>
          </cell>
          <cell r="L1848" t="str">
            <v>Wickford</v>
          </cell>
          <cell r="M1848" t="str">
            <v>Essex</v>
          </cell>
          <cell r="N1848" t="str">
            <v>SS11 8LP</v>
          </cell>
          <cell r="O1848" t="str">
            <v>waite@hilltop.e-folio.org.uk</v>
          </cell>
          <cell r="P1848">
            <v>40666</v>
          </cell>
        </row>
        <row r="1849">
          <cell r="A1849">
            <v>9334308</v>
          </cell>
          <cell r="B1849">
            <v>123881</v>
          </cell>
          <cell r="C1849">
            <v>933</v>
          </cell>
          <cell r="D1849" t="str">
            <v>Somerset</v>
          </cell>
          <cell r="E1849">
            <v>4308</v>
          </cell>
          <cell r="F1849" t="str">
            <v>Ali Bushell</v>
          </cell>
          <cell r="G1849" t="str">
            <v>Chilton Trinity Technology College</v>
          </cell>
          <cell r="H1849" t="str">
            <v>South West</v>
          </cell>
          <cell r="I1849" t="str">
            <v>Chilton Street</v>
          </cell>
          <cell r="L1849" t="str">
            <v>Bridgwater</v>
          </cell>
          <cell r="M1849" t="str">
            <v>Somerset</v>
          </cell>
          <cell r="N1849" t="str">
            <v>TA6 3JA</v>
          </cell>
          <cell r="O1849" t="str">
            <v>PMHollinghurst2@educ.somerset.gov.uk</v>
          </cell>
        </row>
        <row r="1850">
          <cell r="A1850">
            <v>8354026</v>
          </cell>
          <cell r="B1850">
            <v>113856</v>
          </cell>
          <cell r="C1850">
            <v>835</v>
          </cell>
          <cell r="D1850" t="str">
            <v>Dorset</v>
          </cell>
          <cell r="E1850">
            <v>4026</v>
          </cell>
          <cell r="F1850" t="str">
            <v>Tahamina Khan</v>
          </cell>
          <cell r="G1850" t="str">
            <v>Wareham Middle School</v>
          </cell>
          <cell r="H1850" t="str">
            <v>South West</v>
          </cell>
          <cell r="I1850" t="str">
            <v>Worgret Road</v>
          </cell>
          <cell r="L1850" t="str">
            <v>Wareham</v>
          </cell>
          <cell r="M1850" t="str">
            <v>Dorset</v>
          </cell>
          <cell r="N1850" t="str">
            <v>BH20 4PH</v>
          </cell>
          <cell r="O1850" t="str">
            <v>office@warehammid.dorset.sch.uk</v>
          </cell>
        </row>
        <row r="1851">
          <cell r="A1851">
            <v>3802095</v>
          </cell>
          <cell r="B1851">
            <v>107244</v>
          </cell>
          <cell r="C1851">
            <v>380</v>
          </cell>
          <cell r="D1851" t="str">
            <v>Bradford</v>
          </cell>
          <cell r="E1851">
            <v>2095</v>
          </cell>
          <cell r="F1851" t="str">
            <v>Jane McCusker</v>
          </cell>
          <cell r="G1851" t="str">
            <v>Southmere Primary School</v>
          </cell>
          <cell r="H1851" t="str">
            <v>Yorkshire and the Humber</v>
          </cell>
          <cell r="I1851" t="str">
            <v>Ewart Street</v>
          </cell>
          <cell r="L1851" t="str">
            <v>Bradford</v>
          </cell>
          <cell r="M1851" t="str">
            <v>West Yorkshire</v>
          </cell>
          <cell r="N1851" t="str">
            <v>BD7 3NR</v>
          </cell>
          <cell r="O1851" t="str">
            <v>hayley.marshall@southmere.bradford.sch.uk</v>
          </cell>
          <cell r="P1851">
            <v>41243</v>
          </cell>
        </row>
        <row r="1852">
          <cell r="A1852">
            <v>3024009</v>
          </cell>
          <cell r="B1852">
            <v>101346</v>
          </cell>
          <cell r="C1852">
            <v>302</v>
          </cell>
          <cell r="D1852" t="str">
            <v>Barnet</v>
          </cell>
          <cell r="E1852">
            <v>4009</v>
          </cell>
          <cell r="F1852" t="str">
            <v>Bola Bakrin</v>
          </cell>
          <cell r="G1852" t="str">
            <v>The Ravenscroft School A Technology College</v>
          </cell>
          <cell r="H1852" t="str">
            <v>London</v>
          </cell>
          <cell r="I1852" t="str">
            <v>Barnet Lane</v>
          </cell>
          <cell r="L1852" t="str">
            <v>London</v>
          </cell>
          <cell r="N1852" t="str">
            <v>N20 8AZ</v>
          </cell>
          <cell r="O1852" t="str">
            <v>pferrie@ravenscroft.barnet.sch.uk</v>
          </cell>
          <cell r="P1852">
            <v>40359</v>
          </cell>
        </row>
        <row r="1853">
          <cell r="A1853">
            <v>9283202</v>
          </cell>
          <cell r="B1853">
            <v>122013</v>
          </cell>
          <cell r="C1853">
            <v>928</v>
          </cell>
          <cell r="D1853" t="str">
            <v>Northamptonshire</v>
          </cell>
          <cell r="E1853">
            <v>3202</v>
          </cell>
          <cell r="F1853" t="str">
            <v>Stephen Standret</v>
          </cell>
          <cell r="G1853" t="str">
            <v>Clipston Endowed Voluntary Controlled Primary School</v>
          </cell>
          <cell r="H1853" t="str">
            <v>East Midlands</v>
          </cell>
          <cell r="I1853" t="str">
            <v>High Street</v>
          </cell>
          <cell r="J1853" t="str">
            <v>Clipston</v>
          </cell>
          <cell r="L1853" t="str">
            <v>Market Harborough</v>
          </cell>
          <cell r="M1853" t="str">
            <v>Leicestershire</v>
          </cell>
          <cell r="N1853" t="str">
            <v>LE16 9RU</v>
          </cell>
        </row>
        <row r="1854">
          <cell r="A1854">
            <v>3322160</v>
          </cell>
          <cell r="B1854">
            <v>103834</v>
          </cell>
          <cell r="C1854">
            <v>332</v>
          </cell>
          <cell r="D1854" t="str">
            <v>Dudley</v>
          </cell>
          <cell r="E1854">
            <v>2160</v>
          </cell>
          <cell r="F1854" t="str">
            <v>Stephen Bagnall</v>
          </cell>
          <cell r="G1854" t="str">
            <v>Milking Bank Primary School</v>
          </cell>
          <cell r="H1854" t="str">
            <v>West Midlands</v>
          </cell>
          <cell r="I1854" t="str">
            <v>Aintree Way</v>
          </cell>
          <cell r="J1854" t="str">
            <v>Milking Bank</v>
          </cell>
          <cell r="L1854" t="str">
            <v>Dudley</v>
          </cell>
          <cell r="M1854" t="str">
            <v>West Midlands</v>
          </cell>
          <cell r="N1854" t="str">
            <v>DY1 2SL</v>
          </cell>
          <cell r="O1854" t="str">
            <v>rmason@milking.dudley.sch.uk</v>
          </cell>
        </row>
        <row r="1855">
          <cell r="A1855">
            <v>3934006</v>
          </cell>
          <cell r="B1855">
            <v>108727</v>
          </cell>
          <cell r="C1855">
            <v>393</v>
          </cell>
          <cell r="D1855" t="str">
            <v>South Tyneside</v>
          </cell>
          <cell r="E1855">
            <v>4006</v>
          </cell>
          <cell r="G1855" t="str">
            <v>Mortimer Community College</v>
          </cell>
          <cell r="H1855" t="str">
            <v>North East</v>
          </cell>
          <cell r="I1855" t="str">
            <v>Reading Road</v>
          </cell>
          <cell r="L1855" t="str">
            <v>South Shields</v>
          </cell>
          <cell r="M1855" t="str">
            <v>Tyne and Wear</v>
          </cell>
          <cell r="N1855" t="str">
            <v>NE33 4UG</v>
          </cell>
          <cell r="O1855" t="str">
            <v>cmullane@mortimercommunitycollege.co.uk</v>
          </cell>
        </row>
        <row r="1856">
          <cell r="A1856">
            <v>9253169</v>
          </cell>
          <cell r="B1856">
            <v>131490</v>
          </cell>
          <cell r="C1856">
            <v>925</v>
          </cell>
          <cell r="D1856" t="str">
            <v>Lincolnshire</v>
          </cell>
          <cell r="E1856">
            <v>3169</v>
          </cell>
          <cell r="F1856" t="str">
            <v>Grant Dyson</v>
          </cell>
          <cell r="G1856" t="str">
            <v>St George's Church of England Community Primary School, Gainsborough</v>
          </cell>
          <cell r="H1856" t="str">
            <v>East Midlands</v>
          </cell>
          <cell r="I1856" t="str">
            <v>Lindsey Close</v>
          </cell>
          <cell r="L1856" t="str">
            <v>Gainsborough</v>
          </cell>
          <cell r="M1856" t="str">
            <v>Lincolnshire</v>
          </cell>
          <cell r="N1856" t="str">
            <v>DN21 1YN</v>
          </cell>
          <cell r="O1856" t="str">
            <v>janet.sanderson@gainsborough-st-georges.lincs.sch.uk</v>
          </cell>
        </row>
        <row r="1857">
          <cell r="A1857">
            <v>8802454</v>
          </cell>
          <cell r="B1857">
            <v>113230</v>
          </cell>
          <cell r="C1857">
            <v>880</v>
          </cell>
          <cell r="D1857" t="str">
            <v>Torbay</v>
          </cell>
          <cell r="E1857">
            <v>2454</v>
          </cell>
          <cell r="F1857" t="str">
            <v>Kate Bosher</v>
          </cell>
          <cell r="G1857" t="str">
            <v>Ellacombe School</v>
          </cell>
          <cell r="H1857" t="str">
            <v>South West</v>
          </cell>
          <cell r="I1857" t="str">
            <v>Ellacombe Church Road</v>
          </cell>
          <cell r="L1857" t="str">
            <v>Torquay</v>
          </cell>
          <cell r="M1857" t="str">
            <v>Devon</v>
          </cell>
          <cell r="N1857" t="str">
            <v>TQ1 1TG</v>
          </cell>
          <cell r="O1857" t="str">
            <v>admin@ellacombe.torbay.sch.uk</v>
          </cell>
        </row>
        <row r="1858">
          <cell r="A1858">
            <v>9354017</v>
          </cell>
          <cell r="B1858">
            <v>124795</v>
          </cell>
          <cell r="C1858">
            <v>935</v>
          </cell>
          <cell r="D1858" t="str">
            <v>Suffolk</v>
          </cell>
          <cell r="E1858">
            <v>4017</v>
          </cell>
          <cell r="F1858" t="str">
            <v>William Thursfield</v>
          </cell>
          <cell r="G1858" t="str">
            <v>Hadleigh High School</v>
          </cell>
          <cell r="H1858" t="str">
            <v>East of England</v>
          </cell>
          <cell r="I1858" t="str">
            <v>High Lands Road</v>
          </cell>
          <cell r="J1858" t="str">
            <v>Hadleigh</v>
          </cell>
          <cell r="L1858" t="str">
            <v>Ipswich</v>
          </cell>
          <cell r="M1858" t="str">
            <v>Suffolk</v>
          </cell>
          <cell r="N1858" t="str">
            <v>IP7 5HU</v>
          </cell>
          <cell r="O1858" t="str">
            <v>cgibson@hadleighhigh.net</v>
          </cell>
          <cell r="P1858">
            <v>40592</v>
          </cell>
        </row>
        <row r="1859">
          <cell r="A1859">
            <v>8934437</v>
          </cell>
          <cell r="B1859">
            <v>123584</v>
          </cell>
          <cell r="C1859">
            <v>893</v>
          </cell>
          <cell r="D1859" t="str">
            <v>Shropshire</v>
          </cell>
          <cell r="E1859">
            <v>4437</v>
          </cell>
          <cell r="F1859" t="str">
            <v>Beverley Samuel</v>
          </cell>
          <cell r="G1859" t="str">
            <v>The Marches School and Technology College</v>
          </cell>
          <cell r="H1859" t="str">
            <v>West Midlands</v>
          </cell>
          <cell r="I1859" t="str">
            <v>Morda Road</v>
          </cell>
          <cell r="L1859" t="str">
            <v>Oswestry</v>
          </cell>
          <cell r="M1859" t="str">
            <v>Shropshire</v>
          </cell>
          <cell r="N1859" t="str">
            <v>SY11 2AR</v>
          </cell>
          <cell r="O1859" t="str">
            <v>longville.s@shropshirelg.net</v>
          </cell>
          <cell r="P1859">
            <v>40564</v>
          </cell>
        </row>
        <row r="1860">
          <cell r="A1860">
            <v>8154203</v>
          </cell>
          <cell r="B1860">
            <v>121688</v>
          </cell>
          <cell r="C1860">
            <v>815</v>
          </cell>
          <cell r="D1860" t="str">
            <v>North Yorkshire</v>
          </cell>
          <cell r="E1860">
            <v>4203</v>
          </cell>
          <cell r="F1860" t="str">
            <v>Jane Moore</v>
          </cell>
          <cell r="G1860" t="str">
            <v>Ripon College</v>
          </cell>
          <cell r="H1860" t="str">
            <v>Yorkshire and the Humber</v>
          </cell>
          <cell r="I1860" t="str">
            <v>Clotherholme Road</v>
          </cell>
          <cell r="L1860" t="str">
            <v>Ripon</v>
          </cell>
          <cell r="M1860" t="str">
            <v>North Yorkshire</v>
          </cell>
          <cell r="N1860" t="str">
            <v>HG4 2DE</v>
          </cell>
          <cell r="O1860" t="str">
            <v>bfound@riponcollege.co.uk</v>
          </cell>
          <cell r="P1860">
            <v>40604</v>
          </cell>
        </row>
        <row r="1861">
          <cell r="A1861">
            <v>8604067</v>
          </cell>
          <cell r="B1861">
            <v>124396</v>
          </cell>
          <cell r="C1861">
            <v>860</v>
          </cell>
          <cell r="D1861" t="str">
            <v>Staffordshire</v>
          </cell>
          <cell r="E1861">
            <v>4067</v>
          </cell>
          <cell r="F1861" t="str">
            <v>Stephen Bagnall</v>
          </cell>
          <cell r="G1861" t="str">
            <v>Blythe Bridge High School</v>
          </cell>
          <cell r="H1861" t="str">
            <v>West Midlands</v>
          </cell>
          <cell r="I1861" t="str">
            <v>Cheadle Road</v>
          </cell>
          <cell r="J1861" t="str">
            <v>Blythe Bridge</v>
          </cell>
          <cell r="L1861" t="str">
            <v>Stoke-on-Trent</v>
          </cell>
          <cell r="M1861" t="str">
            <v>Staffordshire</v>
          </cell>
          <cell r="N1861" t="str">
            <v>ST11 9PW</v>
          </cell>
          <cell r="O1861" t="str">
            <v>headteacher@blythebridge.staffs.sch.uk</v>
          </cell>
        </row>
        <row r="1862">
          <cell r="A1862">
            <v>8553069</v>
          </cell>
          <cell r="B1862">
            <v>120152</v>
          </cell>
          <cell r="C1862">
            <v>855</v>
          </cell>
          <cell r="D1862" t="str">
            <v>Leicestershire</v>
          </cell>
          <cell r="E1862">
            <v>3069</v>
          </cell>
          <cell r="F1862" t="str">
            <v>Stephen Standret</v>
          </cell>
          <cell r="G1862" t="str">
            <v>Queniborough Church of England Primary School</v>
          </cell>
          <cell r="H1862" t="str">
            <v>East Midlands</v>
          </cell>
          <cell r="I1862" t="str">
            <v>Coppice Lane</v>
          </cell>
          <cell r="J1862" t="str">
            <v>Queniborough</v>
          </cell>
          <cell r="L1862" t="str">
            <v>Leicester</v>
          </cell>
          <cell r="M1862" t="str">
            <v>Leicestershire</v>
          </cell>
          <cell r="N1862" t="str">
            <v>LE7 3DR</v>
          </cell>
          <cell r="O1862" t="str">
            <v>head@quenischool.org.uk</v>
          </cell>
          <cell r="P1862">
            <v>40977</v>
          </cell>
        </row>
        <row r="1863">
          <cell r="A1863">
            <v>8782441</v>
          </cell>
          <cell r="B1863">
            <v>113218</v>
          </cell>
          <cell r="C1863">
            <v>878</v>
          </cell>
          <cell r="D1863" t="str">
            <v>Devon</v>
          </cell>
          <cell r="E1863">
            <v>2441</v>
          </cell>
          <cell r="F1863" t="str">
            <v>Lilian Da Cunha</v>
          </cell>
          <cell r="G1863" t="str">
            <v>South Brent Primary School - PAT</v>
          </cell>
          <cell r="H1863" t="str">
            <v>South West</v>
          </cell>
          <cell r="I1863" t="str">
            <v>Totnes Road</v>
          </cell>
          <cell r="L1863" t="str">
            <v>South Brent</v>
          </cell>
          <cell r="M1863" t="str">
            <v>Devon</v>
          </cell>
          <cell r="N1863" t="str">
            <v>TQ10 9JN</v>
          </cell>
          <cell r="O1863" t="str">
            <v>admin@south-brent-primary.devon.sch.uk</v>
          </cell>
          <cell r="P1863">
            <v>40673</v>
          </cell>
        </row>
        <row r="1864">
          <cell r="A1864">
            <v>8084001</v>
          </cell>
          <cell r="B1864">
            <v>132809</v>
          </cell>
          <cell r="C1864">
            <v>808</v>
          </cell>
          <cell r="D1864" t="str">
            <v>Stockton-on-Tees</v>
          </cell>
          <cell r="E1864">
            <v>4001</v>
          </cell>
          <cell r="F1864" t="str">
            <v>Bev Mullin</v>
          </cell>
          <cell r="G1864" t="str">
            <v>All Saints CofE School</v>
          </cell>
          <cell r="H1864" t="str">
            <v>North East</v>
          </cell>
          <cell r="I1864" t="str">
            <v>Blair Avenue</v>
          </cell>
          <cell r="J1864" t="str">
            <v>Ingleby Barwick</v>
          </cell>
          <cell r="L1864" t="str">
            <v>Stockton-on-Tees</v>
          </cell>
          <cell r="N1864" t="str">
            <v>TS17 5BL</v>
          </cell>
          <cell r="O1864" t="str">
            <v>Kevin.Mann@allsaintsva.co.uk</v>
          </cell>
          <cell r="P1864">
            <v>40732</v>
          </cell>
        </row>
        <row r="1865">
          <cell r="A1865">
            <v>3564039</v>
          </cell>
          <cell r="B1865">
            <v>106140</v>
          </cell>
          <cell r="C1865">
            <v>356</v>
          </cell>
          <cell r="D1865" t="str">
            <v>Stockport</v>
          </cell>
          <cell r="E1865">
            <v>4039</v>
          </cell>
          <cell r="F1865" t="str">
            <v>Jane McCusker</v>
          </cell>
          <cell r="G1865" t="str">
            <v>Cheadle Hulme High School</v>
          </cell>
          <cell r="H1865" t="str">
            <v>North West</v>
          </cell>
          <cell r="I1865" t="str">
            <v>Woods Lane</v>
          </cell>
          <cell r="J1865" t="str">
            <v>Cheadle Hulme</v>
          </cell>
          <cell r="L1865" t="str">
            <v>Cheadle</v>
          </cell>
          <cell r="M1865" t="str">
            <v>Cheshire</v>
          </cell>
          <cell r="N1865" t="str">
            <v>SK8 7JY</v>
          </cell>
          <cell r="O1865" t="str">
            <v>jane.dunkerley@chhs.stockport.sch.uk</v>
          </cell>
          <cell r="P1865">
            <v>40746</v>
          </cell>
        </row>
        <row r="1866">
          <cell r="A1866">
            <v>3053500</v>
          </cell>
          <cell r="B1866">
            <v>101651</v>
          </cell>
          <cell r="C1866">
            <v>305</v>
          </cell>
          <cell r="D1866" t="str">
            <v>Bromley</v>
          </cell>
          <cell r="E1866">
            <v>3500</v>
          </cell>
          <cell r="F1866" t="str">
            <v>Sheila Longstaff</v>
          </cell>
          <cell r="G1866" t="str">
            <v>St Joseph's Catholic Primary School</v>
          </cell>
          <cell r="H1866" t="str">
            <v>London</v>
          </cell>
          <cell r="I1866" t="str">
            <v>Plaistow Lane</v>
          </cell>
          <cell r="L1866" t="str">
            <v>Bromley</v>
          </cell>
          <cell r="M1866" t="str">
            <v>Kent</v>
          </cell>
          <cell r="N1866" t="str">
            <v>BR1 3JQ</v>
          </cell>
          <cell r="O1866" t="str">
            <v>sharongrange@st-josephs.bromley.sch.uk</v>
          </cell>
        </row>
        <row r="1867">
          <cell r="A1867">
            <v>9165200</v>
          </cell>
          <cell r="B1867">
            <v>115730</v>
          </cell>
          <cell r="C1867">
            <v>916</v>
          </cell>
          <cell r="D1867" t="str">
            <v>Gloucestershire</v>
          </cell>
          <cell r="E1867">
            <v>5200</v>
          </cell>
          <cell r="F1867" t="str">
            <v>Nigel Mills</v>
          </cell>
          <cell r="G1867" t="str">
            <v>Robinswood Primary School</v>
          </cell>
          <cell r="H1867" t="str">
            <v>South West</v>
          </cell>
          <cell r="I1867" t="str">
            <v>Underhill Road</v>
          </cell>
          <cell r="J1867" t="str">
            <v>Matson</v>
          </cell>
          <cell r="L1867" t="str">
            <v>Gloucester</v>
          </cell>
          <cell r="M1867" t="str">
            <v>Gloucestershire</v>
          </cell>
          <cell r="N1867" t="str">
            <v>GL4 6HE</v>
          </cell>
          <cell r="O1867" t="str">
            <v>head@robinswood.gloucs.sch.uk</v>
          </cell>
          <cell r="P1867">
            <v>40458</v>
          </cell>
        </row>
        <row r="1868">
          <cell r="A1868">
            <v>8305206</v>
          </cell>
          <cell r="B1868">
            <v>112980</v>
          </cell>
          <cell r="C1868">
            <v>830</v>
          </cell>
          <cell r="D1868" t="str">
            <v>Derbyshire</v>
          </cell>
          <cell r="E1868">
            <v>5206</v>
          </cell>
          <cell r="F1868" t="str">
            <v>Stella Mascarenhas-Keys</v>
          </cell>
          <cell r="G1868" t="str">
            <v>Redhill Foundation Primary School</v>
          </cell>
          <cell r="H1868" t="str">
            <v>East Midlands</v>
          </cell>
          <cell r="I1868" t="str">
            <v>The Ridings</v>
          </cell>
          <cell r="J1868" t="str">
            <v>Ockbrook</v>
          </cell>
          <cell r="L1868" t="str">
            <v>Derby</v>
          </cell>
          <cell r="M1868" t="str">
            <v>Derbyshire</v>
          </cell>
          <cell r="N1868" t="str">
            <v>DE72 3SF</v>
          </cell>
          <cell r="O1868" t="str">
            <v>headteacher@redhill.derbyshire.sch.uk</v>
          </cell>
          <cell r="P1868">
            <v>40823</v>
          </cell>
        </row>
        <row r="1869">
          <cell r="A1869">
            <v>9194083</v>
          </cell>
          <cell r="B1869">
            <v>117524</v>
          </cell>
          <cell r="C1869">
            <v>919</v>
          </cell>
          <cell r="D1869" t="str">
            <v>Hertfordshire</v>
          </cell>
          <cell r="E1869">
            <v>4083</v>
          </cell>
          <cell r="F1869" t="str">
            <v>Stella Aina</v>
          </cell>
          <cell r="G1869" t="str">
            <v>St Albans Girls' School</v>
          </cell>
          <cell r="H1869" t="str">
            <v>East of England</v>
          </cell>
          <cell r="I1869" t="str">
            <v>Sandridgebury Lane</v>
          </cell>
          <cell r="L1869" t="str">
            <v>St Albans</v>
          </cell>
          <cell r="M1869" t="str">
            <v>Hertfordshire</v>
          </cell>
          <cell r="N1869" t="str">
            <v>AL3 6DB</v>
          </cell>
          <cell r="O1869" t="str">
            <v>head@stags.herts.sch.uk</v>
          </cell>
        </row>
        <row r="1870">
          <cell r="A1870">
            <v>3585404</v>
          </cell>
          <cell r="B1870">
            <v>106361</v>
          </cell>
          <cell r="C1870">
            <v>358</v>
          </cell>
          <cell r="D1870" t="str">
            <v>Trafford</v>
          </cell>
          <cell r="E1870">
            <v>5404</v>
          </cell>
          <cell r="F1870" t="str">
            <v>Struan Mackenzie</v>
          </cell>
          <cell r="G1870" t="str">
            <v>Altrincham Grammar School for Boys</v>
          </cell>
          <cell r="H1870" t="str">
            <v>North West</v>
          </cell>
          <cell r="I1870" t="str">
            <v>Marlborough Road</v>
          </cell>
          <cell r="J1870" t="str">
            <v>Bowdon</v>
          </cell>
          <cell r="L1870" t="str">
            <v>Altrincham</v>
          </cell>
          <cell r="M1870" t="str">
            <v>Cheshire</v>
          </cell>
          <cell r="N1870" t="str">
            <v>WA14 2RS</v>
          </cell>
          <cell r="O1870" t="str">
            <v>tgartside@agsb.co.uk</v>
          </cell>
          <cell r="P1870">
            <v>40389</v>
          </cell>
        </row>
        <row r="1871">
          <cell r="A1871">
            <v>8854432</v>
          </cell>
          <cell r="B1871">
            <v>116978</v>
          </cell>
          <cell r="C1871">
            <v>885</v>
          </cell>
          <cell r="D1871" t="str">
            <v>Worcestershire</v>
          </cell>
          <cell r="E1871">
            <v>4432</v>
          </cell>
          <cell r="F1871" t="str">
            <v>Hannah Copp</v>
          </cell>
          <cell r="G1871" t="str">
            <v>Christopher Whitehead Language College</v>
          </cell>
          <cell r="H1871" t="str">
            <v>West Midlands</v>
          </cell>
          <cell r="I1871" t="str">
            <v>Bromwich Road</v>
          </cell>
          <cell r="J1871" t="str">
            <v>St John's</v>
          </cell>
          <cell r="L1871" t="str">
            <v>Worcester</v>
          </cell>
          <cell r="M1871" t="str">
            <v>Worcestershire</v>
          </cell>
          <cell r="N1871" t="str">
            <v>WR2 4AF</v>
          </cell>
          <cell r="O1871" t="str">
            <v>head@christopherwhitehead.worcs.sch.uk</v>
          </cell>
          <cell r="P1871">
            <v>40592</v>
          </cell>
        </row>
        <row r="1872">
          <cell r="A1872">
            <v>8223004</v>
          </cell>
          <cell r="B1872">
            <v>109597</v>
          </cell>
          <cell r="C1872">
            <v>822</v>
          </cell>
          <cell r="D1872" t="str">
            <v>Bedford</v>
          </cell>
          <cell r="E1872">
            <v>3004</v>
          </cell>
          <cell r="F1872" t="str">
            <v>Not yet assigned</v>
          </cell>
          <cell r="G1872" t="str">
            <v>Ursula Taylor VC Lower School</v>
          </cell>
          <cell r="H1872" t="str">
            <v>East of England</v>
          </cell>
          <cell r="I1872" t="str">
            <v>High Street</v>
          </cell>
          <cell r="J1872" t="str">
            <v>Clapham</v>
          </cell>
          <cell r="L1872" t="str">
            <v>Bedford</v>
          </cell>
          <cell r="M1872" t="str">
            <v>Bedfordshire</v>
          </cell>
          <cell r="N1872" t="str">
            <v>MK41 6EG</v>
          </cell>
          <cell r="O1872" t="str">
            <v>l.fraser@schools.bedfordshire.gov.uk</v>
          </cell>
        </row>
        <row r="1873">
          <cell r="A1873">
            <v>3054604</v>
          </cell>
          <cell r="B1873">
            <v>134632</v>
          </cell>
          <cell r="C1873">
            <v>305</v>
          </cell>
          <cell r="D1873" t="str">
            <v>Bromley</v>
          </cell>
          <cell r="E1873">
            <v>4604</v>
          </cell>
          <cell r="F1873" t="str">
            <v>Dervise Ali-Riza</v>
          </cell>
          <cell r="G1873" t="str">
            <v>Bishop Justus Church of England School</v>
          </cell>
          <cell r="H1873" t="str">
            <v>London</v>
          </cell>
          <cell r="I1873" t="str">
            <v>Magpie Hall Lane</v>
          </cell>
          <cell r="L1873" t="str">
            <v>Bromley</v>
          </cell>
          <cell r="M1873" t="str">
            <v>Kent</v>
          </cell>
          <cell r="N1873" t="str">
            <v>BR2 8HZ</v>
          </cell>
          <cell r="O1873" t="str">
            <v>kathy.griffiths@bishopjustus.bromley.sch.uk</v>
          </cell>
          <cell r="P1873">
            <v>40528</v>
          </cell>
        </row>
        <row r="1874">
          <cell r="A1874">
            <v>9314140</v>
          </cell>
          <cell r="B1874">
            <v>123261</v>
          </cell>
          <cell r="C1874">
            <v>931</v>
          </cell>
          <cell r="D1874" t="str">
            <v>Oxfordshire</v>
          </cell>
          <cell r="E1874">
            <v>4140</v>
          </cell>
          <cell r="F1874" t="str">
            <v>Bukky Sawyerr</v>
          </cell>
          <cell r="G1874" t="str">
            <v>Wallingford School</v>
          </cell>
          <cell r="H1874" t="str">
            <v>South East</v>
          </cell>
          <cell r="I1874" t="str">
            <v>St George's Road</v>
          </cell>
          <cell r="L1874" t="str">
            <v>Wallingford</v>
          </cell>
          <cell r="M1874" t="str">
            <v>Oxfordshire</v>
          </cell>
          <cell r="N1874" t="str">
            <v>OX10 8HH</v>
          </cell>
          <cell r="O1874" t="str">
            <v>wyll@wallingford.oxon.sch.uk</v>
          </cell>
          <cell r="P1874">
            <v>40661</v>
          </cell>
        </row>
        <row r="1875">
          <cell r="A1875">
            <v>9333086</v>
          </cell>
          <cell r="B1875">
            <v>123772</v>
          </cell>
          <cell r="C1875">
            <v>933</v>
          </cell>
          <cell r="D1875" t="str">
            <v>Somerset</v>
          </cell>
          <cell r="E1875">
            <v>3086</v>
          </cell>
          <cell r="F1875" t="str">
            <v>Theresa Oddelm</v>
          </cell>
          <cell r="G1875" t="str">
            <v>Old Cleeve CofE School, Washford</v>
          </cell>
          <cell r="H1875" t="str">
            <v>South West</v>
          </cell>
          <cell r="I1875" t="str">
            <v>Washford</v>
          </cell>
          <cell r="L1875" t="str">
            <v>Watchet</v>
          </cell>
          <cell r="M1875" t="str">
            <v>Somerset</v>
          </cell>
          <cell r="N1875" t="str">
            <v>TA23 0PB</v>
          </cell>
          <cell r="O1875" t="str">
            <v>ibradbury@educ.somerset.gov.uk</v>
          </cell>
        </row>
        <row r="1876">
          <cell r="A1876">
            <v>9252009</v>
          </cell>
          <cell r="B1876">
            <v>120372</v>
          </cell>
          <cell r="C1876">
            <v>925</v>
          </cell>
          <cell r="D1876" t="str">
            <v>Lincolnshire</v>
          </cell>
          <cell r="E1876">
            <v>2009</v>
          </cell>
          <cell r="F1876" t="str">
            <v>Grant Dyson</v>
          </cell>
          <cell r="G1876" t="str">
            <v>St John's Community Primary School</v>
          </cell>
          <cell r="H1876" t="str">
            <v>East Midlands</v>
          </cell>
          <cell r="I1876" t="str">
            <v>Grantham Road</v>
          </cell>
          <cell r="J1876" t="str">
            <v>Bracebridge Heath</v>
          </cell>
          <cell r="L1876" t="str">
            <v>Lincoln</v>
          </cell>
          <cell r="M1876" t="str">
            <v>Lincolnshire</v>
          </cell>
          <cell r="N1876" t="str">
            <v>LN4 2LD</v>
          </cell>
          <cell r="O1876" t="str">
            <v>susan.tuck@st-johns.lincs.sch.uk</v>
          </cell>
          <cell r="P1876">
            <v>40723</v>
          </cell>
        </row>
        <row r="1877">
          <cell r="A1877">
            <v>8552190</v>
          </cell>
          <cell r="B1877">
            <v>119990</v>
          </cell>
          <cell r="C1877">
            <v>855</v>
          </cell>
          <cell r="D1877" t="str">
            <v>Leicestershire</v>
          </cell>
          <cell r="E1877">
            <v>2190</v>
          </cell>
          <cell r="F1877" t="str">
            <v>Sue Harp</v>
          </cell>
          <cell r="G1877" t="str">
            <v>The Meadow Community Primary School</v>
          </cell>
          <cell r="H1877" t="str">
            <v>East Midlands</v>
          </cell>
          <cell r="I1877" t="str">
            <v>Meadow Way</v>
          </cell>
          <cell r="J1877" t="str">
            <v>Wigston Magna</v>
          </cell>
          <cell r="L1877" t="str">
            <v>Wigston</v>
          </cell>
          <cell r="M1877" t="str">
            <v>Leicestershire</v>
          </cell>
          <cell r="N1877" t="str">
            <v>LE18 3QZ</v>
          </cell>
          <cell r="O1877" t="str">
            <v>kmcgovern@meadowcommunity.leics.sch.uk</v>
          </cell>
          <cell r="P1877">
            <v>40889</v>
          </cell>
        </row>
        <row r="1878">
          <cell r="A1878">
            <v>9194802</v>
          </cell>
          <cell r="B1878">
            <v>134985</v>
          </cell>
          <cell r="C1878">
            <v>919</v>
          </cell>
          <cell r="D1878" t="str">
            <v>Hertfordshire</v>
          </cell>
          <cell r="E1878">
            <v>4802</v>
          </cell>
          <cell r="F1878" t="str">
            <v>Adriarna Goodinson</v>
          </cell>
          <cell r="G1878" t="str">
            <v>Yavneh College</v>
          </cell>
          <cell r="H1878" t="str">
            <v>East of England</v>
          </cell>
          <cell r="I1878" t="str">
            <v>Hillside Avenue</v>
          </cell>
          <cell r="L1878" t="str">
            <v>Borehamwood</v>
          </cell>
          <cell r="M1878" t="str">
            <v>Hertfordshire</v>
          </cell>
          <cell r="N1878" t="str">
            <v>WD6 1HL</v>
          </cell>
          <cell r="O1878" t="str">
            <v>dena.coleman522@yavnehcollege.herts.sch.uk</v>
          </cell>
          <cell r="P1878">
            <v>40553</v>
          </cell>
        </row>
        <row r="1879">
          <cell r="A1879">
            <v>8607750</v>
          </cell>
          <cell r="B1879">
            <v>124524</v>
          </cell>
          <cell r="C1879">
            <v>860</v>
          </cell>
          <cell r="D1879" t="str">
            <v>Staffordshire</v>
          </cell>
          <cell r="E1879">
            <v>7750</v>
          </cell>
          <cell r="F1879" t="str">
            <v>Gabriela Grimley</v>
          </cell>
          <cell r="G1879" t="str">
            <v>Greenhall Nursery</v>
          </cell>
          <cell r="H1879" t="str">
            <v>West Midlands</v>
          </cell>
          <cell r="I1879" t="str">
            <v>Second Avenue</v>
          </cell>
          <cell r="J1879" t="str">
            <v>Holmcroft</v>
          </cell>
          <cell r="L1879" t="str">
            <v>Stafford</v>
          </cell>
          <cell r="M1879" t="str">
            <v>Staffordshire</v>
          </cell>
          <cell r="N1879" t="str">
            <v>ST16 1PS</v>
          </cell>
          <cell r="O1879" t="str">
            <v>headteacher@greenhall.staffs.sch.uk</v>
          </cell>
        </row>
        <row r="1880">
          <cell r="A1880">
            <v>8553310</v>
          </cell>
          <cell r="B1880">
            <v>120196</v>
          </cell>
          <cell r="C1880">
            <v>855</v>
          </cell>
          <cell r="D1880" t="str">
            <v>Leicestershire</v>
          </cell>
          <cell r="E1880">
            <v>3310</v>
          </cell>
          <cell r="F1880" t="str">
            <v>Sue Harp</v>
          </cell>
          <cell r="G1880" t="str">
            <v>St Andrew's CofE Primary School</v>
          </cell>
          <cell r="H1880" t="str">
            <v>East Midlands</v>
          </cell>
          <cell r="I1880" t="str">
            <v>Dag Lane</v>
          </cell>
          <cell r="J1880" t="str">
            <v>North Kilworth</v>
          </cell>
          <cell r="L1880" t="str">
            <v>Lutterworth</v>
          </cell>
          <cell r="M1880" t="str">
            <v>Leicestershire</v>
          </cell>
          <cell r="N1880" t="str">
            <v>LE17 6HD</v>
          </cell>
        </row>
        <row r="1881">
          <cell r="A1881">
            <v>9333492</v>
          </cell>
          <cell r="B1881">
            <v>123861</v>
          </cell>
          <cell r="C1881">
            <v>933</v>
          </cell>
          <cell r="D1881" t="str">
            <v>Somerset</v>
          </cell>
          <cell r="E1881">
            <v>3492</v>
          </cell>
          <cell r="F1881" t="str">
            <v>Ali Bushell</v>
          </cell>
          <cell r="G1881" t="str">
            <v xml:space="preserve">St Vigor and St John Primary CE School </v>
          </cell>
          <cell r="H1881" t="str">
            <v>South West</v>
          </cell>
          <cell r="I1881" t="str">
            <v>Wells Road</v>
          </cell>
          <cell r="J1881" t="str">
            <v>Chilcompton</v>
          </cell>
          <cell r="L1881" t="str">
            <v>Radstock</v>
          </cell>
          <cell r="M1881" t="str">
            <v>Somerset</v>
          </cell>
          <cell r="N1881" t="str">
            <v>BA3 4EX</v>
          </cell>
          <cell r="O1881" t="str">
            <v>RBailey@educ.somerset.gov.uk</v>
          </cell>
        </row>
        <row r="1882">
          <cell r="A1882">
            <v>2084322</v>
          </cell>
          <cell r="B1882">
            <v>100626</v>
          </cell>
          <cell r="C1882">
            <v>208</v>
          </cell>
          <cell r="D1882" t="str">
            <v>Lambeth</v>
          </cell>
          <cell r="E1882">
            <v>4322</v>
          </cell>
          <cell r="F1882" t="str">
            <v>Susan Shakespeare</v>
          </cell>
          <cell r="G1882" t="str">
            <v>Stockwell Park High School</v>
          </cell>
          <cell r="H1882" t="str">
            <v>London</v>
          </cell>
          <cell r="I1882" t="str">
            <v>Clapham Road</v>
          </cell>
          <cell r="L1882" t="str">
            <v>London</v>
          </cell>
          <cell r="N1882" t="str">
            <v>SW9 0AL</v>
          </cell>
          <cell r="O1882" t="str">
            <v>theheadteacher@stockpark.lambeth.sch.uk</v>
          </cell>
          <cell r="P1882">
            <v>40350</v>
          </cell>
        </row>
        <row r="1883">
          <cell r="A1883">
            <v>3822152</v>
          </cell>
          <cell r="B1883">
            <v>107697</v>
          </cell>
          <cell r="C1883">
            <v>382</v>
          </cell>
          <cell r="D1883" t="str">
            <v>Kirklees</v>
          </cell>
          <cell r="E1883">
            <v>2152</v>
          </cell>
          <cell r="F1883" t="str">
            <v>Bev Annables</v>
          </cell>
          <cell r="G1883" t="str">
            <v>Crossley Fields Junior and Infant School</v>
          </cell>
          <cell r="H1883" t="str">
            <v>Yorkshire and the Humber</v>
          </cell>
          <cell r="I1883" t="str">
            <v>Wellhouse Lane</v>
          </cell>
          <cell r="L1883" t="str">
            <v>Mirfield</v>
          </cell>
          <cell r="M1883" t="str">
            <v>West Yorkshire</v>
          </cell>
          <cell r="N1883" t="str">
            <v>WF14 0BE</v>
          </cell>
          <cell r="O1883" t="str">
            <v>head.crossleyfields@kirklees-schools.org.uk</v>
          </cell>
        </row>
        <row r="1884">
          <cell r="A1884">
            <v>8123060</v>
          </cell>
          <cell r="B1884">
            <v>118009</v>
          </cell>
          <cell r="C1884">
            <v>812</v>
          </cell>
          <cell r="D1884" t="str">
            <v>North East Lincolnshire</v>
          </cell>
          <cell r="E1884">
            <v>3060</v>
          </cell>
          <cell r="F1884" t="str">
            <v>Bev Annables</v>
          </cell>
          <cell r="G1884" t="str">
            <v>East Ravendale CofE Primary School</v>
          </cell>
          <cell r="H1884" t="str">
            <v>Yorkshire and the Humber</v>
          </cell>
          <cell r="I1884" t="str">
            <v>East Ravendale</v>
          </cell>
          <cell r="L1884" t="str">
            <v>Grimsby</v>
          </cell>
          <cell r="M1884" t="str">
            <v>Lincolnshire</v>
          </cell>
          <cell r="N1884" t="str">
            <v>DN37 0RX</v>
          </cell>
          <cell r="O1884" t="str">
            <v>head@eastravendale.co.uk</v>
          </cell>
          <cell r="P1884">
            <v>40715</v>
          </cell>
        </row>
        <row r="1885">
          <cell r="A1885">
            <v>3145403</v>
          </cell>
          <cell r="B1885">
            <v>102608</v>
          </cell>
          <cell r="C1885">
            <v>314</v>
          </cell>
          <cell r="D1885" t="str">
            <v>Kingston upon Thames</v>
          </cell>
          <cell r="E1885">
            <v>5403</v>
          </cell>
          <cell r="F1885" t="str">
            <v>Helen Barry</v>
          </cell>
          <cell r="G1885" t="str">
            <v>Coombe Boys' School</v>
          </cell>
          <cell r="H1885" t="str">
            <v>London</v>
          </cell>
          <cell r="I1885" t="str">
            <v>College Gardens, Blakes Lane</v>
          </cell>
          <cell r="L1885" t="str">
            <v>New Malden</v>
          </cell>
          <cell r="M1885" t="str">
            <v>Surrey</v>
          </cell>
          <cell r="N1885" t="str">
            <v>KT3 6NU</v>
          </cell>
          <cell r="O1885" t="str">
            <v>deborah.walls@coombe.rbksch.org</v>
          </cell>
          <cell r="P1885">
            <v>40809</v>
          </cell>
        </row>
        <row r="1886">
          <cell r="A1886">
            <v>3722008</v>
          </cell>
          <cell r="B1886">
            <v>106837</v>
          </cell>
          <cell r="C1886">
            <v>372</v>
          </cell>
          <cell r="D1886" t="str">
            <v>Rotherham</v>
          </cell>
          <cell r="E1886">
            <v>2008</v>
          </cell>
          <cell r="F1886" t="str">
            <v>Nick Monton</v>
          </cell>
          <cell r="G1886" t="str">
            <v>Coleridge Primary School</v>
          </cell>
          <cell r="H1886" t="str">
            <v>Yorkshire and the Humber</v>
          </cell>
          <cell r="I1886" t="str">
            <v>Coleridge Road</v>
          </cell>
          <cell r="L1886" t="str">
            <v>Rotherham</v>
          </cell>
          <cell r="M1886" t="str">
            <v>South Yorkshire</v>
          </cell>
          <cell r="N1886" t="str">
            <v>S65 1LW</v>
          </cell>
        </row>
        <row r="1887">
          <cell r="A1887">
            <v>3833907</v>
          </cell>
          <cell r="B1887">
            <v>108046</v>
          </cell>
          <cell r="C1887">
            <v>383</v>
          </cell>
          <cell r="D1887" t="str">
            <v>Leeds</v>
          </cell>
          <cell r="E1887">
            <v>3907</v>
          </cell>
          <cell r="F1887" t="str">
            <v>Bev Annables</v>
          </cell>
          <cell r="G1887" t="str">
            <v>Meanwood Church of England Primary School</v>
          </cell>
          <cell r="H1887" t="str">
            <v>Yorkshire and the Humber</v>
          </cell>
          <cell r="I1887" t="str">
            <v>Green Road</v>
          </cell>
          <cell r="L1887" t="str">
            <v>Leeds</v>
          </cell>
          <cell r="M1887" t="str">
            <v>West Yorkshire</v>
          </cell>
          <cell r="N1887" t="str">
            <v>LS6 4LD</v>
          </cell>
          <cell r="O1887" t="str">
            <v>sanderhi01@leedslearning.net</v>
          </cell>
        </row>
        <row r="1888">
          <cell r="A1888">
            <v>8814026</v>
          </cell>
          <cell r="B1888">
            <v>115209</v>
          </cell>
          <cell r="C1888">
            <v>881</v>
          </cell>
          <cell r="D1888" t="str">
            <v>Essex</v>
          </cell>
          <cell r="E1888">
            <v>4026</v>
          </cell>
          <cell r="F1888" t="str">
            <v>David Rudd</v>
          </cell>
          <cell r="G1888" t="str">
            <v>Hedingham School and Sixth Form</v>
          </cell>
          <cell r="H1888" t="str">
            <v>East of England</v>
          </cell>
          <cell r="I1888" t="str">
            <v>Yeldham Road</v>
          </cell>
          <cell r="J1888" t="str">
            <v>Sible Hedingham</v>
          </cell>
          <cell r="L1888" t="str">
            <v>Halstead</v>
          </cell>
          <cell r="M1888" t="str">
            <v>Essex</v>
          </cell>
          <cell r="N1888" t="str">
            <v>CO9 3QH</v>
          </cell>
          <cell r="O1888" t="str">
            <v>admin@hedingham.essex.sch.uk</v>
          </cell>
          <cell r="P1888">
            <v>41116</v>
          </cell>
        </row>
        <row r="1889">
          <cell r="A1889">
            <v>3702145</v>
          </cell>
          <cell r="B1889">
            <v>132753</v>
          </cell>
          <cell r="C1889">
            <v>370</v>
          </cell>
          <cell r="D1889" t="str">
            <v>Barnsley</v>
          </cell>
          <cell r="E1889">
            <v>2145</v>
          </cell>
          <cell r="F1889" t="str">
            <v>Lisa Sargeant</v>
          </cell>
          <cell r="G1889" t="str">
            <v>Dodworth St John the Baptist CofE (VA) Primary School</v>
          </cell>
          <cell r="H1889" t="str">
            <v>Yorkshire and the Humber</v>
          </cell>
          <cell r="I1889" t="str">
            <v>Barnsley Road</v>
          </cell>
          <cell r="J1889" t="str">
            <v>Dodworth</v>
          </cell>
          <cell r="L1889" t="str">
            <v>Barnsley</v>
          </cell>
          <cell r="M1889" t="str">
            <v>South Yorkshire</v>
          </cell>
          <cell r="N1889" t="str">
            <v>S75 3JS</v>
          </cell>
          <cell r="O1889" t="str">
            <v>i.goddard@barnsley.org</v>
          </cell>
        </row>
        <row r="1890">
          <cell r="A1890">
            <v>3355201</v>
          </cell>
          <cell r="B1890">
            <v>104257</v>
          </cell>
          <cell r="C1890">
            <v>335</v>
          </cell>
          <cell r="D1890" t="str">
            <v>Walsall</v>
          </cell>
          <cell r="E1890">
            <v>5201</v>
          </cell>
          <cell r="F1890" t="str">
            <v>Stephen Bagnall</v>
          </cell>
          <cell r="G1890" t="str">
            <v>Park Hall Junior School</v>
          </cell>
          <cell r="H1890" t="str">
            <v>West Midlands</v>
          </cell>
          <cell r="I1890" t="str">
            <v>Park Hall Road</v>
          </cell>
          <cell r="L1890" t="str">
            <v>Walsall</v>
          </cell>
          <cell r="M1890" t="str">
            <v>West Midlands</v>
          </cell>
          <cell r="N1890" t="str">
            <v>WS5 3HF</v>
          </cell>
          <cell r="O1890" t="str">
            <v>ghealy@parkhall-jun.walsall.sch.uk</v>
          </cell>
          <cell r="P1890">
            <v>40704</v>
          </cell>
        </row>
        <row r="1891">
          <cell r="A1891">
            <v>3444073</v>
          </cell>
          <cell r="B1891">
            <v>105108</v>
          </cell>
          <cell r="C1891">
            <v>344</v>
          </cell>
          <cell r="D1891" t="str">
            <v>Wirral</v>
          </cell>
          <cell r="E1891">
            <v>4073</v>
          </cell>
          <cell r="F1891" t="str">
            <v>Maria Sabberton</v>
          </cell>
          <cell r="G1891" t="str">
            <v>Wallasey School</v>
          </cell>
          <cell r="H1891" t="str">
            <v>North West</v>
          </cell>
          <cell r="I1891" t="str">
            <v>Birket Avenue</v>
          </cell>
          <cell r="J1891" t="str">
            <v>Moreton</v>
          </cell>
          <cell r="L1891" t="str">
            <v>Wirral</v>
          </cell>
          <cell r="M1891" t="str">
            <v>Merseyside</v>
          </cell>
          <cell r="N1891" t="str">
            <v>CH46 1RB</v>
          </cell>
          <cell r="O1891" t="str">
            <v>headteacher@wallasey.wirral.sch.uk</v>
          </cell>
        </row>
        <row r="1892">
          <cell r="A1892">
            <v>3102052</v>
          </cell>
          <cell r="B1892">
            <v>102187</v>
          </cell>
          <cell r="C1892">
            <v>310</v>
          </cell>
          <cell r="D1892" t="str">
            <v>Harrow</v>
          </cell>
          <cell r="E1892">
            <v>2052</v>
          </cell>
          <cell r="F1892" t="str">
            <v>Helen Fisher</v>
          </cell>
          <cell r="G1892" t="str">
            <v>Grimsdyke School</v>
          </cell>
          <cell r="H1892" t="str">
            <v>London</v>
          </cell>
          <cell r="I1892" t="str">
            <v>Sylvia Avenue</v>
          </cell>
          <cell r="J1892" t="str">
            <v>Hatch End</v>
          </cell>
          <cell r="L1892" t="str">
            <v>Pinner</v>
          </cell>
          <cell r="N1892" t="str">
            <v>HA5 4QE</v>
          </cell>
          <cell r="P1892">
            <v>41057</v>
          </cell>
        </row>
        <row r="1893">
          <cell r="A1893">
            <v>8123059</v>
          </cell>
          <cell r="B1893">
            <v>118008</v>
          </cell>
          <cell r="C1893">
            <v>812</v>
          </cell>
          <cell r="D1893" t="str">
            <v>North East Lincolnshire</v>
          </cell>
          <cell r="E1893">
            <v>3059</v>
          </cell>
          <cell r="F1893" t="str">
            <v>Bev Annables</v>
          </cell>
          <cell r="G1893" t="str">
            <v>St Peter's CofE Primary School</v>
          </cell>
          <cell r="H1893" t="str">
            <v>Yorkshire and the Humber</v>
          </cell>
          <cell r="I1893" t="str">
            <v>Cambridge Street</v>
          </cell>
          <cell r="L1893" t="str">
            <v>Cleethorpes</v>
          </cell>
          <cell r="M1893" t="str">
            <v>Lincolnshire</v>
          </cell>
          <cell r="N1893" t="str">
            <v>DN35 8LW</v>
          </cell>
          <cell r="O1893" t="str">
            <v>head@spp.tlfe.org</v>
          </cell>
        </row>
        <row r="1894">
          <cell r="A1894">
            <v>9373072</v>
          </cell>
          <cell r="B1894">
            <v>125650</v>
          </cell>
          <cell r="C1894">
            <v>937</v>
          </cell>
          <cell r="D1894" t="str">
            <v>Warwickshire</v>
          </cell>
          <cell r="E1894">
            <v>3072</v>
          </cell>
          <cell r="F1894" t="str">
            <v>Liz Robinson</v>
          </cell>
          <cell r="G1894" t="str">
            <v>Warton Nethersole's CofE Primary School</v>
          </cell>
          <cell r="H1894" t="str">
            <v>West Midlands</v>
          </cell>
          <cell r="I1894" t="str">
            <v>Maypole Road</v>
          </cell>
          <cell r="J1894" t="str">
            <v>Warton</v>
          </cell>
          <cell r="L1894" t="str">
            <v>Tamworth</v>
          </cell>
          <cell r="M1894" t="str">
            <v>Staffordshire</v>
          </cell>
          <cell r="N1894" t="str">
            <v>B79 0HP</v>
          </cell>
          <cell r="O1894" t="str">
            <v>head3072@we-learn.com</v>
          </cell>
          <cell r="P1894">
            <v>41207</v>
          </cell>
        </row>
        <row r="1895">
          <cell r="A1895">
            <v>8733368</v>
          </cell>
          <cell r="B1895">
            <v>110847</v>
          </cell>
          <cell r="C1895">
            <v>873</v>
          </cell>
          <cell r="D1895" t="str">
            <v>Cambridgeshire</v>
          </cell>
          <cell r="E1895">
            <v>3368</v>
          </cell>
          <cell r="F1895" t="str">
            <v>Joe Farrell</v>
          </cell>
          <cell r="G1895" t="str">
            <v>The Elton CofE Primary School of the Foundation of Frances and Jane Proby</v>
          </cell>
          <cell r="H1895" t="str">
            <v>East of England</v>
          </cell>
          <cell r="I1895" t="str">
            <v>School Lane</v>
          </cell>
          <cell r="J1895" t="str">
            <v>Elton</v>
          </cell>
          <cell r="L1895" t="str">
            <v>Peterborough</v>
          </cell>
          <cell r="M1895" t="str">
            <v>Cambridgeshire</v>
          </cell>
          <cell r="N1895" t="str">
            <v>PE8 6RS</v>
          </cell>
          <cell r="O1895" t="str">
            <v>head@elton.cambs.sch.uk</v>
          </cell>
        </row>
        <row r="1896">
          <cell r="A1896">
            <v>8014627</v>
          </cell>
          <cell r="B1896">
            <v>130914</v>
          </cell>
          <cell r="C1896">
            <v>801</v>
          </cell>
          <cell r="D1896" t="str">
            <v>Bristol City of</v>
          </cell>
          <cell r="E1896">
            <v>4627</v>
          </cell>
          <cell r="F1896" t="str">
            <v>Maria Whiting</v>
          </cell>
          <cell r="G1896" t="str">
            <v>Redland Green</v>
          </cell>
          <cell r="H1896" t="str">
            <v>South West</v>
          </cell>
          <cell r="I1896" t="str">
            <v>Redland Court Road</v>
          </cell>
          <cell r="J1896" t="str">
            <v>Redland</v>
          </cell>
          <cell r="L1896" t="str">
            <v>Bristol</v>
          </cell>
          <cell r="N1896" t="str">
            <v>BS6 7EH</v>
          </cell>
          <cell r="O1896" t="str">
            <v>head@redlandgreen.bristol.sch.uk</v>
          </cell>
          <cell r="P1896">
            <v>40996</v>
          </cell>
        </row>
        <row r="1897">
          <cell r="A1897">
            <v>3063403</v>
          </cell>
          <cell r="B1897">
            <v>101796</v>
          </cell>
          <cell r="C1897">
            <v>306</v>
          </cell>
          <cell r="D1897" t="str">
            <v>Croydon</v>
          </cell>
          <cell r="E1897">
            <v>3403</v>
          </cell>
          <cell r="F1897" t="str">
            <v>Kiran Teli</v>
          </cell>
          <cell r="G1897" t="str">
            <v>St Thomas Becket Catholic Primary School</v>
          </cell>
          <cell r="H1897" t="str">
            <v>London</v>
          </cell>
          <cell r="I1897" t="str">
            <v>Becket Close</v>
          </cell>
          <cell r="J1897" t="str">
            <v>Birchanger Road</v>
          </cell>
          <cell r="L1897" t="str">
            <v>London</v>
          </cell>
          <cell r="N1897" t="str">
            <v>SE25 5BN</v>
          </cell>
          <cell r="O1897" t="str">
            <v>ncampbell@thomasbecket.croydon.sch.uk</v>
          </cell>
          <cell r="P1897">
            <v>40982</v>
          </cell>
        </row>
        <row r="1898">
          <cell r="A1898">
            <v>9253338</v>
          </cell>
          <cell r="B1898">
            <v>120612</v>
          </cell>
          <cell r="C1898">
            <v>925</v>
          </cell>
          <cell r="D1898" t="str">
            <v>Lincolnshire</v>
          </cell>
          <cell r="E1898">
            <v>3338</v>
          </cell>
          <cell r="F1898" t="str">
            <v>Grant Dyson</v>
          </cell>
          <cell r="G1898" t="str">
            <v>The Spalding Parish Church of England Day School</v>
          </cell>
          <cell r="H1898" t="str">
            <v>East Midlands</v>
          </cell>
          <cell r="I1898" t="str">
            <v>Clay Lake</v>
          </cell>
          <cell r="L1898" t="str">
            <v>Spalding</v>
          </cell>
          <cell r="M1898" t="str">
            <v>Lincolnshire</v>
          </cell>
          <cell r="N1898" t="str">
            <v>PE11 2QG</v>
          </cell>
          <cell r="O1898" t="str">
            <v>glyn.rushton@spaldingparish.lincs.sch.uk</v>
          </cell>
        </row>
        <row r="1899">
          <cell r="A1899">
            <v>8014032</v>
          </cell>
          <cell r="B1899">
            <v>109280</v>
          </cell>
          <cell r="C1899">
            <v>801</v>
          </cell>
          <cell r="D1899" t="str">
            <v>Bristol City of</v>
          </cell>
          <cell r="E1899">
            <v>4032</v>
          </cell>
          <cell r="F1899" t="str">
            <v>Kate Bosher</v>
          </cell>
          <cell r="G1899" t="str">
            <v>Brislington Enterprise College</v>
          </cell>
          <cell r="H1899" t="str">
            <v>South West</v>
          </cell>
          <cell r="I1899" t="str">
            <v>Hungerford Road</v>
          </cell>
          <cell r="J1899" t="str">
            <v>Brislington</v>
          </cell>
          <cell r="L1899" t="str">
            <v>Bristol</v>
          </cell>
          <cell r="N1899" t="str">
            <v>BS4 5EY</v>
          </cell>
          <cell r="O1899" t="str">
            <v>dmatthews@because.org.uk</v>
          </cell>
          <cell r="P1899">
            <v>40949</v>
          </cell>
        </row>
        <row r="1900">
          <cell r="A1900">
            <v>8372230</v>
          </cell>
          <cell r="B1900">
            <v>113729</v>
          </cell>
          <cell r="C1900">
            <v>837</v>
          </cell>
          <cell r="D1900" t="str">
            <v>Bournemouth</v>
          </cell>
          <cell r="E1900">
            <v>2230</v>
          </cell>
          <cell r="F1900" t="str">
            <v>Lilian Da Cunha</v>
          </cell>
          <cell r="G1900" t="str">
            <v>Stourfield Infant School</v>
          </cell>
          <cell r="H1900" t="str">
            <v>South West</v>
          </cell>
          <cell r="I1900" t="str">
            <v>Cranleigh Road</v>
          </cell>
          <cell r="J1900" t="str">
            <v>Southbourne</v>
          </cell>
          <cell r="L1900" t="str">
            <v>Bournemouth</v>
          </cell>
          <cell r="M1900" t="str">
            <v>Dorset</v>
          </cell>
          <cell r="N1900" t="str">
            <v>BH6 5JS</v>
          </cell>
          <cell r="O1900" t="str">
            <v>cathy.kirkham@bournemouth.gov.uk</v>
          </cell>
          <cell r="P1900">
            <v>40982</v>
          </cell>
        </row>
        <row r="1901">
          <cell r="A1901">
            <v>8742457</v>
          </cell>
          <cell r="B1901">
            <v>133537</v>
          </cell>
          <cell r="C1901">
            <v>874</v>
          </cell>
          <cell r="D1901" t="str">
            <v>Peterborough</v>
          </cell>
          <cell r="E1901">
            <v>2457</v>
          </cell>
          <cell r="F1901" t="str">
            <v>Joe Farrell</v>
          </cell>
          <cell r="G1901" t="str">
            <v>Nene Valley Primary School</v>
          </cell>
          <cell r="H1901" t="str">
            <v>East of England</v>
          </cell>
          <cell r="I1901" t="str">
            <v>Sugar Way</v>
          </cell>
          <cell r="L1901" t="str">
            <v>Peterborough</v>
          </cell>
          <cell r="M1901" t="str">
            <v>Cambridgeshire</v>
          </cell>
          <cell r="N1901" t="str">
            <v>PE2 9RT</v>
          </cell>
          <cell r="O1901" t="str">
            <v>head@nenevalleyprimary.net</v>
          </cell>
        </row>
        <row r="1902">
          <cell r="A1902">
            <v>2085203</v>
          </cell>
          <cell r="B1902">
            <v>100631</v>
          </cell>
          <cell r="C1902">
            <v>208</v>
          </cell>
          <cell r="D1902" t="str">
            <v>Lambeth</v>
          </cell>
          <cell r="E1902">
            <v>5203</v>
          </cell>
          <cell r="F1902" t="str">
            <v>Tahir Shams</v>
          </cell>
          <cell r="G1902" t="str">
            <v>St Bede's Catholic Infant and Nursery School</v>
          </cell>
          <cell r="H1902" t="str">
            <v>London</v>
          </cell>
          <cell r="I1902" t="str">
            <v>Thornton Road</v>
          </cell>
          <cell r="L1902" t="str">
            <v>London</v>
          </cell>
          <cell r="N1902" t="str">
            <v>SW12 0LF</v>
          </cell>
          <cell r="O1902" t="str">
            <v>cathy.davis@st-bedes.lambeth.sch.uk</v>
          </cell>
        </row>
        <row r="1903">
          <cell r="A1903">
            <v>8684044</v>
          </cell>
          <cell r="B1903">
            <v>110056</v>
          </cell>
          <cell r="C1903">
            <v>868</v>
          </cell>
          <cell r="D1903" t="str">
            <v>Windsor and Maidenhead</v>
          </cell>
          <cell r="E1903">
            <v>4044</v>
          </cell>
          <cell r="F1903" t="str">
            <v>Darren Francis</v>
          </cell>
          <cell r="G1903" t="str">
            <v>The Windsor Boys' School</v>
          </cell>
          <cell r="H1903" t="str">
            <v>South East</v>
          </cell>
          <cell r="I1903" t="str">
            <v>1 Maidenhead Road</v>
          </cell>
          <cell r="L1903" t="str">
            <v>Windsor</v>
          </cell>
          <cell r="M1903" t="str">
            <v>Berkshire</v>
          </cell>
          <cell r="N1903" t="str">
            <v>SL4 5EH</v>
          </cell>
          <cell r="O1903" t="str">
            <v>willt008@rbwm.org</v>
          </cell>
        </row>
        <row r="1904">
          <cell r="A1904">
            <v>9364462</v>
          </cell>
          <cell r="B1904">
            <v>125270</v>
          </cell>
          <cell r="C1904">
            <v>936</v>
          </cell>
          <cell r="D1904" t="str">
            <v>Surrey</v>
          </cell>
          <cell r="E1904">
            <v>4462</v>
          </cell>
          <cell r="F1904" t="str">
            <v>Gabriela Grimley</v>
          </cell>
          <cell r="G1904" t="str">
            <v>Woking High School</v>
          </cell>
          <cell r="H1904" t="str">
            <v>South East</v>
          </cell>
          <cell r="I1904" t="str">
            <v>Morton Road</v>
          </cell>
          <cell r="J1904" t="str">
            <v>Horsell</v>
          </cell>
          <cell r="L1904" t="str">
            <v>Woking</v>
          </cell>
          <cell r="M1904" t="str">
            <v>Surrey</v>
          </cell>
          <cell r="N1904" t="str">
            <v>GU21 4TJ</v>
          </cell>
          <cell r="O1904" t="str">
            <v>jabbott@wokinghigh.surrey.sch.uk</v>
          </cell>
        </row>
        <row r="1905">
          <cell r="A1905">
            <v>8863073</v>
          </cell>
          <cell r="B1905">
            <v>118626</v>
          </cell>
          <cell r="C1905">
            <v>886</v>
          </cell>
          <cell r="D1905" t="str">
            <v>Kent</v>
          </cell>
          <cell r="E1905">
            <v>3073</v>
          </cell>
          <cell r="F1905" t="str">
            <v>Nicky Edwards</v>
          </cell>
          <cell r="G1905" t="str">
            <v>St Michael's Church of England Infant School Maidstone</v>
          </cell>
          <cell r="H1905" t="str">
            <v>South East</v>
          </cell>
          <cell r="I1905" t="str">
            <v>Douglas Road</v>
          </cell>
          <cell r="L1905" t="str">
            <v>Maidstone</v>
          </cell>
          <cell r="M1905" t="str">
            <v>Kent</v>
          </cell>
          <cell r="N1905" t="str">
            <v>ME16 8ER</v>
          </cell>
          <cell r="O1905" t="str">
            <v>headteacher@st-michaels-infant.kent.sch.uk</v>
          </cell>
        </row>
        <row r="1906">
          <cell r="A1906">
            <v>8552037</v>
          </cell>
          <cell r="B1906">
            <v>119924</v>
          </cell>
          <cell r="C1906">
            <v>855</v>
          </cell>
          <cell r="D1906" t="str">
            <v>Leicestershire</v>
          </cell>
          <cell r="E1906">
            <v>2037</v>
          </cell>
          <cell r="F1906" t="str">
            <v>Sue Harp</v>
          </cell>
          <cell r="G1906" t="str">
            <v>Gaddesby Primary School</v>
          </cell>
          <cell r="H1906" t="str">
            <v>East Midlands</v>
          </cell>
          <cell r="I1906" t="str">
            <v>Ashby Road</v>
          </cell>
          <cell r="J1906" t="str">
            <v>Gaddesby</v>
          </cell>
          <cell r="L1906" t="str">
            <v>Leicester</v>
          </cell>
          <cell r="M1906" t="str">
            <v>Leicestershire</v>
          </cell>
          <cell r="N1906" t="str">
            <v>LE7 4WF</v>
          </cell>
          <cell r="O1906" t="str">
            <v>headteacher@gaddesby.leics.sch.uk</v>
          </cell>
          <cell r="P1906">
            <v>40980</v>
          </cell>
        </row>
        <row r="1907">
          <cell r="A1907">
            <v>9253037</v>
          </cell>
          <cell r="B1907">
            <v>120528</v>
          </cell>
          <cell r="C1907">
            <v>925</v>
          </cell>
          <cell r="D1907" t="str">
            <v>Lincolnshire</v>
          </cell>
          <cell r="E1907">
            <v>3037</v>
          </cell>
          <cell r="G1907" t="str">
            <v>Leasingham St Andrew's</v>
          </cell>
          <cell r="H1907" t="str">
            <v>East Midlands</v>
          </cell>
          <cell r="I1907" t="str">
            <v>Lincoln Road</v>
          </cell>
          <cell r="J1907" t="str">
            <v>Leasingham</v>
          </cell>
          <cell r="L1907" t="str">
            <v>Sleaford</v>
          </cell>
          <cell r="M1907" t="str">
            <v>Lincolnshire</v>
          </cell>
          <cell r="N1907" t="str">
            <v>NG34 8JS</v>
          </cell>
          <cell r="O1907" t="str">
            <v>david.hodgson@st-andrews.lincs.sch.uk</v>
          </cell>
        </row>
        <row r="1908">
          <cell r="A1908">
            <v>9082715</v>
          </cell>
          <cell r="B1908">
            <v>111961</v>
          </cell>
          <cell r="C1908">
            <v>908</v>
          </cell>
          <cell r="D1908" t="str">
            <v>Cornwall</v>
          </cell>
          <cell r="E1908">
            <v>2715</v>
          </cell>
          <cell r="F1908" t="str">
            <v>Tahamina Khan</v>
          </cell>
          <cell r="G1908" t="str">
            <v>St Cleer Primary School</v>
          </cell>
          <cell r="H1908" t="str">
            <v>South West</v>
          </cell>
          <cell r="I1908" t="str">
            <v>Well Lane</v>
          </cell>
          <cell r="J1908" t="str">
            <v>St Cleer</v>
          </cell>
          <cell r="L1908" t="str">
            <v>Liskeard</v>
          </cell>
          <cell r="M1908" t="str">
            <v>Cornwall</v>
          </cell>
          <cell r="N1908" t="str">
            <v>PL14 5EA</v>
          </cell>
          <cell r="O1908" t="str">
            <v>head@st-cleer.cornwall.sch.uk</v>
          </cell>
        </row>
        <row r="1909">
          <cell r="A1909">
            <v>9195208</v>
          </cell>
          <cell r="B1909">
            <v>117568</v>
          </cell>
          <cell r="C1909">
            <v>919</v>
          </cell>
          <cell r="D1909" t="str">
            <v>Hertfordshire</v>
          </cell>
          <cell r="E1909">
            <v>5208</v>
          </cell>
          <cell r="F1909" t="str">
            <v>Susan Dean</v>
          </cell>
          <cell r="G1909" t="str">
            <v>Little Reddings Primary School</v>
          </cell>
          <cell r="H1909" t="str">
            <v>East of England</v>
          </cell>
          <cell r="I1909" t="str">
            <v>Harcourt Road</v>
          </cell>
          <cell r="L1909" t="str">
            <v>Bushey</v>
          </cell>
          <cell r="M1909" t="str">
            <v>Hertfordshire</v>
          </cell>
          <cell r="N1909" t="str">
            <v>WD23 3PR</v>
          </cell>
          <cell r="O1909" t="str">
            <v>head@littlereddings.herts.sch.uk</v>
          </cell>
          <cell r="P1909">
            <v>40816</v>
          </cell>
        </row>
        <row r="1910">
          <cell r="A1910">
            <v>3594019</v>
          </cell>
          <cell r="B1910">
            <v>106523</v>
          </cell>
          <cell r="C1910">
            <v>359</v>
          </cell>
          <cell r="D1910" t="str">
            <v>Wigan</v>
          </cell>
          <cell r="E1910">
            <v>4019</v>
          </cell>
          <cell r="F1910" t="str">
            <v>Viv Clutton</v>
          </cell>
          <cell r="G1910" t="str">
            <v>Bedford High School</v>
          </cell>
          <cell r="H1910" t="str">
            <v>North West</v>
          </cell>
          <cell r="I1910" t="str">
            <v>Manchester Road</v>
          </cell>
          <cell r="L1910" t="str">
            <v>Leigh</v>
          </cell>
          <cell r="M1910" t="str">
            <v>Lancashire</v>
          </cell>
          <cell r="N1910" t="str">
            <v>WN7 2LU</v>
          </cell>
          <cell r="O1910" t="str">
            <v>J.killeen@bedford.wigan.sch.uk</v>
          </cell>
        </row>
        <row r="1911">
          <cell r="A1911">
            <v>8552090</v>
          </cell>
          <cell r="B1911">
            <v>119949</v>
          </cell>
          <cell r="C1911">
            <v>855</v>
          </cell>
          <cell r="D1911" t="str">
            <v>Leicestershire</v>
          </cell>
          <cell r="E1911">
            <v>2090</v>
          </cell>
          <cell r="F1911" t="str">
            <v>Sue Harp</v>
          </cell>
          <cell r="G1911" t="str">
            <v>Congerstone Primary School</v>
          </cell>
          <cell r="H1911" t="str">
            <v>East Midlands</v>
          </cell>
          <cell r="I1911" t="str">
            <v>Shackerstone Road</v>
          </cell>
          <cell r="J1911" t="str">
            <v>Congerstone</v>
          </cell>
          <cell r="L1911" t="str">
            <v>Nuneaton</v>
          </cell>
          <cell r="M1911" t="str">
            <v>Warwickshire</v>
          </cell>
          <cell r="N1911" t="str">
            <v>CV13 6NH</v>
          </cell>
          <cell r="O1911" t="str">
            <v>aruff@congerstone.leics.sch.uk</v>
          </cell>
        </row>
        <row r="1912">
          <cell r="A1912">
            <v>8902221</v>
          </cell>
          <cell r="B1912">
            <v>119255</v>
          </cell>
          <cell r="C1912">
            <v>890</v>
          </cell>
          <cell r="D1912" t="str">
            <v>Blackpool</v>
          </cell>
          <cell r="E1912">
            <v>2221</v>
          </cell>
          <cell r="F1912" t="str">
            <v>Stuart Mepham</v>
          </cell>
          <cell r="G1912" t="str">
            <v>Waterloo Primary School</v>
          </cell>
          <cell r="H1912" t="str">
            <v>North West</v>
          </cell>
          <cell r="I1912" t="str">
            <v>Waterloo Road</v>
          </cell>
          <cell r="L1912" t="str">
            <v>Blackpool</v>
          </cell>
          <cell r="M1912" t="str">
            <v>Lancashire</v>
          </cell>
          <cell r="N1912" t="str">
            <v>FY4 3AG</v>
          </cell>
          <cell r="O1912" t="str">
            <v>mark.gray@waterloo.blackpool.sch.uk</v>
          </cell>
          <cell r="P1912">
            <v>40968</v>
          </cell>
        </row>
        <row r="1913">
          <cell r="A1913">
            <v>8885205</v>
          </cell>
          <cell r="B1913">
            <v>119289</v>
          </cell>
          <cell r="C1913">
            <v>888</v>
          </cell>
          <cell r="D1913" t="str">
            <v>Lancashire</v>
          </cell>
          <cell r="E1913">
            <v>5205</v>
          </cell>
          <cell r="F1913" t="str">
            <v>Viv Clutton</v>
          </cell>
          <cell r="G1913" t="str">
            <v>Belthorn Foundation Primary School</v>
          </cell>
          <cell r="H1913" t="str">
            <v>North West</v>
          </cell>
          <cell r="I1913" t="str">
            <v>Belthorn Road</v>
          </cell>
          <cell r="J1913" t="str">
            <v>Belthorn</v>
          </cell>
          <cell r="L1913" t="str">
            <v>Blackburn</v>
          </cell>
          <cell r="M1913" t="str">
            <v>Lancashire</v>
          </cell>
          <cell r="N1913" t="str">
            <v>BB1 2NY</v>
          </cell>
          <cell r="O1913" t="str">
            <v>head@belthorn.lancs.sch.uk</v>
          </cell>
          <cell r="P1913">
            <v>40639</v>
          </cell>
        </row>
        <row r="1914">
          <cell r="A1914">
            <v>2103468</v>
          </cell>
          <cell r="B1914">
            <v>100831</v>
          </cell>
          <cell r="C1914">
            <v>210</v>
          </cell>
          <cell r="D1914" t="str">
            <v>Southwark</v>
          </cell>
          <cell r="E1914">
            <v>3468</v>
          </cell>
          <cell r="F1914" t="str">
            <v>Helen Barry</v>
          </cell>
          <cell r="G1914" t="str">
            <v>St John's Walworth CE Primary School</v>
          </cell>
          <cell r="H1914" t="str">
            <v>London</v>
          </cell>
          <cell r="I1914" t="str">
            <v>Larcom Street</v>
          </cell>
          <cell r="L1914" t="str">
            <v>London</v>
          </cell>
          <cell r="N1914" t="str">
            <v>SE17 1NQ</v>
          </cell>
          <cell r="O1914" t="str">
            <v xml:space="preserve"> headteacher@stjohnswalworth.southwark.sch.uk</v>
          </cell>
        </row>
        <row r="1915">
          <cell r="A1915">
            <v>8862632</v>
          </cell>
          <cell r="B1915">
            <v>118551</v>
          </cell>
          <cell r="C1915">
            <v>886</v>
          </cell>
          <cell r="D1915" t="str">
            <v>Kent</v>
          </cell>
          <cell r="E1915">
            <v>2632</v>
          </cell>
          <cell r="F1915" t="str">
            <v>Nicky Edwards</v>
          </cell>
          <cell r="G1915" t="str">
            <v>Sevenoaks Primary School</v>
          </cell>
          <cell r="H1915" t="str">
            <v>South East</v>
          </cell>
          <cell r="I1915" t="str">
            <v>Bradbourne Park Road</v>
          </cell>
          <cell r="L1915" t="str">
            <v>Sevenoaks</v>
          </cell>
          <cell r="M1915" t="str">
            <v>Kent</v>
          </cell>
          <cell r="N1915" t="str">
            <v>TN13 3LB</v>
          </cell>
          <cell r="O1915" t="str">
            <v>headteacher@sevenoaks.kent.sch.uk</v>
          </cell>
        </row>
        <row r="1916">
          <cell r="A1916">
            <v>8315407</v>
          </cell>
          <cell r="B1916">
            <v>112992</v>
          </cell>
          <cell r="C1916">
            <v>831</v>
          </cell>
          <cell r="D1916" t="str">
            <v>Derby</v>
          </cell>
          <cell r="E1916">
            <v>5407</v>
          </cell>
          <cell r="F1916" t="str">
            <v>Helen Whetter</v>
          </cell>
          <cell r="G1916" t="str">
            <v>Noel-Baker Community School and Language College</v>
          </cell>
          <cell r="H1916" t="str">
            <v>East Midlands</v>
          </cell>
          <cell r="I1916" t="str">
            <v>Bracknell Drive</v>
          </cell>
          <cell r="J1916" t="str">
            <v>Alvaston</v>
          </cell>
          <cell r="L1916" t="str">
            <v>Derby</v>
          </cell>
          <cell r="M1916" t="str">
            <v>Derbyshire</v>
          </cell>
          <cell r="N1916" t="str">
            <v>DE24 0BR</v>
          </cell>
          <cell r="O1916" t="str">
            <v>malkerr@noel-baker.derby.sch.uk</v>
          </cell>
          <cell r="P1916">
            <v>40884</v>
          </cell>
        </row>
        <row r="1917">
          <cell r="A1917">
            <v>9261101</v>
          </cell>
          <cell r="B1917">
            <v>120769</v>
          </cell>
          <cell r="C1917">
            <v>926</v>
          </cell>
          <cell r="D1917" t="str">
            <v>Norfolk</v>
          </cell>
          <cell r="E1917">
            <v>1101</v>
          </cell>
          <cell r="F1917" t="str">
            <v>Tahir Shams</v>
          </cell>
          <cell r="G1917" t="str">
            <v>The Locksley School</v>
          </cell>
          <cell r="H1917" t="str">
            <v>East of England</v>
          </cell>
          <cell r="I1917" t="str">
            <v>Locksley Road</v>
          </cell>
          <cell r="L1917" t="str">
            <v>Norwich</v>
          </cell>
          <cell r="M1917" t="str">
            <v>Norfolk</v>
          </cell>
          <cell r="N1917" t="str">
            <v>NR4 6LG</v>
          </cell>
          <cell r="O1917" t="str">
            <v>head@locksley.norfolk.sch.uk</v>
          </cell>
        </row>
        <row r="1918">
          <cell r="A1918">
            <v>9161104</v>
          </cell>
          <cell r="B1918">
            <v>131367</v>
          </cell>
          <cell r="C1918">
            <v>916</v>
          </cell>
          <cell r="D1918" t="str">
            <v>Gloucestershire</v>
          </cell>
          <cell r="E1918">
            <v>1104</v>
          </cell>
          <cell r="F1918" t="str">
            <v>Pat Murison</v>
          </cell>
          <cell r="G1918" t="str">
            <v>Gloucestershire Hospital Education Service</v>
          </cell>
          <cell r="H1918" t="str">
            <v>South West</v>
          </cell>
          <cell r="I1918" t="str">
            <v>St George's Road</v>
          </cell>
          <cell r="J1918" t="str">
            <v>County Offices</v>
          </cell>
          <cell r="L1918" t="str">
            <v>Cheltenham</v>
          </cell>
          <cell r="M1918" t="str">
            <v>Gloucestershire</v>
          </cell>
          <cell r="N1918" t="str">
            <v>GL50 3EW</v>
          </cell>
          <cell r="O1918" t="str">
            <v>mary.holland@gloucestershire.gov.uk</v>
          </cell>
        </row>
        <row r="1919">
          <cell r="A1919">
            <v>9312612</v>
          </cell>
          <cell r="B1919">
            <v>132752</v>
          </cell>
          <cell r="C1919">
            <v>931</v>
          </cell>
          <cell r="D1919" t="str">
            <v>Oxfordshire</v>
          </cell>
          <cell r="E1919">
            <v>2612</v>
          </cell>
          <cell r="F1919" t="str">
            <v>John Acland-Hood</v>
          </cell>
          <cell r="G1919" t="str">
            <v>The John Henry Newman CofE (A) Primary School</v>
          </cell>
          <cell r="H1919" t="str">
            <v>South East</v>
          </cell>
          <cell r="I1919" t="str">
            <v>Grange Road</v>
          </cell>
          <cell r="J1919" t="str">
            <v>Littlemore</v>
          </cell>
          <cell r="L1919" t="str">
            <v>Oxford</v>
          </cell>
          <cell r="M1919" t="str">
            <v>Oxfordshire</v>
          </cell>
          <cell r="N1919" t="str">
            <v>OX4 4LS</v>
          </cell>
          <cell r="O1919" t="str">
            <v>office.2612@jhnewman.oxon.sch.uk</v>
          </cell>
        </row>
        <row r="1920">
          <cell r="A1920">
            <v>8655403</v>
          </cell>
          <cell r="B1920">
            <v>126498</v>
          </cell>
          <cell r="C1920">
            <v>865</v>
          </cell>
          <cell r="D1920" t="str">
            <v>Wiltshire</v>
          </cell>
          <cell r="E1920">
            <v>5403</v>
          </cell>
          <cell r="F1920" t="str">
            <v>Tess Gale</v>
          </cell>
          <cell r="G1920" t="str">
            <v>Pewsey Vale School</v>
          </cell>
          <cell r="H1920" t="str">
            <v>South West</v>
          </cell>
          <cell r="I1920" t="str">
            <v>Wilcot Road</v>
          </cell>
          <cell r="L1920" t="str">
            <v>Pewsey</v>
          </cell>
          <cell r="M1920" t="str">
            <v>Wiltshire</v>
          </cell>
          <cell r="N1920" t="str">
            <v>SN9 5EW</v>
          </cell>
          <cell r="O1920" t="str">
            <v>cgr@pewsey-vale.wilts.sch.uk</v>
          </cell>
          <cell r="P1920">
            <v>40589</v>
          </cell>
        </row>
        <row r="1921">
          <cell r="A1921">
            <v>8233320</v>
          </cell>
          <cell r="B1921">
            <v>109620</v>
          </cell>
          <cell r="C1921">
            <v>823</v>
          </cell>
          <cell r="D1921" t="str">
            <v>Central Bedfordshire</v>
          </cell>
          <cell r="E1921">
            <v>3320</v>
          </cell>
          <cell r="F1921" t="str">
            <v>Julie McDowall</v>
          </cell>
          <cell r="G1921" t="str">
            <v>Meppershall CofE VA Lower School</v>
          </cell>
          <cell r="H1921" t="str">
            <v>East of England</v>
          </cell>
          <cell r="I1921" t="str">
            <v>107 High Street</v>
          </cell>
          <cell r="J1921" t="str">
            <v>Meppershall</v>
          </cell>
          <cell r="L1921" t="str">
            <v>Shefford</v>
          </cell>
          <cell r="M1921" t="str">
            <v>Bedfordshire</v>
          </cell>
          <cell r="N1921" t="str">
            <v>SG17 5LZ</v>
          </cell>
          <cell r="O1921" t="str">
            <v>l.fairweather@cbc.beds.sch.uk</v>
          </cell>
          <cell r="P1921">
            <v>41256</v>
          </cell>
        </row>
        <row r="1922">
          <cell r="A1922">
            <v>3544091</v>
          </cell>
          <cell r="B1922">
            <v>105842</v>
          </cell>
          <cell r="C1922">
            <v>354</v>
          </cell>
          <cell r="D1922" t="str">
            <v>Rochdale</v>
          </cell>
          <cell r="E1922">
            <v>4091</v>
          </cell>
          <cell r="F1922" t="str">
            <v>Jane McCusker</v>
          </cell>
          <cell r="G1922" t="str">
            <v>Middleton Technology School</v>
          </cell>
          <cell r="H1922" t="str">
            <v>North West</v>
          </cell>
          <cell r="I1922" t="str">
            <v>Kenyon Lane</v>
          </cell>
          <cell r="J1922" t="str">
            <v>Middleton</v>
          </cell>
          <cell r="L1922" t="str">
            <v>Manchester</v>
          </cell>
          <cell r="N1922" t="str">
            <v>M24 2GT</v>
          </cell>
          <cell r="O1922" t="str">
            <v> mtsacrompton@middtech.com</v>
          </cell>
          <cell r="P1922">
            <v>40518</v>
          </cell>
        </row>
        <row r="1923">
          <cell r="A1923">
            <v>3314044</v>
          </cell>
          <cell r="B1923">
            <v>103734</v>
          </cell>
          <cell r="C1923">
            <v>331</v>
          </cell>
          <cell r="D1923" t="str">
            <v>Coventry</v>
          </cell>
          <cell r="E1923">
            <v>4044</v>
          </cell>
          <cell r="F1923" t="str">
            <v>Alison Middleton</v>
          </cell>
          <cell r="G1923" t="str">
            <v>Whitley Abbey Business and Enterprise College</v>
          </cell>
          <cell r="H1923" t="str">
            <v>West Midlands</v>
          </cell>
          <cell r="I1923" t="str">
            <v>Abbey Road</v>
          </cell>
          <cell r="J1923" t="str">
            <v>Whitley</v>
          </cell>
          <cell r="L1923" t="str">
            <v>Coventry</v>
          </cell>
          <cell r="M1923" t="str">
            <v>West Midlands</v>
          </cell>
          <cell r="N1923" t="str">
            <v>CV3 4BD</v>
          </cell>
          <cell r="O1923" t="str">
            <v>lallen@whitleyabbeysec.org</v>
          </cell>
          <cell r="P1923">
            <v>40520</v>
          </cell>
        </row>
        <row r="1924">
          <cell r="A1924">
            <v>3104032</v>
          </cell>
          <cell r="B1924">
            <v>102241</v>
          </cell>
          <cell r="C1924">
            <v>310</v>
          </cell>
          <cell r="D1924" t="str">
            <v>Harrow</v>
          </cell>
          <cell r="E1924">
            <v>4032</v>
          </cell>
          <cell r="F1924" t="str">
            <v>Sheila Longstaff</v>
          </cell>
          <cell r="G1924" t="str">
            <v>Bentley Wood High School</v>
          </cell>
          <cell r="H1924" t="str">
            <v>London</v>
          </cell>
          <cell r="I1924" t="str">
            <v>Bridges Road</v>
          </cell>
          <cell r="L1924" t="str">
            <v>Stanmore</v>
          </cell>
          <cell r="N1924" t="str">
            <v>HA7 3NA</v>
          </cell>
          <cell r="O1924" t="str">
            <v>jhowkins@bentleywood.harrow.sch.uk</v>
          </cell>
          <cell r="P1924">
            <v>40609</v>
          </cell>
        </row>
        <row r="1925">
          <cell r="A1925">
            <v>8134075</v>
          </cell>
          <cell r="B1925">
            <v>118088</v>
          </cell>
          <cell r="C1925">
            <v>813</v>
          </cell>
          <cell r="D1925" t="str">
            <v>North Lincolnshire</v>
          </cell>
          <cell r="E1925">
            <v>4075</v>
          </cell>
          <cell r="F1925" t="str">
            <v>Bev Annables</v>
          </cell>
          <cell r="G1925" t="str">
            <v>Brumby Engineering College</v>
          </cell>
          <cell r="H1925" t="str">
            <v>Yorkshire and the Humber</v>
          </cell>
          <cell r="I1925" t="str">
            <v>Cemetery Road</v>
          </cell>
          <cell r="L1925" t="str">
            <v>Scunthorpe</v>
          </cell>
          <cell r="M1925" t="str">
            <v>Lincolnshire</v>
          </cell>
          <cell r="N1925" t="str">
            <v>DN16 1NT</v>
          </cell>
          <cell r="O1925" t="str">
            <v>head.brumbyschool@northlincs.gov.uk</v>
          </cell>
        </row>
        <row r="1926">
          <cell r="A1926">
            <v>8852135</v>
          </cell>
          <cell r="B1926">
            <v>116728</v>
          </cell>
          <cell r="C1926">
            <v>885</v>
          </cell>
          <cell r="D1926" t="str">
            <v>Worcestershire</v>
          </cell>
          <cell r="E1926">
            <v>2135</v>
          </cell>
          <cell r="F1926" t="str">
            <v>Carol Ions</v>
          </cell>
          <cell r="G1926" t="str">
            <v>Webheath First School</v>
          </cell>
          <cell r="H1926" t="str">
            <v>West Midlands</v>
          </cell>
          <cell r="I1926" t="str">
            <v>Downsell Road</v>
          </cell>
          <cell r="L1926" t="str">
            <v>Redditch</v>
          </cell>
          <cell r="M1926" t="str">
            <v>Worcestershire</v>
          </cell>
          <cell r="N1926" t="str">
            <v>B97 5RJ</v>
          </cell>
          <cell r="O1926" t="str">
            <v>head@webheath.worcs.sch.uk</v>
          </cell>
          <cell r="P1926">
            <v>40890</v>
          </cell>
        </row>
        <row r="1927">
          <cell r="A1927">
            <v>8522419</v>
          </cell>
          <cell r="B1927">
            <v>116099</v>
          </cell>
          <cell r="C1927">
            <v>852</v>
          </cell>
          <cell r="D1927" t="str">
            <v>Southampton</v>
          </cell>
          <cell r="E1927">
            <v>2419</v>
          </cell>
          <cell r="F1927" t="str">
            <v>Lindsay Morris</v>
          </cell>
          <cell r="G1927" t="str">
            <v>Ludlow Infant School</v>
          </cell>
          <cell r="H1927" t="str">
            <v>South East</v>
          </cell>
          <cell r="I1927" t="str">
            <v>Ludlow Road</v>
          </cell>
          <cell r="J1927" t="str">
            <v>Woolston</v>
          </cell>
          <cell r="L1927" t="str">
            <v>Southampton</v>
          </cell>
          <cell r="M1927" t="str">
            <v>Hampshire</v>
          </cell>
          <cell r="N1927" t="str">
            <v>SO19 2EU</v>
          </cell>
          <cell r="O1927" t="str">
            <v>head@ludlowlive.net</v>
          </cell>
          <cell r="P1927">
            <v>41039</v>
          </cell>
        </row>
        <row r="1928">
          <cell r="A1928">
            <v>3364115</v>
          </cell>
          <cell r="B1928">
            <v>104387</v>
          </cell>
          <cell r="C1928">
            <v>336</v>
          </cell>
          <cell r="D1928" t="str">
            <v>Wolverhampton</v>
          </cell>
          <cell r="E1928">
            <v>4115</v>
          </cell>
          <cell r="F1928" t="str">
            <v>Hannah Copp</v>
          </cell>
          <cell r="G1928" t="str">
            <v>Deansfield Community School, Specialists In Media Arts</v>
          </cell>
          <cell r="H1928" t="str">
            <v>West Midlands</v>
          </cell>
          <cell r="I1928" t="str">
            <v>Deans Road</v>
          </cell>
          <cell r="L1928" t="str">
            <v>Wolverhampton</v>
          </cell>
          <cell r="M1928" t="str">
            <v>West Midlands</v>
          </cell>
          <cell r="N1928" t="str">
            <v>WV1 2BH</v>
          </cell>
          <cell r="O1928" t="str">
            <v>deancoombes@me.com</v>
          </cell>
          <cell r="P1928">
            <v>40991</v>
          </cell>
        </row>
        <row r="1929">
          <cell r="A1929">
            <v>9264005</v>
          </cell>
          <cell r="B1929">
            <v>121152</v>
          </cell>
          <cell r="C1929">
            <v>926</v>
          </cell>
          <cell r="D1929" t="str">
            <v>Norfolk</v>
          </cell>
          <cell r="E1929">
            <v>4005</v>
          </cell>
          <cell r="F1929" t="str">
            <v>Beverley Samuel</v>
          </cell>
          <cell r="G1929" t="str">
            <v>Hellesdon High School</v>
          </cell>
          <cell r="H1929" t="str">
            <v>East of England</v>
          </cell>
          <cell r="I1929" t="str">
            <v>187 Middletons Lane</v>
          </cell>
          <cell r="J1929" t="str">
            <v>Hellesdon</v>
          </cell>
          <cell r="L1929" t="str">
            <v>Norwich</v>
          </cell>
          <cell r="M1929" t="str">
            <v>Norfolk</v>
          </cell>
          <cell r="N1929" t="str">
            <v>NR6 5SB</v>
          </cell>
          <cell r="O1929" t="str">
            <v>gbatty9nry@nsix.org.uk</v>
          </cell>
          <cell r="P1929">
            <v>40835</v>
          </cell>
        </row>
        <row r="1930">
          <cell r="A1930">
            <v>9312565</v>
          </cell>
          <cell r="B1930">
            <v>123063</v>
          </cell>
          <cell r="C1930">
            <v>931</v>
          </cell>
          <cell r="D1930" t="str">
            <v>Oxfordshire</v>
          </cell>
          <cell r="E1930">
            <v>2565</v>
          </cell>
          <cell r="F1930" t="str">
            <v>Sarah Nairne</v>
          </cell>
          <cell r="G1930" t="str">
            <v>Dry Sandford Primary School</v>
          </cell>
          <cell r="H1930" t="str">
            <v>South East</v>
          </cell>
          <cell r="I1930" t="str">
            <v>Lashford Lane</v>
          </cell>
          <cell r="J1930" t="str">
            <v>Dry Sandford</v>
          </cell>
          <cell r="L1930" t="str">
            <v>Abingdon</v>
          </cell>
          <cell r="M1930" t="str">
            <v>Oxfordshire</v>
          </cell>
          <cell r="N1930" t="str">
            <v>OX13 6EE</v>
          </cell>
          <cell r="O1930" t="str">
            <v>headteacher.2565@dry-sandford.oxon.sch.uk</v>
          </cell>
        </row>
        <row r="1931">
          <cell r="A1931">
            <v>9383373</v>
          </cell>
          <cell r="B1931">
            <v>135774</v>
          </cell>
          <cell r="C1931">
            <v>938</v>
          </cell>
          <cell r="D1931" t="str">
            <v>West Sussex</v>
          </cell>
          <cell r="E1931">
            <v>3373</v>
          </cell>
          <cell r="F1931" t="str">
            <v>Darren Francis</v>
          </cell>
          <cell r="G1931" t="str">
            <v>Southway Primary School (FAST TRACK)</v>
          </cell>
          <cell r="H1931" t="str">
            <v>South East</v>
          </cell>
          <cell r="I1931" t="str">
            <v>South Way</v>
          </cell>
          <cell r="L1931" t="str">
            <v>Bognor Regis</v>
          </cell>
          <cell r="M1931" t="str">
            <v>West Sussex</v>
          </cell>
          <cell r="N1931" t="str">
            <v>PO21 5EZ</v>
          </cell>
          <cell r="O1931" t="str">
            <v>head@southwayprimary.co.uk (old address - head@southwayprimary.w-sussex.sch.uk)</v>
          </cell>
          <cell r="P1931">
            <v>40914</v>
          </cell>
        </row>
        <row r="1932">
          <cell r="A1932">
            <v>9333191</v>
          </cell>
          <cell r="B1932">
            <v>123803</v>
          </cell>
          <cell r="C1932">
            <v>933</v>
          </cell>
          <cell r="D1932" t="str">
            <v>Somerset</v>
          </cell>
          <cell r="E1932">
            <v>3191</v>
          </cell>
          <cell r="F1932" t="str">
            <v>Ali Bushell</v>
          </cell>
          <cell r="G1932" t="str">
            <v>St Andrew's Church of England Primary School</v>
          </cell>
          <cell r="H1932" t="str">
            <v>South West</v>
          </cell>
          <cell r="I1932" t="str">
            <v>Grove Terrace</v>
          </cell>
          <cell r="L1932" t="str">
            <v>Taunton</v>
          </cell>
          <cell r="M1932" t="str">
            <v>Somerset</v>
          </cell>
          <cell r="N1932" t="str">
            <v>TA2 6HA</v>
          </cell>
          <cell r="O1932" t="str">
            <v>ndbright@educ.somerset.gov.uk</v>
          </cell>
        </row>
        <row r="1933">
          <cell r="A1933">
            <v>8352219</v>
          </cell>
          <cell r="B1933">
            <v>113721</v>
          </cell>
          <cell r="C1933">
            <v>835</v>
          </cell>
          <cell r="D1933" t="str">
            <v>Dorset</v>
          </cell>
          <cell r="E1933">
            <v>2219</v>
          </cell>
          <cell r="F1933" t="str">
            <v>Theresa Oddelm</v>
          </cell>
          <cell r="G1933" t="str">
            <v>Southwell Primary School</v>
          </cell>
          <cell r="H1933" t="str">
            <v>South West</v>
          </cell>
          <cell r="I1933" t="str">
            <v>Sweethill Lane</v>
          </cell>
          <cell r="J1933" t="str">
            <v>Southwell</v>
          </cell>
          <cell r="L1933" t="str">
            <v>Portland</v>
          </cell>
          <cell r="M1933" t="str">
            <v>Dorset</v>
          </cell>
          <cell r="N1933" t="str">
            <v>DT5 2DT</v>
          </cell>
        </row>
        <row r="1934">
          <cell r="A1934">
            <v>8522003</v>
          </cell>
          <cell r="B1934">
            <v>133704</v>
          </cell>
          <cell r="C1934">
            <v>852</v>
          </cell>
          <cell r="D1934" t="str">
            <v>Southampton</v>
          </cell>
          <cell r="E1934">
            <v>2003</v>
          </cell>
          <cell r="F1934" t="str">
            <v>Lindsay Morris</v>
          </cell>
          <cell r="G1934" t="str">
            <v>Newlands Primary School</v>
          </cell>
          <cell r="H1934" t="str">
            <v>South East</v>
          </cell>
          <cell r="I1934" t="str">
            <v>Ullswater Road</v>
          </cell>
          <cell r="J1934" t="str">
            <v>Millbrook</v>
          </cell>
          <cell r="L1934" t="str">
            <v>Southampton</v>
          </cell>
          <cell r="M1934" t="str">
            <v>Hampshire</v>
          </cell>
          <cell r="N1934" t="str">
            <v>SO16 9EA</v>
          </cell>
          <cell r="O1934" t="str">
            <v>head@newlandsprimary.co.uk</v>
          </cell>
        </row>
        <row r="1935">
          <cell r="A1935">
            <v>3733401</v>
          </cell>
          <cell r="B1935">
            <v>107111</v>
          </cell>
          <cell r="C1935">
            <v>373</v>
          </cell>
          <cell r="D1935" t="str">
            <v>Sheffield</v>
          </cell>
          <cell r="E1935">
            <v>3401</v>
          </cell>
          <cell r="F1935" t="str">
            <v>Bev Annables</v>
          </cell>
          <cell r="G1935" t="str">
            <v>Sacred Heart Catholic Primary School</v>
          </cell>
          <cell r="H1935" t="str">
            <v>Yorkshire and the Humber</v>
          </cell>
          <cell r="I1935" t="str">
            <v>Ripley Street</v>
          </cell>
          <cell r="L1935" t="str">
            <v>Sheffield</v>
          </cell>
          <cell r="M1935" t="str">
            <v>South Yorkshire</v>
          </cell>
          <cell r="N1935" t="str">
            <v>S6 2NU</v>
          </cell>
        </row>
        <row r="1936">
          <cell r="A1936">
            <v>3302481</v>
          </cell>
          <cell r="B1936">
            <v>132138</v>
          </cell>
          <cell r="C1936">
            <v>330</v>
          </cell>
          <cell r="D1936" t="str">
            <v>Birmingham</v>
          </cell>
          <cell r="E1936">
            <v>2481</v>
          </cell>
          <cell r="F1936" t="str">
            <v>Hannah Copp</v>
          </cell>
          <cell r="G1936" t="str">
            <v>Rookery School &amp; Children's Centre</v>
          </cell>
          <cell r="H1936" t="str">
            <v>West Midlands</v>
          </cell>
          <cell r="I1936" t="str">
            <v>Rookery Road</v>
          </cell>
          <cell r="J1936" t="str">
            <v>Handsworth</v>
          </cell>
          <cell r="L1936" t="str">
            <v>Birmingham</v>
          </cell>
          <cell r="M1936" t="str">
            <v>West Midlands</v>
          </cell>
          <cell r="N1936" t="str">
            <v>B21 9PY</v>
          </cell>
          <cell r="O1936" t="str">
            <v>t.stone@rookery.bham.sch.uk</v>
          </cell>
          <cell r="P1936">
            <v>40633</v>
          </cell>
        </row>
        <row r="1937">
          <cell r="A1937">
            <v>8412670</v>
          </cell>
          <cell r="B1937">
            <v>114184</v>
          </cell>
          <cell r="C1937">
            <v>841</v>
          </cell>
          <cell r="D1937" t="str">
            <v>Darlington</v>
          </cell>
          <cell r="E1937">
            <v>2670</v>
          </cell>
          <cell r="F1937" t="str">
            <v>Alan Large</v>
          </cell>
          <cell r="G1937" t="str">
            <v>Mowden Junior School</v>
          </cell>
          <cell r="H1937" t="str">
            <v>North East</v>
          </cell>
          <cell r="I1937" t="str">
            <v>Conyers Avenue</v>
          </cell>
          <cell r="L1937" t="str">
            <v>Darlington</v>
          </cell>
          <cell r="M1937" t="str">
            <v>County Durham</v>
          </cell>
          <cell r="N1937" t="str">
            <v>DL3 9DE</v>
          </cell>
          <cell r="O1937" t="str">
            <v>bwatkinson@mowdenfederation.darlington.sch.uk</v>
          </cell>
          <cell r="P1937">
            <v>40928</v>
          </cell>
        </row>
        <row r="1938">
          <cell r="A1938">
            <v>8813780</v>
          </cell>
          <cell r="B1938">
            <v>115193</v>
          </cell>
          <cell r="C1938">
            <v>881</v>
          </cell>
          <cell r="D1938" t="str">
            <v>Essex</v>
          </cell>
          <cell r="E1938">
            <v>3780</v>
          </cell>
          <cell r="F1938" t="str">
            <v>Claire Ivie</v>
          </cell>
          <cell r="G1938" t="str">
            <v>Ingatestone and Fryerning Church of England Voluntary Aided Junior School</v>
          </cell>
          <cell r="H1938" t="str">
            <v>East of England</v>
          </cell>
          <cell r="I1938" t="str">
            <v>The Furlongs</v>
          </cell>
          <cell r="L1938" t="str">
            <v>Ingatestone</v>
          </cell>
          <cell r="M1938" t="str">
            <v>Essex</v>
          </cell>
          <cell r="N1938" t="str">
            <v>CM4 0AL</v>
          </cell>
          <cell r="O1938" t="str">
            <v>phillip3@supanet.com</v>
          </cell>
        </row>
        <row r="1939">
          <cell r="A1939">
            <v>9367023</v>
          </cell>
          <cell r="B1939">
            <v>125461</v>
          </cell>
          <cell r="C1939">
            <v>936</v>
          </cell>
          <cell r="D1939" t="str">
            <v>Surrey</v>
          </cell>
          <cell r="E1939">
            <v>7023</v>
          </cell>
          <cell r="F1939" t="str">
            <v>Not yet assigned</v>
          </cell>
          <cell r="G1939" t="str">
            <v>The Park School</v>
          </cell>
          <cell r="H1939" t="str">
            <v>South East</v>
          </cell>
          <cell r="I1939" t="str">
            <v>Onslow Crescent</v>
          </cell>
          <cell r="L1939" t="str">
            <v>Woking</v>
          </cell>
          <cell r="M1939" t="str">
            <v>Surrey</v>
          </cell>
          <cell r="N1939" t="str">
            <v>GU22 7AT</v>
          </cell>
          <cell r="O1939" t="str">
            <v>head@thepark.surrey.sch.uk</v>
          </cell>
        </row>
        <row r="1940">
          <cell r="A1940">
            <v>9335400</v>
          </cell>
          <cell r="B1940">
            <v>123902</v>
          </cell>
          <cell r="C1940">
            <v>933</v>
          </cell>
          <cell r="D1940" t="str">
            <v>Somerset</v>
          </cell>
          <cell r="E1940">
            <v>5400</v>
          </cell>
          <cell r="F1940" t="str">
            <v>Susan Shakespeare</v>
          </cell>
          <cell r="G1940" t="str">
            <v>Sexey's School, Bruton - boarding</v>
          </cell>
          <cell r="H1940" t="str">
            <v>South West</v>
          </cell>
          <cell r="I1940" t="str">
            <v>Cole Road</v>
          </cell>
          <cell r="L1940" t="str">
            <v>Bruton</v>
          </cell>
          <cell r="M1940" t="str">
            <v>Somerset</v>
          </cell>
          <cell r="N1940" t="str">
            <v>BA10 0DF</v>
          </cell>
          <cell r="O1940" t="str">
            <v>rmcgovern@sexeys.somerset.sch.uk</v>
          </cell>
          <cell r="P1940">
            <v>40625</v>
          </cell>
        </row>
        <row r="1941">
          <cell r="A1941">
            <v>8552194</v>
          </cell>
          <cell r="B1941">
            <v>119994</v>
          </cell>
          <cell r="C1941">
            <v>855</v>
          </cell>
          <cell r="D1941" t="str">
            <v>Leicestershire</v>
          </cell>
          <cell r="E1941">
            <v>2194</v>
          </cell>
          <cell r="F1941" t="str">
            <v>Sue Harp</v>
          </cell>
          <cell r="G1941" t="str">
            <v>Mountfields Lodge School</v>
          </cell>
          <cell r="H1941" t="str">
            <v>East Midlands</v>
          </cell>
          <cell r="I1941" t="str">
            <v>Epinal Way</v>
          </cell>
          <cell r="L1941" t="str">
            <v>Loughborough</v>
          </cell>
          <cell r="M1941" t="str">
            <v>Leicestershire</v>
          </cell>
          <cell r="N1941" t="str">
            <v>LE11 3GE</v>
          </cell>
          <cell r="O1941" t="str">
            <v>mhoare@mlodge.leics.mg4l.net</v>
          </cell>
          <cell r="P1941">
            <v>41045</v>
          </cell>
        </row>
        <row r="1942">
          <cell r="A1942">
            <v>3582079</v>
          </cell>
          <cell r="B1942">
            <v>133641</v>
          </cell>
          <cell r="C1942">
            <v>358</v>
          </cell>
          <cell r="D1942" t="str">
            <v>Trafford</v>
          </cell>
          <cell r="E1942">
            <v>2079</v>
          </cell>
          <cell r="F1942" t="str">
            <v>Jane McCusker</v>
          </cell>
          <cell r="G1942" t="str">
            <v>Forest Gate Community Primary School</v>
          </cell>
          <cell r="H1942" t="str">
            <v>North West</v>
          </cell>
          <cell r="I1942" t="str">
            <v>Daniel Adamson Avenue</v>
          </cell>
          <cell r="J1942" t="str">
            <v>Partington</v>
          </cell>
          <cell r="L1942" t="str">
            <v>Manchester</v>
          </cell>
          <cell r="N1942" t="str">
            <v>M31 4PN</v>
          </cell>
          <cell r="O1942" t="str">
            <v>forestgate.admin@trafford.gov.uk</v>
          </cell>
        </row>
        <row r="1943">
          <cell r="A1943">
            <v>2124329</v>
          </cell>
          <cell r="B1943">
            <v>101055</v>
          </cell>
          <cell r="C1943">
            <v>212</v>
          </cell>
          <cell r="D1943" t="str">
            <v>Wandsworth</v>
          </cell>
          <cell r="E1943">
            <v>4329</v>
          </cell>
          <cell r="F1943" t="str">
            <v>Martin Rowley</v>
          </cell>
          <cell r="G1943" t="str">
            <v>Battersea Park School</v>
          </cell>
          <cell r="H1943" t="str">
            <v>London</v>
          </cell>
          <cell r="I1943" t="str">
            <v>401 Battersea Park Road</v>
          </cell>
          <cell r="L1943" t="str">
            <v>London</v>
          </cell>
          <cell r="N1943" t="str">
            <v>SW11 5AP</v>
          </cell>
          <cell r="O1943" t="str">
            <v>galkeller@batterseaparkschool.org</v>
          </cell>
          <cell r="P1943">
            <v>41031</v>
          </cell>
        </row>
        <row r="1944">
          <cell r="A1944">
            <v>8914454</v>
          </cell>
          <cell r="B1944">
            <v>122883</v>
          </cell>
          <cell r="C1944">
            <v>891</v>
          </cell>
          <cell r="D1944" t="str">
            <v>Nottinghamshire</v>
          </cell>
          <cell r="E1944">
            <v>4454</v>
          </cell>
          <cell r="F1944" t="str">
            <v>Grant Dyson</v>
          </cell>
          <cell r="G1944" t="str">
            <v>South Wolds Community School</v>
          </cell>
          <cell r="H1944" t="str">
            <v>East Midlands</v>
          </cell>
          <cell r="I1944" t="str">
            <v>Church Drive</v>
          </cell>
          <cell r="J1944" t="str">
            <v>Keyworth</v>
          </cell>
          <cell r="L1944" t="str">
            <v>Nottingham</v>
          </cell>
          <cell r="M1944" t="str">
            <v>Nottinghamshire</v>
          </cell>
          <cell r="N1944" t="str">
            <v>NG12 5FF</v>
          </cell>
          <cell r="O1944" t="str">
            <v>ageorge@southwolds.notts.sch.uk</v>
          </cell>
          <cell r="P1944">
            <v>40830</v>
          </cell>
        </row>
        <row r="1945">
          <cell r="A1945">
            <v>3327001</v>
          </cell>
          <cell r="B1945">
            <v>103877</v>
          </cell>
          <cell r="C1945">
            <v>332</v>
          </cell>
          <cell r="D1945" t="str">
            <v>Dudley</v>
          </cell>
          <cell r="E1945">
            <v>7001</v>
          </cell>
          <cell r="F1945" t="str">
            <v>Christine West</v>
          </cell>
          <cell r="G1945" t="str">
            <v>Sutton School and Specialist College</v>
          </cell>
          <cell r="H1945" t="str">
            <v>West Midlands</v>
          </cell>
          <cell r="I1945" t="str">
            <v>Scotts Green Close</v>
          </cell>
          <cell r="J1945" t="str">
            <v>Russells Hall Estate</v>
          </cell>
          <cell r="L1945" t="str">
            <v>Dudley</v>
          </cell>
          <cell r="M1945" t="str">
            <v>West Midlands</v>
          </cell>
          <cell r="N1945" t="str">
            <v>DY1 2DU</v>
          </cell>
          <cell r="O1945" t="str">
            <v>dbishop-rowe@sutton.dudley.sch.uk</v>
          </cell>
        </row>
        <row r="1946">
          <cell r="A1946">
            <v>8783019</v>
          </cell>
          <cell r="B1946">
            <v>113362</v>
          </cell>
          <cell r="C1946">
            <v>878</v>
          </cell>
          <cell r="D1946" t="str">
            <v>Devon</v>
          </cell>
          <cell r="E1946">
            <v>3019</v>
          </cell>
          <cell r="F1946" t="str">
            <v>Lilian Da Cunha</v>
          </cell>
          <cell r="G1946" t="str">
            <v>Sampford Peverell Church of England Primary School</v>
          </cell>
          <cell r="H1946" t="str">
            <v>South West</v>
          </cell>
          <cell r="I1946" t="str">
            <v>Higher Town</v>
          </cell>
          <cell r="J1946" t="str">
            <v>Sampford Peverell</v>
          </cell>
          <cell r="L1946" t="str">
            <v>Tiverton</v>
          </cell>
          <cell r="M1946" t="str">
            <v>Devon</v>
          </cell>
          <cell r="N1946" t="str">
            <v>EX16 7BR</v>
          </cell>
          <cell r="O1946" t="str">
            <v>gchown@thecff.org.uk</v>
          </cell>
          <cell r="P1946">
            <v>40672</v>
          </cell>
        </row>
        <row r="1947">
          <cell r="A1947">
            <v>8952170</v>
          </cell>
          <cell r="B1947">
            <v>111040</v>
          </cell>
          <cell r="C1947">
            <v>895</v>
          </cell>
          <cell r="D1947" t="str">
            <v>Cheshire East</v>
          </cell>
          <cell r="E1947">
            <v>2170</v>
          </cell>
          <cell r="F1947" t="str">
            <v>Jane McCusker</v>
          </cell>
          <cell r="G1947" t="str">
            <v>Marlfields Primary School</v>
          </cell>
          <cell r="H1947" t="str">
            <v>North West</v>
          </cell>
          <cell r="I1947" t="str">
            <v>Waggs Road</v>
          </cell>
          <cell r="L1947" t="str">
            <v>Congleton</v>
          </cell>
          <cell r="M1947" t="str">
            <v>Cheshire</v>
          </cell>
          <cell r="N1947" t="str">
            <v>CW12 4BT</v>
          </cell>
          <cell r="O1947" t="str">
            <v>head@marlfields.cheshire.sch.uk</v>
          </cell>
        </row>
        <row r="1948">
          <cell r="A1948">
            <v>8454028</v>
          </cell>
          <cell r="B1948">
            <v>114587</v>
          </cell>
          <cell r="C1948">
            <v>845</v>
          </cell>
          <cell r="D1948" t="str">
            <v>East Sussex</v>
          </cell>
          <cell r="E1948">
            <v>4028</v>
          </cell>
          <cell r="F1948" t="str">
            <v>Sarah Mitchell</v>
          </cell>
          <cell r="G1948" t="str">
            <v>Heathfield Community College</v>
          </cell>
          <cell r="H1948" t="str">
            <v>South East</v>
          </cell>
          <cell r="I1948" t="str">
            <v>Cade Street</v>
          </cell>
          <cell r="J1948" t="str">
            <v>Old Heathfield</v>
          </cell>
          <cell r="L1948" t="str">
            <v>Heathfield</v>
          </cell>
          <cell r="M1948" t="str">
            <v>East Sussex</v>
          </cell>
          <cell r="N1948" t="str">
            <v>TN21 8RJ</v>
          </cell>
          <cell r="O1948" t="str">
            <v>apowell@heathfieldcc.e-sussex.sch.uk</v>
          </cell>
        </row>
        <row r="1949">
          <cell r="A1949">
            <v>8652134</v>
          </cell>
          <cell r="B1949">
            <v>126232</v>
          </cell>
          <cell r="C1949">
            <v>865</v>
          </cell>
          <cell r="D1949" t="str">
            <v>Wiltshire</v>
          </cell>
          <cell r="E1949">
            <v>2134</v>
          </cell>
          <cell r="F1949" t="str">
            <v>Theresa Oddelm</v>
          </cell>
          <cell r="G1949" t="str">
            <v>New Close Primary School</v>
          </cell>
          <cell r="H1949" t="str">
            <v>South West</v>
          </cell>
          <cell r="I1949" t="str">
            <v>30 Imber Road</v>
          </cell>
          <cell r="L1949" t="str">
            <v>Warminster</v>
          </cell>
          <cell r="M1949" t="str">
            <v>Wiltshire</v>
          </cell>
          <cell r="N1949" t="str">
            <v>BA12 9JJ</v>
          </cell>
          <cell r="O1949" t="str">
            <v>head@newclose.wilts.sch.uk</v>
          </cell>
        </row>
        <row r="1950">
          <cell r="A1950">
            <v>8154059</v>
          </cell>
          <cell r="B1950">
            <v>121672</v>
          </cell>
          <cell r="C1950">
            <v>815</v>
          </cell>
          <cell r="D1950" t="str">
            <v>North Yorkshire</v>
          </cell>
          <cell r="E1950">
            <v>4059</v>
          </cell>
          <cell r="F1950" t="str">
            <v>Jane Moore</v>
          </cell>
          <cell r="G1950" t="str">
            <v>Caedmon School</v>
          </cell>
          <cell r="H1950" t="str">
            <v>Yorkshire and the Humber</v>
          </cell>
          <cell r="I1950" t="str">
            <v>Airy Hill</v>
          </cell>
          <cell r="L1950" t="str">
            <v>Whitby</v>
          </cell>
          <cell r="M1950" t="str">
            <v>North Yorkshire</v>
          </cell>
          <cell r="N1950" t="str">
            <v>YO21 1QA</v>
          </cell>
          <cell r="O1950" t="str">
            <v xml:space="preserve"> thewitt@caedmon.n-yorks.sch.uk</v>
          </cell>
        </row>
        <row r="1951">
          <cell r="A1951">
            <v>8087029</v>
          </cell>
          <cell r="B1951">
            <v>111787</v>
          </cell>
          <cell r="C1951">
            <v>808</v>
          </cell>
          <cell r="D1951" t="str">
            <v>Stockton-on-Tees</v>
          </cell>
          <cell r="E1951">
            <v>7029</v>
          </cell>
          <cell r="F1951" t="str">
            <v>Carol Blain</v>
          </cell>
          <cell r="G1951" t="str">
            <v>Abbey Hill School and Technology College</v>
          </cell>
          <cell r="H1951" t="str">
            <v>North East</v>
          </cell>
          <cell r="I1951" t="str">
            <v>Ketton Road</v>
          </cell>
          <cell r="J1951" t="str">
            <v>Hardwick Estate</v>
          </cell>
          <cell r="L1951" t="str">
            <v>Stockton-on-Tees</v>
          </cell>
          <cell r="N1951" t="str">
            <v>TS19 8BU</v>
          </cell>
          <cell r="O1951" t="str">
            <v>elizabeth.horne@sbff.org.uk</v>
          </cell>
        </row>
        <row r="1952">
          <cell r="A1952">
            <v>9265405</v>
          </cell>
          <cell r="B1952">
            <v>121213</v>
          </cell>
          <cell r="C1952">
            <v>926</v>
          </cell>
          <cell r="D1952" t="str">
            <v>Norfolk</v>
          </cell>
          <cell r="E1952">
            <v>5405</v>
          </cell>
          <cell r="F1952" t="str">
            <v>Michael Cook</v>
          </cell>
          <cell r="G1952" t="str">
            <v>Acle High School</v>
          </cell>
          <cell r="H1952" t="str">
            <v>East of England</v>
          </cell>
          <cell r="I1952" t="str">
            <v>South Walsham Road</v>
          </cell>
          <cell r="J1952" t="str">
            <v>Acle</v>
          </cell>
          <cell r="L1952" t="str">
            <v>Norwich</v>
          </cell>
          <cell r="M1952" t="str">
            <v>Norfolk</v>
          </cell>
          <cell r="N1952" t="str">
            <v>NR13 3ER</v>
          </cell>
          <cell r="O1952" t="str">
            <v>tphillips@acle.norfolk.sch.uk</v>
          </cell>
          <cell r="P1952">
            <v>41024</v>
          </cell>
        </row>
        <row r="1953">
          <cell r="A1953">
            <v>9384002</v>
          </cell>
          <cell r="B1953">
            <v>126064</v>
          </cell>
          <cell r="C1953">
            <v>938</v>
          </cell>
          <cell r="D1953" t="str">
            <v>West Sussex</v>
          </cell>
          <cell r="E1953">
            <v>4002</v>
          </cell>
          <cell r="F1953" t="str">
            <v>Sarah Mitchell</v>
          </cell>
          <cell r="G1953" t="str">
            <v>Tanbridge House School</v>
          </cell>
          <cell r="H1953" t="str">
            <v>South East</v>
          </cell>
          <cell r="I1953" t="str">
            <v>Farthings Hill</v>
          </cell>
          <cell r="J1953" t="str">
            <v>Guildford Road</v>
          </cell>
          <cell r="L1953" t="str">
            <v>Horsham</v>
          </cell>
          <cell r="M1953" t="str">
            <v>West Sussex</v>
          </cell>
          <cell r="N1953" t="str">
            <v>RH12 1SR</v>
          </cell>
          <cell r="O1953" t="str">
            <v xml:space="preserve"> jwhite@ths.uk.net</v>
          </cell>
        </row>
        <row r="1954">
          <cell r="A1954">
            <v>3802033</v>
          </cell>
          <cell r="B1954">
            <v>107206</v>
          </cell>
          <cell r="C1954">
            <v>380</v>
          </cell>
          <cell r="D1954" t="str">
            <v>Bradford</v>
          </cell>
          <cell r="E1954">
            <v>2033</v>
          </cell>
          <cell r="F1954" t="str">
            <v>Nick Monton</v>
          </cell>
          <cell r="G1954" t="str">
            <v>Greengates Primary School</v>
          </cell>
          <cell r="H1954" t="str">
            <v>Yorkshire and the Humber</v>
          </cell>
          <cell r="I1954" t="str">
            <v>31 Stockhill Road</v>
          </cell>
          <cell r="J1954" t="str">
            <v>Greengates</v>
          </cell>
          <cell r="L1954" t="str">
            <v>Bradford</v>
          </cell>
          <cell r="M1954" t="str">
            <v>West Yorkshire</v>
          </cell>
          <cell r="N1954" t="str">
            <v>BD10 9AX</v>
          </cell>
          <cell r="O1954" t="str">
            <v>andrew.gaunt@greengates.bradford.sch.uk</v>
          </cell>
          <cell r="P1954">
            <v>41088</v>
          </cell>
        </row>
        <row r="1955">
          <cell r="A1955">
            <v>9364202</v>
          </cell>
          <cell r="B1955">
            <v>125263</v>
          </cell>
          <cell r="C1955">
            <v>936</v>
          </cell>
          <cell r="D1955" t="str">
            <v>Surrey</v>
          </cell>
          <cell r="E1955">
            <v>4202</v>
          </cell>
          <cell r="F1955" t="str">
            <v>Tony Dunne</v>
          </cell>
          <cell r="G1955" t="str">
            <v>The Matthew Arnold School</v>
          </cell>
          <cell r="H1955" t="str">
            <v>South East</v>
          </cell>
          <cell r="I1955" t="str">
            <v>Kingston Road</v>
          </cell>
          <cell r="L1955" t="str">
            <v>Staines</v>
          </cell>
          <cell r="M1955" t="str">
            <v>Surrey</v>
          </cell>
          <cell r="N1955" t="str">
            <v>TW18 1PF</v>
          </cell>
          <cell r="O1955" t="str">
            <v>jmpearson@matthew-arnold.surrey.sch.uk</v>
          </cell>
          <cell r="P1955">
            <v>40732</v>
          </cell>
        </row>
        <row r="1956">
          <cell r="A1956">
            <v>8853354</v>
          </cell>
          <cell r="B1956">
            <v>116899</v>
          </cell>
          <cell r="C1956">
            <v>885</v>
          </cell>
          <cell r="D1956" t="str">
            <v>Worcestershire</v>
          </cell>
          <cell r="E1956">
            <v>3354</v>
          </cell>
          <cell r="F1956" t="str">
            <v>Stephen Bagnall</v>
          </cell>
          <cell r="G1956" t="str">
            <v>St Matthias Church of England Primary School</v>
          </cell>
          <cell r="H1956" t="str">
            <v>West Midlands</v>
          </cell>
          <cell r="I1956" t="str">
            <v>Cromwell Road</v>
          </cell>
          <cell r="L1956" t="str">
            <v>Malvern Link</v>
          </cell>
          <cell r="M1956" t="str">
            <v>Worcestershire</v>
          </cell>
          <cell r="N1956" t="str">
            <v>WR14 1NA</v>
          </cell>
          <cell r="O1956" t="str">
            <v>head@stmatthias.worcs.sch.uk</v>
          </cell>
          <cell r="P1956">
            <v>40632</v>
          </cell>
        </row>
        <row r="1957">
          <cell r="A1957">
            <v>8554016</v>
          </cell>
          <cell r="B1957">
            <v>120245</v>
          </cell>
          <cell r="C1957">
            <v>855</v>
          </cell>
          <cell r="D1957" t="str">
            <v>Leicestershire</v>
          </cell>
          <cell r="E1957">
            <v>4016</v>
          </cell>
          <cell r="F1957" t="str">
            <v>Stephen Standret</v>
          </cell>
          <cell r="G1957" t="str">
            <v>Market Bosworth High School</v>
          </cell>
          <cell r="H1957" t="str">
            <v>East Midlands</v>
          </cell>
          <cell r="I1957" t="str">
            <v>Station Road</v>
          </cell>
          <cell r="J1957" t="str">
            <v>Market Bosworth</v>
          </cell>
          <cell r="L1957" t="str">
            <v>Nuneaton</v>
          </cell>
          <cell r="M1957" t="str">
            <v>Warwickshire</v>
          </cell>
          <cell r="N1957" t="str">
            <v>CV13 0JT</v>
          </cell>
          <cell r="O1957" t="str">
            <v>m.office@mktboshs.leics.sch.uk</v>
          </cell>
          <cell r="P1957">
            <v>40891</v>
          </cell>
        </row>
        <row r="1958">
          <cell r="A1958">
            <v>3055410</v>
          </cell>
          <cell r="B1958">
            <v>101676</v>
          </cell>
          <cell r="C1958">
            <v>305</v>
          </cell>
          <cell r="D1958" t="str">
            <v>Bromley</v>
          </cell>
          <cell r="E1958">
            <v>5410</v>
          </cell>
          <cell r="F1958" t="str">
            <v>Anita Bihal</v>
          </cell>
          <cell r="G1958" t="str">
            <v>St Olave's &amp; St Saviour's Grammar School</v>
          </cell>
          <cell r="H1958" t="str">
            <v>London</v>
          </cell>
          <cell r="I1958" t="str">
            <v>Goddington Lane</v>
          </cell>
          <cell r="L1958" t="str">
            <v>Orpington</v>
          </cell>
          <cell r="M1958" t="str">
            <v>Kent</v>
          </cell>
          <cell r="N1958" t="str">
            <v>BR6 9SH</v>
          </cell>
          <cell r="O1958" t="str">
            <v>aonac@saintolaves.net</v>
          </cell>
          <cell r="P1958">
            <v>40465</v>
          </cell>
        </row>
        <row r="1959">
          <cell r="A1959">
            <v>8884010</v>
          </cell>
          <cell r="B1959">
            <v>119713</v>
          </cell>
          <cell r="C1959">
            <v>888</v>
          </cell>
          <cell r="D1959" t="str">
            <v>Lancashire</v>
          </cell>
          <cell r="E1959">
            <v>4010</v>
          </cell>
          <cell r="F1959" t="str">
            <v>Christine West</v>
          </cell>
          <cell r="G1959" t="str">
            <v>Hodgson School</v>
          </cell>
          <cell r="H1959" t="str">
            <v>North West</v>
          </cell>
          <cell r="I1959" t="str">
            <v>Moorland Road</v>
          </cell>
          <cell r="L1959" t="str">
            <v>Poulton-le-Fylde</v>
          </cell>
          <cell r="M1959" t="str">
            <v>Lancashire</v>
          </cell>
          <cell r="N1959" t="str">
            <v>FY6 7EU</v>
          </cell>
          <cell r="O1959" t="str">
            <v xml:space="preserve"> head@hodgson.lancs.sch.uk</v>
          </cell>
          <cell r="P1959">
            <v>40382</v>
          </cell>
        </row>
        <row r="1960">
          <cell r="A1960">
            <v>8711108</v>
          </cell>
          <cell r="B1960">
            <v>131243</v>
          </cell>
          <cell r="C1960">
            <v>871</v>
          </cell>
          <cell r="D1960" t="str">
            <v>Slough</v>
          </cell>
          <cell r="E1960">
            <v>1108</v>
          </cell>
          <cell r="F1960" t="str">
            <v>Not yet assigned</v>
          </cell>
          <cell r="G1960" t="str">
            <v>Haybrook College PRU</v>
          </cell>
          <cell r="H1960" t="str">
            <v>South East</v>
          </cell>
          <cell r="I1960" t="str">
            <v>112 Burnham Lane</v>
          </cell>
          <cell r="L1960" t="str">
            <v>Slough</v>
          </cell>
          <cell r="M1960" t="str">
            <v>Berkshire</v>
          </cell>
          <cell r="N1960" t="str">
            <v>SL1 6LZ</v>
          </cell>
          <cell r="O1960" t="str">
            <v>helenhuntley@haybrookcollege.slough.sch.uk</v>
          </cell>
        </row>
        <row r="1961">
          <cell r="A1961">
            <v>9313222</v>
          </cell>
          <cell r="B1961">
            <v>123145</v>
          </cell>
          <cell r="C1961">
            <v>931</v>
          </cell>
          <cell r="D1961" t="str">
            <v>Oxfordshire</v>
          </cell>
          <cell r="E1961">
            <v>3222</v>
          </cell>
          <cell r="F1961" t="str">
            <v>Sarah Nairne</v>
          </cell>
          <cell r="G1961" t="str">
            <v>Buckland Church of England Primary School</v>
          </cell>
          <cell r="H1961" t="str">
            <v>South East</v>
          </cell>
          <cell r="I1961" t="str">
            <v>Summerside</v>
          </cell>
          <cell r="L1961" t="str">
            <v>Faringdon</v>
          </cell>
          <cell r="M1961" t="str">
            <v>Oxfordshire</v>
          </cell>
          <cell r="N1961" t="str">
            <v>SN7 8RB</v>
          </cell>
          <cell r="O1961" t="str">
            <v>head.3222@buckland.oxon.sch.uk</v>
          </cell>
        </row>
        <row r="1962">
          <cell r="A1962">
            <v>8023456</v>
          </cell>
          <cell r="B1962">
            <v>135900</v>
          </cell>
          <cell r="C1962">
            <v>802</v>
          </cell>
          <cell r="D1962" t="str">
            <v>North Somerset</v>
          </cell>
          <cell r="E1962">
            <v>3456</v>
          </cell>
          <cell r="F1962" t="str">
            <v>Theresa Oddelm</v>
          </cell>
          <cell r="G1962" t="str">
            <v>Yeo Moor Primary School</v>
          </cell>
          <cell r="H1962" t="str">
            <v>South West</v>
          </cell>
          <cell r="I1962" t="str">
            <v>Kennaway Road</v>
          </cell>
          <cell r="L1962" t="str">
            <v>Clevedon</v>
          </cell>
          <cell r="M1962" t="str">
            <v>Somerset</v>
          </cell>
          <cell r="N1962" t="str">
            <v>BS21 6JL</v>
          </cell>
          <cell r="O1962" t="str">
            <v>yeomoor.pri@n-somerset.gov.uk</v>
          </cell>
        </row>
        <row r="1963">
          <cell r="A1963">
            <v>8813402</v>
          </cell>
          <cell r="B1963">
            <v>115151</v>
          </cell>
          <cell r="C1963">
            <v>881</v>
          </cell>
          <cell r="D1963" t="str">
            <v>Essex</v>
          </cell>
          <cell r="E1963">
            <v>3402</v>
          </cell>
          <cell r="F1963" t="str">
            <v>Claire Ivie</v>
          </cell>
          <cell r="G1963" t="str">
            <v>Bentley St Paul's Church of England Voluntary Aided Primary School</v>
          </cell>
          <cell r="H1963" t="str">
            <v>East of England</v>
          </cell>
          <cell r="I1963" t="str">
            <v>Ashwells Road</v>
          </cell>
          <cell r="J1963" t="str">
            <v>Bentley</v>
          </cell>
          <cell r="L1963" t="str">
            <v>Brentwood</v>
          </cell>
          <cell r="M1963" t="str">
            <v>Essex</v>
          </cell>
          <cell r="N1963" t="str">
            <v>CM15 9SE</v>
          </cell>
          <cell r="O1963" t="str">
            <v>duncanramsey@hotmail.com</v>
          </cell>
        </row>
        <row r="1964">
          <cell r="A1964">
            <v>9282190</v>
          </cell>
          <cell r="B1964">
            <v>121933</v>
          </cell>
          <cell r="C1964">
            <v>928</v>
          </cell>
          <cell r="D1964" t="str">
            <v>Northamptonshire</v>
          </cell>
          <cell r="E1964">
            <v>2190</v>
          </cell>
          <cell r="F1964" t="str">
            <v>Grant Dyson</v>
          </cell>
          <cell r="G1964" t="str">
            <v>Lings Primary School</v>
          </cell>
          <cell r="H1964" t="str">
            <v>East Midlands</v>
          </cell>
          <cell r="I1964" t="str">
            <v>Hayeswood Road</v>
          </cell>
          <cell r="J1964" t="str">
            <v>Lings</v>
          </cell>
          <cell r="L1964" t="str">
            <v>Northampton</v>
          </cell>
          <cell r="M1964" t="str">
            <v>Northamptonshire</v>
          </cell>
          <cell r="N1964" t="str">
            <v>NN3 8NN</v>
          </cell>
          <cell r="O1964" t="str">
            <v>head@lings-pri.northants-ecl.gov.uk</v>
          </cell>
          <cell r="P1964">
            <v>40927</v>
          </cell>
        </row>
        <row r="1965">
          <cell r="A1965">
            <v>3343012</v>
          </cell>
          <cell r="B1965">
            <v>131292</v>
          </cell>
          <cell r="C1965">
            <v>334</v>
          </cell>
          <cell r="D1965" t="str">
            <v>Solihull</v>
          </cell>
          <cell r="E1965">
            <v>3012</v>
          </cell>
          <cell r="F1965" t="str">
            <v>Alison Middleton</v>
          </cell>
          <cell r="G1965" t="str">
            <v>Knowle Church of England Primary School</v>
          </cell>
          <cell r="H1965" t="str">
            <v>West Midlands</v>
          </cell>
          <cell r="I1965" t="str">
            <v>Kixley Lane</v>
          </cell>
          <cell r="J1965" t="str">
            <v>Knowle</v>
          </cell>
          <cell r="L1965" t="str">
            <v>Solihull</v>
          </cell>
          <cell r="M1965" t="str">
            <v>West Midlands</v>
          </cell>
          <cell r="N1965" t="str">
            <v>B93 0JE</v>
          </cell>
          <cell r="O1965" t="str">
            <v>s74jgodsall@knowle.solihull.sch.uk</v>
          </cell>
          <cell r="P1965">
            <v>41232</v>
          </cell>
        </row>
        <row r="1966">
          <cell r="A1966">
            <v>3942158</v>
          </cell>
          <cell r="B1966">
            <v>108818</v>
          </cell>
          <cell r="C1966">
            <v>394</v>
          </cell>
          <cell r="D1966" t="str">
            <v>Sunderland</v>
          </cell>
          <cell r="E1966">
            <v>2158</v>
          </cell>
          <cell r="F1966" t="str">
            <v>Carol Blain</v>
          </cell>
          <cell r="G1966" t="str">
            <v>Rickleton Primary School</v>
          </cell>
          <cell r="H1966" t="str">
            <v>North East</v>
          </cell>
          <cell r="I1966" t="str">
            <v>Vigo Lane</v>
          </cell>
          <cell r="L1966" t="str">
            <v>Washington</v>
          </cell>
          <cell r="M1966" t="str">
            <v>Tyne and Wear</v>
          </cell>
          <cell r="N1966" t="str">
            <v>NE38 9EZ</v>
          </cell>
          <cell r="O1966" t="str">
            <v>christine.curtis@schools.sunderland.gov.uk</v>
          </cell>
        </row>
        <row r="1967">
          <cell r="A1967">
            <v>3104024</v>
          </cell>
          <cell r="B1967">
            <v>102238</v>
          </cell>
          <cell r="C1967">
            <v>310</v>
          </cell>
          <cell r="D1967" t="str">
            <v>Harrow</v>
          </cell>
          <cell r="E1967">
            <v>4024</v>
          </cell>
          <cell r="F1967" t="str">
            <v>Sheila Longstaff</v>
          </cell>
          <cell r="G1967" t="str">
            <v>Nower Hill High School</v>
          </cell>
          <cell r="H1967" t="str">
            <v>London</v>
          </cell>
          <cell r="I1967" t="str">
            <v>George V Avenue</v>
          </cell>
          <cell r="L1967" t="str">
            <v>Pinner</v>
          </cell>
          <cell r="N1967" t="str">
            <v>HA5 5RP</v>
          </cell>
          <cell r="O1967" t="str">
            <v>howard.freed@nowerhill.harrow.sch.uk</v>
          </cell>
          <cell r="P1967">
            <v>40584</v>
          </cell>
        </row>
        <row r="1968">
          <cell r="A1968">
            <v>3302420</v>
          </cell>
          <cell r="B1968">
            <v>103353</v>
          </cell>
          <cell r="C1968">
            <v>330</v>
          </cell>
          <cell r="D1968" t="str">
            <v>Birmingham</v>
          </cell>
          <cell r="E1968">
            <v>2420</v>
          </cell>
          <cell r="F1968" t="str">
            <v>Alison Middleton</v>
          </cell>
          <cell r="G1968" t="str">
            <v>Maney Hill Primary School</v>
          </cell>
          <cell r="H1968" t="str">
            <v>West Midlands</v>
          </cell>
          <cell r="I1968" t="str">
            <v>Maney Hill Road</v>
          </cell>
          <cell r="L1968" t="str">
            <v>Sutton Coldfield</v>
          </cell>
          <cell r="M1968" t="str">
            <v>West Midlands</v>
          </cell>
          <cell r="N1968" t="str">
            <v>B72 1JU</v>
          </cell>
          <cell r="O1968" t="str">
            <v>jane.thomas@maneyhil.bham.sch.uk</v>
          </cell>
        </row>
        <row r="1969">
          <cell r="A1969">
            <v>8227005</v>
          </cell>
          <cell r="B1969">
            <v>109735</v>
          </cell>
          <cell r="C1969">
            <v>822</v>
          </cell>
          <cell r="D1969" t="str">
            <v>Bedford</v>
          </cell>
          <cell r="E1969">
            <v>7005</v>
          </cell>
          <cell r="F1969" t="str">
            <v>Sanjiv Jhalla</v>
          </cell>
          <cell r="G1969" t="str">
            <v>Grange School</v>
          </cell>
          <cell r="H1969" t="str">
            <v>East of England</v>
          </cell>
          <cell r="I1969" t="str">
            <v>Halsey Road</v>
          </cell>
          <cell r="J1969" t="str">
            <v>Kempston</v>
          </cell>
          <cell r="L1969" t="str">
            <v>Bedford</v>
          </cell>
          <cell r="M1969" t="str">
            <v>Bedfordshire</v>
          </cell>
          <cell r="N1969" t="str">
            <v>MK42 8AU</v>
          </cell>
          <cell r="O1969" t="str">
            <v>grangesch@deal.bedfordshire.gov.uk</v>
          </cell>
          <cell r="P1969">
            <v>41109</v>
          </cell>
        </row>
        <row r="1970">
          <cell r="A1970">
            <v>9082742</v>
          </cell>
          <cell r="B1970">
            <v>111979</v>
          </cell>
          <cell r="C1970">
            <v>908</v>
          </cell>
          <cell r="D1970" t="str">
            <v>Cornwall</v>
          </cell>
          <cell r="E1970">
            <v>2742</v>
          </cell>
          <cell r="F1970" t="str">
            <v>Maria Whiting</v>
          </cell>
          <cell r="G1970" t="str">
            <v>Wadebridge Community Primary School</v>
          </cell>
          <cell r="H1970" t="str">
            <v>South West</v>
          </cell>
          <cell r="I1970" t="str">
            <v>Gonvena Hill</v>
          </cell>
          <cell r="L1970" t="str">
            <v>Wadebridge</v>
          </cell>
          <cell r="M1970" t="str">
            <v>Cornwall</v>
          </cell>
          <cell r="N1970" t="str">
            <v>PL27 6BL</v>
          </cell>
          <cell r="O1970" t="str">
            <v>head@wadebridge-pri.cornwall.sch.uk</v>
          </cell>
          <cell r="P1970">
            <v>40660</v>
          </cell>
        </row>
        <row r="1971">
          <cell r="A1971">
            <v>3562046</v>
          </cell>
          <cell r="B1971">
            <v>106052</v>
          </cell>
          <cell r="C1971">
            <v>356</v>
          </cell>
          <cell r="D1971" t="str">
            <v>Stockport</v>
          </cell>
          <cell r="E1971">
            <v>2046</v>
          </cell>
          <cell r="F1971" t="str">
            <v>Jane McCusker</v>
          </cell>
          <cell r="G1971" t="str">
            <v>Hursthead Infant School</v>
          </cell>
          <cell r="H1971" t="str">
            <v>North West</v>
          </cell>
          <cell r="I1971" t="str">
            <v>Kirkstead Road</v>
          </cell>
          <cell r="J1971" t="str">
            <v>Cheadle Hulme</v>
          </cell>
          <cell r="L1971" t="str">
            <v>Cheadle</v>
          </cell>
          <cell r="M1971" t="str">
            <v>Cheshire</v>
          </cell>
          <cell r="N1971" t="str">
            <v>SK8 7PZ</v>
          </cell>
        </row>
        <row r="1972">
          <cell r="A1972">
            <v>3522182</v>
          </cell>
          <cell r="B1972">
            <v>105430</v>
          </cell>
          <cell r="C1972">
            <v>352</v>
          </cell>
          <cell r="D1972" t="str">
            <v>Manchester</v>
          </cell>
          <cell r="E1972">
            <v>2182</v>
          </cell>
          <cell r="F1972" t="str">
            <v>Viv Clutton</v>
          </cell>
          <cell r="G1972" t="str">
            <v>Newall Green Primary School</v>
          </cell>
          <cell r="H1972" t="str">
            <v>North West</v>
          </cell>
          <cell r="I1972" t="str">
            <v>Firbank Road</v>
          </cell>
          <cell r="J1972" t="str">
            <v>Newall Green</v>
          </cell>
          <cell r="K1972" t="str">
            <v>Wythenshawe</v>
          </cell>
          <cell r="L1972" t="str">
            <v>Manchester</v>
          </cell>
          <cell r="N1972" t="str">
            <v>M23 2YH</v>
          </cell>
          <cell r="O1972" t="str">
            <v>head@newallgreen.manchester.sch.uk</v>
          </cell>
        </row>
        <row r="1973">
          <cell r="A1973">
            <v>8784120</v>
          </cell>
          <cell r="B1973">
            <v>113529</v>
          </cell>
          <cell r="C1973">
            <v>878</v>
          </cell>
          <cell r="D1973" t="str">
            <v>Devon</v>
          </cell>
          <cell r="E1973">
            <v>4120</v>
          </cell>
          <cell r="F1973" t="str">
            <v>Ali Bushell</v>
          </cell>
          <cell r="G1973" t="str">
            <v>Teignmouth Community College</v>
          </cell>
          <cell r="H1973" t="str">
            <v>South West</v>
          </cell>
          <cell r="I1973" t="str">
            <v>Exeter Road</v>
          </cell>
          <cell r="L1973" t="str">
            <v>Teignmouth</v>
          </cell>
          <cell r="M1973" t="str">
            <v>Devon</v>
          </cell>
          <cell r="N1973" t="str">
            <v>TQ14 9HZ</v>
          </cell>
          <cell r="O1973" t="str">
            <v>tgray@teignmouth.devon.sch.uk</v>
          </cell>
          <cell r="P1973">
            <v>40522</v>
          </cell>
        </row>
        <row r="1974">
          <cell r="A1974">
            <v>9282073</v>
          </cell>
          <cell r="B1974">
            <v>121848</v>
          </cell>
          <cell r="C1974">
            <v>928</v>
          </cell>
          <cell r="D1974" t="str">
            <v>Northamptonshire</v>
          </cell>
          <cell r="E1974">
            <v>2073</v>
          </cell>
          <cell r="F1974" t="str">
            <v>Sue Harp</v>
          </cell>
          <cell r="G1974" t="str">
            <v>Newnham Primary School</v>
          </cell>
          <cell r="H1974" t="str">
            <v>East Midlands</v>
          </cell>
          <cell r="I1974" t="str">
            <v>School Hill</v>
          </cell>
          <cell r="J1974" t="str">
            <v>Newnham</v>
          </cell>
          <cell r="L1974" t="str">
            <v>Daventry</v>
          </cell>
          <cell r="M1974" t="str">
            <v>Northamptonshire</v>
          </cell>
          <cell r="N1974" t="str">
            <v>NN11 3HG</v>
          </cell>
        </row>
        <row r="1975">
          <cell r="A1975">
            <v>3302182</v>
          </cell>
          <cell r="B1975">
            <v>103260</v>
          </cell>
          <cell r="C1975">
            <v>330</v>
          </cell>
          <cell r="D1975" t="str">
            <v>Birmingham</v>
          </cell>
          <cell r="E1975">
            <v>2182</v>
          </cell>
          <cell r="F1975" t="str">
            <v>Carol Ions</v>
          </cell>
          <cell r="G1975" t="str">
            <v>Oldknow Junior School</v>
          </cell>
          <cell r="H1975" t="str">
            <v>West Midlands</v>
          </cell>
          <cell r="I1975" t="str">
            <v>Oldknow Road</v>
          </cell>
          <cell r="J1975" t="str">
            <v>Small Heath</v>
          </cell>
          <cell r="L1975" t="str">
            <v>Birmingham</v>
          </cell>
          <cell r="M1975" t="str">
            <v>West Midlands</v>
          </cell>
          <cell r="N1975" t="str">
            <v>B10 0HU</v>
          </cell>
          <cell r="O1975" t="str">
            <v>bhupinder.kondal@oldknowj.bham.sch.uk</v>
          </cell>
          <cell r="P1975">
            <v>40677</v>
          </cell>
        </row>
        <row r="1976">
          <cell r="A1976">
            <v>3414420</v>
          </cell>
          <cell r="B1976">
            <v>104692</v>
          </cell>
          <cell r="C1976">
            <v>341</v>
          </cell>
          <cell r="D1976" t="str">
            <v>Liverpool</v>
          </cell>
          <cell r="E1976">
            <v>4420</v>
          </cell>
          <cell r="F1976" t="str">
            <v>Maria Sabberton</v>
          </cell>
          <cell r="G1976" t="str">
            <v>Fazakerley High School</v>
          </cell>
          <cell r="H1976" t="str">
            <v>North West</v>
          </cell>
          <cell r="I1976" t="str">
            <v>Sherwoods Lane</v>
          </cell>
          <cell r="J1976" t="str">
            <v>Fazakerley</v>
          </cell>
          <cell r="L1976" t="str">
            <v>Liverpool</v>
          </cell>
          <cell r="M1976" t="str">
            <v>Merseyside</v>
          </cell>
          <cell r="N1976" t="str">
            <v>L10 1LB</v>
          </cell>
          <cell r="O1976" t="str">
            <v>head@fazakerleyhigh.org</v>
          </cell>
        </row>
        <row r="1977">
          <cell r="A1977">
            <v>3125200</v>
          </cell>
          <cell r="B1977">
            <v>102430</v>
          </cell>
          <cell r="C1977">
            <v>312</v>
          </cell>
          <cell r="D1977" t="str">
            <v>Hillingdon</v>
          </cell>
          <cell r="E1977">
            <v>5200</v>
          </cell>
          <cell r="F1977" t="str">
            <v>Martin Rowley</v>
          </cell>
          <cell r="G1977" t="str">
            <v>Oak Farm Infant School</v>
          </cell>
          <cell r="H1977" t="str">
            <v>London</v>
          </cell>
          <cell r="I1977" t="str">
            <v>Windsor Avenue</v>
          </cell>
          <cell r="J1977" t="str">
            <v>Hillingdon</v>
          </cell>
          <cell r="L1977" t="str">
            <v>Uxbridge</v>
          </cell>
          <cell r="N1977" t="str">
            <v>UB10 9PD</v>
          </cell>
          <cell r="O1977" t="str">
            <v>cshasha@hillingdongrid.org</v>
          </cell>
        </row>
        <row r="1978">
          <cell r="A1978">
            <v>8454500</v>
          </cell>
          <cell r="B1978">
            <v>114610</v>
          </cell>
          <cell r="C1978">
            <v>845</v>
          </cell>
          <cell r="D1978" t="str">
            <v>East Sussex</v>
          </cell>
          <cell r="E1978">
            <v>4500</v>
          </cell>
          <cell r="F1978" t="str">
            <v>Sarah Mitchell</v>
          </cell>
          <cell r="G1978" t="str">
            <v>William Parker Sports College</v>
          </cell>
          <cell r="H1978" t="str">
            <v>South East</v>
          </cell>
          <cell r="I1978" t="str">
            <v>Parkstone Road</v>
          </cell>
          <cell r="L1978" t="str">
            <v>Hastings</v>
          </cell>
          <cell r="M1978" t="str">
            <v>East Sussex</v>
          </cell>
          <cell r="N1978" t="str">
            <v>TN34 2NT</v>
          </cell>
          <cell r="O1978" t="str">
            <v>Joanne.Vallely@williamparker.e-sussex.sch.uk</v>
          </cell>
        </row>
        <row r="1979">
          <cell r="A1979">
            <v>3734279</v>
          </cell>
          <cell r="B1979">
            <v>107149</v>
          </cell>
          <cell r="C1979">
            <v>373</v>
          </cell>
          <cell r="D1979" t="str">
            <v>Sheffield</v>
          </cell>
          <cell r="E1979">
            <v>4279</v>
          </cell>
          <cell r="F1979" t="str">
            <v>Bev Annables</v>
          </cell>
          <cell r="G1979" t="str">
            <v>Meadowhead School</v>
          </cell>
          <cell r="H1979" t="str">
            <v>Yorkshire and the Humber</v>
          </cell>
          <cell r="I1979" t="str">
            <v>Dyche Lane</v>
          </cell>
          <cell r="L1979" t="str">
            <v>Sheffield</v>
          </cell>
          <cell r="M1979" t="str">
            <v>South Yorkshire</v>
          </cell>
          <cell r="N1979" t="str">
            <v>S8 8BR</v>
          </cell>
          <cell r="O1979" t="str">
            <v>EastwoodP@meadowhead.sheffield.sch.uk</v>
          </cell>
          <cell r="P1979">
            <v>40870</v>
          </cell>
        </row>
        <row r="1980">
          <cell r="A1980">
            <v>8964132</v>
          </cell>
          <cell r="B1980">
            <v>111414</v>
          </cell>
          <cell r="C1980">
            <v>896</v>
          </cell>
          <cell r="D1980" t="str">
            <v>Cheshire West and Chester</v>
          </cell>
          <cell r="E1980">
            <v>4132</v>
          </cell>
          <cell r="F1980" t="str">
            <v>Maria Sabberton</v>
          </cell>
          <cell r="G1980" t="str">
            <v>Weaverham High School</v>
          </cell>
          <cell r="H1980" t="str">
            <v>North West</v>
          </cell>
          <cell r="I1980" t="str">
            <v>Lime Avenue</v>
          </cell>
          <cell r="J1980" t="str">
            <v>Weaverham</v>
          </cell>
          <cell r="L1980" t="str">
            <v>Northwich</v>
          </cell>
          <cell r="M1980" t="str">
            <v>Cheshire</v>
          </cell>
          <cell r="N1980" t="str">
            <v>CW8 3HT</v>
          </cell>
          <cell r="O1980" t="str">
            <v>charlton@weaverham.cheshire.sch.uk</v>
          </cell>
        </row>
        <row r="1981">
          <cell r="A1981">
            <v>9195407</v>
          </cell>
          <cell r="B1981">
            <v>117579</v>
          </cell>
          <cell r="C1981">
            <v>919</v>
          </cell>
          <cell r="D1981" t="str">
            <v>Hertfordshire</v>
          </cell>
          <cell r="E1981">
            <v>5407</v>
          </cell>
          <cell r="F1981" t="str">
            <v>Michael Cook</v>
          </cell>
          <cell r="G1981" t="str">
            <v>Dame Alice Owen's School</v>
          </cell>
          <cell r="H1981" t="str">
            <v>East of England</v>
          </cell>
          <cell r="I1981" t="str">
            <v>Dugdale Hill Lane</v>
          </cell>
          <cell r="L1981" t="str">
            <v>Potters Bar</v>
          </cell>
          <cell r="M1981" t="str">
            <v>Hertfordshire</v>
          </cell>
          <cell r="N1981" t="str">
            <v>EN6 2DU</v>
          </cell>
          <cell r="O1981" t="str">
            <v>head@damealiceowens.herts.sch.uk</v>
          </cell>
          <cell r="P1981">
            <v>40526</v>
          </cell>
        </row>
        <row r="1982">
          <cell r="A1982">
            <v>9165408</v>
          </cell>
          <cell r="B1982">
            <v>115759</v>
          </cell>
          <cell r="C1982">
            <v>916</v>
          </cell>
          <cell r="D1982" t="str">
            <v>Gloucestershire</v>
          </cell>
          <cell r="E1982">
            <v>5408</v>
          </cell>
          <cell r="F1982" t="str">
            <v>Nigel Mills</v>
          </cell>
          <cell r="G1982" t="str">
            <v>Balcarras School</v>
          </cell>
          <cell r="H1982" t="str">
            <v>South West</v>
          </cell>
          <cell r="I1982" t="str">
            <v>East End Road</v>
          </cell>
          <cell r="J1982" t="str">
            <v>Charlton Kings</v>
          </cell>
          <cell r="L1982" t="str">
            <v>Cheltenham</v>
          </cell>
          <cell r="M1982" t="str">
            <v>Gloucestershire</v>
          </cell>
          <cell r="N1982" t="str">
            <v>GL53 8QF</v>
          </cell>
          <cell r="O1982" t="str">
            <v>njh@balcarras.gloucs.sch.uk</v>
          </cell>
          <cell r="P1982">
            <v>40448</v>
          </cell>
        </row>
        <row r="1983">
          <cell r="A1983">
            <v>8783307</v>
          </cell>
          <cell r="B1983">
            <v>113428</v>
          </cell>
          <cell r="C1983">
            <v>878</v>
          </cell>
          <cell r="D1983" t="str">
            <v>Devon</v>
          </cell>
          <cell r="E1983">
            <v>3307</v>
          </cell>
          <cell r="F1983" t="str">
            <v>Lilian Da Cunha</v>
          </cell>
          <cell r="G1983" t="str">
            <v>Lady Seaward's Church of England Primary School</v>
          </cell>
          <cell r="H1983" t="str">
            <v>South West</v>
          </cell>
          <cell r="I1983" t="str">
            <v>Clyst St George</v>
          </cell>
          <cell r="L1983" t="str">
            <v>Exeter</v>
          </cell>
          <cell r="M1983" t="str">
            <v>Devon</v>
          </cell>
          <cell r="N1983" t="str">
            <v>EX3 0RE</v>
          </cell>
          <cell r="P1983">
            <v>40672</v>
          </cell>
        </row>
        <row r="1984">
          <cell r="A1984">
            <v>8254065</v>
          </cell>
          <cell r="B1984">
            <v>110496</v>
          </cell>
          <cell r="C1984">
            <v>825</v>
          </cell>
          <cell r="D1984" t="str">
            <v>Buckinghamshire</v>
          </cell>
          <cell r="E1984">
            <v>4065</v>
          </cell>
          <cell r="F1984" t="str">
            <v>Darren Francis</v>
          </cell>
          <cell r="G1984" t="str">
            <v>Sir Henry Floyd Grammar School</v>
          </cell>
          <cell r="H1984" t="str">
            <v>South East</v>
          </cell>
          <cell r="I1984" t="str">
            <v>Oxford Road</v>
          </cell>
          <cell r="L1984" t="str">
            <v>Aylesbury</v>
          </cell>
          <cell r="M1984" t="str">
            <v>Buckinghamshire</v>
          </cell>
          <cell r="N1984" t="str">
            <v>HP21 8PE</v>
          </cell>
          <cell r="O1984" t="str">
            <v>sbox@bucksgfl.org.uk</v>
          </cell>
          <cell r="P1984">
            <v>40592</v>
          </cell>
        </row>
        <row r="1985">
          <cell r="A1985">
            <v>8224604</v>
          </cell>
          <cell r="B1985">
            <v>109697</v>
          </cell>
          <cell r="C1985">
            <v>822</v>
          </cell>
          <cell r="D1985" t="str">
            <v>Bedford</v>
          </cell>
          <cell r="E1985">
            <v>4604</v>
          </cell>
          <cell r="F1985" t="str">
            <v>Michael Cook</v>
          </cell>
          <cell r="G1985" t="str">
            <v>Alban VA Church of England Middle School</v>
          </cell>
          <cell r="H1985" t="str">
            <v>East of England</v>
          </cell>
          <cell r="I1985" t="str">
            <v>Silver Street</v>
          </cell>
          <cell r="J1985" t="str">
            <v>Great Barford</v>
          </cell>
          <cell r="L1985" t="str">
            <v>Bedford</v>
          </cell>
          <cell r="M1985" t="str">
            <v>Bedfordshire</v>
          </cell>
          <cell r="N1985" t="str">
            <v>MK44 3HZ</v>
          </cell>
          <cell r="O1985" t="str">
            <v>ldougall@alban.beds.sch.uk</v>
          </cell>
          <cell r="P1985">
            <v>40465</v>
          </cell>
        </row>
        <row r="1986">
          <cell r="A1986">
            <v>9317018</v>
          </cell>
          <cell r="B1986">
            <v>123338</v>
          </cell>
          <cell r="C1986">
            <v>931</v>
          </cell>
          <cell r="D1986" t="str">
            <v>Oxfordshire</v>
          </cell>
          <cell r="E1986">
            <v>7018</v>
          </cell>
          <cell r="F1986" t="str">
            <v>Sarah Nairne</v>
          </cell>
          <cell r="G1986" t="str">
            <v>Iffley Mead School</v>
          </cell>
          <cell r="H1986" t="str">
            <v>South East</v>
          </cell>
          <cell r="I1986" t="str">
            <v>Iffley Turn</v>
          </cell>
          <cell r="L1986" t="str">
            <v>Oxford</v>
          </cell>
          <cell r="M1986" t="str">
            <v>Oxfordshire</v>
          </cell>
          <cell r="N1986" t="str">
            <v>OX4 4DU</v>
          </cell>
          <cell r="O1986" t="str">
            <v>sally.hunston@iffley-mead.oxon.sch.uk</v>
          </cell>
          <cell r="P1986">
            <v>41094</v>
          </cell>
        </row>
        <row r="1987">
          <cell r="A1987">
            <v>9332057</v>
          </cell>
          <cell r="B1987">
            <v>123658</v>
          </cell>
          <cell r="C1987">
            <v>933</v>
          </cell>
          <cell r="D1987" t="str">
            <v>Somerset</v>
          </cell>
          <cell r="E1987">
            <v>2057</v>
          </cell>
          <cell r="F1987" t="str">
            <v>Ali Bushell</v>
          </cell>
          <cell r="G1987" t="str">
            <v>Priddy Primary School</v>
          </cell>
          <cell r="H1987" t="str">
            <v>South West</v>
          </cell>
          <cell r="I1987" t="str">
            <v>Priddy</v>
          </cell>
          <cell r="L1987" t="str">
            <v>Wells</v>
          </cell>
          <cell r="M1987" t="str">
            <v>Somerset</v>
          </cell>
          <cell r="N1987" t="str">
            <v>BA5 3BE</v>
          </cell>
          <cell r="O1987" t="str">
            <v>selidgey@educ.somerset.gov.uk</v>
          </cell>
        </row>
        <row r="1988">
          <cell r="A1988">
            <v>9191105</v>
          </cell>
          <cell r="B1988">
            <v>130349</v>
          </cell>
          <cell r="C1988">
            <v>919</v>
          </cell>
          <cell r="D1988" t="str">
            <v>Hertfordshire</v>
          </cell>
          <cell r="E1988">
            <v>1105</v>
          </cell>
          <cell r="F1988" t="str">
            <v>Pat Murison</v>
          </cell>
          <cell r="G1988" t="str">
            <v>Chessbrook Education Support Centre</v>
          </cell>
          <cell r="H1988" t="str">
            <v>East of England</v>
          </cell>
          <cell r="I1988" t="str">
            <v>Chessbrook Centre</v>
          </cell>
          <cell r="J1988" t="str">
            <v>Tolpits Lane</v>
          </cell>
          <cell r="L1988" t="str">
            <v>Watford</v>
          </cell>
          <cell r="M1988" t="str">
            <v>Hertfordshire</v>
          </cell>
          <cell r="N1988" t="str">
            <v>WD18 6LJ</v>
          </cell>
          <cell r="O1988" t="str">
            <v>head@chessbrook.herts.sch.uk</v>
          </cell>
        </row>
        <row r="1989">
          <cell r="A1989">
            <v>3942091</v>
          </cell>
          <cell r="B1989">
            <v>108785</v>
          </cell>
          <cell r="C1989">
            <v>394</v>
          </cell>
          <cell r="D1989" t="str">
            <v>Sunderland</v>
          </cell>
          <cell r="E1989">
            <v>2091</v>
          </cell>
          <cell r="F1989" t="str">
            <v>Janet Smith</v>
          </cell>
          <cell r="G1989" t="str">
            <v>East Herrington Primary School</v>
          </cell>
          <cell r="H1989" t="str">
            <v>North East</v>
          </cell>
          <cell r="I1989" t="str">
            <v>Balmoral Terrace</v>
          </cell>
          <cell r="J1989" t="str">
            <v>East Herrington</v>
          </cell>
          <cell r="L1989" t="str">
            <v>Sunderland</v>
          </cell>
          <cell r="M1989" t="str">
            <v>Tyne and Wear</v>
          </cell>
          <cell r="N1989" t="str">
            <v>SR3 3PR</v>
          </cell>
          <cell r="O1989" t="str">
            <v>east.herrington.primary@schools.sunderland.gov.uk</v>
          </cell>
          <cell r="P1989">
            <v>40962</v>
          </cell>
        </row>
        <row r="1990">
          <cell r="A1990">
            <v>3914429</v>
          </cell>
          <cell r="B1990">
            <v>108523</v>
          </cell>
          <cell r="C1990">
            <v>391</v>
          </cell>
          <cell r="D1990" t="str">
            <v>Newcastle upon Tyne</v>
          </cell>
          <cell r="E1990">
            <v>4429</v>
          </cell>
          <cell r="F1990" t="str">
            <v>Paul Robinson</v>
          </cell>
          <cell r="G1990" t="str">
            <v>Gosforth High School (in federation with Gosforth Junior High School)</v>
          </cell>
          <cell r="H1990" t="str">
            <v>North East</v>
          </cell>
          <cell r="I1990" t="str">
            <v>Knightsbridge</v>
          </cell>
          <cell r="J1990" t="str">
            <v>Great North Road</v>
          </cell>
          <cell r="K1990" t="str">
            <v>Gosforth</v>
          </cell>
          <cell r="L1990" t="str">
            <v>Newcastle-upon-Tyne</v>
          </cell>
          <cell r="M1990" t="str">
            <v>Tyne and Wear</v>
          </cell>
          <cell r="N1990" t="str">
            <v>NE3 2JH</v>
          </cell>
          <cell r="O1990" t="str">
            <v>hugh.robinson@gosforthhigh.newcastle.sch.uk</v>
          </cell>
          <cell r="P1990">
            <v>40364</v>
          </cell>
        </row>
        <row r="1991">
          <cell r="A1991">
            <v>8604176</v>
          </cell>
          <cell r="B1991">
            <v>124442</v>
          </cell>
          <cell r="C1991">
            <v>860</v>
          </cell>
          <cell r="D1991" t="str">
            <v>Staffordshire</v>
          </cell>
          <cell r="E1991">
            <v>4176</v>
          </cell>
          <cell r="F1991" t="str">
            <v>Bonnie Wang</v>
          </cell>
          <cell r="G1991" t="str">
            <v>De Ferrers Specialist Technology College</v>
          </cell>
          <cell r="H1991" t="str">
            <v>West Midlands</v>
          </cell>
          <cell r="I1991" t="str">
            <v>St Mary's Drive</v>
          </cell>
          <cell r="L1991" t="str">
            <v>Burton-on-Trent</v>
          </cell>
          <cell r="M1991" t="str">
            <v>Staffordshire</v>
          </cell>
          <cell r="N1991" t="str">
            <v>DE13 0LL</v>
          </cell>
          <cell r="O1991" t="str">
            <v>office@deferrers.staffs.sch.uk</v>
          </cell>
          <cell r="P1991">
            <v>40374</v>
          </cell>
        </row>
        <row r="1992">
          <cell r="A1992">
            <v>3114600</v>
          </cell>
          <cell r="B1992">
            <v>102349</v>
          </cell>
          <cell r="C1992">
            <v>311</v>
          </cell>
          <cell r="D1992" t="str">
            <v>Havering</v>
          </cell>
          <cell r="E1992">
            <v>4600</v>
          </cell>
          <cell r="F1992" t="str">
            <v>Tahir Shams</v>
          </cell>
          <cell r="G1992" t="str">
            <v>St Edward's Church of England School &amp; Sixth Form College</v>
          </cell>
          <cell r="H1992" t="str">
            <v>London</v>
          </cell>
          <cell r="I1992" t="str">
            <v>London Road</v>
          </cell>
          <cell r="L1992" t="str">
            <v>Romford</v>
          </cell>
          <cell r="M1992" t="str">
            <v>Essex</v>
          </cell>
          <cell r="N1992" t="str">
            <v>RM7 9NX</v>
          </cell>
          <cell r="O1992" t="str">
            <v>aperry@steds.org.uk</v>
          </cell>
          <cell r="P1992">
            <v>40623</v>
          </cell>
        </row>
        <row r="1993">
          <cell r="A1993">
            <v>8504310</v>
          </cell>
          <cell r="B1993">
            <v>116468</v>
          </cell>
          <cell r="C1993">
            <v>850</v>
          </cell>
          <cell r="D1993" t="str">
            <v>Hampshire</v>
          </cell>
          <cell r="E1993">
            <v>4310</v>
          </cell>
          <cell r="F1993" t="str">
            <v>Susan Shakespeare</v>
          </cell>
          <cell r="G1993" t="str">
            <v>Kings' School Winchester - with boarding</v>
          </cell>
          <cell r="H1993" t="str">
            <v>South East</v>
          </cell>
          <cell r="I1993" t="str">
            <v>Romsey Road</v>
          </cell>
          <cell r="L1993" t="str">
            <v>Winchester</v>
          </cell>
          <cell r="M1993" t="str">
            <v>Hampshire</v>
          </cell>
          <cell r="N1993" t="str">
            <v>SO22 5PN</v>
          </cell>
          <cell r="O1993" t="str">
            <v>s.law@kings-winchester.hants.sch.uk</v>
          </cell>
        </row>
        <row r="1994">
          <cell r="A1994">
            <v>8232143</v>
          </cell>
          <cell r="B1994">
            <v>109493</v>
          </cell>
          <cell r="C1994">
            <v>823</v>
          </cell>
          <cell r="D1994" t="str">
            <v>Central Bedfordshire</v>
          </cell>
          <cell r="E1994">
            <v>2143</v>
          </cell>
          <cell r="F1994" t="str">
            <v>Kish Chetty</v>
          </cell>
          <cell r="G1994" t="str">
            <v>Woburn Lower School</v>
          </cell>
          <cell r="H1994" t="str">
            <v>East of England</v>
          </cell>
          <cell r="I1994" t="str">
            <v>Bedford Street</v>
          </cell>
          <cell r="L1994" t="str">
            <v>Woburn</v>
          </cell>
          <cell r="M1994" t="str">
            <v>Bedfordshire</v>
          </cell>
          <cell r="N1994" t="str">
            <v>MK17 9QL</v>
          </cell>
        </row>
        <row r="1995">
          <cell r="A1995">
            <v>9254022</v>
          </cell>
          <cell r="B1995">
            <v>120640</v>
          </cell>
          <cell r="C1995">
            <v>925</v>
          </cell>
          <cell r="D1995" t="str">
            <v>Lincolnshire</v>
          </cell>
          <cell r="E1995">
            <v>4022</v>
          </cell>
          <cell r="F1995" t="str">
            <v>Sue Harp</v>
          </cell>
          <cell r="G1995" t="str">
            <v>Boston High School</v>
          </cell>
          <cell r="H1995" t="str">
            <v>East Midlands</v>
          </cell>
          <cell r="I1995" t="str">
            <v>Spilsby Road</v>
          </cell>
          <cell r="L1995" t="str">
            <v>Boston</v>
          </cell>
          <cell r="M1995" t="str">
            <v>Lincolnshire</v>
          </cell>
          <cell r="N1995" t="str">
            <v>PE21 9PF</v>
          </cell>
          <cell r="O1995" t="str">
            <v>jason.howard@bostonhighschool.co.uk</v>
          </cell>
          <cell r="P1995">
            <v>41109</v>
          </cell>
        </row>
        <row r="1996">
          <cell r="A1996">
            <v>9254025</v>
          </cell>
          <cell r="B1996">
            <v>120641</v>
          </cell>
          <cell r="C1996">
            <v>925</v>
          </cell>
          <cell r="D1996" t="str">
            <v>Lincolnshire</v>
          </cell>
          <cell r="E1996">
            <v>4025</v>
          </cell>
          <cell r="F1996" t="str">
            <v>Grant Dyson</v>
          </cell>
          <cell r="G1996" t="str">
            <v>Gleed Boys School</v>
          </cell>
          <cell r="H1996" t="str">
            <v>East Midlands</v>
          </cell>
          <cell r="I1996" t="str">
            <v>Halmer Gardens</v>
          </cell>
          <cell r="L1996" t="str">
            <v>Spalding</v>
          </cell>
          <cell r="M1996" t="str">
            <v>Lincolnshire</v>
          </cell>
          <cell r="N1996" t="str">
            <v>PE11 2EF</v>
          </cell>
          <cell r="O1996" t="str">
            <v>geoff.cowley@gleedboys.lincs.sch.uk</v>
          </cell>
          <cell r="P1996">
            <v>40626</v>
          </cell>
        </row>
        <row r="1997">
          <cell r="A1997">
            <v>8123522</v>
          </cell>
          <cell r="B1997">
            <v>131256</v>
          </cell>
          <cell r="C1997">
            <v>812</v>
          </cell>
          <cell r="D1997" t="str">
            <v>North East Lincolnshire</v>
          </cell>
          <cell r="E1997">
            <v>3522</v>
          </cell>
          <cell r="F1997" t="str">
            <v>Nick Monton</v>
          </cell>
          <cell r="G1997" t="str">
            <v>Old Clee Primary School</v>
          </cell>
          <cell r="H1997" t="str">
            <v>Yorkshire and the Humber</v>
          </cell>
          <cell r="I1997" t="str">
            <v>Colin Avenue</v>
          </cell>
          <cell r="L1997" t="str">
            <v>Grimsby</v>
          </cell>
          <cell r="M1997" t="str">
            <v>Lincolnshire</v>
          </cell>
          <cell r="N1997" t="str">
            <v>DN32 8EN</v>
          </cell>
          <cell r="O1997" t="str">
            <v>head@ocp.nelcmail.co.uk</v>
          </cell>
          <cell r="P1997">
            <v>41253</v>
          </cell>
        </row>
        <row r="1998">
          <cell r="A1998">
            <v>3524276</v>
          </cell>
          <cell r="B1998">
            <v>105564</v>
          </cell>
          <cell r="C1998">
            <v>352</v>
          </cell>
          <cell r="D1998" t="str">
            <v>Manchester</v>
          </cell>
          <cell r="E1998">
            <v>4276</v>
          </cell>
          <cell r="F1998" t="str">
            <v>Elaine Howard</v>
          </cell>
          <cell r="G1998" t="str">
            <v>Wright Robinson College</v>
          </cell>
          <cell r="H1998" t="str">
            <v>North West</v>
          </cell>
          <cell r="I1998" t="str">
            <v>Abbey Hey Lane</v>
          </cell>
          <cell r="J1998" t="str">
            <v>Gorton</v>
          </cell>
          <cell r="L1998" t="str">
            <v>Manchester</v>
          </cell>
          <cell r="N1998" t="str">
            <v>M18 8RL</v>
          </cell>
          <cell r="O1998" t="str">
            <v>N.Beischer@wrightrobinson.co.uk</v>
          </cell>
          <cell r="P1998">
            <v>40638</v>
          </cell>
        </row>
        <row r="1999">
          <cell r="A1999">
            <v>8734027</v>
          </cell>
          <cell r="B1999">
            <v>110864</v>
          </cell>
          <cell r="C1999">
            <v>873</v>
          </cell>
          <cell r="D1999" t="str">
            <v>Cambridgeshire</v>
          </cell>
          <cell r="E1999">
            <v>4027</v>
          </cell>
          <cell r="F1999" t="str">
            <v>Yvonne Reddington</v>
          </cell>
          <cell r="G1999" t="str">
            <v>Parkside Community College</v>
          </cell>
          <cell r="H1999" t="str">
            <v>East of England</v>
          </cell>
          <cell r="I1999" t="str">
            <v>Parkside</v>
          </cell>
          <cell r="L1999" t="str">
            <v>Cambridge</v>
          </cell>
          <cell r="M1999" t="str">
            <v>Cambridgeshire</v>
          </cell>
          <cell r="N1999" t="str">
            <v>CB1 1EH</v>
          </cell>
          <cell r="O1999" t="str">
            <v>ahutchinson@parksidefederation.org.uk</v>
          </cell>
          <cell r="P1999">
            <v>40456</v>
          </cell>
        </row>
        <row r="2000">
          <cell r="A2000">
            <v>8655414</v>
          </cell>
          <cell r="B2000">
            <v>126509</v>
          </cell>
          <cell r="C2000">
            <v>865</v>
          </cell>
          <cell r="D2000" t="str">
            <v>Wiltshire</v>
          </cell>
          <cell r="E2000">
            <v>5414</v>
          </cell>
          <cell r="F2000" t="str">
            <v>Ali Bushell</v>
          </cell>
          <cell r="G2000" t="str">
            <v>Hardenhuish School</v>
          </cell>
          <cell r="H2000" t="str">
            <v>South West</v>
          </cell>
          <cell r="I2000" t="str">
            <v>Hardenhuish Lane</v>
          </cell>
          <cell r="L2000" t="str">
            <v>Chippenham</v>
          </cell>
          <cell r="M2000" t="str">
            <v>Wiltshire</v>
          </cell>
          <cell r="N2000" t="str">
            <v>SN14 6RJ</v>
          </cell>
          <cell r="O2000" t="str">
            <v>jeh@hardenhuish.wilts.sch.uk</v>
          </cell>
          <cell r="P2000">
            <v>40361</v>
          </cell>
        </row>
        <row r="2001">
          <cell r="A2001">
            <v>2063644</v>
          </cell>
          <cell r="B2001">
            <v>134413</v>
          </cell>
          <cell r="C2001">
            <v>206</v>
          </cell>
          <cell r="D2001" t="str">
            <v>Islington</v>
          </cell>
          <cell r="E2001">
            <v>3644</v>
          </cell>
          <cell r="F2001" t="str">
            <v>Sheila Longstaff</v>
          </cell>
          <cell r="G2001" t="str">
            <v>New North Community School</v>
          </cell>
          <cell r="H2001" t="str">
            <v>London</v>
          </cell>
          <cell r="I2001" t="str">
            <v>32 Popham Road</v>
          </cell>
          <cell r="J2001" t="str">
            <v>Islington</v>
          </cell>
          <cell r="L2001" t="str">
            <v>London</v>
          </cell>
          <cell r="N2001" t="str">
            <v>N1 8SJ</v>
          </cell>
          <cell r="O2001" t="str">
            <v>officemanager@newnorthcommunity.com</v>
          </cell>
          <cell r="P2001">
            <v>40641</v>
          </cell>
        </row>
        <row r="2002">
          <cell r="A2002">
            <v>8573120</v>
          </cell>
          <cell r="B2002">
            <v>120185</v>
          </cell>
          <cell r="C2002">
            <v>857</v>
          </cell>
          <cell r="D2002" t="str">
            <v>Rutland</v>
          </cell>
          <cell r="E2002">
            <v>3120</v>
          </cell>
          <cell r="F2002" t="str">
            <v>Sue Harp</v>
          </cell>
          <cell r="G2002" t="str">
            <v>Great Casterton CofE Primary School</v>
          </cell>
          <cell r="H2002" t="str">
            <v>East Midlands</v>
          </cell>
          <cell r="I2002" t="str">
            <v>Pickworth Road</v>
          </cell>
          <cell r="J2002" t="str">
            <v>Great Casterton</v>
          </cell>
          <cell r="L2002" t="str">
            <v>Stamford</v>
          </cell>
          <cell r="M2002" t="str">
            <v>Lincolnshire</v>
          </cell>
          <cell r="N2002" t="str">
            <v>PE9 4AU</v>
          </cell>
          <cell r="O2002" t="str">
            <v>head@greatcasterton.rutland.sch.uk</v>
          </cell>
        </row>
        <row r="2003">
          <cell r="A2003">
            <v>3942081</v>
          </cell>
          <cell r="B2003">
            <v>108779</v>
          </cell>
          <cell r="C2003">
            <v>394</v>
          </cell>
          <cell r="D2003" t="str">
            <v>Sunderland</v>
          </cell>
          <cell r="E2003">
            <v>2081</v>
          </cell>
          <cell r="F2003" t="str">
            <v>Adriarna Goodinson</v>
          </cell>
          <cell r="G2003" t="str">
            <v>Town End Primary School</v>
          </cell>
          <cell r="H2003" t="str">
            <v>North East</v>
          </cell>
          <cell r="I2003" t="str">
            <v>Borodin Avenue</v>
          </cell>
          <cell r="L2003" t="str">
            <v>Sunderland</v>
          </cell>
          <cell r="M2003" t="str">
            <v>Tyne and Wear</v>
          </cell>
          <cell r="N2003" t="str">
            <v>SR5 4NX</v>
          </cell>
          <cell r="O2003" t="str">
            <v>teresa.laybourne@schools.sunderland.gov.uk</v>
          </cell>
          <cell r="P2003">
            <v>40462</v>
          </cell>
        </row>
        <row r="2004">
          <cell r="A2004">
            <v>8522418</v>
          </cell>
          <cell r="B2004">
            <v>116098</v>
          </cell>
          <cell r="C2004">
            <v>852</v>
          </cell>
          <cell r="D2004" t="str">
            <v>Southampton</v>
          </cell>
          <cell r="E2004">
            <v>2418</v>
          </cell>
          <cell r="F2004" t="str">
            <v>Lindsay Morris</v>
          </cell>
          <cell r="G2004" t="str">
            <v>Ludlow Junior School</v>
          </cell>
          <cell r="H2004" t="str">
            <v>South East</v>
          </cell>
          <cell r="I2004" t="str">
            <v>Peveril Road</v>
          </cell>
          <cell r="J2004" t="str">
            <v>Itchen</v>
          </cell>
          <cell r="L2004" t="str">
            <v>Southampton</v>
          </cell>
          <cell r="M2004" t="str">
            <v>Hampshire</v>
          </cell>
          <cell r="N2004" t="str">
            <v>SO19 2DW</v>
          </cell>
          <cell r="O2004" t="str">
            <v>head@ludlow-jun.southampton.sch.uk</v>
          </cell>
          <cell r="P2004">
            <v>41100</v>
          </cell>
        </row>
        <row r="2005">
          <cell r="A2005">
            <v>8234078</v>
          </cell>
          <cell r="B2005">
            <v>109669</v>
          </cell>
          <cell r="C2005">
            <v>823</v>
          </cell>
          <cell r="D2005" t="str">
            <v>Central Bedfordshire</v>
          </cell>
          <cell r="E2005">
            <v>4078</v>
          </cell>
          <cell r="F2005" t="str">
            <v>Stella Aina</v>
          </cell>
          <cell r="G2005" t="str">
            <v>Sandy Upper School and Community Sports College</v>
          </cell>
          <cell r="H2005" t="str">
            <v>East of England</v>
          </cell>
          <cell r="I2005" t="str">
            <v>Engayne Avenue</v>
          </cell>
          <cell r="L2005" t="str">
            <v>Sandy</v>
          </cell>
          <cell r="M2005" t="str">
            <v>Bedfordshire</v>
          </cell>
          <cell r="N2005" t="str">
            <v>SG19 1BL</v>
          </cell>
          <cell r="O2005" t="str">
            <v>dstevinson@sandyupper.net</v>
          </cell>
          <cell r="P2005">
            <v>40949</v>
          </cell>
        </row>
        <row r="2006">
          <cell r="A2006">
            <v>9084155</v>
          </cell>
          <cell r="B2006">
            <v>112050</v>
          </cell>
          <cell r="C2006">
            <v>908</v>
          </cell>
          <cell r="D2006" t="str">
            <v>Cornwall</v>
          </cell>
          <cell r="E2006">
            <v>4155</v>
          </cell>
          <cell r="F2006" t="str">
            <v>Kate Bosher</v>
          </cell>
          <cell r="G2006" t="str">
            <v>Brannel School</v>
          </cell>
          <cell r="H2006" t="str">
            <v>South West</v>
          </cell>
          <cell r="I2006" t="str">
            <v>Rectory Road</v>
          </cell>
          <cell r="J2006" t="str">
            <v>St Stephen</v>
          </cell>
          <cell r="L2006" t="str">
            <v>St Austell</v>
          </cell>
          <cell r="M2006" t="str">
            <v>Cornwall</v>
          </cell>
          <cell r="N2006" t="str">
            <v>PL26 7RN</v>
          </cell>
          <cell r="O2006" t="str">
            <v>head@brannel.cornwall.sch.uk</v>
          </cell>
        </row>
        <row r="2007">
          <cell r="A2007">
            <v>9192373</v>
          </cell>
          <cell r="B2007">
            <v>117301</v>
          </cell>
          <cell r="C2007">
            <v>919</v>
          </cell>
          <cell r="D2007" t="str">
            <v>Hertfordshire</v>
          </cell>
          <cell r="E2007">
            <v>2373</v>
          </cell>
          <cell r="F2007" t="str">
            <v>Yvonne Reddington</v>
          </cell>
          <cell r="G2007" t="str">
            <v>Beech Hyde Primary School and Nursery</v>
          </cell>
          <cell r="H2007" t="str">
            <v>East of England</v>
          </cell>
          <cell r="I2007" t="str">
            <v>Nurseries Road</v>
          </cell>
          <cell r="J2007" t="str">
            <v>Wheathampstead</v>
          </cell>
          <cell r="L2007" t="str">
            <v>St Albans</v>
          </cell>
          <cell r="M2007" t="str">
            <v>Hertfordshire</v>
          </cell>
          <cell r="N2007" t="str">
            <v>AL4 8TP</v>
          </cell>
          <cell r="O2007" t="str">
            <v>head@beechhyde.herts.sch.uk</v>
          </cell>
        </row>
        <row r="2008">
          <cell r="A2008">
            <v>8863025</v>
          </cell>
          <cell r="B2008">
            <v>118599</v>
          </cell>
          <cell r="C2008">
            <v>886</v>
          </cell>
          <cell r="D2008" t="str">
            <v>Kent</v>
          </cell>
          <cell r="E2008">
            <v>3025</v>
          </cell>
          <cell r="F2008" t="str">
            <v>Sarah Mitchell</v>
          </cell>
          <cell r="G2008" t="str">
            <v>Chiddingstone CofE (VC) Primary School</v>
          </cell>
          <cell r="H2008" t="str">
            <v>South East</v>
          </cell>
          <cell r="I2008" t="str">
            <v>Chiddingstone</v>
          </cell>
          <cell r="L2008" t="str">
            <v>Edenbridge</v>
          </cell>
          <cell r="M2008" t="str">
            <v>Kent</v>
          </cell>
          <cell r="N2008" t="str">
            <v>TN8 7AH</v>
          </cell>
          <cell r="O2008" t="str">
            <v>headteacher@chiddingstone.kent.sch.uk</v>
          </cell>
          <cell r="P2008">
            <v>40360</v>
          </cell>
        </row>
        <row r="2009">
          <cell r="A2009">
            <v>8944405</v>
          </cell>
          <cell r="B2009">
            <v>123574</v>
          </cell>
          <cell r="C2009">
            <v>894</v>
          </cell>
          <cell r="D2009" t="str">
            <v>Telford and Wrekin</v>
          </cell>
          <cell r="E2009">
            <v>4405</v>
          </cell>
          <cell r="F2009" t="str">
            <v>Stephen Bagnall</v>
          </cell>
          <cell r="G2009" t="str">
            <v>Burton Borough School</v>
          </cell>
          <cell r="H2009" t="str">
            <v>West Midlands</v>
          </cell>
          <cell r="I2009" t="str">
            <v>Audley Avenue</v>
          </cell>
          <cell r="L2009" t="str">
            <v>Newport</v>
          </cell>
          <cell r="M2009" t="str">
            <v>Shropshire</v>
          </cell>
          <cell r="N2009" t="str">
            <v>TF10 7DS</v>
          </cell>
          <cell r="O2009" t="str">
            <v>dave.hill@taw.org.uk</v>
          </cell>
        </row>
        <row r="2010">
          <cell r="A2010">
            <v>8505402</v>
          </cell>
          <cell r="B2010">
            <v>116495</v>
          </cell>
          <cell r="C2010">
            <v>850</v>
          </cell>
          <cell r="D2010" t="str">
            <v>Hampshire</v>
          </cell>
          <cell r="E2010">
            <v>5402</v>
          </cell>
          <cell r="F2010" t="str">
            <v>Jacki Couch</v>
          </cell>
          <cell r="G2010" t="str">
            <v>The Arnewood School</v>
          </cell>
          <cell r="H2010" t="str">
            <v>South East</v>
          </cell>
          <cell r="I2010" t="str">
            <v>Gore Road</v>
          </cell>
          <cell r="L2010" t="str">
            <v>New Milton</v>
          </cell>
          <cell r="M2010" t="str">
            <v>Hampshire</v>
          </cell>
          <cell r="N2010" t="str">
            <v>BH25 6RS</v>
          </cell>
          <cell r="O2010" t="str">
            <v>c.hummerstone@arnewood.hants.sch.uk</v>
          </cell>
          <cell r="P2010">
            <v>40464</v>
          </cell>
        </row>
        <row r="2011">
          <cell r="A2011">
            <v>9334277</v>
          </cell>
          <cell r="B2011">
            <v>123871</v>
          </cell>
          <cell r="C2011">
            <v>933</v>
          </cell>
          <cell r="D2011" t="str">
            <v>Somerset</v>
          </cell>
          <cell r="E2011">
            <v>4277</v>
          </cell>
          <cell r="F2011" t="str">
            <v>Ali Bushell</v>
          </cell>
          <cell r="G2011" t="str">
            <v>Dulverton Middle and Community School</v>
          </cell>
          <cell r="H2011" t="str">
            <v>South West</v>
          </cell>
          <cell r="I2011" t="str">
            <v>Barns Close West</v>
          </cell>
          <cell r="L2011" t="str">
            <v>Dulverton</v>
          </cell>
          <cell r="M2011" t="str">
            <v>Somerset</v>
          </cell>
          <cell r="N2011" t="str">
            <v>TA22 9EE</v>
          </cell>
          <cell r="O2011" t="str">
            <v>sch.487@educ.somerset.gov.uk</v>
          </cell>
        </row>
        <row r="2012">
          <cell r="A2012">
            <v>9362489</v>
          </cell>
          <cell r="B2012">
            <v>125080</v>
          </cell>
          <cell r="C2012">
            <v>936</v>
          </cell>
          <cell r="D2012" t="str">
            <v>Surrey</v>
          </cell>
          <cell r="E2012">
            <v>2489</v>
          </cell>
          <cell r="F2012" t="str">
            <v>Eric Mcewen</v>
          </cell>
          <cell r="G2012" t="str">
            <v>Horsell Village School</v>
          </cell>
          <cell r="H2012" t="str">
            <v>South East</v>
          </cell>
          <cell r="I2012" t="str">
            <v>Church Hill</v>
          </cell>
          <cell r="J2012" t="str">
            <v>Horsell</v>
          </cell>
          <cell r="L2012" t="str">
            <v>Woking</v>
          </cell>
          <cell r="M2012" t="str">
            <v>Surrey</v>
          </cell>
          <cell r="N2012" t="str">
            <v>GU21 4QQ</v>
          </cell>
          <cell r="O2012" t="str">
            <v>elaine.cooper.head@horsell-village.surrey.sch.uk</v>
          </cell>
          <cell r="P2012">
            <v>41256</v>
          </cell>
        </row>
        <row r="2013">
          <cell r="A2013">
            <v>9084149</v>
          </cell>
          <cell r="B2013">
            <v>112044</v>
          </cell>
          <cell r="C2013">
            <v>908</v>
          </cell>
          <cell r="D2013" t="str">
            <v>Cornwall</v>
          </cell>
          <cell r="E2013">
            <v>4149</v>
          </cell>
          <cell r="F2013" t="str">
            <v>Kate Bosher</v>
          </cell>
          <cell r="G2013" t="str">
            <v>Penryn College</v>
          </cell>
          <cell r="H2013" t="str">
            <v>South West</v>
          </cell>
          <cell r="I2013" t="str">
            <v>Kernick Road</v>
          </cell>
          <cell r="L2013" t="str">
            <v>Penryn</v>
          </cell>
          <cell r="M2013" t="str">
            <v>Cornwall</v>
          </cell>
          <cell r="N2013" t="str">
            <v>TR10 8PZ</v>
          </cell>
          <cell r="O2013" t="str">
            <v>mhunter@penryn-college.cornwall.sch.uk</v>
          </cell>
          <cell r="P2013">
            <v>40637</v>
          </cell>
        </row>
        <row r="2014">
          <cell r="A2014">
            <v>3052018</v>
          </cell>
          <cell r="B2014">
            <v>101599</v>
          </cell>
          <cell r="C2014">
            <v>305</v>
          </cell>
          <cell r="D2014" t="str">
            <v>Bromley</v>
          </cell>
          <cell r="E2014">
            <v>2018</v>
          </cell>
          <cell r="F2014" t="str">
            <v>Sheila Longstaff</v>
          </cell>
          <cell r="G2014" t="str">
            <v>Pickhurst Junior School</v>
          </cell>
          <cell r="H2014" t="str">
            <v>London</v>
          </cell>
          <cell r="I2014" t="str">
            <v>Pickhurst Lane</v>
          </cell>
          <cell r="L2014" t="str">
            <v>West Wickham</v>
          </cell>
          <cell r="M2014" t="str">
            <v>Kent</v>
          </cell>
          <cell r="N2014" t="str">
            <v>BR4 0HL</v>
          </cell>
          <cell r="O2014" t="str">
            <v>matt.rampton@pickhurst-jun.bromley.sch.uk</v>
          </cell>
          <cell r="P2014">
            <v>40639</v>
          </cell>
        </row>
        <row r="2015">
          <cell r="A2015">
            <v>8412004</v>
          </cell>
          <cell r="B2015">
            <v>135741</v>
          </cell>
          <cell r="C2015">
            <v>841</v>
          </cell>
          <cell r="D2015" t="str">
            <v>Darlington</v>
          </cell>
          <cell r="E2015">
            <v>2004</v>
          </cell>
          <cell r="F2015" t="str">
            <v>Alan Large</v>
          </cell>
          <cell r="G2015" t="str">
            <v>Dodmire School</v>
          </cell>
          <cell r="H2015" t="str">
            <v>North East</v>
          </cell>
          <cell r="I2015" t="str">
            <v>Rydal Road</v>
          </cell>
          <cell r="L2015" t="str">
            <v>Darlington</v>
          </cell>
          <cell r="M2015" t="str">
            <v>County Durham</v>
          </cell>
          <cell r="N2015" t="str">
            <v>DL1 4BH</v>
          </cell>
        </row>
        <row r="2016">
          <cell r="A2016">
            <v>9192288</v>
          </cell>
          <cell r="B2016">
            <v>117254</v>
          </cell>
          <cell r="C2016">
            <v>919</v>
          </cell>
          <cell r="D2016" t="str">
            <v>Hertfordshire</v>
          </cell>
          <cell r="E2016">
            <v>2288</v>
          </cell>
          <cell r="F2016" t="str">
            <v>Joe Farrell</v>
          </cell>
          <cell r="G2016" t="str">
            <v>Westfield First School</v>
          </cell>
          <cell r="H2016" t="str">
            <v>East of England</v>
          </cell>
          <cell r="I2016" t="str">
            <v>Durrants Lane</v>
          </cell>
          <cell r="L2016" t="str">
            <v>Berkhamsted</v>
          </cell>
          <cell r="M2016" t="str">
            <v>Hertfordshire</v>
          </cell>
          <cell r="N2016" t="str">
            <v>HP4 3PJ</v>
          </cell>
          <cell r="O2016" t="str">
            <v>d.collins210@btinternet.com</v>
          </cell>
        </row>
        <row r="2017">
          <cell r="A2017">
            <v>8235401</v>
          </cell>
          <cell r="B2017">
            <v>109705</v>
          </cell>
          <cell r="C2017">
            <v>823</v>
          </cell>
          <cell r="D2017" t="str">
            <v>Central Bedfordshire</v>
          </cell>
          <cell r="E2017">
            <v>5401</v>
          </cell>
          <cell r="F2017" t="str">
            <v>Joe Farrell</v>
          </cell>
          <cell r="G2017" t="str">
            <v>Manshead CofE VA Upper School</v>
          </cell>
          <cell r="H2017" t="str">
            <v>East of England</v>
          </cell>
          <cell r="I2017" t="str">
            <v>Dunstable Road</v>
          </cell>
          <cell r="J2017" t="str">
            <v>Caddington</v>
          </cell>
          <cell r="L2017" t="str">
            <v>Luton</v>
          </cell>
          <cell r="M2017" t="str">
            <v>Bedfordshire</v>
          </cell>
          <cell r="N2017" t="str">
            <v>LU1 4BB</v>
          </cell>
          <cell r="O2017" t="str">
            <v>parkerj@mansheadschool.co.uk</v>
          </cell>
        </row>
        <row r="2018">
          <cell r="A2018">
            <v>3354606</v>
          </cell>
          <cell r="B2018">
            <v>104255</v>
          </cell>
          <cell r="C2018">
            <v>335</v>
          </cell>
          <cell r="D2018" t="str">
            <v>Walsall</v>
          </cell>
          <cell r="E2018">
            <v>4606</v>
          </cell>
          <cell r="F2018" t="str">
            <v>Stephen Bagnall</v>
          </cell>
          <cell r="G2018" t="str">
            <v>St Francis of Assisi Catholic Technology College</v>
          </cell>
          <cell r="H2018" t="str">
            <v>West Midlands</v>
          </cell>
          <cell r="I2018" t="str">
            <v>Erdington Road</v>
          </cell>
          <cell r="J2018" t="str">
            <v>Aldridge</v>
          </cell>
          <cell r="L2018" t="str">
            <v>Walsall</v>
          </cell>
          <cell r="M2018" t="str">
            <v>West Midlands</v>
          </cell>
          <cell r="N2018" t="str">
            <v>WS9 0RN</v>
          </cell>
          <cell r="O2018" t="str">
            <v>shaywood@stfrancis.cc</v>
          </cell>
        </row>
        <row r="2019">
          <cell r="A2019">
            <v>8602161</v>
          </cell>
          <cell r="B2019">
            <v>124059</v>
          </cell>
          <cell r="C2019">
            <v>860</v>
          </cell>
          <cell r="D2019" t="str">
            <v>Staffordshire</v>
          </cell>
          <cell r="E2019">
            <v>2161</v>
          </cell>
          <cell r="F2019" t="str">
            <v>Liz Robinson</v>
          </cell>
          <cell r="G2019" t="str">
            <v>Kingsfield First School</v>
          </cell>
          <cell r="H2019" t="str">
            <v>West Midlands</v>
          </cell>
          <cell r="I2019" t="str">
            <v>Gunn Street</v>
          </cell>
          <cell r="J2019" t="str">
            <v>Biddulph</v>
          </cell>
          <cell r="L2019" t="str">
            <v>Stoke-on-Trent</v>
          </cell>
          <cell r="M2019" t="str">
            <v>Staffordshire</v>
          </cell>
          <cell r="N2019" t="str">
            <v>ST8 6AY</v>
          </cell>
          <cell r="O2019" t="str">
            <v>headteacher@kingsfield.staffs.sch.uk</v>
          </cell>
          <cell r="P2019">
            <v>41183</v>
          </cell>
        </row>
        <row r="2020">
          <cell r="A2020">
            <v>8355950</v>
          </cell>
          <cell r="B2020">
            <v>113956</v>
          </cell>
          <cell r="C2020">
            <v>835</v>
          </cell>
          <cell r="D2020" t="str">
            <v>Dorset</v>
          </cell>
          <cell r="E2020">
            <v>5950</v>
          </cell>
          <cell r="F2020" t="str">
            <v>Ed Schuldt</v>
          </cell>
          <cell r="G2020" t="str">
            <v>Beaucroft Foundation School</v>
          </cell>
          <cell r="H2020" t="str">
            <v>South West</v>
          </cell>
          <cell r="I2020" t="str">
            <v>Wimborne Road</v>
          </cell>
          <cell r="J2020" t="str">
            <v>Colehill</v>
          </cell>
          <cell r="L2020" t="str">
            <v>Wimborne</v>
          </cell>
          <cell r="M2020" t="str">
            <v>Dorset</v>
          </cell>
          <cell r="N2020" t="str">
            <v>BH21 2SS</v>
          </cell>
          <cell r="O2020" t="str">
            <v>p.mcgill@beaucroft.dorset.sch.uk</v>
          </cell>
        </row>
        <row r="2021">
          <cell r="A2021">
            <v>8815207</v>
          </cell>
          <cell r="B2021">
            <v>115247</v>
          </cell>
          <cell r="C2021">
            <v>881</v>
          </cell>
          <cell r="D2021" t="str">
            <v>Essex</v>
          </cell>
          <cell r="E2021">
            <v>5207</v>
          </cell>
          <cell r="F2021" t="str">
            <v>Aminat Alli</v>
          </cell>
          <cell r="G2021" t="str">
            <v>Weeley St Andrew's CofE Primary School</v>
          </cell>
          <cell r="H2021" t="str">
            <v>East of England</v>
          </cell>
          <cell r="I2021" t="str">
            <v>Main Road</v>
          </cell>
          <cell r="J2021" t="str">
            <v>Weeley</v>
          </cell>
          <cell r="L2021" t="str">
            <v>Clacton-on-Sea</v>
          </cell>
          <cell r="M2021" t="str">
            <v>Essex</v>
          </cell>
          <cell r="N2021" t="str">
            <v>CO16 9DH</v>
          </cell>
          <cell r="O2021" t="str">
            <v>head@st-andrews-weeley.essex.sch.uk</v>
          </cell>
        </row>
        <row r="2022">
          <cell r="A2022">
            <v>8504002</v>
          </cell>
          <cell r="B2022">
            <v>116406</v>
          </cell>
          <cell r="C2022">
            <v>850</v>
          </cell>
          <cell r="D2022" t="str">
            <v>Hampshire</v>
          </cell>
          <cell r="E2022">
            <v>4002</v>
          </cell>
          <cell r="F2022" t="str">
            <v>Amanda Barrett</v>
          </cell>
          <cell r="G2022" t="str">
            <v>Costello Technology College</v>
          </cell>
          <cell r="H2022" t="str">
            <v>South East</v>
          </cell>
          <cell r="I2022" t="str">
            <v>Crossborough Hill</v>
          </cell>
          <cell r="J2022" t="str">
            <v>London Road</v>
          </cell>
          <cell r="L2022" t="str">
            <v>Basingstoke</v>
          </cell>
          <cell r="M2022" t="str">
            <v>Hampshire</v>
          </cell>
          <cell r="N2022" t="str">
            <v>RG21 4AL</v>
          </cell>
          <cell r="O2022" t="str">
            <v>j.mortimore@costello.hants.sch.uk</v>
          </cell>
          <cell r="P2022">
            <v>40921</v>
          </cell>
        </row>
        <row r="2023">
          <cell r="A2023">
            <v>9365409</v>
          </cell>
          <cell r="B2023">
            <v>125309</v>
          </cell>
          <cell r="C2023">
            <v>936</v>
          </cell>
          <cell r="D2023" t="str">
            <v>Surrey</v>
          </cell>
          <cell r="E2023">
            <v>5409</v>
          </cell>
          <cell r="F2023" t="str">
            <v>Tony Dunne</v>
          </cell>
          <cell r="G2023" t="str">
            <v>Heathside School</v>
          </cell>
          <cell r="H2023" t="str">
            <v>South East</v>
          </cell>
          <cell r="I2023" t="str">
            <v>Brooklands Lane</v>
          </cell>
          <cell r="L2023" t="str">
            <v>Weybridge</v>
          </cell>
          <cell r="M2023" t="str">
            <v>Surrey</v>
          </cell>
          <cell r="N2023" t="str">
            <v>KT13 8UZ</v>
          </cell>
          <cell r="O2023" t="str">
            <v>acullum@heathside.surrey.sch.uk</v>
          </cell>
        </row>
        <row r="2024">
          <cell r="A2024">
            <v>9365410</v>
          </cell>
          <cell r="B2024">
            <v>125310</v>
          </cell>
          <cell r="C2024">
            <v>936</v>
          </cell>
          <cell r="D2024" t="str">
            <v>Surrey</v>
          </cell>
          <cell r="E2024">
            <v>5410</v>
          </cell>
          <cell r="F2024" t="str">
            <v>Gabriela Grimley</v>
          </cell>
          <cell r="G2024" t="str">
            <v>Thamesmead School</v>
          </cell>
          <cell r="H2024" t="str">
            <v>South East</v>
          </cell>
          <cell r="I2024" t="str">
            <v>Manygate Lane</v>
          </cell>
          <cell r="L2024" t="str">
            <v>Shepperton</v>
          </cell>
          <cell r="M2024" t="str">
            <v>Surrey</v>
          </cell>
          <cell r="N2024" t="str">
            <v>TW17 9EE</v>
          </cell>
          <cell r="O2024" t="str">
            <v>info@thamesmeadschool.com</v>
          </cell>
          <cell r="P2024">
            <v>40626</v>
          </cell>
        </row>
        <row r="2025">
          <cell r="A2025">
            <v>3802179</v>
          </cell>
          <cell r="B2025">
            <v>107291</v>
          </cell>
          <cell r="C2025">
            <v>380</v>
          </cell>
          <cell r="D2025" t="str">
            <v>Bradford</v>
          </cell>
          <cell r="E2025">
            <v>2179</v>
          </cell>
          <cell r="F2025" t="str">
            <v>Glyn Newton</v>
          </cell>
          <cell r="G2025" t="str">
            <v>Margaret McMillan Primary School</v>
          </cell>
          <cell r="H2025" t="str">
            <v>Yorkshire and the Humber</v>
          </cell>
          <cell r="I2025" t="str">
            <v>Scotchman Road</v>
          </cell>
          <cell r="J2025" t="str">
            <v>Heaton</v>
          </cell>
          <cell r="L2025" t="str">
            <v>Bradford</v>
          </cell>
          <cell r="M2025" t="str">
            <v>West Yorkshire</v>
          </cell>
          <cell r="N2025" t="str">
            <v>BD9 5DF</v>
          </cell>
          <cell r="O2025" t="str">
            <v>p.terry@mmps.bradford.sch.uk</v>
          </cell>
        </row>
        <row r="2026">
          <cell r="A2026">
            <v>8305413</v>
          </cell>
          <cell r="B2026">
            <v>112998</v>
          </cell>
          <cell r="C2026">
            <v>830</v>
          </cell>
          <cell r="D2026" t="str">
            <v>Derbyshire</v>
          </cell>
          <cell r="E2026">
            <v>5413</v>
          </cell>
          <cell r="F2026" t="str">
            <v>Michael Corner</v>
          </cell>
          <cell r="G2026" t="str">
            <v>St Mary's Catholic High School</v>
          </cell>
          <cell r="H2026" t="str">
            <v>East Midlands</v>
          </cell>
          <cell r="I2026" t="str">
            <v>Newbold Road</v>
          </cell>
          <cell r="J2026" t="str">
            <v>Upper Newbold</v>
          </cell>
          <cell r="L2026" t="str">
            <v>Chesterfield</v>
          </cell>
          <cell r="M2026" t="str">
            <v>Derbyshire</v>
          </cell>
          <cell r="N2026" t="str">
            <v>S41 8AG</v>
          </cell>
          <cell r="O2026" t="str">
            <v>smcclafferty@stmaryschesterfield.org.uk</v>
          </cell>
          <cell r="P2026">
            <v>41025</v>
          </cell>
        </row>
        <row r="2027">
          <cell r="A2027">
            <v>8844021</v>
          </cell>
          <cell r="B2027">
            <v>116939</v>
          </cell>
          <cell r="C2027">
            <v>884</v>
          </cell>
          <cell r="D2027" t="str">
            <v>Herefordshire</v>
          </cell>
          <cell r="E2027">
            <v>4021</v>
          </cell>
          <cell r="F2027" t="str">
            <v>Anita Turnbull</v>
          </cell>
          <cell r="G2027" t="str">
            <v>Kingstone High School</v>
          </cell>
          <cell r="H2027" t="str">
            <v>West Midlands</v>
          </cell>
          <cell r="I2027" t="str">
            <v>Kingstone</v>
          </cell>
          <cell r="L2027" t="str">
            <v>Hereford</v>
          </cell>
          <cell r="M2027" t="str">
            <v>Herefordshire</v>
          </cell>
          <cell r="N2027" t="str">
            <v>HR2 9HJ</v>
          </cell>
          <cell r="O2027" t="str">
            <v>kcrawford@kingstone-high.hereford.sch.uk</v>
          </cell>
          <cell r="P2027">
            <v>40620</v>
          </cell>
        </row>
        <row r="2028">
          <cell r="A2028">
            <v>8504174</v>
          </cell>
          <cell r="B2028">
            <v>116438</v>
          </cell>
          <cell r="C2028">
            <v>850</v>
          </cell>
          <cell r="D2028" t="str">
            <v>Hampshire</v>
          </cell>
          <cell r="E2028">
            <v>4174</v>
          </cell>
          <cell r="F2028" t="str">
            <v>Amanda Barrett</v>
          </cell>
          <cell r="G2028" t="str">
            <v>Henry Beaufort</v>
          </cell>
          <cell r="H2028" t="str">
            <v>South East</v>
          </cell>
          <cell r="I2028" t="str">
            <v>East Woodhay Road</v>
          </cell>
          <cell r="J2028" t="str">
            <v>Harestock</v>
          </cell>
          <cell r="L2028" t="str">
            <v>Winchester</v>
          </cell>
          <cell r="M2028" t="str">
            <v>Hampshire</v>
          </cell>
          <cell r="N2028" t="str">
            <v>SO22 6JJ</v>
          </cell>
          <cell r="O2028" t="str">
            <v>(PA) karen.harper@staff.beaufort.hants.sch.uk</v>
          </cell>
        </row>
        <row r="2029">
          <cell r="A2029">
            <v>9314077</v>
          </cell>
          <cell r="B2029">
            <v>123243</v>
          </cell>
          <cell r="C2029">
            <v>931</v>
          </cell>
          <cell r="D2029" t="str">
            <v>Oxfordshire</v>
          </cell>
          <cell r="E2029">
            <v>4077</v>
          </cell>
          <cell r="F2029" t="str">
            <v>Sarah Nairne</v>
          </cell>
          <cell r="G2029" t="str">
            <v>Wheatley Park School</v>
          </cell>
          <cell r="H2029" t="str">
            <v>South East</v>
          </cell>
          <cell r="I2029" t="str">
            <v>Holton</v>
          </cell>
          <cell r="L2029" t="str">
            <v>Oxford</v>
          </cell>
          <cell r="M2029" t="str">
            <v>Oxfordshire</v>
          </cell>
          <cell r="N2029" t="str">
            <v>OX33 1QH</v>
          </cell>
          <cell r="O2029" t="str">
            <v>kcurtis@wheatleypark.org</v>
          </cell>
        </row>
        <row r="2030">
          <cell r="A2030">
            <v>8263388</v>
          </cell>
          <cell r="B2030">
            <v>134717</v>
          </cell>
          <cell r="C2030">
            <v>826</v>
          </cell>
          <cell r="D2030" t="str">
            <v>Milton Keynes</v>
          </cell>
          <cell r="E2030">
            <v>3388</v>
          </cell>
          <cell r="F2030" t="str">
            <v>Sarah Nairne</v>
          </cell>
          <cell r="G2030" t="str">
            <v>Oxley Park Primary School</v>
          </cell>
          <cell r="H2030" t="str">
            <v>South East</v>
          </cell>
          <cell r="I2030" t="str">
            <v>Redgrave Drive</v>
          </cell>
          <cell r="J2030" t="str">
            <v>Oxley Park</v>
          </cell>
          <cell r="L2030" t="str">
            <v>Milton Keynes</v>
          </cell>
          <cell r="M2030" t="str">
            <v>Buckinghamshire</v>
          </cell>
          <cell r="N2030" t="str">
            <v>MK4 4TA</v>
          </cell>
          <cell r="O2030" t="str">
            <v>cathy.higgins@milton-keynes.gov.uk</v>
          </cell>
          <cell r="P2030">
            <v>40625</v>
          </cell>
        </row>
        <row r="2031">
          <cell r="A2031">
            <v>8562283</v>
          </cell>
          <cell r="B2031">
            <v>120029</v>
          </cell>
          <cell r="C2031">
            <v>856</v>
          </cell>
          <cell r="D2031" t="str">
            <v>Leicester</v>
          </cell>
          <cell r="E2031">
            <v>2283</v>
          </cell>
          <cell r="F2031" t="str">
            <v>Mike Couzens</v>
          </cell>
          <cell r="G2031" t="str">
            <v>Montrose School</v>
          </cell>
          <cell r="H2031" t="str">
            <v>East Midlands</v>
          </cell>
          <cell r="I2031" t="str">
            <v>Wigston Lane</v>
          </cell>
          <cell r="J2031" t="str">
            <v>Aylestone</v>
          </cell>
          <cell r="L2031" t="str">
            <v>Leicester</v>
          </cell>
          <cell r="M2031" t="str">
            <v>Leicestershire</v>
          </cell>
          <cell r="N2031" t="str">
            <v>LE2 8TN</v>
          </cell>
          <cell r="O2031" t="str">
            <v>ssutcliffe@montrose.leicester.sch.uk</v>
          </cell>
        </row>
        <row r="2032">
          <cell r="A2032">
            <v>9373205</v>
          </cell>
          <cell r="B2032">
            <v>125682</v>
          </cell>
          <cell r="C2032">
            <v>937</v>
          </cell>
          <cell r="D2032" t="str">
            <v>Warwickshire</v>
          </cell>
          <cell r="E2032">
            <v>3205</v>
          </cell>
          <cell r="F2032" t="str">
            <v>Carla Spink</v>
          </cell>
          <cell r="G2032" t="str">
            <v>Bilton CofE Junior School</v>
          </cell>
          <cell r="H2032" t="str">
            <v>West Midlands</v>
          </cell>
          <cell r="I2032" t="str">
            <v>Plantagenet Drive</v>
          </cell>
          <cell r="J2032" t="str">
            <v>Bilton</v>
          </cell>
          <cell r="L2032" t="str">
            <v>Rugby</v>
          </cell>
          <cell r="M2032" t="str">
            <v>Warwickshire</v>
          </cell>
          <cell r="N2032" t="str">
            <v>CV22 6LB</v>
          </cell>
          <cell r="O2032" t="str">
            <v>mike.goode@tesco.net</v>
          </cell>
        </row>
        <row r="2033">
          <cell r="A2033">
            <v>8552178</v>
          </cell>
          <cell r="B2033">
            <v>119982</v>
          </cell>
          <cell r="C2033">
            <v>855</v>
          </cell>
          <cell r="D2033" t="str">
            <v>Leicestershire</v>
          </cell>
          <cell r="E2033">
            <v>2178</v>
          </cell>
          <cell r="F2033" t="str">
            <v>Sue Harp</v>
          </cell>
          <cell r="G2033" t="str">
            <v>Orchard Community Primary School</v>
          </cell>
          <cell r="H2033" t="str">
            <v>East Midlands</v>
          </cell>
          <cell r="I2033" t="str">
            <v>Grange Drive</v>
          </cell>
          <cell r="J2033" t="str">
            <v>Castle Donington</v>
          </cell>
          <cell r="L2033" t="str">
            <v>Derby</v>
          </cell>
          <cell r="M2033" t="str">
            <v>Derbyshire</v>
          </cell>
          <cell r="N2033" t="str">
            <v>DE74 2QU</v>
          </cell>
          <cell r="O2033" t="str">
            <v>school@orchard.leics.sch.uk</v>
          </cell>
        </row>
        <row r="2034">
          <cell r="A2034">
            <v>9252020</v>
          </cell>
          <cell r="B2034">
            <v>120377</v>
          </cell>
          <cell r="C2034">
            <v>925</v>
          </cell>
          <cell r="D2034" t="str">
            <v>Lincolnshire</v>
          </cell>
          <cell r="E2034">
            <v>2020</v>
          </cell>
          <cell r="F2034" t="str">
            <v>Sue Harp</v>
          </cell>
          <cell r="G2034" t="str">
            <v>Huntingtower Community Primary School</v>
          </cell>
          <cell r="H2034" t="str">
            <v>East Midlands</v>
          </cell>
          <cell r="I2034" t="str">
            <v>Huntingtower Road</v>
          </cell>
          <cell r="L2034" t="str">
            <v>Grantham</v>
          </cell>
          <cell r="M2034" t="str">
            <v>Lincolnshire</v>
          </cell>
          <cell r="N2034" t="str">
            <v>NG31 7AU</v>
          </cell>
          <cell r="O2034" t="str">
            <v>mark.anderson@huntingtowerroad.lincs.sch.uk</v>
          </cell>
        </row>
        <row r="2035">
          <cell r="A2035">
            <v>8554602</v>
          </cell>
          <cell r="B2035">
            <v>120305</v>
          </cell>
          <cell r="C2035">
            <v>855</v>
          </cell>
          <cell r="D2035" t="str">
            <v>Leicestershire</v>
          </cell>
          <cell r="E2035">
            <v>4602</v>
          </cell>
          <cell r="F2035" t="str">
            <v>Helen Whetter</v>
          </cell>
          <cell r="G2035" t="str">
            <v>Saint Martin's Catholic School, Stoke Golding</v>
          </cell>
          <cell r="H2035" t="str">
            <v>East Midlands</v>
          </cell>
          <cell r="I2035" t="str">
            <v>Stoke Golding</v>
          </cell>
          <cell r="L2035" t="str">
            <v>Nuneaton</v>
          </cell>
          <cell r="M2035" t="str">
            <v>Warwickshire</v>
          </cell>
          <cell r="N2035" t="str">
            <v>CV13 6HT</v>
          </cell>
          <cell r="O2035" t="str">
            <v>bcarson@st-martins.leics.sch.uk</v>
          </cell>
          <cell r="P2035">
            <v>40970</v>
          </cell>
        </row>
        <row r="2036">
          <cell r="A2036">
            <v>9292417</v>
          </cell>
          <cell r="B2036">
            <v>122262</v>
          </cell>
          <cell r="C2036">
            <v>929</v>
          </cell>
          <cell r="D2036" t="str">
            <v>Northumberland</v>
          </cell>
          <cell r="E2036">
            <v>2417</v>
          </cell>
          <cell r="F2036" t="str">
            <v>Bev Mullin</v>
          </cell>
          <cell r="G2036" t="str">
            <v>Malvin's Close Primary School</v>
          </cell>
          <cell r="H2036" t="str">
            <v>North East</v>
          </cell>
          <cell r="I2036" t="str">
            <v>Albion Way</v>
          </cell>
          <cell r="L2036" t="str">
            <v>Blyth</v>
          </cell>
          <cell r="M2036" t="str">
            <v>Northumberland</v>
          </cell>
          <cell r="N2036" t="str">
            <v>NE24 5BL</v>
          </cell>
          <cell r="O2036" t="str">
            <v>Julie.Bowman@northumberland.gov.uk</v>
          </cell>
          <cell r="P2036">
            <v>41247</v>
          </cell>
        </row>
        <row r="2037">
          <cell r="A2037">
            <v>3023305</v>
          </cell>
          <cell r="B2037">
            <v>101318</v>
          </cell>
          <cell r="C2037">
            <v>302</v>
          </cell>
          <cell r="D2037" t="str">
            <v>Barnet</v>
          </cell>
          <cell r="E2037">
            <v>3305</v>
          </cell>
          <cell r="F2037" t="str">
            <v>Bola Bakrin</v>
          </cell>
          <cell r="G2037" t="str">
            <v>Monken Hadley CE Primary</v>
          </cell>
          <cell r="H2037" t="str">
            <v>London</v>
          </cell>
          <cell r="I2037" t="str">
            <v>Camlet Way</v>
          </cell>
          <cell r="J2037" t="str">
            <v>Monken Hadley</v>
          </cell>
          <cell r="L2037" t="str">
            <v>Barnet</v>
          </cell>
          <cell r="M2037" t="str">
            <v>Hertfordshire</v>
          </cell>
          <cell r="N2037" t="str">
            <v>EN4 0NJ</v>
          </cell>
          <cell r="O2037" t="str">
            <v>head@monkenhadley.barnetmail.net</v>
          </cell>
        </row>
        <row r="2038">
          <cell r="A2038">
            <v>8863140</v>
          </cell>
          <cell r="B2038">
            <v>118667</v>
          </cell>
          <cell r="C2038">
            <v>886</v>
          </cell>
          <cell r="D2038" t="str">
            <v>Kent</v>
          </cell>
          <cell r="E2038">
            <v>3140</v>
          </cell>
          <cell r="F2038" t="str">
            <v>Not yet assigned</v>
          </cell>
          <cell r="G2038" t="str">
            <v>Kingsnorth Church of England Primary School</v>
          </cell>
          <cell r="H2038" t="str">
            <v>South East</v>
          </cell>
          <cell r="I2038" t="str">
            <v>Church Hill</v>
          </cell>
          <cell r="J2038" t="str">
            <v>Kingsnorth</v>
          </cell>
          <cell r="L2038" t="str">
            <v>Ashford</v>
          </cell>
          <cell r="M2038" t="str">
            <v>Kent</v>
          </cell>
          <cell r="N2038" t="str">
            <v>TN23 3EF</v>
          </cell>
          <cell r="O2038" t="str">
            <v>headteacher@kingsnorth.kent.sch.uk</v>
          </cell>
        </row>
        <row r="2039">
          <cell r="A2039">
            <v>9252055</v>
          </cell>
          <cell r="B2039">
            <v>120393</v>
          </cell>
          <cell r="C2039">
            <v>925</v>
          </cell>
          <cell r="D2039" t="str">
            <v>Lincolnshire</v>
          </cell>
          <cell r="E2039">
            <v>2055</v>
          </cell>
          <cell r="F2039" t="str">
            <v>Sue Harp</v>
          </cell>
          <cell r="G2039" t="str">
            <v>Cliffedale Primary School</v>
          </cell>
          <cell r="H2039" t="str">
            <v>East Midlands</v>
          </cell>
          <cell r="I2039" t="str">
            <v>Northcliffe Road</v>
          </cell>
          <cell r="L2039" t="str">
            <v>Grantham</v>
          </cell>
          <cell r="M2039" t="str">
            <v>Lincolnshire</v>
          </cell>
          <cell r="N2039" t="str">
            <v>NG31 8DP</v>
          </cell>
        </row>
        <row r="2040">
          <cell r="A2040">
            <v>8603300</v>
          </cell>
          <cell r="B2040">
            <v>131984</v>
          </cell>
          <cell r="C2040">
            <v>860</v>
          </cell>
          <cell r="D2040" t="str">
            <v>Staffordshire</v>
          </cell>
          <cell r="E2040">
            <v>3300</v>
          </cell>
          <cell r="F2040" t="str">
            <v>Hannah Copp</v>
          </cell>
          <cell r="G2040" t="str">
            <v>The Faber Catholic Primary School</v>
          </cell>
          <cell r="H2040" t="str">
            <v>West Midlands</v>
          </cell>
          <cell r="I2040" t="str">
            <v>Cotton Lane</v>
          </cell>
          <cell r="J2040" t="str">
            <v>Cotton</v>
          </cell>
          <cell r="L2040" t="str">
            <v>Stoke-on-Trent</v>
          </cell>
          <cell r="M2040" t="str">
            <v>Staffordshire</v>
          </cell>
          <cell r="N2040" t="str">
            <v>ST10 3DN</v>
          </cell>
          <cell r="O2040" t="str">
            <v>headteacher@faber.staffs.sch.uk</v>
          </cell>
          <cell r="P2040">
            <v>41057</v>
          </cell>
        </row>
        <row r="2041">
          <cell r="A2041">
            <v>3715400</v>
          </cell>
          <cell r="B2041">
            <v>106811</v>
          </cell>
          <cell r="C2041">
            <v>371</v>
          </cell>
          <cell r="D2041" t="str">
            <v>Doncaster</v>
          </cell>
          <cell r="E2041">
            <v>5400</v>
          </cell>
          <cell r="F2041" t="str">
            <v>Anita Turnbull</v>
          </cell>
          <cell r="G2041" t="str">
            <v>The Hayfield School</v>
          </cell>
          <cell r="H2041" t="str">
            <v>Yorkshire and the Humber</v>
          </cell>
          <cell r="I2041" t="str">
            <v>Hurst Lane</v>
          </cell>
          <cell r="J2041" t="str">
            <v>Auckley</v>
          </cell>
          <cell r="L2041" t="str">
            <v>Doncaster</v>
          </cell>
          <cell r="M2041" t="str">
            <v>South Yorkshire</v>
          </cell>
          <cell r="N2041" t="str">
            <v>DN9 3HG</v>
          </cell>
          <cell r="O2041" t="str">
            <v>spa@thehayfieldschool.co.uk</v>
          </cell>
          <cell r="P2041">
            <v>40522</v>
          </cell>
        </row>
        <row r="2042">
          <cell r="A2042">
            <v>8803751</v>
          </cell>
          <cell r="B2042">
            <v>134775</v>
          </cell>
          <cell r="C2042">
            <v>880</v>
          </cell>
          <cell r="D2042" t="str">
            <v>Torbay</v>
          </cell>
          <cell r="E2042">
            <v>3751</v>
          </cell>
          <cell r="F2042" t="str">
            <v>Maria Whiting</v>
          </cell>
          <cell r="G2042" t="str">
            <v>Eden Park Primary School</v>
          </cell>
          <cell r="H2042" t="str">
            <v>South West</v>
          </cell>
          <cell r="I2042" t="str">
            <v>Eden Park</v>
          </cell>
          <cell r="L2042" t="str">
            <v>Brixham</v>
          </cell>
          <cell r="M2042" t="str">
            <v>Devon</v>
          </cell>
          <cell r="N2042" t="str">
            <v>TQ5 9NH</v>
          </cell>
          <cell r="O2042" t="str">
            <v>k.kies@eden-park-primary.torbay.sch.uk</v>
          </cell>
          <cell r="P2042">
            <v>40569</v>
          </cell>
        </row>
        <row r="2043">
          <cell r="A2043">
            <v>8232000</v>
          </cell>
          <cell r="B2043">
            <v>109427</v>
          </cell>
          <cell r="C2043">
            <v>823</v>
          </cell>
          <cell r="D2043" t="str">
            <v>Central Bedfordshire</v>
          </cell>
          <cell r="E2043">
            <v>2000</v>
          </cell>
          <cell r="F2043" t="str">
            <v>Aminat Alli</v>
          </cell>
          <cell r="G2043" t="str">
            <v>Gothic Mede Lower School</v>
          </cell>
          <cell r="H2043" t="str">
            <v>East of England</v>
          </cell>
          <cell r="I2043" t="str">
            <v>High Street</v>
          </cell>
          <cell r="L2043" t="str">
            <v>Arlesey</v>
          </cell>
          <cell r="M2043" t="str">
            <v>Bedfordshire</v>
          </cell>
          <cell r="N2043" t="str">
            <v>SG15 6SL</v>
          </cell>
          <cell r="O2043" t="str">
            <v>gothicmedehead@cbc.beds.sch.uk</v>
          </cell>
          <cell r="P2043">
            <v>41193</v>
          </cell>
        </row>
        <row r="2044">
          <cell r="A2044">
            <v>9283080</v>
          </cell>
          <cell r="B2044">
            <v>122003</v>
          </cell>
          <cell r="C2044">
            <v>928</v>
          </cell>
          <cell r="D2044" t="str">
            <v>Northamptonshire</v>
          </cell>
          <cell r="E2044">
            <v>3080</v>
          </cell>
          <cell r="F2044" t="str">
            <v>Sue Harp</v>
          </cell>
          <cell r="G2044" t="str">
            <v>Whittlebury Church of England Primary School</v>
          </cell>
          <cell r="H2044" t="str">
            <v>East Midlands</v>
          </cell>
          <cell r="I2044" t="str">
            <v>High Street</v>
          </cell>
          <cell r="L2044" t="str">
            <v>Towcester</v>
          </cell>
          <cell r="M2044" t="str">
            <v>Northamptonshire</v>
          </cell>
          <cell r="N2044" t="str">
            <v>NN12 8XH</v>
          </cell>
          <cell r="O2044" t="str">
            <v>head@whittlebury.northants-ecl.gov.uk</v>
          </cell>
        </row>
        <row r="2045">
          <cell r="A2045">
            <v>9093200</v>
          </cell>
          <cell r="B2045">
            <v>112290</v>
          </cell>
          <cell r="C2045">
            <v>909</v>
          </cell>
          <cell r="D2045" t="str">
            <v>Cumbria</v>
          </cell>
          <cell r="E2045">
            <v>3200</v>
          </cell>
          <cell r="F2045" t="str">
            <v>Jane McCusker</v>
          </cell>
          <cell r="G2045" t="str">
            <v>Captain Shaw's CofE School</v>
          </cell>
          <cell r="H2045" t="str">
            <v>North West</v>
          </cell>
          <cell r="I2045" t="str">
            <v>Main Street</v>
          </cell>
          <cell r="J2045" t="str">
            <v>Bootle</v>
          </cell>
          <cell r="L2045" t="str">
            <v>Millom</v>
          </cell>
          <cell r="M2045" t="str">
            <v>Cumbria</v>
          </cell>
          <cell r="N2045" t="str">
            <v>LA19 5TG</v>
          </cell>
        </row>
        <row r="2046">
          <cell r="A2046">
            <v>9312573</v>
          </cell>
          <cell r="B2046">
            <v>123069</v>
          </cell>
          <cell r="C2046">
            <v>931</v>
          </cell>
          <cell r="D2046" t="str">
            <v>Oxfordshire</v>
          </cell>
          <cell r="E2046">
            <v>2573</v>
          </cell>
          <cell r="F2046" t="str">
            <v>Sarah Nairne</v>
          </cell>
          <cell r="G2046" t="str">
            <v>Charlton Primary School</v>
          </cell>
          <cell r="H2046" t="str">
            <v>South East</v>
          </cell>
          <cell r="I2046" t="str">
            <v>Charlton Village Road</v>
          </cell>
          <cell r="L2046" t="str">
            <v>Wantage</v>
          </cell>
          <cell r="M2046" t="str">
            <v>Oxfordshire</v>
          </cell>
          <cell r="N2046" t="str">
            <v>OX12 7HG</v>
          </cell>
        </row>
        <row r="2047">
          <cell r="A2047">
            <v>3815400</v>
          </cell>
          <cell r="B2047">
            <v>107574</v>
          </cell>
          <cell r="C2047">
            <v>381</v>
          </cell>
          <cell r="D2047" t="str">
            <v>Calderdale</v>
          </cell>
          <cell r="E2047">
            <v>5400</v>
          </cell>
          <cell r="F2047" t="str">
            <v>Adriarna Goodinson</v>
          </cell>
          <cell r="G2047" t="str">
            <v>The North Halifax Grammar School</v>
          </cell>
          <cell r="H2047" t="str">
            <v>Yorkshire and the Humber</v>
          </cell>
          <cell r="I2047" t="str">
            <v>Moorbottom Road</v>
          </cell>
          <cell r="J2047" t="str">
            <v>Illingworth</v>
          </cell>
          <cell r="L2047" t="str">
            <v>Halifax</v>
          </cell>
          <cell r="M2047" t="str">
            <v>West Yorkshire</v>
          </cell>
          <cell r="N2047" t="str">
            <v>HX2 9SU</v>
          </cell>
          <cell r="O2047" t="str">
            <v>g.maslen@nhgs.co.uk</v>
          </cell>
          <cell r="P2047">
            <v>40606</v>
          </cell>
        </row>
        <row r="2048">
          <cell r="A2048">
            <v>9082454</v>
          </cell>
          <cell r="B2048">
            <v>111908</v>
          </cell>
          <cell r="C2048">
            <v>908</v>
          </cell>
          <cell r="D2048" t="str">
            <v>Cornwall</v>
          </cell>
          <cell r="E2048">
            <v>2454</v>
          </cell>
          <cell r="F2048" t="str">
            <v>Kate Bosher</v>
          </cell>
          <cell r="G2048" t="str">
            <v>St Columb Minor School</v>
          </cell>
          <cell r="H2048" t="str">
            <v>South West</v>
          </cell>
          <cell r="I2048" t="str">
            <v>Porthbean Road</v>
          </cell>
          <cell r="J2048" t="str">
            <v>St Columb Minor</v>
          </cell>
          <cell r="L2048" t="str">
            <v>Newquay</v>
          </cell>
          <cell r="M2048" t="str">
            <v>Cornwall</v>
          </cell>
          <cell r="N2048" t="str">
            <v>TR7 3JF</v>
          </cell>
          <cell r="O2048" t="str">
            <v>head@st-columb-minor.cornwall.sch.uk</v>
          </cell>
          <cell r="P2048">
            <v>40620</v>
          </cell>
        </row>
        <row r="2049">
          <cell r="A2049">
            <v>8655405</v>
          </cell>
          <cell r="B2049">
            <v>126500</v>
          </cell>
          <cell r="C2049">
            <v>865</v>
          </cell>
          <cell r="D2049" t="str">
            <v>Wiltshire</v>
          </cell>
          <cell r="E2049">
            <v>5405</v>
          </cell>
          <cell r="F2049" t="str">
            <v>Kate Bosher</v>
          </cell>
          <cell r="G2049" t="str">
            <v>St John's Marlborough</v>
          </cell>
          <cell r="H2049" t="str">
            <v>South West</v>
          </cell>
          <cell r="I2049" t="str">
            <v>Granham Hill</v>
          </cell>
          <cell r="J2049" t="str">
            <v>Marlborough</v>
          </cell>
          <cell r="L2049" t="str">
            <v>Marlborough</v>
          </cell>
          <cell r="M2049" t="str">
            <v>Wiltshire</v>
          </cell>
          <cell r="N2049" t="str">
            <v>SN8 4AX</v>
          </cell>
          <cell r="O2049" t="str">
            <v>phazlewood@stjohns.wilts.sch.uk</v>
          </cell>
          <cell r="P2049">
            <v>40557</v>
          </cell>
        </row>
        <row r="2050">
          <cell r="A2050">
            <v>3024208</v>
          </cell>
          <cell r="B2050">
            <v>101348</v>
          </cell>
          <cell r="C2050">
            <v>302</v>
          </cell>
          <cell r="D2050" t="str">
            <v>Barnet</v>
          </cell>
          <cell r="E2050">
            <v>4208</v>
          </cell>
          <cell r="F2050" t="str">
            <v>Tahir Shams</v>
          </cell>
          <cell r="G2050" t="str">
            <v>Queen Elizabeth's Girls' School</v>
          </cell>
          <cell r="H2050" t="str">
            <v>London</v>
          </cell>
          <cell r="I2050" t="str">
            <v>High Street</v>
          </cell>
          <cell r="L2050" t="str">
            <v>Barnet</v>
          </cell>
          <cell r="M2050" t="str">
            <v>Hertfordshire</v>
          </cell>
          <cell r="N2050" t="str">
            <v>EN5 5RR</v>
          </cell>
          <cell r="O2050" t="str">
            <v>k.webster@qegschool.org.uk</v>
          </cell>
          <cell r="P2050">
            <v>40560</v>
          </cell>
        </row>
        <row r="2051">
          <cell r="A2051">
            <v>9282223</v>
          </cell>
          <cell r="B2051">
            <v>131123</v>
          </cell>
          <cell r="C2051">
            <v>928</v>
          </cell>
          <cell r="D2051" t="str">
            <v>Northamptonshire</v>
          </cell>
          <cell r="E2051">
            <v>2223</v>
          </cell>
          <cell r="F2051" t="str">
            <v>Linda Tiley</v>
          </cell>
          <cell r="G2051" t="str">
            <v>Preston Hedges Primary School</v>
          </cell>
          <cell r="H2051" t="str">
            <v>East Midlands</v>
          </cell>
          <cell r="I2051" t="str">
            <v>Wootton Hope Drive</v>
          </cell>
          <cell r="J2051" t="str">
            <v>Wootton</v>
          </cell>
          <cell r="L2051" t="str">
            <v>Northampton</v>
          </cell>
          <cell r="M2051" t="str">
            <v>Northamptonshire</v>
          </cell>
          <cell r="N2051" t="str">
            <v>NN4 6BU</v>
          </cell>
          <cell r="O2051" t="str">
            <v>head@prestonhedges.northants-ecl.gov.uk</v>
          </cell>
          <cell r="P2051">
            <v>41023</v>
          </cell>
        </row>
        <row r="2052">
          <cell r="A2052">
            <v>3815404</v>
          </cell>
          <cell r="B2052">
            <v>107578</v>
          </cell>
          <cell r="C2052">
            <v>381</v>
          </cell>
          <cell r="D2052" t="str">
            <v>Calderdale</v>
          </cell>
          <cell r="E2052">
            <v>5404</v>
          </cell>
          <cell r="F2052" t="str">
            <v>Bev Annables</v>
          </cell>
          <cell r="G2052" t="str">
            <v>Hipperholme and Lightcliffe High School and Sports College</v>
          </cell>
          <cell r="H2052" t="str">
            <v>Yorkshire and the Humber</v>
          </cell>
          <cell r="I2052" t="str">
            <v>Stoney Lane</v>
          </cell>
          <cell r="J2052" t="str">
            <v>Lightcliffe</v>
          </cell>
          <cell r="L2052" t="str">
            <v>Halifax</v>
          </cell>
          <cell r="M2052" t="str">
            <v>West Yorkshire</v>
          </cell>
          <cell r="N2052" t="str">
            <v>HX3 8TL</v>
          </cell>
          <cell r="O2052" t="str">
            <v>asmith@hiplight.calderdale.sch.uk</v>
          </cell>
          <cell r="P2052">
            <v>40604</v>
          </cell>
        </row>
        <row r="2053">
          <cell r="A2053">
            <v>3843006</v>
          </cell>
          <cell r="B2053">
            <v>108245</v>
          </cell>
          <cell r="C2053">
            <v>384</v>
          </cell>
          <cell r="D2053" t="str">
            <v>Wakefield</v>
          </cell>
          <cell r="E2053">
            <v>3006</v>
          </cell>
          <cell r="F2053" t="str">
            <v>Lisa Sargeant</v>
          </cell>
          <cell r="G2053" t="str">
            <v>Horbury Bridge CE (VC) School</v>
          </cell>
          <cell r="H2053" t="str">
            <v>Yorkshire and the Humber</v>
          </cell>
          <cell r="I2053" t="str">
            <v>Bridge Road</v>
          </cell>
          <cell r="J2053" t="str">
            <v>Horbury Bridge</v>
          </cell>
          <cell r="L2053" t="str">
            <v>Wakefield</v>
          </cell>
          <cell r="M2053" t="str">
            <v>West Yorkshire</v>
          </cell>
          <cell r="N2053" t="str">
            <v>WF4 5PS</v>
          </cell>
          <cell r="O2053" t="str">
            <v>headteacher@horburybridge.wakefield.sch.uk</v>
          </cell>
          <cell r="P2053">
            <v>40819</v>
          </cell>
        </row>
        <row r="2054">
          <cell r="A2054">
            <v>3052017</v>
          </cell>
          <cell r="B2054">
            <v>101598</v>
          </cell>
          <cell r="C2054">
            <v>305</v>
          </cell>
          <cell r="D2054" t="str">
            <v>Bromley</v>
          </cell>
          <cell r="E2054">
            <v>2017</v>
          </cell>
          <cell r="F2054" t="str">
            <v>Sheila Longstaff</v>
          </cell>
          <cell r="G2054" t="str">
            <v>Pickhurst Infant School</v>
          </cell>
          <cell r="H2054" t="str">
            <v>London</v>
          </cell>
          <cell r="I2054" t="str">
            <v>Pickhurst Lane</v>
          </cell>
          <cell r="L2054" t="str">
            <v>West Wickham</v>
          </cell>
          <cell r="M2054" t="str">
            <v>Kent</v>
          </cell>
          <cell r="N2054" t="str">
            <v>BR4 0HL</v>
          </cell>
          <cell r="P2054">
            <v>40638</v>
          </cell>
        </row>
        <row r="2055">
          <cell r="A2055">
            <v>3192010</v>
          </cell>
          <cell r="B2055">
            <v>102965</v>
          </cell>
          <cell r="C2055">
            <v>319</v>
          </cell>
          <cell r="D2055" t="str">
            <v>Sutton</v>
          </cell>
          <cell r="E2055">
            <v>2010</v>
          </cell>
          <cell r="F2055" t="str">
            <v>Bola Bakrin</v>
          </cell>
          <cell r="G2055" t="str">
            <v>Cheam Park Farm Junior School</v>
          </cell>
          <cell r="H2055" t="str">
            <v>London</v>
          </cell>
          <cell r="I2055" t="str">
            <v>Kingston Avenue</v>
          </cell>
          <cell r="J2055" t="str">
            <v>North Cheam</v>
          </cell>
          <cell r="L2055" t="str">
            <v>Sutton</v>
          </cell>
          <cell r="M2055" t="str">
            <v>Surrey</v>
          </cell>
          <cell r="N2055" t="str">
            <v>SM3 9UE</v>
          </cell>
          <cell r="O2055" t="str">
            <v>phedger@suttonlea.org</v>
          </cell>
          <cell r="P2055">
            <v>40569</v>
          </cell>
        </row>
        <row r="2056">
          <cell r="A2056">
            <v>8782003</v>
          </cell>
          <cell r="B2056">
            <v>113061</v>
          </cell>
          <cell r="C2056">
            <v>878</v>
          </cell>
          <cell r="D2056" t="str">
            <v>Devon</v>
          </cell>
          <cell r="E2056">
            <v>2003</v>
          </cell>
          <cell r="F2056" t="str">
            <v>Theresa Oddelm</v>
          </cell>
          <cell r="G2056" t="str">
            <v>The Duchy School Bradninch</v>
          </cell>
          <cell r="H2056" t="str">
            <v>South West</v>
          </cell>
          <cell r="I2056" t="str">
            <v>Bowley Meadow</v>
          </cell>
          <cell r="J2056" t="str">
            <v>Townlands</v>
          </cell>
          <cell r="K2056" t="str">
            <v>Bradninch</v>
          </cell>
          <cell r="L2056" t="str">
            <v>Exeter</v>
          </cell>
          <cell r="M2056" t="str">
            <v>Devon</v>
          </cell>
          <cell r="N2056" t="str">
            <v>EX5 4RF</v>
          </cell>
          <cell r="O2056" t="str">
            <v>cbaillie@duchy.devon.sch</v>
          </cell>
          <cell r="P2056">
            <v>41176</v>
          </cell>
        </row>
        <row r="2057">
          <cell r="A2057">
            <v>3842197</v>
          </cell>
          <cell r="B2057">
            <v>130970</v>
          </cell>
          <cell r="C2057">
            <v>384</v>
          </cell>
          <cell r="D2057" t="str">
            <v>Wakefield</v>
          </cell>
          <cell r="E2057">
            <v>2197</v>
          </cell>
          <cell r="F2057" t="str">
            <v>Glyn Newton</v>
          </cell>
          <cell r="G2057" t="str">
            <v>Fitzwilliam Primary School</v>
          </cell>
          <cell r="H2057" t="str">
            <v>Yorkshire and the Humber</v>
          </cell>
          <cell r="I2057" t="str">
            <v>Second Avenue</v>
          </cell>
          <cell r="J2057" t="str">
            <v>Fitzwilliam</v>
          </cell>
          <cell r="L2057" t="str">
            <v>Pontefract</v>
          </cell>
          <cell r="M2057" t="str">
            <v>West Yorkshire</v>
          </cell>
          <cell r="N2057" t="str">
            <v>WF9 5BA</v>
          </cell>
          <cell r="O2057" t="str">
            <v>headteacher@fitzwilliam.wakefield.sch.uk</v>
          </cell>
        </row>
        <row r="2058">
          <cell r="A2058">
            <v>2052045</v>
          </cell>
          <cell r="B2058">
            <v>100323</v>
          </cell>
          <cell r="C2058">
            <v>205</v>
          </cell>
          <cell r="D2058" t="str">
            <v>Hammersmith and Fulham</v>
          </cell>
          <cell r="E2058">
            <v>2045</v>
          </cell>
          <cell r="F2058" t="str">
            <v>Helen Fisher</v>
          </cell>
          <cell r="G2058" t="str">
            <v>Bentworth Primary School</v>
          </cell>
          <cell r="H2058" t="str">
            <v>London</v>
          </cell>
          <cell r="I2058" t="str">
            <v>Bentworth Road</v>
          </cell>
          <cell r="J2058" t="str">
            <v>Westway</v>
          </cell>
          <cell r="L2058" t="str">
            <v>London</v>
          </cell>
          <cell r="N2058" t="str">
            <v>W12 7AJ</v>
          </cell>
          <cell r="P2058">
            <v>41004</v>
          </cell>
        </row>
        <row r="2059">
          <cell r="A2059">
            <v>3714056</v>
          </cell>
          <cell r="B2059">
            <v>106802</v>
          </cell>
          <cell r="C2059">
            <v>371</v>
          </cell>
          <cell r="D2059" t="str">
            <v>Doncaster</v>
          </cell>
          <cell r="E2059">
            <v>4056</v>
          </cell>
          <cell r="F2059" t="str">
            <v>Jayne Turner</v>
          </cell>
          <cell r="G2059" t="str">
            <v>Balby Carr Community Sports and Science College</v>
          </cell>
          <cell r="H2059" t="str">
            <v>Yorkshire and the Humber</v>
          </cell>
          <cell r="I2059" t="str">
            <v>Weston Road</v>
          </cell>
          <cell r="J2059" t="str">
            <v>Balby</v>
          </cell>
          <cell r="L2059" t="str">
            <v>Doncaster</v>
          </cell>
          <cell r="M2059" t="str">
            <v>South Yorkshire</v>
          </cell>
          <cell r="N2059" t="str">
            <v>DN4 8ND</v>
          </cell>
          <cell r="O2059" t="str">
            <v>m.craig@balbycarr.org.uk</v>
          </cell>
          <cell r="P2059">
            <v>41176</v>
          </cell>
        </row>
        <row r="2060">
          <cell r="A2060">
            <v>8022263</v>
          </cell>
          <cell r="B2060">
            <v>109084</v>
          </cell>
          <cell r="C2060">
            <v>802</v>
          </cell>
          <cell r="D2060" t="str">
            <v>North Somerset</v>
          </cell>
          <cell r="E2060">
            <v>2263</v>
          </cell>
          <cell r="F2060" t="str">
            <v>Ali Bushell</v>
          </cell>
          <cell r="G2060" t="str">
            <v>High Down Junior School</v>
          </cell>
          <cell r="H2060" t="str">
            <v>South West</v>
          </cell>
          <cell r="I2060" t="str">
            <v>Down Road</v>
          </cell>
          <cell r="J2060" t="str">
            <v>Portishead</v>
          </cell>
          <cell r="L2060" t="str">
            <v>Bristol</v>
          </cell>
          <cell r="M2060" t="str">
            <v>Somerset</v>
          </cell>
          <cell r="N2060" t="str">
            <v>BS20 6DY</v>
          </cell>
          <cell r="O2060" t="str">
            <v>jjwood1972@yahoo.co.uk</v>
          </cell>
        </row>
        <row r="2061">
          <cell r="A2061">
            <v>3084029</v>
          </cell>
          <cell r="B2061">
            <v>102047</v>
          </cell>
          <cell r="C2061">
            <v>308</v>
          </cell>
          <cell r="D2061" t="str">
            <v>Enfield</v>
          </cell>
          <cell r="E2061">
            <v>4029</v>
          </cell>
          <cell r="F2061" t="str">
            <v>Helen Fisher</v>
          </cell>
          <cell r="G2061" t="str">
            <v>Southgate School</v>
          </cell>
          <cell r="H2061" t="str">
            <v>London</v>
          </cell>
          <cell r="I2061" t="str">
            <v>Sussex Way</v>
          </cell>
          <cell r="J2061" t="str">
            <v>Cockfosters</v>
          </cell>
          <cell r="L2061" t="str">
            <v>Barnet</v>
          </cell>
          <cell r="M2061" t="str">
            <v>Hertfordshire</v>
          </cell>
          <cell r="N2061" t="str">
            <v>EN4 0BL</v>
          </cell>
          <cell r="O2061" t="str">
            <v>adswilde@ntlworld.com</v>
          </cell>
        </row>
        <row r="2062">
          <cell r="A2062">
            <v>8254036</v>
          </cell>
          <cell r="B2062">
            <v>110489</v>
          </cell>
          <cell r="C2062">
            <v>825</v>
          </cell>
          <cell r="D2062" t="str">
            <v>Buckinghamshire</v>
          </cell>
          <cell r="E2062">
            <v>4036</v>
          </cell>
          <cell r="F2062" t="str">
            <v>Darren Francis</v>
          </cell>
          <cell r="G2062" t="str">
            <v>Princes Risborough School</v>
          </cell>
          <cell r="H2062" t="str">
            <v>South East</v>
          </cell>
          <cell r="I2062" t="str">
            <v>Merton Road</v>
          </cell>
          <cell r="L2062" t="str">
            <v>Princes Risborough</v>
          </cell>
          <cell r="M2062" t="str">
            <v>Buckinghamshire</v>
          </cell>
          <cell r="N2062" t="str">
            <v>HP27 0DT</v>
          </cell>
          <cell r="O2062" t="str">
            <v>prowe@princesrisborough.bucks.sch.uk</v>
          </cell>
          <cell r="P2062">
            <v>40690</v>
          </cell>
        </row>
        <row r="2063">
          <cell r="A2063">
            <v>9283316</v>
          </cell>
          <cell r="B2063">
            <v>122021</v>
          </cell>
          <cell r="C2063">
            <v>928</v>
          </cell>
          <cell r="D2063" t="str">
            <v>Northamptonshire</v>
          </cell>
          <cell r="E2063">
            <v>3316</v>
          </cell>
          <cell r="F2063" t="str">
            <v>Sue Harp</v>
          </cell>
          <cell r="G2063" t="str">
            <v>Great Addington Church of England Primary School</v>
          </cell>
          <cell r="H2063" t="str">
            <v>East Midlands</v>
          </cell>
          <cell r="I2063" t="str">
            <v>Woodford Road</v>
          </cell>
          <cell r="J2063" t="str">
            <v>Great Addington</v>
          </cell>
          <cell r="L2063" t="str">
            <v>Kettering</v>
          </cell>
          <cell r="M2063" t="str">
            <v>Northamptonshire</v>
          </cell>
          <cell r="N2063" t="str">
            <v>NN14 4BS</v>
          </cell>
          <cell r="O2063" t="str">
            <v>head@gt-addington.northants-ecl.gov.uk</v>
          </cell>
        </row>
        <row r="2064">
          <cell r="A2064">
            <v>9264081</v>
          </cell>
          <cell r="B2064">
            <v>121178</v>
          </cell>
          <cell r="C2064">
            <v>926</v>
          </cell>
          <cell r="D2064" t="str">
            <v>Norfolk</v>
          </cell>
          <cell r="E2064">
            <v>4081</v>
          </cell>
          <cell r="F2064" t="str">
            <v>Claire Ivie</v>
          </cell>
          <cell r="G2064" t="str">
            <v>Springwood High School</v>
          </cell>
          <cell r="H2064" t="str">
            <v>East of England</v>
          </cell>
          <cell r="I2064" t="str">
            <v>Queensway</v>
          </cell>
          <cell r="J2064" t="str">
            <v>Gaywood</v>
          </cell>
          <cell r="L2064" t="str">
            <v>King's Lynn</v>
          </cell>
          <cell r="M2064" t="str">
            <v>Norfolk</v>
          </cell>
          <cell r="N2064" t="str">
            <v>PE30 4AW</v>
          </cell>
          <cell r="O2064" t="str">
            <v>head@springwood.norfolk.sch.uk</v>
          </cell>
          <cell r="P2064">
            <v>40528</v>
          </cell>
        </row>
        <row r="2065">
          <cell r="A2065">
            <v>9285406</v>
          </cell>
          <cell r="B2065">
            <v>122119</v>
          </cell>
          <cell r="C2065">
            <v>928</v>
          </cell>
          <cell r="D2065" t="str">
            <v>Northamptonshire</v>
          </cell>
          <cell r="E2065">
            <v>5406</v>
          </cell>
          <cell r="F2065" t="str">
            <v>Stephen Standret</v>
          </cell>
          <cell r="G2065" t="str">
            <v>Manor School and Sports College</v>
          </cell>
          <cell r="H2065" t="str">
            <v>East Midlands</v>
          </cell>
          <cell r="I2065" t="str">
            <v>Mountbatten Way</v>
          </cell>
          <cell r="J2065" t="str">
            <v>Raunds</v>
          </cell>
          <cell r="L2065" t="str">
            <v>Wellingborough</v>
          </cell>
          <cell r="M2065" t="str">
            <v>Northamptonshire</v>
          </cell>
          <cell r="N2065" t="str">
            <v>NN9 6PA</v>
          </cell>
          <cell r="O2065" t="str">
            <v>linda.brooks@manorschool.northants.sch.uk</v>
          </cell>
          <cell r="P2065">
            <v>40624</v>
          </cell>
        </row>
        <row r="2066">
          <cell r="A2066">
            <v>8812007</v>
          </cell>
          <cell r="B2066">
            <v>114708</v>
          </cell>
          <cell r="C2066">
            <v>881</v>
          </cell>
          <cell r="D2066" t="str">
            <v>Essex</v>
          </cell>
          <cell r="E2066">
            <v>2007</v>
          </cell>
          <cell r="F2066" t="str">
            <v>Claire Ivie</v>
          </cell>
          <cell r="G2066" t="str">
            <v>Myland Community Primary School</v>
          </cell>
          <cell r="H2066" t="str">
            <v>East of England</v>
          </cell>
          <cell r="I2066" t="str">
            <v>Mill Road</v>
          </cell>
          <cell r="J2066" t="str">
            <v>Mile End</v>
          </cell>
          <cell r="L2066" t="str">
            <v>Colchester</v>
          </cell>
          <cell r="M2066" t="str">
            <v>Essex</v>
          </cell>
          <cell r="N2066" t="str">
            <v>CO4 5LD</v>
          </cell>
          <cell r="O2066" t="str">
            <v>admin@myland.essex.sch.uk</v>
          </cell>
        </row>
        <row r="2067">
          <cell r="A2067">
            <v>9163330</v>
          </cell>
          <cell r="B2067">
            <v>115687</v>
          </cell>
          <cell r="C2067">
            <v>916</v>
          </cell>
          <cell r="D2067" t="str">
            <v>Gloucestershire</v>
          </cell>
          <cell r="E2067">
            <v>3330</v>
          </cell>
          <cell r="F2067" t="str">
            <v>Not yet assigned</v>
          </cell>
          <cell r="G2067" t="str">
            <v>St Lawrence Church of England Primary School</v>
          </cell>
          <cell r="H2067" t="str">
            <v>South West</v>
          </cell>
          <cell r="I2067" t="str">
            <v>Wharf Lane</v>
          </cell>
          <cell r="L2067" t="str">
            <v>Lechlade</v>
          </cell>
          <cell r="M2067" t="str">
            <v>Gloucestershire</v>
          </cell>
          <cell r="N2067" t="str">
            <v>GL7 3AU</v>
          </cell>
          <cell r="O2067" t="str">
            <v>head@st-lawrence.gloucs.sch.uk</v>
          </cell>
        </row>
        <row r="2068">
          <cell r="A2068">
            <v>3584029</v>
          </cell>
          <cell r="B2068">
            <v>106371</v>
          </cell>
          <cell r="C2068">
            <v>358</v>
          </cell>
          <cell r="D2068" t="str">
            <v>Trafford</v>
          </cell>
          <cell r="E2068">
            <v>4029</v>
          </cell>
          <cell r="F2068" t="str">
            <v>Joe Farrell</v>
          </cell>
          <cell r="G2068" t="str">
            <v>Sale Grammar School</v>
          </cell>
          <cell r="H2068" t="str">
            <v>North West</v>
          </cell>
          <cell r="I2068" t="str">
            <v>Marsland Road</v>
          </cell>
          <cell r="L2068" t="str">
            <v>Sale</v>
          </cell>
          <cell r="M2068" t="str">
            <v>Cheshire</v>
          </cell>
          <cell r="N2068" t="str">
            <v>M33 3NH</v>
          </cell>
          <cell r="O2068" t="str">
            <v>dw@salegrammar.co.uk</v>
          </cell>
          <cell r="P2068">
            <v>40459</v>
          </cell>
        </row>
        <row r="2069">
          <cell r="A2069">
            <v>9265409</v>
          </cell>
          <cell r="B2069">
            <v>121217</v>
          </cell>
          <cell r="C2069">
            <v>926</v>
          </cell>
          <cell r="D2069" t="str">
            <v>Norfolk</v>
          </cell>
          <cell r="E2069">
            <v>5409</v>
          </cell>
          <cell r="F2069" t="str">
            <v>Kevin Hall</v>
          </cell>
          <cell r="G2069" t="str">
            <v>Cliff Park High School</v>
          </cell>
          <cell r="H2069" t="str">
            <v>East of England</v>
          </cell>
          <cell r="I2069" t="str">
            <v>Kennedy Avenue</v>
          </cell>
          <cell r="J2069" t="str">
            <v>Gorleston</v>
          </cell>
          <cell r="L2069" t="str">
            <v>Great Yarmouth</v>
          </cell>
          <cell r="M2069" t="str">
            <v>Norfolk</v>
          </cell>
          <cell r="N2069" t="str">
            <v>NR31 6TA</v>
          </cell>
          <cell r="O2069" t="str">
            <v>head@cliffparkhigh.norfolk.sch.uk_x000D_
head@cliffparkhigh.norfolk.sch.uk</v>
          </cell>
          <cell r="P2069">
            <v>41206</v>
          </cell>
        </row>
        <row r="2070">
          <cell r="A2070">
            <v>9262421</v>
          </cell>
          <cell r="B2070">
            <v>121023</v>
          </cell>
          <cell r="C2070">
            <v>926</v>
          </cell>
          <cell r="D2070" t="str">
            <v>Norfolk</v>
          </cell>
          <cell r="E2070">
            <v>2421</v>
          </cell>
          <cell r="F2070" t="str">
            <v>Michael Cook</v>
          </cell>
          <cell r="G2070" t="str">
            <v>Greenacre Primary &amp; Nursery School</v>
          </cell>
          <cell r="H2070" t="str">
            <v>East of England</v>
          </cell>
          <cell r="I2070" t="str">
            <v>Dickens Avenue</v>
          </cell>
          <cell r="L2070" t="str">
            <v>Great Yarmouth</v>
          </cell>
          <cell r="M2070" t="str">
            <v>Norfolk</v>
          </cell>
          <cell r="N2070" t="str">
            <v>NR30 3DT</v>
          </cell>
          <cell r="O2070" t="str">
            <v>head@greenacre.norfolk.sch.uk</v>
          </cell>
          <cell r="P2070">
            <v>41000</v>
          </cell>
        </row>
        <row r="2071">
          <cell r="A2071">
            <v>3194002</v>
          </cell>
          <cell r="B2071">
            <v>102999</v>
          </cell>
          <cell r="C2071">
            <v>319</v>
          </cell>
          <cell r="D2071" t="str">
            <v>Sutton</v>
          </cell>
          <cell r="E2071">
            <v>4002</v>
          </cell>
          <cell r="F2071" t="str">
            <v>Helen Barry</v>
          </cell>
          <cell r="G2071" t="str">
            <v>Carshalton High School for Girls</v>
          </cell>
          <cell r="H2071" t="str">
            <v>London</v>
          </cell>
          <cell r="I2071" t="str">
            <v>West Street</v>
          </cell>
          <cell r="L2071" t="str">
            <v>Carshalton</v>
          </cell>
          <cell r="M2071" t="str">
            <v>Surrey</v>
          </cell>
          <cell r="N2071" t="str">
            <v>SM5 2QX</v>
          </cell>
          <cell r="O2071" t="str">
            <v>vjones@suttonlea.org</v>
          </cell>
          <cell r="P2071">
            <v>40604</v>
          </cell>
        </row>
        <row r="2072">
          <cell r="A2072">
            <v>9253354</v>
          </cell>
          <cell r="B2072">
            <v>120621</v>
          </cell>
          <cell r="C2072">
            <v>925</v>
          </cell>
          <cell r="D2072" t="str">
            <v>Lincolnshire</v>
          </cell>
          <cell r="E2072">
            <v>3354</v>
          </cell>
          <cell r="F2072" t="str">
            <v>Stephen Standret</v>
          </cell>
          <cell r="G2072" t="str">
            <v>The Gainsborough Parish Church Primary School</v>
          </cell>
          <cell r="H2072" t="str">
            <v>East Midlands</v>
          </cell>
          <cell r="I2072" t="str">
            <v>Acland Street</v>
          </cell>
          <cell r="L2072" t="str">
            <v>Gainsborough</v>
          </cell>
          <cell r="M2072" t="str">
            <v>Lincolnshire</v>
          </cell>
          <cell r="N2072" t="str">
            <v>DN21 2LN</v>
          </cell>
          <cell r="O2072" t="str">
            <v>tracy.fulthorpe@parishchurch.lincs.sch.uk</v>
          </cell>
          <cell r="P2072">
            <v>40969</v>
          </cell>
        </row>
        <row r="2073">
          <cell r="A2073">
            <v>8454042</v>
          </cell>
          <cell r="B2073">
            <v>114594</v>
          </cell>
          <cell r="C2073">
            <v>845</v>
          </cell>
          <cell r="D2073" t="str">
            <v>East Sussex</v>
          </cell>
          <cell r="E2073">
            <v>4042</v>
          </cell>
          <cell r="F2073" t="str">
            <v>Sarah Mitchell</v>
          </cell>
          <cell r="G2073" t="str">
            <v>Chailey School</v>
          </cell>
          <cell r="H2073" t="str">
            <v>South East</v>
          </cell>
          <cell r="I2073" t="str">
            <v>Mill Lane</v>
          </cell>
          <cell r="J2073" t="str">
            <v>South Chailey</v>
          </cell>
          <cell r="L2073" t="str">
            <v>Lewes</v>
          </cell>
          <cell r="M2073" t="str">
            <v>East Sussex</v>
          </cell>
          <cell r="N2073" t="str">
            <v>BN8 4PU</v>
          </cell>
          <cell r="O2073" t="str">
            <v>lyoung@chaileyschool.org</v>
          </cell>
        </row>
        <row r="2074">
          <cell r="A2074">
            <v>8713365</v>
          </cell>
          <cell r="B2074">
            <v>134651</v>
          </cell>
          <cell r="C2074">
            <v>871</v>
          </cell>
          <cell r="D2074" t="str">
            <v>Slough</v>
          </cell>
          <cell r="E2074">
            <v>3365</v>
          </cell>
          <cell r="F2074" t="str">
            <v>Maryam Jabbari</v>
          </cell>
          <cell r="G2074" t="str">
            <v>Marish Primary School</v>
          </cell>
          <cell r="H2074" t="str">
            <v>South East</v>
          </cell>
          <cell r="I2074" t="str">
            <v>Swabey Road</v>
          </cell>
          <cell r="J2074" t="str">
            <v>Langley</v>
          </cell>
          <cell r="L2074" t="str">
            <v>Slough</v>
          </cell>
          <cell r="M2074" t="str">
            <v>Berkshire</v>
          </cell>
          <cell r="N2074" t="str">
            <v>SL3 8NZ</v>
          </cell>
          <cell r="O2074" t="str">
            <v>head@marish-primary.slough.sch.uk</v>
          </cell>
          <cell r="P2074">
            <v>40947</v>
          </cell>
        </row>
        <row r="2075">
          <cell r="A2075">
            <v>3732329</v>
          </cell>
          <cell r="B2075">
            <v>107073</v>
          </cell>
          <cell r="C2075">
            <v>373</v>
          </cell>
          <cell r="D2075" t="str">
            <v>Sheffield</v>
          </cell>
          <cell r="E2075">
            <v>2329</v>
          </cell>
          <cell r="F2075" t="str">
            <v>Bev Annables</v>
          </cell>
          <cell r="G2075" t="str">
            <v>Springfield Primary School</v>
          </cell>
          <cell r="H2075" t="str">
            <v>Yorkshire and the Humber</v>
          </cell>
          <cell r="I2075" t="str">
            <v>Broomspring Lane</v>
          </cell>
          <cell r="L2075" t="str">
            <v>Sheffield</v>
          </cell>
          <cell r="M2075" t="str">
            <v>South Yorkshire</v>
          </cell>
          <cell r="N2075" t="str">
            <v>S10 2FA</v>
          </cell>
        </row>
        <row r="2076">
          <cell r="A2076">
            <v>9374111</v>
          </cell>
          <cell r="B2076">
            <v>125735</v>
          </cell>
          <cell r="C2076">
            <v>937</v>
          </cell>
          <cell r="D2076" t="str">
            <v>Warwickshire</v>
          </cell>
          <cell r="E2076">
            <v>4111</v>
          </cell>
          <cell r="F2076" t="str">
            <v>Julia Waterhouse</v>
          </cell>
          <cell r="G2076" t="str">
            <v>Kingsbury School, A Specialist Science College with Mathematics</v>
          </cell>
          <cell r="H2076" t="str">
            <v>West Midlands</v>
          </cell>
          <cell r="I2076" t="str">
            <v>Tamworth Road</v>
          </cell>
          <cell r="J2076" t="str">
            <v>Kingsbury</v>
          </cell>
          <cell r="L2076" t="str">
            <v>Tamworth</v>
          </cell>
          <cell r="M2076" t="str">
            <v>Staffordshire</v>
          </cell>
          <cell r="N2076" t="str">
            <v>B78 2LF</v>
          </cell>
          <cell r="O2076" t="str">
            <v>cotton.s@we-learn.com</v>
          </cell>
        </row>
        <row r="2077">
          <cell r="A2077">
            <v>8863289</v>
          </cell>
          <cell r="B2077">
            <v>118707</v>
          </cell>
          <cell r="C2077">
            <v>886</v>
          </cell>
          <cell r="D2077" t="str">
            <v>Kent</v>
          </cell>
          <cell r="E2077">
            <v>3289</v>
          </cell>
          <cell r="F2077" t="str">
            <v>Nicky Edwards</v>
          </cell>
          <cell r="G2077" t="str">
            <v>St Peter's Methodist Primary School</v>
          </cell>
          <cell r="H2077" t="str">
            <v>South East</v>
          </cell>
          <cell r="I2077" t="str">
            <v>St Peter's Grove</v>
          </cell>
          <cell r="L2077" t="str">
            <v>Canterbury</v>
          </cell>
          <cell r="M2077" t="str">
            <v>Kent</v>
          </cell>
          <cell r="N2077" t="str">
            <v>CT1 2DH</v>
          </cell>
          <cell r="O2077" t="str">
            <v>ctownsend@st-peters-canterbury.kent.sch.uk</v>
          </cell>
        </row>
        <row r="2078">
          <cell r="A2078">
            <v>2075402</v>
          </cell>
          <cell r="B2078">
            <v>100506</v>
          </cell>
          <cell r="C2078">
            <v>207</v>
          </cell>
          <cell r="D2078" t="str">
            <v>Kensington and Chelsea</v>
          </cell>
          <cell r="E2078">
            <v>5402</v>
          </cell>
          <cell r="F2078" t="str">
            <v>Tahir Shams</v>
          </cell>
          <cell r="G2078" t="str">
            <v>The Cardinal Vaughan Memorial RC School</v>
          </cell>
          <cell r="H2078" t="str">
            <v>London</v>
          </cell>
          <cell r="I2078" t="str">
            <v>89 Addison Road</v>
          </cell>
          <cell r="L2078" t="str">
            <v>London</v>
          </cell>
          <cell r="N2078" t="str">
            <v>W14 8BZ</v>
          </cell>
          <cell r="O2078" t="str">
            <v>Paul.Stubbings@cvms.rbkc.sch.uk</v>
          </cell>
        </row>
        <row r="2079">
          <cell r="A2079">
            <v>8962288</v>
          </cell>
          <cell r="B2079">
            <v>111119</v>
          </cell>
          <cell r="C2079">
            <v>896</v>
          </cell>
          <cell r="D2079" t="str">
            <v>Cheshire West and Chester</v>
          </cell>
          <cell r="E2079">
            <v>2288</v>
          </cell>
          <cell r="F2079" t="str">
            <v>Nick Child</v>
          </cell>
          <cell r="G2079" t="str">
            <v>Hartford Primary School</v>
          </cell>
          <cell r="H2079" t="str">
            <v>North West</v>
          </cell>
          <cell r="I2079" t="str">
            <v>Riddings Lane</v>
          </cell>
          <cell r="J2079" t="str">
            <v>Hartford</v>
          </cell>
          <cell r="L2079" t="str">
            <v>Northwich</v>
          </cell>
          <cell r="M2079" t="str">
            <v>Cheshire</v>
          </cell>
          <cell r="N2079" t="str">
            <v>CW8 1NA</v>
          </cell>
          <cell r="O2079" t="str">
            <v>head@hartfordprimary.cheshire.sch.uk</v>
          </cell>
        </row>
        <row r="2080">
          <cell r="A2080">
            <v>8665417</v>
          </cell>
          <cell r="B2080">
            <v>126451</v>
          </cell>
          <cell r="C2080">
            <v>866</v>
          </cell>
          <cell r="D2080" t="str">
            <v>Swindon</v>
          </cell>
          <cell r="E2080">
            <v>5417</v>
          </cell>
          <cell r="F2080" t="str">
            <v>Sean Cox</v>
          </cell>
          <cell r="G2080" t="str">
            <v>The Ridgeway School</v>
          </cell>
          <cell r="H2080" t="str">
            <v>South West</v>
          </cell>
          <cell r="I2080" t="str">
            <v>Inverary Road</v>
          </cell>
          <cell r="J2080" t="str">
            <v>Wroughton</v>
          </cell>
          <cell r="L2080" t="str">
            <v>Swindon</v>
          </cell>
          <cell r="M2080" t="str">
            <v>Wiltshire</v>
          </cell>
          <cell r="N2080" t="str">
            <v>SN4 9DJ</v>
          </cell>
          <cell r="O2080" t="str">
            <v>colledges@ridgeway.swindon.sch.uk</v>
          </cell>
          <cell r="P2080">
            <v>40518</v>
          </cell>
        </row>
        <row r="2081">
          <cell r="A2081">
            <v>3812064</v>
          </cell>
          <cell r="B2081">
            <v>107516</v>
          </cell>
          <cell r="C2081">
            <v>381</v>
          </cell>
          <cell r="D2081" t="str">
            <v>Calderdale</v>
          </cell>
          <cell r="E2081">
            <v>2064</v>
          </cell>
          <cell r="F2081" t="str">
            <v>Lisa Sargeant</v>
          </cell>
          <cell r="G2081" t="str">
            <v>Luddendenfoot Junior and Infant School</v>
          </cell>
          <cell r="H2081" t="str">
            <v>Yorkshire and the Humber</v>
          </cell>
          <cell r="I2081" t="str">
            <v>Burnley Road</v>
          </cell>
          <cell r="J2081" t="str">
            <v>Luddendenfoot</v>
          </cell>
          <cell r="L2081" t="str">
            <v>Halifax</v>
          </cell>
          <cell r="M2081" t="str">
            <v>West Yorkshire</v>
          </cell>
          <cell r="N2081" t="str">
            <v>HX2 6AU</v>
          </cell>
          <cell r="O2081" t="str">
            <v>head@luddendenfoot.calderdale.sch.uk</v>
          </cell>
          <cell r="P2081">
            <v>40667</v>
          </cell>
        </row>
        <row r="2082">
          <cell r="A2082">
            <v>2122005</v>
          </cell>
          <cell r="B2082">
            <v>134041</v>
          </cell>
          <cell r="C2082">
            <v>212</v>
          </cell>
          <cell r="D2082" t="str">
            <v>Wandsworth</v>
          </cell>
          <cell r="E2082">
            <v>2005</v>
          </cell>
          <cell r="F2082" t="str">
            <v>Tahir Shams</v>
          </cell>
          <cell r="G2082" t="str">
            <v>Gatton (VA) Primary School</v>
          </cell>
          <cell r="H2082" t="str">
            <v>London</v>
          </cell>
          <cell r="I2082" t="str">
            <v>10 Gatton Road</v>
          </cell>
          <cell r="J2082" t="str">
            <v>Tooting</v>
          </cell>
          <cell r="L2082" t="str">
            <v>London</v>
          </cell>
          <cell r="N2082" t="str">
            <v>SW17 0EU</v>
          </cell>
          <cell r="O2082" t="str">
            <v>mgangat@gatton.wandsworth.sch.uk</v>
          </cell>
        </row>
        <row r="2083">
          <cell r="A2083">
            <v>2044310</v>
          </cell>
          <cell r="B2083">
            <v>100279</v>
          </cell>
          <cell r="C2083">
            <v>204</v>
          </cell>
          <cell r="D2083" t="str">
            <v>Hackney</v>
          </cell>
          <cell r="E2083">
            <v>4310</v>
          </cell>
          <cell r="F2083" t="str">
            <v>Bola Bakrin</v>
          </cell>
          <cell r="G2083" t="str">
            <v>Stoke Newington School and Sixth Form</v>
          </cell>
          <cell r="H2083" t="str">
            <v>London</v>
          </cell>
          <cell r="I2083" t="str">
            <v>Clissold Road</v>
          </cell>
          <cell r="K2083" t="str">
            <v>Hackney</v>
          </cell>
          <cell r="L2083" t="str">
            <v>London</v>
          </cell>
          <cell r="N2083" t="str">
            <v>N16 9EX</v>
          </cell>
          <cell r="O2083" t="str">
            <v>Annie.gammon@SNS.hackney.sch.uk</v>
          </cell>
        </row>
        <row r="2084">
          <cell r="A2084">
            <v>9085201</v>
          </cell>
          <cell r="B2084">
            <v>111798</v>
          </cell>
          <cell r="C2084">
            <v>908</v>
          </cell>
          <cell r="D2084" t="str">
            <v>Cornwall</v>
          </cell>
          <cell r="E2084">
            <v>5201</v>
          </cell>
          <cell r="F2084" t="str">
            <v>Tahamina Khan</v>
          </cell>
          <cell r="G2084" t="str">
            <v>St Buryan Primary School</v>
          </cell>
          <cell r="H2084" t="str">
            <v>South West</v>
          </cell>
          <cell r="I2084" t="str">
            <v>St Buryan</v>
          </cell>
          <cell r="L2084" t="str">
            <v>Penzance</v>
          </cell>
          <cell r="M2084" t="str">
            <v>Cornwall</v>
          </cell>
          <cell r="N2084" t="str">
            <v>TR19 6BB</v>
          </cell>
          <cell r="O2084" t="str">
            <v>head@st-buryan.cornwall.sch.uk</v>
          </cell>
          <cell r="P2084">
            <v>40344</v>
          </cell>
        </row>
        <row r="2085">
          <cell r="A2085">
            <v>9314145</v>
          </cell>
          <cell r="B2085">
            <v>133644</v>
          </cell>
          <cell r="C2085">
            <v>931</v>
          </cell>
          <cell r="D2085" t="str">
            <v>Oxfordshire</v>
          </cell>
          <cell r="E2085">
            <v>4145</v>
          </cell>
          <cell r="F2085" t="str">
            <v>Sarah Nairne</v>
          </cell>
          <cell r="G2085" t="str">
            <v>St Gregory the Great VA Catholic Secondary School</v>
          </cell>
          <cell r="H2085" t="str">
            <v>South East</v>
          </cell>
          <cell r="I2085" t="str">
            <v>Cricket Road</v>
          </cell>
          <cell r="J2085" t="str">
            <v>Cowley</v>
          </cell>
          <cell r="L2085" t="str">
            <v>Oxford</v>
          </cell>
          <cell r="M2085" t="str">
            <v>Oxfordshire</v>
          </cell>
          <cell r="N2085" t="str">
            <v>OX4 3DR</v>
          </cell>
          <cell r="O2085" t="str">
            <v>head.4145@ocnmail.net</v>
          </cell>
          <cell r="P2085">
            <v>41207</v>
          </cell>
        </row>
        <row r="2086">
          <cell r="A2086">
            <v>8654511</v>
          </cell>
          <cell r="B2086">
            <v>126468</v>
          </cell>
          <cell r="C2086">
            <v>865</v>
          </cell>
          <cell r="D2086" t="str">
            <v>Wiltshire</v>
          </cell>
          <cell r="E2086">
            <v>4511</v>
          </cell>
          <cell r="F2086" t="str">
            <v>Kate Bosher</v>
          </cell>
          <cell r="G2086" t="str">
            <v>St Edmund's Girls' School</v>
          </cell>
          <cell r="H2086" t="str">
            <v>South West</v>
          </cell>
          <cell r="I2086" t="str">
            <v>Church Road</v>
          </cell>
          <cell r="J2086" t="str">
            <v>Laverstock</v>
          </cell>
          <cell r="L2086" t="str">
            <v>Salisbury</v>
          </cell>
          <cell r="M2086" t="str">
            <v>Wiltshire</v>
          </cell>
          <cell r="N2086" t="str">
            <v>SP1 1RD</v>
          </cell>
          <cell r="O2086" t="str">
            <v>jgoodall@st-edmunds.eu</v>
          </cell>
          <cell r="P2086">
            <v>40591</v>
          </cell>
        </row>
        <row r="2087">
          <cell r="A2087">
            <v>3303018</v>
          </cell>
          <cell r="B2087">
            <v>103405</v>
          </cell>
          <cell r="C2087">
            <v>330</v>
          </cell>
          <cell r="D2087" t="str">
            <v>Birmingham</v>
          </cell>
          <cell r="E2087">
            <v>3018</v>
          </cell>
          <cell r="F2087" t="str">
            <v>Carol Ions</v>
          </cell>
          <cell r="G2087" t="str">
            <v>St Michael's CofE Junior and Infant School</v>
          </cell>
          <cell r="H2087" t="str">
            <v>West Midlands</v>
          </cell>
          <cell r="I2087" t="str">
            <v>Piers Road</v>
          </cell>
          <cell r="J2087" t="str">
            <v>Handsworth</v>
          </cell>
          <cell r="L2087" t="str">
            <v>Birmingham</v>
          </cell>
          <cell r="M2087" t="str">
            <v>West Midlands</v>
          </cell>
          <cell r="N2087" t="str">
            <v>B21 0UX</v>
          </cell>
          <cell r="O2087" t="str">
            <v>enquiry@stmich21.bham.sch.uk</v>
          </cell>
        </row>
        <row r="2088">
          <cell r="A2088">
            <v>8553347</v>
          </cell>
          <cell r="B2088">
            <v>120219</v>
          </cell>
          <cell r="C2088">
            <v>855</v>
          </cell>
          <cell r="D2088" t="str">
            <v>Leicestershire</v>
          </cell>
          <cell r="E2088">
            <v>3347</v>
          </cell>
          <cell r="F2088" t="str">
            <v>Michael Corner</v>
          </cell>
          <cell r="G2088" t="str">
            <v>Saint Joseph's Catholic Primary School Market Harborough Leicestershire</v>
          </cell>
          <cell r="H2088" t="str">
            <v>East Midlands</v>
          </cell>
          <cell r="I2088" t="str">
            <v>Coventry Road</v>
          </cell>
          <cell r="L2088" t="str">
            <v>Market Harborough</v>
          </cell>
          <cell r="M2088" t="str">
            <v>Leicestershire</v>
          </cell>
          <cell r="N2088" t="str">
            <v>LE16 9BZ</v>
          </cell>
          <cell r="O2088" t="str">
            <v>headteacher@stjosephs.leics.sch.uk</v>
          </cell>
          <cell r="P2088">
            <v>40893</v>
          </cell>
        </row>
        <row r="2089">
          <cell r="A2089">
            <v>3444605</v>
          </cell>
          <cell r="B2089">
            <v>105109</v>
          </cell>
          <cell r="C2089">
            <v>344</v>
          </cell>
          <cell r="D2089" t="str">
            <v>Wirral</v>
          </cell>
          <cell r="E2089">
            <v>4605</v>
          </cell>
          <cell r="F2089" t="str">
            <v>Linda Tiley</v>
          </cell>
          <cell r="G2089" t="str">
            <v>St John Plessington Catholic College</v>
          </cell>
          <cell r="H2089" t="str">
            <v>North West</v>
          </cell>
          <cell r="I2089" t="str">
            <v>Old Chester Road</v>
          </cell>
          <cell r="J2089" t="str">
            <v>Bebington</v>
          </cell>
          <cell r="L2089" t="str">
            <v>Wirral</v>
          </cell>
          <cell r="M2089" t="str">
            <v>Merseyside</v>
          </cell>
          <cell r="N2089" t="str">
            <v>CH63 7LF</v>
          </cell>
          <cell r="O2089" t="str">
            <v>tomquinn@me.com</v>
          </cell>
          <cell r="P2089">
            <v>40998</v>
          </cell>
        </row>
        <row r="2090">
          <cell r="A2090">
            <v>8553028</v>
          </cell>
          <cell r="B2090">
            <v>120126</v>
          </cell>
          <cell r="C2090">
            <v>855</v>
          </cell>
          <cell r="D2090" t="str">
            <v>Leicestershire</v>
          </cell>
          <cell r="E2090">
            <v>3028</v>
          </cell>
          <cell r="F2090" t="str">
            <v>Sue Harp</v>
          </cell>
          <cell r="G2090" t="str">
            <v>Croxton Kerrial Church of England Primary School</v>
          </cell>
          <cell r="H2090" t="str">
            <v>East Midlands</v>
          </cell>
          <cell r="I2090" t="str">
            <v>School Lane</v>
          </cell>
          <cell r="J2090" t="str">
            <v>Croxton Kerrial</v>
          </cell>
          <cell r="L2090" t="str">
            <v>Grantham</v>
          </cell>
          <cell r="M2090" t="str">
            <v>Lincolnshire</v>
          </cell>
          <cell r="N2090" t="str">
            <v>NG32 1QR</v>
          </cell>
          <cell r="O2090" t="str">
            <v>aharvey3@ckschool.leics.sch.uk</v>
          </cell>
        </row>
        <row r="2091">
          <cell r="A2091">
            <v>9284017</v>
          </cell>
          <cell r="B2091">
            <v>122053</v>
          </cell>
          <cell r="C2091">
            <v>928</v>
          </cell>
          <cell r="D2091" t="str">
            <v>Northamptonshire</v>
          </cell>
          <cell r="E2091">
            <v>4017</v>
          </cell>
          <cell r="F2091" t="str">
            <v>Stephen Standret</v>
          </cell>
          <cell r="G2091" t="str">
            <v>Huxlow Science College</v>
          </cell>
          <cell r="H2091" t="str">
            <v>East Midlands</v>
          </cell>
          <cell r="I2091" t="str">
            <v>Finedon Road</v>
          </cell>
          <cell r="J2091" t="str">
            <v>Irthlingborough</v>
          </cell>
          <cell r="L2091" t="str">
            <v>Wellingborough</v>
          </cell>
          <cell r="M2091" t="str">
            <v>Northamptonshire</v>
          </cell>
          <cell r="N2091" t="str">
            <v>NN9 5TY</v>
          </cell>
          <cell r="O2091" t="str">
            <v>head@huxlow.northants-ecl.gov.uk</v>
          </cell>
          <cell r="P2091">
            <v>40732</v>
          </cell>
        </row>
        <row r="2092">
          <cell r="A2092">
            <v>3303403</v>
          </cell>
          <cell r="B2092">
            <v>103475</v>
          </cell>
          <cell r="C2092">
            <v>330</v>
          </cell>
          <cell r="D2092" t="str">
            <v>Birmingham</v>
          </cell>
          <cell r="E2092">
            <v>3403</v>
          </cell>
          <cell r="F2092" t="str">
            <v>Ruth Pallister</v>
          </cell>
          <cell r="G2092" t="str">
            <v>St Nicholas Catholic Primary School</v>
          </cell>
          <cell r="H2092" t="str">
            <v>West Midlands</v>
          </cell>
          <cell r="I2092" t="str">
            <v>Jockey Road</v>
          </cell>
          <cell r="L2092" t="str">
            <v>Sutton Coldfield</v>
          </cell>
          <cell r="M2092" t="str">
            <v>West Midlands</v>
          </cell>
          <cell r="N2092" t="str">
            <v>B73 5US</v>
          </cell>
          <cell r="O2092" t="str">
            <v>m.emery@st-nicholas.bham.sch.uk</v>
          </cell>
        </row>
        <row r="2093">
          <cell r="A2093">
            <v>3712101</v>
          </cell>
          <cell r="B2093">
            <v>106690</v>
          </cell>
          <cell r="C2093">
            <v>371</v>
          </cell>
          <cell r="D2093" t="str">
            <v>Doncaster</v>
          </cell>
          <cell r="E2093">
            <v>2101</v>
          </cell>
          <cell r="F2093" t="str">
            <v>Bev Mullin</v>
          </cell>
          <cell r="G2093" t="str">
            <v>Marshland Primary School</v>
          </cell>
          <cell r="H2093" t="str">
            <v>Yorkshire and the Humber</v>
          </cell>
          <cell r="I2093" t="str">
            <v>Marshland Road</v>
          </cell>
          <cell r="J2093" t="str">
            <v>Moorends</v>
          </cell>
          <cell r="L2093" t="str">
            <v>Doncaster</v>
          </cell>
          <cell r="M2093" t="str">
            <v>South Yorkshire</v>
          </cell>
          <cell r="N2093" t="str">
            <v>DN8 4SB</v>
          </cell>
          <cell r="O2093" t="str">
            <v>head@marshland.doncaster.sch.uk</v>
          </cell>
          <cell r="P2093">
            <v>40751</v>
          </cell>
        </row>
        <row r="2094">
          <cell r="A2094">
            <v>9314139</v>
          </cell>
          <cell r="B2094">
            <v>123260</v>
          </cell>
          <cell r="C2094">
            <v>931</v>
          </cell>
          <cell r="D2094" t="str">
            <v>Oxfordshire</v>
          </cell>
          <cell r="E2094">
            <v>4139</v>
          </cell>
          <cell r="F2094" t="str">
            <v>Sarah Nairne</v>
          </cell>
          <cell r="G2094" t="str">
            <v>Didcot Girls' School</v>
          </cell>
          <cell r="H2094" t="str">
            <v>South East</v>
          </cell>
          <cell r="I2094" t="str">
            <v>Manor Crescent</v>
          </cell>
          <cell r="L2094" t="str">
            <v>Didcot</v>
          </cell>
          <cell r="M2094" t="str">
            <v>Oxfordshire</v>
          </cell>
          <cell r="N2094" t="str">
            <v>OX11 7AJ</v>
          </cell>
          <cell r="O2094" t="str">
            <v>rwarwick@didcotgirls.oxon.sch.uk</v>
          </cell>
          <cell r="P2094">
            <v>41040</v>
          </cell>
        </row>
        <row r="2095">
          <cell r="A2095">
            <v>3057012</v>
          </cell>
          <cell r="B2095">
            <v>135232</v>
          </cell>
          <cell r="C2095">
            <v>305</v>
          </cell>
          <cell r="D2095" t="str">
            <v>Bromley</v>
          </cell>
          <cell r="E2095">
            <v>7012</v>
          </cell>
          <cell r="F2095" t="str">
            <v>Sheila Longstaff</v>
          </cell>
          <cell r="G2095" t="str">
            <v>Riverside School</v>
          </cell>
          <cell r="H2095" t="str">
            <v>London</v>
          </cell>
          <cell r="I2095" t="str">
            <v>Main Road</v>
          </cell>
          <cell r="J2095" t="str">
            <v>St Paul's Cray</v>
          </cell>
          <cell r="L2095" t="str">
            <v>Orpington</v>
          </cell>
          <cell r="M2095" t="str">
            <v>Kent</v>
          </cell>
          <cell r="N2095" t="str">
            <v>BR5 3HS</v>
          </cell>
          <cell r="O2095" t="str">
            <v>steve.solomons@riverside.bromley.sch.uk</v>
          </cell>
        </row>
        <row r="2096">
          <cell r="A2096">
            <v>8862434</v>
          </cell>
          <cell r="B2096">
            <v>118438</v>
          </cell>
          <cell r="C2096">
            <v>886</v>
          </cell>
          <cell r="D2096" t="str">
            <v>Kent</v>
          </cell>
          <cell r="E2096">
            <v>2434</v>
          </cell>
          <cell r="F2096" t="str">
            <v>Not yet assigned</v>
          </cell>
          <cell r="G2096" t="str">
            <v>West Minster Primary School</v>
          </cell>
          <cell r="H2096" t="str">
            <v>South East</v>
          </cell>
          <cell r="I2096" t="str">
            <v>St George's Avenue</v>
          </cell>
          <cell r="L2096" t="str">
            <v>Sheerness</v>
          </cell>
          <cell r="M2096" t="str">
            <v>Kent</v>
          </cell>
          <cell r="N2096" t="str">
            <v>ME12 1ET</v>
          </cell>
          <cell r="O2096" t="str">
            <v>headteacher@west-minster.kent.sch.uk</v>
          </cell>
        </row>
        <row r="2097">
          <cell r="A2097">
            <v>3024215</v>
          </cell>
          <cell r="B2097">
            <v>101352</v>
          </cell>
          <cell r="C2097">
            <v>302</v>
          </cell>
          <cell r="D2097" t="str">
            <v>Barnet</v>
          </cell>
          <cell r="E2097">
            <v>4215</v>
          </cell>
          <cell r="F2097" t="str">
            <v>Allan Thomson</v>
          </cell>
          <cell r="G2097" t="str">
            <v>The Compton School</v>
          </cell>
          <cell r="H2097" t="str">
            <v>London</v>
          </cell>
          <cell r="I2097" t="str">
            <v>Summers Lane</v>
          </cell>
          <cell r="L2097" t="str">
            <v>London</v>
          </cell>
          <cell r="N2097" t="str">
            <v>N12 0QG</v>
          </cell>
          <cell r="O2097" t="str">
            <v>teresa.tunnadine@thecompton.barnet.sch.uk</v>
          </cell>
          <cell r="P2097">
            <v>40357</v>
          </cell>
        </row>
        <row r="2098">
          <cell r="A2098">
            <v>2084321</v>
          </cell>
          <cell r="B2098">
            <v>100625</v>
          </cell>
          <cell r="C2098">
            <v>208</v>
          </cell>
          <cell r="D2098" t="str">
            <v>Lambeth</v>
          </cell>
          <cell r="E2098">
            <v>4321</v>
          </cell>
          <cell r="F2098" t="str">
            <v>Helen Fisher</v>
          </cell>
          <cell r="G2098" t="str">
            <v>Lilian Baylis Technology School</v>
          </cell>
          <cell r="H2098" t="str">
            <v>London</v>
          </cell>
          <cell r="I2098" t="str">
            <v>323 Kennington Lane</v>
          </cell>
          <cell r="J2098" t="str">
            <v>Kennington</v>
          </cell>
          <cell r="L2098" t="str">
            <v>London</v>
          </cell>
          <cell r="N2098" t="str">
            <v>SE11 5QY</v>
          </cell>
          <cell r="O2098" t="str">
            <v>gary.phillips@lilianbaylis.com</v>
          </cell>
          <cell r="P2098">
            <v>40734</v>
          </cell>
        </row>
        <row r="2099">
          <cell r="A2099">
            <v>8552096</v>
          </cell>
          <cell r="B2099">
            <v>119952</v>
          </cell>
          <cell r="C2099">
            <v>855</v>
          </cell>
          <cell r="D2099" t="str">
            <v>Leicestershire</v>
          </cell>
          <cell r="E2099">
            <v>2096</v>
          </cell>
          <cell r="F2099" t="str">
            <v>Sue Harp</v>
          </cell>
          <cell r="G2099" t="str">
            <v>Stathern Primary School</v>
          </cell>
          <cell r="H2099" t="str">
            <v>East Midlands</v>
          </cell>
          <cell r="I2099" t="str">
            <v>Water Lane</v>
          </cell>
          <cell r="J2099" t="str">
            <v>Strathern</v>
          </cell>
          <cell r="L2099" t="str">
            <v>Melton Mowbray</v>
          </cell>
          <cell r="M2099" t="str">
            <v>Leicestershire</v>
          </cell>
          <cell r="N2099" t="str">
            <v>LE14 4HX</v>
          </cell>
          <cell r="O2099" t="str">
            <v>headteacher@stathern.leics.sch.uk</v>
          </cell>
        </row>
        <row r="2100">
          <cell r="A2100">
            <v>8655202</v>
          </cell>
          <cell r="B2100">
            <v>126476</v>
          </cell>
          <cell r="C2100">
            <v>865</v>
          </cell>
          <cell r="D2100" t="str">
            <v>Wiltshire</v>
          </cell>
          <cell r="E2100">
            <v>5202</v>
          </cell>
          <cell r="F2100" t="str">
            <v>Niko Thomas</v>
          </cell>
          <cell r="G2100" t="str">
            <v>Kings Park Primary School</v>
          </cell>
          <cell r="H2100" t="str">
            <v>South West</v>
          </cell>
          <cell r="I2100" t="str">
            <v>Lowbourne</v>
          </cell>
          <cell r="L2100" t="str">
            <v>Melksham</v>
          </cell>
          <cell r="M2100" t="str">
            <v>Wiltshire</v>
          </cell>
          <cell r="N2100" t="str">
            <v>SN12 7ED</v>
          </cell>
          <cell r="O2100" t="str">
            <v>head@kingsparkprimary.wilts.sch.uk</v>
          </cell>
        </row>
        <row r="2101">
          <cell r="A2101">
            <v>8612111</v>
          </cell>
          <cell r="B2101">
            <v>124025</v>
          </cell>
          <cell r="C2101">
            <v>861</v>
          </cell>
          <cell r="D2101" t="str">
            <v>Stoke-on-Trent</v>
          </cell>
          <cell r="E2101">
            <v>2111</v>
          </cell>
          <cell r="F2101" t="str">
            <v>Julia Waterhouse</v>
          </cell>
          <cell r="G2101" t="str">
            <v>Greenways Primary School</v>
          </cell>
          <cell r="H2101" t="str">
            <v>West Midlands</v>
          </cell>
          <cell r="I2101" t="str">
            <v>Nursery Avenue</v>
          </cell>
          <cell r="J2101" t="str">
            <v>Stockton Brook</v>
          </cell>
          <cell r="L2101" t="str">
            <v>Stoke-on-Trent</v>
          </cell>
          <cell r="M2101" t="str">
            <v>Staffordshire</v>
          </cell>
          <cell r="N2101" t="str">
            <v>ST9 9NY</v>
          </cell>
          <cell r="O2101" t="str">
            <v>jdean@sgfl.org.uk</v>
          </cell>
        </row>
        <row r="2102">
          <cell r="A2102">
            <v>3344020</v>
          </cell>
          <cell r="B2102">
            <v>104114</v>
          </cell>
          <cell r="C2102">
            <v>334</v>
          </cell>
          <cell r="D2102" t="str">
            <v>Solihull</v>
          </cell>
          <cell r="E2102">
            <v>4020</v>
          </cell>
          <cell r="F2102" t="str">
            <v>Alison Middleton</v>
          </cell>
          <cell r="G2102" t="str">
            <v>Lyndon School Humanities College</v>
          </cell>
          <cell r="H2102" t="str">
            <v>West Midlands</v>
          </cell>
          <cell r="I2102" t="str">
            <v>Daylesford Road</v>
          </cell>
          <cell r="L2102" t="str">
            <v>Solihull</v>
          </cell>
          <cell r="M2102" t="str">
            <v>West Midlands</v>
          </cell>
          <cell r="N2102" t="str">
            <v>B92 8EJ</v>
          </cell>
          <cell r="O2102" t="str">
            <v>s209swestwood@lyndon.solihull.sch.uk</v>
          </cell>
        </row>
        <row r="2103">
          <cell r="A2103">
            <v>9354072</v>
          </cell>
          <cell r="B2103">
            <v>124832</v>
          </cell>
          <cell r="C2103">
            <v>935</v>
          </cell>
          <cell r="D2103" t="str">
            <v>Suffolk</v>
          </cell>
          <cell r="E2103">
            <v>4072</v>
          </cell>
          <cell r="F2103" t="str">
            <v>Claire Ivie</v>
          </cell>
          <cell r="G2103" t="str">
            <v>Needham Market Middle School</v>
          </cell>
          <cell r="H2103" t="str">
            <v>East of England</v>
          </cell>
          <cell r="I2103" t="str">
            <v>Needham Market</v>
          </cell>
          <cell r="J2103" t="str">
            <v>School Street</v>
          </cell>
          <cell r="K2103" t="str">
            <v>Needham Market</v>
          </cell>
          <cell r="L2103" t="str">
            <v>Ipswich</v>
          </cell>
          <cell r="M2103" t="str">
            <v>Suffolk</v>
          </cell>
          <cell r="N2103" t="str">
            <v>IP6 8BB</v>
          </cell>
          <cell r="O2103" t="str">
            <v>head@nmms.org.uk</v>
          </cell>
          <cell r="P2103">
            <v>40571</v>
          </cell>
        </row>
        <row r="2104">
          <cell r="A2104">
            <v>3702041</v>
          </cell>
          <cell r="B2104">
            <v>106572</v>
          </cell>
          <cell r="C2104">
            <v>370</v>
          </cell>
          <cell r="D2104" t="str">
            <v>Barnsley</v>
          </cell>
          <cell r="E2104">
            <v>2041</v>
          </cell>
          <cell r="F2104" t="str">
            <v>Lisa Sargeant</v>
          </cell>
          <cell r="G2104" t="str">
            <v>The Hill Primary School</v>
          </cell>
          <cell r="H2104" t="str">
            <v>Yorkshire and the Humber</v>
          </cell>
          <cell r="I2104" t="str">
            <v>Tudor Street</v>
          </cell>
          <cell r="J2104" t="str">
            <v>Thurnscoe</v>
          </cell>
          <cell r="L2104" t="str">
            <v>Rotherham</v>
          </cell>
          <cell r="M2104" t="str">
            <v>South Yorkshire</v>
          </cell>
          <cell r="N2104" t="str">
            <v>S63 0DS</v>
          </cell>
          <cell r="O2104" t="str">
            <v>s.creighton@barnsley.org</v>
          </cell>
        </row>
        <row r="2105">
          <cell r="A2105">
            <v>8264077</v>
          </cell>
          <cell r="B2105">
            <v>110502</v>
          </cell>
          <cell r="C2105">
            <v>826</v>
          </cell>
          <cell r="D2105" t="str">
            <v>Milton Keynes</v>
          </cell>
          <cell r="E2105">
            <v>4077</v>
          </cell>
          <cell r="F2105" t="str">
            <v>Lin Houston</v>
          </cell>
          <cell r="G2105" t="str">
            <v>Leon School and Sports College</v>
          </cell>
          <cell r="H2105" t="str">
            <v>South East</v>
          </cell>
          <cell r="I2105" t="str">
            <v>Fern Grove</v>
          </cell>
          <cell r="J2105" t="str">
            <v>Bletchley</v>
          </cell>
          <cell r="L2105" t="str">
            <v>Milton Keynes</v>
          </cell>
          <cell r="M2105" t="str">
            <v>Buckinghamshire</v>
          </cell>
          <cell r="N2105" t="str">
            <v>MK2 3HQ</v>
          </cell>
          <cell r="P2105">
            <v>40742</v>
          </cell>
        </row>
        <row r="2106">
          <cell r="A2106">
            <v>8743380</v>
          </cell>
          <cell r="B2106">
            <v>110856</v>
          </cell>
          <cell r="C2106">
            <v>874</v>
          </cell>
          <cell r="D2106" t="str">
            <v>Peterborough</v>
          </cell>
          <cell r="E2106">
            <v>3380</v>
          </cell>
          <cell r="F2106" t="str">
            <v>Joe Farrell</v>
          </cell>
          <cell r="G2106" t="str">
            <v>St John's Church School</v>
          </cell>
          <cell r="H2106" t="str">
            <v>East of England</v>
          </cell>
          <cell r="I2106" t="str">
            <v>Riseholme</v>
          </cell>
          <cell r="J2106" t="str">
            <v>Orton Goldhay</v>
          </cell>
          <cell r="L2106" t="str">
            <v>Peterborough</v>
          </cell>
          <cell r="M2106" t="str">
            <v>Cambridgeshire</v>
          </cell>
          <cell r="N2106" t="str">
            <v>PE2 5SP</v>
          </cell>
        </row>
        <row r="2107">
          <cell r="A2107">
            <v>3732339</v>
          </cell>
          <cell r="B2107">
            <v>107082</v>
          </cell>
          <cell r="C2107">
            <v>373</v>
          </cell>
          <cell r="D2107" t="str">
            <v>Sheffield</v>
          </cell>
          <cell r="E2107">
            <v>2339</v>
          </cell>
          <cell r="F2107" t="str">
            <v>Bev Annables</v>
          </cell>
          <cell r="G2107" t="str">
            <v>Hillsborough Primary School</v>
          </cell>
          <cell r="H2107" t="str">
            <v>Yorkshire and the Humber</v>
          </cell>
          <cell r="I2107" t="str">
            <v>Parkside Road</v>
          </cell>
          <cell r="L2107" t="str">
            <v>Sheffield</v>
          </cell>
          <cell r="M2107" t="str">
            <v>South Yorkshire</v>
          </cell>
          <cell r="N2107" t="str">
            <v>S6 2AA</v>
          </cell>
          <cell r="O2107" t="str">
            <v>headteacher@hillsborough.sheffield.sch.uk</v>
          </cell>
        </row>
        <row r="2108">
          <cell r="A2108">
            <v>8554503</v>
          </cell>
          <cell r="B2108">
            <v>120300</v>
          </cell>
          <cell r="C2108">
            <v>855</v>
          </cell>
          <cell r="D2108" t="str">
            <v>Leicestershire</v>
          </cell>
          <cell r="E2108">
            <v>4503</v>
          </cell>
          <cell r="F2108" t="str">
            <v>Stephen Standret</v>
          </cell>
          <cell r="G2108" t="str">
            <v>Lutterworth College</v>
          </cell>
          <cell r="H2108" t="str">
            <v>East Midlands</v>
          </cell>
          <cell r="I2108" t="str">
            <v>Bitteswell Road</v>
          </cell>
          <cell r="L2108" t="str">
            <v>Lutterworth</v>
          </cell>
          <cell r="M2108" t="str">
            <v>Leicestershire</v>
          </cell>
          <cell r="N2108" t="str">
            <v>LE17 4EW</v>
          </cell>
          <cell r="O2108" t="str">
            <v>principalspa@lc.leics.sch.uk</v>
          </cell>
          <cell r="P2108">
            <v>40919</v>
          </cell>
        </row>
        <row r="2109">
          <cell r="A2109">
            <v>8123518</v>
          </cell>
          <cell r="B2109">
            <v>131230</v>
          </cell>
          <cell r="C2109">
            <v>812</v>
          </cell>
          <cell r="D2109" t="str">
            <v>North East Lincolnshire</v>
          </cell>
          <cell r="E2109">
            <v>3518</v>
          </cell>
          <cell r="F2109" t="str">
            <v>John Edmunds</v>
          </cell>
          <cell r="G2109" t="str">
            <v>Waltham Leas Primary School</v>
          </cell>
          <cell r="H2109" t="str">
            <v>Yorkshire and the Humber</v>
          </cell>
          <cell r="I2109" t="str">
            <v>Manor Drive</v>
          </cell>
          <cell r="J2109" t="str">
            <v>Waltham</v>
          </cell>
          <cell r="L2109" t="str">
            <v>Grimsby</v>
          </cell>
          <cell r="M2109" t="str">
            <v>North East Lincolnshire</v>
          </cell>
          <cell r="N2109" t="str">
            <v>DN37 0NU</v>
          </cell>
          <cell r="O2109" t="str">
            <v>headteacher@wlps.nelcmail.co.uk</v>
          </cell>
          <cell r="P2109">
            <v>40686</v>
          </cell>
        </row>
        <row r="2110">
          <cell r="A2110">
            <v>8812026</v>
          </cell>
          <cell r="B2110">
            <v>114721</v>
          </cell>
          <cell r="C2110">
            <v>881</v>
          </cell>
          <cell r="D2110" t="str">
            <v>Essex</v>
          </cell>
          <cell r="E2110">
            <v>2026</v>
          </cell>
          <cell r="F2110" t="str">
            <v>Aminat Alli</v>
          </cell>
          <cell r="G2110" t="str">
            <v>Alton Park Junior School</v>
          </cell>
          <cell r="H2110" t="str">
            <v>East of England</v>
          </cell>
          <cell r="I2110" t="str">
            <v>Alton Park Road</v>
          </cell>
          <cell r="L2110" t="str">
            <v>Clacton-on-Sea</v>
          </cell>
          <cell r="M2110" t="str">
            <v>Essex</v>
          </cell>
          <cell r="N2110" t="str">
            <v>CO15 1DL</v>
          </cell>
          <cell r="O2110" t="str">
            <v>head@altonpark.essex.sch.uk</v>
          </cell>
        </row>
        <row r="2111">
          <cell r="A2111">
            <v>8812080</v>
          </cell>
          <cell r="B2111">
            <v>131207</v>
          </cell>
          <cell r="C2111">
            <v>881</v>
          </cell>
          <cell r="D2111" t="str">
            <v>Essex</v>
          </cell>
          <cell r="E2111">
            <v>2080</v>
          </cell>
          <cell r="F2111" t="str">
            <v>Dervise Ali-Riza</v>
          </cell>
          <cell r="G2111" t="str">
            <v>Lyons Hall School</v>
          </cell>
          <cell r="H2111" t="str">
            <v>East of England</v>
          </cell>
          <cell r="I2111" t="str">
            <v>Deerleap Way</v>
          </cell>
          <cell r="L2111" t="str">
            <v>Braintree</v>
          </cell>
          <cell r="M2111" t="str">
            <v>Essex</v>
          </cell>
          <cell r="N2111" t="str">
            <v>CM7 9FH</v>
          </cell>
          <cell r="O2111" t="str">
            <v>admin@lyonshall.essex.sch.uk</v>
          </cell>
          <cell r="P2111">
            <v>40834</v>
          </cell>
        </row>
        <row r="2112">
          <cell r="A2112">
            <v>8835440</v>
          </cell>
          <cell r="B2112">
            <v>115356</v>
          </cell>
          <cell r="C2112">
            <v>883</v>
          </cell>
          <cell r="D2112" t="str">
            <v>Thurrock</v>
          </cell>
          <cell r="E2112">
            <v>5440</v>
          </cell>
          <cell r="F2112" t="str">
            <v>Stella Aina</v>
          </cell>
          <cell r="G2112" t="str">
            <v>St Clere's School</v>
          </cell>
          <cell r="H2112" t="str">
            <v>East of England</v>
          </cell>
          <cell r="I2112" t="str">
            <v>Butts Lane</v>
          </cell>
          <cell r="L2112" t="str">
            <v>Stanford-le-Hope</v>
          </cell>
          <cell r="M2112" t="str">
            <v>Essex</v>
          </cell>
          <cell r="N2112" t="str">
            <v>SS17 0NW</v>
          </cell>
          <cell r="O2112" t="str">
            <v>paul.griffiths@st-cleres.thurrock.sch.uk</v>
          </cell>
          <cell r="P2112">
            <v>40689</v>
          </cell>
        </row>
        <row r="2113">
          <cell r="A2113">
            <v>3802073</v>
          </cell>
          <cell r="B2113">
            <v>107232</v>
          </cell>
          <cell r="C2113">
            <v>380</v>
          </cell>
          <cell r="D2113" t="str">
            <v>Bradford</v>
          </cell>
          <cell r="E2113">
            <v>2073</v>
          </cell>
          <cell r="F2113" t="str">
            <v>Adriarna Goodinson</v>
          </cell>
          <cell r="G2113" t="str">
            <v>Whetley Primary School</v>
          </cell>
          <cell r="H2113" t="str">
            <v>Yorkshire and the Humber</v>
          </cell>
          <cell r="I2113" t="str">
            <v>Whetley Lane</v>
          </cell>
          <cell r="L2113" t="str">
            <v>Bradford</v>
          </cell>
          <cell r="M2113" t="str">
            <v>West Yorkshire</v>
          </cell>
          <cell r="N2113" t="str">
            <v>BD8 9HZ</v>
          </cell>
          <cell r="O2113" t="str">
            <v>tgavins@whetley.bradford.sch.uk</v>
          </cell>
        </row>
        <row r="2114">
          <cell r="A2114">
            <v>3034008</v>
          </cell>
          <cell r="B2114">
            <v>101465</v>
          </cell>
          <cell r="C2114">
            <v>303</v>
          </cell>
          <cell r="D2114" t="str">
            <v>Bexley</v>
          </cell>
          <cell r="E2114">
            <v>4008</v>
          </cell>
          <cell r="F2114" t="str">
            <v>Sheila Longstaff</v>
          </cell>
          <cell r="G2114" t="str">
            <v>Blackfen School for Girls</v>
          </cell>
          <cell r="H2114" t="str">
            <v>London</v>
          </cell>
          <cell r="I2114" t="str">
            <v>Blackfen Road</v>
          </cell>
          <cell r="L2114" t="str">
            <v>Sidcup</v>
          </cell>
          <cell r="M2114" t="str">
            <v>Kent</v>
          </cell>
          <cell r="N2114" t="str">
            <v>DA15 9NU</v>
          </cell>
          <cell r="O2114" t="str">
            <v>mbr@blackfen.bexley.sch.uk</v>
          </cell>
          <cell r="P2114">
            <v>40865</v>
          </cell>
        </row>
        <row r="2115">
          <cell r="A2115">
            <v>8553014</v>
          </cell>
          <cell r="B2115">
            <v>120118</v>
          </cell>
          <cell r="C2115">
            <v>855</v>
          </cell>
          <cell r="D2115" t="str">
            <v>Leicestershire</v>
          </cell>
          <cell r="E2115">
            <v>3014</v>
          </cell>
          <cell r="F2115" t="str">
            <v>Sue Harp</v>
          </cell>
          <cell r="G2115" t="str">
            <v>Bottesford Church of England Primary School</v>
          </cell>
          <cell r="H2115" t="str">
            <v>East Midlands</v>
          </cell>
          <cell r="I2115" t="str">
            <v>Silverwood Road</v>
          </cell>
          <cell r="J2115" t="str">
            <v>Bottesford</v>
          </cell>
          <cell r="L2115" t="str">
            <v>Nottingham</v>
          </cell>
          <cell r="M2115" t="str">
            <v>Nottinghamshire</v>
          </cell>
          <cell r="N2115" t="str">
            <v>NG13 0BS</v>
          </cell>
          <cell r="O2115" t="str">
            <v>lmcgrory@bottesford.leics.sch.uk</v>
          </cell>
          <cell r="P2115">
            <v>41052</v>
          </cell>
        </row>
        <row r="2116">
          <cell r="A2116">
            <v>9365407</v>
          </cell>
          <cell r="B2116">
            <v>125307</v>
          </cell>
          <cell r="C2116">
            <v>936</v>
          </cell>
          <cell r="D2116" t="str">
            <v>Surrey</v>
          </cell>
          <cell r="E2116">
            <v>5407</v>
          </cell>
          <cell r="F2116" t="str">
            <v>Tony Dunne</v>
          </cell>
          <cell r="G2116" t="str">
            <v>Rosebery School</v>
          </cell>
          <cell r="H2116" t="str">
            <v>South East</v>
          </cell>
          <cell r="I2116" t="str">
            <v>White Horse Drive</v>
          </cell>
          <cell r="L2116" t="str">
            <v>Epsom</v>
          </cell>
          <cell r="M2116" t="str">
            <v>Surrey</v>
          </cell>
          <cell r="N2116" t="str">
            <v>KT18 7NQ</v>
          </cell>
          <cell r="O2116" t="str">
            <v>smackintosh@rosebery.surrey.sch.uk</v>
          </cell>
          <cell r="P2116">
            <v>40654</v>
          </cell>
        </row>
        <row r="2117">
          <cell r="A2117">
            <v>8872209</v>
          </cell>
          <cell r="B2117">
            <v>118324</v>
          </cell>
          <cell r="C2117">
            <v>887</v>
          </cell>
          <cell r="D2117" t="str">
            <v>Medway</v>
          </cell>
          <cell r="E2117">
            <v>2209</v>
          </cell>
          <cell r="F2117" t="str">
            <v>Sarah Mitchell</v>
          </cell>
          <cell r="G2117" t="str">
            <v>Chattenden Primary School</v>
          </cell>
          <cell r="H2117" t="str">
            <v>South East</v>
          </cell>
          <cell r="I2117" t="str">
            <v>Chattenden Lane</v>
          </cell>
          <cell r="J2117" t="str">
            <v>Chattenden</v>
          </cell>
          <cell r="L2117" t="str">
            <v>Rochester</v>
          </cell>
          <cell r="M2117" t="str">
            <v>Kent</v>
          </cell>
          <cell r="N2117" t="str">
            <v>ME3 8LF</v>
          </cell>
          <cell r="O2117" t="str">
            <v>waldh002@medway.org.uk</v>
          </cell>
          <cell r="P2117">
            <v>40939</v>
          </cell>
        </row>
        <row r="2118">
          <cell r="A2118">
            <v>9192314</v>
          </cell>
          <cell r="B2118">
            <v>117270</v>
          </cell>
          <cell r="C2118">
            <v>919</v>
          </cell>
          <cell r="D2118" t="str">
            <v>Hertfordshire</v>
          </cell>
          <cell r="E2118">
            <v>2314</v>
          </cell>
          <cell r="G2118" t="str">
            <v>Westfield Community Primary School</v>
          </cell>
          <cell r="H2118" t="str">
            <v>East of England</v>
          </cell>
          <cell r="I2118" t="str">
            <v>Westfield Road</v>
          </cell>
          <cell r="L2118" t="str">
            <v>Hoddesdon</v>
          </cell>
          <cell r="M2118" t="str">
            <v>Hertfordshire</v>
          </cell>
          <cell r="N2118" t="str">
            <v>EN11 8RA</v>
          </cell>
          <cell r="O2118" t="str">
            <v>head@westfieldjm.herts.sch.uk</v>
          </cell>
        </row>
        <row r="2119">
          <cell r="A2119">
            <v>8882833</v>
          </cell>
          <cell r="B2119">
            <v>130261</v>
          </cell>
          <cell r="C2119">
            <v>888</v>
          </cell>
          <cell r="D2119" t="str">
            <v>Lancashire</v>
          </cell>
          <cell r="E2119">
            <v>2833</v>
          </cell>
          <cell r="F2119" t="str">
            <v>Christine West</v>
          </cell>
          <cell r="G2119" t="str">
            <v>Longsands Community Primary School</v>
          </cell>
          <cell r="H2119" t="str">
            <v>North West</v>
          </cell>
          <cell r="I2119" t="str">
            <v>Longsands Lane</v>
          </cell>
          <cell r="J2119" t="str">
            <v>Fulwood</v>
          </cell>
          <cell r="L2119" t="str">
            <v>Preston</v>
          </cell>
          <cell r="M2119" t="str">
            <v>Lancashire</v>
          </cell>
          <cell r="N2119" t="str">
            <v>PR2 9PS</v>
          </cell>
          <cell r="O2119" t="str">
            <v>head@longsands.lancsngfl.ac.uk</v>
          </cell>
        </row>
        <row r="2120">
          <cell r="A2120">
            <v>8865464</v>
          </cell>
          <cell r="B2120">
            <v>118841</v>
          </cell>
          <cell r="C2120">
            <v>886</v>
          </cell>
          <cell r="D2120" t="str">
            <v>Kent</v>
          </cell>
          <cell r="E2120">
            <v>5464</v>
          </cell>
          <cell r="F2120" t="str">
            <v>Sarah Mitchell</v>
          </cell>
          <cell r="G2120" t="str">
            <v>Bennett Memorial Diocesan School</v>
          </cell>
          <cell r="H2120" t="str">
            <v>South East</v>
          </cell>
          <cell r="I2120" t="str">
            <v>Culverden Down</v>
          </cell>
          <cell r="L2120" t="str">
            <v>Tunbridge Wells</v>
          </cell>
          <cell r="M2120" t="str">
            <v>Kent</v>
          </cell>
          <cell r="N2120" t="str">
            <v>TN4 9SH</v>
          </cell>
          <cell r="O2120" t="str">
            <v>head@bennett.kent.sch.uk</v>
          </cell>
          <cell r="P2120">
            <v>40634</v>
          </cell>
        </row>
        <row r="2121">
          <cell r="A2121">
            <v>9262142</v>
          </cell>
          <cell r="B2121">
            <v>120851</v>
          </cell>
          <cell r="C2121">
            <v>926</v>
          </cell>
          <cell r="D2121" t="str">
            <v>Norfolk</v>
          </cell>
          <cell r="E2121">
            <v>2142</v>
          </cell>
          <cell r="F2121" t="str">
            <v>Not yet assigned</v>
          </cell>
          <cell r="G2121" t="str">
            <v>Sheringham Community Primary School</v>
          </cell>
          <cell r="H2121" t="str">
            <v>East of England</v>
          </cell>
          <cell r="I2121" t="str">
            <v>Cooper Road</v>
          </cell>
          <cell r="J2121" t="str">
            <v>Off Holway Road</v>
          </cell>
          <cell r="L2121" t="str">
            <v>Sheringham</v>
          </cell>
          <cell r="M2121" t="str">
            <v>Norfolk</v>
          </cell>
          <cell r="N2121" t="str">
            <v>NR26 8UH</v>
          </cell>
          <cell r="O2121" t="str">
            <v>head@sheringhamprimary.norfolk.sch.uk</v>
          </cell>
        </row>
        <row r="2122">
          <cell r="A2122">
            <v>8553012</v>
          </cell>
          <cell r="B2122">
            <v>120116</v>
          </cell>
          <cell r="C2122">
            <v>855</v>
          </cell>
          <cell r="D2122" t="str">
            <v>Leicestershire</v>
          </cell>
          <cell r="E2122">
            <v>3012</v>
          </cell>
          <cell r="F2122" t="str">
            <v>Sue Harp</v>
          </cell>
          <cell r="G2122" t="str">
            <v>Blaby Stokes Church of England Primary School</v>
          </cell>
          <cell r="H2122" t="str">
            <v>East Midlands</v>
          </cell>
          <cell r="I2122" t="str">
            <v>Queen's Road</v>
          </cell>
          <cell r="J2122" t="str">
            <v>Blaby</v>
          </cell>
          <cell r="L2122" t="str">
            <v>Leicester</v>
          </cell>
          <cell r="M2122" t="str">
            <v>Leicestershire</v>
          </cell>
          <cell r="N2122" t="str">
            <v>LE8 4EG</v>
          </cell>
          <cell r="O2122" t="str">
            <v>admin@stokes.leics.sch.uk</v>
          </cell>
        </row>
        <row r="2123">
          <cell r="A2123">
            <v>8354035</v>
          </cell>
          <cell r="B2123">
            <v>113863</v>
          </cell>
          <cell r="C2123">
            <v>835</v>
          </cell>
          <cell r="D2123" t="str">
            <v>Dorset</v>
          </cell>
          <cell r="E2123">
            <v>4035</v>
          </cell>
          <cell r="F2123" t="str">
            <v>Tahamina Khan</v>
          </cell>
          <cell r="G2123" t="str">
            <v>Lytchett Minster School</v>
          </cell>
          <cell r="H2123" t="str">
            <v>South West</v>
          </cell>
          <cell r="I2123" t="str">
            <v>Lytchett Minster</v>
          </cell>
          <cell r="L2123" t="str">
            <v>Poole</v>
          </cell>
          <cell r="M2123" t="str">
            <v>Dorset</v>
          </cell>
          <cell r="N2123" t="str">
            <v>BH16 6JD</v>
          </cell>
          <cell r="O2123" t="str">
            <v>srclark.lytchett@btinternet.com</v>
          </cell>
        </row>
        <row r="2124">
          <cell r="A2124">
            <v>8735411</v>
          </cell>
          <cell r="B2124">
            <v>110905</v>
          </cell>
          <cell r="C2124">
            <v>873</v>
          </cell>
          <cell r="D2124" t="str">
            <v>Cambridgeshire</v>
          </cell>
          <cell r="E2124">
            <v>5411</v>
          </cell>
          <cell r="F2124" t="str">
            <v>Yvonne Reddington</v>
          </cell>
          <cell r="G2124" t="str">
            <v>Longsands College</v>
          </cell>
          <cell r="H2124" t="str">
            <v>East of England</v>
          </cell>
          <cell r="I2124" t="str">
            <v>Longsands Road</v>
          </cell>
          <cell r="L2124" t="str">
            <v>St Neots</v>
          </cell>
          <cell r="M2124" t="str">
            <v>Cambridgeshire</v>
          </cell>
          <cell r="N2124" t="str">
            <v>PE19 1LQ</v>
          </cell>
          <cell r="O2124" t="str">
            <v>principal@longsands.cambs.sch.uk</v>
          </cell>
          <cell r="P2124">
            <v>40634</v>
          </cell>
        </row>
        <row r="2125">
          <cell r="A2125">
            <v>3802184</v>
          </cell>
          <cell r="B2125">
            <v>107295</v>
          </cell>
          <cell r="C2125">
            <v>380</v>
          </cell>
          <cell r="D2125" t="str">
            <v>Bradford</v>
          </cell>
          <cell r="E2125">
            <v>2184</v>
          </cell>
          <cell r="F2125" t="str">
            <v>Glyn Newton</v>
          </cell>
          <cell r="G2125" t="str">
            <v>Atlas Community Primary School</v>
          </cell>
          <cell r="H2125" t="str">
            <v>Yorkshire and the Humber</v>
          </cell>
          <cell r="I2125" t="str">
            <v>Lincoln Close</v>
          </cell>
          <cell r="J2125" t="str">
            <v>Manningham</v>
          </cell>
          <cell r="L2125" t="str">
            <v>Bradford</v>
          </cell>
          <cell r="M2125" t="str">
            <v>West Yorkshire</v>
          </cell>
          <cell r="N2125" t="str">
            <v>BD8 8DL</v>
          </cell>
          <cell r="O2125" t="str">
            <v>ccarr@atlas.bradford.sch.uk</v>
          </cell>
        </row>
        <row r="2126">
          <cell r="A2126">
            <v>8254082</v>
          </cell>
          <cell r="B2126">
            <v>110505</v>
          </cell>
          <cell r="C2126">
            <v>825</v>
          </cell>
          <cell r="D2126" t="str">
            <v>Buckinghamshire</v>
          </cell>
          <cell r="E2126">
            <v>4082</v>
          </cell>
          <cell r="F2126" t="str">
            <v>Darren Francis</v>
          </cell>
          <cell r="G2126" t="str">
            <v>The Beaconsfield School</v>
          </cell>
          <cell r="H2126" t="str">
            <v>South East</v>
          </cell>
          <cell r="I2126" t="str">
            <v>Wattleton Road</v>
          </cell>
          <cell r="L2126" t="str">
            <v>Beaconsfield</v>
          </cell>
          <cell r="M2126" t="str">
            <v>Buckinghamshire</v>
          </cell>
          <cell r="N2126" t="str">
            <v>HP9 1SJ</v>
          </cell>
          <cell r="O2126" t="str">
            <v>john.fletcher@beaconsfield.bucks.sch.uk</v>
          </cell>
          <cell r="P2126">
            <v>41004</v>
          </cell>
        </row>
        <row r="2127">
          <cell r="A2127">
            <v>9264084</v>
          </cell>
          <cell r="B2127">
            <v>121181</v>
          </cell>
          <cell r="C2127">
            <v>926</v>
          </cell>
          <cell r="D2127" t="str">
            <v>Norfolk</v>
          </cell>
          <cell r="E2127">
            <v>4084</v>
          </cell>
          <cell r="F2127" t="str">
            <v>Beverley Samuel</v>
          </cell>
          <cell r="G2127" t="str">
            <v>Taverham High School</v>
          </cell>
          <cell r="H2127" t="str">
            <v>East of England</v>
          </cell>
          <cell r="I2127" t="str">
            <v>Beech Avenue</v>
          </cell>
          <cell r="J2127" t="str">
            <v>Taverham</v>
          </cell>
          <cell r="L2127" t="str">
            <v>Norwich</v>
          </cell>
          <cell r="M2127" t="str">
            <v>Norfolk</v>
          </cell>
          <cell r="N2127" t="str">
            <v>NR8 6HP</v>
          </cell>
          <cell r="O2127" t="str">
            <v>head@taverhamhigh.norfolk.sch.uk</v>
          </cell>
          <cell r="P2127">
            <v>40970</v>
          </cell>
        </row>
        <row r="2128">
          <cell r="A2128">
            <v>8553341</v>
          </cell>
          <cell r="B2128">
            <v>120215</v>
          </cell>
          <cell r="C2128">
            <v>855</v>
          </cell>
          <cell r="D2128" t="str">
            <v>Leicestershire</v>
          </cell>
          <cell r="E2128">
            <v>3341</v>
          </cell>
          <cell r="F2128" t="str">
            <v>Grant Dyson</v>
          </cell>
          <cell r="G2128" t="str">
            <v>Sacred Heart Catholic Primary School, Loughborough, Leicestershire</v>
          </cell>
          <cell r="H2128" t="str">
            <v>East Midlands</v>
          </cell>
          <cell r="I2128" t="str">
            <v>Beacon Road</v>
          </cell>
          <cell r="L2128" t="str">
            <v>Loughborough</v>
          </cell>
          <cell r="M2128" t="str">
            <v>Leicestershire</v>
          </cell>
          <cell r="N2128" t="str">
            <v>LE11 2BG</v>
          </cell>
          <cell r="O2128" t="str">
            <v>pgiorgio@sacredheart.leics.sch.uk</v>
          </cell>
          <cell r="P2128">
            <v>41002</v>
          </cell>
        </row>
        <row r="2129">
          <cell r="A2129">
            <v>3025401</v>
          </cell>
          <cell r="B2129">
            <v>101358</v>
          </cell>
          <cell r="C2129">
            <v>302</v>
          </cell>
          <cell r="D2129" t="str">
            <v>Barnet</v>
          </cell>
          <cell r="E2129">
            <v>5401</v>
          </cell>
          <cell r="F2129" t="str">
            <v>Allan Thomson</v>
          </cell>
          <cell r="G2129" t="str">
            <v>Queen Elizabeth's School, Barnet</v>
          </cell>
          <cell r="H2129" t="str">
            <v>London</v>
          </cell>
          <cell r="I2129" t="str">
            <v>Queen's Road</v>
          </cell>
          <cell r="L2129" t="str">
            <v>Barnet</v>
          </cell>
          <cell r="M2129" t="str">
            <v>Hertfordshire</v>
          </cell>
          <cell r="N2129" t="str">
            <v>EN5 4DQ</v>
          </cell>
          <cell r="O2129" t="str">
            <v>jmarincowitz@qebarnet.co.uk</v>
          </cell>
          <cell r="P2129">
            <v>40346</v>
          </cell>
        </row>
        <row r="2130">
          <cell r="A2130">
            <v>3577001</v>
          </cell>
          <cell r="B2130">
            <v>106277</v>
          </cell>
          <cell r="C2130">
            <v>357</v>
          </cell>
          <cell r="D2130" t="str">
            <v>Tameside</v>
          </cell>
          <cell r="E2130">
            <v>7001</v>
          </cell>
          <cell r="F2130" t="str">
            <v>Stuart Mepham</v>
          </cell>
          <cell r="G2130" t="str">
            <v>Hawthorns Community School</v>
          </cell>
          <cell r="H2130" t="str">
            <v>North West</v>
          </cell>
          <cell r="I2130" t="str">
            <v>Sunnyside Moss Campus</v>
          </cell>
          <cell r="J2130" t="str">
            <v>Lumb Lane</v>
          </cell>
          <cell r="K2130" t="str">
            <v>Audenshaw</v>
          </cell>
          <cell r="L2130" t="str">
            <v>Manchester</v>
          </cell>
          <cell r="N2130" t="str">
            <v>M34 5SF</v>
          </cell>
          <cell r="O2130" t="str">
            <v>moira.thompson@hawthorns.tameside.sch.uk</v>
          </cell>
          <cell r="P2130">
            <v>41207</v>
          </cell>
        </row>
        <row r="2131">
          <cell r="A2131">
            <v>9084135</v>
          </cell>
          <cell r="B2131">
            <v>112038</v>
          </cell>
          <cell r="C2131">
            <v>908</v>
          </cell>
          <cell r="D2131" t="str">
            <v>Cornwall</v>
          </cell>
          <cell r="E2131">
            <v>4135</v>
          </cell>
          <cell r="F2131" t="str">
            <v>Tahamina Khan</v>
          </cell>
          <cell r="G2131" t="str">
            <v>Treviglas Community College</v>
          </cell>
          <cell r="H2131" t="str">
            <v>South West</v>
          </cell>
          <cell r="I2131" t="str">
            <v>Bradley Road</v>
          </cell>
          <cell r="L2131" t="str">
            <v>Newquay</v>
          </cell>
          <cell r="M2131" t="str">
            <v>Cornwall</v>
          </cell>
          <cell r="N2131" t="str">
            <v>TR7 3JA</v>
          </cell>
          <cell r="O2131" t="str">
            <v>ros@treviglas.cornwall.sch.uk</v>
          </cell>
        </row>
        <row r="2132">
          <cell r="A2132">
            <v>9095407</v>
          </cell>
          <cell r="B2132">
            <v>112434</v>
          </cell>
          <cell r="C2132">
            <v>909</v>
          </cell>
          <cell r="D2132" t="str">
            <v>Cumbria</v>
          </cell>
          <cell r="E2132">
            <v>5407</v>
          </cell>
          <cell r="F2132" t="str">
            <v>Linda Tiley</v>
          </cell>
          <cell r="G2132" t="str">
            <v>Appleby Grammar School</v>
          </cell>
          <cell r="H2132" t="str">
            <v>North West</v>
          </cell>
          <cell r="I2132" t="str">
            <v>Battlebarrow</v>
          </cell>
          <cell r="L2132" t="str">
            <v>Appleby-in-Westmorland</v>
          </cell>
          <cell r="M2132" t="str">
            <v>Cumbria</v>
          </cell>
          <cell r="N2132" t="str">
            <v>CA16 6XU</v>
          </cell>
          <cell r="O2132" t="str">
            <v>admin@appleby.cumbria.sch.uk</v>
          </cell>
          <cell r="P2132">
            <v>40623</v>
          </cell>
        </row>
        <row r="2133">
          <cell r="A2133">
            <v>8234007</v>
          </cell>
          <cell r="B2133">
            <v>109647</v>
          </cell>
          <cell r="C2133">
            <v>823</v>
          </cell>
          <cell r="D2133" t="str">
            <v>Central Bedfordshire</v>
          </cell>
          <cell r="E2133">
            <v>4007</v>
          </cell>
          <cell r="F2133" t="str">
            <v>Claire Ivie</v>
          </cell>
          <cell r="G2133" t="str">
            <v>Priory Middle School</v>
          </cell>
          <cell r="H2133" t="str">
            <v>East of England</v>
          </cell>
          <cell r="I2133" t="str">
            <v>Britain Street</v>
          </cell>
          <cell r="L2133" t="str">
            <v>Dunstable</v>
          </cell>
          <cell r="M2133" t="str">
            <v>Bedfordshire</v>
          </cell>
          <cell r="N2133" t="str">
            <v>LU5 4JA</v>
          </cell>
          <cell r="O2133" t="str">
            <v>kscotchford@priorymiddle.cbeds.co.uk</v>
          </cell>
          <cell r="P2133">
            <v>40870</v>
          </cell>
        </row>
        <row r="2134">
          <cell r="A2134">
            <v>2082359</v>
          </cell>
          <cell r="B2134">
            <v>100574</v>
          </cell>
          <cell r="C2134">
            <v>208</v>
          </cell>
          <cell r="D2134" t="str">
            <v>Lambeth</v>
          </cell>
          <cell r="E2134">
            <v>2359</v>
          </cell>
          <cell r="F2134" t="str">
            <v>Suzanne Farrell</v>
          </cell>
          <cell r="G2134" t="str">
            <v>Kingswood Primary School (part of the Gipsy Hill Federation of 3 primaries)</v>
          </cell>
          <cell r="H2134" t="str">
            <v>London</v>
          </cell>
          <cell r="I2134" t="str">
            <v>Gipsy Road</v>
          </cell>
          <cell r="L2134" t="str">
            <v>London</v>
          </cell>
          <cell r="N2134" t="str">
            <v>SE27 9RD</v>
          </cell>
          <cell r="O2134" t="str">
            <v>execheadteacher@kingswood-elmwood.org.uk</v>
          </cell>
        </row>
        <row r="2135">
          <cell r="A2135">
            <v>3144006</v>
          </cell>
          <cell r="B2135">
            <v>102599</v>
          </cell>
          <cell r="C2135">
            <v>314</v>
          </cell>
          <cell r="D2135" t="str">
            <v>Kingston upon Thames</v>
          </cell>
          <cell r="E2135">
            <v>4006</v>
          </cell>
          <cell r="F2135" t="str">
            <v>Ali Bushell</v>
          </cell>
          <cell r="G2135" t="str">
            <v>Chessington Community College</v>
          </cell>
          <cell r="H2135" t="str">
            <v>London</v>
          </cell>
          <cell r="I2135" t="str">
            <v>Garrison Lane</v>
          </cell>
          <cell r="L2135" t="str">
            <v>Chessington</v>
          </cell>
          <cell r="M2135" t="str">
            <v>Surrey</v>
          </cell>
          <cell r="N2135" t="str">
            <v>KT9 2JS</v>
          </cell>
          <cell r="O2135" t="str">
            <v>rob.nreed@rbksch.org</v>
          </cell>
          <cell r="P2135">
            <v>40896</v>
          </cell>
        </row>
        <row r="2136">
          <cell r="A2136">
            <v>8023450</v>
          </cell>
          <cell r="B2136">
            <v>109274</v>
          </cell>
          <cell r="C2136">
            <v>802</v>
          </cell>
          <cell r="D2136" t="str">
            <v>North Somerset</v>
          </cell>
          <cell r="E2136">
            <v>3450</v>
          </cell>
          <cell r="F2136" t="str">
            <v>Theresa Oddelm</v>
          </cell>
          <cell r="G2136" t="str">
            <v>St John the Evangelist Voluntary Aided Church of England Primary School</v>
          </cell>
          <cell r="H2136" t="str">
            <v>South West</v>
          </cell>
          <cell r="I2136" t="str">
            <v>Fosseway</v>
          </cell>
          <cell r="L2136" t="str">
            <v>Clevedon</v>
          </cell>
          <cell r="M2136" t="str">
            <v>Somerset</v>
          </cell>
          <cell r="N2136" t="str">
            <v>BS21 5EL</v>
          </cell>
          <cell r="O2136" t="str">
            <v>stjohns.pri@n-somerset.gov.uk</v>
          </cell>
        </row>
        <row r="2137">
          <cell r="A2137">
            <v>9377044</v>
          </cell>
          <cell r="B2137">
            <v>132202</v>
          </cell>
          <cell r="C2137">
            <v>937</v>
          </cell>
          <cell r="D2137" t="str">
            <v>Warwickshire</v>
          </cell>
          <cell r="E2137">
            <v>7044</v>
          </cell>
          <cell r="F2137" t="str">
            <v>Carla Spink</v>
          </cell>
          <cell r="G2137" t="str">
            <v>Welcombe Hills School</v>
          </cell>
          <cell r="H2137" t="str">
            <v>West Midlands</v>
          </cell>
          <cell r="I2137" t="str">
            <v>Blue Cap Road</v>
          </cell>
          <cell r="L2137" t="str">
            <v>Stratford-upon-Avon</v>
          </cell>
          <cell r="M2137" t="str">
            <v>Warwickshire</v>
          </cell>
          <cell r="N2137" t="str">
            <v>CV37 6TQ</v>
          </cell>
          <cell r="O2137" t="str">
            <v>head7044@we-learn.com</v>
          </cell>
        </row>
        <row r="2138">
          <cell r="A2138">
            <v>9374124</v>
          </cell>
          <cell r="B2138">
            <v>125739</v>
          </cell>
          <cell r="C2138">
            <v>937</v>
          </cell>
          <cell r="D2138" t="str">
            <v>Warwickshire</v>
          </cell>
          <cell r="E2138">
            <v>4124</v>
          </cell>
          <cell r="F2138" t="str">
            <v>Carol Ions</v>
          </cell>
          <cell r="G2138" t="str">
            <v>Stratford upon Avon High School</v>
          </cell>
          <cell r="H2138" t="str">
            <v>West Midlands</v>
          </cell>
          <cell r="I2138" t="str">
            <v>Alcester Road</v>
          </cell>
          <cell r="L2138" t="str">
            <v>Stratford-upon-Avon</v>
          </cell>
          <cell r="M2138" t="str">
            <v>Warwickshire</v>
          </cell>
          <cell r="N2138" t="str">
            <v>CV37 9DH</v>
          </cell>
          <cell r="O2138" t="str">
            <v>davidwilliams@stratfordhigh.org.uk</v>
          </cell>
          <cell r="P2138">
            <v>40576</v>
          </cell>
        </row>
        <row r="2139">
          <cell r="A2139">
            <v>8663001</v>
          </cell>
          <cell r="B2139">
            <v>132830</v>
          </cell>
          <cell r="C2139">
            <v>866</v>
          </cell>
          <cell r="D2139" t="str">
            <v>Swindon</v>
          </cell>
          <cell r="E2139">
            <v>3001</v>
          </cell>
          <cell r="F2139" t="str">
            <v>Kate Bosher</v>
          </cell>
          <cell r="G2139" t="str">
            <v>Holy Family Catholic Primary School</v>
          </cell>
          <cell r="H2139" t="str">
            <v>South West</v>
          </cell>
          <cell r="I2139" t="str">
            <v>Marlowe Avenue</v>
          </cell>
          <cell r="L2139" t="str">
            <v>Swindon</v>
          </cell>
          <cell r="M2139" t="str">
            <v>Wiltshire</v>
          </cell>
          <cell r="N2139" t="str">
            <v>SN3 2PT</v>
          </cell>
          <cell r="O2139" t="str">
            <v>head@holyfamily.swindon.sch.uk</v>
          </cell>
          <cell r="P2139">
            <v>40982</v>
          </cell>
        </row>
        <row r="2140">
          <cell r="A2140">
            <v>8814323</v>
          </cell>
          <cell r="B2140">
            <v>115218</v>
          </cell>
          <cell r="C2140">
            <v>881</v>
          </cell>
          <cell r="D2140" t="str">
            <v>Essex</v>
          </cell>
          <cell r="E2140">
            <v>4323</v>
          </cell>
          <cell r="F2140" t="str">
            <v>Marion Bevis</v>
          </cell>
          <cell r="G2140" t="str">
            <v>Passmores School and Technology College</v>
          </cell>
          <cell r="H2140" t="str">
            <v>East of England</v>
          </cell>
          <cell r="I2140" t="str">
            <v>Tendring Road</v>
          </cell>
          <cell r="L2140" t="str">
            <v>Harlow</v>
          </cell>
          <cell r="M2140" t="str">
            <v>Essex</v>
          </cell>
          <cell r="N2140" t="str">
            <v>CM18 6RW</v>
          </cell>
          <cell r="O2140" t="str">
            <v>v.goddard@passmores.essex.sch.uk</v>
          </cell>
          <cell r="P2140">
            <v>40528</v>
          </cell>
        </row>
        <row r="2141">
          <cell r="A2141">
            <v>8603118</v>
          </cell>
          <cell r="B2141">
            <v>124280</v>
          </cell>
          <cell r="C2141">
            <v>860</v>
          </cell>
          <cell r="D2141" t="str">
            <v>Staffordshire</v>
          </cell>
          <cell r="E2141">
            <v>3118</v>
          </cell>
          <cell r="F2141" t="str">
            <v>Stephen Bagnall</v>
          </cell>
          <cell r="G2141" t="str">
            <v>All Saints CofE (VC) Primary School</v>
          </cell>
          <cell r="H2141" t="str">
            <v>West Midlands</v>
          </cell>
          <cell r="I2141" t="str">
            <v>School Road</v>
          </cell>
          <cell r="J2141" t="str">
            <v>Trysull</v>
          </cell>
          <cell r="L2141" t="str">
            <v>Wolverhampton</v>
          </cell>
          <cell r="M2141" t="str">
            <v>West Midlands</v>
          </cell>
          <cell r="N2141" t="str">
            <v>WV5 7HR</v>
          </cell>
          <cell r="O2141" t="str">
            <v>headteacher@allsaints-alrewas.staffs.sch.uk</v>
          </cell>
        </row>
        <row r="2142">
          <cell r="A2142">
            <v>8554012</v>
          </cell>
          <cell r="B2142">
            <v>120242</v>
          </cell>
          <cell r="C2142">
            <v>855</v>
          </cell>
          <cell r="D2142" t="str">
            <v>Leicestershire</v>
          </cell>
          <cell r="E2142">
            <v>4012</v>
          </cell>
          <cell r="F2142" t="str">
            <v>Stella Mascarenhas-Keys</v>
          </cell>
          <cell r="G2142" t="str">
            <v>Ibstock Community College</v>
          </cell>
          <cell r="H2142" t="str">
            <v>East Midlands</v>
          </cell>
          <cell r="I2142" t="str">
            <v>Central Avenue</v>
          </cell>
          <cell r="L2142" t="str">
            <v>Ibstock</v>
          </cell>
          <cell r="M2142" t="str">
            <v>Leicestershire</v>
          </cell>
          <cell r="N2142" t="str">
            <v>LE67 6NE</v>
          </cell>
          <cell r="O2142" t="str">
            <v>davidk12@ibstockcollege.leics.sch.uk</v>
          </cell>
          <cell r="P2142">
            <v>40961</v>
          </cell>
        </row>
        <row r="2143">
          <cell r="A2143">
            <v>9082321</v>
          </cell>
          <cell r="B2143">
            <v>111875</v>
          </cell>
          <cell r="C2143">
            <v>908</v>
          </cell>
          <cell r="D2143" t="str">
            <v>Cornwall</v>
          </cell>
          <cell r="E2143">
            <v>2321</v>
          </cell>
          <cell r="F2143" t="str">
            <v>Kate Bosher</v>
          </cell>
          <cell r="G2143" t="str">
            <v>Bosvigo School</v>
          </cell>
          <cell r="H2143" t="str">
            <v>South West</v>
          </cell>
          <cell r="I2143" t="str">
            <v>Chapel Hill</v>
          </cell>
          <cell r="L2143" t="str">
            <v>Truro</v>
          </cell>
          <cell r="M2143" t="str">
            <v>Cornwall</v>
          </cell>
          <cell r="N2143" t="str">
            <v>TR1 3BJ</v>
          </cell>
          <cell r="O2143" t="str">
            <v>head@bosvigo.cornwall.sch.uk</v>
          </cell>
          <cell r="P2143">
            <v>40557</v>
          </cell>
        </row>
        <row r="2144">
          <cell r="A2144">
            <v>8452161</v>
          </cell>
          <cell r="B2144">
            <v>114483</v>
          </cell>
          <cell r="C2144">
            <v>845</v>
          </cell>
          <cell r="D2144" t="str">
            <v>East Sussex</v>
          </cell>
          <cell r="E2144">
            <v>2161</v>
          </cell>
          <cell r="F2144" t="str">
            <v>Sarah Mitchell</v>
          </cell>
          <cell r="G2144" t="str">
            <v>Robsack Wood Community Primary School</v>
          </cell>
          <cell r="H2144" t="str">
            <v>South East</v>
          </cell>
          <cell r="I2144" t="str">
            <v>Whatlington Way</v>
          </cell>
          <cell r="L2144" t="str">
            <v>St Leonards-on-Sea</v>
          </cell>
          <cell r="M2144" t="str">
            <v>East Sussex</v>
          </cell>
          <cell r="N2144" t="str">
            <v>TN38 9TE</v>
          </cell>
          <cell r="O2144" t="str">
            <v>head@robsack-wood.e-sussex.sch.uk</v>
          </cell>
        </row>
        <row r="2145">
          <cell r="A2145">
            <v>9282012</v>
          </cell>
          <cell r="B2145">
            <v>121803</v>
          </cell>
          <cell r="C2145">
            <v>928</v>
          </cell>
          <cell r="D2145" t="str">
            <v>Northamptonshire</v>
          </cell>
          <cell r="E2145">
            <v>2012</v>
          </cell>
          <cell r="F2145" t="str">
            <v>Sue Harp</v>
          </cell>
          <cell r="G2145" t="str">
            <v>The Bramptons Primary School</v>
          </cell>
          <cell r="H2145" t="str">
            <v>East Midlands</v>
          </cell>
          <cell r="I2145" t="str">
            <v>Harlestone Road</v>
          </cell>
          <cell r="J2145" t="str">
            <v>Chapel Brampton</v>
          </cell>
          <cell r="L2145" t="str">
            <v>Northampton</v>
          </cell>
          <cell r="M2145" t="str">
            <v>Northamptonshire</v>
          </cell>
          <cell r="N2145" t="str">
            <v>NN6 8AW</v>
          </cell>
          <cell r="O2145" t="str">
            <v>head@thebramptons.northants-ecl.gov.uk</v>
          </cell>
        </row>
        <row r="2146">
          <cell r="A2146">
            <v>8872600</v>
          </cell>
          <cell r="B2146">
            <v>118532</v>
          </cell>
          <cell r="C2146">
            <v>887</v>
          </cell>
          <cell r="D2146" t="str">
            <v>Medway</v>
          </cell>
          <cell r="E2146">
            <v>2600</v>
          </cell>
          <cell r="F2146" t="str">
            <v>Sarah Mitchell</v>
          </cell>
          <cell r="G2146" t="str">
            <v>All Faiths' Children's Community School</v>
          </cell>
          <cell r="H2146" t="str">
            <v>South East</v>
          </cell>
          <cell r="I2146" t="str">
            <v>Gun Lane</v>
          </cell>
          <cell r="J2146" t="str">
            <v>Strood</v>
          </cell>
          <cell r="L2146" t="str">
            <v>Rochester</v>
          </cell>
          <cell r="M2146" t="str">
            <v>Kent</v>
          </cell>
          <cell r="N2146" t="str">
            <v>ME2 4UF</v>
          </cell>
          <cell r="O2146" t="str">
            <v>taylh017@medway.org.uk</v>
          </cell>
          <cell r="P2146">
            <v>40819</v>
          </cell>
        </row>
        <row r="2147">
          <cell r="A2147">
            <v>8612086</v>
          </cell>
          <cell r="B2147">
            <v>124013</v>
          </cell>
          <cell r="C2147">
            <v>861</v>
          </cell>
          <cell r="D2147" t="str">
            <v>Stoke-on-Trent</v>
          </cell>
          <cell r="E2147">
            <v>2086</v>
          </cell>
          <cell r="F2147" t="str">
            <v>Alison Middleton</v>
          </cell>
          <cell r="G2147" t="str">
            <v>Crescent Primary School</v>
          </cell>
          <cell r="H2147" t="str">
            <v>West Midlands</v>
          </cell>
          <cell r="I2147" t="str">
            <v>Pinewood Crescent</v>
          </cell>
          <cell r="J2147" t="str">
            <v>Meir</v>
          </cell>
          <cell r="L2147" t="str">
            <v>Stoke-on-Trent</v>
          </cell>
          <cell r="M2147" t="str">
            <v>Staffordshire</v>
          </cell>
          <cell r="N2147" t="str">
            <v>ST3 6HZ</v>
          </cell>
          <cell r="O2147" t="str">
            <v>dalston@sgfl.org.uk</v>
          </cell>
          <cell r="P2147">
            <v>40592</v>
          </cell>
        </row>
        <row r="2148">
          <cell r="A2148">
            <v>9254000</v>
          </cell>
          <cell r="B2148">
            <v>120631</v>
          </cell>
          <cell r="C2148">
            <v>925</v>
          </cell>
          <cell r="D2148" t="str">
            <v>Lincolnshire</v>
          </cell>
          <cell r="E2148">
            <v>4000</v>
          </cell>
          <cell r="F2148" t="str">
            <v>Grant Dyson</v>
          </cell>
          <cell r="G2148" t="str">
            <v>The Robert Manning College</v>
          </cell>
          <cell r="H2148" t="str">
            <v>East Midlands</v>
          </cell>
          <cell r="I2148" t="str">
            <v>Edinburgh Crescent</v>
          </cell>
          <cell r="L2148" t="str">
            <v>Bourne</v>
          </cell>
          <cell r="M2148" t="str">
            <v>Lincolnshire</v>
          </cell>
          <cell r="N2148" t="str">
            <v>PE10 9DT</v>
          </cell>
          <cell r="O2148" t="str">
            <v>reillyl@robertmanning.org.uk</v>
          </cell>
          <cell r="P2148">
            <v>40630</v>
          </cell>
        </row>
        <row r="2149">
          <cell r="A2149">
            <v>3902225</v>
          </cell>
          <cell r="B2149">
            <v>108372</v>
          </cell>
          <cell r="C2149">
            <v>390</v>
          </cell>
          <cell r="D2149" t="str">
            <v>Gateshead</v>
          </cell>
          <cell r="E2149">
            <v>2225</v>
          </cell>
          <cell r="F2149" t="str">
            <v>Carol Blain</v>
          </cell>
          <cell r="G2149" t="str">
            <v>Glynwood Community Primary School</v>
          </cell>
          <cell r="H2149" t="str">
            <v>North East</v>
          </cell>
          <cell r="I2149" t="str">
            <v>Glynwood Gardens</v>
          </cell>
          <cell r="L2149" t="str">
            <v>Gateshead</v>
          </cell>
          <cell r="M2149" t="str">
            <v>Tyne and Wear</v>
          </cell>
          <cell r="N2149" t="str">
            <v>NE9 5SY</v>
          </cell>
          <cell r="O2149" t="str">
            <v>debraryan@gateshead.gov.uk</v>
          </cell>
        </row>
        <row r="2150">
          <cell r="A2150">
            <v>8844014</v>
          </cell>
          <cell r="B2150">
            <v>116935</v>
          </cell>
          <cell r="C2150">
            <v>884</v>
          </cell>
          <cell r="D2150" t="str">
            <v>Herefordshire</v>
          </cell>
          <cell r="E2150">
            <v>4014</v>
          </cell>
          <cell r="F2150" t="str">
            <v>Adriarna Goodinson</v>
          </cell>
          <cell r="G2150" t="str">
            <v>Whitecross Hereford; High School and Specialist Sports College</v>
          </cell>
          <cell r="H2150" t="str">
            <v>West Midlands</v>
          </cell>
          <cell r="I2150" t="str">
            <v>Three Elms Road</v>
          </cell>
          <cell r="L2150" t="str">
            <v>Hereford</v>
          </cell>
          <cell r="M2150" t="str">
            <v>Herefordshire</v>
          </cell>
          <cell r="N2150" t="str">
            <v>HR4 0RN</v>
          </cell>
          <cell r="O2150" t="str">
            <v>dstrutt@whitecross.hereford.sch.uk</v>
          </cell>
          <cell r="P2150">
            <v>40557</v>
          </cell>
        </row>
        <row r="2151">
          <cell r="A2151">
            <v>3702137</v>
          </cell>
          <cell r="B2151">
            <v>130341</v>
          </cell>
          <cell r="C2151">
            <v>370</v>
          </cell>
          <cell r="D2151" t="str">
            <v>Barnsley</v>
          </cell>
          <cell r="E2151">
            <v>2137</v>
          </cell>
          <cell r="F2151" t="str">
            <v>Lisa Sargeant</v>
          </cell>
          <cell r="G2151" t="str">
            <v>Oakhill Primary School</v>
          </cell>
          <cell r="H2151" t="str">
            <v>Yorkshire and the Humber</v>
          </cell>
          <cell r="I2151" t="str">
            <v>Doncaster Road</v>
          </cell>
          <cell r="J2151" t="str">
            <v>Ardsley</v>
          </cell>
          <cell r="L2151" t="str">
            <v>Barnsley</v>
          </cell>
          <cell r="M2151" t="str">
            <v>South Yorkshire</v>
          </cell>
          <cell r="N2151" t="str">
            <v>S71 5AG</v>
          </cell>
          <cell r="O2151" t="str">
            <v>e.nolan@barnsley.org</v>
          </cell>
          <cell r="P2151">
            <v>40676</v>
          </cell>
        </row>
        <row r="2152">
          <cell r="A2152">
            <v>8864120</v>
          </cell>
          <cell r="B2152">
            <v>118810</v>
          </cell>
          <cell r="C2152">
            <v>886</v>
          </cell>
          <cell r="D2152" t="str">
            <v>Kent</v>
          </cell>
          <cell r="E2152">
            <v>4120</v>
          </cell>
          <cell r="F2152" t="str">
            <v>Sarah Mitchell</v>
          </cell>
          <cell r="G2152" t="str">
            <v>King Ethelbert School</v>
          </cell>
          <cell r="H2152" t="str">
            <v>South East</v>
          </cell>
          <cell r="I2152" t="str">
            <v>Canterbury Road</v>
          </cell>
          <cell r="L2152" t="str">
            <v>Birchington</v>
          </cell>
          <cell r="M2152" t="str">
            <v>Kent</v>
          </cell>
          <cell r="N2152" t="str">
            <v>CT7 9BL</v>
          </cell>
          <cell r="O2152" t="str">
            <v>luxmoore@danecourt.kent.sch.uk</v>
          </cell>
          <cell r="P2152">
            <v>40529</v>
          </cell>
        </row>
        <row r="2153">
          <cell r="A2153">
            <v>9354040</v>
          </cell>
          <cell r="B2153">
            <v>124813</v>
          </cell>
          <cell r="C2153">
            <v>935</v>
          </cell>
          <cell r="D2153" t="str">
            <v>Suffolk</v>
          </cell>
          <cell r="E2153">
            <v>4040</v>
          </cell>
          <cell r="F2153" t="str">
            <v>William Thursfield</v>
          </cell>
          <cell r="G2153" t="str">
            <v>Thomas Mills High School</v>
          </cell>
          <cell r="H2153" t="str">
            <v>East of England</v>
          </cell>
          <cell r="I2153" t="str">
            <v>Saxtead Road</v>
          </cell>
          <cell r="J2153" t="str">
            <v>Framlingham</v>
          </cell>
          <cell r="L2153" t="str">
            <v>Woodbridge</v>
          </cell>
          <cell r="M2153" t="str">
            <v>Suffolk</v>
          </cell>
          <cell r="N2153" t="str">
            <v>IP13 9HE</v>
          </cell>
          <cell r="O2153" t="str">
            <v>CHirst@thomasmills.suffolk.sch.uk</v>
          </cell>
          <cell r="P2153">
            <v>40570</v>
          </cell>
        </row>
        <row r="2154">
          <cell r="A2154">
            <v>9163017</v>
          </cell>
          <cell r="B2154">
            <v>115609</v>
          </cell>
          <cell r="C2154">
            <v>916</v>
          </cell>
          <cell r="D2154" t="str">
            <v>Gloucestershire</v>
          </cell>
          <cell r="E2154">
            <v>3017</v>
          </cell>
          <cell r="F2154" t="str">
            <v>Not yet assigned</v>
          </cell>
          <cell r="G2154" t="str">
            <v>Cold Aston Church of England Primary School</v>
          </cell>
          <cell r="H2154" t="str">
            <v>South West</v>
          </cell>
          <cell r="I2154" t="str">
            <v>Cold Aston</v>
          </cell>
          <cell r="L2154" t="str">
            <v>Cheltenham</v>
          </cell>
          <cell r="M2154" t="str">
            <v>Gloucestershire</v>
          </cell>
          <cell r="N2154" t="str">
            <v>GL54 3BN</v>
          </cell>
          <cell r="O2154" t="str">
            <v>head@coldaston.gloucs.sch.uk</v>
          </cell>
        </row>
        <row r="2155">
          <cell r="A2155">
            <v>9282158</v>
          </cell>
          <cell r="B2155">
            <v>121911</v>
          </cell>
          <cell r="C2155">
            <v>928</v>
          </cell>
          <cell r="D2155" t="str">
            <v>Northamptonshire</v>
          </cell>
          <cell r="E2155">
            <v>2158</v>
          </cell>
          <cell r="F2155" t="str">
            <v>Jacki Couch</v>
          </cell>
          <cell r="G2155" t="str">
            <v>Cedar Road Primary School</v>
          </cell>
          <cell r="H2155" t="str">
            <v>East Midlands</v>
          </cell>
          <cell r="I2155" t="str">
            <v>Cedar Road East</v>
          </cell>
          <cell r="L2155" t="str">
            <v>Northampton</v>
          </cell>
          <cell r="M2155" t="str">
            <v>Northamptonshire</v>
          </cell>
          <cell r="N2155" t="str">
            <v>NN3 2JF</v>
          </cell>
          <cell r="O2155" t="str">
            <v>head@cedar-rd.northants-ecl.gov.uk</v>
          </cell>
          <cell r="P2155">
            <v>40652</v>
          </cell>
        </row>
        <row r="2156">
          <cell r="A2156">
            <v>8232189</v>
          </cell>
          <cell r="B2156">
            <v>109516</v>
          </cell>
          <cell r="C2156">
            <v>823</v>
          </cell>
          <cell r="D2156" t="str">
            <v>Central Bedfordshire</v>
          </cell>
          <cell r="E2156">
            <v>2189</v>
          </cell>
          <cell r="F2156" t="str">
            <v>Claire Ivie</v>
          </cell>
          <cell r="G2156" t="str">
            <v>Dovery Down Lower School</v>
          </cell>
          <cell r="H2156" t="str">
            <v>East of England</v>
          </cell>
          <cell r="I2156" t="str">
            <v>Heath Road</v>
          </cell>
          <cell r="L2156" t="str">
            <v>Leighton Buzzard</v>
          </cell>
          <cell r="M2156" t="str">
            <v>Bedfordshire</v>
          </cell>
          <cell r="N2156" t="str">
            <v>LU7 3AG</v>
          </cell>
          <cell r="P2156">
            <v>40884</v>
          </cell>
        </row>
        <row r="2157">
          <cell r="A2157">
            <v>8865449</v>
          </cell>
          <cell r="B2157">
            <v>118921</v>
          </cell>
          <cell r="C2157">
            <v>886</v>
          </cell>
          <cell r="D2157" t="str">
            <v>Kent</v>
          </cell>
          <cell r="E2157">
            <v>5449</v>
          </cell>
          <cell r="F2157" t="str">
            <v>Sarah Mitchell</v>
          </cell>
          <cell r="G2157" t="str">
            <v>Queen Elizabeth's Grammar School</v>
          </cell>
          <cell r="H2157" t="str">
            <v>South East</v>
          </cell>
          <cell r="I2157" t="str">
            <v>Abbey Place</v>
          </cell>
          <cell r="L2157" t="str">
            <v>Faversham</v>
          </cell>
          <cell r="M2157" t="str">
            <v>Kent</v>
          </cell>
          <cell r="N2157" t="str">
            <v>ME13 7BQ</v>
          </cell>
          <cell r="O2157" t="str">
            <v>dma@queenelizabeths.kent.sch.uk</v>
          </cell>
          <cell r="P2157">
            <v>40557</v>
          </cell>
        </row>
        <row r="2158">
          <cell r="A2158">
            <v>8604146</v>
          </cell>
          <cell r="B2158">
            <v>124430</v>
          </cell>
          <cell r="C2158">
            <v>860</v>
          </cell>
          <cell r="D2158" t="str">
            <v>Staffordshire</v>
          </cell>
          <cell r="E2158">
            <v>4146</v>
          </cell>
          <cell r="F2158" t="str">
            <v>Stephen Bagnall</v>
          </cell>
          <cell r="G2158" t="str">
            <v>Thomas Alleyne's High School</v>
          </cell>
          <cell r="H2158" t="str">
            <v>West Midlands</v>
          </cell>
          <cell r="I2158" t="str">
            <v>Dove Bank</v>
          </cell>
          <cell r="L2158" t="str">
            <v>Uttoxeter</v>
          </cell>
          <cell r="M2158" t="str">
            <v>Staffordshire</v>
          </cell>
          <cell r="N2158" t="str">
            <v>ST14 8DU</v>
          </cell>
          <cell r="O2158" t="str">
            <v>headteacher@tahs.org.uk</v>
          </cell>
        </row>
        <row r="2159">
          <cell r="A2159">
            <v>8552331</v>
          </cell>
          <cell r="B2159">
            <v>120059</v>
          </cell>
          <cell r="C2159">
            <v>855</v>
          </cell>
          <cell r="D2159" t="str">
            <v>Leicestershire</v>
          </cell>
          <cell r="E2159">
            <v>2331</v>
          </cell>
          <cell r="F2159" t="str">
            <v>Sue Harp</v>
          </cell>
          <cell r="G2159" t="str">
            <v>Holywell Primary School</v>
          </cell>
          <cell r="H2159" t="str">
            <v>East Midlands</v>
          </cell>
          <cell r="I2159" t="str">
            <v>Berkeley Road</v>
          </cell>
          <cell r="L2159" t="str">
            <v>Loughborough</v>
          </cell>
          <cell r="M2159" t="str">
            <v>Leicestershire</v>
          </cell>
          <cell r="N2159" t="str">
            <v>LE11 3SJ</v>
          </cell>
          <cell r="O2159" t="str">
            <v>office.admin@holywell.leics.sch.uk</v>
          </cell>
          <cell r="P2159">
            <v>41026</v>
          </cell>
        </row>
        <row r="2160">
          <cell r="A2160">
            <v>8013025</v>
          </cell>
          <cell r="B2160">
            <v>109149</v>
          </cell>
          <cell r="C2160">
            <v>801</v>
          </cell>
          <cell r="D2160" t="str">
            <v>Bristol City of</v>
          </cell>
          <cell r="E2160">
            <v>3025</v>
          </cell>
          <cell r="F2160" t="str">
            <v>Simon Foster</v>
          </cell>
          <cell r="G2160" t="str">
            <v>Stoke Bishop Church of England Primary School</v>
          </cell>
          <cell r="H2160" t="str">
            <v>South West</v>
          </cell>
          <cell r="I2160" t="str">
            <v>Cedar Park</v>
          </cell>
          <cell r="J2160" t="str">
            <v>Stoke Bishop</v>
          </cell>
          <cell r="L2160" t="str">
            <v>Bristol</v>
          </cell>
          <cell r="N2160" t="str">
            <v>BS9 1BW</v>
          </cell>
          <cell r="O2160" t="str">
            <v>headstokebishopp@bristol.gov.uk</v>
          </cell>
          <cell r="P2160">
            <v>41109</v>
          </cell>
        </row>
        <row r="2161">
          <cell r="A2161">
            <v>3094704</v>
          </cell>
          <cell r="B2161">
            <v>134163</v>
          </cell>
          <cell r="C2161">
            <v>309</v>
          </cell>
          <cell r="D2161" t="str">
            <v>Haringey</v>
          </cell>
          <cell r="E2161">
            <v>4704</v>
          </cell>
          <cell r="F2161" t="str">
            <v>Sheila Longstaff</v>
          </cell>
          <cell r="G2161" t="str">
            <v>Haringey Sixth Form Centre</v>
          </cell>
          <cell r="H2161" t="str">
            <v>London</v>
          </cell>
          <cell r="I2161" t="str">
            <v>White Hart Lane</v>
          </cell>
          <cell r="L2161" t="str">
            <v>London</v>
          </cell>
          <cell r="N2161" t="str">
            <v>N17 8HR</v>
          </cell>
          <cell r="O2161" t="str">
            <v>bill.barker@haringey6.ac.uk</v>
          </cell>
        </row>
        <row r="2162">
          <cell r="A2162">
            <v>8815257</v>
          </cell>
          <cell r="B2162">
            <v>115297</v>
          </cell>
          <cell r="C2162">
            <v>881</v>
          </cell>
          <cell r="D2162" t="str">
            <v>Essex</v>
          </cell>
          <cell r="E2162">
            <v>5257</v>
          </cell>
          <cell r="F2162" t="str">
            <v>Claire Ivie</v>
          </cell>
          <cell r="G2162" t="str">
            <v>Lawford Church of England Voluntary Aided Primary School</v>
          </cell>
          <cell r="H2162" t="str">
            <v>East of England</v>
          </cell>
          <cell r="I2162" t="str">
            <v>Long Road</v>
          </cell>
          <cell r="J2162" t="str">
            <v>Lawford</v>
          </cell>
          <cell r="L2162" t="str">
            <v>Manningtree</v>
          </cell>
          <cell r="M2162" t="str">
            <v>Essex</v>
          </cell>
          <cell r="N2162" t="str">
            <v>CO11 2EF</v>
          </cell>
          <cell r="O2162" t="str">
            <v>head@lawford.essex.sch.uk</v>
          </cell>
        </row>
        <row r="2163">
          <cell r="A2163">
            <v>3134023</v>
          </cell>
          <cell r="B2163">
            <v>102535</v>
          </cell>
          <cell r="C2163">
            <v>313</v>
          </cell>
          <cell r="D2163" t="str">
            <v>Hounslow</v>
          </cell>
          <cell r="E2163">
            <v>4023</v>
          </cell>
          <cell r="F2163" t="str">
            <v>Martin Rowley</v>
          </cell>
          <cell r="G2163" t="str">
            <v>Feltham Community College</v>
          </cell>
          <cell r="H2163" t="str">
            <v>London</v>
          </cell>
          <cell r="I2163" t="str">
            <v>Browells Lane</v>
          </cell>
          <cell r="L2163" t="str">
            <v>Feltham</v>
          </cell>
          <cell r="N2163" t="str">
            <v>TW13 7EF</v>
          </cell>
          <cell r="O2163" t="str">
            <v>victoria.eadie@feltham.hounslow.sch.uk</v>
          </cell>
          <cell r="P2163">
            <v>40704</v>
          </cell>
        </row>
        <row r="2164">
          <cell r="A2164">
            <v>8862335</v>
          </cell>
          <cell r="B2164">
            <v>118410</v>
          </cell>
          <cell r="C2164">
            <v>886</v>
          </cell>
          <cell r="D2164" t="str">
            <v>Kent</v>
          </cell>
          <cell r="E2164">
            <v>2335</v>
          </cell>
          <cell r="F2164" t="str">
            <v>Kevin Hall</v>
          </cell>
          <cell r="G2164" t="str">
            <v>Salmestone Primary School</v>
          </cell>
          <cell r="H2164" t="str">
            <v>South East</v>
          </cell>
          <cell r="I2164" t="str">
            <v>College Road</v>
          </cell>
          <cell r="L2164" t="str">
            <v>Margate</v>
          </cell>
          <cell r="M2164" t="str">
            <v>Kent</v>
          </cell>
          <cell r="N2164" t="str">
            <v>CT9 4DB</v>
          </cell>
          <cell r="O2164" t="str">
            <v>headteacher@salmestone.kent.sch.uk</v>
          </cell>
          <cell r="P2164">
            <v>40730</v>
          </cell>
        </row>
        <row r="2165">
          <cell r="A2165">
            <v>8794186</v>
          </cell>
          <cell r="B2165">
            <v>113543</v>
          </cell>
          <cell r="C2165">
            <v>879</v>
          </cell>
          <cell r="D2165" t="str">
            <v>Plymouth</v>
          </cell>
          <cell r="E2165">
            <v>4186</v>
          </cell>
          <cell r="F2165" t="str">
            <v>Ali Bushell</v>
          </cell>
          <cell r="G2165" t="str">
            <v>Tor Bridge High School</v>
          </cell>
          <cell r="H2165" t="str">
            <v>South West</v>
          </cell>
          <cell r="I2165" t="str">
            <v>Miller Way</v>
          </cell>
          <cell r="J2165" t="str">
            <v>Estover</v>
          </cell>
          <cell r="L2165" t="str">
            <v>Plymouth</v>
          </cell>
          <cell r="M2165" t="str">
            <v>Devon</v>
          </cell>
          <cell r="N2165" t="str">
            <v>PL6 8UN</v>
          </cell>
          <cell r="O2165" t="str">
            <v>gbrowne@torbridge.net</v>
          </cell>
          <cell r="P2165">
            <v>40557</v>
          </cell>
        </row>
        <row r="2166">
          <cell r="A2166">
            <v>3712080</v>
          </cell>
          <cell r="B2166">
            <v>106681</v>
          </cell>
          <cell r="C2166">
            <v>371</v>
          </cell>
          <cell r="D2166" t="str">
            <v>Doncaster</v>
          </cell>
          <cell r="E2166">
            <v>2080</v>
          </cell>
          <cell r="F2166" t="str">
            <v>Lisa Sargeant</v>
          </cell>
          <cell r="G2166" t="str">
            <v>Hatfield Woodhouse Primary School</v>
          </cell>
          <cell r="H2166" t="str">
            <v>Yorkshire and the Humber</v>
          </cell>
          <cell r="I2166" t="str">
            <v>Main Street</v>
          </cell>
          <cell r="J2166" t="str">
            <v>Hatfield Woodhouse</v>
          </cell>
          <cell r="L2166" t="str">
            <v>Doncaster</v>
          </cell>
          <cell r="M2166" t="str">
            <v>South Yorkshire</v>
          </cell>
          <cell r="N2166" t="str">
            <v>DN7 6NH</v>
          </cell>
          <cell r="O2166" t="str">
            <v>office@woodhouse.doncaster.sch.uk</v>
          </cell>
          <cell r="P2166">
            <v>40815</v>
          </cell>
        </row>
        <row r="2167">
          <cell r="A2167">
            <v>9162061</v>
          </cell>
          <cell r="B2167">
            <v>115517</v>
          </cell>
          <cell r="C2167">
            <v>916</v>
          </cell>
          <cell r="D2167" t="str">
            <v>Gloucestershire</v>
          </cell>
          <cell r="E2167">
            <v>2061</v>
          </cell>
          <cell r="F2167" t="str">
            <v>Simon Foster</v>
          </cell>
          <cell r="G2167" t="str">
            <v>Forest View Primary School</v>
          </cell>
          <cell r="H2167" t="str">
            <v>South West</v>
          </cell>
          <cell r="I2167" t="str">
            <v>Latimer Road</v>
          </cell>
          <cell r="L2167" t="str">
            <v>Cinderford</v>
          </cell>
          <cell r="M2167" t="str">
            <v>Gloucestershire</v>
          </cell>
          <cell r="N2167" t="str">
            <v>GL14 2QA</v>
          </cell>
          <cell r="O2167" t="str">
            <v>head@forestview.gloucs.sch.uk</v>
          </cell>
          <cell r="P2167">
            <v>41053</v>
          </cell>
        </row>
        <row r="2168">
          <cell r="A2168">
            <v>9353075</v>
          </cell>
          <cell r="B2168">
            <v>124720</v>
          </cell>
          <cell r="C2168">
            <v>935</v>
          </cell>
          <cell r="D2168" t="str">
            <v>Suffolk</v>
          </cell>
          <cell r="E2168">
            <v>3075</v>
          </cell>
          <cell r="F2168" t="str">
            <v>Joe Farrell</v>
          </cell>
          <cell r="G2168" t="str">
            <v>Bedfield Church of England Voluntary Controlled Primary School</v>
          </cell>
          <cell r="H2168" t="str">
            <v>East of England</v>
          </cell>
          <cell r="I2168" t="str">
            <v>Bedfield</v>
          </cell>
          <cell r="L2168" t="str">
            <v>Woodbridge</v>
          </cell>
          <cell r="M2168" t="str">
            <v>Suffolk</v>
          </cell>
          <cell r="N2168" t="str">
            <v>IP13 7EA</v>
          </cell>
          <cell r="O2168" t="str">
            <v>ht.bedfield.p@talk21.com</v>
          </cell>
        </row>
        <row r="2169">
          <cell r="A2169">
            <v>8653242</v>
          </cell>
          <cell r="B2169">
            <v>126390</v>
          </cell>
          <cell r="C2169">
            <v>865</v>
          </cell>
          <cell r="D2169" t="str">
            <v>Wiltshire</v>
          </cell>
          <cell r="E2169">
            <v>3242</v>
          </cell>
          <cell r="F2169" t="str">
            <v>Not yet assigned</v>
          </cell>
          <cell r="G2169" t="str">
            <v>Brinkworth Earl Danby's Church of England Primary</v>
          </cell>
          <cell r="H2169" t="str">
            <v>South West</v>
          </cell>
          <cell r="I2169" t="str">
            <v>School Hill</v>
          </cell>
          <cell r="J2169" t="str">
            <v>Brinkworth</v>
          </cell>
          <cell r="L2169" t="str">
            <v>Chippenham</v>
          </cell>
          <cell r="M2169" t="str">
            <v>Wiltshire</v>
          </cell>
          <cell r="N2169" t="str">
            <v>SN15 5AX</v>
          </cell>
          <cell r="O2169" t="str">
            <v>head@brinkworthearldanbys.wilts.sch.uk</v>
          </cell>
        </row>
        <row r="2170">
          <cell r="A2170">
            <v>8232040</v>
          </cell>
          <cell r="B2170">
            <v>109445</v>
          </cell>
          <cell r="C2170">
            <v>823</v>
          </cell>
          <cell r="D2170" t="str">
            <v>Central Bedfordshire</v>
          </cell>
          <cell r="E2170">
            <v>2040</v>
          </cell>
          <cell r="F2170" t="str">
            <v>Michael Cook</v>
          </cell>
          <cell r="G2170" t="str">
            <v>Beecroft Lower School</v>
          </cell>
          <cell r="H2170" t="str">
            <v>East of England</v>
          </cell>
          <cell r="I2170" t="str">
            <v>Westfield Road</v>
          </cell>
          <cell r="L2170" t="str">
            <v>Dunstable</v>
          </cell>
          <cell r="M2170" t="str">
            <v>Bedfordshire</v>
          </cell>
          <cell r="N2170" t="str">
            <v>LU6 1DW</v>
          </cell>
          <cell r="O2170" t="str">
            <v>r.hutchings@cbc.beds.sch.uk</v>
          </cell>
          <cell r="P2170">
            <v>41235</v>
          </cell>
        </row>
        <row r="2171">
          <cell r="A2171">
            <v>8613400</v>
          </cell>
          <cell r="B2171">
            <v>124314</v>
          </cell>
          <cell r="C2171">
            <v>861</v>
          </cell>
          <cell r="D2171" t="str">
            <v>Stoke-on-Trent</v>
          </cell>
          <cell r="E2171">
            <v>3400</v>
          </cell>
          <cell r="F2171" t="str">
            <v>Frances Blow</v>
          </cell>
          <cell r="G2171" t="str">
            <v>St Joseph's Catholic Primary School, Goldenhill</v>
          </cell>
          <cell r="H2171" t="str">
            <v>West Midlands</v>
          </cell>
          <cell r="I2171" t="str">
            <v>Mobberley Road</v>
          </cell>
          <cell r="J2171" t="str">
            <v>Goldenhill</v>
          </cell>
          <cell r="L2171" t="str">
            <v>Stoke-on-Trent</v>
          </cell>
          <cell r="M2171" t="str">
            <v>Staffordshire</v>
          </cell>
          <cell r="N2171" t="str">
            <v>ST6 5RN</v>
          </cell>
          <cell r="O2171" t="str">
            <v>stjoseph@sgfl.org.uk</v>
          </cell>
          <cell r="P2171">
            <v>41205</v>
          </cell>
        </row>
        <row r="2172">
          <cell r="A2172">
            <v>9287026</v>
          </cell>
          <cell r="B2172">
            <v>122166</v>
          </cell>
          <cell r="C2172">
            <v>928</v>
          </cell>
          <cell r="D2172" t="str">
            <v>Northamptonshire</v>
          </cell>
          <cell r="E2172">
            <v>7026</v>
          </cell>
          <cell r="F2172" t="str">
            <v>Michael Corner</v>
          </cell>
          <cell r="G2172" t="str">
            <v>Kingsley School</v>
          </cell>
          <cell r="H2172" t="str">
            <v>East Midlands</v>
          </cell>
          <cell r="I2172" t="str">
            <v>Churchill Way</v>
          </cell>
          <cell r="L2172" t="str">
            <v>Kettering</v>
          </cell>
          <cell r="M2172" t="str">
            <v>Northamptonshire</v>
          </cell>
          <cell r="N2172" t="str">
            <v>NN15 5DP</v>
          </cell>
          <cell r="O2172" t="str">
            <v xml:space="preserve"> head@kingsley.northants-ecl.gov.uk</v>
          </cell>
          <cell r="P2172">
            <v>40731</v>
          </cell>
        </row>
        <row r="2173">
          <cell r="A2173">
            <v>3304238</v>
          </cell>
          <cell r="B2173">
            <v>103515</v>
          </cell>
          <cell r="C2173">
            <v>330</v>
          </cell>
          <cell r="D2173" t="str">
            <v>Birmingham</v>
          </cell>
          <cell r="E2173">
            <v>4238</v>
          </cell>
          <cell r="F2173" t="str">
            <v>Ruth Pallister</v>
          </cell>
          <cell r="G2173" t="str">
            <v>Bournville School and Sixth Form Centre</v>
          </cell>
          <cell r="H2173" t="str">
            <v>West Midlands</v>
          </cell>
          <cell r="I2173" t="str">
            <v>Griffins Brook Lane</v>
          </cell>
          <cell r="L2173" t="str">
            <v>Birmingham</v>
          </cell>
          <cell r="M2173" t="str">
            <v>West Midlands</v>
          </cell>
          <cell r="N2173" t="str">
            <v>B30 1QJ</v>
          </cell>
          <cell r="O2173" t="str">
            <v>easton.b@bournville.bham.sch.uk</v>
          </cell>
          <cell r="P2173">
            <v>40728</v>
          </cell>
        </row>
        <row r="2174">
          <cell r="A2174">
            <v>8512709</v>
          </cell>
          <cell r="B2174">
            <v>116220</v>
          </cell>
          <cell r="C2174">
            <v>851</v>
          </cell>
          <cell r="D2174" t="str">
            <v>Portsmouth</v>
          </cell>
          <cell r="E2174">
            <v>2709</v>
          </cell>
          <cell r="F2174" t="str">
            <v>Eric Mcewen</v>
          </cell>
          <cell r="G2174" t="str">
            <v>Moorings Way Infant School</v>
          </cell>
          <cell r="H2174" t="str">
            <v>South East</v>
          </cell>
          <cell r="I2174" t="str">
            <v>Moorings Way</v>
          </cell>
          <cell r="J2174" t="str">
            <v>Milton</v>
          </cell>
          <cell r="L2174" t="str">
            <v>Southsea</v>
          </cell>
          <cell r="M2174" t="str">
            <v>Hampshire</v>
          </cell>
          <cell r="N2174" t="str">
            <v>PO4 8YJ</v>
          </cell>
        </row>
        <row r="2175">
          <cell r="A2175">
            <v>8004128</v>
          </cell>
          <cell r="B2175">
            <v>109301</v>
          </cell>
          <cell r="C2175">
            <v>800</v>
          </cell>
          <cell r="D2175" t="str">
            <v>Bath and North East Somerset</v>
          </cell>
          <cell r="E2175">
            <v>4128</v>
          </cell>
          <cell r="F2175" t="str">
            <v>Ed Schuldt</v>
          </cell>
          <cell r="G2175" t="str">
            <v>Norton Hill School (in federation with Somervale School)</v>
          </cell>
          <cell r="H2175" t="str">
            <v>South West</v>
          </cell>
          <cell r="I2175" t="str">
            <v>Charlton Road</v>
          </cell>
          <cell r="J2175" t="str">
            <v>Midsomer Norton</v>
          </cell>
          <cell r="L2175" t="str">
            <v>Radstock</v>
          </cell>
          <cell r="M2175" t="str">
            <v>Somerset</v>
          </cell>
          <cell r="N2175" t="str">
            <v>BA3 4AD</v>
          </cell>
          <cell r="O2175" t="str">
            <v>pbeaven@nortonhillschool.com</v>
          </cell>
          <cell r="P2175">
            <v>40347</v>
          </cell>
        </row>
        <row r="2176">
          <cell r="A2176">
            <v>9283018</v>
          </cell>
          <cell r="B2176">
            <v>121966</v>
          </cell>
          <cell r="C2176">
            <v>928</v>
          </cell>
          <cell r="D2176" t="str">
            <v>Northamptonshire</v>
          </cell>
          <cell r="E2176">
            <v>3018</v>
          </cell>
          <cell r="F2176" t="str">
            <v>Sue Harp</v>
          </cell>
          <cell r="G2176" t="str">
            <v>Cranford Church of England Primary School</v>
          </cell>
          <cell r="H2176" t="str">
            <v>East Midlands</v>
          </cell>
          <cell r="I2176" t="str">
            <v>Church Lane</v>
          </cell>
          <cell r="J2176" t="str">
            <v>Cranford</v>
          </cell>
          <cell r="L2176" t="str">
            <v>Kettering</v>
          </cell>
          <cell r="M2176" t="str">
            <v>Northamptonshire</v>
          </cell>
          <cell r="N2176" t="str">
            <v>NN14 4AE</v>
          </cell>
          <cell r="O2176" t="str">
            <v>head@cranford-ce.northants-ecl.gov.uk</v>
          </cell>
        </row>
        <row r="2177">
          <cell r="A2177">
            <v>8832644</v>
          </cell>
          <cell r="B2177">
            <v>114931</v>
          </cell>
          <cell r="C2177">
            <v>883</v>
          </cell>
          <cell r="D2177" t="str">
            <v>Thurrock</v>
          </cell>
          <cell r="E2177">
            <v>2644</v>
          </cell>
          <cell r="F2177" t="str">
            <v>June Laughton</v>
          </cell>
          <cell r="G2177" t="str">
            <v>Herringham Primary School</v>
          </cell>
          <cell r="H2177" t="str">
            <v>East of England</v>
          </cell>
          <cell r="I2177" t="str">
            <v>St Mary's Road</v>
          </cell>
          <cell r="J2177" t="str">
            <v>Chadwell St Mary</v>
          </cell>
          <cell r="L2177" t="str">
            <v>Grays</v>
          </cell>
          <cell r="M2177" t="str">
            <v>Essex</v>
          </cell>
          <cell r="N2177" t="str">
            <v>RM16 4JX</v>
          </cell>
          <cell r="O2177" t="str">
            <v>head@herringhamprimary.thurrock.sch.uk</v>
          </cell>
          <cell r="P2177">
            <v>40823</v>
          </cell>
        </row>
        <row r="2178">
          <cell r="A2178">
            <v>8024136</v>
          </cell>
          <cell r="B2178">
            <v>132006</v>
          </cell>
          <cell r="C2178">
            <v>802</v>
          </cell>
          <cell r="D2178" t="str">
            <v>North Somerset</v>
          </cell>
          <cell r="E2178">
            <v>4136</v>
          </cell>
          <cell r="F2178" t="str">
            <v>Ali Bushell</v>
          </cell>
          <cell r="G2178" t="str">
            <v>Clevedon School</v>
          </cell>
          <cell r="H2178" t="str">
            <v>South West</v>
          </cell>
          <cell r="I2178" t="str">
            <v>Valley Road</v>
          </cell>
          <cell r="L2178" t="str">
            <v>Clevedon</v>
          </cell>
          <cell r="M2178" t="str">
            <v>Somerset</v>
          </cell>
          <cell r="N2178" t="str">
            <v>BS21 6AH</v>
          </cell>
          <cell r="O2178" t="str">
            <v>jwells@clevedon.n-somerset.sch.uk</v>
          </cell>
          <cell r="P2178">
            <v>40728</v>
          </cell>
        </row>
        <row r="2179">
          <cell r="A2179">
            <v>9163372</v>
          </cell>
          <cell r="B2179">
            <v>135266</v>
          </cell>
          <cell r="C2179">
            <v>916</v>
          </cell>
          <cell r="D2179" t="str">
            <v>Gloucestershire</v>
          </cell>
          <cell r="E2179">
            <v>3372</v>
          </cell>
          <cell r="F2179" t="str">
            <v>Nigel Mills</v>
          </cell>
          <cell r="G2179" t="str">
            <v>King's Stanley CofE Primary School</v>
          </cell>
          <cell r="H2179" t="str">
            <v>South West</v>
          </cell>
          <cell r="I2179" t="str">
            <v>Broad Street</v>
          </cell>
          <cell r="J2179" t="str">
            <v>King's Stanley</v>
          </cell>
          <cell r="L2179" t="str">
            <v>Stonehouse</v>
          </cell>
          <cell r="M2179" t="str">
            <v>Gloucestershire</v>
          </cell>
          <cell r="N2179" t="str">
            <v>GL10 3PN</v>
          </cell>
          <cell r="O2179" t="str">
            <v>phil.battrick@sitm.co.uk</v>
          </cell>
          <cell r="P2179">
            <v>41047</v>
          </cell>
        </row>
        <row r="2180">
          <cell r="A2180">
            <v>8552191</v>
          </cell>
          <cell r="B2180">
            <v>119991</v>
          </cell>
          <cell r="C2180">
            <v>855</v>
          </cell>
          <cell r="D2180" t="str">
            <v>Leicestershire</v>
          </cell>
          <cell r="E2180">
            <v>2191</v>
          </cell>
          <cell r="F2180" t="str">
            <v>Sue Harp</v>
          </cell>
          <cell r="G2180" t="str">
            <v>Sherard Primary School and Community Centre</v>
          </cell>
          <cell r="H2180" t="str">
            <v>East Midlands</v>
          </cell>
          <cell r="I2180" t="str">
            <v>Grange Drive</v>
          </cell>
          <cell r="L2180" t="str">
            <v>Melton Mowbray</v>
          </cell>
          <cell r="M2180" t="str">
            <v>Leicestershire</v>
          </cell>
          <cell r="N2180" t="str">
            <v>LE13 1HA</v>
          </cell>
          <cell r="O2180" t="str">
            <v>ict.admin@sherard.leics.sch.uk</v>
          </cell>
        </row>
        <row r="2181">
          <cell r="A2181">
            <v>3125411</v>
          </cell>
          <cell r="B2181">
            <v>102451</v>
          </cell>
          <cell r="C2181">
            <v>312</v>
          </cell>
          <cell r="D2181" t="str">
            <v>Hillingdon</v>
          </cell>
          <cell r="E2181">
            <v>5411</v>
          </cell>
          <cell r="F2181" t="str">
            <v>Sheila Longstaff</v>
          </cell>
          <cell r="G2181" t="str">
            <v>Harlington Community School</v>
          </cell>
          <cell r="H2181" t="str">
            <v>London</v>
          </cell>
          <cell r="I2181" t="str">
            <v>Pinkwell Lane</v>
          </cell>
          <cell r="J2181" t="str">
            <v>Harlington</v>
          </cell>
          <cell r="L2181" t="str">
            <v>Hayes</v>
          </cell>
          <cell r="N2181" t="str">
            <v>UB3 1PB</v>
          </cell>
          <cell r="O2181" t="str">
            <v>ehorrigan@hillingdongrid.org</v>
          </cell>
        </row>
        <row r="2182">
          <cell r="A2182">
            <v>8915401</v>
          </cell>
          <cell r="B2182">
            <v>122903</v>
          </cell>
          <cell r="C2182">
            <v>891</v>
          </cell>
          <cell r="D2182" t="str">
            <v>Nottinghamshire</v>
          </cell>
          <cell r="E2182">
            <v>5401</v>
          </cell>
          <cell r="F2182" t="str">
            <v>Paul Hayes</v>
          </cell>
          <cell r="G2182" t="str">
            <v>George Spencer Foundation School and Technology College</v>
          </cell>
          <cell r="H2182" t="str">
            <v>East Midlands</v>
          </cell>
          <cell r="I2182" t="str">
            <v>Arthur Mee Road</v>
          </cell>
          <cell r="J2182" t="str">
            <v>Stapleford</v>
          </cell>
          <cell r="L2182" t="str">
            <v>Nottingham</v>
          </cell>
          <cell r="M2182" t="str">
            <v>Nottinghamshire</v>
          </cell>
          <cell r="N2182" t="str">
            <v>NG9 7EW</v>
          </cell>
          <cell r="O2182" t="str">
            <v>sjowett@george-spencer.notts.sch.uk</v>
          </cell>
          <cell r="P2182">
            <v>40359</v>
          </cell>
        </row>
        <row r="2183">
          <cell r="A2183">
            <v>8835438</v>
          </cell>
          <cell r="B2183">
            <v>115354</v>
          </cell>
          <cell r="C2183">
            <v>883</v>
          </cell>
          <cell r="D2183" t="str">
            <v>Thurrock</v>
          </cell>
          <cell r="E2183">
            <v>5438</v>
          </cell>
          <cell r="F2183" t="str">
            <v>Struan Mackenzie</v>
          </cell>
          <cell r="G2183" t="str">
            <v>William Edwards School and Sports College</v>
          </cell>
          <cell r="H2183" t="str">
            <v>East of England</v>
          </cell>
          <cell r="I2183" t="str">
            <v>Stifford Clays Road</v>
          </cell>
          <cell r="J2183" t="str">
            <v>Stifford Clays</v>
          </cell>
          <cell r="L2183" t="str">
            <v>Grays</v>
          </cell>
          <cell r="M2183" t="str">
            <v>Essex</v>
          </cell>
          <cell r="N2183" t="str">
            <v>RM16 3NJ</v>
          </cell>
          <cell r="O2183" t="str">
            <v>wesking@williamedwards.org.uk</v>
          </cell>
          <cell r="P2183">
            <v>40640</v>
          </cell>
        </row>
        <row r="2184">
          <cell r="A2184">
            <v>8012007</v>
          </cell>
          <cell r="B2184">
            <v>131494</v>
          </cell>
          <cell r="C2184">
            <v>801</v>
          </cell>
          <cell r="D2184" t="str">
            <v>Bristol City of</v>
          </cell>
          <cell r="E2184">
            <v>2007</v>
          </cell>
          <cell r="F2184" t="str">
            <v>Sean Cox</v>
          </cell>
          <cell r="G2184" t="str">
            <v>Connaught Primary School</v>
          </cell>
          <cell r="H2184" t="str">
            <v>South West</v>
          </cell>
          <cell r="I2184" t="str">
            <v>Melvin Square</v>
          </cell>
          <cell r="J2184" t="str">
            <v>Knowle West</v>
          </cell>
          <cell r="L2184" t="str">
            <v>Bristol</v>
          </cell>
          <cell r="N2184" t="str">
            <v>BS4 1NH</v>
          </cell>
          <cell r="P2184">
            <v>40521</v>
          </cell>
        </row>
        <row r="2185">
          <cell r="A2185">
            <v>9282024</v>
          </cell>
          <cell r="B2185">
            <v>121812</v>
          </cell>
          <cell r="C2185">
            <v>928</v>
          </cell>
          <cell r="D2185" t="str">
            <v>Northamptonshire</v>
          </cell>
          <cell r="E2185">
            <v>2024</v>
          </cell>
          <cell r="F2185" t="str">
            <v>Sue Harp</v>
          </cell>
          <cell r="G2185" t="str">
            <v>Crick Primary School</v>
          </cell>
          <cell r="H2185" t="str">
            <v>East Midlands</v>
          </cell>
          <cell r="I2185" t="str">
            <v>Main Road</v>
          </cell>
          <cell r="J2185" t="str">
            <v>Crick</v>
          </cell>
          <cell r="L2185" t="str">
            <v>Northampton</v>
          </cell>
          <cell r="M2185" t="str">
            <v>Northamptonshire</v>
          </cell>
          <cell r="N2185" t="str">
            <v>NN6 7TU</v>
          </cell>
        </row>
        <row r="2186">
          <cell r="A2186">
            <v>8813811</v>
          </cell>
          <cell r="B2186">
            <v>115198</v>
          </cell>
          <cell r="C2186">
            <v>881</v>
          </cell>
          <cell r="D2186" t="str">
            <v>Essex</v>
          </cell>
          <cell r="E2186">
            <v>3811</v>
          </cell>
          <cell r="F2186" t="str">
            <v>David Rudd</v>
          </cell>
          <cell r="G2186" t="str">
            <v>St Francis Catholic Primary School, Maldon</v>
          </cell>
          <cell r="H2186" t="str">
            <v>East of England</v>
          </cell>
          <cell r="I2186" t="str">
            <v>London Road</v>
          </cell>
          <cell r="L2186" t="str">
            <v>Maldon</v>
          </cell>
          <cell r="M2186" t="str">
            <v>Essex</v>
          </cell>
          <cell r="N2186" t="str">
            <v>CM9 6HN</v>
          </cell>
        </row>
        <row r="2187">
          <cell r="A2187">
            <v>8354178</v>
          </cell>
          <cell r="B2187">
            <v>113874</v>
          </cell>
          <cell r="C2187">
            <v>835</v>
          </cell>
          <cell r="D2187" t="str">
            <v>Dorset</v>
          </cell>
          <cell r="E2187">
            <v>4178</v>
          </cell>
          <cell r="F2187" t="str">
            <v>Tahamina Khan</v>
          </cell>
          <cell r="G2187" t="str">
            <v>The Grange School</v>
          </cell>
          <cell r="H2187" t="str">
            <v>South West</v>
          </cell>
          <cell r="I2187" t="str">
            <v>Redvers Road</v>
          </cell>
          <cell r="L2187" t="str">
            <v>Christchurch</v>
          </cell>
          <cell r="M2187" t="str">
            <v>Dorset</v>
          </cell>
          <cell r="N2187" t="str">
            <v>BH23 3AU</v>
          </cell>
          <cell r="O2187" t="str">
            <v>m.stenton@grange.dorset.sch.uk</v>
          </cell>
        </row>
        <row r="2188">
          <cell r="A2188">
            <v>9163354</v>
          </cell>
          <cell r="B2188">
            <v>115705</v>
          </cell>
          <cell r="C2188">
            <v>916</v>
          </cell>
          <cell r="D2188" t="str">
            <v>Gloucestershire</v>
          </cell>
          <cell r="E2188">
            <v>3354</v>
          </cell>
          <cell r="F2188" t="str">
            <v>Not yet assigned</v>
          </cell>
          <cell r="G2188" t="str">
            <v>St Catharine's Catholic Primary School</v>
          </cell>
          <cell r="H2188" t="str">
            <v>South West</v>
          </cell>
          <cell r="I2188" t="str">
            <v>Lower High Street</v>
          </cell>
          <cell r="L2188" t="str">
            <v>Chipping Campden</v>
          </cell>
          <cell r="M2188" t="str">
            <v>Gloucestershire</v>
          </cell>
          <cell r="N2188" t="str">
            <v>GL55 6DZ</v>
          </cell>
          <cell r="O2188" t="str">
            <v>head@st-catharines.gloucs.sch.uk</v>
          </cell>
        </row>
        <row r="2189">
          <cell r="A2189">
            <v>3333007</v>
          </cell>
          <cell r="B2189">
            <v>133261</v>
          </cell>
          <cell r="C2189">
            <v>333</v>
          </cell>
          <cell r="D2189" t="str">
            <v>Sandwell</v>
          </cell>
          <cell r="E2189">
            <v>3007</v>
          </cell>
          <cell r="F2189" t="str">
            <v>Stephen Bagnall</v>
          </cell>
          <cell r="G2189" t="str">
            <v>Tividale Community Primary School</v>
          </cell>
          <cell r="H2189" t="str">
            <v>West Midlands</v>
          </cell>
          <cell r="I2189" t="str">
            <v>Dudley Road West</v>
          </cell>
          <cell r="J2189" t="str">
            <v>Tividale</v>
          </cell>
          <cell r="L2189" t="str">
            <v>Oldbury</v>
          </cell>
          <cell r="M2189" t="str">
            <v>West Midlands</v>
          </cell>
          <cell r="N2189" t="str">
            <v>B69 2HT</v>
          </cell>
          <cell r="O2189" t="str">
            <v>emma.burnell@tividale-pri.sandwell.sch.uk</v>
          </cell>
        </row>
        <row r="2190">
          <cell r="A2190">
            <v>9082134</v>
          </cell>
          <cell r="B2190">
            <v>111832</v>
          </cell>
          <cell r="C2190">
            <v>908</v>
          </cell>
          <cell r="D2190" t="str">
            <v>Cornwall</v>
          </cell>
          <cell r="E2190">
            <v>2134</v>
          </cell>
          <cell r="F2190" t="str">
            <v>John Soysa</v>
          </cell>
          <cell r="G2190" t="str">
            <v>Nansloe Community Primary School</v>
          </cell>
          <cell r="H2190" t="str">
            <v>South West</v>
          </cell>
          <cell r="I2190" t="str">
            <v>Bulwark Road</v>
          </cell>
          <cell r="L2190" t="str">
            <v>Helston</v>
          </cell>
          <cell r="M2190" t="str">
            <v>Cornwall</v>
          </cell>
          <cell r="N2190" t="str">
            <v>TR13 8JF</v>
          </cell>
          <cell r="O2190" t="str">
            <v>richardthomas77@talktalk.net</v>
          </cell>
          <cell r="P2190">
            <v>40689</v>
          </cell>
        </row>
        <row r="2191">
          <cell r="A2191">
            <v>9314092</v>
          </cell>
          <cell r="B2191">
            <v>123245</v>
          </cell>
          <cell r="C2191">
            <v>931</v>
          </cell>
          <cell r="D2191" t="str">
            <v>Oxfordshire</v>
          </cell>
          <cell r="E2191">
            <v>4092</v>
          </cell>
          <cell r="F2191" t="str">
            <v>Sarah Nairne</v>
          </cell>
          <cell r="G2191" t="str">
            <v>Chiltern Edge Community School</v>
          </cell>
          <cell r="H2191" t="str">
            <v>South East</v>
          </cell>
          <cell r="I2191" t="str">
            <v>Reades Lane</v>
          </cell>
          <cell r="J2191" t="str">
            <v>Sonning Common</v>
          </cell>
          <cell r="L2191" t="str">
            <v>Reading</v>
          </cell>
          <cell r="M2191" t="str">
            <v>Berkshire</v>
          </cell>
          <cell r="N2191" t="str">
            <v>RG4 9LN</v>
          </cell>
          <cell r="O2191" t="str">
            <v>dsadler@chilternedge.oxon.sch.uk</v>
          </cell>
          <cell r="P2191">
            <v>41218</v>
          </cell>
        </row>
        <row r="2192">
          <cell r="A2192">
            <v>3735203</v>
          </cell>
          <cell r="B2192">
            <v>107153</v>
          </cell>
          <cell r="C2192">
            <v>373</v>
          </cell>
          <cell r="D2192" t="str">
            <v>Sheffield</v>
          </cell>
          <cell r="E2192">
            <v>5203</v>
          </cell>
          <cell r="F2192" t="str">
            <v>Michael Corner</v>
          </cell>
          <cell r="G2192" t="str">
            <v>St Joseph's Catholic Primary School</v>
          </cell>
          <cell r="H2192" t="str">
            <v>Yorkshire and the Humber</v>
          </cell>
          <cell r="I2192" t="str">
            <v>St Joseph's Road</v>
          </cell>
          <cell r="J2192" t="str">
            <v>Handsworth</v>
          </cell>
          <cell r="L2192" t="str">
            <v>Sheffield</v>
          </cell>
          <cell r="M2192" t="str">
            <v>South Yorkshire</v>
          </cell>
          <cell r="N2192" t="str">
            <v>S13 9AT</v>
          </cell>
          <cell r="O2192" t="str">
            <v>headteacher@st-josephs.sheffield.sch.uk</v>
          </cell>
          <cell r="P2192">
            <v>41205</v>
          </cell>
        </row>
        <row r="2193">
          <cell r="A2193">
            <v>3734229</v>
          </cell>
          <cell r="B2193">
            <v>107128</v>
          </cell>
          <cell r="C2193">
            <v>373</v>
          </cell>
          <cell r="D2193" t="str">
            <v>Sheffield</v>
          </cell>
          <cell r="E2193">
            <v>4229</v>
          </cell>
          <cell r="F2193" t="str">
            <v>Nick Monton</v>
          </cell>
          <cell r="G2193" t="str">
            <v>Silverdale School</v>
          </cell>
          <cell r="H2193" t="str">
            <v>Yorkshire and the Humber</v>
          </cell>
          <cell r="I2193" t="str">
            <v>Bents Crescent</v>
          </cell>
          <cell r="L2193" t="str">
            <v>Sheffield</v>
          </cell>
          <cell r="M2193" t="str">
            <v>South Yorkshire</v>
          </cell>
          <cell r="N2193" t="str">
            <v>S11 9QH</v>
          </cell>
          <cell r="O2193" t="str">
            <v>rexton@silverdale.sheffield.sch.uk</v>
          </cell>
          <cell r="P2193">
            <v>40983</v>
          </cell>
        </row>
        <row r="2194">
          <cell r="A2194">
            <v>3802177</v>
          </cell>
          <cell r="B2194">
            <v>107289</v>
          </cell>
          <cell r="C2194">
            <v>380</v>
          </cell>
          <cell r="D2194" t="str">
            <v>Bradford</v>
          </cell>
          <cell r="E2194">
            <v>2177</v>
          </cell>
          <cell r="F2194" t="str">
            <v>Nick Monton</v>
          </cell>
          <cell r="G2194" t="str">
            <v>Feversham Primary School</v>
          </cell>
          <cell r="H2194" t="str">
            <v>Yorkshire and the Humber</v>
          </cell>
          <cell r="I2194" t="str">
            <v>Harewood Street</v>
          </cell>
          <cell r="L2194" t="str">
            <v>Bradford</v>
          </cell>
          <cell r="M2194" t="str">
            <v>West Yorkshire</v>
          </cell>
          <cell r="N2194" t="str">
            <v>BD3 9EG</v>
          </cell>
          <cell r="O2194" t="str">
            <v>R.butt@fevershamprimary.bradford.sch.uk</v>
          </cell>
        </row>
        <row r="2195">
          <cell r="A2195">
            <v>3444069</v>
          </cell>
          <cell r="B2195">
            <v>105105</v>
          </cell>
          <cell r="C2195">
            <v>344</v>
          </cell>
          <cell r="D2195" t="str">
            <v>Wirral</v>
          </cell>
          <cell r="E2195">
            <v>4069</v>
          </cell>
          <cell r="F2195" t="str">
            <v>Maria Sabberton</v>
          </cell>
          <cell r="G2195" t="str">
            <v>Weatherhead High School</v>
          </cell>
          <cell r="H2195" t="str">
            <v>North West</v>
          </cell>
          <cell r="I2195" t="str">
            <v>Breck Rd</v>
          </cell>
          <cell r="L2195" t="str">
            <v>Wallasey</v>
          </cell>
          <cell r="M2195" t="str">
            <v>Merseyside</v>
          </cell>
          <cell r="N2195" t="str">
            <v>CH44 3HS</v>
          </cell>
          <cell r="O2195" t="str">
            <v>dymentn@weatherhead.wirral.sch.uk</v>
          </cell>
          <cell r="P2195">
            <v>40724</v>
          </cell>
        </row>
        <row r="2196">
          <cell r="A2196">
            <v>8954801</v>
          </cell>
          <cell r="B2196">
            <v>111458</v>
          </cell>
          <cell r="C2196">
            <v>895</v>
          </cell>
          <cell r="D2196" t="str">
            <v>Cheshire East</v>
          </cell>
          <cell r="E2196">
            <v>4801</v>
          </cell>
          <cell r="F2196" t="str">
            <v>Jane McCusker</v>
          </cell>
          <cell r="G2196" t="str">
            <v>All Halllows Catholic College</v>
          </cell>
          <cell r="H2196" t="str">
            <v>North West</v>
          </cell>
          <cell r="I2196" t="str">
            <v>Brooklands Avenue</v>
          </cell>
          <cell r="L2196" t="str">
            <v>Macclesfield</v>
          </cell>
          <cell r="M2196" t="str">
            <v>Cheshire</v>
          </cell>
          <cell r="N2196" t="str">
            <v>SK11 8LB</v>
          </cell>
          <cell r="O2196" t="str">
            <v>head@allhallows.org.uk</v>
          </cell>
          <cell r="P2196">
            <v>41166</v>
          </cell>
        </row>
        <row r="2197">
          <cell r="A2197">
            <v>8902210</v>
          </cell>
          <cell r="B2197">
            <v>119248</v>
          </cell>
          <cell r="C2197">
            <v>890</v>
          </cell>
          <cell r="D2197" t="str">
            <v>Blackpool</v>
          </cell>
          <cell r="E2197">
            <v>2210</v>
          </cell>
          <cell r="F2197" t="str">
            <v>Viv Clutton</v>
          </cell>
          <cell r="G2197" t="str">
            <v>Revoe Community Primary School</v>
          </cell>
          <cell r="H2197" t="str">
            <v>North West</v>
          </cell>
          <cell r="I2197" t="str">
            <v>Grasmere Road</v>
          </cell>
          <cell r="L2197" t="str">
            <v>Blackpool</v>
          </cell>
          <cell r="M2197" t="str">
            <v>Lancashire</v>
          </cell>
          <cell r="N2197" t="str">
            <v>FY1 5HP</v>
          </cell>
          <cell r="O2197" t="str">
            <v>catherine.woodall@revoe.blackpool.sch.uk</v>
          </cell>
        </row>
        <row r="2198">
          <cell r="A2198">
            <v>9382042</v>
          </cell>
          <cell r="B2198">
            <v>125841</v>
          </cell>
          <cell r="C2198">
            <v>938</v>
          </cell>
          <cell r="D2198" t="str">
            <v>West Sussex</v>
          </cell>
          <cell r="E2198">
            <v>2042</v>
          </cell>
          <cell r="F2198" t="str">
            <v>Sarah Mitchell</v>
          </cell>
          <cell r="G2198" t="str">
            <v>North Lancing Primary School</v>
          </cell>
          <cell r="H2198" t="str">
            <v>South East</v>
          </cell>
          <cell r="I2198" t="str">
            <v>Mill Road</v>
          </cell>
          <cell r="J2198" t="str">
            <v>North Lancing</v>
          </cell>
          <cell r="L2198" t="str">
            <v>Lancing</v>
          </cell>
          <cell r="M2198" t="str">
            <v>West Sussex</v>
          </cell>
          <cell r="N2198" t="str">
            <v>BN15 0PT</v>
          </cell>
          <cell r="O2198" t="str">
            <v>office@northlancing.w-sussex.sch.uk</v>
          </cell>
        </row>
        <row r="2199">
          <cell r="A2199">
            <v>8013414</v>
          </cell>
          <cell r="B2199">
            <v>109253</v>
          </cell>
          <cell r="C2199">
            <v>801</v>
          </cell>
          <cell r="D2199" t="str">
            <v>Bristol City of</v>
          </cell>
          <cell r="E2199">
            <v>3414</v>
          </cell>
          <cell r="F2199" t="str">
            <v>Nigel Mills</v>
          </cell>
          <cell r="G2199" t="str">
            <v>St Teresa's Catholic Primary School</v>
          </cell>
          <cell r="H2199" t="str">
            <v>South West</v>
          </cell>
          <cell r="I2199" t="str">
            <v>Luckington Road</v>
          </cell>
          <cell r="J2199" t="str">
            <v>Monks Park</v>
          </cell>
          <cell r="L2199" t="str">
            <v>Bristol</v>
          </cell>
          <cell r="N2199" t="str">
            <v>BS7 0UP</v>
          </cell>
          <cell r="O2199" t="str">
            <v>headstteresasp@bristol.gov.uk</v>
          </cell>
          <cell r="P2199">
            <v>41071</v>
          </cell>
        </row>
        <row r="2200">
          <cell r="A2200">
            <v>8302072</v>
          </cell>
          <cell r="B2200">
            <v>112526</v>
          </cell>
          <cell r="C2200">
            <v>830</v>
          </cell>
          <cell r="D2200" t="str">
            <v>Derbyshire</v>
          </cell>
          <cell r="E2200">
            <v>2072</v>
          </cell>
          <cell r="F2200" t="str">
            <v>Gabriela Grimley</v>
          </cell>
          <cell r="G2200" t="str">
            <v>Buxworth Primary School</v>
          </cell>
          <cell r="H2200" t="str">
            <v>East Midlands</v>
          </cell>
          <cell r="I2200" t="str">
            <v>Station Road</v>
          </cell>
          <cell r="J2200" t="str">
            <v>Buxworth</v>
          </cell>
          <cell r="L2200" t="str">
            <v>High Peak</v>
          </cell>
          <cell r="M2200" t="str">
            <v>Derbyshire</v>
          </cell>
          <cell r="N2200" t="str">
            <v>SK23 7NJ</v>
          </cell>
          <cell r="O2200" t="str">
            <v>headteacher@buxworth.derbyshire.sch.uk</v>
          </cell>
        </row>
        <row r="2201">
          <cell r="A2201">
            <v>2033338</v>
          </cell>
          <cell r="B2201">
            <v>100167</v>
          </cell>
          <cell r="C2201">
            <v>203</v>
          </cell>
          <cell r="D2201" t="str">
            <v>Greenwich</v>
          </cell>
          <cell r="E2201">
            <v>3338</v>
          </cell>
          <cell r="F2201" t="str">
            <v>Cheryl Davies</v>
          </cell>
          <cell r="G2201" t="str">
            <v>Eltham Church of England Primary School</v>
          </cell>
          <cell r="H2201" t="str">
            <v>London</v>
          </cell>
          <cell r="I2201" t="str">
            <v>Roper Street</v>
          </cell>
          <cell r="J2201" t="str">
            <v>Eltham</v>
          </cell>
          <cell r="L2201" t="str">
            <v>London</v>
          </cell>
          <cell r="N2201" t="str">
            <v>SE9 1TR</v>
          </cell>
          <cell r="O2201" t="str">
            <v>headteacher@elthamce.greenwich.sch.uk</v>
          </cell>
        </row>
        <row r="2202">
          <cell r="A2202">
            <v>8302217</v>
          </cell>
          <cell r="B2202">
            <v>112618</v>
          </cell>
          <cell r="C2202">
            <v>830</v>
          </cell>
          <cell r="D2202" t="str">
            <v>Derbyshire</v>
          </cell>
          <cell r="E2202">
            <v>2217</v>
          </cell>
          <cell r="F2202" t="str">
            <v>Stephen Standret</v>
          </cell>
          <cell r="G2202" t="str">
            <v>Shardlow Primary School</v>
          </cell>
          <cell r="H2202" t="str">
            <v>East Midlands</v>
          </cell>
          <cell r="I2202" t="str">
            <v>London Road</v>
          </cell>
          <cell r="J2202" t="str">
            <v>Shardlow</v>
          </cell>
          <cell r="L2202" t="str">
            <v>Derby</v>
          </cell>
          <cell r="M2202" t="str">
            <v>Derbyshire</v>
          </cell>
          <cell r="N2202" t="str">
            <v>DE72 2GR</v>
          </cell>
          <cell r="O2202" t="str">
            <v>headteacher@shardlow.derbyshire.sch.uk</v>
          </cell>
        </row>
        <row r="2203">
          <cell r="A2203">
            <v>8612040</v>
          </cell>
          <cell r="B2203">
            <v>123991</v>
          </cell>
          <cell r="C2203">
            <v>861</v>
          </cell>
          <cell r="D2203" t="str">
            <v>Stoke-on-Trent</v>
          </cell>
          <cell r="E2203">
            <v>2040</v>
          </cell>
          <cell r="F2203" t="str">
            <v>Sally Gardiner</v>
          </cell>
          <cell r="G2203" t="str">
            <v>Carmountside Primary School</v>
          </cell>
          <cell r="H2203" t="str">
            <v>West Midlands</v>
          </cell>
          <cell r="I2203" t="str">
            <v>Woodhead Road</v>
          </cell>
          <cell r="J2203" t="str">
            <v>Abbey Hulton</v>
          </cell>
          <cell r="L2203" t="str">
            <v>Stoke-on-Trent</v>
          </cell>
          <cell r="M2203" t="str">
            <v>Staffordshire</v>
          </cell>
          <cell r="N2203" t="str">
            <v>ST2 8DJ</v>
          </cell>
          <cell r="O2203" t="str">
            <v>pmclauchlan@sgfl.org.uk</v>
          </cell>
          <cell r="P2203">
            <v>40995</v>
          </cell>
        </row>
        <row r="2204">
          <cell r="A2204">
            <v>8365951</v>
          </cell>
          <cell r="B2204">
            <v>113959</v>
          </cell>
          <cell r="C2204">
            <v>836</v>
          </cell>
          <cell r="D2204" t="str">
            <v>Poole</v>
          </cell>
          <cell r="E2204">
            <v>5951</v>
          </cell>
          <cell r="F2204" t="str">
            <v>Colin McGuffie</v>
          </cell>
          <cell r="G2204" t="str">
            <v>Montacute School</v>
          </cell>
          <cell r="H2204" t="str">
            <v>South West</v>
          </cell>
          <cell r="I2204" t="str">
            <v>3 Canford Heath Road</v>
          </cell>
          <cell r="L2204" t="str">
            <v>Poole</v>
          </cell>
          <cell r="M2204" t="str">
            <v>Dorset</v>
          </cell>
          <cell r="N2204" t="str">
            <v>BH17 9NG</v>
          </cell>
          <cell r="O2204" t="str">
            <v>andrew.mears@montacute.poole.sch.uk</v>
          </cell>
          <cell r="P2204">
            <v>40569</v>
          </cell>
        </row>
        <row r="2205">
          <cell r="A2205">
            <v>8654069</v>
          </cell>
          <cell r="B2205">
            <v>126457</v>
          </cell>
          <cell r="C2205">
            <v>865</v>
          </cell>
          <cell r="D2205" t="str">
            <v>Wiltshire</v>
          </cell>
          <cell r="E2205">
            <v>4069</v>
          </cell>
          <cell r="F2205" t="str">
            <v>Niko Thomas</v>
          </cell>
          <cell r="G2205" t="str">
            <v>The Clarendon College</v>
          </cell>
          <cell r="H2205" t="str">
            <v>South West</v>
          </cell>
          <cell r="I2205" t="str">
            <v>Frome Road</v>
          </cell>
          <cell r="L2205" t="str">
            <v>Trowbridge</v>
          </cell>
          <cell r="M2205" t="str">
            <v>Wiltshire</v>
          </cell>
          <cell r="N2205" t="str">
            <v>BA14 0DJ</v>
          </cell>
          <cell r="O2205" t="str">
            <v>general@theclarendoncollege.com</v>
          </cell>
        </row>
        <row r="2206">
          <cell r="A2206">
            <v>8133325</v>
          </cell>
          <cell r="B2206">
            <v>118041</v>
          </cell>
          <cell r="C2206">
            <v>813</v>
          </cell>
          <cell r="D2206" t="str">
            <v>North Lincolnshire</v>
          </cell>
          <cell r="E2206">
            <v>3325</v>
          </cell>
          <cell r="F2206" t="str">
            <v>Nick Monton</v>
          </cell>
          <cell r="G2206" t="str">
            <v>St Bernadette's Catholic Primary School</v>
          </cell>
          <cell r="H2206" t="str">
            <v>Yorkshire and the Humber</v>
          </cell>
          <cell r="I2206" t="str">
            <v>Anne's Crescent</v>
          </cell>
          <cell r="J2206" t="str">
            <v>Ashby</v>
          </cell>
          <cell r="L2206" t="str">
            <v>Scunthorpe</v>
          </cell>
          <cell r="M2206" t="str">
            <v>Lincolnshire</v>
          </cell>
          <cell r="N2206" t="str">
            <v>DN16 2LW</v>
          </cell>
          <cell r="O2206" t="str">
            <v>head.saintbernadettes@northlincs.gov.uk</v>
          </cell>
          <cell r="P2206">
            <v>40884</v>
          </cell>
        </row>
        <row r="2207">
          <cell r="A2207">
            <v>9284042</v>
          </cell>
          <cell r="B2207">
            <v>122061</v>
          </cell>
          <cell r="C2207">
            <v>928</v>
          </cell>
          <cell r="D2207" t="str">
            <v>Northamptonshire</v>
          </cell>
          <cell r="E2207">
            <v>4042</v>
          </cell>
          <cell r="F2207" t="str">
            <v>Stephen Standret</v>
          </cell>
          <cell r="G2207" t="str">
            <v>Guilsborough School and Technology College</v>
          </cell>
          <cell r="H2207" t="str">
            <v>East Midlands</v>
          </cell>
          <cell r="I2207" t="str">
            <v>West Haddon Road</v>
          </cell>
          <cell r="J2207" t="str">
            <v>Guilsborough</v>
          </cell>
          <cell r="L2207" t="str">
            <v>Northampton</v>
          </cell>
          <cell r="M2207" t="str">
            <v>Northamptonshire</v>
          </cell>
          <cell r="N2207" t="str">
            <v>NN6 8QE</v>
          </cell>
          <cell r="O2207" t="str">
            <v>head@guilsborough-sch.northants-ecl.gov.uk</v>
          </cell>
          <cell r="P2207">
            <v>40507</v>
          </cell>
        </row>
        <row r="2208">
          <cell r="A2208">
            <v>3124023</v>
          </cell>
          <cell r="B2208">
            <v>133625</v>
          </cell>
          <cell r="C2208">
            <v>312</v>
          </cell>
          <cell r="D2208" t="str">
            <v>Hillingdon</v>
          </cell>
          <cell r="E2208">
            <v>4023</v>
          </cell>
          <cell r="F2208" t="str">
            <v>Martin Rowley</v>
          </cell>
          <cell r="G2208" t="str">
            <v>Ruislip High School</v>
          </cell>
          <cell r="H2208" t="str">
            <v>London</v>
          </cell>
          <cell r="I2208" t="str">
            <v>Sidmouth Drive</v>
          </cell>
          <cell r="L2208" t="str">
            <v>Ruislip</v>
          </cell>
          <cell r="M2208" t="str">
            <v>Middlesex</v>
          </cell>
          <cell r="N2208" t="str">
            <v>HA4 0BY</v>
          </cell>
          <cell r="O2208" t="str">
            <v>mlecky1@ruisliphigh.com</v>
          </cell>
        </row>
        <row r="2209">
          <cell r="A2209">
            <v>8554508</v>
          </cell>
          <cell r="B2209">
            <v>120303</v>
          </cell>
          <cell r="C2209">
            <v>855</v>
          </cell>
          <cell r="D2209" t="str">
            <v>Leicestershire</v>
          </cell>
          <cell r="E2209">
            <v>4508</v>
          </cell>
          <cell r="F2209" t="str">
            <v>Susan Shakespeare</v>
          </cell>
          <cell r="G2209" t="str">
            <v>Ashby School (This school has boarding)</v>
          </cell>
          <cell r="H2209" t="str">
            <v>East Midlands</v>
          </cell>
          <cell r="I2209" t="str">
            <v>Nottingham Road</v>
          </cell>
          <cell r="L2209" t="str">
            <v>Ashby-de-la-Zouch</v>
          </cell>
          <cell r="M2209" t="str">
            <v>Leicestershire</v>
          </cell>
          <cell r="N2209" t="str">
            <v>LE65 1DT</v>
          </cell>
          <cell r="O2209" t="str">
            <v>e.green@ashbyschool.org.uk</v>
          </cell>
          <cell r="P2209">
            <v>40939</v>
          </cell>
        </row>
        <row r="2210">
          <cell r="A2210">
            <v>3334025</v>
          </cell>
          <cell r="B2210">
            <v>104008</v>
          </cell>
          <cell r="C2210">
            <v>333</v>
          </cell>
          <cell r="D2210" t="str">
            <v>Sandwell</v>
          </cell>
          <cell r="E2210">
            <v>4025</v>
          </cell>
          <cell r="F2210" t="str">
            <v>Hannah Copp</v>
          </cell>
          <cell r="G2210" t="str">
            <v>Alexandra High School and Sixth Form Centre</v>
          </cell>
          <cell r="H2210" t="str">
            <v>West Midlands</v>
          </cell>
          <cell r="I2210" t="str">
            <v>Alexandra Road</v>
          </cell>
          <cell r="L2210" t="str">
            <v>Tipton</v>
          </cell>
          <cell r="M2210" t="str">
            <v>West Midlands</v>
          </cell>
          <cell r="N2210" t="str">
            <v>DY4 7NR</v>
          </cell>
          <cell r="O2210" t="str">
            <v>tracy.hall@alexandra.sandwell.sch.uk</v>
          </cell>
          <cell r="P2210">
            <v>41051</v>
          </cell>
        </row>
        <row r="2211">
          <cell r="A2211">
            <v>3082078</v>
          </cell>
          <cell r="B2211">
            <v>102018</v>
          </cell>
          <cell r="C2211">
            <v>308</v>
          </cell>
          <cell r="D2211" t="str">
            <v>Enfield</v>
          </cell>
          <cell r="E2211">
            <v>2078</v>
          </cell>
          <cell r="F2211" t="str">
            <v>Martin Rowley</v>
          </cell>
          <cell r="G2211" t="str">
            <v>Cuckoo Hall Primary School</v>
          </cell>
          <cell r="H2211" t="str">
            <v>London</v>
          </cell>
          <cell r="I2211" t="str">
            <v>Cuckoo Hall Lane</v>
          </cell>
          <cell r="J2211" t="str">
            <v>Edmonton</v>
          </cell>
          <cell r="L2211" t="str">
            <v>London</v>
          </cell>
          <cell r="N2211" t="str">
            <v>N9 8DR</v>
          </cell>
          <cell r="O2211" t="str">
            <v>patricia@cuckoohall.enfield.sch.uk</v>
          </cell>
          <cell r="P2211">
            <v>40338</v>
          </cell>
        </row>
        <row r="2212">
          <cell r="A2212">
            <v>9313760</v>
          </cell>
          <cell r="B2212">
            <v>123199</v>
          </cell>
          <cell r="C2212">
            <v>931</v>
          </cell>
          <cell r="D2212" t="str">
            <v>Oxfordshire</v>
          </cell>
          <cell r="E2212">
            <v>3760</v>
          </cell>
          <cell r="F2212" t="str">
            <v>Sarah Nairne</v>
          </cell>
          <cell r="G2212" t="str">
            <v>St Laurence Church of England (A) School</v>
          </cell>
          <cell r="H2212" t="str">
            <v>South East</v>
          </cell>
          <cell r="I2212" t="str">
            <v>Thame Road</v>
          </cell>
          <cell r="L2212" t="str">
            <v>Warborough</v>
          </cell>
          <cell r="M2212" t="str">
            <v>Oxfordshire</v>
          </cell>
          <cell r="N2212" t="str">
            <v>OX10 7DX</v>
          </cell>
          <cell r="O2212" t="str">
            <v>head.3760@st-laurence.oxon.sch.uk</v>
          </cell>
        </row>
        <row r="2213">
          <cell r="A2213">
            <v>8665410</v>
          </cell>
          <cell r="B2213">
            <v>126505</v>
          </cell>
          <cell r="C2213">
            <v>866</v>
          </cell>
          <cell r="D2213" t="str">
            <v>Swindon</v>
          </cell>
          <cell r="E2213">
            <v>5410</v>
          </cell>
          <cell r="F2213" t="str">
            <v>Maria Whiting</v>
          </cell>
          <cell r="G2213" t="str">
            <v>The Commonweal School</v>
          </cell>
          <cell r="H2213" t="str">
            <v>South West</v>
          </cell>
          <cell r="I2213" t="str">
            <v>The Mall</v>
          </cell>
          <cell r="J2213" t="str">
            <v>Old Town</v>
          </cell>
          <cell r="L2213" t="str">
            <v>Swindon</v>
          </cell>
          <cell r="M2213" t="str">
            <v>Wiltshire</v>
          </cell>
          <cell r="N2213" t="str">
            <v>SN1 4JE</v>
          </cell>
          <cell r="O2213" t="str">
            <v>KDefter@commonweal.co.uk</v>
          </cell>
          <cell r="P2213">
            <v>40632</v>
          </cell>
        </row>
        <row r="2214">
          <cell r="A2214">
            <v>9253308</v>
          </cell>
          <cell r="B2214">
            <v>120598</v>
          </cell>
          <cell r="C2214">
            <v>925</v>
          </cell>
          <cell r="D2214" t="str">
            <v>Lincolnshire</v>
          </cell>
          <cell r="E2214">
            <v>3308</v>
          </cell>
          <cell r="F2214" t="str">
            <v>Pauline Cole</v>
          </cell>
          <cell r="G2214" t="str">
            <v>The National Church of England Junior School, Grantham</v>
          </cell>
          <cell r="H2214" t="str">
            <v>East Midlands</v>
          </cell>
          <cell r="I2214" t="str">
            <v>Castlegate</v>
          </cell>
          <cell r="L2214" t="str">
            <v>Grantham</v>
          </cell>
          <cell r="M2214" t="str">
            <v>Lincolnshire</v>
          </cell>
          <cell r="N2214" t="str">
            <v>NG31 6SR</v>
          </cell>
          <cell r="O2214" t="str">
            <v>john.gibbs@national.lincs.sch.uk</v>
          </cell>
          <cell r="P2214">
            <v>41003</v>
          </cell>
        </row>
        <row r="2215">
          <cell r="A2215">
            <v>8655212</v>
          </cell>
          <cell r="B2215">
            <v>126486</v>
          </cell>
          <cell r="C2215">
            <v>865</v>
          </cell>
          <cell r="D2215" t="str">
            <v>Wiltshire</v>
          </cell>
          <cell r="E2215">
            <v>5212</v>
          </cell>
          <cell r="F2215" t="str">
            <v>Not yet assigned</v>
          </cell>
          <cell r="G2215" t="str">
            <v>Sutton Benger Church of England Aided Primary School</v>
          </cell>
          <cell r="H2215" t="str">
            <v>South West</v>
          </cell>
          <cell r="I2215" t="str">
            <v>40 Chestnut Road</v>
          </cell>
          <cell r="J2215" t="str">
            <v>Sutton Benger</v>
          </cell>
          <cell r="L2215" t="str">
            <v>Chippenham</v>
          </cell>
          <cell r="M2215" t="str">
            <v>Wiltshire</v>
          </cell>
          <cell r="N2215" t="str">
            <v>SN15 4RP</v>
          </cell>
          <cell r="O2215" t="str">
            <v>admin@suttonbenger.wilts.sch.uk</v>
          </cell>
        </row>
        <row r="2216">
          <cell r="A2216">
            <v>8822128</v>
          </cell>
          <cell r="B2216">
            <v>114791</v>
          </cell>
          <cell r="C2216">
            <v>882</v>
          </cell>
          <cell r="D2216" t="str">
            <v>Southend-on-Sea</v>
          </cell>
          <cell r="E2216">
            <v>2128</v>
          </cell>
          <cell r="F2216" t="str">
            <v>Michael Cook</v>
          </cell>
          <cell r="G2216" t="str">
            <v>Bournes Green Infant School</v>
          </cell>
          <cell r="H2216" t="str">
            <v>East of England</v>
          </cell>
          <cell r="I2216" t="str">
            <v>Burlescoombe Road</v>
          </cell>
          <cell r="L2216" t="str">
            <v>Southend-on-Sea</v>
          </cell>
          <cell r="M2216" t="str">
            <v>Essex</v>
          </cell>
          <cell r="N2216" t="str">
            <v>SS1 3PS</v>
          </cell>
          <cell r="O2216" t="str">
            <v>headteacher@bournesgreen-inf.southend.sch.uk</v>
          </cell>
        </row>
        <row r="2217">
          <cell r="A2217">
            <v>9365416</v>
          </cell>
          <cell r="B2217">
            <v>125316</v>
          </cell>
          <cell r="C2217">
            <v>936</v>
          </cell>
          <cell r="D2217" t="str">
            <v>Surrey</v>
          </cell>
          <cell r="E2217">
            <v>5416</v>
          </cell>
          <cell r="F2217" t="str">
            <v>Tony Dunne</v>
          </cell>
          <cell r="G2217" t="str">
            <v>Hinchley Wood School</v>
          </cell>
          <cell r="H2217" t="str">
            <v>South East</v>
          </cell>
          <cell r="I2217" t="str">
            <v>Claygate Lane</v>
          </cell>
          <cell r="J2217" t="str">
            <v>Hinchley Wood</v>
          </cell>
          <cell r="L2217" t="str">
            <v>Esher</v>
          </cell>
          <cell r="M2217" t="str">
            <v>Surrey</v>
          </cell>
          <cell r="N2217" t="str">
            <v>KT10 0AQ</v>
          </cell>
          <cell r="O2217" t="str">
            <v>spoole@hinchleywood.surrey.sch.uk</v>
          </cell>
          <cell r="P2217">
            <v>40651</v>
          </cell>
        </row>
        <row r="2218">
          <cell r="A2218">
            <v>2072229</v>
          </cell>
          <cell r="B2218">
            <v>100482</v>
          </cell>
          <cell r="C2218">
            <v>207</v>
          </cell>
          <cell r="D2218" t="str">
            <v>Kensington and Chelsea</v>
          </cell>
          <cell r="E2218">
            <v>2229</v>
          </cell>
          <cell r="F2218" t="str">
            <v>Tahir Shams</v>
          </cell>
          <cell r="G2218" t="str">
            <v>Fox Primary School</v>
          </cell>
          <cell r="H2218" t="str">
            <v>London</v>
          </cell>
          <cell r="I2218" t="str">
            <v>Kensington Place</v>
          </cell>
          <cell r="L2218" t="str">
            <v>London</v>
          </cell>
          <cell r="N2218" t="str">
            <v>W8 7PP</v>
          </cell>
          <cell r="O2218" t="str">
            <v>paul.cotter@fox.rbkc.sch.uk</v>
          </cell>
        </row>
        <row r="2219">
          <cell r="A2219">
            <v>9354011</v>
          </cell>
          <cell r="B2219">
            <v>124790</v>
          </cell>
          <cell r="C2219">
            <v>935</v>
          </cell>
          <cell r="D2219" t="str">
            <v>Suffolk</v>
          </cell>
          <cell r="E2219">
            <v>4011</v>
          </cell>
          <cell r="F2219" t="str">
            <v>Joe Farrell</v>
          </cell>
          <cell r="G2219" t="str">
            <v>Beyton Middle School</v>
          </cell>
          <cell r="H2219" t="str">
            <v>East of England</v>
          </cell>
          <cell r="I2219" t="str">
            <v>Drinkstone Road</v>
          </cell>
          <cell r="J2219" t="str">
            <v>Beyton</v>
          </cell>
          <cell r="L2219" t="str">
            <v>Bury St Edmunds</v>
          </cell>
          <cell r="M2219" t="str">
            <v>Suffolk</v>
          </cell>
          <cell r="N2219" t="str">
            <v>IP30 9AA</v>
          </cell>
          <cell r="O2219" t="str">
            <v>andylnich@btinternet.com</v>
          </cell>
          <cell r="P2219">
            <v>40744</v>
          </cell>
        </row>
        <row r="2220">
          <cell r="A2220">
            <v>8782055</v>
          </cell>
          <cell r="B2220">
            <v>113104</v>
          </cell>
          <cell r="C2220">
            <v>878</v>
          </cell>
          <cell r="D2220" t="str">
            <v>Devon</v>
          </cell>
          <cell r="E2220">
            <v>2055</v>
          </cell>
          <cell r="F2220" t="str">
            <v>Nigel Hutchins</v>
          </cell>
          <cell r="G2220" t="str">
            <v>Newton St Cyres Primary School</v>
          </cell>
          <cell r="H2220" t="str">
            <v>South West</v>
          </cell>
          <cell r="I2220" t="str">
            <v>Newton St Cyres</v>
          </cell>
          <cell r="L2220" t="str">
            <v>Exeter</v>
          </cell>
          <cell r="M2220" t="str">
            <v>Devon</v>
          </cell>
          <cell r="N2220" t="str">
            <v>EX5 5DD</v>
          </cell>
          <cell r="O2220" t="str">
            <v>headteacher@newton-st-cyres.devon.sch.uk</v>
          </cell>
        </row>
        <row r="2221">
          <cell r="A2221">
            <v>3574604</v>
          </cell>
          <cell r="B2221">
            <v>106272</v>
          </cell>
          <cell r="C2221">
            <v>357</v>
          </cell>
          <cell r="D2221" t="str">
            <v>Tameside</v>
          </cell>
          <cell r="E2221">
            <v>4604</v>
          </cell>
          <cell r="F2221" t="str">
            <v>Jane McCusker</v>
          </cell>
          <cell r="G2221" t="str">
            <v>All Saints Catholic College</v>
          </cell>
          <cell r="H2221" t="str">
            <v>North West</v>
          </cell>
          <cell r="I2221" t="str">
            <v>Kenyon Avenue</v>
          </cell>
          <cell r="L2221" t="str">
            <v>Dukinfield</v>
          </cell>
          <cell r="M2221" t="str">
            <v>Cheshire</v>
          </cell>
          <cell r="N2221" t="str">
            <v>SK16 5AR</v>
          </cell>
        </row>
        <row r="2222">
          <cell r="A2222">
            <v>9292121</v>
          </cell>
          <cell r="B2222">
            <v>122201</v>
          </cell>
          <cell r="C2222">
            <v>929</v>
          </cell>
          <cell r="D2222" t="str">
            <v>Northumberland</v>
          </cell>
          <cell r="E2222">
            <v>2121</v>
          </cell>
          <cell r="F2222" t="str">
            <v>Janet Smith</v>
          </cell>
          <cell r="G2222" t="str">
            <v>Haltwhistle Community Campus Lower School</v>
          </cell>
          <cell r="H2222" t="str">
            <v>North East</v>
          </cell>
          <cell r="I2222" t="str">
            <v>Woodhead Lane</v>
          </cell>
          <cell r="L2222" t="str">
            <v>Haltwhistle</v>
          </cell>
          <cell r="M2222" t="str">
            <v>Northumberland</v>
          </cell>
          <cell r="N2222" t="str">
            <v>NE49 9DP</v>
          </cell>
          <cell r="O2222" t="str">
            <v>Mike.Routledge@northumberland.gov.uk</v>
          </cell>
          <cell r="P2222">
            <v>41246</v>
          </cell>
        </row>
        <row r="2223">
          <cell r="A2223">
            <v>3444071</v>
          </cell>
          <cell r="B2223">
            <v>105107</v>
          </cell>
          <cell r="C2223">
            <v>344</v>
          </cell>
          <cell r="D2223" t="str">
            <v>Wirral</v>
          </cell>
          <cell r="E2223">
            <v>4071</v>
          </cell>
          <cell r="F2223" t="str">
            <v>Maria Sabberton</v>
          </cell>
          <cell r="G2223" t="str">
            <v>South Wirral High School</v>
          </cell>
          <cell r="H2223" t="str">
            <v>North West</v>
          </cell>
          <cell r="I2223" t="str">
            <v>Plymyard Avenue</v>
          </cell>
          <cell r="J2223" t="str">
            <v>Eastham</v>
          </cell>
          <cell r="L2223" t="str">
            <v>Wirral</v>
          </cell>
          <cell r="M2223" t="str">
            <v>Merseyside</v>
          </cell>
          <cell r="N2223" t="str">
            <v>CH62 8EH</v>
          </cell>
          <cell r="O2223" t="str">
            <v>headteacher@southwirral.wirral.sch.uk</v>
          </cell>
        </row>
        <row r="2224">
          <cell r="A2224">
            <v>3331100</v>
          </cell>
          <cell r="B2224">
            <v>103887</v>
          </cell>
          <cell r="C2224">
            <v>333</v>
          </cell>
          <cell r="D2224" t="str">
            <v>Sandwell</v>
          </cell>
          <cell r="E2224">
            <v>1100</v>
          </cell>
          <cell r="F2224" t="str">
            <v>Tahir Shams</v>
          </cell>
          <cell r="G2224" t="str">
            <v>Whiteheath Education Centre</v>
          </cell>
          <cell r="H2224" t="str">
            <v>West Midlands</v>
          </cell>
          <cell r="I2224" t="str">
            <v>Hawes Lane</v>
          </cell>
          <cell r="L2224" t="str">
            <v>Rowley Regis</v>
          </cell>
          <cell r="M2224" t="str">
            <v>West Midlands</v>
          </cell>
          <cell r="N2224" t="str">
            <v>B65 9AL</v>
          </cell>
          <cell r="O2224" t="str">
            <v>rchalloner@whiteheath.org</v>
          </cell>
        </row>
        <row r="2225">
          <cell r="A2225">
            <v>8902222</v>
          </cell>
          <cell r="B2225">
            <v>119256</v>
          </cell>
          <cell r="C2225">
            <v>890</v>
          </cell>
          <cell r="D2225" t="str">
            <v>Blackpool</v>
          </cell>
          <cell r="E2225">
            <v>2222</v>
          </cell>
          <cell r="F2225" t="str">
            <v>Bev Mullin</v>
          </cell>
          <cell r="G2225" t="str">
            <v>Westcliff Primary School</v>
          </cell>
          <cell r="H2225" t="str">
            <v>North West</v>
          </cell>
          <cell r="I2225" t="str">
            <v>Crawford Avenue</v>
          </cell>
          <cell r="J2225" t="str">
            <v>Bispham</v>
          </cell>
          <cell r="L2225" t="str">
            <v>Blackpool</v>
          </cell>
          <cell r="M2225" t="str">
            <v>Lancashire</v>
          </cell>
          <cell r="N2225" t="str">
            <v>FY2 9BY</v>
          </cell>
          <cell r="O2225" t="str">
            <v>susan.wilson@westcliff.blackpool.sch.uk</v>
          </cell>
          <cell r="P2225">
            <v>40667</v>
          </cell>
        </row>
        <row r="2226">
          <cell r="A2226">
            <v>3145402</v>
          </cell>
          <cell r="B2226">
            <v>102607</v>
          </cell>
          <cell r="C2226">
            <v>314</v>
          </cell>
          <cell r="D2226" t="str">
            <v>Kingston upon Thames</v>
          </cell>
          <cell r="E2226">
            <v>5402</v>
          </cell>
          <cell r="F2226" t="str">
            <v>Tahir Shams</v>
          </cell>
          <cell r="G2226" t="str">
            <v>The Holy Cross School</v>
          </cell>
          <cell r="H2226" t="str">
            <v>London</v>
          </cell>
          <cell r="I2226" t="str">
            <v>25 Sandal Road</v>
          </cell>
          <cell r="L2226" t="str">
            <v>New Malden</v>
          </cell>
          <cell r="M2226" t="str">
            <v>Surrey</v>
          </cell>
          <cell r="N2226" t="str">
            <v>KT3 5AR</v>
          </cell>
          <cell r="O2226" t="str">
            <v>ahorwo1@holycross.kingston.sch.uk</v>
          </cell>
          <cell r="P2226">
            <v>40938</v>
          </cell>
        </row>
        <row r="2227">
          <cell r="A2227">
            <v>3302027</v>
          </cell>
          <cell r="B2227">
            <v>103170</v>
          </cell>
          <cell r="C2227">
            <v>330</v>
          </cell>
          <cell r="D2227" t="str">
            <v>Birmingham</v>
          </cell>
          <cell r="E2227">
            <v>2027</v>
          </cell>
          <cell r="F2227" t="str">
            <v>Michael Corner</v>
          </cell>
          <cell r="G2227" t="str">
            <v>Blakenhale Junior School</v>
          </cell>
          <cell r="H2227" t="str">
            <v>West Midlands</v>
          </cell>
          <cell r="I2227" t="str">
            <v>Homestead Road</v>
          </cell>
          <cell r="J2227" t="str">
            <v>Garretts Green</v>
          </cell>
          <cell r="L2227" t="str">
            <v>Birmingham</v>
          </cell>
          <cell r="M2227" t="str">
            <v>West Midlands</v>
          </cell>
          <cell r="N2227" t="str">
            <v>B33 0XG</v>
          </cell>
          <cell r="O2227" t="str">
            <v>enquiry@blake.bham.sch.uk</v>
          </cell>
        </row>
        <row r="2228">
          <cell r="A2228">
            <v>2092887</v>
          </cell>
          <cell r="B2228">
            <v>100717</v>
          </cell>
          <cell r="C2228">
            <v>209</v>
          </cell>
          <cell r="D2228" t="str">
            <v>Lewisham</v>
          </cell>
          <cell r="E2228">
            <v>2887</v>
          </cell>
          <cell r="F2228" t="str">
            <v>Helen Barry</v>
          </cell>
          <cell r="G2228" t="str">
            <v>Brindishe Primary School</v>
          </cell>
          <cell r="H2228" t="str">
            <v>London</v>
          </cell>
          <cell r="I2228" t="str">
            <v>Wantage Road</v>
          </cell>
          <cell r="J2228" t="str">
            <v>Lee Green</v>
          </cell>
          <cell r="L2228" t="str">
            <v>London</v>
          </cell>
          <cell r="N2228" t="str">
            <v>SE12 8NA</v>
          </cell>
          <cell r="O2228" t="str">
            <v>vickipaterson@brindisheschools.org</v>
          </cell>
        </row>
        <row r="2229">
          <cell r="A2229">
            <v>8862119</v>
          </cell>
          <cell r="B2229">
            <v>118265</v>
          </cell>
          <cell r="C2229">
            <v>886</v>
          </cell>
          <cell r="D2229" t="str">
            <v>Kent</v>
          </cell>
          <cell r="E2229">
            <v>2119</v>
          </cell>
          <cell r="F2229" t="str">
            <v>Nicky Edwards</v>
          </cell>
          <cell r="G2229" t="str">
            <v>Shears Green Infant School</v>
          </cell>
          <cell r="H2229" t="str">
            <v>South East</v>
          </cell>
          <cell r="I2229" t="str">
            <v>Packham Road</v>
          </cell>
          <cell r="J2229" t="str">
            <v>Northfleet</v>
          </cell>
          <cell r="L2229" t="str">
            <v>Gravesend</v>
          </cell>
          <cell r="M2229" t="str">
            <v>Kent</v>
          </cell>
          <cell r="N2229" t="str">
            <v>DA11 7JF</v>
          </cell>
          <cell r="O2229" t="str">
            <v>headteacher@shears-green-infant.kent.sch.uk</v>
          </cell>
        </row>
        <row r="2230">
          <cell r="A2230">
            <v>8312629</v>
          </cell>
          <cell r="B2230">
            <v>112792</v>
          </cell>
          <cell r="C2230">
            <v>831</v>
          </cell>
          <cell r="D2230" t="str">
            <v>Derby</v>
          </cell>
          <cell r="E2230">
            <v>2629</v>
          </cell>
          <cell r="G2230" t="str">
            <v>Arboretum Primary</v>
          </cell>
          <cell r="H2230" t="str">
            <v>East Midlands</v>
          </cell>
          <cell r="I2230" t="str">
            <v>Corden Street</v>
          </cell>
          <cell r="L2230" t="str">
            <v>Derby</v>
          </cell>
          <cell r="M2230" t="str">
            <v>Derbyshire</v>
          </cell>
          <cell r="N2230" t="str">
            <v>DE23 8GP</v>
          </cell>
          <cell r="O2230" t="str">
            <v>head@arboretum.derby.sch.uk</v>
          </cell>
        </row>
        <row r="2231">
          <cell r="A2231">
            <v>8412647</v>
          </cell>
          <cell r="B2231">
            <v>114165</v>
          </cell>
          <cell r="C2231">
            <v>841</v>
          </cell>
          <cell r="D2231" t="str">
            <v>Darlington</v>
          </cell>
          <cell r="E2231">
            <v>2647</v>
          </cell>
          <cell r="F2231" t="str">
            <v>Jane Moore</v>
          </cell>
          <cell r="G2231" t="str">
            <v>Abbey Junior School</v>
          </cell>
          <cell r="H2231" t="str">
            <v>North East</v>
          </cell>
          <cell r="I2231" t="str">
            <v>Abbey Road</v>
          </cell>
          <cell r="L2231" t="str">
            <v>Darlington</v>
          </cell>
          <cell r="M2231" t="str">
            <v>County Durham</v>
          </cell>
          <cell r="N2231" t="str">
            <v>DL3 8NN</v>
          </cell>
          <cell r="O2231" t="str">
            <v>gford@abbeyfed.darlington.sch.uk</v>
          </cell>
          <cell r="P2231">
            <v>40640</v>
          </cell>
        </row>
        <row r="2232">
          <cell r="A2232">
            <v>8254001</v>
          </cell>
          <cell r="B2232">
            <v>133514</v>
          </cell>
          <cell r="C2232">
            <v>825</v>
          </cell>
          <cell r="D2232" t="str">
            <v>Buckinghamshire</v>
          </cell>
          <cell r="E2232">
            <v>4001</v>
          </cell>
          <cell r="F2232" t="str">
            <v>Darren Francis</v>
          </cell>
          <cell r="G2232" t="str">
            <v>Highcrest Community School</v>
          </cell>
          <cell r="H2232" t="str">
            <v>South East</v>
          </cell>
          <cell r="I2232" t="str">
            <v>Hatters Lane</v>
          </cell>
          <cell r="L2232" t="str">
            <v>High Wycombe</v>
          </cell>
          <cell r="M2232" t="str">
            <v>Buckinghamshire</v>
          </cell>
          <cell r="N2232" t="str">
            <v>HP13 7NQ</v>
          </cell>
          <cell r="O2232" t="str">
            <v>headteacher@highcrest.bucks.sch.uk</v>
          </cell>
          <cell r="P2232">
            <v>40610</v>
          </cell>
        </row>
        <row r="2233">
          <cell r="A2233">
            <v>9313556</v>
          </cell>
          <cell r="B2233">
            <v>123191</v>
          </cell>
          <cell r="C2233">
            <v>931</v>
          </cell>
          <cell r="D2233" t="str">
            <v>Oxfordshire</v>
          </cell>
          <cell r="E2233">
            <v>3556</v>
          </cell>
          <cell r="F2233" t="str">
            <v>Sarah Nairne</v>
          </cell>
          <cell r="G2233" t="str">
            <v>St Joseph's Catholic Primary School, Carterton</v>
          </cell>
          <cell r="H2233" t="str">
            <v>South East</v>
          </cell>
          <cell r="I2233" t="str">
            <v>Lawton Avenue</v>
          </cell>
          <cell r="L2233" t="str">
            <v>Carterton</v>
          </cell>
          <cell r="M2233" t="str">
            <v>Oxfordshire</v>
          </cell>
          <cell r="N2233" t="str">
            <v>OX18 3JY</v>
          </cell>
          <cell r="O2233" t="str">
            <v>head.3556@ocnmail.net</v>
          </cell>
          <cell r="P2233">
            <v>41218</v>
          </cell>
        </row>
        <row r="2234">
          <cell r="A2234">
            <v>8235203</v>
          </cell>
          <cell r="B2234">
            <v>109485</v>
          </cell>
          <cell r="C2234">
            <v>823</v>
          </cell>
          <cell r="D2234" t="str">
            <v>Central Bedfordshire</v>
          </cell>
          <cell r="E2234">
            <v>5203</v>
          </cell>
          <cell r="F2234" t="str">
            <v>Claire Ivie</v>
          </cell>
          <cell r="G2234" t="str">
            <v>Sundon Lower School</v>
          </cell>
          <cell r="H2234" t="str">
            <v>East of England</v>
          </cell>
          <cell r="I2234" t="str">
            <v>Streatley Road</v>
          </cell>
          <cell r="J2234" t="str">
            <v>Upper Sundon</v>
          </cell>
          <cell r="L2234" t="str">
            <v>Luton</v>
          </cell>
          <cell r="M2234" t="str">
            <v>Bedfordshire</v>
          </cell>
          <cell r="N2234" t="str">
            <v>LU3 3PQ</v>
          </cell>
          <cell r="O2234" t="str">
            <v>shelveyd@harlington.cbeds.co.uk</v>
          </cell>
          <cell r="P2234">
            <v>40987</v>
          </cell>
        </row>
        <row r="2235">
          <cell r="A2235">
            <v>8552360</v>
          </cell>
          <cell r="B2235">
            <v>120085</v>
          </cell>
          <cell r="C2235">
            <v>855</v>
          </cell>
          <cell r="D2235" t="str">
            <v>Leicestershire</v>
          </cell>
          <cell r="E2235">
            <v>2360</v>
          </cell>
          <cell r="F2235" t="str">
            <v>Pauline Cole</v>
          </cell>
          <cell r="G2235" t="str">
            <v>Broom Leys School</v>
          </cell>
          <cell r="H2235" t="str">
            <v>East Midlands</v>
          </cell>
          <cell r="I2235" t="str">
            <v>Broom Leys Road</v>
          </cell>
          <cell r="L2235" t="str">
            <v>Coalville</v>
          </cell>
          <cell r="M2235" t="str">
            <v>Leicestershire</v>
          </cell>
          <cell r="N2235" t="str">
            <v>LE67 4DB</v>
          </cell>
          <cell r="O2235" t="str">
            <v>cedar@broom-leys.leics.sch.uk</v>
          </cell>
          <cell r="P2235">
            <v>41023</v>
          </cell>
        </row>
        <row r="2236">
          <cell r="A2236">
            <v>8865443</v>
          </cell>
          <cell r="B2236">
            <v>118915</v>
          </cell>
          <cell r="C2236">
            <v>886</v>
          </cell>
          <cell r="D2236" t="str">
            <v>Kent</v>
          </cell>
          <cell r="E2236">
            <v>5443</v>
          </cell>
          <cell r="F2236" t="str">
            <v>Bukky Sawyerr</v>
          </cell>
          <cell r="G2236" t="str">
            <v>Tonbridge Grammar School</v>
          </cell>
          <cell r="H2236" t="str">
            <v>South East</v>
          </cell>
          <cell r="I2236" t="str">
            <v>Deakin Leas</v>
          </cell>
          <cell r="L2236" t="str">
            <v>Tonbridge</v>
          </cell>
          <cell r="M2236" t="str">
            <v>Kent</v>
          </cell>
          <cell r="N2236" t="str">
            <v>TN9 2JR</v>
          </cell>
          <cell r="O2236" t="str">
            <v>rosemaryjoyce@tgs.kent.sch.uk</v>
          </cell>
          <cell r="P2236">
            <v>40389</v>
          </cell>
        </row>
        <row r="2237">
          <cell r="A2237">
            <v>8254061</v>
          </cell>
          <cell r="B2237">
            <v>110495</v>
          </cell>
          <cell r="C2237">
            <v>825</v>
          </cell>
          <cell r="D2237" t="str">
            <v>Buckinghamshire</v>
          </cell>
          <cell r="E2237">
            <v>4061</v>
          </cell>
          <cell r="F2237" t="str">
            <v>Darren Francis</v>
          </cell>
          <cell r="G2237" t="str">
            <v>Dr Challoner's High School</v>
          </cell>
          <cell r="H2237" t="str">
            <v>South East</v>
          </cell>
          <cell r="I2237" t="str">
            <v>Cokes Lane</v>
          </cell>
          <cell r="J2237" t="str">
            <v>Little Chalfont</v>
          </cell>
          <cell r="L2237" t="str">
            <v>Amersham</v>
          </cell>
          <cell r="M2237" t="str">
            <v>Buckinghamshire</v>
          </cell>
          <cell r="N2237" t="str">
            <v>HP7 9QB</v>
          </cell>
          <cell r="O2237" t="str">
            <v>peg.hulse@challonershigh.com</v>
          </cell>
          <cell r="P2237">
            <v>40639</v>
          </cell>
        </row>
        <row r="2238">
          <cell r="A2238">
            <v>8724505</v>
          </cell>
          <cell r="B2238">
            <v>110079</v>
          </cell>
          <cell r="C2238">
            <v>872</v>
          </cell>
          <cell r="D2238" t="str">
            <v>Wokingham</v>
          </cell>
          <cell r="E2238">
            <v>4505</v>
          </cell>
          <cell r="F2238" t="str">
            <v>Anthony Smythe</v>
          </cell>
          <cell r="G2238" t="str">
            <v>The Piggott School</v>
          </cell>
          <cell r="H2238" t="str">
            <v>South East</v>
          </cell>
          <cell r="I2238" t="str">
            <v>Twyford Road</v>
          </cell>
          <cell r="J2238" t="str">
            <v>Wargrave</v>
          </cell>
          <cell r="L2238" t="str">
            <v>Reading</v>
          </cell>
          <cell r="M2238" t="str">
            <v>Berkshire</v>
          </cell>
          <cell r="N2238" t="str">
            <v>RG10 8DS</v>
          </cell>
          <cell r="O2238" t="str">
            <v>winterh@piggott.wokingham.sch.uk</v>
          </cell>
          <cell r="P2238">
            <v>40625</v>
          </cell>
        </row>
        <row r="2239">
          <cell r="A2239">
            <v>8262067</v>
          </cell>
          <cell r="B2239">
            <v>110242</v>
          </cell>
          <cell r="C2239">
            <v>826</v>
          </cell>
          <cell r="D2239" t="str">
            <v>Milton Keynes</v>
          </cell>
          <cell r="E2239">
            <v>2067</v>
          </cell>
          <cell r="F2239" t="str">
            <v>Nicky Edwards</v>
          </cell>
          <cell r="G2239" t="str">
            <v>Lavendon School</v>
          </cell>
          <cell r="H2239" t="str">
            <v>South East</v>
          </cell>
          <cell r="I2239" t="str">
            <v>High Street</v>
          </cell>
          <cell r="J2239" t="str">
            <v>Lavendon</v>
          </cell>
          <cell r="L2239" t="str">
            <v>Olney</v>
          </cell>
          <cell r="M2239" t="str">
            <v>Buckinghamshire</v>
          </cell>
          <cell r="N2239" t="str">
            <v>MK46 4HA</v>
          </cell>
          <cell r="O2239" t="str">
            <v>janet.howe@milton-keynes.gov.uk</v>
          </cell>
        </row>
        <row r="2240">
          <cell r="A2240">
            <v>8523655</v>
          </cell>
          <cell r="B2240">
            <v>116395</v>
          </cell>
          <cell r="C2240">
            <v>852</v>
          </cell>
          <cell r="D2240" t="str">
            <v>Southampton</v>
          </cell>
          <cell r="E2240">
            <v>3655</v>
          </cell>
          <cell r="F2240" t="str">
            <v>Lindsay Morris</v>
          </cell>
          <cell r="G2240" t="str">
            <v>Highfield Church of England Primary School</v>
          </cell>
          <cell r="H2240" t="str">
            <v>South East</v>
          </cell>
          <cell r="I2240" t="str">
            <v>Hawthorn Road</v>
          </cell>
          <cell r="J2240" t="str">
            <v>Highfield</v>
          </cell>
          <cell r="L2240" t="str">
            <v>Southampton</v>
          </cell>
          <cell r="M2240" t="str">
            <v>Hampshire</v>
          </cell>
          <cell r="N2240" t="str">
            <v>SO17 1PX</v>
          </cell>
          <cell r="O2240" t="str">
            <v>head@highfield.southampton.sch.uk</v>
          </cell>
        </row>
        <row r="2241">
          <cell r="A2241">
            <v>3417051</v>
          </cell>
          <cell r="B2241">
            <v>104748</v>
          </cell>
          <cell r="C2241">
            <v>341</v>
          </cell>
          <cell r="D2241" t="str">
            <v>Liverpool</v>
          </cell>
          <cell r="E2241">
            <v>7051</v>
          </cell>
          <cell r="F2241" t="str">
            <v>Maria Sabberton</v>
          </cell>
          <cell r="G2241" t="str">
            <v>Palmerston School</v>
          </cell>
          <cell r="H2241" t="str">
            <v>North West</v>
          </cell>
          <cell r="I2241" t="str">
            <v>Beaconsfield Road</v>
          </cell>
          <cell r="J2241" t="str">
            <v>Woolton</v>
          </cell>
          <cell r="L2241" t="str">
            <v>Liverpool</v>
          </cell>
          <cell r="M2241" t="str">
            <v>Merseyside</v>
          </cell>
          <cell r="N2241" t="str">
            <v>L25 6EE</v>
          </cell>
          <cell r="O2241" t="str">
            <v>palmerston-ht@palmerston.liverpool.sch.uk</v>
          </cell>
        </row>
        <row r="2242">
          <cell r="A2242">
            <v>3184006</v>
          </cell>
          <cell r="B2242">
            <v>102922</v>
          </cell>
          <cell r="C2242">
            <v>318</v>
          </cell>
          <cell r="D2242" t="str">
            <v>Richmond upon Thames</v>
          </cell>
          <cell r="E2242">
            <v>4006</v>
          </cell>
          <cell r="F2242" t="str">
            <v>Martin Rowley</v>
          </cell>
          <cell r="G2242" t="str">
            <v xml:space="preserve">Grey Court </v>
          </cell>
          <cell r="H2242" t="str">
            <v>London</v>
          </cell>
          <cell r="I2242" t="str">
            <v>Ham Street</v>
          </cell>
          <cell r="J2242" t="str">
            <v>Ham</v>
          </cell>
          <cell r="L2242" t="str">
            <v>Richmond</v>
          </cell>
          <cell r="M2242" t="str">
            <v>Surrey</v>
          </cell>
          <cell r="N2242" t="str">
            <v>TW10 7HN</v>
          </cell>
          <cell r="O2242" t="str">
            <v>mbailey@greycourt.org.uk</v>
          </cell>
          <cell r="P2242">
            <v>40948</v>
          </cell>
        </row>
        <row r="2243">
          <cell r="A2243">
            <v>3195405</v>
          </cell>
          <cell r="B2243">
            <v>103012</v>
          </cell>
          <cell r="C2243">
            <v>319</v>
          </cell>
          <cell r="D2243" t="str">
            <v>Sutton</v>
          </cell>
          <cell r="E2243">
            <v>5405</v>
          </cell>
          <cell r="F2243" t="str">
            <v>Helen Barry</v>
          </cell>
          <cell r="G2243" t="str">
            <v>Wallington High School for Girls</v>
          </cell>
          <cell r="H2243" t="str">
            <v>London</v>
          </cell>
          <cell r="I2243" t="str">
            <v>Woodcote Road</v>
          </cell>
          <cell r="L2243" t="str">
            <v>Wallington</v>
          </cell>
          <cell r="M2243" t="str">
            <v>Surrey</v>
          </cell>
          <cell r="N2243" t="str">
            <v>SM6 0PH</v>
          </cell>
          <cell r="O2243" t="str">
            <v>bgreatorex@suttonlea.org</v>
          </cell>
          <cell r="P2243">
            <v>40602</v>
          </cell>
        </row>
        <row r="2244">
          <cell r="A2244">
            <v>2112001</v>
          </cell>
          <cell r="B2244">
            <v>131858</v>
          </cell>
          <cell r="C2244">
            <v>211</v>
          </cell>
          <cell r="D2244" t="str">
            <v>Tower Hamlets</v>
          </cell>
          <cell r="E2244">
            <v>2001</v>
          </cell>
          <cell r="F2244" t="str">
            <v>Martin Rowley</v>
          </cell>
          <cell r="G2244" t="str">
            <v>Old Ford Primary School</v>
          </cell>
          <cell r="H2244" t="str">
            <v>London</v>
          </cell>
          <cell r="I2244" t="str">
            <v>Wrights Road</v>
          </cell>
          <cell r="J2244" t="str">
            <v>Bow</v>
          </cell>
          <cell r="L2244" t="str">
            <v>London</v>
          </cell>
          <cell r="N2244" t="str">
            <v>E3 5LD</v>
          </cell>
          <cell r="O2244" t="str">
            <v>head@oldford-pri.towerhamlets.sch.uk</v>
          </cell>
          <cell r="P2244">
            <v>41120</v>
          </cell>
        </row>
        <row r="2245">
          <cell r="A2245">
            <v>8863139</v>
          </cell>
          <cell r="B2245">
            <v>118666</v>
          </cell>
          <cell r="C2245">
            <v>886</v>
          </cell>
          <cell r="D2245" t="str">
            <v>Kent</v>
          </cell>
          <cell r="E2245">
            <v>3139</v>
          </cell>
          <cell r="F2245" t="str">
            <v>Nicky Edwards</v>
          </cell>
          <cell r="G2245" t="str">
            <v>High Halden Church of England Primary School</v>
          </cell>
          <cell r="H2245" t="str">
            <v>South East</v>
          </cell>
          <cell r="I2245" t="str">
            <v>Church Hill</v>
          </cell>
          <cell r="J2245" t="str">
            <v>High Halden</v>
          </cell>
          <cell r="L2245" t="str">
            <v>Ashford</v>
          </cell>
          <cell r="M2245" t="str">
            <v>Kent</v>
          </cell>
          <cell r="N2245" t="str">
            <v>TN26 3JB</v>
          </cell>
          <cell r="O2245" t="str">
            <v>headteacher@high-halden.kent.sch.uk</v>
          </cell>
        </row>
        <row r="2246">
          <cell r="A2246">
            <v>8234079</v>
          </cell>
          <cell r="B2246">
            <v>109670</v>
          </cell>
          <cell r="C2246">
            <v>823</v>
          </cell>
          <cell r="D2246" t="str">
            <v>Central Bedfordshire</v>
          </cell>
          <cell r="E2246">
            <v>4079</v>
          </cell>
          <cell r="F2246" t="str">
            <v>Joe Farrell</v>
          </cell>
          <cell r="G2246" t="str">
            <v>Samuel Whitbread Community College (SWCC)</v>
          </cell>
          <cell r="H2246" t="str">
            <v>East of England</v>
          </cell>
          <cell r="I2246" t="str">
            <v>Shefford Road</v>
          </cell>
          <cell r="J2246" t="str">
            <v>Clifton</v>
          </cell>
          <cell r="L2246" t="str">
            <v>Shefford</v>
          </cell>
          <cell r="M2246" t="str">
            <v>Bedfordshire</v>
          </cell>
          <cell r="N2246" t="str">
            <v>SG17 5QS</v>
          </cell>
          <cell r="O2246" t="str">
            <v>info@swcc.beds.sch.uk</v>
          </cell>
          <cell r="P2246">
            <v>40563</v>
          </cell>
        </row>
        <row r="2247">
          <cell r="A2247">
            <v>3032058</v>
          </cell>
          <cell r="B2247">
            <v>101436</v>
          </cell>
          <cell r="C2247">
            <v>303</v>
          </cell>
          <cell r="D2247" t="str">
            <v>Bexley</v>
          </cell>
          <cell r="E2247">
            <v>2058</v>
          </cell>
          <cell r="F2247" t="str">
            <v>Helen Barry</v>
          </cell>
          <cell r="G2247" t="str">
            <v>Bursted Wood Primary School</v>
          </cell>
          <cell r="H2247" t="str">
            <v>London</v>
          </cell>
          <cell r="I2247" t="str">
            <v>Swanbridge Road</v>
          </cell>
          <cell r="L2247" t="str">
            <v>Bexleyheath</v>
          </cell>
          <cell r="M2247" t="str">
            <v>Kent</v>
          </cell>
          <cell r="N2247" t="str">
            <v>DA7 5BS</v>
          </cell>
          <cell r="O2247" t="str">
            <v>head@burstedwood.bexley.sch.uk</v>
          </cell>
        </row>
        <row r="2248">
          <cell r="A2248">
            <v>8883195</v>
          </cell>
          <cell r="B2248">
            <v>119413</v>
          </cell>
          <cell r="C2248">
            <v>888</v>
          </cell>
          <cell r="D2248" t="str">
            <v>Lancashire</v>
          </cell>
          <cell r="E2248">
            <v>3195</v>
          </cell>
          <cell r="G2248" t="str">
            <v>Oswaldtwistle St Andrew's Church of England Primary School</v>
          </cell>
          <cell r="H2248" t="str">
            <v>North West</v>
          </cell>
          <cell r="I2248" t="str">
            <v>Springfield Street</v>
          </cell>
          <cell r="J2248" t="str">
            <v>Oswaldtwistle</v>
          </cell>
          <cell r="L2248" t="str">
            <v>Accrington</v>
          </cell>
          <cell r="M2248" t="str">
            <v>Lancashire</v>
          </cell>
          <cell r="N2248" t="str">
            <v>BB5 3LG</v>
          </cell>
          <cell r="O2248" t="str">
            <v>head@st-andrews.lancs.sch.uk</v>
          </cell>
        </row>
        <row r="2249">
          <cell r="A2249">
            <v>8782253</v>
          </cell>
          <cell r="B2249">
            <v>113175</v>
          </cell>
          <cell r="C2249">
            <v>878</v>
          </cell>
          <cell r="D2249" t="str">
            <v>Devon</v>
          </cell>
          <cell r="E2249">
            <v>2253</v>
          </cell>
          <cell r="F2249" t="str">
            <v>Theresa Oddelm</v>
          </cell>
          <cell r="G2249" t="str">
            <v>Woolacombe School</v>
          </cell>
          <cell r="H2249" t="str">
            <v>South West</v>
          </cell>
          <cell r="I2249" t="str">
            <v>Beach Road</v>
          </cell>
          <cell r="L2249" t="str">
            <v>Woolacombe</v>
          </cell>
          <cell r="M2249" t="str">
            <v>Devon</v>
          </cell>
          <cell r="N2249" t="str">
            <v>EX34 7BT</v>
          </cell>
          <cell r="O2249" t="str">
            <v>sandy_keith@btinternet.com</v>
          </cell>
        </row>
        <row r="2250">
          <cell r="A2250">
            <v>8933015</v>
          </cell>
          <cell r="B2250">
            <v>123463</v>
          </cell>
          <cell r="C2250">
            <v>893</v>
          </cell>
          <cell r="D2250" t="str">
            <v>Shropshire</v>
          </cell>
          <cell r="E2250">
            <v>3015</v>
          </cell>
          <cell r="F2250" t="str">
            <v>Julia Waterhouse</v>
          </cell>
          <cell r="G2250" t="str">
            <v>Brockton C of E Primary School</v>
          </cell>
          <cell r="H2250" t="str">
            <v>West Midlands</v>
          </cell>
          <cell r="I2250" t="str">
            <v>Brockton</v>
          </cell>
          <cell r="L2250" t="str">
            <v>Much Wenlock</v>
          </cell>
          <cell r="M2250" t="str">
            <v>Shropshire</v>
          </cell>
          <cell r="N2250" t="str">
            <v>TF13 6JR</v>
          </cell>
          <cell r="O2250" t="str">
            <v>thehead@brockton.shropshire.sch.uk</v>
          </cell>
        </row>
        <row r="2251">
          <cell r="A2251">
            <v>3834103</v>
          </cell>
          <cell r="B2251">
            <v>108080</v>
          </cell>
          <cell r="C2251">
            <v>383</v>
          </cell>
          <cell r="D2251" t="str">
            <v>Leeds</v>
          </cell>
          <cell r="E2251">
            <v>4103</v>
          </cell>
          <cell r="F2251" t="str">
            <v>Bev Annables</v>
          </cell>
          <cell r="G2251" t="str">
            <v>Rodillian School</v>
          </cell>
          <cell r="H2251" t="str">
            <v>Yorkshire and the Humber</v>
          </cell>
          <cell r="I2251" t="str">
            <v>Longthorpe Lane</v>
          </cell>
          <cell r="J2251" t="str">
            <v>Lofthouse</v>
          </cell>
          <cell r="L2251" t="str">
            <v>Wakefield</v>
          </cell>
          <cell r="M2251" t="str">
            <v>West Yorkshire</v>
          </cell>
          <cell r="N2251" t="str">
            <v>WF3 3PS</v>
          </cell>
          <cell r="O2251" t="str">
            <v>goultya01@leedslearning.net</v>
          </cell>
          <cell r="P2251">
            <v>40743</v>
          </cell>
        </row>
        <row r="2252">
          <cell r="A2252">
            <v>8163212</v>
          </cell>
          <cell r="B2252">
            <v>121545</v>
          </cell>
          <cell r="C2252">
            <v>816</v>
          </cell>
          <cell r="D2252" t="str">
            <v>York</v>
          </cell>
          <cell r="E2252">
            <v>3212</v>
          </cell>
          <cell r="F2252" t="str">
            <v>Nick Monton</v>
          </cell>
          <cell r="G2252" t="str">
            <v>Robert Wilkinson Primary School</v>
          </cell>
          <cell r="H2252" t="str">
            <v>Yorkshire and the Humber</v>
          </cell>
          <cell r="I2252" t="str">
            <v>West End</v>
          </cell>
          <cell r="J2252" t="str">
            <v>Strensall</v>
          </cell>
          <cell r="L2252" t="str">
            <v>York</v>
          </cell>
          <cell r="M2252" t="str">
            <v>North Yorkshire</v>
          </cell>
          <cell r="N2252" t="str">
            <v>YO32 5UH</v>
          </cell>
          <cell r="O2252" t="str">
            <v>head.robertwilkinsonprimary@york.gov.uk</v>
          </cell>
        </row>
        <row r="2253">
          <cell r="A2253">
            <v>9384103</v>
          </cell>
          <cell r="B2253">
            <v>126086</v>
          </cell>
          <cell r="C2253">
            <v>938</v>
          </cell>
          <cell r="D2253" t="str">
            <v>West Sussex</v>
          </cell>
          <cell r="E2253">
            <v>4103</v>
          </cell>
          <cell r="F2253" t="str">
            <v>Sophie Silver</v>
          </cell>
          <cell r="G2253" t="str">
            <v>Warden Park School</v>
          </cell>
          <cell r="H2253" t="str">
            <v>South East</v>
          </cell>
          <cell r="I2253" t="str">
            <v>Broad Street</v>
          </cell>
          <cell r="J2253" t="str">
            <v>Cuckfield</v>
          </cell>
          <cell r="L2253" t="str">
            <v>Haywards Heath</v>
          </cell>
          <cell r="M2253" t="str">
            <v>West Sussex</v>
          </cell>
          <cell r="N2253" t="str">
            <v>RH17 5DP</v>
          </cell>
          <cell r="O2253" t="str">
            <v>johnsons@wardenpark.co.uk</v>
          </cell>
          <cell r="P2253">
            <v>40667</v>
          </cell>
        </row>
        <row r="2254">
          <cell r="A2254">
            <v>3523508</v>
          </cell>
          <cell r="B2254">
            <v>135993</v>
          </cell>
          <cell r="C2254">
            <v>352</v>
          </cell>
          <cell r="D2254" t="str">
            <v>Manchester</v>
          </cell>
          <cell r="E2254">
            <v>3508</v>
          </cell>
          <cell r="F2254" t="str">
            <v>Viv Clutton</v>
          </cell>
          <cell r="G2254" t="str">
            <v>King David Primary School</v>
          </cell>
          <cell r="H2254" t="str">
            <v>North West</v>
          </cell>
          <cell r="I2254" t="str">
            <v>Wilton Polygon</v>
          </cell>
          <cell r="L2254" t="str">
            <v>Crumpsall</v>
          </cell>
          <cell r="M2254" t="str">
            <v>Greater Manchester</v>
          </cell>
          <cell r="N2254" t="str">
            <v>M8 5DJ</v>
          </cell>
          <cell r="O2254" t="str">
            <v>head@kingdavidprimary.manchester.sch.uk</v>
          </cell>
          <cell r="P2254">
            <v>41081</v>
          </cell>
        </row>
        <row r="2255">
          <cell r="A2255">
            <v>9282072</v>
          </cell>
          <cell r="B2255">
            <v>121847</v>
          </cell>
          <cell r="C2255">
            <v>928</v>
          </cell>
          <cell r="D2255" t="str">
            <v>Northamptonshire</v>
          </cell>
          <cell r="E2255">
            <v>2072</v>
          </cell>
          <cell r="F2255" t="str">
            <v>Sue Harp</v>
          </cell>
          <cell r="G2255" t="str">
            <v>Nassington Primary School</v>
          </cell>
          <cell r="H2255" t="str">
            <v>East Midlands</v>
          </cell>
          <cell r="I2255" t="str">
            <v>Church Street</v>
          </cell>
          <cell r="J2255" t="str">
            <v>Nassington</v>
          </cell>
          <cell r="L2255" t="str">
            <v>Peterborough</v>
          </cell>
          <cell r="M2255" t="str">
            <v>Cambridgeshire</v>
          </cell>
          <cell r="N2255" t="str">
            <v>PE8 6QG</v>
          </cell>
          <cell r="O2255" t="str">
            <v>head@nassington.northants-ecl.gov.uk</v>
          </cell>
        </row>
        <row r="2256">
          <cell r="A2256">
            <v>8815254</v>
          </cell>
          <cell r="B2256">
            <v>115294</v>
          </cell>
          <cell r="C2256">
            <v>881</v>
          </cell>
          <cell r="D2256" t="str">
            <v>Essex</v>
          </cell>
          <cell r="E2256">
            <v>5254</v>
          </cell>
          <cell r="F2256" t="str">
            <v>Claire Ivie</v>
          </cell>
          <cell r="G2256" t="str">
            <v>Hadleigh Infant and Nursery School</v>
          </cell>
          <cell r="H2256" t="str">
            <v>East of England</v>
          </cell>
          <cell r="I2256" t="str">
            <v>Bilton Road</v>
          </cell>
          <cell r="J2256" t="str">
            <v>Hadleigh</v>
          </cell>
          <cell r="L2256" t="str">
            <v>Benfleet</v>
          </cell>
          <cell r="M2256" t="str">
            <v>Essex</v>
          </cell>
          <cell r="N2256" t="str">
            <v>SS7 2HQ</v>
          </cell>
          <cell r="O2256" t="str">
            <v>Brenda@hadleigh-inf.essex.sch.uk</v>
          </cell>
          <cell r="P2256">
            <v>40672</v>
          </cell>
        </row>
        <row r="2257">
          <cell r="A2257">
            <v>8034511</v>
          </cell>
          <cell r="B2257">
            <v>109325</v>
          </cell>
          <cell r="C2257">
            <v>803</v>
          </cell>
          <cell r="D2257" t="str">
            <v>South Gloucestershire</v>
          </cell>
          <cell r="E2257">
            <v>4511</v>
          </cell>
          <cell r="F2257" t="str">
            <v>Theresa Oddelm</v>
          </cell>
          <cell r="G2257" t="str">
            <v>Marlwood School</v>
          </cell>
          <cell r="H2257" t="str">
            <v>South West</v>
          </cell>
          <cell r="I2257" t="str">
            <v>Vattingstone Lane</v>
          </cell>
          <cell r="J2257" t="str">
            <v>Alveston</v>
          </cell>
          <cell r="L2257" t="str">
            <v>Bristol</v>
          </cell>
          <cell r="N2257" t="str">
            <v>BS35 3LA</v>
          </cell>
          <cell r="O2257" t="str">
            <v>h.maccallum@marlwood.net</v>
          </cell>
        </row>
        <row r="2258">
          <cell r="A2258">
            <v>3844015</v>
          </cell>
          <cell r="B2258">
            <v>108273</v>
          </cell>
          <cell r="C2258">
            <v>384</v>
          </cell>
          <cell r="D2258" t="str">
            <v>Wakefield</v>
          </cell>
          <cell r="E2258">
            <v>4015</v>
          </cell>
          <cell r="F2258" t="str">
            <v>John Edmunds</v>
          </cell>
          <cell r="G2258" t="str">
            <v>Castleford High School Technology and Sports College</v>
          </cell>
          <cell r="H2258" t="str">
            <v>Yorkshire and the Humber</v>
          </cell>
          <cell r="I2258" t="str">
            <v>Ferrybridge Road</v>
          </cell>
          <cell r="L2258" t="str">
            <v>Castleford</v>
          </cell>
          <cell r="M2258" t="str">
            <v>West Yorkshire</v>
          </cell>
          <cell r="N2258" t="str">
            <v>WF10 4JQ</v>
          </cell>
          <cell r="O2258" t="str">
            <v>rvaughan@cashigh.com</v>
          </cell>
          <cell r="P2258">
            <v>40527</v>
          </cell>
        </row>
        <row r="2259">
          <cell r="A2259">
            <v>8663464</v>
          </cell>
          <cell r="B2259">
            <v>133582</v>
          </cell>
          <cell r="C2259">
            <v>866</v>
          </cell>
          <cell r="D2259" t="str">
            <v>Swindon</v>
          </cell>
          <cell r="E2259">
            <v>3464</v>
          </cell>
          <cell r="F2259" t="str">
            <v>Theresa Oddelm</v>
          </cell>
          <cell r="G2259" t="str">
            <v>Millbrook Primary School</v>
          </cell>
          <cell r="H2259" t="str">
            <v>South West</v>
          </cell>
          <cell r="I2259" t="str">
            <v>Worsley Road</v>
          </cell>
          <cell r="J2259" t="str">
            <v>Freshbrook</v>
          </cell>
          <cell r="L2259" t="str">
            <v>Swindon</v>
          </cell>
          <cell r="M2259" t="str">
            <v>Wiltshire</v>
          </cell>
          <cell r="N2259" t="str">
            <v>SN5 8NU</v>
          </cell>
          <cell r="O2259" t="str">
            <v>head@millbrook.swindon.sch.uk</v>
          </cell>
          <cell r="P2259">
            <v>41254</v>
          </cell>
        </row>
        <row r="2260">
          <cell r="A2260">
            <v>3585401</v>
          </cell>
          <cell r="B2260">
            <v>106374</v>
          </cell>
          <cell r="C2260">
            <v>358</v>
          </cell>
          <cell r="D2260" t="str">
            <v>Trafford</v>
          </cell>
          <cell r="E2260">
            <v>5401</v>
          </cell>
          <cell r="F2260" t="str">
            <v>Jane McCusker</v>
          </cell>
          <cell r="G2260" t="str">
            <v>Ashton on Mersey School</v>
          </cell>
          <cell r="H2260" t="str">
            <v>North West</v>
          </cell>
          <cell r="I2260" t="str">
            <v>Cecil Avenue</v>
          </cell>
          <cell r="L2260" t="str">
            <v>Sale</v>
          </cell>
          <cell r="M2260" t="str">
            <v>Cheshire</v>
          </cell>
          <cell r="N2260" t="str">
            <v>M33 5BP</v>
          </cell>
          <cell r="O2260" t="str">
            <v>tkapur@aom.trafford.sch.uk</v>
          </cell>
          <cell r="P2260">
            <v>40897</v>
          </cell>
        </row>
        <row r="2261">
          <cell r="A2261">
            <v>9282135</v>
          </cell>
          <cell r="B2261">
            <v>121896</v>
          </cell>
          <cell r="C2261">
            <v>928</v>
          </cell>
          <cell r="D2261" t="str">
            <v>Northamptonshire</v>
          </cell>
          <cell r="E2261">
            <v>2135</v>
          </cell>
          <cell r="F2261" t="str">
            <v>Helen Whetter</v>
          </cell>
          <cell r="G2261" t="str">
            <v>Ruskin Junior School</v>
          </cell>
          <cell r="H2261" t="str">
            <v>East Midlands</v>
          </cell>
          <cell r="I2261" t="str">
            <v>Ruskin Avenue</v>
          </cell>
          <cell r="L2261" t="str">
            <v>Wellingborough</v>
          </cell>
          <cell r="M2261" t="str">
            <v>Northamptonshire</v>
          </cell>
          <cell r="N2261" t="str">
            <v>NN8 3EG</v>
          </cell>
        </row>
        <row r="2262">
          <cell r="A2262">
            <v>8852919</v>
          </cell>
          <cell r="B2262">
            <v>132821</v>
          </cell>
          <cell r="C2262">
            <v>885</v>
          </cell>
          <cell r="D2262" t="str">
            <v>Worcestershire</v>
          </cell>
          <cell r="E2262">
            <v>2919</v>
          </cell>
          <cell r="F2262" t="str">
            <v>Alison Middleton</v>
          </cell>
          <cell r="G2262" t="str">
            <v>Matchborough First School</v>
          </cell>
          <cell r="H2262" t="str">
            <v>West Midlands</v>
          </cell>
          <cell r="I2262" t="str">
            <v>Matchborough Way</v>
          </cell>
          <cell r="J2262" t="str">
            <v>Matchborough East</v>
          </cell>
          <cell r="L2262" t="str">
            <v>Redditch</v>
          </cell>
          <cell r="M2262" t="str">
            <v>Worcestershire</v>
          </cell>
          <cell r="N2262" t="str">
            <v>B98 0GD</v>
          </cell>
          <cell r="O2262" t="str">
            <v>head@matchborough.worcs.sch.uk</v>
          </cell>
        </row>
        <row r="2263">
          <cell r="A2263">
            <v>9353102</v>
          </cell>
          <cell r="B2263">
            <v>124742</v>
          </cell>
          <cell r="C2263">
            <v>935</v>
          </cell>
          <cell r="D2263" t="str">
            <v>Suffolk</v>
          </cell>
          <cell r="E2263">
            <v>3102</v>
          </cell>
          <cell r="F2263" t="str">
            <v>Michael Cook</v>
          </cell>
          <cell r="G2263" t="str">
            <v>Stradbroke Church of England Voluntary Controlled Primary School</v>
          </cell>
          <cell r="H2263" t="str">
            <v>East of England</v>
          </cell>
          <cell r="I2263" t="str">
            <v>Queen Street</v>
          </cell>
          <cell r="J2263" t="str">
            <v>Stradbroke</v>
          </cell>
          <cell r="L2263" t="str">
            <v>Eye</v>
          </cell>
          <cell r="M2263" t="str">
            <v>Suffolk</v>
          </cell>
          <cell r="N2263" t="str">
            <v>IP21 5HH</v>
          </cell>
          <cell r="O2263" t="str">
            <v>ht.stradbroke.p@talk21.com</v>
          </cell>
          <cell r="P2263">
            <v>40851</v>
          </cell>
        </row>
        <row r="2264">
          <cell r="A2264">
            <v>3194000</v>
          </cell>
          <cell r="B2264">
            <v>102998</v>
          </cell>
          <cell r="C2264">
            <v>319</v>
          </cell>
          <cell r="D2264" t="str">
            <v>Sutton</v>
          </cell>
          <cell r="E2264">
            <v>4000</v>
          </cell>
          <cell r="F2264" t="str">
            <v>Tahir Shams</v>
          </cell>
          <cell r="G2264" t="str">
            <v>Carshalton Boys Sports College</v>
          </cell>
          <cell r="H2264" t="str">
            <v>London</v>
          </cell>
          <cell r="I2264" t="str">
            <v>Winchcombe Road</v>
          </cell>
          <cell r="L2264" t="str">
            <v>Carshalton</v>
          </cell>
          <cell r="M2264" t="str">
            <v>Surrey</v>
          </cell>
          <cell r="N2264" t="str">
            <v>SM5 1RW</v>
          </cell>
          <cell r="O2264" t="str">
            <v>sbarber@carshaltonboys.org</v>
          </cell>
          <cell r="P2264">
            <v>40627</v>
          </cell>
        </row>
        <row r="2265">
          <cell r="A2265">
            <v>8614042</v>
          </cell>
          <cell r="B2265">
            <v>124388</v>
          </cell>
          <cell r="C2265">
            <v>861</v>
          </cell>
          <cell r="D2265" t="str">
            <v>Stoke-on-Trent</v>
          </cell>
          <cell r="E2265">
            <v>4042</v>
          </cell>
          <cell r="F2265" t="str">
            <v>Julia Waterhouse</v>
          </cell>
          <cell r="G2265" t="str">
            <v>Trentham High School A Cooperative Trust science College</v>
          </cell>
          <cell r="H2265" t="str">
            <v>West Midlands</v>
          </cell>
          <cell r="I2265" t="str">
            <v>Allerton Road</v>
          </cell>
          <cell r="J2265" t="str">
            <v>Trentham</v>
          </cell>
          <cell r="L2265" t="str">
            <v>Stoke-on-Trent</v>
          </cell>
          <cell r="M2265" t="str">
            <v>Staffordshire</v>
          </cell>
          <cell r="N2265" t="str">
            <v>ST4 8PQ</v>
          </cell>
          <cell r="O2265" t="str">
            <v>amartin22@sgfl.org.uk</v>
          </cell>
        </row>
        <row r="2266">
          <cell r="A2266">
            <v>3303302</v>
          </cell>
          <cell r="B2266">
            <v>103412</v>
          </cell>
          <cell r="C2266">
            <v>330</v>
          </cell>
          <cell r="D2266" t="str">
            <v>Birmingham</v>
          </cell>
          <cell r="E2266">
            <v>3302</v>
          </cell>
          <cell r="F2266" t="str">
            <v>Carol Ions</v>
          </cell>
          <cell r="G2266" t="str">
            <v>Saint Barnabas Church of England Primary School</v>
          </cell>
          <cell r="H2266" t="str">
            <v>West Midlands</v>
          </cell>
          <cell r="I2266" t="str">
            <v>Spring Lane</v>
          </cell>
          <cell r="J2266" t="str">
            <v>Erdington</v>
          </cell>
          <cell r="L2266" t="str">
            <v>Birmingham</v>
          </cell>
          <cell r="M2266" t="str">
            <v>West Midlands</v>
          </cell>
          <cell r="N2266" t="str">
            <v>B24 9BY</v>
          </cell>
          <cell r="O2266" t="str">
            <v>enquiry@stbarnabas.eu</v>
          </cell>
          <cell r="P2266">
            <v>40947</v>
          </cell>
        </row>
        <row r="2267">
          <cell r="A2267">
            <v>3134500</v>
          </cell>
          <cell r="B2267">
            <v>102541</v>
          </cell>
          <cell r="C2267">
            <v>313</v>
          </cell>
          <cell r="D2267" t="str">
            <v>Hounslow</v>
          </cell>
          <cell r="E2267">
            <v>4500</v>
          </cell>
          <cell r="F2267" t="str">
            <v>Helen Fisher</v>
          </cell>
          <cell r="G2267" t="str">
            <v>Isleworth and Syon School for Boys</v>
          </cell>
          <cell r="H2267" t="str">
            <v>London</v>
          </cell>
          <cell r="I2267" t="str">
            <v>Ridgeway Road</v>
          </cell>
          <cell r="L2267" t="str">
            <v>Isleworth</v>
          </cell>
          <cell r="N2267" t="str">
            <v>TW7 5LJ</v>
          </cell>
          <cell r="O2267" t="str">
            <v>fef@isleworthsyon.hounslow.sch.uk</v>
          </cell>
          <cell r="P2267">
            <v>40674</v>
          </cell>
        </row>
        <row r="2268">
          <cell r="A2268">
            <v>2084731</v>
          </cell>
          <cell r="B2268">
            <v>129649</v>
          </cell>
          <cell r="C2268">
            <v>208</v>
          </cell>
          <cell r="D2268" t="str">
            <v>Lambeth</v>
          </cell>
          <cell r="E2268">
            <v>4731</v>
          </cell>
          <cell r="F2268" t="str">
            <v>Bola Bakrin</v>
          </cell>
          <cell r="G2268" t="str">
            <v>The Elmgreen School</v>
          </cell>
          <cell r="H2268" t="str">
            <v>London</v>
          </cell>
          <cell r="I2268" t="str">
            <v>Elmcourt Road</v>
          </cell>
          <cell r="J2268" t="str">
            <v>Tulse Hill</v>
          </cell>
          <cell r="L2268" t="str">
            <v>London</v>
          </cell>
          <cell r="N2268" t="str">
            <v>SE27 9BZ</v>
          </cell>
          <cell r="O2268" t="str">
            <v xml:space="preserve"> jgpwilkinson@the-elmgreen-school.org.uk</v>
          </cell>
          <cell r="P2268">
            <v>40578</v>
          </cell>
        </row>
        <row r="2269">
          <cell r="A2269">
            <v>3534605</v>
          </cell>
          <cell r="B2269">
            <v>105740</v>
          </cell>
          <cell r="C2269">
            <v>353</v>
          </cell>
          <cell r="D2269" t="str">
            <v>Oldham</v>
          </cell>
          <cell r="E2269">
            <v>4605</v>
          </cell>
          <cell r="F2269" t="str">
            <v>Alan Large</v>
          </cell>
          <cell r="G2269" t="str">
            <v>Crompton House CofE School</v>
          </cell>
          <cell r="H2269" t="str">
            <v>North West</v>
          </cell>
          <cell r="I2269" t="str">
            <v>Rochdale Road</v>
          </cell>
          <cell r="J2269" t="str">
            <v>Shaw</v>
          </cell>
          <cell r="L2269" t="str">
            <v>Oldham</v>
          </cell>
          <cell r="M2269" t="str">
            <v>Lancashire</v>
          </cell>
          <cell r="N2269" t="str">
            <v>OL2 7HS</v>
          </cell>
          <cell r="P2269">
            <v>40641</v>
          </cell>
        </row>
        <row r="2270">
          <cell r="A2270">
            <v>9334552</v>
          </cell>
          <cell r="B2270">
            <v>123894</v>
          </cell>
          <cell r="C2270">
            <v>933</v>
          </cell>
          <cell r="D2270" t="str">
            <v>Somerset</v>
          </cell>
          <cell r="E2270">
            <v>4552</v>
          </cell>
          <cell r="F2270" t="str">
            <v>Lilian Da Cunha</v>
          </cell>
          <cell r="G2270" t="str">
            <v>Selwood Anglican/Methodist Middle School</v>
          </cell>
          <cell r="H2270" t="str">
            <v>South West</v>
          </cell>
          <cell r="I2270" t="str">
            <v>Berkley Road</v>
          </cell>
          <cell r="L2270" t="str">
            <v>Frome</v>
          </cell>
          <cell r="M2270" t="str">
            <v>Somerset</v>
          </cell>
          <cell r="N2270" t="str">
            <v>BA11 2EF</v>
          </cell>
          <cell r="O2270" t="str">
            <v>SKirby1@educ.somerset.gov.uk</v>
          </cell>
          <cell r="P2270">
            <v>40744</v>
          </cell>
        </row>
        <row r="2271">
          <cell r="A2271">
            <v>3195407</v>
          </cell>
          <cell r="B2271">
            <v>103014</v>
          </cell>
          <cell r="C2271">
            <v>319</v>
          </cell>
          <cell r="D2271" t="str">
            <v>Sutton</v>
          </cell>
          <cell r="E2271">
            <v>5407</v>
          </cell>
          <cell r="F2271" t="str">
            <v>Tahir Shams</v>
          </cell>
          <cell r="G2271" t="str">
            <v>Wallington County Grammar School</v>
          </cell>
          <cell r="H2271" t="str">
            <v>London</v>
          </cell>
          <cell r="I2271" t="str">
            <v>Croydon Road</v>
          </cell>
          <cell r="L2271" t="str">
            <v>Wallington</v>
          </cell>
          <cell r="M2271" t="str">
            <v>Surrey</v>
          </cell>
          <cell r="N2271" t="str">
            <v>SM6 7PH</v>
          </cell>
          <cell r="O2271" t="str">
            <v>psmart@suttonlea.org</v>
          </cell>
          <cell r="P2271">
            <v>40588</v>
          </cell>
        </row>
        <row r="2272">
          <cell r="A2272">
            <v>9193978</v>
          </cell>
          <cell r="B2272">
            <v>133773</v>
          </cell>
          <cell r="C2272">
            <v>919</v>
          </cell>
          <cell r="D2272" t="str">
            <v>Hertfordshire</v>
          </cell>
          <cell r="E2272">
            <v>3978</v>
          </cell>
          <cell r="G2272" t="str">
            <v>St Catherine's Hoddesdon CofE Primary School</v>
          </cell>
          <cell r="H2272" t="str">
            <v>East of England</v>
          </cell>
          <cell r="I2272" t="str">
            <v>Haslewood Avenue</v>
          </cell>
          <cell r="L2272" t="str">
            <v>Hoddesdon</v>
          </cell>
          <cell r="M2272" t="str">
            <v>Hertfordshire</v>
          </cell>
          <cell r="N2272" t="str">
            <v>EN11 8HT</v>
          </cell>
          <cell r="O2272" t="str">
            <v>head@stcaths.herts.sch.uk</v>
          </cell>
        </row>
        <row r="2273">
          <cell r="A2273">
            <v>8232210</v>
          </cell>
          <cell r="B2273">
            <v>109525</v>
          </cell>
          <cell r="C2273">
            <v>823</v>
          </cell>
          <cell r="D2273" t="str">
            <v>Central Bedfordshire</v>
          </cell>
          <cell r="E2273">
            <v>2210</v>
          </cell>
          <cell r="F2273" t="str">
            <v>Michael Cook</v>
          </cell>
          <cell r="G2273" t="str">
            <v>Southlands Lower School</v>
          </cell>
          <cell r="H2273" t="str">
            <v>East of England</v>
          </cell>
          <cell r="I2273" t="str">
            <v>Kitelands Road</v>
          </cell>
          <cell r="L2273" t="str">
            <v>Biggleswade</v>
          </cell>
          <cell r="M2273" t="str">
            <v>Bedfordshire</v>
          </cell>
          <cell r="N2273" t="str">
            <v>SG18 8NX</v>
          </cell>
          <cell r="O2273" t="str">
            <v>New HT Chris Greenhall</v>
          </cell>
          <cell r="P2273">
            <v>40991</v>
          </cell>
        </row>
        <row r="2274">
          <cell r="A2274">
            <v>8603477</v>
          </cell>
          <cell r="B2274">
            <v>124368</v>
          </cell>
          <cell r="C2274">
            <v>860</v>
          </cell>
          <cell r="D2274" t="str">
            <v>Staffordshire</v>
          </cell>
          <cell r="E2274">
            <v>3477</v>
          </cell>
          <cell r="F2274" t="str">
            <v>Frances Blow</v>
          </cell>
          <cell r="G2274" t="str">
            <v>English Martyrs' Catholic Primary School</v>
          </cell>
          <cell r="H2274" t="str">
            <v>West Midlands</v>
          </cell>
          <cell r="I2274" t="str">
            <v>Woodland Street</v>
          </cell>
          <cell r="J2274" t="str">
            <v>Biddulph</v>
          </cell>
          <cell r="L2274" t="str">
            <v>Stoke-on-Trent</v>
          </cell>
          <cell r="M2274" t="str">
            <v>Staffordshire</v>
          </cell>
          <cell r="N2274" t="str">
            <v>ST8 6LW</v>
          </cell>
          <cell r="O2274" t="str">
            <v>headteacher@englishmartyrs.staffs.sch.uk</v>
          </cell>
          <cell r="P2274">
            <v>41206</v>
          </cell>
        </row>
        <row r="2275">
          <cell r="A2275">
            <v>8883451</v>
          </cell>
          <cell r="B2275">
            <v>119494</v>
          </cell>
          <cell r="C2275">
            <v>888</v>
          </cell>
          <cell r="D2275" t="str">
            <v>Lancashire</v>
          </cell>
          <cell r="E2275">
            <v>3451</v>
          </cell>
          <cell r="F2275" t="str">
            <v>Viv Clutton</v>
          </cell>
          <cell r="G2275" t="str">
            <v>Parbold Douglas C of E Primary School</v>
          </cell>
          <cell r="H2275" t="str">
            <v>North West</v>
          </cell>
          <cell r="I2275" t="str">
            <v>Lancaster Lane</v>
          </cell>
          <cell r="J2275" t="str">
            <v>Parbold</v>
          </cell>
          <cell r="L2275" t="str">
            <v>Wigan</v>
          </cell>
          <cell r="M2275" t="str">
            <v>Lancashire</v>
          </cell>
          <cell r="N2275" t="str">
            <v>WN8 7HS</v>
          </cell>
          <cell r="O2275" t="str">
            <v>head@parboldouglas.lancs.sch.uk</v>
          </cell>
          <cell r="P2275">
            <v>40639</v>
          </cell>
        </row>
        <row r="2276">
          <cell r="A2276">
            <v>8372269</v>
          </cell>
          <cell r="B2276">
            <v>131548</v>
          </cell>
          <cell r="C2276">
            <v>837</v>
          </cell>
          <cell r="D2276" t="str">
            <v>Bournemouth</v>
          </cell>
          <cell r="E2276">
            <v>2269</v>
          </cell>
          <cell r="F2276" t="str">
            <v>Tahamina Khan</v>
          </cell>
          <cell r="G2276" t="str">
            <v>Muscliff Primary School</v>
          </cell>
          <cell r="H2276" t="str">
            <v>South West</v>
          </cell>
          <cell r="I2276" t="str">
            <v>Broadway Lane</v>
          </cell>
          <cell r="J2276" t="str">
            <v>Throop</v>
          </cell>
          <cell r="L2276" t="str">
            <v>Bournemouth</v>
          </cell>
          <cell r="M2276" t="str">
            <v>Dorset</v>
          </cell>
          <cell r="N2276" t="str">
            <v>BH8 0AB</v>
          </cell>
          <cell r="O2276" t="str">
            <v>maggie.wyatt@bournemouth.gov.uk</v>
          </cell>
        </row>
        <row r="2277">
          <cell r="A2277">
            <v>3445400</v>
          </cell>
          <cell r="B2277">
            <v>105112</v>
          </cell>
          <cell r="C2277">
            <v>344</v>
          </cell>
          <cell r="D2277" t="str">
            <v>Wirral</v>
          </cell>
          <cell r="E2277">
            <v>5400</v>
          </cell>
          <cell r="F2277" t="str">
            <v>Maria Sabberton</v>
          </cell>
          <cell r="G2277" t="str">
            <v>Calday Grange Grammar School</v>
          </cell>
          <cell r="H2277" t="str">
            <v>North West</v>
          </cell>
          <cell r="I2277" t="str">
            <v>Grammar School Lane</v>
          </cell>
          <cell r="J2277" t="str">
            <v>West Kirby</v>
          </cell>
          <cell r="L2277" t="str">
            <v>Wirral</v>
          </cell>
          <cell r="M2277" t="str">
            <v>Merseyside</v>
          </cell>
          <cell r="N2277" t="str">
            <v>CH48 8GG</v>
          </cell>
          <cell r="O2277" t="str">
            <v>theschool@calday.wirral.sch.uk</v>
          </cell>
          <cell r="P2277">
            <v>40792</v>
          </cell>
        </row>
        <row r="2278">
          <cell r="A2278">
            <v>8412732</v>
          </cell>
          <cell r="B2278">
            <v>114196</v>
          </cell>
          <cell r="C2278">
            <v>841</v>
          </cell>
          <cell r="D2278" t="str">
            <v>Darlington</v>
          </cell>
          <cell r="E2278">
            <v>2732</v>
          </cell>
          <cell r="F2278" t="str">
            <v>Alan Large</v>
          </cell>
          <cell r="G2278" t="str">
            <v>Hurworth Primary School</v>
          </cell>
          <cell r="H2278" t="str">
            <v>North East</v>
          </cell>
          <cell r="I2278" t="str">
            <v>Westfield Drive</v>
          </cell>
          <cell r="J2278" t="str">
            <v>Hurworth</v>
          </cell>
          <cell r="L2278" t="str">
            <v>Darlington</v>
          </cell>
          <cell r="M2278" t="str">
            <v>County Durham</v>
          </cell>
          <cell r="N2278" t="str">
            <v>DL2 2ET</v>
          </cell>
          <cell r="P2278">
            <v>40921</v>
          </cell>
        </row>
        <row r="2279">
          <cell r="A2279">
            <v>8572312</v>
          </cell>
          <cell r="B2279">
            <v>120042</v>
          </cell>
          <cell r="C2279">
            <v>857</v>
          </cell>
          <cell r="D2279" t="str">
            <v>Rutland</v>
          </cell>
          <cell r="E2279">
            <v>2312</v>
          </cell>
          <cell r="F2279" t="str">
            <v>Sue Harp</v>
          </cell>
          <cell r="G2279" t="str">
            <v>Edith Weston Primary School</v>
          </cell>
          <cell r="H2279" t="str">
            <v>East Midlands</v>
          </cell>
          <cell r="I2279" t="str">
            <v>Weston Road</v>
          </cell>
          <cell r="J2279" t="str">
            <v>Edith Weston</v>
          </cell>
          <cell r="L2279" t="str">
            <v>Oakham</v>
          </cell>
          <cell r="M2279" t="str">
            <v>Rutland</v>
          </cell>
          <cell r="N2279" t="str">
            <v>LE15 8HQ</v>
          </cell>
          <cell r="O2279" t="str">
            <v>mlishman@edithweston.rutland.sch.uk</v>
          </cell>
        </row>
        <row r="2280">
          <cell r="A2280">
            <v>8802456</v>
          </cell>
          <cell r="B2280">
            <v>113232</v>
          </cell>
          <cell r="C2280">
            <v>880</v>
          </cell>
          <cell r="D2280" t="str">
            <v>Torbay</v>
          </cell>
          <cell r="E2280">
            <v>2456</v>
          </cell>
          <cell r="F2280" t="str">
            <v>Ali Bushell</v>
          </cell>
          <cell r="G2280" t="str">
            <v>St Margaret's Primary</v>
          </cell>
          <cell r="H2280" t="str">
            <v>South West</v>
          </cell>
          <cell r="I2280" t="str">
            <v>Barewell Road</v>
          </cell>
          <cell r="L2280" t="str">
            <v>Torquay</v>
          </cell>
          <cell r="M2280" t="str">
            <v>Devon</v>
          </cell>
          <cell r="N2280" t="str">
            <v>TQ1 4PA</v>
          </cell>
          <cell r="O2280" t="str">
            <v>Headteacher@st-maragarets.torbay.sch.uk</v>
          </cell>
          <cell r="P2280">
            <v>40533</v>
          </cell>
        </row>
        <row r="2281">
          <cell r="A2281">
            <v>9264504</v>
          </cell>
          <cell r="B2281">
            <v>121187</v>
          </cell>
          <cell r="C2281">
            <v>926</v>
          </cell>
          <cell r="D2281" t="str">
            <v>Norfolk</v>
          </cell>
          <cell r="E2281">
            <v>4504</v>
          </cell>
          <cell r="F2281" t="str">
            <v>Kish Chetty</v>
          </cell>
          <cell r="G2281" t="str">
            <v>King Edward VII School</v>
          </cell>
          <cell r="H2281" t="str">
            <v>East of England</v>
          </cell>
          <cell r="I2281" t="str">
            <v>Gaywood Road</v>
          </cell>
          <cell r="L2281" t="str">
            <v>King's Lynn</v>
          </cell>
          <cell r="M2281" t="str">
            <v>Norfolk</v>
          </cell>
          <cell r="N2281" t="str">
            <v>PE30 2QB</v>
          </cell>
          <cell r="O2281" t="str">
            <v>mdouglass6nrh@nsix.org.uk</v>
          </cell>
          <cell r="P2281">
            <v>40947</v>
          </cell>
        </row>
        <row r="2282">
          <cell r="A2282">
            <v>8784005</v>
          </cell>
          <cell r="B2282">
            <v>113500</v>
          </cell>
          <cell r="C2282">
            <v>878</v>
          </cell>
          <cell r="D2282" t="str">
            <v>Devon</v>
          </cell>
          <cell r="E2282">
            <v>4005</v>
          </cell>
          <cell r="F2282" t="str">
            <v>Susan Phillips</v>
          </cell>
          <cell r="G2282" t="str">
            <v>The King's School</v>
          </cell>
          <cell r="H2282" t="str">
            <v>South West</v>
          </cell>
          <cell r="I2282" t="str">
            <v>Barrack Road</v>
          </cell>
          <cell r="L2282" t="str">
            <v>Ottery St Mary</v>
          </cell>
          <cell r="M2282" t="str">
            <v>Devon</v>
          </cell>
          <cell r="N2282" t="str">
            <v>EX11 1RA</v>
          </cell>
          <cell r="O2282" t="str">
            <v>fjarrett@thekings.devon.sch.uk</v>
          </cell>
          <cell r="P2282">
            <v>40550</v>
          </cell>
        </row>
        <row r="2283">
          <cell r="A2283">
            <v>9374114</v>
          </cell>
          <cell r="B2283">
            <v>125738</v>
          </cell>
          <cell r="C2283">
            <v>937</v>
          </cell>
          <cell r="D2283" t="str">
            <v>Warwickshire</v>
          </cell>
          <cell r="E2283">
            <v>4114</v>
          </cell>
          <cell r="F2283" t="str">
            <v>Sally Gardiner</v>
          </cell>
          <cell r="G2283" t="str">
            <v>Southam College</v>
          </cell>
          <cell r="H2283" t="str">
            <v>West Midlands</v>
          </cell>
          <cell r="I2283" t="str">
            <v>Welsh Road West</v>
          </cell>
          <cell r="L2283" t="str">
            <v>Southam</v>
          </cell>
          <cell r="M2283" t="str">
            <v>Warwickshire</v>
          </cell>
          <cell r="N2283" t="str">
            <v>CV47 0JW</v>
          </cell>
          <cell r="O2283" t="str">
            <v>samra.r@we-learn.com</v>
          </cell>
          <cell r="P2283">
            <v>41190</v>
          </cell>
        </row>
        <row r="2284">
          <cell r="A2284">
            <v>8553060</v>
          </cell>
          <cell r="B2284">
            <v>120146</v>
          </cell>
          <cell r="C2284">
            <v>855</v>
          </cell>
          <cell r="D2284" t="str">
            <v>Leicestershire</v>
          </cell>
          <cell r="E2284">
            <v>3060</v>
          </cell>
          <cell r="F2284" t="str">
            <v>Pauline Cole</v>
          </cell>
          <cell r="G2284" t="str">
            <v>Measham Church of England Primary School</v>
          </cell>
          <cell r="H2284" t="str">
            <v>East Midlands</v>
          </cell>
          <cell r="I2284" t="str">
            <v>Bosworth Road</v>
          </cell>
          <cell r="J2284" t="str">
            <v>Measham</v>
          </cell>
          <cell r="L2284" t="str">
            <v>Swadlincote</v>
          </cell>
          <cell r="M2284" t="str">
            <v>Derbyshire</v>
          </cell>
          <cell r="N2284" t="str">
            <v>DE12 7LG</v>
          </cell>
          <cell r="O2284" t="str">
            <v>office@measham.leics.sch.uk</v>
          </cell>
          <cell r="P2284">
            <v>41081</v>
          </cell>
        </row>
        <row r="2285">
          <cell r="A2285">
            <v>8913511</v>
          </cell>
          <cell r="B2285">
            <v>122795</v>
          </cell>
          <cell r="C2285">
            <v>891</v>
          </cell>
          <cell r="D2285" t="str">
            <v>Nottinghamshire</v>
          </cell>
          <cell r="E2285">
            <v>3511</v>
          </cell>
          <cell r="F2285" t="str">
            <v>Sue Harp</v>
          </cell>
          <cell r="G2285" t="str">
            <v>Archbishop Cranmer CofE Primary School</v>
          </cell>
          <cell r="H2285" t="str">
            <v>East Midlands</v>
          </cell>
          <cell r="I2285" t="str">
            <v>Abbey Lane</v>
          </cell>
          <cell r="J2285" t="str">
            <v>Aslockton</v>
          </cell>
          <cell r="L2285" t="str">
            <v>Nottingham</v>
          </cell>
          <cell r="M2285" t="str">
            <v>Nottinghamshire</v>
          </cell>
          <cell r="N2285" t="str">
            <v>NG13 9AW</v>
          </cell>
          <cell r="O2285" t="str">
            <v>david.maddison@st-peters.notts.sch.uk</v>
          </cell>
        </row>
        <row r="2286">
          <cell r="A2286">
            <v>3723340</v>
          </cell>
          <cell r="B2286">
            <v>106945</v>
          </cell>
          <cell r="C2286">
            <v>372</v>
          </cell>
          <cell r="D2286" t="str">
            <v>Rotherham</v>
          </cell>
          <cell r="E2286">
            <v>3340</v>
          </cell>
          <cell r="F2286" t="str">
            <v>Jayne Turner</v>
          </cell>
          <cell r="G2286" t="str">
            <v>St Bede's Catholic Primary School</v>
          </cell>
          <cell r="H2286" t="str">
            <v>Yorkshire and the Humber</v>
          </cell>
          <cell r="I2286" t="str">
            <v>Wortley Road</v>
          </cell>
          <cell r="L2286" t="str">
            <v>Rotherham</v>
          </cell>
          <cell r="M2286" t="str">
            <v>South Yorkshire</v>
          </cell>
          <cell r="N2286" t="str">
            <v>S61 1PD</v>
          </cell>
          <cell r="O2286" t="str">
            <v>stbedesheadteacher@rotherham.gov.uk</v>
          </cell>
          <cell r="P2286">
            <v>41257</v>
          </cell>
        </row>
        <row r="2287">
          <cell r="A2287">
            <v>3834107</v>
          </cell>
          <cell r="B2287">
            <v>108084</v>
          </cell>
          <cell r="C2287">
            <v>383</v>
          </cell>
          <cell r="D2287" t="str">
            <v>Leeds</v>
          </cell>
          <cell r="E2287">
            <v>4107</v>
          </cell>
          <cell r="F2287" t="str">
            <v>Adriarna Goodinson</v>
          </cell>
          <cell r="G2287" t="str">
            <v>Crawshaw School</v>
          </cell>
          <cell r="H2287" t="str">
            <v>Yorkshire and the Humber</v>
          </cell>
          <cell r="I2287" t="str">
            <v>Robin Lane</v>
          </cell>
          <cell r="L2287" t="str">
            <v>Pudsey</v>
          </cell>
          <cell r="M2287" t="str">
            <v>West Yorkshire</v>
          </cell>
          <cell r="N2287" t="str">
            <v>LS28 9HU</v>
          </cell>
          <cell r="O2287" t="str">
            <v>rusej01@leedslearning.net</v>
          </cell>
          <cell r="P2287">
            <v>40981</v>
          </cell>
        </row>
        <row r="2288">
          <cell r="A2288">
            <v>9255402</v>
          </cell>
          <cell r="B2288">
            <v>120698</v>
          </cell>
          <cell r="C2288">
            <v>925</v>
          </cell>
          <cell r="D2288" t="str">
            <v>Lincolnshire</v>
          </cell>
          <cell r="E2288">
            <v>5402</v>
          </cell>
          <cell r="F2288" t="str">
            <v>Linda Brooks</v>
          </cell>
          <cell r="G2288" t="str">
            <v>The King's School, Grantham</v>
          </cell>
          <cell r="H2288" t="str">
            <v>East Midlands</v>
          </cell>
          <cell r="I2288" t="str">
            <v>Brook Street</v>
          </cell>
          <cell r="L2288" t="str">
            <v>Grantham</v>
          </cell>
          <cell r="M2288" t="str">
            <v>Lincolnshire</v>
          </cell>
          <cell r="N2288" t="str">
            <v>NG31 6RP</v>
          </cell>
          <cell r="O2288" t="str">
            <v>head@kings.lincs.sch.uk</v>
          </cell>
          <cell r="P2288">
            <v>40620</v>
          </cell>
        </row>
        <row r="2289">
          <cell r="A2289">
            <v>3065402</v>
          </cell>
          <cell r="B2289">
            <v>101820</v>
          </cell>
          <cell r="C2289">
            <v>306</v>
          </cell>
          <cell r="D2289" t="str">
            <v>Croydon</v>
          </cell>
          <cell r="E2289">
            <v>5402</v>
          </cell>
          <cell r="F2289" t="str">
            <v>Anita Bihal</v>
          </cell>
          <cell r="G2289" t="str">
            <v>St Joseph's College (Maths &amp; Computing Specialist College)</v>
          </cell>
          <cell r="H2289" t="str">
            <v>London</v>
          </cell>
          <cell r="I2289" t="str">
            <v>Beulah Hill</v>
          </cell>
          <cell r="L2289" t="str">
            <v>London</v>
          </cell>
          <cell r="N2289" t="str">
            <v>SE19 3HL</v>
          </cell>
          <cell r="O2289" t="str">
            <v>angelconnolly@sjc.ac</v>
          </cell>
          <cell r="P2289">
            <v>40886</v>
          </cell>
        </row>
        <row r="2290">
          <cell r="A2290">
            <v>3832481</v>
          </cell>
          <cell r="B2290">
            <v>107957</v>
          </cell>
          <cell r="C2290">
            <v>383</v>
          </cell>
          <cell r="D2290" t="str">
            <v>Leeds</v>
          </cell>
          <cell r="E2290">
            <v>2481</v>
          </cell>
          <cell r="F2290" t="str">
            <v>Bev Annables</v>
          </cell>
          <cell r="G2290" t="str">
            <v>Low Road Primary School</v>
          </cell>
          <cell r="H2290" t="str">
            <v>Yorkshire and the Humber</v>
          </cell>
          <cell r="I2290" t="str">
            <v>Belinda Street</v>
          </cell>
          <cell r="J2290" t="str">
            <v>Off Church Street</v>
          </cell>
          <cell r="L2290" t="str">
            <v>Leeds</v>
          </cell>
          <cell r="M2290" t="str">
            <v>West Yorkshire</v>
          </cell>
          <cell r="N2290" t="str">
            <v>LS10 2PS</v>
          </cell>
          <cell r="O2290" t="str">
            <v>calletj01@leadslearning.net</v>
          </cell>
        </row>
        <row r="2291">
          <cell r="A2291">
            <v>8745414</v>
          </cell>
          <cell r="B2291">
            <v>110908</v>
          </cell>
          <cell r="C2291">
            <v>874</v>
          </cell>
          <cell r="D2291" t="str">
            <v>Peterborough</v>
          </cell>
          <cell r="E2291">
            <v>5414</v>
          </cell>
          <cell r="F2291" t="str">
            <v>Vivienne Brown</v>
          </cell>
          <cell r="G2291" t="str">
            <v>Orton Longueville School</v>
          </cell>
          <cell r="H2291" t="str">
            <v>East of England</v>
          </cell>
          <cell r="I2291" t="str">
            <v>Oundle Road</v>
          </cell>
          <cell r="J2291" t="str">
            <v>Orton Longueville</v>
          </cell>
          <cell r="L2291" t="str">
            <v>Peterborough</v>
          </cell>
          <cell r="M2291" t="str">
            <v>Cambridgeshire</v>
          </cell>
          <cell r="N2291" t="str">
            <v>PE2 7EA</v>
          </cell>
          <cell r="O2291" t="str">
            <v>mark.woods@olsonline.net</v>
          </cell>
        </row>
        <row r="2292">
          <cell r="A2292">
            <v>8862310</v>
          </cell>
          <cell r="B2292">
            <v>118392</v>
          </cell>
          <cell r="C2292">
            <v>886</v>
          </cell>
          <cell r="D2292" t="str">
            <v>Kent</v>
          </cell>
          <cell r="E2292">
            <v>2310</v>
          </cell>
          <cell r="F2292" t="str">
            <v>Darren Francis</v>
          </cell>
          <cell r="G2292" t="str">
            <v>Barton Junior School</v>
          </cell>
          <cell r="H2292" t="str">
            <v>South East</v>
          </cell>
          <cell r="I2292" t="str">
            <v>Barton Road</v>
          </cell>
          <cell r="L2292" t="str">
            <v>Dover</v>
          </cell>
          <cell r="M2292" t="str">
            <v>Kent</v>
          </cell>
          <cell r="N2292" t="str">
            <v>CT16 2ND</v>
          </cell>
          <cell r="O2292" t="str">
            <v>chiefexecutive@astorcollege.org.uk</v>
          </cell>
          <cell r="P2292">
            <v>40815</v>
          </cell>
        </row>
        <row r="2293">
          <cell r="A2293">
            <v>9362095</v>
          </cell>
          <cell r="B2293">
            <v>124963</v>
          </cell>
          <cell r="C2293">
            <v>936</v>
          </cell>
          <cell r="D2293" t="str">
            <v>Surrey</v>
          </cell>
          <cell r="E2293">
            <v>2095</v>
          </cell>
          <cell r="F2293" t="str">
            <v>Gabriela Grimley</v>
          </cell>
          <cell r="G2293" t="str">
            <v>Cuddington Community Primary School</v>
          </cell>
          <cell r="H2293" t="str">
            <v>South East</v>
          </cell>
          <cell r="I2293" t="str">
            <v>Salisbury Road</v>
          </cell>
          <cell r="L2293" t="str">
            <v>Worcester Park</v>
          </cell>
          <cell r="M2293" t="str">
            <v>Surrey</v>
          </cell>
          <cell r="N2293" t="str">
            <v>KT4 7DD</v>
          </cell>
          <cell r="O2293" t="str">
            <v>head@cuddington.surrey.sch.uk</v>
          </cell>
        </row>
        <row r="2294">
          <cell r="A2294">
            <v>8804116</v>
          </cell>
          <cell r="B2294">
            <v>113525</v>
          </cell>
          <cell r="C2294">
            <v>880</v>
          </cell>
          <cell r="D2294" t="str">
            <v>Torbay</v>
          </cell>
          <cell r="E2294">
            <v>4116</v>
          </cell>
          <cell r="F2294" t="str">
            <v>Nigel Hutchins</v>
          </cell>
          <cell r="G2294" t="str">
            <v>Churston Ferrers Grammar School</v>
          </cell>
          <cell r="H2294" t="str">
            <v>South West</v>
          </cell>
          <cell r="I2294" t="str">
            <v>Greenway Road</v>
          </cell>
          <cell r="J2294" t="str">
            <v>Churston Ferrers</v>
          </cell>
          <cell r="L2294" t="str">
            <v>Brixham</v>
          </cell>
          <cell r="M2294" t="str">
            <v>Devon</v>
          </cell>
          <cell r="N2294" t="str">
            <v>TQ5 0LN</v>
          </cell>
          <cell r="O2294" t="str">
            <v>bob.owers@churston.torbay.sch.uk</v>
          </cell>
          <cell r="P2294">
            <v>40444</v>
          </cell>
        </row>
        <row r="2295">
          <cell r="A2295">
            <v>8914328</v>
          </cell>
          <cell r="B2295">
            <v>122859</v>
          </cell>
          <cell r="C2295">
            <v>891</v>
          </cell>
          <cell r="D2295" t="str">
            <v>Nottinghamshire</v>
          </cell>
          <cell r="E2295">
            <v>4328</v>
          </cell>
          <cell r="F2295" t="str">
            <v>Grant Dyson</v>
          </cell>
          <cell r="G2295" t="str">
            <v>The West Bridgford School</v>
          </cell>
          <cell r="H2295" t="str">
            <v>East Midlands</v>
          </cell>
          <cell r="I2295" t="str">
            <v>Loughborough Road</v>
          </cell>
          <cell r="J2295" t="str">
            <v>West Bridgford</v>
          </cell>
          <cell r="L2295" t="str">
            <v>Nottingham</v>
          </cell>
          <cell r="M2295" t="str">
            <v>Nottinghamshire</v>
          </cell>
          <cell r="N2295" t="str">
            <v>NG2 7FA</v>
          </cell>
          <cell r="O2295" t="str">
            <v>rmcdonough@wbs.eu.com</v>
          </cell>
          <cell r="P2295">
            <v>40500</v>
          </cell>
        </row>
        <row r="2296">
          <cell r="A2296">
            <v>8664084</v>
          </cell>
          <cell r="B2296">
            <v>126465</v>
          </cell>
          <cell r="C2296">
            <v>866</v>
          </cell>
          <cell r="D2296" t="str">
            <v>Swindon</v>
          </cell>
          <cell r="E2296">
            <v>4084</v>
          </cell>
          <cell r="F2296" t="str">
            <v>Lilian Da Cunha</v>
          </cell>
          <cell r="G2296" t="str">
            <v>Nova Hreod</v>
          </cell>
          <cell r="H2296" t="str">
            <v>South West</v>
          </cell>
          <cell r="I2296" t="str">
            <v>Akers Way</v>
          </cell>
          <cell r="J2296" t="str">
            <v>Moredon</v>
          </cell>
          <cell r="L2296" t="str">
            <v>Swindon</v>
          </cell>
          <cell r="M2296" t="str">
            <v>Wiltshire</v>
          </cell>
          <cell r="N2296" t="str">
            <v>SN2 2NQ</v>
          </cell>
          <cell r="O2296" t="str">
            <v>j.tridgell@novahreod.swindon.sch.uk</v>
          </cell>
          <cell r="P2296">
            <v>40848</v>
          </cell>
        </row>
        <row r="2297">
          <cell r="A2297">
            <v>8862223</v>
          </cell>
          <cell r="B2297">
            <v>118333</v>
          </cell>
          <cell r="C2297">
            <v>886</v>
          </cell>
          <cell r="D2297" t="str">
            <v>Kent</v>
          </cell>
          <cell r="E2297">
            <v>2223</v>
          </cell>
          <cell r="F2297" t="str">
            <v>Tony Dunne</v>
          </cell>
          <cell r="G2297" t="str">
            <v>Bobbing Village School</v>
          </cell>
          <cell r="H2297" t="str">
            <v>South East</v>
          </cell>
          <cell r="I2297" t="str">
            <v>Sheppey Way</v>
          </cell>
          <cell r="J2297" t="str">
            <v>Bobbing</v>
          </cell>
          <cell r="L2297" t="str">
            <v>Sittingbourne</v>
          </cell>
          <cell r="M2297" t="str">
            <v>Kent</v>
          </cell>
          <cell r="N2297" t="str">
            <v>ME9 8PL</v>
          </cell>
          <cell r="O2297" t="str">
            <v>headteacher@bobbing.kent.sch.uk</v>
          </cell>
        </row>
        <row r="2298">
          <cell r="A2298">
            <v>9092318</v>
          </cell>
          <cell r="B2298">
            <v>112187</v>
          </cell>
          <cell r="C2298">
            <v>909</v>
          </cell>
          <cell r="D2298" t="str">
            <v>Cumbria</v>
          </cell>
          <cell r="E2298">
            <v>2318</v>
          </cell>
          <cell r="F2298" t="str">
            <v>Linda Quinn</v>
          </cell>
          <cell r="G2298" t="str">
            <v>Ghyllside Primary School</v>
          </cell>
          <cell r="H2298" t="str">
            <v>North West</v>
          </cell>
          <cell r="I2298" t="str">
            <v>Gillinggate</v>
          </cell>
          <cell r="L2298" t="str">
            <v>Kendal</v>
          </cell>
          <cell r="M2298" t="str">
            <v>Cumbria</v>
          </cell>
          <cell r="N2298" t="str">
            <v>LA9 4JB</v>
          </cell>
          <cell r="O2298" t="str">
            <v>admin@ghyllside.cumbria.sch.uk</v>
          </cell>
          <cell r="P2298">
            <v>40998</v>
          </cell>
        </row>
        <row r="2299">
          <cell r="A2299">
            <v>3571103</v>
          </cell>
          <cell r="B2299">
            <v>137322</v>
          </cell>
          <cell r="C2299">
            <v>357</v>
          </cell>
          <cell r="D2299" t="str">
            <v>Tameside</v>
          </cell>
          <cell r="E2299">
            <v>1103</v>
          </cell>
          <cell r="F2299" t="str">
            <v>Pat Murison</v>
          </cell>
          <cell r="G2299" t="str">
            <v>White Bridge College</v>
          </cell>
          <cell r="H2299" t="str">
            <v>North West</v>
          </cell>
          <cell r="I2299" t="str">
            <v>Globe Lane</v>
          </cell>
          <cell r="J2299" t="str">
            <v>Dukinfield</v>
          </cell>
          <cell r="L2299" t="str">
            <v>Cheshire</v>
          </cell>
          <cell r="M2299" t="str">
            <v>Greater Manchester</v>
          </cell>
          <cell r="N2299" t="str">
            <v>SK16 4UJ</v>
          </cell>
        </row>
        <row r="2300">
          <cell r="A2300">
            <v>9354066</v>
          </cell>
          <cell r="B2300">
            <v>124826</v>
          </cell>
          <cell r="C2300">
            <v>935</v>
          </cell>
          <cell r="D2300" t="str">
            <v>Suffolk</v>
          </cell>
          <cell r="E2300">
            <v>4066</v>
          </cell>
          <cell r="F2300" t="str">
            <v>Patricia Jacobs</v>
          </cell>
          <cell r="G2300" t="str">
            <v>The Denes High School</v>
          </cell>
          <cell r="H2300" t="str">
            <v>East of England</v>
          </cell>
          <cell r="I2300" t="str">
            <v>Yarmouth Road</v>
          </cell>
          <cell r="L2300" t="str">
            <v>Lowestoft</v>
          </cell>
          <cell r="M2300" t="str">
            <v>Suffolk</v>
          </cell>
          <cell r="N2300" t="str">
            <v>NR32 4AH</v>
          </cell>
          <cell r="O2300" t="str">
            <v>mlincoln@denes.suffolk.sch.uk</v>
          </cell>
          <cell r="P2300">
            <v>40668</v>
          </cell>
        </row>
        <row r="2301">
          <cell r="A2301">
            <v>8854017</v>
          </cell>
          <cell r="B2301">
            <v>116937</v>
          </cell>
          <cell r="C2301">
            <v>885</v>
          </cell>
          <cell r="D2301" t="str">
            <v>Worcestershire</v>
          </cell>
          <cell r="E2301">
            <v>4017</v>
          </cell>
          <cell r="F2301" t="str">
            <v>Hannah Copp</v>
          </cell>
          <cell r="G2301" t="str">
            <v>Woodrush Community High School</v>
          </cell>
          <cell r="H2301" t="str">
            <v>West Midlands</v>
          </cell>
          <cell r="I2301" t="str">
            <v>Shawhurst Lane</v>
          </cell>
          <cell r="J2301" t="str">
            <v>Hollywood</v>
          </cell>
          <cell r="L2301" t="str">
            <v>Birmingham</v>
          </cell>
          <cell r="M2301" t="str">
            <v>West Midlands</v>
          </cell>
          <cell r="N2301" t="str">
            <v>B47 5JW</v>
          </cell>
          <cell r="O2301" t="str">
            <v>head@woodrushhigh.worcs.sch.uk</v>
          </cell>
          <cell r="P2301">
            <v>40581</v>
          </cell>
        </row>
        <row r="2302">
          <cell r="A2302">
            <v>3574023</v>
          </cell>
          <cell r="B2302">
            <v>106267</v>
          </cell>
          <cell r="C2302">
            <v>357</v>
          </cell>
          <cell r="D2302" t="str">
            <v>Tameside</v>
          </cell>
          <cell r="E2302">
            <v>4023</v>
          </cell>
          <cell r="F2302" t="str">
            <v>Jane McCusker</v>
          </cell>
          <cell r="G2302" t="str">
            <v>Longdendale Community Language College</v>
          </cell>
          <cell r="H2302" t="str">
            <v>North West</v>
          </cell>
          <cell r="I2302" t="str">
            <v>Spring Street</v>
          </cell>
          <cell r="J2302" t="str">
            <v>Hollingworth</v>
          </cell>
          <cell r="L2302" t="str">
            <v>Hyde</v>
          </cell>
          <cell r="M2302" t="str">
            <v>Cheshire</v>
          </cell>
          <cell r="N2302" t="str">
            <v>SK14 8LW</v>
          </cell>
          <cell r="O2302" t="str">
            <v>matthew.bowler@longdendale.tameside.sch.uk</v>
          </cell>
        </row>
        <row r="2303">
          <cell r="A2303">
            <v>8123525</v>
          </cell>
          <cell r="B2303">
            <v>131604</v>
          </cell>
          <cell r="C2303">
            <v>812</v>
          </cell>
          <cell r="D2303" t="str">
            <v>North East Lincolnshire</v>
          </cell>
          <cell r="E2303">
            <v>3525</v>
          </cell>
          <cell r="F2303" t="str">
            <v>Nick Monton</v>
          </cell>
          <cell r="G2303" t="str">
            <v>South Parade Primary School</v>
          </cell>
          <cell r="H2303" t="str">
            <v>Yorkshire and the Humber</v>
          </cell>
          <cell r="I2303" t="str">
            <v>South Parade</v>
          </cell>
          <cell r="L2303" t="str">
            <v>Grimsby</v>
          </cell>
          <cell r="M2303" t="str">
            <v>Lincolnshire</v>
          </cell>
          <cell r="N2303" t="str">
            <v>DN31 1TU</v>
          </cell>
          <cell r="O2303" t="str">
            <v>head@spps.tlfe.org</v>
          </cell>
          <cell r="P2303">
            <v>40998</v>
          </cell>
        </row>
        <row r="2304">
          <cell r="A2304">
            <v>2104318</v>
          </cell>
          <cell r="B2304">
            <v>131812</v>
          </cell>
          <cell r="C2304">
            <v>210</v>
          </cell>
          <cell r="D2304" t="str">
            <v>Southwark</v>
          </cell>
          <cell r="E2304">
            <v>4318</v>
          </cell>
          <cell r="F2304" t="str">
            <v>Susan Shakespeare</v>
          </cell>
          <cell r="G2304" t="str">
            <v>The Charter School</v>
          </cell>
          <cell r="H2304" t="str">
            <v>London</v>
          </cell>
          <cell r="I2304" t="str">
            <v>Red Post Hill</v>
          </cell>
          <cell r="L2304" t="str">
            <v>London</v>
          </cell>
          <cell r="N2304" t="str">
            <v>SE24 9JH</v>
          </cell>
          <cell r="O2304" t="str">
            <v>dsheppard@charter.southwark.sch.uk</v>
          </cell>
          <cell r="P2304">
            <v>40361</v>
          </cell>
        </row>
        <row r="2305">
          <cell r="A2305">
            <v>3585900</v>
          </cell>
          <cell r="B2305">
            <v>131315</v>
          </cell>
          <cell r="C2305">
            <v>358</v>
          </cell>
          <cell r="D2305" t="str">
            <v>Trafford</v>
          </cell>
          <cell r="E2305">
            <v>5900</v>
          </cell>
          <cell r="F2305" t="str">
            <v>Elaine Howard</v>
          </cell>
          <cell r="G2305" t="str">
            <v>St Ambrose College</v>
          </cell>
          <cell r="H2305" t="str">
            <v>North West</v>
          </cell>
          <cell r="I2305" t="str">
            <v>Wicker Lane</v>
          </cell>
          <cell r="J2305" t="str">
            <v>Halebarns</v>
          </cell>
          <cell r="L2305" t="str">
            <v>Altrincham</v>
          </cell>
          <cell r="M2305" t="str">
            <v>Cheshire</v>
          </cell>
          <cell r="N2305" t="str">
            <v>WA15 0HE</v>
          </cell>
          <cell r="O2305" t="str">
            <v>headmaster@st-ambrosecollege.org.uk</v>
          </cell>
          <cell r="P2305">
            <v>40470</v>
          </cell>
        </row>
        <row r="2306">
          <cell r="A2306">
            <v>9093380</v>
          </cell>
          <cell r="B2306">
            <v>112330</v>
          </cell>
          <cell r="C2306">
            <v>909</v>
          </cell>
          <cell r="D2306" t="str">
            <v>Cumbria</v>
          </cell>
          <cell r="E2306">
            <v>3380</v>
          </cell>
          <cell r="F2306" t="str">
            <v>Linda Quinn</v>
          </cell>
          <cell r="G2306" t="str">
            <v>Windermere CofE Junior School</v>
          </cell>
          <cell r="H2306" t="str">
            <v>North West</v>
          </cell>
          <cell r="I2306" t="str">
            <v>Princes Road</v>
          </cell>
          <cell r="L2306" t="str">
            <v>Windermere</v>
          </cell>
          <cell r="M2306" t="str">
            <v>Cumbria</v>
          </cell>
          <cell r="N2306" t="str">
            <v>LA23 2DD</v>
          </cell>
          <cell r="O2306" t="str">
            <v>head@windermere.cumbria.sch.uk</v>
          </cell>
          <cell r="P2306">
            <v>40938</v>
          </cell>
        </row>
        <row r="2307">
          <cell r="A2307">
            <v>3052010</v>
          </cell>
          <cell r="B2307">
            <v>101593</v>
          </cell>
          <cell r="C2307">
            <v>305</v>
          </cell>
          <cell r="D2307" t="str">
            <v>Bromley</v>
          </cell>
          <cell r="E2307">
            <v>2010</v>
          </cell>
          <cell r="F2307" t="str">
            <v>Sheila Longstaff</v>
          </cell>
          <cell r="G2307" t="str">
            <v>Oak Lodge Primary School</v>
          </cell>
          <cell r="H2307" t="str">
            <v>London</v>
          </cell>
          <cell r="I2307" t="str">
            <v>Chamberlain Crescent</v>
          </cell>
          <cell r="L2307" t="str">
            <v>West Wickham</v>
          </cell>
          <cell r="M2307" t="str">
            <v>Kent</v>
          </cell>
          <cell r="N2307" t="str">
            <v>BR4 0LJ</v>
          </cell>
        </row>
        <row r="2308">
          <cell r="A2308">
            <v>8413512</v>
          </cell>
          <cell r="B2308">
            <v>114284</v>
          </cell>
          <cell r="C2308">
            <v>841</v>
          </cell>
          <cell r="D2308" t="str">
            <v>Darlington</v>
          </cell>
          <cell r="E2308">
            <v>3512</v>
          </cell>
          <cell r="F2308" t="str">
            <v>Susan Dean</v>
          </cell>
          <cell r="G2308" t="str">
            <v>St Bede's RC Primary School</v>
          </cell>
          <cell r="H2308" t="str">
            <v>North East</v>
          </cell>
          <cell r="I2308" t="str">
            <v>Kingsway</v>
          </cell>
          <cell r="J2308" t="str">
            <v>Thompson Street East</v>
          </cell>
          <cell r="L2308" t="str">
            <v>Darlington</v>
          </cell>
          <cell r="M2308" t="str">
            <v>County Durham</v>
          </cell>
          <cell r="N2308" t="str">
            <v>DL1 3ES</v>
          </cell>
          <cell r="O2308" t="str">
            <v>headteacher@stbedesrc.darlington.sch.uk</v>
          </cell>
          <cell r="P2308">
            <v>41004</v>
          </cell>
        </row>
        <row r="2309">
          <cell r="A2309">
            <v>8237017</v>
          </cell>
          <cell r="B2309">
            <v>109746</v>
          </cell>
          <cell r="C2309">
            <v>823</v>
          </cell>
          <cell r="D2309" t="str">
            <v>Central Bedfordshire</v>
          </cell>
          <cell r="E2309">
            <v>7017</v>
          </cell>
          <cell r="F2309" t="str">
            <v>Michael Cook</v>
          </cell>
          <cell r="G2309" t="str">
            <v>Glenwood School</v>
          </cell>
          <cell r="H2309" t="str">
            <v>East of England</v>
          </cell>
          <cell r="I2309" t="str">
            <v>Beech Road</v>
          </cell>
          <cell r="L2309" t="str">
            <v>Dunstable</v>
          </cell>
          <cell r="M2309" t="str">
            <v>Bedfordshire</v>
          </cell>
          <cell r="N2309" t="str">
            <v>LU6 3LY</v>
          </cell>
          <cell r="O2309" t="str">
            <v>glenwood@deal.bedfordshire.gov.uk</v>
          </cell>
        </row>
        <row r="2310">
          <cell r="A2310">
            <v>9332085</v>
          </cell>
          <cell r="B2310">
            <v>123669</v>
          </cell>
          <cell r="C2310">
            <v>933</v>
          </cell>
          <cell r="D2310" t="str">
            <v>Somerset</v>
          </cell>
          <cell r="E2310">
            <v>2085</v>
          </cell>
          <cell r="F2310" t="str">
            <v>Ali Bushell</v>
          </cell>
          <cell r="G2310" t="str">
            <v>Wookey Primary School</v>
          </cell>
          <cell r="H2310" t="str">
            <v>South West</v>
          </cell>
          <cell r="I2310" t="str">
            <v>Wells Road</v>
          </cell>
          <cell r="J2310" t="str">
            <v>Wookey</v>
          </cell>
          <cell r="L2310" t="str">
            <v>Wells</v>
          </cell>
          <cell r="M2310" t="str">
            <v>Somerset</v>
          </cell>
          <cell r="N2310" t="str">
            <v>BA5 1LQ</v>
          </cell>
          <cell r="O2310" t="str">
            <v>crockell@educ.somerset.gov.uk</v>
          </cell>
        </row>
        <row r="2311">
          <cell r="A2311">
            <v>8842071</v>
          </cell>
          <cell r="B2311">
            <v>116686</v>
          </cell>
          <cell r="C2311">
            <v>884</v>
          </cell>
          <cell r="D2311" t="str">
            <v>Herefordshire</v>
          </cell>
          <cell r="E2311">
            <v>2071</v>
          </cell>
          <cell r="F2311" t="str">
            <v>Not yet assigned</v>
          </cell>
          <cell r="G2311" t="str">
            <v>Trinity Primary School</v>
          </cell>
          <cell r="H2311" t="str">
            <v>West Midlands</v>
          </cell>
          <cell r="I2311" t="str">
            <v>Barricombe Drive</v>
          </cell>
          <cell r="J2311" t="str">
            <v>Moor Farm</v>
          </cell>
          <cell r="L2311" t="str">
            <v>Hereford</v>
          </cell>
          <cell r="M2311" t="str">
            <v>Herefordshire</v>
          </cell>
          <cell r="N2311" t="str">
            <v>HR4 0NU</v>
          </cell>
          <cell r="O2311" t="str">
            <v>apritchard@trinity.hereford.sch.uk</v>
          </cell>
        </row>
        <row r="2312">
          <cell r="A2312">
            <v>9314116</v>
          </cell>
          <cell r="B2312">
            <v>123251</v>
          </cell>
          <cell r="C2312">
            <v>931</v>
          </cell>
          <cell r="D2312" t="str">
            <v>Oxfordshire</v>
          </cell>
          <cell r="E2312">
            <v>4116</v>
          </cell>
          <cell r="F2312" t="str">
            <v>Sarah Nairne</v>
          </cell>
          <cell r="G2312" t="str">
            <v>The Cherwell School</v>
          </cell>
          <cell r="H2312" t="str">
            <v>South East</v>
          </cell>
          <cell r="I2312" t="str">
            <v>Marston Ferry Road</v>
          </cell>
          <cell r="L2312" t="str">
            <v>Oxford</v>
          </cell>
          <cell r="M2312" t="str">
            <v>Oxfordshire</v>
          </cell>
          <cell r="N2312" t="str">
            <v>OX2 7EE</v>
          </cell>
          <cell r="O2312" t="str">
            <v>pjames@cherwell.oxon.sch.uk</v>
          </cell>
          <cell r="P2312">
            <v>40872</v>
          </cell>
        </row>
        <row r="2313">
          <cell r="A2313">
            <v>9282086</v>
          </cell>
          <cell r="B2313">
            <v>121861</v>
          </cell>
          <cell r="C2313">
            <v>928</v>
          </cell>
          <cell r="D2313" t="str">
            <v>Northamptonshire</v>
          </cell>
          <cell r="E2313">
            <v>2086</v>
          </cell>
          <cell r="F2313" t="str">
            <v>Stephen Standret</v>
          </cell>
          <cell r="G2313" t="str">
            <v>South End Infant School</v>
          </cell>
          <cell r="H2313" t="str">
            <v>East Midlands</v>
          </cell>
          <cell r="I2313" t="str">
            <v>Wymington Road</v>
          </cell>
          <cell r="L2313" t="str">
            <v>Rushden</v>
          </cell>
          <cell r="M2313" t="str">
            <v>Northamptonshire</v>
          </cell>
          <cell r="N2313" t="str">
            <v>NN10 9JU</v>
          </cell>
          <cell r="O2313" t="str">
            <v>head@southend-inf.northants-ecl.gov.uk</v>
          </cell>
        </row>
        <row r="2314">
          <cell r="A2314">
            <v>8705410</v>
          </cell>
          <cell r="B2314">
            <v>110106</v>
          </cell>
          <cell r="C2314">
            <v>870</v>
          </cell>
          <cell r="D2314" t="str">
            <v>Reading</v>
          </cell>
          <cell r="E2314">
            <v>5410</v>
          </cell>
          <cell r="F2314" t="str">
            <v>Darren Francis</v>
          </cell>
          <cell r="G2314" t="str">
            <v>Prospect School</v>
          </cell>
          <cell r="H2314" t="str">
            <v>South East</v>
          </cell>
          <cell r="I2314" t="str">
            <v>Cockney Hill</v>
          </cell>
          <cell r="J2314" t="str">
            <v>Tilehurst</v>
          </cell>
          <cell r="L2314" t="str">
            <v>Reading</v>
          </cell>
          <cell r="M2314" t="str">
            <v>Berkshire</v>
          </cell>
          <cell r="N2314" t="str">
            <v>RG30 4EX</v>
          </cell>
          <cell r="O2314" t="str">
            <v>dajose@prospect.reading.sch.uk</v>
          </cell>
          <cell r="P2314">
            <v>40575</v>
          </cell>
        </row>
        <row r="2315">
          <cell r="A2315">
            <v>9163360</v>
          </cell>
          <cell r="B2315">
            <v>115711</v>
          </cell>
          <cell r="C2315">
            <v>916</v>
          </cell>
          <cell r="D2315" t="str">
            <v>Gloucestershire</v>
          </cell>
          <cell r="E2315">
            <v>3360</v>
          </cell>
          <cell r="F2315" t="str">
            <v>Not yet assigned</v>
          </cell>
          <cell r="G2315" t="str">
            <v>St Mary's Church of England Infant School</v>
          </cell>
          <cell r="H2315" t="str">
            <v>South West</v>
          </cell>
          <cell r="I2315" t="str">
            <v>Bouncers Lane</v>
          </cell>
          <cell r="J2315" t="str">
            <v>Prestbury</v>
          </cell>
          <cell r="L2315" t="str">
            <v>Cheltenham</v>
          </cell>
          <cell r="M2315" t="str">
            <v>Gloucestershire</v>
          </cell>
          <cell r="N2315" t="str">
            <v>GL52 5JB</v>
          </cell>
          <cell r="O2315" t="str">
            <v>head@st-marys-prestbury-inf.gloucs.sch.uk</v>
          </cell>
        </row>
        <row r="2316">
          <cell r="A2316">
            <v>9254048</v>
          </cell>
          <cell r="B2316">
            <v>120648</v>
          </cell>
          <cell r="C2316">
            <v>925</v>
          </cell>
          <cell r="D2316" t="str">
            <v>Lincolnshire</v>
          </cell>
          <cell r="E2316">
            <v>4048</v>
          </cell>
          <cell r="F2316" t="str">
            <v>Linda Brooks</v>
          </cell>
          <cell r="G2316" t="str">
            <v>John Spendluffe Foundation Technology College</v>
          </cell>
          <cell r="H2316" t="str">
            <v>East Midlands</v>
          </cell>
          <cell r="I2316" t="str">
            <v>Hanby Lane</v>
          </cell>
          <cell r="L2316" t="str">
            <v>Alford</v>
          </cell>
          <cell r="M2316" t="str">
            <v>Lincolnshire</v>
          </cell>
          <cell r="N2316" t="str">
            <v>LN13 9BL</v>
          </cell>
          <cell r="O2316" t="str">
            <v>S.Beverley@john-spendluffe.lincs.sch.uk</v>
          </cell>
          <cell r="P2316">
            <v>40548</v>
          </cell>
        </row>
        <row r="2317">
          <cell r="A2317">
            <v>8254504</v>
          </cell>
          <cell r="B2317">
            <v>110514</v>
          </cell>
          <cell r="C2317">
            <v>825</v>
          </cell>
          <cell r="D2317" t="str">
            <v>Buckinghamshire</v>
          </cell>
          <cell r="E2317">
            <v>4504</v>
          </cell>
          <cell r="F2317" t="str">
            <v>Darren Francis</v>
          </cell>
          <cell r="G2317" t="str">
            <v>Dr Challoner's Grammar School</v>
          </cell>
          <cell r="H2317" t="str">
            <v>South East</v>
          </cell>
          <cell r="I2317" t="str">
            <v>Chesham Road</v>
          </cell>
          <cell r="L2317" t="str">
            <v>Amersham</v>
          </cell>
          <cell r="M2317" t="str">
            <v>Buckinghamshire</v>
          </cell>
          <cell r="N2317" t="str">
            <v>HP6 5HA</v>
          </cell>
          <cell r="O2317" t="str">
            <v>headmaster@challoners.com</v>
          </cell>
          <cell r="P2317">
            <v>40375</v>
          </cell>
        </row>
        <row r="2318">
          <cell r="A2318">
            <v>3184013</v>
          </cell>
          <cell r="B2318">
            <v>102925</v>
          </cell>
          <cell r="C2318">
            <v>318</v>
          </cell>
          <cell r="D2318" t="str">
            <v>Richmond upon Thames</v>
          </cell>
          <cell r="E2318">
            <v>4013</v>
          </cell>
          <cell r="F2318" t="str">
            <v>Anita Bihal</v>
          </cell>
          <cell r="G2318" t="str">
            <v>Teddington School</v>
          </cell>
          <cell r="H2318" t="str">
            <v>London</v>
          </cell>
          <cell r="I2318" t="str">
            <v>Broom Road</v>
          </cell>
          <cell r="L2318" t="str">
            <v>Teddington</v>
          </cell>
          <cell r="N2318" t="str">
            <v>TW11 9PJ</v>
          </cell>
          <cell r="O2318" t="str">
            <v>richardtweeks@teddington.richmond.sch.uk</v>
          </cell>
          <cell r="P2318">
            <v>40806</v>
          </cell>
        </row>
        <row r="2319">
          <cell r="A2319">
            <v>8731108</v>
          </cell>
          <cell r="B2319">
            <v>136744</v>
          </cell>
          <cell r="C2319">
            <v>873</v>
          </cell>
          <cell r="D2319" t="str">
            <v>Cambridgeshire</v>
          </cell>
          <cell r="E2319">
            <v>1108</v>
          </cell>
          <cell r="F2319" t="str">
            <v>Tahir Shams</v>
          </cell>
          <cell r="G2319" t="str">
            <v>The County School</v>
          </cell>
          <cell r="H2319" t="str">
            <v>East of England</v>
          </cell>
          <cell r="I2319" t="str">
            <v>36 Mayfield Road</v>
          </cell>
          <cell r="J2319" t="str">
            <v>Hartford</v>
          </cell>
          <cell r="L2319" t="str">
            <v>Huntingdon</v>
          </cell>
          <cell r="M2319" t="str">
            <v>Cambridgeshire</v>
          </cell>
          <cell r="N2319" t="str">
            <v>PE29 1NL</v>
          </cell>
        </row>
        <row r="2320">
          <cell r="A2320">
            <v>8812687</v>
          </cell>
          <cell r="B2320">
            <v>114950</v>
          </cell>
          <cell r="C2320">
            <v>881</v>
          </cell>
          <cell r="D2320" t="str">
            <v>Essex</v>
          </cell>
          <cell r="E2320">
            <v>2687</v>
          </cell>
          <cell r="F2320" t="str">
            <v>David Rudd</v>
          </cell>
          <cell r="G2320" t="str">
            <v>Katherine Semar Junior School</v>
          </cell>
          <cell r="H2320" t="str">
            <v>East of England</v>
          </cell>
          <cell r="I2320" t="str">
            <v>Ross Close</v>
          </cell>
          <cell r="L2320" t="str">
            <v>Saffron Walden</v>
          </cell>
          <cell r="M2320" t="str">
            <v>Essex</v>
          </cell>
          <cell r="N2320" t="str">
            <v>CB11 4DU</v>
          </cell>
          <cell r="O2320" t="str">
            <v>rceecallaghan@gmail.com</v>
          </cell>
          <cell r="P2320">
            <v>40739</v>
          </cell>
        </row>
        <row r="2321">
          <cell r="A2321">
            <v>8457017</v>
          </cell>
          <cell r="B2321">
            <v>114686</v>
          </cell>
          <cell r="C2321">
            <v>845</v>
          </cell>
          <cell r="D2321" t="str">
            <v>East Sussex</v>
          </cell>
          <cell r="E2321">
            <v>7017</v>
          </cell>
          <cell r="F2321" t="str">
            <v>Gabriela Grimley</v>
          </cell>
          <cell r="G2321" t="str">
            <v>Glyne Gap School</v>
          </cell>
          <cell r="H2321" t="str">
            <v>South East</v>
          </cell>
          <cell r="I2321" t="str">
            <v>School Place</v>
          </cell>
          <cell r="J2321" t="str">
            <v>Hastings Road</v>
          </cell>
          <cell r="L2321" t="str">
            <v>Bexhill-on-Sea</v>
          </cell>
          <cell r="M2321" t="str">
            <v>East Sussex</v>
          </cell>
          <cell r="N2321" t="str">
            <v>TN40 2PU</v>
          </cell>
          <cell r="O2321" t="str">
            <v>head@glynegap.e-sussex.sch.uk</v>
          </cell>
          <cell r="P2321">
            <v>40970</v>
          </cell>
        </row>
        <row r="2322">
          <cell r="A2322">
            <v>8813622</v>
          </cell>
          <cell r="B2322">
            <v>115184</v>
          </cell>
          <cell r="C2322">
            <v>881</v>
          </cell>
          <cell r="D2322" t="str">
            <v>Essex</v>
          </cell>
          <cell r="E2322">
            <v>3622</v>
          </cell>
          <cell r="F2322" t="str">
            <v>Claire Ivie</v>
          </cell>
          <cell r="G2322" t="str">
            <v>St Thomas of Canterbury Church of England Aided Infant School</v>
          </cell>
          <cell r="H2322" t="str">
            <v>East of England</v>
          </cell>
          <cell r="I2322" t="str">
            <v>Sawyers Hall Lane</v>
          </cell>
          <cell r="L2322" t="str">
            <v>Brentwood</v>
          </cell>
          <cell r="M2322" t="str">
            <v>Essex</v>
          </cell>
          <cell r="N2322" t="str">
            <v>CM15 9BX</v>
          </cell>
          <cell r="O2322" t="str">
            <v>head.stthomasinf@hotmail.co.uk</v>
          </cell>
        </row>
        <row r="2323">
          <cell r="A2323">
            <v>8554032</v>
          </cell>
          <cell r="B2323">
            <v>120255</v>
          </cell>
          <cell r="C2323">
            <v>855</v>
          </cell>
          <cell r="D2323" t="str">
            <v>Leicestershire</v>
          </cell>
          <cell r="E2323">
            <v>4032</v>
          </cell>
          <cell r="F2323" t="str">
            <v>Stephen Standret</v>
          </cell>
          <cell r="G2323" t="str">
            <v>The Martin High School</v>
          </cell>
          <cell r="H2323" t="str">
            <v>East Midlands</v>
          </cell>
          <cell r="I2323" t="str">
            <v>Link Road</v>
          </cell>
          <cell r="J2323" t="str">
            <v>Anstey</v>
          </cell>
          <cell r="L2323" t="str">
            <v>Leicester</v>
          </cell>
          <cell r="M2323" t="str">
            <v>Leicestershire</v>
          </cell>
          <cell r="N2323" t="str">
            <v>LE7 7EB</v>
          </cell>
          <cell r="O2323" t="str">
            <v>businessmanager@martin.leics.sch.uk</v>
          </cell>
          <cell r="P2323">
            <v>40830</v>
          </cell>
        </row>
        <row r="2324">
          <cell r="A2324">
            <v>3432093</v>
          </cell>
          <cell r="B2324">
            <v>104892</v>
          </cell>
          <cell r="C2324">
            <v>343</v>
          </cell>
          <cell r="D2324" t="str">
            <v>Sefton</v>
          </cell>
          <cell r="E2324">
            <v>2093</v>
          </cell>
          <cell r="F2324" t="str">
            <v>Carol Ions</v>
          </cell>
          <cell r="G2324" t="str">
            <v>Bedford Primary School</v>
          </cell>
          <cell r="H2324" t="str">
            <v>North West</v>
          </cell>
          <cell r="I2324" t="str">
            <v>Quarry Road</v>
          </cell>
          <cell r="L2324" t="str">
            <v>Bootle</v>
          </cell>
          <cell r="M2324" t="str">
            <v>Merseyside</v>
          </cell>
          <cell r="N2324" t="str">
            <v>L20 9LJ</v>
          </cell>
          <cell r="O2324" t="str">
            <v>head.bedford@schools.sefton.gov.uk</v>
          </cell>
        </row>
        <row r="2325">
          <cell r="A2325">
            <v>8134082</v>
          </cell>
          <cell r="B2325">
            <v>118093</v>
          </cell>
          <cell r="C2325">
            <v>813</v>
          </cell>
          <cell r="D2325" t="str">
            <v>North Lincolnshire</v>
          </cell>
          <cell r="E2325">
            <v>4082</v>
          </cell>
          <cell r="F2325" t="str">
            <v>John Edmunds</v>
          </cell>
          <cell r="G2325" t="str">
            <v>North Axholme School</v>
          </cell>
          <cell r="H2325" t="str">
            <v>Yorkshire and the Humber</v>
          </cell>
          <cell r="I2325" t="str">
            <v>Wharf Road</v>
          </cell>
          <cell r="J2325" t="str">
            <v>Crowle</v>
          </cell>
          <cell r="L2325" t="str">
            <v>Scunthorpe</v>
          </cell>
          <cell r="M2325" t="str">
            <v>Lincolnshire</v>
          </cell>
          <cell r="N2325" t="str">
            <v>DN17 4HU</v>
          </cell>
          <cell r="O2325" t="str">
            <v>head.northaxholme@northlincs.gov.uk</v>
          </cell>
          <cell r="P2325">
            <v>40666</v>
          </cell>
        </row>
        <row r="2326">
          <cell r="A2326">
            <v>3735207</v>
          </cell>
          <cell r="B2326">
            <v>107157</v>
          </cell>
          <cell r="C2326">
            <v>373</v>
          </cell>
          <cell r="D2326" t="str">
            <v>Sheffield</v>
          </cell>
          <cell r="E2326">
            <v>5207</v>
          </cell>
          <cell r="F2326" t="str">
            <v>Michael Corner</v>
          </cell>
          <cell r="G2326" t="str">
            <v>St Patrick's Catholic Primary School</v>
          </cell>
          <cell r="H2326" t="str">
            <v>Yorkshire and the Humber</v>
          </cell>
          <cell r="I2326" t="str">
            <v>Barnsley Road</v>
          </cell>
          <cell r="J2326" t="str">
            <v>Sheffield Lane Top</v>
          </cell>
          <cell r="L2326" t="str">
            <v>Sheffield</v>
          </cell>
          <cell r="M2326" t="str">
            <v>South Yorkshire</v>
          </cell>
          <cell r="N2326" t="str">
            <v>S5 0QF</v>
          </cell>
          <cell r="O2326" t="str">
            <v>headteacher@st-patricks.sheffield.sch.uk</v>
          </cell>
          <cell r="P2326">
            <v>41184</v>
          </cell>
        </row>
        <row r="2327">
          <cell r="A2327">
            <v>9195408</v>
          </cell>
          <cell r="B2327">
            <v>117580</v>
          </cell>
          <cell r="C2327">
            <v>919</v>
          </cell>
          <cell r="D2327" t="str">
            <v>Hertfordshire</v>
          </cell>
          <cell r="E2327">
            <v>5408</v>
          </cell>
          <cell r="F2327" t="str">
            <v>Susan Dean</v>
          </cell>
          <cell r="G2327" t="str">
            <v>Bushey Meads School</v>
          </cell>
          <cell r="H2327" t="str">
            <v>East of England</v>
          </cell>
          <cell r="I2327" t="str">
            <v>Coldharbour Lane</v>
          </cell>
          <cell r="L2327" t="str">
            <v>Bushey</v>
          </cell>
          <cell r="M2327" t="str">
            <v>Hertfordshire</v>
          </cell>
          <cell r="N2327" t="str">
            <v>WD23 4PA</v>
          </cell>
          <cell r="O2327" t="str">
            <v>keith.douglas@busheymeads.herts.sch.uk</v>
          </cell>
          <cell r="P2327">
            <v>40816</v>
          </cell>
        </row>
        <row r="2328">
          <cell r="A2328">
            <v>9257032</v>
          </cell>
          <cell r="B2328">
            <v>131277</v>
          </cell>
          <cell r="C2328">
            <v>925</v>
          </cell>
          <cell r="D2328" t="str">
            <v>Lincolnshire</v>
          </cell>
          <cell r="E2328">
            <v>7032</v>
          </cell>
          <cell r="F2328" t="str">
            <v>Tony Bretherick</v>
          </cell>
          <cell r="G2328" t="str">
            <v>Sincil Sports College</v>
          </cell>
          <cell r="H2328" t="str">
            <v>East Midlands</v>
          </cell>
          <cell r="I2328" t="str">
            <v>South Park</v>
          </cell>
          <cell r="L2328" t="str">
            <v>Lincoln</v>
          </cell>
          <cell r="M2328" t="str">
            <v>Lincolnshire</v>
          </cell>
          <cell r="N2328" t="str">
            <v>LN5 8EL</v>
          </cell>
          <cell r="O2328" t="str">
            <v>rob.parkin@sincilschool.lincs.sch.uk</v>
          </cell>
          <cell r="P2328">
            <v>40934</v>
          </cell>
        </row>
        <row r="2329">
          <cell r="A2329">
            <v>8734040</v>
          </cell>
          <cell r="B2329">
            <v>110868</v>
          </cell>
          <cell r="C2329">
            <v>873</v>
          </cell>
          <cell r="D2329" t="str">
            <v>Cambridgeshire</v>
          </cell>
          <cell r="E2329">
            <v>4040</v>
          </cell>
          <cell r="F2329" t="str">
            <v>Vivienne Brown</v>
          </cell>
          <cell r="G2329" t="str">
            <v>Melbourn Village College</v>
          </cell>
          <cell r="H2329" t="str">
            <v>East of England</v>
          </cell>
          <cell r="I2329" t="str">
            <v>The Moor</v>
          </cell>
          <cell r="J2329" t="str">
            <v>Melbourn</v>
          </cell>
          <cell r="L2329" t="str">
            <v>Royston</v>
          </cell>
          <cell r="M2329" t="str">
            <v>Hertfordshire</v>
          </cell>
          <cell r="N2329" t="str">
            <v>SG8 6EF</v>
          </cell>
          <cell r="O2329" t="str">
            <v>e.stephenson@mvc.org.uk</v>
          </cell>
          <cell r="P2329">
            <v>40668</v>
          </cell>
        </row>
        <row r="2330">
          <cell r="A2330">
            <v>9382194</v>
          </cell>
          <cell r="B2330">
            <v>125926</v>
          </cell>
          <cell r="C2330">
            <v>938</v>
          </cell>
          <cell r="D2330" t="str">
            <v>West Sussex</v>
          </cell>
          <cell r="E2330">
            <v>2194</v>
          </cell>
          <cell r="F2330" t="str">
            <v>Sarah Mitchell</v>
          </cell>
          <cell r="G2330" t="str">
            <v>Medmerry Primary School</v>
          </cell>
          <cell r="H2330" t="str">
            <v>South East</v>
          </cell>
          <cell r="I2330" t="str">
            <v>High Street</v>
          </cell>
          <cell r="J2330" t="str">
            <v>Selsey</v>
          </cell>
          <cell r="L2330" t="str">
            <v>Chichester</v>
          </cell>
          <cell r="M2330" t="str">
            <v>West Sussex</v>
          </cell>
          <cell r="N2330" t="str">
            <v>PO20 0QJ</v>
          </cell>
          <cell r="O2330" t="str">
            <v>gbell@wsgfl.org.uk</v>
          </cell>
          <cell r="P2330">
            <v>40626</v>
          </cell>
        </row>
        <row r="2331">
          <cell r="A2331">
            <v>3333407</v>
          </cell>
          <cell r="B2331">
            <v>135032</v>
          </cell>
          <cell r="C2331">
            <v>333</v>
          </cell>
          <cell r="D2331" t="str">
            <v>Sandwell</v>
          </cell>
          <cell r="E2331">
            <v>3407</v>
          </cell>
          <cell r="F2331" t="str">
            <v>Hannah Copp</v>
          </cell>
          <cell r="G2331" t="str">
            <v>Summerhill Primary School</v>
          </cell>
          <cell r="H2331" t="str">
            <v>West Midlands</v>
          </cell>
          <cell r="I2331" t="str">
            <v>Upper Church Lane</v>
          </cell>
          <cell r="L2331" t="str">
            <v>Tipton</v>
          </cell>
          <cell r="M2331" t="str">
            <v>West Midlands</v>
          </cell>
          <cell r="N2331" t="str">
            <v>DY4 9PF</v>
          </cell>
          <cell r="O2331" t="str">
            <v>kerry.rochester@summerhill.sandwell.sch.uk</v>
          </cell>
          <cell r="P2331">
            <v>41256</v>
          </cell>
        </row>
        <row r="2332">
          <cell r="A2332">
            <v>8355402</v>
          </cell>
          <cell r="B2332">
            <v>113902</v>
          </cell>
          <cell r="C2332">
            <v>835</v>
          </cell>
          <cell r="D2332" t="str">
            <v>Dorset</v>
          </cell>
          <cell r="E2332">
            <v>5402</v>
          </cell>
          <cell r="F2332" t="str">
            <v>Theresa Oddelm</v>
          </cell>
          <cell r="G2332" t="str">
            <v>Budmouth Technology College</v>
          </cell>
          <cell r="H2332" t="str">
            <v>South West</v>
          </cell>
          <cell r="I2332" t="str">
            <v>Chickerell Road</v>
          </cell>
          <cell r="L2332" t="str">
            <v>Weymouth</v>
          </cell>
          <cell r="M2332" t="str">
            <v>Dorset</v>
          </cell>
          <cell r="N2332" t="str">
            <v>DT4 9SY</v>
          </cell>
          <cell r="O2332" t="str">
            <v>akersd@budmouth.dorset.sch.uk</v>
          </cell>
        </row>
        <row r="2333">
          <cell r="A2333">
            <v>9283513</v>
          </cell>
          <cell r="B2333">
            <v>133551</v>
          </cell>
          <cell r="C2333">
            <v>928</v>
          </cell>
          <cell r="D2333" t="str">
            <v>Northamptonshire</v>
          </cell>
          <cell r="E2333">
            <v>3513</v>
          </cell>
          <cell r="F2333" t="str">
            <v>Stephen Standret</v>
          </cell>
          <cell r="G2333" t="str">
            <v>Oakley Vale Primary School</v>
          </cell>
          <cell r="H2333" t="str">
            <v>East Midlands</v>
          </cell>
          <cell r="I2333" t="str">
            <v>Cheltenham Road</v>
          </cell>
          <cell r="L2333" t="str">
            <v>Corby</v>
          </cell>
          <cell r="M2333" t="str">
            <v>Northamptonshire</v>
          </cell>
          <cell r="N2333" t="str">
            <v>NN18 8RH</v>
          </cell>
          <cell r="O2333" t="str">
            <v>head@oakleyvale.northants-ecl.gov.uk</v>
          </cell>
        </row>
        <row r="2334">
          <cell r="A2334">
            <v>8257003</v>
          </cell>
          <cell r="B2334">
            <v>110573</v>
          </cell>
          <cell r="C2334">
            <v>825</v>
          </cell>
          <cell r="D2334" t="str">
            <v>Buckinghamshire</v>
          </cell>
          <cell r="E2334">
            <v>7003</v>
          </cell>
          <cell r="F2334" t="str">
            <v>Darren Francis</v>
          </cell>
          <cell r="G2334" t="str">
            <v>Alfriston School</v>
          </cell>
          <cell r="H2334" t="str">
            <v>South East</v>
          </cell>
          <cell r="I2334" t="str">
            <v>Penn Road</v>
          </cell>
          <cell r="J2334" t="str">
            <v>Knotty Green</v>
          </cell>
          <cell r="L2334" t="str">
            <v>Beaconsfield</v>
          </cell>
          <cell r="M2334" t="str">
            <v>Buckinghamshire</v>
          </cell>
          <cell r="N2334" t="str">
            <v>HP9 2TS</v>
          </cell>
          <cell r="O2334" t="str">
            <v>jmale@bucksgfl.org.uk</v>
          </cell>
          <cell r="P2334">
            <v>40529</v>
          </cell>
        </row>
        <row r="2335">
          <cell r="A2335">
            <v>3085400</v>
          </cell>
          <cell r="B2335">
            <v>102055</v>
          </cell>
          <cell r="C2335">
            <v>308</v>
          </cell>
          <cell r="D2335" t="str">
            <v>Enfield</v>
          </cell>
          <cell r="E2335">
            <v>5400</v>
          </cell>
          <cell r="F2335" t="str">
            <v>Martin Rowley</v>
          </cell>
          <cell r="G2335" t="str">
            <v>The Latymer School</v>
          </cell>
          <cell r="H2335" t="str">
            <v>London</v>
          </cell>
          <cell r="I2335" t="str">
            <v>Haselbury Road</v>
          </cell>
          <cell r="L2335" t="str">
            <v>London</v>
          </cell>
          <cell r="N2335" t="str">
            <v>N9 9TN</v>
          </cell>
          <cell r="O2335" t="str">
            <v>gar@latymer.co.uk</v>
          </cell>
        </row>
        <row r="2336">
          <cell r="A2336">
            <v>8315406</v>
          </cell>
          <cell r="B2336">
            <v>112991</v>
          </cell>
          <cell r="C2336">
            <v>831</v>
          </cell>
          <cell r="D2336" t="str">
            <v>Derby</v>
          </cell>
          <cell r="E2336">
            <v>5406</v>
          </cell>
          <cell r="F2336" t="str">
            <v>Sue Harp</v>
          </cell>
          <cell r="G2336" t="str">
            <v>Murray Park Community School</v>
          </cell>
          <cell r="H2336" t="str">
            <v>East Midlands</v>
          </cell>
          <cell r="I2336" t="str">
            <v>Murray Road</v>
          </cell>
          <cell r="J2336" t="str">
            <v>Mickleover</v>
          </cell>
          <cell r="L2336" t="str">
            <v>Derby</v>
          </cell>
          <cell r="M2336" t="str">
            <v>Derbyshire</v>
          </cell>
          <cell r="N2336" t="str">
            <v>DE3 9LL</v>
          </cell>
          <cell r="O2336" t="str">
            <v>martyn.owen@murraypark.derby.sch.uk</v>
          </cell>
        </row>
        <row r="2337">
          <cell r="A2337">
            <v>8924462</v>
          </cell>
          <cell r="B2337">
            <v>133353</v>
          </cell>
          <cell r="C2337">
            <v>892</v>
          </cell>
          <cell r="D2337" t="str">
            <v>Nottingham</v>
          </cell>
          <cell r="E2337">
            <v>4462</v>
          </cell>
          <cell r="F2337" t="str">
            <v>Grant Dyson</v>
          </cell>
          <cell r="G2337" t="str">
            <v>The Nottingham Emmanuel School</v>
          </cell>
          <cell r="H2337" t="str">
            <v>East Midlands</v>
          </cell>
          <cell r="I2337" t="str">
            <v>Gresham Park Road</v>
          </cell>
          <cell r="L2337" t="str">
            <v>West Bridgford</v>
          </cell>
          <cell r="M2337" t="str">
            <v>Nottinghamshire</v>
          </cell>
          <cell r="N2337" t="str">
            <v>NG2 7YF</v>
          </cell>
          <cell r="O2337" t="str">
            <v>cfearria@emmanuel.nottingham.sch.uk</v>
          </cell>
          <cell r="P2337">
            <v>41193</v>
          </cell>
        </row>
        <row r="2338">
          <cell r="A2338">
            <v>8812284</v>
          </cell>
          <cell r="B2338">
            <v>114815</v>
          </cell>
          <cell r="C2338">
            <v>881</v>
          </cell>
          <cell r="D2338" t="str">
            <v>Essex</v>
          </cell>
          <cell r="E2338">
            <v>2284</v>
          </cell>
          <cell r="F2338" t="str">
            <v>Claire Ivie</v>
          </cell>
          <cell r="G2338" t="str">
            <v>Cherry Tree Primary School and Speech and Language Unit</v>
          </cell>
          <cell r="H2338" t="str">
            <v>East of England</v>
          </cell>
          <cell r="I2338" t="str">
            <v>Holt Drive</v>
          </cell>
          <cell r="J2338" t="str">
            <v>Mersea Road</v>
          </cell>
          <cell r="L2338" t="str">
            <v>Colchester</v>
          </cell>
          <cell r="M2338" t="str">
            <v>Essex</v>
          </cell>
          <cell r="N2338" t="str">
            <v>CO2 0BG</v>
          </cell>
          <cell r="O2338" t="str">
            <v>head@cherrytree.essex.sch.uk</v>
          </cell>
        </row>
        <row r="2339">
          <cell r="A2339">
            <v>8102045</v>
          </cell>
          <cell r="B2339">
            <v>117717</v>
          </cell>
          <cell r="C2339">
            <v>810</v>
          </cell>
          <cell r="D2339" t="str">
            <v>Kingston upon Hull City of</v>
          </cell>
          <cell r="E2339">
            <v>2045</v>
          </cell>
          <cell r="F2339" t="str">
            <v>Glyn Newton</v>
          </cell>
          <cell r="G2339" t="str">
            <v>Bricknell Primary School</v>
          </cell>
          <cell r="H2339" t="str">
            <v>Yorkshire and the Humber</v>
          </cell>
          <cell r="I2339" t="str">
            <v>Bricknell Avenue</v>
          </cell>
          <cell r="L2339" t="str">
            <v>Hull</v>
          </cell>
          <cell r="N2339" t="str">
            <v>HU5 4ET</v>
          </cell>
          <cell r="O2339" t="str">
            <v>head@bricknell.hull.sch.uk</v>
          </cell>
        </row>
        <row r="2340">
          <cell r="A2340">
            <v>9194070</v>
          </cell>
          <cell r="B2340">
            <v>117520</v>
          </cell>
          <cell r="C2340">
            <v>919</v>
          </cell>
          <cell r="D2340" t="str">
            <v>Hertfordshire</v>
          </cell>
          <cell r="E2340">
            <v>4070</v>
          </cell>
          <cell r="F2340" t="str">
            <v>Lilian Da Cunha</v>
          </cell>
          <cell r="G2340" t="str">
            <v>Roundwood Park School</v>
          </cell>
          <cell r="H2340" t="str">
            <v>East of England</v>
          </cell>
          <cell r="I2340" t="str">
            <v>Roundwood Park</v>
          </cell>
          <cell r="L2340" t="str">
            <v>Harpenden</v>
          </cell>
          <cell r="M2340" t="str">
            <v>Hertfordshire</v>
          </cell>
          <cell r="N2340" t="str">
            <v>AL5 3AE</v>
          </cell>
          <cell r="O2340" t="str">
            <v>head@roundwoodpark.herts.sch.uk</v>
          </cell>
          <cell r="P2340">
            <v>40619</v>
          </cell>
        </row>
        <row r="2341">
          <cell r="A2341">
            <v>9163358</v>
          </cell>
          <cell r="B2341">
            <v>115709</v>
          </cell>
          <cell r="C2341">
            <v>916</v>
          </cell>
          <cell r="D2341" t="str">
            <v>Gloucestershire</v>
          </cell>
          <cell r="E2341">
            <v>3358</v>
          </cell>
          <cell r="F2341" t="str">
            <v>Nigel Mills</v>
          </cell>
          <cell r="G2341" t="str">
            <v>St Mary's Catholic Primary School</v>
          </cell>
          <cell r="H2341" t="str">
            <v>South West</v>
          </cell>
          <cell r="I2341" t="str">
            <v>Cheltenham Road East</v>
          </cell>
          <cell r="J2341" t="str">
            <v>Churchdown</v>
          </cell>
          <cell r="L2341" t="str">
            <v>Gloucester</v>
          </cell>
          <cell r="M2341" t="str">
            <v>Gloucestershire</v>
          </cell>
          <cell r="N2341" t="str">
            <v>GL3 1HU</v>
          </cell>
          <cell r="O2341" t="str">
            <v>head@st-marys-churchdown.gloucs.sch.uk</v>
          </cell>
          <cell r="P2341">
            <v>40672</v>
          </cell>
        </row>
        <row r="2342">
          <cell r="A2342">
            <v>9082738</v>
          </cell>
          <cell r="B2342">
            <v>111977</v>
          </cell>
          <cell r="C2342">
            <v>908</v>
          </cell>
          <cell r="D2342" t="str">
            <v>Cornwall</v>
          </cell>
          <cell r="E2342">
            <v>2738</v>
          </cell>
          <cell r="F2342" t="str">
            <v>Theresa Oddelm</v>
          </cell>
          <cell r="G2342" t="str">
            <v>Penryn Community Infant School and Nursery Unit</v>
          </cell>
          <cell r="H2342" t="str">
            <v>South West</v>
          </cell>
          <cell r="I2342" t="str">
            <v>Treverbyn Rise</v>
          </cell>
          <cell r="L2342" t="str">
            <v>Penryn</v>
          </cell>
          <cell r="M2342" t="str">
            <v>Cornwall</v>
          </cell>
          <cell r="N2342" t="str">
            <v>TR10 8RA</v>
          </cell>
          <cell r="O2342" t="str">
            <v>head@penryn-inf.cornwall.sch.uk</v>
          </cell>
        </row>
        <row r="2343">
          <cell r="A2343">
            <v>3592036</v>
          </cell>
          <cell r="B2343">
            <v>106419</v>
          </cell>
          <cell r="C2343">
            <v>359</v>
          </cell>
          <cell r="D2343" t="str">
            <v>Wigan</v>
          </cell>
          <cell r="E2343">
            <v>2036</v>
          </cell>
          <cell r="F2343" t="str">
            <v>June Laughton</v>
          </cell>
          <cell r="G2343" t="str">
            <v>Tyldesley Primary School</v>
          </cell>
          <cell r="H2343" t="str">
            <v>North West</v>
          </cell>
          <cell r="I2343" t="str">
            <v>Ennerdale Road</v>
          </cell>
          <cell r="J2343" t="str">
            <v>Astley Tyldesley</v>
          </cell>
          <cell r="K2343" t="str">
            <v>Tyldesley</v>
          </cell>
          <cell r="L2343" t="str">
            <v>Manchester</v>
          </cell>
          <cell r="N2343" t="str">
            <v>M29 7PY</v>
          </cell>
          <cell r="O2343" t="str">
            <v>headteacher@admin.tyldesley.wigan.sch.uk</v>
          </cell>
          <cell r="P2343">
            <v>40717</v>
          </cell>
        </row>
        <row r="2344">
          <cell r="A2344">
            <v>8552032</v>
          </cell>
          <cell r="B2344">
            <v>119921</v>
          </cell>
          <cell r="C2344">
            <v>855</v>
          </cell>
          <cell r="D2344" t="str">
            <v>Leicestershire</v>
          </cell>
          <cell r="E2344">
            <v>2032</v>
          </cell>
          <cell r="F2344" t="str">
            <v>Sue Harp</v>
          </cell>
          <cell r="G2344" t="str">
            <v>Desford Community Primary School</v>
          </cell>
          <cell r="H2344" t="str">
            <v>East Midlands</v>
          </cell>
          <cell r="I2344" t="str">
            <v>Kirkby Road</v>
          </cell>
          <cell r="J2344" t="str">
            <v>Desford</v>
          </cell>
          <cell r="L2344" t="str">
            <v>Leicester</v>
          </cell>
          <cell r="M2344" t="str">
            <v>Leicestershire</v>
          </cell>
          <cell r="N2344" t="str">
            <v>LE9 9JH</v>
          </cell>
          <cell r="O2344" t="str">
            <v>head@desford.leics.sch.uk</v>
          </cell>
        </row>
        <row r="2345">
          <cell r="A2345">
            <v>9165206</v>
          </cell>
          <cell r="B2345">
            <v>115736</v>
          </cell>
          <cell r="C2345">
            <v>916</v>
          </cell>
          <cell r="D2345" t="str">
            <v>Gloucestershire</v>
          </cell>
          <cell r="E2345">
            <v>5206</v>
          </cell>
          <cell r="F2345" t="str">
            <v>Nigel Mills</v>
          </cell>
          <cell r="G2345" t="str">
            <v>Charlton Kings Junior School</v>
          </cell>
          <cell r="H2345" t="str">
            <v>South West</v>
          </cell>
          <cell r="I2345" t="str">
            <v>East End Road</v>
          </cell>
          <cell r="J2345" t="str">
            <v>Charlton Kings</v>
          </cell>
          <cell r="L2345" t="str">
            <v>Cheltenham</v>
          </cell>
          <cell r="M2345" t="str">
            <v>Gloucestershire</v>
          </cell>
          <cell r="N2345" t="str">
            <v>GL53 8QE</v>
          </cell>
          <cell r="O2345" t="str">
            <v>head@charltonkings-jun.gloucs.sch.uk</v>
          </cell>
          <cell r="P2345">
            <v>40609</v>
          </cell>
        </row>
        <row r="2346">
          <cell r="A2346">
            <v>3112066</v>
          </cell>
          <cell r="B2346">
            <v>102306</v>
          </cell>
          <cell r="C2346">
            <v>311</v>
          </cell>
          <cell r="D2346" t="str">
            <v>Havering</v>
          </cell>
          <cell r="E2346">
            <v>2066</v>
          </cell>
          <cell r="F2346" t="str">
            <v>Kiran Teli</v>
          </cell>
          <cell r="G2346" t="str">
            <v>Upminster Junior School</v>
          </cell>
          <cell r="H2346" t="str">
            <v>London</v>
          </cell>
          <cell r="I2346" t="str">
            <v>St Mary's Lane</v>
          </cell>
          <cell r="L2346" t="str">
            <v>Upminster</v>
          </cell>
          <cell r="M2346" t="str">
            <v>Essex</v>
          </cell>
          <cell r="N2346" t="str">
            <v>RM14 3BS</v>
          </cell>
          <cell r="O2346" t="str">
            <v>head@upminster-jun.havering.sch.uk</v>
          </cell>
          <cell r="P2346">
            <v>41061</v>
          </cell>
        </row>
        <row r="2347">
          <cell r="A2347">
            <v>9362373</v>
          </cell>
          <cell r="B2347">
            <v>125032</v>
          </cell>
          <cell r="C2347">
            <v>936</v>
          </cell>
          <cell r="D2347" t="str">
            <v>Surrey</v>
          </cell>
          <cell r="E2347">
            <v>2373</v>
          </cell>
          <cell r="F2347" t="str">
            <v>Eric Mcewen</v>
          </cell>
          <cell r="G2347" t="str">
            <v>The Oaktree School</v>
          </cell>
          <cell r="H2347" t="str">
            <v>South East</v>
          </cell>
          <cell r="I2347" t="str">
            <v>Gorsewood Road</v>
          </cell>
          <cell r="J2347" t="str">
            <v>St John's</v>
          </cell>
          <cell r="L2347" t="str">
            <v>Woking</v>
          </cell>
          <cell r="M2347" t="str">
            <v>Surrey</v>
          </cell>
          <cell r="N2347" t="str">
            <v>GU21 8WT</v>
          </cell>
          <cell r="O2347" t="str">
            <v>head@oaktree.surrey.sch.uk</v>
          </cell>
          <cell r="P2347">
            <v>41219</v>
          </cell>
        </row>
        <row r="2348">
          <cell r="A2348">
            <v>8734503</v>
          </cell>
          <cell r="B2348">
            <v>110885</v>
          </cell>
          <cell r="C2348">
            <v>873</v>
          </cell>
          <cell r="D2348" t="str">
            <v>Cambridgeshire</v>
          </cell>
          <cell r="E2348">
            <v>4503</v>
          </cell>
          <cell r="F2348" t="str">
            <v>Yvonne Reddington</v>
          </cell>
          <cell r="G2348" t="str">
            <v>Hinchingbrooke School</v>
          </cell>
          <cell r="H2348" t="str">
            <v>East of England</v>
          </cell>
          <cell r="I2348" t="str">
            <v>Brampton Road</v>
          </cell>
          <cell r="L2348" t="str">
            <v>Huntingdon</v>
          </cell>
          <cell r="M2348" t="str">
            <v>Cambridgeshire</v>
          </cell>
          <cell r="N2348" t="str">
            <v>PE29 3BN</v>
          </cell>
          <cell r="O2348" t="str">
            <v>headspa@hinchbk.cambs.sch.uk</v>
          </cell>
          <cell r="P2348">
            <v>40632</v>
          </cell>
        </row>
        <row r="2349">
          <cell r="A2349">
            <v>9334257</v>
          </cell>
          <cell r="B2349">
            <v>123866</v>
          </cell>
          <cell r="C2349">
            <v>933</v>
          </cell>
          <cell r="D2349" t="str">
            <v>Somerset</v>
          </cell>
          <cell r="E2349">
            <v>4257</v>
          </cell>
          <cell r="F2349" t="str">
            <v>Kate Bosher</v>
          </cell>
          <cell r="G2349" t="str">
            <v>Oakfield School</v>
          </cell>
          <cell r="H2349" t="str">
            <v>South West</v>
          </cell>
          <cell r="I2349" t="str">
            <v>Oakfield Road</v>
          </cell>
          <cell r="L2349" t="str">
            <v>Frome</v>
          </cell>
          <cell r="M2349" t="str">
            <v>Somerset</v>
          </cell>
          <cell r="N2349" t="str">
            <v>BA11 4JF</v>
          </cell>
          <cell r="O2349" t="str">
            <v>pmhill@educ.somerset.gov.uk</v>
          </cell>
          <cell r="P2349">
            <v>40641</v>
          </cell>
        </row>
        <row r="2350">
          <cell r="A2350">
            <v>3832471</v>
          </cell>
          <cell r="B2350">
            <v>107947</v>
          </cell>
          <cell r="C2350">
            <v>383</v>
          </cell>
          <cell r="D2350" t="str">
            <v>Leeds</v>
          </cell>
          <cell r="E2350">
            <v>2471</v>
          </cell>
          <cell r="F2350" t="str">
            <v>Bev Annables</v>
          </cell>
          <cell r="G2350" t="str">
            <v>Windmill Primary School</v>
          </cell>
          <cell r="H2350" t="str">
            <v>Yorkshire and the Humber</v>
          </cell>
          <cell r="I2350" t="str">
            <v>Windmill Road</v>
          </cell>
          <cell r="L2350" t="str">
            <v>Leeds</v>
          </cell>
          <cell r="M2350" t="str">
            <v>West Yorkshire</v>
          </cell>
          <cell r="N2350" t="str">
            <v>LS10 3HQ</v>
          </cell>
          <cell r="O2350" t="str">
            <v>sumpnes01@leedslearning.net</v>
          </cell>
        </row>
        <row r="2351">
          <cell r="A2351">
            <v>8552036</v>
          </cell>
          <cell r="B2351">
            <v>119923</v>
          </cell>
          <cell r="C2351">
            <v>855</v>
          </cell>
          <cell r="D2351" t="str">
            <v>Leicestershire</v>
          </cell>
          <cell r="E2351">
            <v>2036</v>
          </cell>
          <cell r="F2351" t="str">
            <v>Sue Harp</v>
          </cell>
          <cell r="G2351" t="str">
            <v>Foxton Primary School</v>
          </cell>
          <cell r="H2351" t="str">
            <v>East Midlands</v>
          </cell>
          <cell r="I2351" t="str">
            <v>Gallow Field Road</v>
          </cell>
          <cell r="J2351" t="str">
            <v>Foxton</v>
          </cell>
          <cell r="L2351" t="str">
            <v>Market Harborough</v>
          </cell>
          <cell r="M2351" t="str">
            <v>Leicestershire</v>
          </cell>
          <cell r="N2351" t="str">
            <v>LE16 7QZ</v>
          </cell>
          <cell r="O2351" t="str">
            <v>phillipc1@foxton.leics.sch.uk</v>
          </cell>
        </row>
        <row r="2352">
          <cell r="A2352">
            <v>8233306</v>
          </cell>
          <cell r="B2352">
            <v>109616</v>
          </cell>
          <cell r="C2352">
            <v>823</v>
          </cell>
          <cell r="D2352" t="str">
            <v>Central Bedfordshire</v>
          </cell>
          <cell r="E2352">
            <v>3306</v>
          </cell>
          <cell r="F2352" t="str">
            <v>Michael Cook</v>
          </cell>
          <cell r="G2352" t="str">
            <v>All Saints VA CofE Lower School</v>
          </cell>
          <cell r="H2352" t="str">
            <v>East of England</v>
          </cell>
          <cell r="I2352" t="str">
            <v>Church Street</v>
          </cell>
          <cell r="J2352" t="str">
            <v>Clifton</v>
          </cell>
          <cell r="L2352" t="str">
            <v>Shefford</v>
          </cell>
          <cell r="M2352" t="str">
            <v>Bedfordshire</v>
          </cell>
          <cell r="N2352" t="str">
            <v>SG17 5ES</v>
          </cell>
          <cell r="O2352" t="str">
            <v>headteacher@clifton-beds.co.uk</v>
          </cell>
          <cell r="P2352">
            <v>41169</v>
          </cell>
        </row>
        <row r="2353">
          <cell r="A2353">
            <v>8553030</v>
          </cell>
          <cell r="B2353">
            <v>120128</v>
          </cell>
          <cell r="C2353">
            <v>855</v>
          </cell>
          <cell r="D2353" t="str">
            <v>Leicestershire</v>
          </cell>
          <cell r="E2353">
            <v>3030</v>
          </cell>
          <cell r="F2353" t="str">
            <v>Stephen Standret</v>
          </cell>
          <cell r="G2353" t="str">
            <v>Weavers Close Church of England Primary School</v>
          </cell>
          <cell r="H2353" t="str">
            <v>East Midlands</v>
          </cell>
          <cell r="I2353" t="str">
            <v>Alexander Avenue</v>
          </cell>
          <cell r="J2353" t="str">
            <v>Earl Shilton</v>
          </cell>
          <cell r="L2353" t="str">
            <v>Leicester</v>
          </cell>
          <cell r="M2353" t="str">
            <v>Leicestershire</v>
          </cell>
          <cell r="N2353" t="str">
            <v>LE9 7AH</v>
          </cell>
          <cell r="O2353" t="str">
            <v>hdg@weaversclose.leics.sch.uk</v>
          </cell>
        </row>
        <row r="2354">
          <cell r="A2354">
            <v>8604512</v>
          </cell>
          <cell r="B2354">
            <v>124451</v>
          </cell>
          <cell r="C2354">
            <v>860</v>
          </cell>
          <cell r="D2354" t="str">
            <v>Staffordshire</v>
          </cell>
          <cell r="E2354">
            <v>4512</v>
          </cell>
          <cell r="F2354" t="str">
            <v>Hannah Copp</v>
          </cell>
          <cell r="G2354" t="str">
            <v>Windsor Park CofE (C) Middle School</v>
          </cell>
          <cell r="H2354" t="str">
            <v>West Midlands</v>
          </cell>
          <cell r="I2354" t="str">
            <v>Springfield Road</v>
          </cell>
          <cell r="L2354" t="str">
            <v>Uttoxeter</v>
          </cell>
          <cell r="M2354" t="str">
            <v>Staffordshire</v>
          </cell>
          <cell r="N2354" t="str">
            <v>ST14 7JX</v>
          </cell>
          <cell r="O2354" t="str">
            <v>headteacher@windsorpark.staffs.sch.uk</v>
          </cell>
        </row>
        <row r="2355">
          <cell r="A2355">
            <v>3805205</v>
          </cell>
          <cell r="B2355">
            <v>107436</v>
          </cell>
          <cell r="C2355">
            <v>380</v>
          </cell>
          <cell r="D2355" t="str">
            <v>Bradford</v>
          </cell>
          <cell r="E2355">
            <v>5205</v>
          </cell>
          <cell r="F2355" t="str">
            <v>Glyn Newton</v>
          </cell>
          <cell r="G2355" t="str">
            <v>Oakworth Primary School</v>
          </cell>
          <cell r="H2355" t="str">
            <v>Yorkshire and the Humber</v>
          </cell>
          <cell r="I2355" t="str">
            <v>Station Road</v>
          </cell>
          <cell r="J2355" t="str">
            <v>Oakworth</v>
          </cell>
          <cell r="L2355" t="str">
            <v>Keighley</v>
          </cell>
          <cell r="M2355" t="str">
            <v>West Yorkshire</v>
          </cell>
          <cell r="N2355" t="str">
            <v>BD22 7HX</v>
          </cell>
          <cell r="O2355" t="str">
            <v>kwaddington@oakworth.ngfl.ac.uk</v>
          </cell>
        </row>
        <row r="2356">
          <cell r="A2356">
            <v>8003445</v>
          </cell>
          <cell r="B2356">
            <v>109271</v>
          </cell>
          <cell r="C2356">
            <v>800</v>
          </cell>
          <cell r="D2356" t="str">
            <v>Bath and North East Somerset</v>
          </cell>
          <cell r="E2356">
            <v>3445</v>
          </cell>
          <cell r="F2356" t="str">
            <v>Simon Foster</v>
          </cell>
          <cell r="G2356" t="str">
            <v>St John's CofE Primary School</v>
          </cell>
          <cell r="H2356" t="str">
            <v>South West</v>
          </cell>
          <cell r="I2356" t="str">
            <v>Redfield Road</v>
          </cell>
          <cell r="J2356" t="str">
            <v>Midsomer Norton</v>
          </cell>
          <cell r="L2356" t="str">
            <v>Radstock</v>
          </cell>
          <cell r="M2356" t="str">
            <v>Somerset</v>
          </cell>
          <cell r="N2356" t="str">
            <v>BA3 2JN</v>
          </cell>
          <cell r="O2356" t="str">
            <v>carolyn_banfield@bathnes.gov.uk</v>
          </cell>
          <cell r="P2356">
            <v>41107</v>
          </cell>
        </row>
        <row r="2357">
          <cell r="A2357">
            <v>9264056</v>
          </cell>
          <cell r="B2357">
            <v>121170</v>
          </cell>
          <cell r="C2357">
            <v>926</v>
          </cell>
          <cell r="D2357" t="str">
            <v>Norfolk</v>
          </cell>
          <cell r="E2357">
            <v>4056</v>
          </cell>
          <cell r="F2357" t="str">
            <v>Joe Farrell</v>
          </cell>
          <cell r="G2357" t="str">
            <v>Alderman Peel High School</v>
          </cell>
          <cell r="H2357" t="str">
            <v>East of England</v>
          </cell>
          <cell r="I2357" t="str">
            <v>Market Lane</v>
          </cell>
          <cell r="L2357" t="str">
            <v>Wells-next-the-Sea</v>
          </cell>
          <cell r="M2357" t="str">
            <v>Norfolk</v>
          </cell>
          <cell r="N2357" t="str">
            <v>NR23 1RB</v>
          </cell>
          <cell r="O2357" t="str">
            <v>head@aldermanpeel.norfolk.sch.uk</v>
          </cell>
        </row>
        <row r="2358">
          <cell r="A2358">
            <v>8934374</v>
          </cell>
          <cell r="B2358">
            <v>123563</v>
          </cell>
          <cell r="C2358">
            <v>893</v>
          </cell>
          <cell r="D2358" t="str">
            <v>Shropshire</v>
          </cell>
          <cell r="E2358">
            <v>4374</v>
          </cell>
          <cell r="F2358" t="str">
            <v>Julia Waterhouse</v>
          </cell>
          <cell r="G2358" t="str">
            <v>The Wakeman School and Arts College</v>
          </cell>
          <cell r="H2358" t="str">
            <v>West Midlands</v>
          </cell>
          <cell r="I2358" t="str">
            <v>Abbey Foregate</v>
          </cell>
          <cell r="L2358" t="str">
            <v>Shrewsbury</v>
          </cell>
          <cell r="M2358" t="str">
            <v>Shropshire</v>
          </cell>
          <cell r="N2358" t="str">
            <v>SY2 6AA</v>
          </cell>
          <cell r="O2358" t="str">
            <v>head.wakeman@shropshirelg.net</v>
          </cell>
        </row>
        <row r="2359">
          <cell r="A2359">
            <v>8814001</v>
          </cell>
          <cell r="B2359">
            <v>131876</v>
          </cell>
          <cell r="C2359">
            <v>881</v>
          </cell>
          <cell r="D2359" t="str">
            <v>Essex</v>
          </cell>
          <cell r="E2359">
            <v>4001</v>
          </cell>
          <cell r="F2359" t="str">
            <v>Kevin Hall</v>
          </cell>
          <cell r="G2359" t="str">
            <v>Debden Park High School (part of the Kemnal Trust)</v>
          </cell>
          <cell r="H2359" t="str">
            <v>East of England</v>
          </cell>
          <cell r="I2359" t="str">
            <v>Willingale Road</v>
          </cell>
          <cell r="J2359" t="str">
            <v>Debden</v>
          </cell>
          <cell r="L2359" t="str">
            <v>Loughton</v>
          </cell>
          <cell r="M2359" t="str">
            <v>Essex</v>
          </cell>
          <cell r="N2359" t="str">
            <v>IG10 2BQ</v>
          </cell>
          <cell r="O2359" t="str">
            <v>ccavanagh@debdenparkhigh.essex.sch.uk</v>
          </cell>
          <cell r="P2359">
            <v>40340</v>
          </cell>
        </row>
        <row r="2360">
          <cell r="A2360">
            <v>3402039</v>
          </cell>
          <cell r="B2360">
            <v>104441</v>
          </cell>
          <cell r="C2360">
            <v>340</v>
          </cell>
          <cell r="D2360" t="str">
            <v>Knowsley</v>
          </cell>
          <cell r="E2360">
            <v>2039</v>
          </cell>
          <cell r="F2360" t="str">
            <v>Maria Sabberton</v>
          </cell>
          <cell r="G2360" t="str">
            <v>Plantation Primary School</v>
          </cell>
          <cell r="H2360" t="str">
            <v>North West</v>
          </cell>
          <cell r="I2360" t="str">
            <v>Hollies Road</v>
          </cell>
          <cell r="J2360" t="str">
            <v>Halewood</v>
          </cell>
          <cell r="L2360" t="str">
            <v>Liverpool</v>
          </cell>
          <cell r="M2360" t="str">
            <v>Merseyside</v>
          </cell>
          <cell r="N2360" t="str">
            <v>L26 0TH</v>
          </cell>
          <cell r="O2360" t="str">
            <v>mike.storey@knowsley.gov.uk</v>
          </cell>
        </row>
        <row r="2361">
          <cell r="A2361">
            <v>3584014</v>
          </cell>
          <cell r="B2361">
            <v>106364</v>
          </cell>
          <cell r="C2361">
            <v>358</v>
          </cell>
          <cell r="D2361" t="str">
            <v>Trafford</v>
          </cell>
          <cell r="E2361">
            <v>4014</v>
          </cell>
          <cell r="F2361" t="str">
            <v>Elaine Howard</v>
          </cell>
          <cell r="G2361" t="str">
            <v>Flixton Girls' High School</v>
          </cell>
          <cell r="H2361" t="str">
            <v>North West</v>
          </cell>
          <cell r="I2361" t="str">
            <v>Flixton Road</v>
          </cell>
          <cell r="J2361" t="str">
            <v>Flixton</v>
          </cell>
          <cell r="K2361" t="str">
            <v>Urmston</v>
          </cell>
          <cell r="L2361" t="str">
            <v>Manchester</v>
          </cell>
          <cell r="N2361" t="str">
            <v>M41 5DR</v>
          </cell>
          <cell r="O2361" t="str">
            <v>jhazeldine@flixtongirls.trafford.sch.uk</v>
          </cell>
          <cell r="P2361">
            <v>40597</v>
          </cell>
        </row>
        <row r="2362">
          <cell r="A2362">
            <v>8862232</v>
          </cell>
          <cell r="B2362">
            <v>118342</v>
          </cell>
          <cell r="C2362">
            <v>886</v>
          </cell>
          <cell r="D2362" t="str">
            <v>Kent</v>
          </cell>
          <cell r="E2362">
            <v>2232</v>
          </cell>
          <cell r="F2362" t="str">
            <v>Maryam Jabbari</v>
          </cell>
          <cell r="G2362" t="str">
            <v>Luddenham School</v>
          </cell>
          <cell r="H2362" t="str">
            <v>South East</v>
          </cell>
          <cell r="I2362" t="str">
            <v>Luddenham</v>
          </cell>
          <cell r="L2362" t="str">
            <v>Faversham</v>
          </cell>
          <cell r="M2362" t="str">
            <v>Kent</v>
          </cell>
          <cell r="N2362" t="str">
            <v>ME13 0TE</v>
          </cell>
          <cell r="O2362" t="str">
            <v>headteacher@luddenham.kent.sch.uk</v>
          </cell>
          <cell r="P2362">
            <v>40896</v>
          </cell>
        </row>
        <row r="2363">
          <cell r="A2363">
            <v>3134800</v>
          </cell>
          <cell r="B2363">
            <v>102543</v>
          </cell>
          <cell r="C2363">
            <v>313</v>
          </cell>
          <cell r="D2363" t="str">
            <v>Hounslow</v>
          </cell>
          <cell r="E2363">
            <v>4800</v>
          </cell>
          <cell r="F2363" t="str">
            <v>Martin Rowley</v>
          </cell>
          <cell r="G2363" t="str">
            <v>St Mark's Catholic School</v>
          </cell>
          <cell r="H2363" t="str">
            <v>London</v>
          </cell>
          <cell r="I2363" t="str">
            <v>106 Bath Road</v>
          </cell>
          <cell r="L2363" t="str">
            <v>Hounslow</v>
          </cell>
          <cell r="N2363" t="str">
            <v>TW3 3EJ</v>
          </cell>
          <cell r="O2363" t="str">
            <v>enrightp@st-marks.hounslow.sch.uk</v>
          </cell>
          <cell r="P2363">
            <v>40890</v>
          </cell>
        </row>
        <row r="2364">
          <cell r="A2364">
            <v>3305201</v>
          </cell>
          <cell r="B2364">
            <v>103542</v>
          </cell>
          <cell r="C2364">
            <v>330</v>
          </cell>
          <cell r="D2364" t="str">
            <v>Birmingham</v>
          </cell>
          <cell r="E2364">
            <v>5201</v>
          </cell>
          <cell r="F2364" t="str">
            <v>Hannah Copp</v>
          </cell>
          <cell r="G2364" t="str">
            <v>The Deanery Church of England Primary School</v>
          </cell>
          <cell r="H2364" t="str">
            <v>West Midlands</v>
          </cell>
          <cell r="I2364" t="str">
            <v>Fox Hollies Road</v>
          </cell>
          <cell r="J2364" t="str">
            <v>Walmley</v>
          </cell>
          <cell r="L2364" t="str">
            <v>Sutton Coldfield</v>
          </cell>
          <cell r="M2364" t="str">
            <v>West Midlands</v>
          </cell>
          <cell r="N2364" t="str">
            <v>B76 2RD</v>
          </cell>
          <cell r="O2364" t="str">
            <v>s.yates@deanery.bham.sch.uk</v>
          </cell>
          <cell r="P2364">
            <v>40625</v>
          </cell>
        </row>
        <row r="2365">
          <cell r="A2365">
            <v>9083894</v>
          </cell>
          <cell r="B2365">
            <v>134726</v>
          </cell>
          <cell r="C2365">
            <v>908</v>
          </cell>
          <cell r="D2365" t="str">
            <v>Cornwall</v>
          </cell>
          <cell r="E2365">
            <v>3894</v>
          </cell>
          <cell r="F2365" t="str">
            <v>Kate Bosher</v>
          </cell>
          <cell r="G2365" t="str">
            <v>Pensans Primary School</v>
          </cell>
          <cell r="H2365" t="str">
            <v>South West</v>
          </cell>
          <cell r="I2365" t="str">
            <v>Madron Road</v>
          </cell>
          <cell r="L2365" t="str">
            <v>Penzance</v>
          </cell>
          <cell r="M2365" t="str">
            <v>Cornwall</v>
          </cell>
          <cell r="N2365" t="str">
            <v>TR20 8UH</v>
          </cell>
          <cell r="O2365" t="str">
            <v xml:space="preserve"> head@pensans.cornwall.sch.uk</v>
          </cell>
        </row>
        <row r="2366">
          <cell r="A2366">
            <v>8012028</v>
          </cell>
          <cell r="B2366">
            <v>136111</v>
          </cell>
          <cell r="C2366">
            <v>801</v>
          </cell>
          <cell r="D2366" t="str">
            <v>Bristol City of</v>
          </cell>
          <cell r="E2366">
            <v>2028</v>
          </cell>
          <cell r="F2366" t="str">
            <v>Theresa Oddelm</v>
          </cell>
          <cell r="G2366" t="str">
            <v>Two Mile Hill Primary School</v>
          </cell>
          <cell r="H2366" t="str">
            <v>South West</v>
          </cell>
          <cell r="I2366" t="str">
            <v>The Kingsway</v>
          </cell>
          <cell r="L2366" t="str">
            <v>Kingswood</v>
          </cell>
          <cell r="N2366" t="str">
            <v>BS15 8AA</v>
          </cell>
          <cell r="O2366" t="str">
            <v>head.two.mile.hill.p@bristol.gov.uk</v>
          </cell>
        </row>
        <row r="2367">
          <cell r="A2367">
            <v>8234004</v>
          </cell>
          <cell r="B2367">
            <v>109644</v>
          </cell>
          <cell r="C2367">
            <v>823</v>
          </cell>
          <cell r="D2367" t="str">
            <v>Central Bedfordshire</v>
          </cell>
          <cell r="E2367">
            <v>4004</v>
          </cell>
          <cell r="F2367" t="str">
            <v>Stella Aina</v>
          </cell>
          <cell r="G2367" t="str">
            <v>Etonbury Middle School</v>
          </cell>
          <cell r="H2367" t="str">
            <v>East of England</v>
          </cell>
          <cell r="I2367" t="str">
            <v>Stotfold Road</v>
          </cell>
          <cell r="L2367" t="str">
            <v>Arlesey</v>
          </cell>
          <cell r="M2367" t="str">
            <v>Bedfordshire</v>
          </cell>
          <cell r="N2367" t="str">
            <v>SG15 6XS</v>
          </cell>
          <cell r="O2367" t="str">
            <v>mistranoa@etonbury.cbeds.co.uk</v>
          </cell>
          <cell r="P2367">
            <v>40675</v>
          </cell>
        </row>
        <row r="2368">
          <cell r="A2368">
            <v>8784060</v>
          </cell>
          <cell r="B2368">
            <v>113515</v>
          </cell>
          <cell r="C2368">
            <v>878</v>
          </cell>
          <cell r="D2368" t="str">
            <v>Devon</v>
          </cell>
          <cell r="E2368">
            <v>4060</v>
          </cell>
          <cell r="F2368" t="str">
            <v>Susan Phillips</v>
          </cell>
          <cell r="G2368" t="str">
            <v>Pilton Community College</v>
          </cell>
          <cell r="H2368" t="str">
            <v>South West</v>
          </cell>
          <cell r="I2368" t="str">
            <v>Chaddiford Lane</v>
          </cell>
          <cell r="L2368" t="str">
            <v>Barnstaple</v>
          </cell>
          <cell r="M2368" t="str">
            <v>Devon</v>
          </cell>
          <cell r="N2368" t="str">
            <v>EX31 1RB</v>
          </cell>
          <cell r="O2368" t="str">
            <v>millerl@piltoncollege.devon.sch.uk</v>
          </cell>
          <cell r="P2368">
            <v>40555</v>
          </cell>
        </row>
        <row r="2369">
          <cell r="A2369">
            <v>8863917</v>
          </cell>
          <cell r="B2369">
            <v>135212</v>
          </cell>
          <cell r="C2369">
            <v>886</v>
          </cell>
          <cell r="D2369" t="str">
            <v>Kent</v>
          </cell>
          <cell r="E2369">
            <v>3917</v>
          </cell>
          <cell r="F2369" t="str">
            <v>Lindsay Morris</v>
          </cell>
          <cell r="G2369" t="str">
            <v>Garlinge Primary School and Nursery</v>
          </cell>
          <cell r="H2369" t="str">
            <v>South East</v>
          </cell>
          <cell r="I2369" t="str">
            <v>Westfield Road</v>
          </cell>
          <cell r="L2369" t="str">
            <v>Margate</v>
          </cell>
          <cell r="M2369" t="str">
            <v>Kent</v>
          </cell>
          <cell r="N2369" t="str">
            <v>CT9 5PA</v>
          </cell>
          <cell r="O2369" t="str">
            <v xml:space="preserve"> headteacher@garlinge.kent.sch.uk</v>
          </cell>
          <cell r="P2369">
            <v>40722</v>
          </cell>
        </row>
        <row r="2370">
          <cell r="A2370">
            <v>8132115</v>
          </cell>
          <cell r="B2370">
            <v>117735</v>
          </cell>
          <cell r="C2370">
            <v>813</v>
          </cell>
          <cell r="D2370" t="str">
            <v>North Lincolnshire</v>
          </cell>
          <cell r="E2370">
            <v>2115</v>
          </cell>
          <cell r="F2370" t="str">
            <v>Lisa Sargeant</v>
          </cell>
          <cell r="G2370" t="str">
            <v>Crowle Primary School</v>
          </cell>
          <cell r="H2370" t="str">
            <v>Yorkshire and the Humber</v>
          </cell>
          <cell r="I2370" t="str">
            <v>Manor Road</v>
          </cell>
          <cell r="L2370" t="str">
            <v>Crowle</v>
          </cell>
          <cell r="M2370" t="str">
            <v>Lincolnshire</v>
          </cell>
          <cell r="N2370" t="str">
            <v>DN17 4ET</v>
          </cell>
          <cell r="O2370" t="str">
            <v>head.crowleprimary@northlincs.gov.uk</v>
          </cell>
          <cell r="P2370">
            <v>40998</v>
          </cell>
        </row>
        <row r="2371">
          <cell r="A2371">
            <v>8552062</v>
          </cell>
          <cell r="B2371">
            <v>119935</v>
          </cell>
          <cell r="C2371">
            <v>855</v>
          </cell>
          <cell r="D2371" t="str">
            <v>Leicestershire</v>
          </cell>
          <cell r="E2371">
            <v>2062</v>
          </cell>
          <cell r="F2371" t="str">
            <v>Sue Harp</v>
          </cell>
          <cell r="G2371" t="str">
            <v>Rendell Primary School</v>
          </cell>
          <cell r="H2371" t="str">
            <v>East Midlands</v>
          </cell>
          <cell r="I2371" t="str">
            <v>Rendell Street</v>
          </cell>
          <cell r="L2371" t="str">
            <v>Loughborough</v>
          </cell>
          <cell r="M2371" t="str">
            <v>Leicestershire</v>
          </cell>
          <cell r="N2371" t="str">
            <v>LE11 1LL</v>
          </cell>
          <cell r="O2371" t="str">
            <v>karenrixon@rendellps.leics.sch.uk</v>
          </cell>
          <cell r="P2371">
            <v>41038</v>
          </cell>
        </row>
        <row r="2372">
          <cell r="A2372">
            <v>9285410</v>
          </cell>
          <cell r="B2372">
            <v>122123</v>
          </cell>
          <cell r="C2372">
            <v>928</v>
          </cell>
          <cell r="D2372" t="str">
            <v>Northamptonshire</v>
          </cell>
          <cell r="E2372">
            <v>5410</v>
          </cell>
          <cell r="F2372" t="str">
            <v>Stephen Standret</v>
          </cell>
          <cell r="G2372" t="str">
            <v>Wrenn School</v>
          </cell>
          <cell r="H2372" t="str">
            <v>East Midlands</v>
          </cell>
          <cell r="I2372" t="str">
            <v>London Road</v>
          </cell>
          <cell r="L2372" t="str">
            <v>Wellingborough</v>
          </cell>
          <cell r="M2372" t="str">
            <v>Northamptonshire</v>
          </cell>
          <cell r="N2372" t="str">
            <v>NN8 2DQ</v>
          </cell>
          <cell r="O2372" t="str">
            <v>wthallon@wrenn.northants.sch.uk</v>
          </cell>
        </row>
        <row r="2373">
          <cell r="A2373">
            <v>9082441</v>
          </cell>
          <cell r="B2373">
            <v>111899</v>
          </cell>
          <cell r="C2373">
            <v>908</v>
          </cell>
          <cell r="D2373" t="str">
            <v>Cornwall</v>
          </cell>
          <cell r="E2373">
            <v>2441</v>
          </cell>
          <cell r="F2373" t="str">
            <v>Kate Bosher</v>
          </cell>
          <cell r="G2373" t="str">
            <v>Nanpean Community Primary School</v>
          </cell>
          <cell r="H2373" t="str">
            <v>South West</v>
          </cell>
          <cell r="I2373" t="str">
            <v>St George's Road</v>
          </cell>
          <cell r="J2373" t="str">
            <v>Nanpean</v>
          </cell>
          <cell r="L2373" t="str">
            <v>St Austell</v>
          </cell>
          <cell r="M2373" t="str">
            <v>Cornwall</v>
          </cell>
          <cell r="N2373" t="str">
            <v>PL26 7YH</v>
          </cell>
          <cell r="O2373" t="str">
            <v>head@nanpean.cornwall.sch.uk</v>
          </cell>
        </row>
        <row r="2374">
          <cell r="A2374">
            <v>8783451</v>
          </cell>
          <cell r="B2374">
            <v>113447</v>
          </cell>
          <cell r="C2374">
            <v>878</v>
          </cell>
          <cell r="D2374" t="str">
            <v>Devon</v>
          </cell>
          <cell r="E2374">
            <v>3451</v>
          </cell>
          <cell r="F2374" t="str">
            <v>Lilian Da Cunha</v>
          </cell>
          <cell r="G2374" t="str">
            <v>Pilton the Bluecoat Church of England Junior School</v>
          </cell>
          <cell r="H2374" t="str">
            <v>South West</v>
          </cell>
          <cell r="I2374" t="str">
            <v>Abbey Road</v>
          </cell>
          <cell r="L2374" t="str">
            <v>Barnstaple</v>
          </cell>
          <cell r="M2374" t="str">
            <v>Devon</v>
          </cell>
          <cell r="N2374" t="str">
            <v>EX31 1JU</v>
          </cell>
          <cell r="O2374" t="str">
            <v>head@piltonbluecoat.devon.sch.uk</v>
          </cell>
          <cell r="P2374">
            <v>40980</v>
          </cell>
        </row>
        <row r="2375">
          <cell r="A2375">
            <v>8783165</v>
          </cell>
          <cell r="B2375">
            <v>113421</v>
          </cell>
          <cell r="C2375">
            <v>878</v>
          </cell>
          <cell r="D2375" t="str">
            <v>Devon</v>
          </cell>
          <cell r="E2375">
            <v>3165</v>
          </cell>
          <cell r="F2375" t="str">
            <v>Lilian Da Cunha</v>
          </cell>
          <cell r="G2375" t="str">
            <v>Bickleigh on Exe Church of England Primary School</v>
          </cell>
          <cell r="H2375" t="str">
            <v>South West</v>
          </cell>
          <cell r="I2375" t="str">
            <v>Bell Meadow</v>
          </cell>
          <cell r="J2375" t="str">
            <v>Bickleigh</v>
          </cell>
          <cell r="L2375" t="str">
            <v>Tiverton</v>
          </cell>
          <cell r="M2375" t="str">
            <v>Devon</v>
          </cell>
          <cell r="N2375" t="str">
            <v>EX16 8RE</v>
          </cell>
          <cell r="O2375" t="str">
            <v>admin@bickleigh.devon.sch.uk</v>
          </cell>
          <cell r="P2375">
            <v>40816</v>
          </cell>
        </row>
        <row r="2376">
          <cell r="A2376">
            <v>8612114</v>
          </cell>
          <cell r="B2376">
            <v>124028</v>
          </cell>
          <cell r="C2376">
            <v>861</v>
          </cell>
          <cell r="D2376" t="str">
            <v>Stoke-on-Trent</v>
          </cell>
          <cell r="E2376">
            <v>2114</v>
          </cell>
          <cell r="F2376" t="str">
            <v>Julia Waterhouse</v>
          </cell>
          <cell r="G2376" t="str">
            <v>Ash Green Primary School</v>
          </cell>
          <cell r="H2376" t="str">
            <v>West Midlands</v>
          </cell>
          <cell r="I2376" t="str">
            <v>The Lea</v>
          </cell>
          <cell r="J2376" t="str">
            <v>Trentham</v>
          </cell>
          <cell r="L2376" t="str">
            <v>Stoke-on-Trent</v>
          </cell>
          <cell r="M2376" t="str">
            <v>Staffordshire</v>
          </cell>
          <cell r="N2376" t="str">
            <v>ST4 8BX</v>
          </cell>
          <cell r="O2376" t="str">
            <v>naddison@sgfl.org.uk</v>
          </cell>
        </row>
        <row r="2377">
          <cell r="A2377">
            <v>3594034</v>
          </cell>
          <cell r="B2377">
            <v>106531</v>
          </cell>
          <cell r="C2377">
            <v>359</v>
          </cell>
          <cell r="D2377" t="str">
            <v>Wigan</v>
          </cell>
          <cell r="E2377">
            <v>4034</v>
          </cell>
          <cell r="F2377" t="str">
            <v>Viv Clutton</v>
          </cell>
          <cell r="G2377" t="str">
            <v>Standish Community High School</v>
          </cell>
          <cell r="H2377" t="str">
            <v>North West</v>
          </cell>
          <cell r="I2377" t="str">
            <v>Kenyon Road</v>
          </cell>
          <cell r="J2377" t="str">
            <v>Standish</v>
          </cell>
          <cell r="L2377" t="str">
            <v>Wigan</v>
          </cell>
          <cell r="M2377" t="str">
            <v>Lancashire</v>
          </cell>
          <cell r="N2377" t="str">
            <v>WN6 0NX</v>
          </cell>
          <cell r="O2377" t="str">
            <v>foxl@standishchs.wigan.sch.uk</v>
          </cell>
        </row>
        <row r="2378">
          <cell r="A2378">
            <v>9354603</v>
          </cell>
          <cell r="B2378">
            <v>124864</v>
          </cell>
          <cell r="C2378">
            <v>935</v>
          </cell>
          <cell r="D2378" t="str">
            <v>Suffolk</v>
          </cell>
          <cell r="E2378">
            <v>4603</v>
          </cell>
          <cell r="F2378" t="str">
            <v>Susan Dean</v>
          </cell>
          <cell r="G2378" t="str">
            <v>St Alban's Catholic High School</v>
          </cell>
          <cell r="H2378" t="str">
            <v>East of England</v>
          </cell>
          <cell r="I2378" t="str">
            <v>Digby Road</v>
          </cell>
          <cell r="L2378" t="str">
            <v>Ipswich</v>
          </cell>
          <cell r="M2378" t="str">
            <v>Suffolk</v>
          </cell>
          <cell r="N2378" t="str">
            <v>IP4 3NJ</v>
          </cell>
          <cell r="O2378" t="str">
            <v>dmcgarry@st-albans.suffolk.sch.uk</v>
          </cell>
          <cell r="P2378">
            <v>40822</v>
          </cell>
        </row>
        <row r="2379">
          <cell r="A2379">
            <v>3045400</v>
          </cell>
          <cell r="B2379">
            <v>101557</v>
          </cell>
          <cell r="C2379">
            <v>304</v>
          </cell>
          <cell r="D2379" t="str">
            <v>Brent</v>
          </cell>
          <cell r="E2379">
            <v>5400</v>
          </cell>
          <cell r="F2379" t="str">
            <v>Martin Rowley</v>
          </cell>
          <cell r="G2379" t="str">
            <v>Claremont High School</v>
          </cell>
          <cell r="H2379" t="str">
            <v>London</v>
          </cell>
          <cell r="I2379" t="str">
            <v>Claremont Avenue</v>
          </cell>
          <cell r="J2379" t="str">
            <v>Kenton</v>
          </cell>
          <cell r="L2379" t="str">
            <v>Harrow</v>
          </cell>
          <cell r="N2379" t="str">
            <v>HA3 0UH</v>
          </cell>
          <cell r="O2379" t="str">
            <v>terrymolloy7@hotmail.com</v>
          </cell>
          <cell r="P2379">
            <v>40505</v>
          </cell>
        </row>
        <row r="2380">
          <cell r="A2380">
            <v>3714036</v>
          </cell>
          <cell r="B2380">
            <v>106791</v>
          </cell>
          <cell r="C2380">
            <v>371</v>
          </cell>
          <cell r="D2380" t="str">
            <v>Doncaster</v>
          </cell>
          <cell r="E2380">
            <v>4036</v>
          </cell>
          <cell r="F2380" t="str">
            <v>Glyn Newton</v>
          </cell>
          <cell r="G2380" t="str">
            <v>Campsmount Technology College</v>
          </cell>
          <cell r="H2380" t="str">
            <v>Yorkshire and the Humber</v>
          </cell>
          <cell r="I2380" t="str">
            <v>Ryecroft Road</v>
          </cell>
          <cell r="J2380" t="str">
            <v>Norton</v>
          </cell>
          <cell r="L2380" t="str">
            <v>Doncaster</v>
          </cell>
          <cell r="M2380" t="str">
            <v>South Yorkshire</v>
          </cell>
          <cell r="N2380" t="str">
            <v>DN6 9AS</v>
          </cell>
          <cell r="O2380" t="str">
            <v>heads.pa@campsmount.doncaster.sch.uk</v>
          </cell>
          <cell r="P2380">
            <v>40637</v>
          </cell>
        </row>
        <row r="2381">
          <cell r="A2381">
            <v>3302451</v>
          </cell>
          <cell r="B2381">
            <v>103378</v>
          </cell>
          <cell r="C2381">
            <v>330</v>
          </cell>
          <cell r="D2381" t="str">
            <v>Birmingham</v>
          </cell>
          <cell r="E2381">
            <v>2451</v>
          </cell>
          <cell r="F2381" t="str">
            <v>Ruth Pallister</v>
          </cell>
          <cell r="G2381" t="str">
            <v>Green Meadow Primary School</v>
          </cell>
          <cell r="H2381" t="str">
            <v>West Midlands</v>
          </cell>
          <cell r="I2381" t="str">
            <v>Green Meadow Road</v>
          </cell>
          <cell r="J2381" t="str">
            <v>Selly Oak</v>
          </cell>
          <cell r="L2381" t="str">
            <v>Birmingham</v>
          </cell>
          <cell r="M2381" t="str">
            <v>West Midlands</v>
          </cell>
          <cell r="N2381" t="str">
            <v>B29 4EE</v>
          </cell>
          <cell r="O2381" t="str">
            <v>j.foley@greenmeadow.bham.sch.uk</v>
          </cell>
          <cell r="P2381">
            <v>40819</v>
          </cell>
        </row>
        <row r="2382">
          <cell r="A2382">
            <v>8304019</v>
          </cell>
          <cell r="B2382">
            <v>112932</v>
          </cell>
          <cell r="C2382">
            <v>830</v>
          </cell>
          <cell r="D2382" t="str">
            <v>Derbyshire</v>
          </cell>
          <cell r="E2382">
            <v>4019</v>
          </cell>
          <cell r="F2382" t="str">
            <v>Stephen Standret</v>
          </cell>
          <cell r="G2382" t="str">
            <v>Chapel-en-le-Frith High School</v>
          </cell>
          <cell r="H2382" t="str">
            <v>East Midlands</v>
          </cell>
          <cell r="I2382" t="str">
            <v>Long Lane</v>
          </cell>
          <cell r="J2382" t="str">
            <v>Chapel-en-le-Frith</v>
          </cell>
          <cell r="L2382" t="str">
            <v>High Peak</v>
          </cell>
          <cell r="M2382" t="str">
            <v>Derbyshire</v>
          </cell>
          <cell r="N2382" t="str">
            <v>SK23 0TQ</v>
          </cell>
          <cell r="O2382" t="str">
            <v>headteacher@chapel-en-le-frithhigh.derbyshire.sch.uk</v>
          </cell>
        </row>
        <row r="2383">
          <cell r="A2383">
            <v>9162135</v>
          </cell>
          <cell r="B2383">
            <v>115571</v>
          </cell>
          <cell r="C2383">
            <v>916</v>
          </cell>
          <cell r="D2383" t="str">
            <v>Gloucestershire</v>
          </cell>
          <cell r="E2383">
            <v>2135</v>
          </cell>
          <cell r="F2383" t="str">
            <v>Kate Bosher</v>
          </cell>
          <cell r="G2383" t="str">
            <v>Bishops Cleeve Primary School</v>
          </cell>
          <cell r="H2383" t="str">
            <v>South West</v>
          </cell>
          <cell r="I2383" t="str">
            <v>Tobyfield Road</v>
          </cell>
          <cell r="J2383" t="str">
            <v>Bishops Cleeve</v>
          </cell>
          <cell r="L2383" t="str">
            <v>Cheltenham</v>
          </cell>
          <cell r="M2383" t="str">
            <v>Gloucestershire</v>
          </cell>
          <cell r="N2383" t="str">
            <v>GL52 8NN</v>
          </cell>
          <cell r="O2383" t="str">
            <v>head@bishopscleeve.gloucs.sch.uk</v>
          </cell>
          <cell r="P2383">
            <v>40570</v>
          </cell>
        </row>
        <row r="2384">
          <cell r="A2384">
            <v>8312407</v>
          </cell>
          <cell r="B2384">
            <v>112719</v>
          </cell>
          <cell r="C2384">
            <v>831</v>
          </cell>
          <cell r="D2384" t="str">
            <v>Derby</v>
          </cell>
          <cell r="E2384">
            <v>2407</v>
          </cell>
          <cell r="F2384" t="str">
            <v>Helen Whetter</v>
          </cell>
          <cell r="G2384" t="str">
            <v>Boulton Primary School (Fast Track)</v>
          </cell>
          <cell r="H2384" t="str">
            <v>East Midlands</v>
          </cell>
          <cell r="I2384" t="str">
            <v>Wyndham Street</v>
          </cell>
          <cell r="J2384" t="str">
            <v>Alvaston</v>
          </cell>
          <cell r="L2384" t="str">
            <v>Derby</v>
          </cell>
          <cell r="M2384" t="str">
            <v>Derbyshire</v>
          </cell>
          <cell r="N2384" t="str">
            <v>DE24 0EP</v>
          </cell>
          <cell r="O2384" t="str">
            <v>admin@boulton.derby.sch.uk</v>
          </cell>
        </row>
        <row r="2385">
          <cell r="A2385">
            <v>9285409</v>
          </cell>
          <cell r="B2385">
            <v>122122</v>
          </cell>
          <cell r="C2385">
            <v>928</v>
          </cell>
          <cell r="D2385" t="str">
            <v>Northamptonshire</v>
          </cell>
          <cell r="E2385">
            <v>5409</v>
          </cell>
          <cell r="F2385" t="str">
            <v>Sue Harp</v>
          </cell>
          <cell r="G2385" t="str">
            <v>Sir Christopher Hatton School</v>
          </cell>
          <cell r="H2385" t="str">
            <v>East Midlands</v>
          </cell>
          <cell r="I2385" t="str">
            <v>The Pyghtle</v>
          </cell>
          <cell r="L2385" t="str">
            <v>Wellingborough</v>
          </cell>
          <cell r="M2385" t="str">
            <v>Northamptonshire</v>
          </cell>
          <cell r="N2385" t="str">
            <v>NN8 4RP</v>
          </cell>
          <cell r="O2385" t="str">
            <v>bishopv@hattonschool.org.uk</v>
          </cell>
          <cell r="P2385">
            <v>40857</v>
          </cell>
        </row>
        <row r="2386">
          <cell r="A2386">
            <v>8653407</v>
          </cell>
          <cell r="B2386">
            <v>126422</v>
          </cell>
          <cell r="C2386">
            <v>865</v>
          </cell>
          <cell r="D2386" t="str">
            <v>Wiltshire</v>
          </cell>
          <cell r="E2386">
            <v>3407</v>
          </cell>
          <cell r="F2386" t="str">
            <v>Ali Bushell</v>
          </cell>
          <cell r="G2386" t="str">
            <v>Woodford Valley CE Primary School</v>
          </cell>
          <cell r="H2386" t="str">
            <v>South West</v>
          </cell>
          <cell r="I2386" t="str">
            <v>Middle Woodford</v>
          </cell>
          <cell r="L2386" t="str">
            <v>Salisbury</v>
          </cell>
          <cell r="M2386" t="str">
            <v>Wiltshire</v>
          </cell>
          <cell r="N2386" t="str">
            <v>SP4 6NR</v>
          </cell>
          <cell r="O2386" t="str">
            <v>admin@woodfordvalley.wilts.sch.uk</v>
          </cell>
          <cell r="P2386">
            <v>40806</v>
          </cell>
        </row>
        <row r="2387">
          <cell r="A2387">
            <v>8863896</v>
          </cell>
          <cell r="B2387">
            <v>134515</v>
          </cell>
          <cell r="C2387">
            <v>886</v>
          </cell>
          <cell r="D2387" t="str">
            <v>Kent</v>
          </cell>
          <cell r="E2387">
            <v>3896</v>
          </cell>
          <cell r="F2387" t="str">
            <v>Kevin Hall</v>
          </cell>
          <cell r="G2387" t="str">
            <v>Downsview Community Primary School</v>
          </cell>
          <cell r="H2387" t="str">
            <v>South East</v>
          </cell>
          <cell r="I2387" t="str">
            <v>Beech Avenue</v>
          </cell>
          <cell r="L2387" t="str">
            <v>Swanley</v>
          </cell>
          <cell r="M2387" t="str">
            <v>Kent</v>
          </cell>
          <cell r="N2387" t="str">
            <v>BR8 8AU</v>
          </cell>
          <cell r="O2387" t="str">
            <v>john.atkins@thekemnaltrust.org</v>
          </cell>
        </row>
        <row r="2388">
          <cell r="A2388">
            <v>3302064</v>
          </cell>
          <cell r="B2388">
            <v>103194</v>
          </cell>
          <cell r="C2388">
            <v>330</v>
          </cell>
          <cell r="D2388" t="str">
            <v>Birmingham</v>
          </cell>
          <cell r="E2388">
            <v>2064</v>
          </cell>
          <cell r="F2388" t="str">
            <v>Carol Ions</v>
          </cell>
          <cell r="G2388" t="str">
            <v>The Oaklands Primary School</v>
          </cell>
          <cell r="H2388" t="str">
            <v>West Midlands</v>
          </cell>
          <cell r="I2388" t="str">
            <v>Dolphin Lane</v>
          </cell>
          <cell r="J2388" t="str">
            <v>Acocks Green</v>
          </cell>
          <cell r="L2388" t="str">
            <v>Birmingham</v>
          </cell>
          <cell r="M2388" t="str">
            <v>West Midlands</v>
          </cell>
          <cell r="N2388" t="str">
            <v>B27 7BT</v>
          </cell>
          <cell r="O2388" t="str">
            <v>a.davies@oaklands.bham.sch.uk</v>
          </cell>
          <cell r="P2388">
            <v>41103</v>
          </cell>
        </row>
        <row r="2389">
          <cell r="A2389">
            <v>8255404</v>
          </cell>
          <cell r="B2389">
            <v>110530</v>
          </cell>
          <cell r="C2389">
            <v>825</v>
          </cell>
          <cell r="D2389" t="str">
            <v>Buckinghamshire</v>
          </cell>
          <cell r="E2389">
            <v>5404</v>
          </cell>
          <cell r="F2389" t="str">
            <v>Susan Shakespeare</v>
          </cell>
          <cell r="G2389" t="str">
            <v>Royal Grammar School, High Wycombe (Boarding School)</v>
          </cell>
          <cell r="H2389" t="str">
            <v>South East</v>
          </cell>
          <cell r="I2389" t="str">
            <v>Amersham Road</v>
          </cell>
          <cell r="L2389" t="str">
            <v>High Wycombe</v>
          </cell>
          <cell r="M2389" t="str">
            <v>Buckinghamshire</v>
          </cell>
          <cell r="N2389" t="str">
            <v>HP13 6QT</v>
          </cell>
          <cell r="O2389" t="str">
            <v>rmp@rgshw.com</v>
          </cell>
          <cell r="P2389">
            <v>40450</v>
          </cell>
        </row>
        <row r="2390">
          <cell r="A2390">
            <v>3183312</v>
          </cell>
          <cell r="B2390">
            <v>102911</v>
          </cell>
          <cell r="C2390">
            <v>318</v>
          </cell>
          <cell r="D2390" t="str">
            <v>Richmond upon Thames</v>
          </cell>
          <cell r="E2390">
            <v>3312</v>
          </cell>
          <cell r="F2390" t="str">
            <v>Tahir Shams</v>
          </cell>
          <cell r="G2390" t="str">
            <v>St John the Baptist Church of England Junior School</v>
          </cell>
          <cell r="H2390" t="str">
            <v>London</v>
          </cell>
          <cell r="I2390" t="str">
            <v>Lower Teddington Road</v>
          </cell>
          <cell r="J2390" t="str">
            <v>Hampton Wick</v>
          </cell>
          <cell r="L2390" t="str">
            <v>Kingston upon Thames</v>
          </cell>
          <cell r="M2390" t="str">
            <v>Surrey</v>
          </cell>
          <cell r="N2390" t="str">
            <v>KT1 4HQ</v>
          </cell>
          <cell r="O2390" t="str">
            <v xml:space="preserve">s.sawyer@st-john.richmond.sch.uk
</v>
          </cell>
        </row>
        <row r="2391">
          <cell r="A2391">
            <v>3807033</v>
          </cell>
          <cell r="B2391">
            <v>135230</v>
          </cell>
          <cell r="C2391">
            <v>380</v>
          </cell>
          <cell r="D2391" t="str">
            <v>Bradford</v>
          </cell>
          <cell r="E2391">
            <v>7033</v>
          </cell>
          <cell r="F2391" t="str">
            <v>John Edmunds</v>
          </cell>
          <cell r="G2391" t="str">
            <v>Southfield School</v>
          </cell>
          <cell r="H2391" t="str">
            <v>Yorkshire and the Humber</v>
          </cell>
          <cell r="I2391" t="str">
            <v>Haycliffe Lane</v>
          </cell>
          <cell r="L2391" t="str">
            <v>Bradford</v>
          </cell>
          <cell r="M2391" t="str">
            <v>West Yorkshire</v>
          </cell>
          <cell r="N2391" t="str">
            <v>BD5 9ET</v>
          </cell>
          <cell r="O2391" t="str">
            <v>sfddow@bradford.sch.uk</v>
          </cell>
          <cell r="P2391">
            <v>40637</v>
          </cell>
        </row>
        <row r="2392">
          <cell r="A2392">
            <v>9362012</v>
          </cell>
          <cell r="B2392">
            <v>124939</v>
          </cell>
          <cell r="C2392">
            <v>936</v>
          </cell>
          <cell r="D2392" t="str">
            <v>Surrey</v>
          </cell>
          <cell r="E2392">
            <v>2012</v>
          </cell>
          <cell r="F2392" t="str">
            <v>Gabriela Grimley</v>
          </cell>
          <cell r="G2392" t="str">
            <v>Walton-on-the-Hill Primary School</v>
          </cell>
          <cell r="H2392" t="str">
            <v>South East</v>
          </cell>
          <cell r="I2392" t="str">
            <v>Walton Street</v>
          </cell>
          <cell r="J2392" t="str">
            <v>Walton-on-the-Hill</v>
          </cell>
          <cell r="L2392" t="str">
            <v>Tadworth</v>
          </cell>
          <cell r="M2392" t="str">
            <v>Surrey</v>
          </cell>
          <cell r="N2392" t="str">
            <v>KT20 7RR</v>
          </cell>
          <cell r="O2392" t="str">
            <v>head@walton-on-the-hill.surrey.sch.uk</v>
          </cell>
        </row>
        <row r="2393">
          <cell r="A2393">
            <v>9283333</v>
          </cell>
          <cell r="B2393">
            <v>122028</v>
          </cell>
          <cell r="C2393">
            <v>928</v>
          </cell>
          <cell r="D2393" t="str">
            <v>Northamptonshire</v>
          </cell>
          <cell r="E2393">
            <v>3333</v>
          </cell>
          <cell r="F2393" t="str">
            <v>Sue Harp</v>
          </cell>
          <cell r="G2393" t="str">
            <v>Pytchley Endowed Church of England Primary School</v>
          </cell>
          <cell r="H2393" t="str">
            <v>East Midlands</v>
          </cell>
          <cell r="I2393" t="str">
            <v>High Street</v>
          </cell>
          <cell r="J2393" t="str">
            <v>Pytchley</v>
          </cell>
          <cell r="L2393" t="str">
            <v>Kettering</v>
          </cell>
          <cell r="M2393" t="str">
            <v>Northamptonshire</v>
          </cell>
          <cell r="N2393" t="str">
            <v>NN14 1EN</v>
          </cell>
          <cell r="O2393" t="str">
            <v>head@pytchley.northants-ecl.gov.uk</v>
          </cell>
        </row>
        <row r="2394">
          <cell r="A2394">
            <v>9317010</v>
          </cell>
          <cell r="B2394">
            <v>123332</v>
          </cell>
          <cell r="C2394">
            <v>931</v>
          </cell>
          <cell r="D2394" t="str">
            <v>Oxfordshire</v>
          </cell>
          <cell r="E2394">
            <v>7010</v>
          </cell>
          <cell r="F2394" t="str">
            <v>Bukky Sawyerr</v>
          </cell>
          <cell r="G2394" t="str">
            <v>Frank Wise School</v>
          </cell>
          <cell r="H2394" t="str">
            <v>South East</v>
          </cell>
          <cell r="I2394" t="str">
            <v>Hornbeam Close</v>
          </cell>
          <cell r="L2394" t="str">
            <v>Banbury</v>
          </cell>
          <cell r="M2394" t="str">
            <v>Oxfordshire</v>
          </cell>
          <cell r="N2394" t="str">
            <v>OX16 9RL</v>
          </cell>
          <cell r="O2394" t="str">
            <v>sean@frankwise.oxon.sch.uk</v>
          </cell>
        </row>
        <row r="2395">
          <cell r="A2395">
            <v>8815433</v>
          </cell>
          <cell r="B2395">
            <v>115349</v>
          </cell>
          <cell r="C2395">
            <v>881</v>
          </cell>
          <cell r="D2395" t="str">
            <v>Essex</v>
          </cell>
          <cell r="E2395">
            <v>5433</v>
          </cell>
          <cell r="F2395" t="str">
            <v>Claire Ivie</v>
          </cell>
          <cell r="G2395" t="str">
            <v>St Martin's School</v>
          </cell>
          <cell r="H2395" t="str">
            <v>East of England</v>
          </cell>
          <cell r="I2395" t="str">
            <v>Hanging Hill Lane</v>
          </cell>
          <cell r="J2395" t="str">
            <v>Hutton</v>
          </cell>
          <cell r="L2395" t="str">
            <v>Brentwood</v>
          </cell>
          <cell r="M2395" t="str">
            <v>Essex</v>
          </cell>
          <cell r="N2395" t="str">
            <v>CM13 2HG</v>
          </cell>
          <cell r="O2395" t="str">
            <v>mosullivan@st-martins.essex.sch.uk</v>
          </cell>
          <cell r="P2395">
            <v>40583</v>
          </cell>
        </row>
        <row r="2396">
          <cell r="A2396">
            <v>9163061</v>
          </cell>
          <cell r="B2396">
            <v>115644</v>
          </cell>
          <cell r="C2396">
            <v>916</v>
          </cell>
          <cell r="D2396" t="str">
            <v>Gloucestershire</v>
          </cell>
          <cell r="E2396">
            <v>3061</v>
          </cell>
          <cell r="F2396" t="str">
            <v>Dominic Wilson</v>
          </cell>
          <cell r="G2396" t="str">
            <v>Field Court Church of England Infant School</v>
          </cell>
          <cell r="H2396" t="str">
            <v>South West</v>
          </cell>
          <cell r="I2396" t="str">
            <v>Courtfield Road</v>
          </cell>
          <cell r="J2396" t="str">
            <v>Quedgeley</v>
          </cell>
          <cell r="L2396" t="str">
            <v>Gloucester</v>
          </cell>
          <cell r="M2396" t="str">
            <v>Gloucestershire</v>
          </cell>
          <cell r="N2396" t="str">
            <v>GL2 4UF</v>
          </cell>
          <cell r="O2396" t="str">
            <v>head@fieldcourt-inf.gloucs.sch.uk</v>
          </cell>
          <cell r="P2396">
            <v>40673</v>
          </cell>
        </row>
        <row r="2397">
          <cell r="A2397">
            <v>8854575</v>
          </cell>
          <cell r="B2397">
            <v>116983</v>
          </cell>
          <cell r="C2397">
            <v>885</v>
          </cell>
          <cell r="D2397" t="str">
            <v>Worcestershire</v>
          </cell>
          <cell r="E2397">
            <v>4575</v>
          </cell>
          <cell r="F2397" t="str">
            <v>Alison Middleton</v>
          </cell>
          <cell r="G2397" t="str">
            <v>Alvechurch CofE Middle School</v>
          </cell>
          <cell r="H2397" t="str">
            <v>West Midlands</v>
          </cell>
          <cell r="I2397" t="str">
            <v>Birmingham Road</v>
          </cell>
          <cell r="J2397" t="str">
            <v>Alvechurch</v>
          </cell>
          <cell r="L2397" t="str">
            <v>Birmingham</v>
          </cell>
          <cell r="M2397" t="str">
            <v>West Midlands</v>
          </cell>
          <cell r="N2397" t="str">
            <v>B48 7TA</v>
          </cell>
          <cell r="O2397" t="str">
            <v>head@alvechurch.worcs.sch.uk</v>
          </cell>
        </row>
        <row r="2398">
          <cell r="A2398">
            <v>3942083</v>
          </cell>
          <cell r="B2398">
            <v>108780</v>
          </cell>
          <cell r="C2398">
            <v>394</v>
          </cell>
          <cell r="D2398" t="str">
            <v>Sunderland</v>
          </cell>
          <cell r="E2398">
            <v>2083</v>
          </cell>
          <cell r="F2398" t="str">
            <v>Adriarna Goodinson</v>
          </cell>
          <cell r="G2398" t="str">
            <v>Bexhill Primary School</v>
          </cell>
          <cell r="H2398" t="str">
            <v>North East</v>
          </cell>
          <cell r="I2398" t="str">
            <v>Bexhill Road</v>
          </cell>
          <cell r="J2398" t="str">
            <v>Townend Farm</v>
          </cell>
          <cell r="L2398" t="str">
            <v>Sunderland</v>
          </cell>
          <cell r="M2398" t="str">
            <v>Tyne and Wear</v>
          </cell>
          <cell r="N2398" t="str">
            <v>SR5 4PJ</v>
          </cell>
          <cell r="O2398" t="str">
            <v>teresa.laybourne@schools.sunderland.gov.uk</v>
          </cell>
          <cell r="P2398">
            <v>40522</v>
          </cell>
        </row>
        <row r="2399">
          <cell r="A2399">
            <v>8605204</v>
          </cell>
          <cell r="B2399">
            <v>124187</v>
          </cell>
          <cell r="C2399">
            <v>860</v>
          </cell>
          <cell r="D2399" t="str">
            <v>Staffordshire</v>
          </cell>
          <cell r="E2399">
            <v>5204</v>
          </cell>
          <cell r="F2399" t="str">
            <v>Alison Middleton</v>
          </cell>
          <cell r="G2399" t="str">
            <v>Anglesey Primary School</v>
          </cell>
          <cell r="H2399" t="str">
            <v>West Midlands</v>
          </cell>
          <cell r="I2399" t="str">
            <v>Clarence Street</v>
          </cell>
          <cell r="L2399" t="str">
            <v>Burton-on-Trent</v>
          </cell>
          <cell r="M2399" t="str">
            <v>Staffordshire</v>
          </cell>
          <cell r="N2399" t="str">
            <v>DE14 3LG</v>
          </cell>
          <cell r="O2399" t="str">
            <v>headteacher@anglesey.staffs.sch.uk</v>
          </cell>
        </row>
        <row r="2400">
          <cell r="A2400">
            <v>8662200</v>
          </cell>
          <cell r="B2400">
            <v>126272</v>
          </cell>
          <cell r="C2400">
            <v>866</v>
          </cell>
          <cell r="D2400" t="str">
            <v>Swindon</v>
          </cell>
          <cell r="E2400">
            <v>2200</v>
          </cell>
          <cell r="F2400" t="str">
            <v>Nigel Mills</v>
          </cell>
          <cell r="G2400" t="str">
            <v>Eastrop Infant School</v>
          </cell>
          <cell r="H2400" t="str">
            <v>South West</v>
          </cell>
          <cell r="I2400" t="str">
            <v>Eastrop</v>
          </cell>
          <cell r="J2400" t="str">
            <v>Highworth</v>
          </cell>
          <cell r="L2400" t="str">
            <v>Swindon</v>
          </cell>
          <cell r="M2400" t="str">
            <v>Wiltshire</v>
          </cell>
          <cell r="N2400" t="str">
            <v>SN6 7AP</v>
          </cell>
          <cell r="O2400" t="str">
            <v>head@eastrop-inf.swindon.sch.uk</v>
          </cell>
          <cell r="P2400">
            <v>40689</v>
          </cell>
        </row>
        <row r="2401">
          <cell r="A2401">
            <v>3553802</v>
          </cell>
          <cell r="B2401">
            <v>105971</v>
          </cell>
          <cell r="C2401">
            <v>355</v>
          </cell>
          <cell r="D2401" t="str">
            <v>Salford</v>
          </cell>
          <cell r="E2401">
            <v>3802</v>
          </cell>
          <cell r="F2401" t="str">
            <v>Jane McCusker</v>
          </cell>
          <cell r="G2401" t="str">
            <v>Broughton Jewish Cassel Fox Primary School</v>
          </cell>
          <cell r="H2401" t="str">
            <v>North West</v>
          </cell>
          <cell r="I2401" t="str">
            <v>Legh Road</v>
          </cell>
          <cell r="L2401" t="str">
            <v>Salford</v>
          </cell>
          <cell r="M2401" t="str">
            <v>Greater Manchester</v>
          </cell>
          <cell r="N2401" t="str">
            <v>M7 4RT</v>
          </cell>
          <cell r="O2401" t="str">
            <v>admin@bjps.net</v>
          </cell>
          <cell r="P2401">
            <v>40899</v>
          </cell>
        </row>
        <row r="2402">
          <cell r="A2402">
            <v>9165411</v>
          </cell>
          <cell r="B2402">
            <v>115762</v>
          </cell>
          <cell r="C2402">
            <v>916</v>
          </cell>
          <cell r="D2402" t="str">
            <v>Gloucestershire</v>
          </cell>
          <cell r="E2402">
            <v>5411</v>
          </cell>
          <cell r="F2402" t="str">
            <v>Kate Bosher</v>
          </cell>
          <cell r="G2402" t="str">
            <v>Newent Community School and Sixth Form Centre</v>
          </cell>
          <cell r="H2402" t="str">
            <v>South West</v>
          </cell>
          <cell r="I2402" t="str">
            <v>Watery Lane</v>
          </cell>
          <cell r="L2402" t="str">
            <v>Newent</v>
          </cell>
          <cell r="M2402" t="str">
            <v>Gloucestershire</v>
          </cell>
          <cell r="N2402" t="str">
            <v>GL18 1QF</v>
          </cell>
          <cell r="O2402" t="str">
            <v>jsteele@newent.gloucs.sch.uk</v>
          </cell>
          <cell r="P2402">
            <v>40987</v>
          </cell>
        </row>
        <row r="2403">
          <cell r="A2403">
            <v>3832313</v>
          </cell>
          <cell r="B2403">
            <v>107833</v>
          </cell>
          <cell r="C2403">
            <v>383</v>
          </cell>
          <cell r="D2403" t="str">
            <v>Leeds</v>
          </cell>
          <cell r="E2403">
            <v>2313</v>
          </cell>
          <cell r="G2403" t="str">
            <v>Rothwell Haigh Road School</v>
          </cell>
          <cell r="H2403" t="str">
            <v>Yorkshire and the Humber</v>
          </cell>
          <cell r="I2403" t="str">
            <v>Haigh Road</v>
          </cell>
          <cell r="J2403" t="str">
            <v>Rothwell</v>
          </cell>
          <cell r="L2403" t="str">
            <v>Leeds</v>
          </cell>
          <cell r="M2403" t="str">
            <v>West Yorkshire</v>
          </cell>
          <cell r="N2403" t="str">
            <v>LS26 0NQ</v>
          </cell>
          <cell r="O2403" t="str">
            <v>boultos02@leedslearning.net</v>
          </cell>
        </row>
        <row r="2404">
          <cell r="A2404">
            <v>8102901</v>
          </cell>
          <cell r="B2404">
            <v>117928</v>
          </cell>
          <cell r="C2404">
            <v>810</v>
          </cell>
          <cell r="D2404" t="str">
            <v>Kingston upon Hull City of</v>
          </cell>
          <cell r="E2404">
            <v>2901</v>
          </cell>
          <cell r="F2404" t="str">
            <v>Jayne Turner</v>
          </cell>
          <cell r="G2404" t="str">
            <v>Collingwood Primary School</v>
          </cell>
          <cell r="H2404" t="str">
            <v>Yorkshire and the Humber</v>
          </cell>
          <cell r="I2404" t="str">
            <v>Collingwood Street</v>
          </cell>
          <cell r="L2404" t="str">
            <v>Hull</v>
          </cell>
          <cell r="N2404" t="str">
            <v>HU3 1AW</v>
          </cell>
          <cell r="O2404" t="str">
            <v>head@collingwood.hull.sch.uk</v>
          </cell>
        </row>
        <row r="2405">
          <cell r="A2405">
            <v>2042872</v>
          </cell>
          <cell r="B2405">
            <v>100260</v>
          </cell>
          <cell r="C2405">
            <v>204</v>
          </cell>
          <cell r="D2405" t="str">
            <v>Hackney</v>
          </cell>
          <cell r="E2405">
            <v>2872</v>
          </cell>
          <cell r="F2405" t="str">
            <v>Bola Bakrin</v>
          </cell>
          <cell r="G2405" t="str">
            <v>Benthal Primary School</v>
          </cell>
          <cell r="H2405" t="str">
            <v>London</v>
          </cell>
          <cell r="I2405" t="str">
            <v>Benthal Road</v>
          </cell>
          <cell r="L2405" t="str">
            <v>London</v>
          </cell>
          <cell r="N2405" t="str">
            <v>N16 7AU</v>
          </cell>
          <cell r="O2405" t="str">
            <v>tim@benthal.hackney.sch.uk</v>
          </cell>
        </row>
        <row r="2406">
          <cell r="A2406">
            <v>8504315</v>
          </cell>
          <cell r="B2406">
            <v>116472</v>
          </cell>
          <cell r="C2406">
            <v>850</v>
          </cell>
          <cell r="D2406" t="str">
            <v>Hampshire</v>
          </cell>
          <cell r="E2406">
            <v>4315</v>
          </cell>
          <cell r="F2406" t="str">
            <v>Gabriela Grimley</v>
          </cell>
          <cell r="G2406" t="str">
            <v>Brune Park Community College</v>
          </cell>
          <cell r="H2406" t="str">
            <v>South East</v>
          </cell>
          <cell r="I2406" t="str">
            <v>Military Road</v>
          </cell>
          <cell r="L2406" t="str">
            <v>Gosport</v>
          </cell>
          <cell r="M2406" t="str">
            <v>Hampshire</v>
          </cell>
          <cell r="N2406" t="str">
            <v>PO12 3BU</v>
          </cell>
          <cell r="O2406" t="str">
            <v>ijohnson@brunepark.co.uk</v>
          </cell>
        </row>
        <row r="2407">
          <cell r="A2407">
            <v>9332312</v>
          </cell>
          <cell r="B2407">
            <v>123725</v>
          </cell>
          <cell r="C2407">
            <v>933</v>
          </cell>
          <cell r="D2407" t="str">
            <v>Somerset</v>
          </cell>
          <cell r="E2407">
            <v>2312</v>
          </cell>
          <cell r="F2407" t="str">
            <v>Lilian Da Cunha</v>
          </cell>
          <cell r="G2407" t="str">
            <v>Pen Mill Infants' School</v>
          </cell>
          <cell r="H2407" t="str">
            <v>South West</v>
          </cell>
          <cell r="I2407" t="str">
            <v>St Michael's Avenue</v>
          </cell>
          <cell r="L2407" t="str">
            <v>Yeovil</v>
          </cell>
          <cell r="M2407" t="str">
            <v>Somerset</v>
          </cell>
          <cell r="N2407" t="str">
            <v>BA21 4LD</v>
          </cell>
          <cell r="O2407" t="str">
            <v>MHouse2@educ.somerset.gov.uk</v>
          </cell>
          <cell r="P2407">
            <v>41037</v>
          </cell>
        </row>
        <row r="2408">
          <cell r="A2408">
            <v>8503415</v>
          </cell>
          <cell r="B2408">
            <v>116380</v>
          </cell>
          <cell r="C2408">
            <v>850</v>
          </cell>
          <cell r="D2408" t="str">
            <v>Hampshire</v>
          </cell>
          <cell r="E2408">
            <v>3415</v>
          </cell>
          <cell r="F2408" t="str">
            <v>Amanda Barrett</v>
          </cell>
          <cell r="G2408" t="str">
            <v>St. Bede's Catholic Primary</v>
          </cell>
          <cell r="H2408" t="str">
            <v>South East</v>
          </cell>
          <cell r="I2408" t="str">
            <v>Popley Way</v>
          </cell>
          <cell r="L2408" t="str">
            <v>Basingstoke</v>
          </cell>
          <cell r="M2408" t="str">
            <v>Hampshire</v>
          </cell>
          <cell r="N2408" t="str">
            <v>RG24 9DX</v>
          </cell>
          <cell r="O2408" t="str">
            <v>tony.murray@st-bedes.hants.sch.uk</v>
          </cell>
        </row>
        <row r="2409">
          <cell r="A2409">
            <v>8735401</v>
          </cell>
          <cell r="B2409">
            <v>110895</v>
          </cell>
          <cell r="C2409">
            <v>873</v>
          </cell>
          <cell r="D2409" t="str">
            <v>Cambridgeshire</v>
          </cell>
          <cell r="E2409">
            <v>5401</v>
          </cell>
          <cell r="F2409" t="str">
            <v>Vivienne Brown</v>
          </cell>
          <cell r="G2409" t="str">
            <v>Bassingbourn Village College</v>
          </cell>
          <cell r="H2409" t="str">
            <v>East of England</v>
          </cell>
          <cell r="I2409" t="str">
            <v>South End</v>
          </cell>
          <cell r="J2409" t="str">
            <v>Bassingbourn</v>
          </cell>
          <cell r="L2409" t="str">
            <v>Royston</v>
          </cell>
          <cell r="M2409" t="str">
            <v>Hertfordshire</v>
          </cell>
          <cell r="N2409" t="str">
            <v>SG8 5NJ</v>
          </cell>
          <cell r="O2409" t="str">
            <v>shudson@bassingbournvillagecollege.com</v>
          </cell>
          <cell r="P2409">
            <v>40667</v>
          </cell>
        </row>
        <row r="2410">
          <cell r="A2410">
            <v>3834104</v>
          </cell>
          <cell r="B2410">
            <v>108081</v>
          </cell>
          <cell r="C2410">
            <v>383</v>
          </cell>
          <cell r="D2410" t="str">
            <v>Leeds</v>
          </cell>
          <cell r="E2410">
            <v>4104</v>
          </cell>
          <cell r="G2410" t="str">
            <v>Royds School Specialist Language College</v>
          </cell>
          <cell r="H2410" t="str">
            <v>Yorkshire and the Humber</v>
          </cell>
          <cell r="I2410" t="str">
            <v>Pennington Lane</v>
          </cell>
          <cell r="J2410" t="str">
            <v>Oulton</v>
          </cell>
          <cell r="L2410" t="str">
            <v>Leeds</v>
          </cell>
          <cell r="M2410" t="str">
            <v>West Yorkshire</v>
          </cell>
          <cell r="N2410" t="str">
            <v>LS26 8EX</v>
          </cell>
          <cell r="O2410" t="str">
            <v>youngb05@leedslearning.net</v>
          </cell>
        </row>
        <row r="2411">
          <cell r="A2411">
            <v>9334274</v>
          </cell>
          <cell r="B2411">
            <v>123870</v>
          </cell>
          <cell r="C2411">
            <v>933</v>
          </cell>
          <cell r="D2411" t="str">
            <v>Somerset</v>
          </cell>
          <cell r="E2411">
            <v>4274</v>
          </cell>
          <cell r="F2411" t="str">
            <v>Vivienne Brown</v>
          </cell>
          <cell r="G2411" t="str">
            <v>Holyrood Community School</v>
          </cell>
          <cell r="H2411" t="str">
            <v>South West</v>
          </cell>
          <cell r="I2411" t="str">
            <v>Zembard Lane</v>
          </cell>
          <cell r="L2411" t="str">
            <v>Chard</v>
          </cell>
          <cell r="M2411" t="str">
            <v>Somerset</v>
          </cell>
          <cell r="N2411" t="str">
            <v>TA20 1JL</v>
          </cell>
          <cell r="O2411" t="str">
            <v>mhicks@educ.somerset.gov.uk</v>
          </cell>
          <cell r="P2411">
            <v>40345</v>
          </cell>
        </row>
        <row r="2412">
          <cell r="A2412">
            <v>3174604</v>
          </cell>
          <cell r="B2412">
            <v>102861</v>
          </cell>
          <cell r="C2412">
            <v>317</v>
          </cell>
          <cell r="D2412" t="str">
            <v>Redbridge</v>
          </cell>
          <cell r="E2412">
            <v>4604</v>
          </cell>
          <cell r="F2412" t="str">
            <v>Kiran Teli</v>
          </cell>
          <cell r="G2412" t="str">
            <v>King Solomon High School</v>
          </cell>
          <cell r="H2412" t="str">
            <v>London</v>
          </cell>
          <cell r="I2412" t="str">
            <v>Forest Road</v>
          </cell>
          <cell r="J2412" t="str">
            <v>Barkingside</v>
          </cell>
          <cell r="L2412" t="str">
            <v>Ilford</v>
          </cell>
          <cell r="M2412" t="str">
            <v>Essex</v>
          </cell>
          <cell r="N2412" t="str">
            <v>IG6 3HB</v>
          </cell>
          <cell r="P2412">
            <v>41050</v>
          </cell>
        </row>
        <row r="2413">
          <cell r="A2413">
            <v>8923311</v>
          </cell>
          <cell r="B2413">
            <v>122776</v>
          </cell>
          <cell r="C2413">
            <v>892</v>
          </cell>
          <cell r="D2413" t="str">
            <v>Nottingham</v>
          </cell>
          <cell r="E2413">
            <v>3311</v>
          </cell>
          <cell r="F2413" t="str">
            <v>Grant Dyson</v>
          </cell>
          <cell r="G2413" t="str">
            <v>Sneinton St Stephen's CofE Primary School</v>
          </cell>
          <cell r="H2413" t="str">
            <v>East Midlands</v>
          </cell>
          <cell r="I2413" t="str">
            <v>Windmill Lane</v>
          </cell>
          <cell r="J2413" t="str">
            <v>Sneinton</v>
          </cell>
          <cell r="L2413" t="str">
            <v>Nottingham</v>
          </cell>
          <cell r="M2413" t="str">
            <v>Nottinghamshire</v>
          </cell>
          <cell r="N2413" t="str">
            <v>NG2 4QB</v>
          </cell>
          <cell r="O2413" t="str">
            <v>headteacher@sneinton.nottingham.sch.uk</v>
          </cell>
          <cell r="P2413">
            <v>40627</v>
          </cell>
        </row>
        <row r="2414">
          <cell r="A2414">
            <v>9082410</v>
          </cell>
          <cell r="B2414">
            <v>111887</v>
          </cell>
          <cell r="C2414">
            <v>908</v>
          </cell>
          <cell r="D2414" t="str">
            <v>Cornwall</v>
          </cell>
          <cell r="E2414">
            <v>2410</v>
          </cell>
          <cell r="F2414" t="str">
            <v>Kate Bosher</v>
          </cell>
          <cell r="G2414" t="str">
            <v>Roche Community Primary School</v>
          </cell>
          <cell r="H2414" t="str">
            <v>South West</v>
          </cell>
          <cell r="I2414" t="str">
            <v>Fore Street</v>
          </cell>
          <cell r="J2414" t="str">
            <v>Roche</v>
          </cell>
          <cell r="L2414" t="str">
            <v>St Austell</v>
          </cell>
          <cell r="M2414" t="str">
            <v>Cornwall</v>
          </cell>
          <cell r="N2414" t="str">
            <v>PL26 8EP</v>
          </cell>
          <cell r="O2414" t="str">
            <v>head@roche.cornwall.sch.uk</v>
          </cell>
        </row>
        <row r="2415">
          <cell r="A2415">
            <v>9255205</v>
          </cell>
          <cell r="B2415">
            <v>120672</v>
          </cell>
          <cell r="C2415">
            <v>925</v>
          </cell>
          <cell r="D2415" t="str">
            <v>Lincolnshire</v>
          </cell>
          <cell r="E2415">
            <v>5205</v>
          </cell>
          <cell r="F2415" t="str">
            <v>Grant Dyson</v>
          </cell>
          <cell r="G2415" t="str">
            <v>Malcolm Sargent Primary School</v>
          </cell>
          <cell r="H2415" t="str">
            <v>East Midlands</v>
          </cell>
          <cell r="I2415" t="str">
            <v>Empingham Road</v>
          </cell>
          <cell r="L2415" t="str">
            <v>Stamford</v>
          </cell>
          <cell r="M2415" t="str">
            <v>Lincolnshire</v>
          </cell>
          <cell r="N2415" t="str">
            <v>PE9 2SR</v>
          </cell>
          <cell r="O2415" t="str">
            <v>tristan.revell@malcolmsargent.lincs.sch.uk</v>
          </cell>
          <cell r="P2415">
            <v>40655</v>
          </cell>
        </row>
        <row r="2416">
          <cell r="A2416">
            <v>3153304</v>
          </cell>
          <cell r="B2416">
            <v>102666</v>
          </cell>
          <cell r="C2416">
            <v>315</v>
          </cell>
          <cell r="D2416" t="str">
            <v>Merton</v>
          </cell>
          <cell r="E2416">
            <v>3304</v>
          </cell>
          <cell r="F2416" t="str">
            <v>Khalid Arshad</v>
          </cell>
          <cell r="G2416" t="str">
            <v>Bishop Gilpin CofE Primary School</v>
          </cell>
          <cell r="H2416" t="str">
            <v>London</v>
          </cell>
          <cell r="I2416" t="str">
            <v>Lake Road</v>
          </cell>
          <cell r="J2416" t="str">
            <v>Wimbledon</v>
          </cell>
          <cell r="L2416" t="str">
            <v>London</v>
          </cell>
          <cell r="N2416" t="str">
            <v>SW19 7EP</v>
          </cell>
          <cell r="O2416" t="str">
            <v>nandjmartin@yahoo.co.uk</v>
          </cell>
        </row>
        <row r="2417">
          <cell r="A2417">
            <v>8253320</v>
          </cell>
          <cell r="B2417">
            <v>110455</v>
          </cell>
          <cell r="C2417">
            <v>825</v>
          </cell>
          <cell r="D2417" t="str">
            <v>Buckinghamshire</v>
          </cell>
          <cell r="E2417">
            <v>3320</v>
          </cell>
          <cell r="F2417" t="str">
            <v>Darren Francis</v>
          </cell>
          <cell r="G2417" t="str">
            <v>St Mary's CofE Primary School, Amersham</v>
          </cell>
          <cell r="H2417" t="str">
            <v>South East</v>
          </cell>
          <cell r="I2417" t="str">
            <v>School Lane</v>
          </cell>
          <cell r="L2417" t="str">
            <v>Amersham</v>
          </cell>
          <cell r="M2417" t="str">
            <v>Buckinghamshire</v>
          </cell>
          <cell r="N2417" t="str">
            <v>HP7 0EL</v>
          </cell>
          <cell r="O2417" t="str">
            <v>office@stmarysce.bucks.sch.uk</v>
          </cell>
        </row>
        <row r="2418">
          <cell r="A2418">
            <v>3533359</v>
          </cell>
          <cell r="B2418">
            <v>105719</v>
          </cell>
          <cell r="C2418">
            <v>353</v>
          </cell>
          <cell r="D2418" t="str">
            <v>Oldham</v>
          </cell>
          <cell r="E2418">
            <v>3359</v>
          </cell>
          <cell r="F2418" t="str">
            <v>Linda Tiley</v>
          </cell>
          <cell r="G2418" t="str">
            <v>St Joseph's RC Junior Infant and Nursery School</v>
          </cell>
          <cell r="H2418" t="str">
            <v>North West</v>
          </cell>
          <cell r="I2418" t="str">
            <v>Oldham Road</v>
          </cell>
          <cell r="J2418" t="str">
            <v>Shaw</v>
          </cell>
          <cell r="L2418" t="str">
            <v>Oldham</v>
          </cell>
          <cell r="M2418" t="str">
            <v>Lancashire</v>
          </cell>
          <cell r="N2418" t="str">
            <v>OL2 8SZ</v>
          </cell>
          <cell r="O2418" t="str">
            <v>head@st-josephs.oldham.sch.uk</v>
          </cell>
        </row>
        <row r="2419">
          <cell r="A2419">
            <v>9082133</v>
          </cell>
          <cell r="B2419">
            <v>111831</v>
          </cell>
          <cell r="C2419">
            <v>908</v>
          </cell>
          <cell r="D2419" t="str">
            <v>Cornwall</v>
          </cell>
          <cell r="E2419">
            <v>2133</v>
          </cell>
          <cell r="F2419" t="str">
            <v>Tahamina Khan</v>
          </cell>
          <cell r="G2419" t="str">
            <v>Parc Eglos School</v>
          </cell>
          <cell r="H2419" t="str">
            <v>South West</v>
          </cell>
          <cell r="I2419" t="str">
            <v>Church Hill</v>
          </cell>
          <cell r="J2419" t="str">
            <v>Parc Eglos</v>
          </cell>
          <cell r="L2419" t="str">
            <v>Helston</v>
          </cell>
          <cell r="M2419" t="str">
            <v>Cornwall</v>
          </cell>
          <cell r="N2419" t="str">
            <v>TR13 8UP</v>
          </cell>
          <cell r="O2419" t="str">
            <v>bdye@parc-eglos.cornwall.sch.uk</v>
          </cell>
        </row>
        <row r="2420">
          <cell r="A2420">
            <v>8867070</v>
          </cell>
          <cell r="B2420">
            <v>132148</v>
          </cell>
          <cell r="C2420">
            <v>886</v>
          </cell>
          <cell r="D2420" t="str">
            <v>Kent</v>
          </cell>
          <cell r="E2420">
            <v>7070</v>
          </cell>
          <cell r="F2420" t="str">
            <v>Nicky Edwards</v>
          </cell>
          <cell r="G2420" t="str">
            <v>Oakley Special School</v>
          </cell>
          <cell r="H2420" t="str">
            <v>South East</v>
          </cell>
          <cell r="I2420" t="str">
            <v>Pembury Road</v>
          </cell>
          <cell r="L2420" t="str">
            <v>Tunbridge Wells</v>
          </cell>
          <cell r="M2420" t="str">
            <v>Kent</v>
          </cell>
          <cell r="N2420" t="str">
            <v>TN2 4NE</v>
          </cell>
          <cell r="O2420" t="str">
            <v>principal@oakley.kent.sch.uk</v>
          </cell>
        </row>
        <row r="2421">
          <cell r="A2421">
            <v>3052024</v>
          </cell>
          <cell r="B2421">
            <v>101602</v>
          </cell>
          <cell r="C2421">
            <v>305</v>
          </cell>
          <cell r="D2421" t="str">
            <v>Bromley</v>
          </cell>
          <cell r="E2421">
            <v>2024</v>
          </cell>
          <cell r="F2421" t="str">
            <v>Sheila Longstaff</v>
          </cell>
          <cell r="G2421" t="str">
            <v>Valley Primary School</v>
          </cell>
          <cell r="H2421" t="str">
            <v>London</v>
          </cell>
          <cell r="I2421" t="str">
            <v>Beckenham Lane</v>
          </cell>
          <cell r="L2421" t="str">
            <v>Bromley</v>
          </cell>
          <cell r="M2421" t="str">
            <v>Kent</v>
          </cell>
          <cell r="N2421" t="str">
            <v>BR2 0DA</v>
          </cell>
          <cell r="O2421" t="str">
            <v>susan.head@valley.bromley.sch.uk</v>
          </cell>
          <cell r="P2421">
            <v>40640</v>
          </cell>
        </row>
        <row r="2422">
          <cell r="A2422">
            <v>3114026</v>
          </cell>
          <cell r="B2422">
            <v>102344</v>
          </cell>
          <cell r="C2422">
            <v>311</v>
          </cell>
          <cell r="D2422" t="str">
            <v>Havering</v>
          </cell>
          <cell r="E2422">
            <v>4026</v>
          </cell>
          <cell r="F2422" t="str">
            <v>Helen Fisher</v>
          </cell>
          <cell r="G2422" t="str">
            <v>Gaynes School Language College</v>
          </cell>
          <cell r="H2422" t="str">
            <v>London</v>
          </cell>
          <cell r="I2422" t="str">
            <v>Brackendale Gardens</v>
          </cell>
          <cell r="L2422" t="str">
            <v>Upminster</v>
          </cell>
          <cell r="M2422" t="str">
            <v>Essex</v>
          </cell>
          <cell r="N2422" t="str">
            <v>RM14 3UX</v>
          </cell>
        </row>
        <row r="2423">
          <cell r="A2423">
            <v>8655412</v>
          </cell>
          <cell r="B2423">
            <v>126507</v>
          </cell>
          <cell r="C2423">
            <v>865</v>
          </cell>
          <cell r="D2423" t="str">
            <v>Wiltshire</v>
          </cell>
          <cell r="E2423">
            <v>5412</v>
          </cell>
          <cell r="F2423" t="str">
            <v>Ali Bushell</v>
          </cell>
          <cell r="G2423" t="str">
            <v>South Wilts Grammar School for girls</v>
          </cell>
          <cell r="H2423" t="str">
            <v>South West</v>
          </cell>
          <cell r="I2423" t="str">
            <v>Stratford Road</v>
          </cell>
          <cell r="L2423" t="str">
            <v>Salisbury</v>
          </cell>
          <cell r="M2423" t="str">
            <v>Wiltshire</v>
          </cell>
          <cell r="N2423" t="str">
            <v>SP1 3JJ</v>
          </cell>
          <cell r="O2423" t="str">
            <v>fms@swgs.wilts.sch.uk</v>
          </cell>
          <cell r="P2423">
            <v>40435</v>
          </cell>
        </row>
        <row r="2424">
          <cell r="A2424">
            <v>8354020</v>
          </cell>
          <cell r="B2424">
            <v>113853</v>
          </cell>
          <cell r="C2424">
            <v>835</v>
          </cell>
          <cell r="D2424" t="str">
            <v>Dorset</v>
          </cell>
          <cell r="E2424">
            <v>4020</v>
          </cell>
          <cell r="F2424" t="str">
            <v>Tahamina Khan</v>
          </cell>
          <cell r="G2424" t="str">
            <v>Cranborne Middle School</v>
          </cell>
          <cell r="H2424" t="str">
            <v>South West</v>
          </cell>
          <cell r="I2424" t="str">
            <v>Cranborne</v>
          </cell>
          <cell r="L2424" t="str">
            <v>Wimborne</v>
          </cell>
          <cell r="M2424" t="str">
            <v>Dorset</v>
          </cell>
          <cell r="N2424" t="str">
            <v>BH21 5RP</v>
          </cell>
          <cell r="O2424" t="str">
            <v>cwatson@cranbornemid.dorset.sch.uk</v>
          </cell>
        </row>
        <row r="2425">
          <cell r="A2425">
            <v>8264704</v>
          </cell>
          <cell r="B2425">
            <v>134631</v>
          </cell>
          <cell r="C2425">
            <v>826</v>
          </cell>
          <cell r="D2425" t="str">
            <v>Milton Keynes</v>
          </cell>
          <cell r="E2425">
            <v>4704</v>
          </cell>
          <cell r="F2425" t="str">
            <v>Sarah Nairne</v>
          </cell>
          <cell r="G2425" t="str">
            <v>The Hazeley School</v>
          </cell>
          <cell r="H2425" t="str">
            <v>South East</v>
          </cell>
          <cell r="I2425" t="str">
            <v>Emperor Drive</v>
          </cell>
          <cell r="J2425" t="str">
            <v>Hazeley</v>
          </cell>
          <cell r="L2425" t="str">
            <v>Milton Keynes</v>
          </cell>
          <cell r="M2425" t="str">
            <v>Buckinghamshire</v>
          </cell>
          <cell r="N2425" t="str">
            <v>MK8 0PT</v>
          </cell>
          <cell r="O2425" t="str">
            <v>mbennison@hazeley.milton-keynes.sch.uk</v>
          </cell>
          <cell r="P2425">
            <v>40552</v>
          </cell>
        </row>
        <row r="2426">
          <cell r="A2426">
            <v>9382188</v>
          </cell>
          <cell r="B2426">
            <v>125924</v>
          </cell>
          <cell r="C2426">
            <v>938</v>
          </cell>
          <cell r="D2426" t="str">
            <v>West Sussex</v>
          </cell>
          <cell r="E2426">
            <v>2188</v>
          </cell>
          <cell r="F2426" t="str">
            <v>Sarah Mitchell</v>
          </cell>
          <cell r="G2426" t="str">
            <v>Downview Primary School</v>
          </cell>
          <cell r="H2426" t="str">
            <v>South East</v>
          </cell>
          <cell r="I2426" t="str">
            <v>Wroxham Way</v>
          </cell>
          <cell r="J2426" t="str">
            <v>Felpham</v>
          </cell>
          <cell r="L2426" t="str">
            <v>Bognor Regis</v>
          </cell>
          <cell r="M2426" t="str">
            <v>West Sussex</v>
          </cell>
          <cell r="N2426" t="str">
            <v>PO22 8ER</v>
          </cell>
          <cell r="O2426" t="str">
            <v>head@downview.w-sussex.sch.uk</v>
          </cell>
        </row>
        <row r="2427">
          <cell r="A2427">
            <v>3034000</v>
          </cell>
          <cell r="B2427">
            <v>101462</v>
          </cell>
          <cell r="C2427">
            <v>303</v>
          </cell>
          <cell r="D2427" t="str">
            <v>Bexley</v>
          </cell>
          <cell r="E2427">
            <v>4000</v>
          </cell>
          <cell r="F2427" t="str">
            <v>Ed Schuldt</v>
          </cell>
          <cell r="G2427" t="str">
            <v>Bexley Grammar School</v>
          </cell>
          <cell r="H2427" t="str">
            <v>London</v>
          </cell>
          <cell r="I2427" t="str">
            <v>Danson Lane</v>
          </cell>
          <cell r="L2427" t="str">
            <v>Welling</v>
          </cell>
          <cell r="M2427" t="str">
            <v>Kent</v>
          </cell>
          <cell r="N2427" t="str">
            <v>DA16 2BL</v>
          </cell>
          <cell r="O2427" t="str">
            <v>welsh_j@bexleygs.co.uk</v>
          </cell>
          <cell r="P2427">
            <v>40373</v>
          </cell>
        </row>
        <row r="2428">
          <cell r="A2428">
            <v>8362173</v>
          </cell>
          <cell r="B2428">
            <v>113702</v>
          </cell>
          <cell r="C2428">
            <v>836</v>
          </cell>
          <cell r="D2428" t="str">
            <v>Poole</v>
          </cell>
          <cell r="E2428">
            <v>2173</v>
          </cell>
          <cell r="F2428" t="str">
            <v>Theresa Oddelm</v>
          </cell>
          <cell r="G2428" t="str">
            <v>Springdale First School</v>
          </cell>
          <cell r="H2428" t="str">
            <v>South West</v>
          </cell>
          <cell r="I2428" t="str">
            <v>Springdale Road</v>
          </cell>
          <cell r="L2428" t="str">
            <v>Broadstone</v>
          </cell>
          <cell r="M2428" t="str">
            <v>Dorset</v>
          </cell>
          <cell r="N2428" t="str">
            <v>BH18 9BW</v>
          </cell>
          <cell r="O2428" t="str">
            <v>r.leach@poole.gov.uk</v>
          </cell>
        </row>
        <row r="2429">
          <cell r="A2429">
            <v>8745417</v>
          </cell>
          <cell r="B2429">
            <v>110875</v>
          </cell>
          <cell r="C2429">
            <v>874</v>
          </cell>
          <cell r="D2429" t="str">
            <v>Peterborough</v>
          </cell>
          <cell r="E2429">
            <v>5417</v>
          </cell>
          <cell r="F2429" t="str">
            <v>Mark Wheeler</v>
          </cell>
          <cell r="G2429" t="str">
            <v>Arthur Mellows Village College</v>
          </cell>
          <cell r="H2429" t="str">
            <v>East of England</v>
          </cell>
          <cell r="I2429" t="str">
            <v>Helpston Road</v>
          </cell>
          <cell r="J2429" t="str">
            <v>Glinton</v>
          </cell>
          <cell r="L2429" t="str">
            <v>Peterborough</v>
          </cell>
          <cell r="M2429" t="str">
            <v>Cambridgeshire</v>
          </cell>
          <cell r="N2429" t="str">
            <v>PE6 7JX</v>
          </cell>
          <cell r="O2429" t="str">
            <v>m.sandeman@arthurmellows.peterborough.sch.uk</v>
          </cell>
          <cell r="P2429">
            <v>40353</v>
          </cell>
        </row>
        <row r="2430">
          <cell r="A2430">
            <v>8514289</v>
          </cell>
          <cell r="B2430">
            <v>116460</v>
          </cell>
          <cell r="C2430">
            <v>851</v>
          </cell>
          <cell r="D2430" t="str">
            <v>Portsmouth</v>
          </cell>
          <cell r="E2430">
            <v>4289</v>
          </cell>
          <cell r="F2430" t="str">
            <v>Eric Mcewen</v>
          </cell>
          <cell r="G2430" t="str">
            <v>City of Portsmouth Girls' School</v>
          </cell>
          <cell r="H2430" t="str">
            <v>South East</v>
          </cell>
          <cell r="I2430" t="str">
            <v>St Mary's Road</v>
          </cell>
          <cell r="L2430" t="str">
            <v>Portsmouth</v>
          </cell>
          <cell r="M2430" t="str">
            <v>Hampshire</v>
          </cell>
          <cell r="N2430" t="str">
            <v>PO1 5PF</v>
          </cell>
          <cell r="O2430" t="str">
            <v>swatt@cpgs.co.uk</v>
          </cell>
        </row>
        <row r="2431">
          <cell r="A2431">
            <v>9097006</v>
          </cell>
          <cell r="B2431">
            <v>112465</v>
          </cell>
          <cell r="C2431">
            <v>909</v>
          </cell>
          <cell r="D2431" t="str">
            <v>Cumbria</v>
          </cell>
          <cell r="E2431">
            <v>7006</v>
          </cell>
          <cell r="F2431" t="str">
            <v>Linda Tiley</v>
          </cell>
          <cell r="G2431" t="str">
            <v>Sandgate School</v>
          </cell>
          <cell r="H2431" t="str">
            <v>North West</v>
          </cell>
          <cell r="I2431" t="str">
            <v>Sandylands Road</v>
          </cell>
          <cell r="L2431" t="str">
            <v>Kendal</v>
          </cell>
          <cell r="M2431" t="str">
            <v>Cumbria</v>
          </cell>
          <cell r="N2431" t="str">
            <v>LA9 6JG</v>
          </cell>
          <cell r="O2431" t="str">
            <v>joycefletcher@sandgate.cumbria.sch.uk</v>
          </cell>
        </row>
        <row r="2432">
          <cell r="A2432">
            <v>8232180</v>
          </cell>
          <cell r="B2432">
            <v>109511</v>
          </cell>
          <cell r="C2432">
            <v>823</v>
          </cell>
          <cell r="D2432" t="str">
            <v>Central Bedfordshire</v>
          </cell>
          <cell r="E2432">
            <v>2180</v>
          </cell>
          <cell r="F2432" t="str">
            <v>Claire Ivie</v>
          </cell>
          <cell r="G2432" t="str">
            <v>Harlington Lower School</v>
          </cell>
          <cell r="H2432" t="str">
            <v>East of England</v>
          </cell>
          <cell r="I2432" t="str">
            <v>Westoning Road</v>
          </cell>
          <cell r="J2432" t="str">
            <v>Harlington</v>
          </cell>
          <cell r="L2432" t="str">
            <v>Dunstable</v>
          </cell>
          <cell r="M2432" t="str">
            <v>Bedfordshire</v>
          </cell>
          <cell r="N2432" t="str">
            <v>LU5 6PD</v>
          </cell>
          <cell r="O2432" t="str">
            <v>shelveyd@harlington.cbeds.co.uk</v>
          </cell>
          <cell r="P2432">
            <v>40987</v>
          </cell>
        </row>
        <row r="2433">
          <cell r="A2433">
            <v>3107004</v>
          </cell>
          <cell r="B2433">
            <v>102262</v>
          </cell>
          <cell r="C2433">
            <v>310</v>
          </cell>
          <cell r="D2433" t="str">
            <v>Harrow</v>
          </cell>
          <cell r="E2433">
            <v>7004</v>
          </cell>
          <cell r="F2433" t="str">
            <v>Martin Rowley</v>
          </cell>
          <cell r="G2433" t="str">
            <v>Alexandra School</v>
          </cell>
          <cell r="H2433" t="str">
            <v>London</v>
          </cell>
          <cell r="I2433" t="str">
            <v>Alexandra Avenue</v>
          </cell>
          <cell r="J2433" t="str">
            <v>South Harrow</v>
          </cell>
          <cell r="L2433" t="str">
            <v>Harrow</v>
          </cell>
          <cell r="N2433" t="str">
            <v>HA2 9DX</v>
          </cell>
          <cell r="O2433" t="str">
            <v>headteacher@alexandra-school.co.uk</v>
          </cell>
        </row>
        <row r="2434">
          <cell r="A2434">
            <v>3734230</v>
          </cell>
          <cell r="B2434">
            <v>107129</v>
          </cell>
          <cell r="C2434">
            <v>373</v>
          </cell>
          <cell r="D2434" t="str">
            <v>Sheffield</v>
          </cell>
          <cell r="E2434">
            <v>4230</v>
          </cell>
          <cell r="F2434" t="str">
            <v>Claire Ryan</v>
          </cell>
          <cell r="G2434" t="str">
            <v>King Ecgbert School</v>
          </cell>
          <cell r="H2434" t="str">
            <v>Yorkshire and the Humber</v>
          </cell>
          <cell r="I2434" t="str">
            <v>Totley Brook Road</v>
          </cell>
          <cell r="L2434" t="str">
            <v>Sheffield</v>
          </cell>
          <cell r="M2434" t="str">
            <v>South Yorkshire</v>
          </cell>
          <cell r="N2434" t="str">
            <v>S17 3QU</v>
          </cell>
          <cell r="O2434" t="str">
            <v>lbw@ecgbert.sheffield.sch.uk</v>
          </cell>
          <cell r="P2434">
            <v>40932</v>
          </cell>
        </row>
        <row r="2435">
          <cell r="A2435">
            <v>3844031</v>
          </cell>
          <cell r="B2435">
            <v>108283</v>
          </cell>
          <cell r="C2435">
            <v>384</v>
          </cell>
          <cell r="D2435" t="str">
            <v>Wakefield</v>
          </cell>
          <cell r="E2435">
            <v>4031</v>
          </cell>
          <cell r="F2435" t="str">
            <v>Lisa Sargeant</v>
          </cell>
          <cell r="G2435" t="str">
            <v>Knottingley High School and Sports College</v>
          </cell>
          <cell r="H2435" t="str">
            <v>Yorkshire and the Humber</v>
          </cell>
          <cell r="I2435" t="str">
            <v>Middle Lane</v>
          </cell>
          <cell r="L2435" t="str">
            <v>Knottingley</v>
          </cell>
          <cell r="M2435" t="str">
            <v>West Yorkshire</v>
          </cell>
          <cell r="N2435" t="str">
            <v>WF11 0BZ</v>
          </cell>
          <cell r="O2435" t="str">
            <v>churtonliz@gmail.com</v>
          </cell>
          <cell r="P2435">
            <v>40826</v>
          </cell>
        </row>
        <row r="2436">
          <cell r="A2436">
            <v>9192293</v>
          </cell>
          <cell r="B2436">
            <v>117256</v>
          </cell>
          <cell r="C2436">
            <v>919</v>
          </cell>
          <cell r="D2436" t="str">
            <v>Hertfordshire</v>
          </cell>
          <cell r="E2436">
            <v>2293</v>
          </cell>
          <cell r="G2436" t="str">
            <v>Pixies Hill Primary School</v>
          </cell>
          <cell r="H2436" t="str">
            <v>East of England</v>
          </cell>
          <cell r="I2436" t="str">
            <v>Hazeldell Road</v>
          </cell>
          <cell r="L2436" t="str">
            <v>Hemel Hempstead</v>
          </cell>
          <cell r="M2436" t="str">
            <v>Hertfordshire</v>
          </cell>
          <cell r="N2436" t="str">
            <v>HP1 2BY</v>
          </cell>
          <cell r="O2436" t="str">
            <v>head@pixieshill.herts.sch.uk</v>
          </cell>
        </row>
        <row r="2437">
          <cell r="A2437">
            <v>3552036</v>
          </cell>
          <cell r="B2437">
            <v>105893</v>
          </cell>
          <cell r="C2437">
            <v>355</v>
          </cell>
          <cell r="D2437" t="str">
            <v>Salford</v>
          </cell>
          <cell r="E2437">
            <v>2036</v>
          </cell>
          <cell r="F2437" t="str">
            <v>Jane McCusker</v>
          </cell>
          <cell r="G2437" t="str">
            <v>Brentnall Primary School</v>
          </cell>
          <cell r="H2437" t="str">
            <v>North West</v>
          </cell>
          <cell r="I2437" t="str">
            <v>Northumberland Street</v>
          </cell>
          <cell r="J2437" t="str">
            <v>Higher Broughton</v>
          </cell>
          <cell r="L2437" t="str">
            <v>Salford</v>
          </cell>
          <cell r="M2437" t="str">
            <v>Greater Manchester</v>
          </cell>
          <cell r="N2437" t="str">
            <v>M7 4RP</v>
          </cell>
          <cell r="O2437" t="str">
            <v>stephen.lawler-smith@salford.gov.uk</v>
          </cell>
        </row>
        <row r="2438">
          <cell r="A2438">
            <v>9162126</v>
          </cell>
          <cell r="B2438">
            <v>115567</v>
          </cell>
          <cell r="C2438">
            <v>916</v>
          </cell>
          <cell r="D2438" t="str">
            <v>Gloucestershire</v>
          </cell>
          <cell r="E2438">
            <v>2126</v>
          </cell>
          <cell r="F2438" t="str">
            <v>Ali Bushell</v>
          </cell>
          <cell r="G2438" t="str">
            <v>Offa's Mead Primary School</v>
          </cell>
          <cell r="H2438" t="str">
            <v>South West</v>
          </cell>
          <cell r="I2438" t="str">
            <v>Beachley Road</v>
          </cell>
          <cell r="J2438" t="str">
            <v>Sedbury</v>
          </cell>
          <cell r="L2438" t="str">
            <v>Chepstow</v>
          </cell>
          <cell r="M2438" t="str">
            <v>Gloucestershire</v>
          </cell>
          <cell r="N2438" t="str">
            <v>NP16 7DT</v>
          </cell>
          <cell r="O2438" t="str">
            <v>admin@offasmead.gloucs.sch.uk</v>
          </cell>
        </row>
        <row r="2439">
          <cell r="A2439">
            <v>8715209</v>
          </cell>
          <cell r="B2439">
            <v>109934</v>
          </cell>
          <cell r="C2439">
            <v>871</v>
          </cell>
          <cell r="D2439" t="str">
            <v>Slough</v>
          </cell>
          <cell r="E2439">
            <v>5209</v>
          </cell>
          <cell r="F2439" t="str">
            <v>Maryam Jabbari</v>
          </cell>
          <cell r="G2439" t="str">
            <v>Ryvers Primary School</v>
          </cell>
          <cell r="H2439" t="str">
            <v>South East</v>
          </cell>
          <cell r="I2439" t="str">
            <v>Trelawney Avenue</v>
          </cell>
          <cell r="J2439" t="str">
            <v>Langley</v>
          </cell>
          <cell r="L2439" t="str">
            <v>Slough</v>
          </cell>
          <cell r="M2439" t="str">
            <v>Berkshire</v>
          </cell>
          <cell r="N2439" t="str">
            <v>SL3 7TS</v>
          </cell>
          <cell r="O2439" t="str">
            <v>cdulon@ryvers.slough.sch.uk</v>
          </cell>
          <cell r="P2439">
            <v>40890</v>
          </cell>
        </row>
        <row r="2440">
          <cell r="A2440">
            <v>9094810</v>
          </cell>
          <cell r="B2440">
            <v>112401</v>
          </cell>
          <cell r="C2440">
            <v>909</v>
          </cell>
          <cell r="D2440" t="str">
            <v>Cumbria</v>
          </cell>
          <cell r="E2440">
            <v>4810</v>
          </cell>
          <cell r="G2440" t="str">
            <v>St Joseph's Catholic High School, Business and Enterprise College</v>
          </cell>
          <cell r="H2440" t="str">
            <v>North West</v>
          </cell>
          <cell r="I2440" t="str">
            <v>Harrington Road</v>
          </cell>
          <cell r="L2440" t="str">
            <v>Workington</v>
          </cell>
          <cell r="M2440" t="str">
            <v>Cumbria</v>
          </cell>
          <cell r="N2440" t="str">
            <v>CA14 3EE</v>
          </cell>
          <cell r="O2440" t="str">
            <v>head@st-josephs.cumbria.sch.uk</v>
          </cell>
        </row>
        <row r="2441">
          <cell r="A2441">
            <v>3812009</v>
          </cell>
          <cell r="B2441">
            <v>107482</v>
          </cell>
          <cell r="C2441">
            <v>381</v>
          </cell>
          <cell r="D2441" t="str">
            <v>Calderdale</v>
          </cell>
          <cell r="E2441">
            <v>2009</v>
          </cell>
          <cell r="F2441" t="str">
            <v>Adriarna Goodinson</v>
          </cell>
          <cell r="G2441" t="str">
            <v>Savile Park Primary School</v>
          </cell>
          <cell r="H2441" t="str">
            <v>Yorkshire and the Humber</v>
          </cell>
          <cell r="I2441" t="str">
            <v>Moorfield Street</v>
          </cell>
          <cell r="L2441" t="str">
            <v>Halifax</v>
          </cell>
          <cell r="M2441" t="str">
            <v>West Yorkshire</v>
          </cell>
          <cell r="N2441" t="str">
            <v>HX1 3ER</v>
          </cell>
          <cell r="O2441" t="str">
            <v>head@savilepark.calderdale.sch.uk</v>
          </cell>
        </row>
        <row r="2442">
          <cell r="A2442">
            <v>9095411</v>
          </cell>
          <cell r="B2442">
            <v>112438</v>
          </cell>
          <cell r="C2442">
            <v>909</v>
          </cell>
          <cell r="D2442" t="str">
            <v>Cumbria</v>
          </cell>
          <cell r="E2442">
            <v>5411</v>
          </cell>
          <cell r="F2442" t="str">
            <v>Steve Bibby</v>
          </cell>
          <cell r="G2442" t="str">
            <v>Queen Elizabeth School</v>
          </cell>
          <cell r="H2442" t="str">
            <v>North West</v>
          </cell>
          <cell r="I2442" t="str">
            <v>Kirkby Lonsdale</v>
          </cell>
          <cell r="L2442" t="str">
            <v>Carnforth</v>
          </cell>
          <cell r="M2442" t="str">
            <v>Lancashire</v>
          </cell>
          <cell r="N2442" t="str">
            <v>LA6 2HJ</v>
          </cell>
          <cell r="O2442" t="str">
            <v>c.clarke@queenelizabeth.cumbria.sch.uk</v>
          </cell>
          <cell r="P2442">
            <v>40444</v>
          </cell>
        </row>
        <row r="2443">
          <cell r="A2443">
            <v>3844009</v>
          </cell>
          <cell r="B2443">
            <v>108272</v>
          </cell>
          <cell r="C2443">
            <v>384</v>
          </cell>
          <cell r="D2443" t="str">
            <v>Wakefield</v>
          </cell>
          <cell r="E2443">
            <v>4009</v>
          </cell>
          <cell r="F2443" t="str">
            <v>Sheila Milnes</v>
          </cell>
          <cell r="G2443" t="str">
            <v>Wakefield City High School</v>
          </cell>
          <cell r="H2443" t="str">
            <v>Yorkshire and the Humber</v>
          </cell>
          <cell r="I2443" t="str">
            <v>Warmfield View</v>
          </cell>
          <cell r="L2443" t="str">
            <v>Wakefield</v>
          </cell>
          <cell r="M2443" t="str">
            <v>West Yorkshire</v>
          </cell>
          <cell r="N2443" t="str">
            <v>WF1 4SF</v>
          </cell>
          <cell r="O2443" t="str">
            <v>headteacher@cityhigh.wakefield.sch.uk</v>
          </cell>
          <cell r="P2443">
            <v>40354</v>
          </cell>
        </row>
        <row r="2444">
          <cell r="A2444">
            <v>9194145</v>
          </cell>
          <cell r="B2444">
            <v>117542</v>
          </cell>
          <cell r="C2444">
            <v>919</v>
          </cell>
          <cell r="D2444" t="str">
            <v>Hertfordshire</v>
          </cell>
          <cell r="E2444">
            <v>4145</v>
          </cell>
          <cell r="F2444" t="str">
            <v>Beverley Samuel</v>
          </cell>
          <cell r="G2444" t="str">
            <v>The Greneway School</v>
          </cell>
          <cell r="H2444" t="str">
            <v>East of England</v>
          </cell>
          <cell r="I2444" t="str">
            <v>Garden Walk</v>
          </cell>
          <cell r="L2444" t="str">
            <v>Royston</v>
          </cell>
          <cell r="M2444" t="str">
            <v>Hertfordshire</v>
          </cell>
          <cell r="N2444" t="str">
            <v>SG8 7JF</v>
          </cell>
          <cell r="O2444" t="str">
            <v>head@greneway.herts.sch.uk</v>
          </cell>
          <cell r="P2444">
            <v>40592</v>
          </cell>
        </row>
        <row r="2445">
          <cell r="A2445">
            <v>3404613</v>
          </cell>
          <cell r="B2445">
            <v>135477</v>
          </cell>
          <cell r="C2445">
            <v>340</v>
          </cell>
          <cell r="D2445" t="str">
            <v>Knowsley</v>
          </cell>
          <cell r="E2445">
            <v>4613</v>
          </cell>
          <cell r="F2445" t="str">
            <v>Maria Sabberton</v>
          </cell>
          <cell r="G2445" t="str">
            <v>Knowsley Park Centre for Learning</v>
          </cell>
          <cell r="H2445" t="str">
            <v>North West</v>
          </cell>
          <cell r="I2445" t="str">
            <v>Knowsley Park Lane</v>
          </cell>
          <cell r="J2445" t="str">
            <v>Prescot</v>
          </cell>
          <cell r="L2445" t="str">
            <v>Liverpool</v>
          </cell>
          <cell r="M2445" t="str">
            <v>Merseyside</v>
          </cell>
          <cell r="N2445" t="str">
            <v>L34 3NB</v>
          </cell>
          <cell r="O2445" t="str">
            <v>jwalker6@klear.org.uk</v>
          </cell>
        </row>
        <row r="2446">
          <cell r="A2446">
            <v>9294000</v>
          </cell>
          <cell r="B2446">
            <v>122314</v>
          </cell>
          <cell r="C2446">
            <v>929</v>
          </cell>
          <cell r="D2446" t="str">
            <v>Northumberland</v>
          </cell>
          <cell r="E2446">
            <v>4000</v>
          </cell>
          <cell r="F2446" t="str">
            <v>Bev Mullin</v>
          </cell>
          <cell r="G2446" t="str">
            <v>Morpeth Chantry Middle School</v>
          </cell>
          <cell r="H2446" t="str">
            <v>North East</v>
          </cell>
          <cell r="I2446" t="str">
            <v>Mitford Road</v>
          </cell>
          <cell r="L2446" t="str">
            <v>Morpeth</v>
          </cell>
          <cell r="M2446" t="str">
            <v>Northumberland</v>
          </cell>
          <cell r="N2446" t="str">
            <v>NE61 1RQ</v>
          </cell>
          <cell r="O2446" t="str">
            <v>simon.taylor@northumberland.gov.uk</v>
          </cell>
          <cell r="P2446">
            <v>40746</v>
          </cell>
        </row>
        <row r="2447">
          <cell r="A2447">
            <v>9193054</v>
          </cell>
          <cell r="B2447">
            <v>117416</v>
          </cell>
          <cell r="C2447">
            <v>919</v>
          </cell>
          <cell r="D2447" t="str">
            <v>Hertfordshire</v>
          </cell>
          <cell r="E2447">
            <v>3054</v>
          </cell>
          <cell r="G2447" t="str">
            <v>Leverstock Green CE Primary School</v>
          </cell>
          <cell r="H2447" t="str">
            <v>East of England</v>
          </cell>
          <cell r="I2447" t="str">
            <v>Green Lane</v>
          </cell>
          <cell r="J2447" t="str">
            <v>Leverstock Green</v>
          </cell>
          <cell r="L2447" t="str">
            <v>Hemel Hempstead</v>
          </cell>
          <cell r="M2447" t="str">
            <v>Hertfordshire</v>
          </cell>
          <cell r="N2447" t="str">
            <v>HP2 4SA</v>
          </cell>
          <cell r="O2447" t="str">
            <v>head@leverstockgreen.herts.sch.uk</v>
          </cell>
        </row>
        <row r="2448">
          <cell r="A2448">
            <v>8865455</v>
          </cell>
          <cell r="B2448">
            <v>118927</v>
          </cell>
          <cell r="C2448">
            <v>886</v>
          </cell>
          <cell r="D2448" t="str">
            <v>Kent</v>
          </cell>
          <cell r="E2448">
            <v>5455</v>
          </cell>
          <cell r="F2448" t="str">
            <v>Nicky Edwards</v>
          </cell>
          <cell r="G2448" t="str">
            <v>The Hayesbrook School</v>
          </cell>
          <cell r="H2448" t="str">
            <v>South East</v>
          </cell>
          <cell r="I2448" t="str">
            <v>Brook Street</v>
          </cell>
          <cell r="L2448" t="str">
            <v>Tonbridge</v>
          </cell>
          <cell r="M2448" t="str">
            <v>Kent</v>
          </cell>
          <cell r="N2448" t="str">
            <v>TN9 2PH</v>
          </cell>
          <cell r="O2448" t="str">
            <v>coslett@hayesbrook.kent.sch.uk</v>
          </cell>
          <cell r="P2448">
            <v>40353</v>
          </cell>
        </row>
        <row r="2449">
          <cell r="A2449">
            <v>8815432</v>
          </cell>
          <cell r="B2449">
            <v>115348</v>
          </cell>
          <cell r="C2449">
            <v>881</v>
          </cell>
          <cell r="D2449" t="str">
            <v>Essex</v>
          </cell>
          <cell r="E2449">
            <v>5432</v>
          </cell>
          <cell r="F2449" t="str">
            <v>Claire Ivie</v>
          </cell>
          <cell r="G2449" t="str">
            <v>Tendring Technology College</v>
          </cell>
          <cell r="H2449" t="str">
            <v>East of England</v>
          </cell>
          <cell r="I2449" t="str">
            <v>Rochford Way</v>
          </cell>
          <cell r="L2449" t="str">
            <v>Frinton-on-Sea</v>
          </cell>
          <cell r="M2449" t="str">
            <v>Essex</v>
          </cell>
          <cell r="N2449" t="str">
            <v>CO13 0AZ</v>
          </cell>
          <cell r="O2449" t="str">
            <v>stcha@ttc.lpplus.net</v>
          </cell>
          <cell r="P2449">
            <v>40651</v>
          </cell>
        </row>
        <row r="2450">
          <cell r="A2450">
            <v>9354033</v>
          </cell>
          <cell r="B2450">
            <v>124809</v>
          </cell>
          <cell r="C2450">
            <v>935</v>
          </cell>
          <cell r="D2450" t="str">
            <v>Suffolk</v>
          </cell>
          <cell r="E2450">
            <v>4033</v>
          </cell>
          <cell r="F2450" t="str">
            <v>Beverley Samuel</v>
          </cell>
          <cell r="G2450" t="str">
            <v>Mildenhall College of Technology</v>
          </cell>
          <cell r="H2450" t="str">
            <v>East of England</v>
          </cell>
          <cell r="I2450" t="str">
            <v>Bury Road</v>
          </cell>
          <cell r="J2450" t="str">
            <v>Mildenhall</v>
          </cell>
          <cell r="L2450" t="str">
            <v>Bury St Edmunds</v>
          </cell>
          <cell r="M2450" t="str">
            <v>Suffolk</v>
          </cell>
          <cell r="N2450" t="str">
            <v>IP28 7HT</v>
          </cell>
          <cell r="O2450" t="str">
            <v>susan.byles@mct.suffolk.sch.uk</v>
          </cell>
          <cell r="P2450">
            <v>41222</v>
          </cell>
        </row>
        <row r="2451">
          <cell r="A2451">
            <v>8502125</v>
          </cell>
          <cell r="B2451">
            <v>115924</v>
          </cell>
          <cell r="C2451">
            <v>850</v>
          </cell>
          <cell r="D2451" t="str">
            <v>Hampshire</v>
          </cell>
          <cell r="E2451">
            <v>2125</v>
          </cell>
          <cell r="F2451" t="str">
            <v>Gabriela Grimley</v>
          </cell>
          <cell r="G2451" t="str">
            <v>Langrish Primary School</v>
          </cell>
          <cell r="H2451" t="str">
            <v>South East</v>
          </cell>
          <cell r="I2451" t="str">
            <v>Ramsdean Road</v>
          </cell>
          <cell r="J2451" t="str">
            <v>Stroud</v>
          </cell>
          <cell r="L2451" t="str">
            <v>Petersfield</v>
          </cell>
          <cell r="M2451" t="str">
            <v>Hampshire</v>
          </cell>
          <cell r="N2451" t="str">
            <v>GU32 3PJ</v>
          </cell>
          <cell r="O2451" t="str">
            <v>claire.hanson@langrish.hants.sch.uk</v>
          </cell>
        </row>
        <row r="2452">
          <cell r="A2452">
            <v>9352036</v>
          </cell>
          <cell r="B2452">
            <v>124554</v>
          </cell>
          <cell r="C2452">
            <v>935</v>
          </cell>
          <cell r="D2452" t="str">
            <v>Suffolk</v>
          </cell>
          <cell r="E2452">
            <v>2036</v>
          </cell>
          <cell r="F2452" t="str">
            <v>Stella Aina</v>
          </cell>
          <cell r="G2452" t="str">
            <v>Place Farm Community Primary School</v>
          </cell>
          <cell r="H2452" t="str">
            <v>East of England</v>
          </cell>
          <cell r="I2452" t="str">
            <v>Camps Road</v>
          </cell>
          <cell r="L2452" t="str">
            <v>Haverhill</v>
          </cell>
          <cell r="M2452" t="str">
            <v>Suffolk</v>
          </cell>
          <cell r="N2452" t="str">
            <v>CB9 8HF</v>
          </cell>
          <cell r="O2452" t="str">
            <v>DReed@castlepartnership.org.uk</v>
          </cell>
          <cell r="P2452">
            <v>40590</v>
          </cell>
        </row>
        <row r="2453">
          <cell r="A2453">
            <v>8815444</v>
          </cell>
          <cell r="B2453">
            <v>115360</v>
          </cell>
          <cell r="C2453">
            <v>881</v>
          </cell>
          <cell r="D2453" t="str">
            <v>Essex</v>
          </cell>
          <cell r="E2453">
            <v>5444</v>
          </cell>
          <cell r="F2453" t="str">
            <v>Claire Ivie</v>
          </cell>
          <cell r="G2453" t="str">
            <v>Clacton County High School</v>
          </cell>
          <cell r="H2453" t="str">
            <v>East of England</v>
          </cell>
          <cell r="I2453" t="str">
            <v>Walton Road</v>
          </cell>
          <cell r="L2453" t="str">
            <v>Clacton-on-Sea</v>
          </cell>
          <cell r="M2453" t="str">
            <v>Essex</v>
          </cell>
          <cell r="N2453" t="str">
            <v>CO15 6DZ</v>
          </cell>
          <cell r="O2453" t="str">
            <v>admin@countyhigh.org.uk</v>
          </cell>
          <cell r="P2453">
            <v>40864</v>
          </cell>
        </row>
        <row r="2454">
          <cell r="A2454">
            <v>8954220</v>
          </cell>
          <cell r="B2454">
            <v>111439</v>
          </cell>
          <cell r="C2454">
            <v>895</v>
          </cell>
          <cell r="D2454" t="str">
            <v>Cheshire East</v>
          </cell>
          <cell r="E2454">
            <v>4220</v>
          </cell>
          <cell r="F2454" t="str">
            <v>Kris Nursiah</v>
          </cell>
          <cell r="G2454" t="str">
            <v>Brine Leas High School</v>
          </cell>
          <cell r="H2454" t="str">
            <v>North West</v>
          </cell>
          <cell r="I2454" t="str">
            <v>Audlem Road</v>
          </cell>
          <cell r="L2454" t="str">
            <v>Nantwich</v>
          </cell>
          <cell r="M2454" t="str">
            <v>Cheshire</v>
          </cell>
          <cell r="N2454" t="str">
            <v>CW5 7DY</v>
          </cell>
          <cell r="O2454" t="str">
            <v>acliffe@brineleas.co.uk</v>
          </cell>
          <cell r="P2454">
            <v>40352</v>
          </cell>
        </row>
        <row r="2455">
          <cell r="A2455">
            <v>3843332</v>
          </cell>
          <cell r="B2455">
            <v>108264</v>
          </cell>
          <cell r="C2455">
            <v>384</v>
          </cell>
          <cell r="D2455" t="str">
            <v>Wakefield</v>
          </cell>
          <cell r="E2455">
            <v>3332</v>
          </cell>
          <cell r="F2455" t="str">
            <v>Tony Bretherick</v>
          </cell>
          <cell r="G2455" t="str">
            <v>St Ignatius Catholic Primary School</v>
          </cell>
          <cell r="H2455" t="str">
            <v>Yorkshire and the Humber</v>
          </cell>
          <cell r="I2455" t="str">
            <v>Storrs Hill Road</v>
          </cell>
          <cell r="L2455" t="str">
            <v>Ossett</v>
          </cell>
          <cell r="M2455" t="str">
            <v>West Yorkshire</v>
          </cell>
          <cell r="N2455" t="str">
            <v>WF5 0DQ</v>
          </cell>
          <cell r="O2455" t="str">
            <v>bmartin@st-ignatius.wakefield.sch.uk</v>
          </cell>
          <cell r="P2455">
            <v>41017</v>
          </cell>
        </row>
        <row r="2456">
          <cell r="A2456">
            <v>8784014</v>
          </cell>
          <cell r="B2456">
            <v>113505</v>
          </cell>
          <cell r="C2456">
            <v>878</v>
          </cell>
          <cell r="D2456" t="str">
            <v>Devon</v>
          </cell>
          <cell r="E2456">
            <v>4014</v>
          </cell>
          <cell r="F2456" t="str">
            <v>Kate Bosher</v>
          </cell>
          <cell r="G2456" t="str">
            <v>West Exe Technology College</v>
          </cell>
          <cell r="H2456" t="str">
            <v>South West</v>
          </cell>
          <cell r="I2456" t="str">
            <v>Hatherleigh Road</v>
          </cell>
          <cell r="L2456" t="str">
            <v>Exeter</v>
          </cell>
          <cell r="M2456" t="str">
            <v>Devon</v>
          </cell>
          <cell r="N2456" t="str">
            <v>EX2 9JU</v>
          </cell>
          <cell r="O2456" t="str">
            <v>smaddern@westexetc.devon.sch.uk</v>
          </cell>
          <cell r="P2456">
            <v>40527</v>
          </cell>
        </row>
        <row r="2457">
          <cell r="A2457">
            <v>9194000</v>
          </cell>
          <cell r="B2457">
            <v>117499</v>
          </cell>
          <cell r="C2457">
            <v>919</v>
          </cell>
          <cell r="D2457" t="str">
            <v>Hertfordshire</v>
          </cell>
          <cell r="E2457">
            <v>4000</v>
          </cell>
          <cell r="F2457" t="str">
            <v>Claire Ivie</v>
          </cell>
          <cell r="G2457" t="str">
            <v>The Priory School</v>
          </cell>
          <cell r="H2457" t="str">
            <v>East of England</v>
          </cell>
          <cell r="I2457" t="str">
            <v>Bedford Road</v>
          </cell>
          <cell r="L2457" t="str">
            <v>Hitchin</v>
          </cell>
          <cell r="M2457" t="str">
            <v>Hertfordshire</v>
          </cell>
          <cell r="N2457" t="str">
            <v>SG5 2UR</v>
          </cell>
          <cell r="P2457">
            <v>40949</v>
          </cell>
        </row>
        <row r="2458">
          <cell r="A2458">
            <v>3914485</v>
          </cell>
          <cell r="B2458">
            <v>108528</v>
          </cell>
          <cell r="C2458">
            <v>391</v>
          </cell>
          <cell r="D2458" t="str">
            <v>Newcastle upon Tyne</v>
          </cell>
          <cell r="E2458">
            <v>4485</v>
          </cell>
          <cell r="F2458" t="str">
            <v>John Edmunds</v>
          </cell>
          <cell r="G2458" t="str">
            <v>Kenton School</v>
          </cell>
          <cell r="H2458" t="str">
            <v>North East</v>
          </cell>
          <cell r="I2458" t="str">
            <v>Drayton Road</v>
          </cell>
          <cell r="L2458" t="str">
            <v>Newcastle-upon-Tyne</v>
          </cell>
          <cell r="M2458" t="str">
            <v>Tyne and Wear</v>
          </cell>
          <cell r="N2458" t="str">
            <v>NE3 3RU</v>
          </cell>
          <cell r="O2458" t="str">
            <v>david.pearmain@kenton.newcastle.sch.uk</v>
          </cell>
          <cell r="P2458">
            <v>40822</v>
          </cell>
        </row>
        <row r="2459">
          <cell r="A2459">
            <v>9362949</v>
          </cell>
          <cell r="B2459">
            <v>125125</v>
          </cell>
          <cell r="C2459">
            <v>936</v>
          </cell>
          <cell r="D2459" t="str">
            <v>Surrey</v>
          </cell>
          <cell r="E2459">
            <v>2949</v>
          </cell>
          <cell r="F2459" t="str">
            <v>Gabriela Grimley</v>
          </cell>
          <cell r="G2459" t="str">
            <v>Chandlers Field School</v>
          </cell>
          <cell r="H2459" t="str">
            <v>South East</v>
          </cell>
          <cell r="I2459" t="str">
            <v>High Street</v>
          </cell>
          <cell r="L2459" t="str">
            <v>West Molesey</v>
          </cell>
          <cell r="M2459" t="str">
            <v>Surrey</v>
          </cell>
          <cell r="N2459" t="str">
            <v>KT8 2LX</v>
          </cell>
          <cell r="O2459" t="str">
            <v>cindylou.turnertaylor@chandlers-field.surrey.sch.uk</v>
          </cell>
        </row>
        <row r="2460">
          <cell r="A2460">
            <v>3055403</v>
          </cell>
          <cell r="B2460">
            <v>101669</v>
          </cell>
          <cell r="C2460">
            <v>305</v>
          </cell>
          <cell r="D2460" t="str">
            <v>Bromley</v>
          </cell>
          <cell r="E2460">
            <v>5403</v>
          </cell>
          <cell r="F2460" t="str">
            <v>Sheila Longstaff</v>
          </cell>
          <cell r="G2460" t="str">
            <v>Ravens Wood School</v>
          </cell>
          <cell r="H2460" t="str">
            <v>London</v>
          </cell>
          <cell r="I2460" t="str">
            <v>Oakley Road</v>
          </cell>
          <cell r="L2460" t="str">
            <v>Bromley</v>
          </cell>
          <cell r="M2460" t="str">
            <v>Kent</v>
          </cell>
          <cell r="N2460" t="str">
            <v>BR2 8HP</v>
          </cell>
          <cell r="O2460" t="str">
            <v>gtb@rws.uk.net</v>
          </cell>
        </row>
        <row r="2461">
          <cell r="A2461">
            <v>9252122</v>
          </cell>
          <cell r="B2461">
            <v>120428</v>
          </cell>
          <cell r="C2461">
            <v>925</v>
          </cell>
          <cell r="D2461" t="str">
            <v>Lincolnshire</v>
          </cell>
          <cell r="E2461">
            <v>2122</v>
          </cell>
          <cell r="F2461" t="str">
            <v>Pauline Cole</v>
          </cell>
          <cell r="G2461" t="str">
            <v>Bracebridge Infant and Nursery School</v>
          </cell>
          <cell r="H2461" t="str">
            <v>East Midlands</v>
          </cell>
          <cell r="I2461" t="str">
            <v>Francis Street</v>
          </cell>
          <cell r="J2461" t="str">
            <v>Bracebridge</v>
          </cell>
          <cell r="L2461" t="str">
            <v>Lincoln</v>
          </cell>
          <cell r="M2461" t="str">
            <v>Lincolnshire</v>
          </cell>
          <cell r="N2461" t="str">
            <v>LN5 8QG</v>
          </cell>
          <cell r="O2461" t="str">
            <v>enquiries@bracebridge.lincs.sch.uk</v>
          </cell>
          <cell r="P2461">
            <v>41129</v>
          </cell>
        </row>
        <row r="2462">
          <cell r="A2462">
            <v>8885400</v>
          </cell>
          <cell r="B2462">
            <v>119809</v>
          </cell>
          <cell r="C2462">
            <v>888</v>
          </cell>
          <cell r="D2462" t="str">
            <v>Lancashire</v>
          </cell>
          <cell r="E2462">
            <v>5400</v>
          </cell>
          <cell r="F2462" t="str">
            <v>Viv Clutton</v>
          </cell>
          <cell r="G2462" t="str">
            <v>Bacup and Rawtenstall Grammar School</v>
          </cell>
          <cell r="H2462" t="str">
            <v>North West</v>
          </cell>
          <cell r="I2462" t="str">
            <v>Glen Road</v>
          </cell>
          <cell r="J2462" t="str">
            <v>Waterfoot</v>
          </cell>
          <cell r="L2462" t="str">
            <v>Rossendale</v>
          </cell>
          <cell r="M2462" t="str">
            <v>Lancashire</v>
          </cell>
          <cell r="N2462" t="str">
            <v>BB4 7BJ</v>
          </cell>
          <cell r="O2462" t="str">
            <v>abp@brgs.org.uk</v>
          </cell>
        </row>
        <row r="2463">
          <cell r="A2463">
            <v>9082443</v>
          </cell>
          <cell r="B2463">
            <v>111900</v>
          </cell>
          <cell r="C2463">
            <v>908</v>
          </cell>
          <cell r="D2463" t="str">
            <v>Cornwall</v>
          </cell>
          <cell r="E2463">
            <v>2443</v>
          </cell>
          <cell r="F2463" t="str">
            <v>Simon Foster</v>
          </cell>
          <cell r="G2463" t="str">
            <v>Whitemoor Community Primary School</v>
          </cell>
          <cell r="H2463" t="str">
            <v>South West</v>
          </cell>
          <cell r="I2463" t="str">
            <v>Whitemoor</v>
          </cell>
          <cell r="L2463" t="str">
            <v>St Austell</v>
          </cell>
          <cell r="M2463" t="str">
            <v>Cornwall</v>
          </cell>
          <cell r="N2463" t="str">
            <v>PL26 7XQ</v>
          </cell>
          <cell r="O2463" t="str">
            <v xml:space="preserve"> head@whitemoor.cornwall.sch.uk</v>
          </cell>
          <cell r="P2463">
            <v>41033</v>
          </cell>
        </row>
        <row r="2464">
          <cell r="A2464">
            <v>8912916</v>
          </cell>
          <cell r="B2464">
            <v>122720</v>
          </cell>
          <cell r="C2464">
            <v>891</v>
          </cell>
          <cell r="D2464" t="str">
            <v>Nottinghamshire</v>
          </cell>
          <cell r="E2464">
            <v>2916</v>
          </cell>
          <cell r="G2464" t="str">
            <v>Arnold Mill Primary</v>
          </cell>
          <cell r="H2464" t="str">
            <v>East Midlands</v>
          </cell>
          <cell r="I2464" t="str">
            <v>Cross Street</v>
          </cell>
          <cell r="J2464" t="str">
            <v>Arnold</v>
          </cell>
          <cell r="L2464" t="str">
            <v>Nottingham</v>
          </cell>
          <cell r="M2464" t="str">
            <v>Nottinghamshire</v>
          </cell>
          <cell r="N2464" t="str">
            <v>NG5 7AX</v>
          </cell>
          <cell r="O2464" t="str">
            <v>head@arnoldmill.notts.sch.uk</v>
          </cell>
        </row>
        <row r="2465">
          <cell r="A2465">
            <v>8007036</v>
          </cell>
          <cell r="B2465">
            <v>135069</v>
          </cell>
          <cell r="C2465">
            <v>800</v>
          </cell>
          <cell r="D2465" t="str">
            <v>Bath and North East Somerset</v>
          </cell>
          <cell r="E2465">
            <v>7036</v>
          </cell>
          <cell r="F2465" t="str">
            <v>Sanjiv Jhalla</v>
          </cell>
          <cell r="G2465" t="str">
            <v>Three Ways School</v>
          </cell>
          <cell r="H2465" t="str">
            <v>South West</v>
          </cell>
          <cell r="I2465" t="str">
            <v>180 Frome Road</v>
          </cell>
          <cell r="L2465" t="str">
            <v>Bath</v>
          </cell>
          <cell r="N2465" t="str">
            <v>BA2 5RF</v>
          </cell>
          <cell r="O2465" t="str">
            <v>lorna_lumb@bathnes.gov.uk</v>
          </cell>
          <cell r="P2465">
            <v>41170</v>
          </cell>
        </row>
        <row r="2466">
          <cell r="A2466">
            <v>3307031</v>
          </cell>
          <cell r="B2466">
            <v>103612</v>
          </cell>
          <cell r="C2466">
            <v>330</v>
          </cell>
          <cell r="D2466" t="str">
            <v>Birmingham</v>
          </cell>
          <cell r="E2466">
            <v>7031</v>
          </cell>
          <cell r="F2466" t="str">
            <v>Tony Bretherick</v>
          </cell>
          <cell r="G2466" t="str">
            <v>Wilson Stuart School</v>
          </cell>
          <cell r="H2466" t="str">
            <v>West Midlands</v>
          </cell>
          <cell r="I2466" t="str">
            <v>Perry Common Road</v>
          </cell>
          <cell r="J2466" t="str">
            <v>Erdington</v>
          </cell>
          <cell r="L2466" t="str">
            <v>Birmingham</v>
          </cell>
          <cell r="M2466" t="str">
            <v>West Midlands</v>
          </cell>
          <cell r="N2466" t="str">
            <v>B23 7AT</v>
          </cell>
          <cell r="O2466" t="str">
            <v>steve@wilsonst.bham.sch.uk</v>
          </cell>
          <cell r="P2466">
            <v>40834</v>
          </cell>
        </row>
        <row r="2467">
          <cell r="A2467">
            <v>8252340</v>
          </cell>
          <cell r="B2467">
            <v>110397</v>
          </cell>
          <cell r="C2467">
            <v>825</v>
          </cell>
          <cell r="D2467" t="str">
            <v>Buckinghamshire</v>
          </cell>
          <cell r="E2467">
            <v>2340</v>
          </cell>
          <cell r="F2467" t="str">
            <v>Darren Francis</v>
          </cell>
          <cell r="G2467" t="str">
            <v>Bourton Meadow School</v>
          </cell>
          <cell r="H2467" t="str">
            <v>South East</v>
          </cell>
          <cell r="I2467" t="str">
            <v>Burleigh Piece</v>
          </cell>
          <cell r="J2467" t="str">
            <v>Linden Village</v>
          </cell>
          <cell r="L2467" t="str">
            <v>Buckingham</v>
          </cell>
          <cell r="M2467" t="str">
            <v>Buckinghamshire</v>
          </cell>
          <cell r="N2467" t="str">
            <v>MK18 7HX</v>
          </cell>
          <cell r="O2467" t="str">
            <v>head@bourtonmeadow.bucks.sch.uk</v>
          </cell>
          <cell r="P2467">
            <v>40807</v>
          </cell>
        </row>
        <row r="2468">
          <cell r="A2468">
            <v>8521100</v>
          </cell>
          <cell r="B2468">
            <v>133675</v>
          </cell>
          <cell r="C2468">
            <v>852</v>
          </cell>
          <cell r="D2468" t="str">
            <v>Southampton</v>
          </cell>
          <cell r="E2468">
            <v>1100</v>
          </cell>
          <cell r="F2468" t="str">
            <v>Eric Mcewen</v>
          </cell>
          <cell r="G2468" t="str">
            <v>Pass: Positive Alternatives for Southampton Students</v>
          </cell>
          <cell r="H2468" t="str">
            <v>South East</v>
          </cell>
          <cell r="I2468" t="str">
            <v>18 Melbourne Street</v>
          </cell>
          <cell r="J2468" t="str">
            <v>Chapel</v>
          </cell>
          <cell r="L2468" t="str">
            <v>Southampton</v>
          </cell>
          <cell r="M2468" t="str">
            <v>Hampshire</v>
          </cell>
          <cell r="N2468" t="str">
            <v>SO14 5FB</v>
          </cell>
          <cell r="O2468" t="str">
            <v>head@pass.southampton.sch.uk</v>
          </cell>
        </row>
        <row r="2469">
          <cell r="A2469">
            <v>8553062</v>
          </cell>
          <cell r="B2469">
            <v>120147</v>
          </cell>
          <cell r="C2469">
            <v>855</v>
          </cell>
          <cell r="D2469" t="str">
            <v>Leicestershire</v>
          </cell>
          <cell r="E2469">
            <v>3062</v>
          </cell>
          <cell r="F2469" t="str">
            <v>Stephen Standret</v>
          </cell>
          <cell r="G2469" t="str">
            <v>St Mary's (Melton Mowbray) Church of England Primary School</v>
          </cell>
          <cell r="H2469" t="str">
            <v>East Midlands</v>
          </cell>
          <cell r="I2469" t="str">
            <v>Brampton Road</v>
          </cell>
          <cell r="L2469" t="str">
            <v>Melton Mowbray</v>
          </cell>
          <cell r="M2469" t="str">
            <v>Leicestershire</v>
          </cell>
          <cell r="N2469" t="str">
            <v>LE13 0NA</v>
          </cell>
        </row>
        <row r="2470">
          <cell r="A2470">
            <v>8815411</v>
          </cell>
          <cell r="B2470">
            <v>115327</v>
          </cell>
          <cell r="C2470">
            <v>881</v>
          </cell>
          <cell r="D2470" t="str">
            <v>Essex</v>
          </cell>
          <cell r="E2470">
            <v>5411</v>
          </cell>
          <cell r="F2470" t="str">
            <v>Joe Farrell</v>
          </cell>
          <cell r="G2470" t="str">
            <v xml:space="preserve">King Edward VI Grammar School </v>
          </cell>
          <cell r="H2470" t="str">
            <v>East of England</v>
          </cell>
          <cell r="I2470" t="str">
            <v>Broomfield Road</v>
          </cell>
          <cell r="L2470" t="str">
            <v>Chelmsford</v>
          </cell>
          <cell r="M2470" t="str">
            <v>Essex</v>
          </cell>
          <cell r="N2470" t="str">
            <v>CM1 3SX</v>
          </cell>
          <cell r="O2470" t="str">
            <v>tsherrington@kegs.org.uk</v>
          </cell>
          <cell r="P2470">
            <v>40492</v>
          </cell>
        </row>
        <row r="2471">
          <cell r="A2471">
            <v>9253125</v>
          </cell>
          <cell r="B2471">
            <v>120573</v>
          </cell>
          <cell r="C2471">
            <v>925</v>
          </cell>
          <cell r="D2471" t="str">
            <v>Lincolnshire</v>
          </cell>
          <cell r="E2471">
            <v>3125</v>
          </cell>
          <cell r="F2471" t="str">
            <v>Not yet assigned</v>
          </cell>
          <cell r="G2471" t="str">
            <v>Halton Holegate CofE Primary School</v>
          </cell>
          <cell r="H2471" t="str">
            <v>East Midlands</v>
          </cell>
          <cell r="I2471" t="str">
            <v>Station Road</v>
          </cell>
          <cell r="J2471" t="str">
            <v>Halton Holegate</v>
          </cell>
          <cell r="L2471" t="str">
            <v>Spilsby</v>
          </cell>
          <cell r="M2471" t="str">
            <v>Lincolnshire</v>
          </cell>
          <cell r="N2471" t="str">
            <v>PE23 5PB</v>
          </cell>
          <cell r="O2471" t="str">
            <v>mandy.cherry@haltonholegate.lincs.sch.uk</v>
          </cell>
        </row>
        <row r="2472">
          <cell r="A2472">
            <v>8933077</v>
          </cell>
          <cell r="B2472">
            <v>123485</v>
          </cell>
          <cell r="C2472">
            <v>893</v>
          </cell>
          <cell r="D2472" t="str">
            <v>Shropshire</v>
          </cell>
          <cell r="E2472">
            <v>3077</v>
          </cell>
          <cell r="F2472" t="str">
            <v>Julia Waterhouse</v>
          </cell>
          <cell r="G2472" t="str">
            <v>Moreton Say C.E. (Controlled) Primary School</v>
          </cell>
          <cell r="H2472" t="str">
            <v>West Midlands</v>
          </cell>
          <cell r="I2472" t="str">
            <v>Moreton Say</v>
          </cell>
          <cell r="L2472" t="str">
            <v>Market Drayton</v>
          </cell>
          <cell r="M2472" t="str">
            <v>Shropshire</v>
          </cell>
          <cell r="N2472" t="str">
            <v>TF9 3RS</v>
          </cell>
          <cell r="O2472" t="str">
            <v>desmachin@tiscali.co.uk</v>
          </cell>
        </row>
        <row r="2473">
          <cell r="A2473">
            <v>8813592</v>
          </cell>
          <cell r="B2473">
            <v>115179</v>
          </cell>
          <cell r="C2473">
            <v>881</v>
          </cell>
          <cell r="D2473" t="str">
            <v>Essex</v>
          </cell>
          <cell r="E2473">
            <v>3592</v>
          </cell>
          <cell r="F2473" t="str">
            <v>Claire Ivie</v>
          </cell>
          <cell r="G2473" t="str">
            <v>St Thomas of Canterbury Church of England Aided Junior School, Brentwood</v>
          </cell>
          <cell r="H2473" t="str">
            <v>East of England</v>
          </cell>
          <cell r="I2473" t="str">
            <v>Sawyers Hall Lane</v>
          </cell>
          <cell r="L2473" t="str">
            <v>Brentwood</v>
          </cell>
          <cell r="M2473" t="str">
            <v>Essex</v>
          </cell>
          <cell r="N2473" t="str">
            <v>CM15 9BX</v>
          </cell>
          <cell r="O2473" t="str">
            <v>thehead-teacher@hotmail.co.uk</v>
          </cell>
        </row>
        <row r="2474">
          <cell r="A2474">
            <v>8815208</v>
          </cell>
          <cell r="B2474">
            <v>115248</v>
          </cell>
          <cell r="C2474">
            <v>881</v>
          </cell>
          <cell r="D2474" t="str">
            <v>Essex</v>
          </cell>
          <cell r="E2474">
            <v>5208</v>
          </cell>
          <cell r="F2474" t="str">
            <v>David Rudd</v>
          </cell>
          <cell r="G2474" t="str">
            <v>Rolph CofE Primary School</v>
          </cell>
          <cell r="H2474" t="str">
            <v>East of England</v>
          </cell>
          <cell r="I2474" t="str">
            <v>High Street</v>
          </cell>
          <cell r="J2474" t="str">
            <v>Thorpe-le-Soken</v>
          </cell>
          <cell r="L2474" t="str">
            <v>Clacton-on-Sea</v>
          </cell>
          <cell r="M2474" t="str">
            <v>Essex</v>
          </cell>
          <cell r="N2474" t="str">
            <v>CO16 0DY</v>
          </cell>
          <cell r="O2474" t="str">
            <v>john.crane@rolph.essex.sch.uk</v>
          </cell>
        </row>
        <row r="2475">
          <cell r="A2475">
            <v>2085207</v>
          </cell>
          <cell r="B2475">
            <v>100635</v>
          </cell>
          <cell r="C2475">
            <v>208</v>
          </cell>
          <cell r="D2475" t="str">
            <v>Lambeth</v>
          </cell>
          <cell r="E2475">
            <v>5207</v>
          </cell>
          <cell r="F2475" t="str">
            <v>Susan Shakespeare</v>
          </cell>
          <cell r="G2475" t="str">
            <v>Durand Primary School</v>
          </cell>
          <cell r="H2475" t="str">
            <v>London</v>
          </cell>
          <cell r="I2475" t="str">
            <v>Hackford Road</v>
          </cell>
          <cell r="J2475" t="str">
            <v>Stockwell</v>
          </cell>
          <cell r="L2475" t="str">
            <v>London</v>
          </cell>
          <cell r="N2475" t="str">
            <v>SW9 0RD</v>
          </cell>
          <cell r="P2475">
            <v>40339</v>
          </cell>
        </row>
        <row r="2476">
          <cell r="A2476">
            <v>8033439</v>
          </cell>
          <cell r="B2476">
            <v>134678</v>
          </cell>
          <cell r="C2476">
            <v>803</v>
          </cell>
          <cell r="D2476" t="str">
            <v>South Gloucestershire</v>
          </cell>
          <cell r="E2476">
            <v>3439</v>
          </cell>
          <cell r="F2476" t="str">
            <v>Theresa Oddelm</v>
          </cell>
          <cell r="G2476" t="str">
            <v>Stoke Lodge Primary School</v>
          </cell>
          <cell r="H2476" t="str">
            <v>South West</v>
          </cell>
          <cell r="I2476" t="str">
            <v>School Close</v>
          </cell>
          <cell r="J2476" t="str">
            <v>Bourton Avenue</v>
          </cell>
          <cell r="K2476" t="str">
            <v>Patchway</v>
          </cell>
          <cell r="L2476" t="str">
            <v>Bristol</v>
          </cell>
          <cell r="N2476" t="str">
            <v>BS34 6DW</v>
          </cell>
          <cell r="O2476" t="str">
            <v>richard.clark@southglos.gov.uk</v>
          </cell>
        </row>
        <row r="2477">
          <cell r="A2477">
            <v>8305210</v>
          </cell>
          <cell r="B2477">
            <v>112984</v>
          </cell>
          <cell r="C2477">
            <v>830</v>
          </cell>
          <cell r="D2477" t="str">
            <v>Derbyshire</v>
          </cell>
          <cell r="E2477">
            <v>5210</v>
          </cell>
          <cell r="F2477" t="str">
            <v>Tony Bretherick</v>
          </cell>
          <cell r="G2477" t="str">
            <v>Pennine Way Junior School</v>
          </cell>
          <cell r="H2477" t="str">
            <v>East Midlands</v>
          </cell>
          <cell r="I2477" t="str">
            <v>Pennine Way</v>
          </cell>
          <cell r="L2477" t="str">
            <v>Swadlincote</v>
          </cell>
          <cell r="M2477" t="str">
            <v>Derbyshire</v>
          </cell>
          <cell r="N2477" t="str">
            <v>DE11 9EY</v>
          </cell>
          <cell r="O2477" t="str">
            <v>headteacher@pennineway.derbyshire.sch.uk</v>
          </cell>
          <cell r="P2477">
            <v>40704</v>
          </cell>
        </row>
        <row r="2478">
          <cell r="A2478">
            <v>8132148</v>
          </cell>
          <cell r="B2478">
            <v>117761</v>
          </cell>
          <cell r="C2478">
            <v>813</v>
          </cell>
          <cell r="D2478" t="str">
            <v>North Lincolnshire</v>
          </cell>
          <cell r="E2478">
            <v>2148</v>
          </cell>
          <cell r="F2478" t="str">
            <v>Bev Annables</v>
          </cell>
          <cell r="G2478" t="str">
            <v>Grange Lane Junior School</v>
          </cell>
          <cell r="H2478" t="str">
            <v>Yorkshire and the Humber</v>
          </cell>
          <cell r="I2478" t="str">
            <v>Cornwall Road</v>
          </cell>
          <cell r="J2478" t="str">
            <v>Ashby</v>
          </cell>
          <cell r="L2478" t="str">
            <v>Scunthorpe</v>
          </cell>
          <cell r="M2478" t="str">
            <v>Lincolnshire</v>
          </cell>
          <cell r="N2478" t="str">
            <v>DN16 3AW</v>
          </cell>
          <cell r="O2478" t="str">
            <v>admin.gljs@northlincs.gov.uk</v>
          </cell>
        </row>
        <row r="2479">
          <cell r="A2479">
            <v>9352125</v>
          </cell>
          <cell r="B2479">
            <v>124619</v>
          </cell>
          <cell r="C2479">
            <v>935</v>
          </cell>
          <cell r="D2479" t="str">
            <v>Suffolk</v>
          </cell>
          <cell r="E2479">
            <v>2125</v>
          </cell>
          <cell r="F2479" t="str">
            <v>Pam Osborne</v>
          </cell>
          <cell r="G2479" t="str">
            <v>Woodbridge Primary School</v>
          </cell>
          <cell r="H2479" t="str">
            <v>East of England</v>
          </cell>
          <cell r="I2479" t="str">
            <v>Wilkinson Way</v>
          </cell>
          <cell r="L2479" t="str">
            <v>Woodbridge</v>
          </cell>
          <cell r="M2479" t="str">
            <v>Suffolk</v>
          </cell>
          <cell r="N2479" t="str">
            <v>IP12 1SS</v>
          </cell>
          <cell r="O2479" t="str">
            <v>adwoodbridge.primary@talk21.com</v>
          </cell>
        </row>
        <row r="2480">
          <cell r="A2480">
            <v>2063575</v>
          </cell>
          <cell r="B2480">
            <v>100447</v>
          </cell>
          <cell r="C2480">
            <v>206</v>
          </cell>
          <cell r="D2480" t="str">
            <v>Islington</v>
          </cell>
          <cell r="E2480">
            <v>3575</v>
          </cell>
          <cell r="F2480" t="str">
            <v>Martin Rowley</v>
          </cell>
          <cell r="G2480" t="str">
            <v>St Peter and St Paul RC Primary School</v>
          </cell>
          <cell r="H2480" t="str">
            <v>London</v>
          </cell>
          <cell r="I2480" t="str">
            <v>Compton Street</v>
          </cell>
          <cell r="J2480" t="str">
            <v>Goswell Road</v>
          </cell>
          <cell r="L2480" t="str">
            <v>London</v>
          </cell>
          <cell r="N2480" t="str">
            <v>EC1V 0EU</v>
          </cell>
          <cell r="O2480" t="str">
            <v>headteacher@stpetersandstpauls.islington.sch.uk</v>
          </cell>
        </row>
        <row r="2481">
          <cell r="A2481">
            <v>8655214</v>
          </cell>
          <cell r="B2481">
            <v>126488</v>
          </cell>
          <cell r="C2481">
            <v>865</v>
          </cell>
          <cell r="D2481" t="str">
            <v>Wiltshire</v>
          </cell>
          <cell r="E2481">
            <v>5214</v>
          </cell>
          <cell r="F2481" t="str">
            <v>Dominic Wilson</v>
          </cell>
          <cell r="G2481" t="str">
            <v>St Joseph's Catholic Primary School, Devizes</v>
          </cell>
          <cell r="H2481" t="str">
            <v>South West</v>
          </cell>
          <cell r="I2481" t="str">
            <v>St Joseph's Place</v>
          </cell>
          <cell r="L2481" t="str">
            <v>Devizes</v>
          </cell>
          <cell r="M2481" t="str">
            <v>Wiltshire</v>
          </cell>
          <cell r="N2481" t="str">
            <v>SN10 1DD</v>
          </cell>
          <cell r="O2481" t="str">
            <v>head@stjosdevizes.wilts.sch.uk</v>
          </cell>
          <cell r="P2481">
            <v>40687</v>
          </cell>
        </row>
        <row r="2482">
          <cell r="A2482">
            <v>9365401</v>
          </cell>
          <cell r="B2482">
            <v>125301</v>
          </cell>
          <cell r="C2482">
            <v>936</v>
          </cell>
          <cell r="D2482" t="str">
            <v>Surrey</v>
          </cell>
          <cell r="E2482">
            <v>5401</v>
          </cell>
          <cell r="F2482" t="str">
            <v>Gabriela Grimley</v>
          </cell>
          <cell r="G2482" t="str">
            <v>Collingwood College</v>
          </cell>
          <cell r="H2482" t="str">
            <v>South East</v>
          </cell>
          <cell r="I2482" t="str">
            <v>Kingston Road</v>
          </cell>
          <cell r="L2482" t="str">
            <v>Camberley</v>
          </cell>
          <cell r="M2482" t="str">
            <v>Surrey</v>
          </cell>
          <cell r="N2482" t="str">
            <v>GU15 4AE</v>
          </cell>
          <cell r="O2482" t="str">
            <v>oddie@collingwood.surrey.sch.uk</v>
          </cell>
          <cell r="P2482">
            <v>40527</v>
          </cell>
        </row>
        <row r="2483">
          <cell r="A2483">
            <v>9197028</v>
          </cell>
          <cell r="B2483">
            <v>117684</v>
          </cell>
          <cell r="C2483">
            <v>919</v>
          </cell>
          <cell r="D2483" t="str">
            <v>Hertfordshire</v>
          </cell>
          <cell r="E2483">
            <v>7028</v>
          </cell>
          <cell r="F2483" t="str">
            <v>Joe Farrell</v>
          </cell>
          <cell r="G2483" t="str">
            <v>Amwell View School</v>
          </cell>
          <cell r="H2483" t="str">
            <v>East of England</v>
          </cell>
          <cell r="I2483" t="str">
            <v>Station Road</v>
          </cell>
          <cell r="J2483" t="str">
            <v>Stanstead Abbotts</v>
          </cell>
          <cell r="L2483" t="str">
            <v>Ware</v>
          </cell>
          <cell r="M2483" t="str">
            <v>Hertfordshire</v>
          </cell>
          <cell r="N2483" t="str">
            <v>SG12 8EH</v>
          </cell>
          <cell r="O2483" t="str">
            <v>head@amwell.herts.sch.uk</v>
          </cell>
        </row>
        <row r="2484">
          <cell r="A2484">
            <v>8944364</v>
          </cell>
          <cell r="B2484">
            <v>123561</v>
          </cell>
          <cell r="C2484">
            <v>894</v>
          </cell>
          <cell r="D2484" t="str">
            <v>Telford and Wrekin</v>
          </cell>
          <cell r="E2484">
            <v>4364</v>
          </cell>
          <cell r="F2484" t="str">
            <v>Beverley Samuel</v>
          </cell>
          <cell r="G2484" t="str">
            <v>Newport Girls' High School</v>
          </cell>
          <cell r="H2484" t="str">
            <v>West Midlands</v>
          </cell>
          <cell r="I2484" t="str">
            <v>Wellington Road</v>
          </cell>
          <cell r="L2484" t="str">
            <v>Newport</v>
          </cell>
          <cell r="M2484" t="str">
            <v>Shropshire</v>
          </cell>
          <cell r="N2484" t="str">
            <v>TF10 7HL</v>
          </cell>
          <cell r="O2484" t="str">
            <v>edwina.gleeson@taw.org.uk</v>
          </cell>
          <cell r="P2484">
            <v>40382</v>
          </cell>
        </row>
        <row r="2485">
          <cell r="A2485">
            <v>8372265</v>
          </cell>
          <cell r="B2485">
            <v>113750</v>
          </cell>
          <cell r="C2485">
            <v>837</v>
          </cell>
          <cell r="D2485" t="str">
            <v>Bournemouth</v>
          </cell>
          <cell r="E2485">
            <v>2265</v>
          </cell>
          <cell r="F2485" t="str">
            <v>Niko Thomas</v>
          </cell>
          <cell r="G2485" t="str">
            <v>Elmrise Primary School</v>
          </cell>
          <cell r="H2485" t="str">
            <v>South West</v>
          </cell>
          <cell r="I2485" t="str">
            <v>Holloway Avenue</v>
          </cell>
          <cell r="L2485" t="str">
            <v>Bournemouth</v>
          </cell>
          <cell r="M2485" t="str">
            <v>Dorset</v>
          </cell>
          <cell r="N2485" t="str">
            <v>BH11 9JN</v>
          </cell>
          <cell r="O2485" t="str">
            <v>elmrise@bournemouth.gov</v>
          </cell>
        </row>
        <row r="2486">
          <cell r="A2486">
            <v>8914700</v>
          </cell>
          <cell r="B2486">
            <v>122899</v>
          </cell>
          <cell r="C2486">
            <v>891</v>
          </cell>
          <cell r="D2486" t="str">
            <v>Nottinghamshire</v>
          </cell>
          <cell r="E2486">
            <v>4700</v>
          </cell>
          <cell r="F2486" t="str">
            <v>Pauline Cole</v>
          </cell>
          <cell r="G2486" t="str">
            <v>Christ The King School</v>
          </cell>
          <cell r="H2486" t="str">
            <v>East Midlands</v>
          </cell>
          <cell r="I2486" t="str">
            <v>Darlton Drive</v>
          </cell>
          <cell r="J2486" t="str">
            <v>Arnold</v>
          </cell>
          <cell r="L2486" t="str">
            <v>Nottingham</v>
          </cell>
          <cell r="M2486" t="str">
            <v>Nottinghamshire</v>
          </cell>
          <cell r="N2486" t="str">
            <v>NG5 7JZ</v>
          </cell>
          <cell r="O2486" t="str">
            <v>canderson@christtheking.notts.sch.uk</v>
          </cell>
          <cell r="P2486">
            <v>40862</v>
          </cell>
        </row>
        <row r="2487">
          <cell r="A2487">
            <v>8612069</v>
          </cell>
          <cell r="B2487">
            <v>124004</v>
          </cell>
          <cell r="C2487">
            <v>861</v>
          </cell>
          <cell r="D2487" t="str">
            <v>Stoke-on-Trent</v>
          </cell>
          <cell r="E2487">
            <v>2069</v>
          </cell>
          <cell r="F2487" t="str">
            <v>Julia Waterhouse</v>
          </cell>
          <cell r="G2487" t="str">
            <v>Glebe Primary School</v>
          </cell>
          <cell r="H2487" t="str">
            <v>West Midlands</v>
          </cell>
          <cell r="I2487" t="str">
            <v>Park Place</v>
          </cell>
          <cell r="J2487" t="str">
            <v>Fenton</v>
          </cell>
          <cell r="L2487" t="str">
            <v>Stoke-on-Trent</v>
          </cell>
          <cell r="M2487" t="str">
            <v>Staffordshire</v>
          </cell>
          <cell r="N2487" t="str">
            <v>ST4 3HZ</v>
          </cell>
          <cell r="O2487" t="str">
            <v>shurst@sgfl.org.uk</v>
          </cell>
        </row>
        <row r="2488">
          <cell r="A2488">
            <v>8734057</v>
          </cell>
          <cell r="B2488">
            <v>110872</v>
          </cell>
          <cell r="C2488">
            <v>873</v>
          </cell>
          <cell r="D2488" t="str">
            <v>Cambridgeshire</v>
          </cell>
          <cell r="E2488">
            <v>4057</v>
          </cell>
          <cell r="F2488" t="str">
            <v>Yvonne Reddington</v>
          </cell>
          <cell r="G2488" t="str">
            <v>The Manor Community College</v>
          </cell>
          <cell r="H2488" t="str">
            <v>East of England</v>
          </cell>
          <cell r="I2488" t="str">
            <v>Arbury Road</v>
          </cell>
          <cell r="L2488" t="str">
            <v>Cambridge</v>
          </cell>
          <cell r="M2488" t="str">
            <v>Cambridgeshire</v>
          </cell>
          <cell r="N2488" t="str">
            <v>CB4 2JF</v>
          </cell>
          <cell r="O2488" t="str">
            <v>ben.slade@manorcc.org.uk</v>
          </cell>
        </row>
        <row r="2489">
          <cell r="A2489">
            <v>8865450</v>
          </cell>
          <cell r="B2489">
            <v>118922</v>
          </cell>
          <cell r="C2489">
            <v>886</v>
          </cell>
          <cell r="D2489" t="str">
            <v>Kent</v>
          </cell>
          <cell r="E2489">
            <v>5450</v>
          </cell>
          <cell r="F2489" t="str">
            <v>Sarah Mitchell</v>
          </cell>
          <cell r="G2489" t="str">
            <v>Hillview School for Girls</v>
          </cell>
          <cell r="H2489" t="str">
            <v>South East</v>
          </cell>
          <cell r="I2489" t="str">
            <v>Brionne Gardens</v>
          </cell>
          <cell r="L2489" t="str">
            <v>Tonbridge</v>
          </cell>
          <cell r="M2489" t="str">
            <v>Kent</v>
          </cell>
          <cell r="N2489" t="str">
            <v>TN9 2HE</v>
          </cell>
          <cell r="O2489" t="str">
            <v>boveys@hillview.kent.sch.uk</v>
          </cell>
          <cell r="P2489">
            <v>40584</v>
          </cell>
        </row>
        <row r="2490">
          <cell r="A2490">
            <v>8515413</v>
          </cell>
          <cell r="B2490">
            <v>116505</v>
          </cell>
          <cell r="C2490">
            <v>851</v>
          </cell>
          <cell r="D2490" t="str">
            <v>Portsmouth</v>
          </cell>
          <cell r="E2490">
            <v>5413</v>
          </cell>
          <cell r="F2490" t="str">
            <v>Eric Mcewen</v>
          </cell>
          <cell r="G2490" t="str">
            <v>St Edmund's Catholic School</v>
          </cell>
          <cell r="H2490" t="str">
            <v>South East</v>
          </cell>
          <cell r="I2490" t="str">
            <v>Arundel Street</v>
          </cell>
          <cell r="L2490" t="str">
            <v>Portsmouth</v>
          </cell>
          <cell r="M2490" t="str">
            <v>Hampshire</v>
          </cell>
          <cell r="N2490" t="str">
            <v>PO1 1RX</v>
          </cell>
          <cell r="O2490" t="str">
            <v>caxton@saintedmunds.org.uk</v>
          </cell>
        </row>
        <row r="2491">
          <cell r="A2491">
            <v>8154039</v>
          </cell>
          <cell r="B2491">
            <v>121667</v>
          </cell>
          <cell r="C2491">
            <v>815</v>
          </cell>
          <cell r="D2491" t="str">
            <v>North Yorkshire</v>
          </cell>
          <cell r="E2491">
            <v>4039</v>
          </cell>
          <cell r="F2491" t="str">
            <v>Jane Moore</v>
          </cell>
          <cell r="G2491" t="str">
            <v>Whitby Community College</v>
          </cell>
          <cell r="H2491" t="str">
            <v>Yorkshire and the Humber</v>
          </cell>
          <cell r="I2491" t="str">
            <v>Prospect Hill</v>
          </cell>
          <cell r="L2491" t="str">
            <v>Whitby</v>
          </cell>
          <cell r="M2491" t="str">
            <v>North Yorkshire</v>
          </cell>
          <cell r="N2491" t="str">
            <v>YO21 1LA</v>
          </cell>
          <cell r="O2491" t="str">
            <v>k.prytherch@whitbycc.co.uk</v>
          </cell>
        </row>
        <row r="2492">
          <cell r="A2492">
            <v>8865203</v>
          </cell>
          <cell r="B2492">
            <v>118849</v>
          </cell>
          <cell r="C2492">
            <v>886</v>
          </cell>
          <cell r="D2492" t="str">
            <v>Kent</v>
          </cell>
          <cell r="E2492">
            <v>5203</v>
          </cell>
          <cell r="F2492" t="str">
            <v>Tony Dunne</v>
          </cell>
          <cell r="G2492" t="str">
            <v>Roseacre Junior School</v>
          </cell>
          <cell r="H2492" t="str">
            <v>South East</v>
          </cell>
          <cell r="I2492" t="str">
            <v>The Landway</v>
          </cell>
          <cell r="J2492" t="str">
            <v>Bearsted</v>
          </cell>
          <cell r="L2492" t="str">
            <v>Maidstone</v>
          </cell>
          <cell r="M2492" t="str">
            <v>Kent</v>
          </cell>
          <cell r="N2492" t="str">
            <v>ME14 4BL</v>
          </cell>
          <cell r="O2492" t="str">
            <v>headteacher@roseacre.kent.sch.uk</v>
          </cell>
        </row>
        <row r="2493">
          <cell r="A2493">
            <v>9253021</v>
          </cell>
          <cell r="B2493">
            <v>120520</v>
          </cell>
          <cell r="C2493">
            <v>925</v>
          </cell>
          <cell r="D2493" t="str">
            <v>Lincolnshire</v>
          </cell>
          <cell r="E2493">
            <v>3021</v>
          </cell>
          <cell r="F2493" t="str">
            <v>Grant Dyson</v>
          </cell>
          <cell r="G2493" t="str">
            <v>Dunston St Peter's Church of England Primary School</v>
          </cell>
          <cell r="H2493" t="str">
            <v>East Midlands</v>
          </cell>
          <cell r="I2493" t="str">
            <v>Back Lane</v>
          </cell>
          <cell r="J2493" t="str">
            <v>Dunston</v>
          </cell>
          <cell r="L2493" t="str">
            <v>Lincoln</v>
          </cell>
          <cell r="M2493" t="str">
            <v>Lincolnshire</v>
          </cell>
          <cell r="N2493" t="str">
            <v>LN4 2EH</v>
          </cell>
          <cell r="O2493" t="str">
            <v>graham.boyall@dunston-pri.lincs.sch.uk</v>
          </cell>
        </row>
        <row r="2494">
          <cell r="A2494">
            <v>8103508</v>
          </cell>
          <cell r="B2494">
            <v>118052</v>
          </cell>
          <cell r="C2494">
            <v>810</v>
          </cell>
          <cell r="D2494" t="str">
            <v>Kingston upon Hull City of</v>
          </cell>
          <cell r="E2494">
            <v>3508</v>
          </cell>
          <cell r="F2494" t="str">
            <v>Glyn Newton</v>
          </cell>
          <cell r="G2494" t="str">
            <v>St Mary Queen of Martyrs RC Primary School</v>
          </cell>
          <cell r="H2494" t="str">
            <v>Yorkshire and the Humber</v>
          </cell>
          <cell r="I2494" t="str">
            <v>Nidderdale</v>
          </cell>
          <cell r="J2494" t="str">
            <v>Sutton Park</v>
          </cell>
          <cell r="L2494" t="str">
            <v>Hull</v>
          </cell>
          <cell r="N2494" t="str">
            <v>HU7 4BS</v>
          </cell>
        </row>
        <row r="2495">
          <cell r="A2495">
            <v>8804115</v>
          </cell>
          <cell r="B2495">
            <v>113524</v>
          </cell>
          <cell r="C2495">
            <v>880</v>
          </cell>
          <cell r="D2495" t="str">
            <v>Torbay</v>
          </cell>
          <cell r="E2495">
            <v>4115</v>
          </cell>
          <cell r="F2495" t="str">
            <v>Ali Bushell</v>
          </cell>
          <cell r="G2495" t="str">
            <v>Torquay Community College</v>
          </cell>
          <cell r="H2495" t="str">
            <v>South West</v>
          </cell>
          <cell r="I2495" t="str">
            <v>Fairfield Road</v>
          </cell>
          <cell r="L2495" t="str">
            <v>Torquay</v>
          </cell>
          <cell r="M2495" t="str">
            <v>Devon</v>
          </cell>
          <cell r="N2495" t="str">
            <v>TQ2 7NU</v>
          </cell>
          <cell r="O2495" t="str">
            <v>gmbattye@tccosp.com</v>
          </cell>
        </row>
        <row r="2496">
          <cell r="A2496">
            <v>8912244</v>
          </cell>
          <cell r="B2496">
            <v>122533</v>
          </cell>
          <cell r="C2496">
            <v>891</v>
          </cell>
          <cell r="D2496" t="str">
            <v>Nottinghamshire</v>
          </cell>
          <cell r="E2496">
            <v>2244</v>
          </cell>
          <cell r="F2496" t="str">
            <v>Paul Hayes</v>
          </cell>
          <cell r="G2496" t="str">
            <v>Willow Farm Primary School</v>
          </cell>
          <cell r="H2496" t="str">
            <v>East Midlands</v>
          </cell>
          <cell r="I2496" t="str">
            <v>Willow Lane</v>
          </cell>
          <cell r="J2496" t="str">
            <v>Gedling</v>
          </cell>
          <cell r="L2496" t="str">
            <v>Nottingham</v>
          </cell>
          <cell r="M2496" t="str">
            <v>Nottinghamshire</v>
          </cell>
          <cell r="N2496" t="str">
            <v>NG4 4BN</v>
          </cell>
          <cell r="O2496" t="str">
            <v xml:space="preserve"> head@willowfarm.notts.sch.uk</v>
          </cell>
        </row>
        <row r="2497">
          <cell r="A2497">
            <v>3592051</v>
          </cell>
          <cell r="B2497">
            <v>106430</v>
          </cell>
          <cell r="C2497">
            <v>359</v>
          </cell>
          <cell r="D2497" t="str">
            <v>Wigan</v>
          </cell>
          <cell r="E2497">
            <v>2051</v>
          </cell>
          <cell r="F2497" t="str">
            <v>Viv Clutton</v>
          </cell>
          <cell r="G2497" t="str">
            <v>Nicol Mere School</v>
          </cell>
          <cell r="H2497" t="str">
            <v>North West</v>
          </cell>
          <cell r="I2497" t="str">
            <v>Roman Road</v>
          </cell>
          <cell r="J2497" t="str">
            <v>Ashton-in-Makerfield</v>
          </cell>
          <cell r="L2497" t="str">
            <v>Wigan</v>
          </cell>
          <cell r="M2497" t="str">
            <v>Lancashire</v>
          </cell>
          <cell r="N2497" t="str">
            <v>WN4 8DF</v>
          </cell>
          <cell r="O2497" t="str">
            <v>headteacher@admin.nicolmere.wigan.sch.uk</v>
          </cell>
        </row>
        <row r="2498">
          <cell r="A2498">
            <v>8553329</v>
          </cell>
          <cell r="B2498">
            <v>120204</v>
          </cell>
          <cell r="C2498">
            <v>855</v>
          </cell>
          <cell r="D2498" t="str">
            <v>Leicestershire</v>
          </cell>
          <cell r="E2498">
            <v>3329</v>
          </cell>
          <cell r="F2498" t="str">
            <v>Sue Harp</v>
          </cell>
          <cell r="G2498" t="str">
            <v>Swinford Church of England Primary School</v>
          </cell>
          <cell r="H2498" t="str">
            <v>East Midlands</v>
          </cell>
          <cell r="I2498" t="str">
            <v>School Lane</v>
          </cell>
          <cell r="J2498" t="str">
            <v>Swinford</v>
          </cell>
          <cell r="L2498" t="str">
            <v>Lutterworth</v>
          </cell>
          <cell r="M2498" t="str">
            <v>Leicestershire</v>
          </cell>
          <cell r="N2498" t="str">
            <v>LE17 6BG</v>
          </cell>
          <cell r="O2498" t="str">
            <v>callison1@swinford.leics.sch.uk</v>
          </cell>
        </row>
        <row r="2499">
          <cell r="A2499">
            <v>8404128</v>
          </cell>
          <cell r="B2499">
            <v>114296</v>
          </cell>
          <cell r="C2499">
            <v>840</v>
          </cell>
          <cell r="D2499" t="str">
            <v>Durham</v>
          </cell>
          <cell r="E2499">
            <v>4128</v>
          </cell>
          <cell r="F2499" t="str">
            <v>Carol Ions</v>
          </cell>
          <cell r="G2499" t="str">
            <v>Parkside Sports College</v>
          </cell>
          <cell r="H2499" t="str">
            <v>North East</v>
          </cell>
          <cell r="I2499" t="str">
            <v>Hall Lane Estate</v>
          </cell>
          <cell r="J2499" t="str">
            <v>Willington</v>
          </cell>
          <cell r="L2499" t="str">
            <v>Crook</v>
          </cell>
          <cell r="M2499" t="str">
            <v>County Durham</v>
          </cell>
          <cell r="N2499" t="str">
            <v>DL15 0QF</v>
          </cell>
          <cell r="O2499" t="str">
            <v>l.davies@parkside.org.uk</v>
          </cell>
          <cell r="P2499">
            <v>40725</v>
          </cell>
        </row>
        <row r="2500">
          <cell r="A2500">
            <v>9294437</v>
          </cell>
          <cell r="B2500">
            <v>122361</v>
          </cell>
          <cell r="C2500">
            <v>929</v>
          </cell>
          <cell r="D2500" t="str">
            <v>Northumberland</v>
          </cell>
          <cell r="E2500">
            <v>4437</v>
          </cell>
          <cell r="F2500" t="str">
            <v>Lisa Sargeant</v>
          </cell>
          <cell r="G2500" t="str">
            <v>Berwick upon Tweed Community High School</v>
          </cell>
          <cell r="H2500" t="str">
            <v>North East</v>
          </cell>
          <cell r="I2500" t="str">
            <v>Adams Drive</v>
          </cell>
          <cell r="L2500" t="str">
            <v>Berwick-upon-Tweed</v>
          </cell>
          <cell r="M2500" t="str">
            <v>Northumberland</v>
          </cell>
          <cell r="N2500" t="str">
            <v>TD15 2JF</v>
          </cell>
          <cell r="O2500" t="str">
            <v>stephen.quinlan@northumberland.gov.uk</v>
          </cell>
          <cell r="P2500">
            <v>40678</v>
          </cell>
        </row>
        <row r="2501">
          <cell r="A2501">
            <v>9332333</v>
          </cell>
          <cell r="B2501">
            <v>132227</v>
          </cell>
          <cell r="C2501">
            <v>933</v>
          </cell>
          <cell r="D2501" t="str">
            <v>Somerset</v>
          </cell>
          <cell r="E2501">
            <v>2333</v>
          </cell>
          <cell r="F2501" t="str">
            <v>Theresa Oddelm</v>
          </cell>
          <cell r="G2501" t="str">
            <v>Stoberry Park School</v>
          </cell>
          <cell r="H2501" t="str">
            <v>South West</v>
          </cell>
          <cell r="I2501" t="str">
            <v>North Road</v>
          </cell>
          <cell r="L2501" t="str">
            <v>Wells</v>
          </cell>
          <cell r="M2501" t="str">
            <v>Somerset</v>
          </cell>
          <cell r="N2501" t="str">
            <v>BA5 2TJ</v>
          </cell>
          <cell r="O2501" t="str">
            <v>mhawkins@educ.somerset.gov.uk</v>
          </cell>
          <cell r="P2501">
            <v>40787</v>
          </cell>
        </row>
        <row r="2502">
          <cell r="A2502">
            <v>8003093</v>
          </cell>
          <cell r="B2502">
            <v>109196</v>
          </cell>
          <cell r="C2502">
            <v>800</v>
          </cell>
          <cell r="D2502" t="str">
            <v>Bath and North East Somerset</v>
          </cell>
          <cell r="E2502">
            <v>3093</v>
          </cell>
          <cell r="F2502" t="str">
            <v>Theresa Oddelm</v>
          </cell>
          <cell r="G2502" t="str">
            <v>High Littleton CofE VC Primary School</v>
          </cell>
          <cell r="H2502" t="str">
            <v>South West</v>
          </cell>
          <cell r="I2502" t="str">
            <v>Church Hill</v>
          </cell>
          <cell r="J2502" t="str">
            <v>High Littleton</v>
          </cell>
          <cell r="L2502" t="str">
            <v>Bristol</v>
          </cell>
          <cell r="N2502" t="str">
            <v>BS39 6HF</v>
          </cell>
          <cell r="O2502" t="str">
            <v>gareth_griffith@bathnes.gov.uk</v>
          </cell>
        </row>
        <row r="2503">
          <cell r="A2503">
            <v>8012010</v>
          </cell>
          <cell r="B2503">
            <v>131496</v>
          </cell>
          <cell r="C2503">
            <v>801</v>
          </cell>
          <cell r="D2503" t="str">
            <v>Bristol City of</v>
          </cell>
          <cell r="E2503">
            <v>2010</v>
          </cell>
          <cell r="F2503" t="str">
            <v>Theresa Oddelm</v>
          </cell>
          <cell r="G2503" t="str">
            <v>Fonthill Primary School</v>
          </cell>
          <cell r="H2503" t="str">
            <v>South West</v>
          </cell>
          <cell r="I2503" t="str">
            <v>Ascot Road</v>
          </cell>
          <cell r="J2503" t="str">
            <v>Southmead</v>
          </cell>
          <cell r="L2503" t="str">
            <v>Bristol</v>
          </cell>
          <cell r="N2503" t="str">
            <v>BS10 5SW</v>
          </cell>
        </row>
        <row r="2504">
          <cell r="A2504">
            <v>8662094</v>
          </cell>
          <cell r="B2504">
            <v>126209</v>
          </cell>
          <cell r="C2504">
            <v>866</v>
          </cell>
          <cell r="D2504" t="str">
            <v>Swindon</v>
          </cell>
          <cell r="E2504">
            <v>2094</v>
          </cell>
          <cell r="F2504" t="str">
            <v>Theresa Oddelm</v>
          </cell>
          <cell r="G2504" t="str">
            <v>Ruskin Junior School</v>
          </cell>
          <cell r="H2504" t="str">
            <v>South West</v>
          </cell>
          <cell r="I2504" t="str">
            <v>Wordsworth Drive</v>
          </cell>
          <cell r="J2504" t="str">
            <v>Upper Stratton</v>
          </cell>
          <cell r="L2504" t="str">
            <v>Swindon</v>
          </cell>
          <cell r="M2504" t="str">
            <v>Wiltshire</v>
          </cell>
          <cell r="N2504" t="str">
            <v>SN2 7NG</v>
          </cell>
          <cell r="O2504" t="str">
            <v>head@ruskin-jun.swindon.sch.uk</v>
          </cell>
        </row>
        <row r="2505">
          <cell r="A2505">
            <v>3834501</v>
          </cell>
          <cell r="B2505">
            <v>108093</v>
          </cell>
          <cell r="C2505">
            <v>383</v>
          </cell>
          <cell r="D2505" t="str">
            <v>Leeds</v>
          </cell>
          <cell r="E2505">
            <v>4501</v>
          </cell>
          <cell r="F2505" t="str">
            <v>Carol Ions</v>
          </cell>
          <cell r="G2505" t="str">
            <v>Otley Prince Henry's Grammar School Specialist Language College</v>
          </cell>
          <cell r="H2505" t="str">
            <v>Yorkshire and the Humber</v>
          </cell>
          <cell r="I2505" t="str">
            <v>Farnley Lane</v>
          </cell>
          <cell r="L2505" t="str">
            <v>Otley</v>
          </cell>
          <cell r="M2505" t="str">
            <v>West Yorkshire</v>
          </cell>
          <cell r="N2505" t="str">
            <v>LS21 2BB</v>
          </cell>
          <cell r="O2505" t="str">
            <v>sherifj01@leedslearning.net</v>
          </cell>
          <cell r="P2505">
            <v>40704</v>
          </cell>
        </row>
        <row r="2506">
          <cell r="A2506">
            <v>9333437</v>
          </cell>
          <cell r="B2506">
            <v>123850</v>
          </cell>
          <cell r="C2506">
            <v>933</v>
          </cell>
          <cell r="D2506" t="str">
            <v>Somerset</v>
          </cell>
          <cell r="E2506">
            <v>3437</v>
          </cell>
          <cell r="F2506" t="str">
            <v>Ali Bushell</v>
          </cell>
          <cell r="G2506" t="str">
            <v>Trull C of E VA Primary School</v>
          </cell>
          <cell r="H2506" t="str">
            <v>South West</v>
          </cell>
          <cell r="I2506" t="str">
            <v>Church Road</v>
          </cell>
          <cell r="J2506" t="str">
            <v>Trull</v>
          </cell>
          <cell r="L2506" t="str">
            <v>Taunton</v>
          </cell>
          <cell r="M2506" t="str">
            <v>Somerset</v>
          </cell>
          <cell r="N2506" t="str">
            <v>TA3 7JZ</v>
          </cell>
          <cell r="O2506" t="str">
            <v>hcunningham@educ.somerset.gov.uk</v>
          </cell>
        </row>
        <row r="2507">
          <cell r="A2507">
            <v>8782213</v>
          </cell>
          <cell r="B2507">
            <v>113136</v>
          </cell>
          <cell r="C2507">
            <v>878</v>
          </cell>
          <cell r="D2507" t="str">
            <v>Devon</v>
          </cell>
          <cell r="E2507">
            <v>2213</v>
          </cell>
          <cell r="F2507" t="str">
            <v>Ali Bushell</v>
          </cell>
          <cell r="G2507" t="str">
            <v>Bradworthy Community Primary School</v>
          </cell>
          <cell r="H2507" t="str">
            <v>South West</v>
          </cell>
          <cell r="I2507" t="str">
            <v>Bradworthy</v>
          </cell>
          <cell r="L2507" t="str">
            <v>Holsworthy</v>
          </cell>
          <cell r="M2507" t="str">
            <v>Devon</v>
          </cell>
          <cell r="N2507" t="str">
            <v>EX22 7RT</v>
          </cell>
          <cell r="O2507" t="str">
            <v>richardstp@btinternet.com</v>
          </cell>
          <cell r="P2507">
            <v>40521</v>
          </cell>
        </row>
        <row r="2508">
          <cell r="A2508">
            <v>8875457</v>
          </cell>
          <cell r="B2508">
            <v>118929</v>
          </cell>
          <cell r="C2508">
            <v>887</v>
          </cell>
          <cell r="D2508" t="str">
            <v>Medway</v>
          </cell>
          <cell r="E2508">
            <v>5457</v>
          </cell>
          <cell r="F2508" t="str">
            <v>Sarah Mitchell</v>
          </cell>
          <cell r="G2508" t="str">
            <v>The Howard School</v>
          </cell>
          <cell r="H2508" t="str">
            <v>South East</v>
          </cell>
          <cell r="I2508" t="str">
            <v>Derwent Way</v>
          </cell>
          <cell r="J2508" t="str">
            <v>Rainham</v>
          </cell>
          <cell r="L2508" t="str">
            <v>Gillingham</v>
          </cell>
          <cell r="M2508" t="str">
            <v>Kent</v>
          </cell>
          <cell r="N2508" t="str">
            <v>ME8 0BX</v>
          </cell>
          <cell r="O2508" t="str">
            <v>morrp007@medway.org.uk</v>
          </cell>
        </row>
        <row r="2509">
          <cell r="A2509">
            <v>8765400</v>
          </cell>
          <cell r="B2509">
            <v>111463</v>
          </cell>
          <cell r="C2509">
            <v>876</v>
          </cell>
          <cell r="D2509" t="str">
            <v>Halton</v>
          </cell>
          <cell r="E2509">
            <v>5400</v>
          </cell>
          <cell r="F2509" t="str">
            <v>Cathy Dudley</v>
          </cell>
          <cell r="G2509" t="str">
            <v>The Bankfield School</v>
          </cell>
          <cell r="H2509" t="str">
            <v>North West</v>
          </cell>
          <cell r="I2509" t="str">
            <v>Liverpool Road</v>
          </cell>
          <cell r="L2509" t="str">
            <v>Widnes</v>
          </cell>
          <cell r="M2509" t="str">
            <v>Cheshire</v>
          </cell>
          <cell r="N2509" t="str">
            <v>WA8 7HU</v>
          </cell>
          <cell r="O2509" t="str">
            <v>carole.owen@bankfield.halton.sch.uk</v>
          </cell>
          <cell r="P2509">
            <v>41184</v>
          </cell>
        </row>
        <row r="2510">
          <cell r="A2510">
            <v>9314120</v>
          </cell>
          <cell r="B2510">
            <v>123253</v>
          </cell>
          <cell r="C2510">
            <v>931</v>
          </cell>
          <cell r="D2510" t="str">
            <v>Oxfordshire</v>
          </cell>
          <cell r="E2510">
            <v>4120</v>
          </cell>
          <cell r="F2510" t="str">
            <v>Sarah Nairne</v>
          </cell>
          <cell r="G2510" t="str">
            <v>Cheney School</v>
          </cell>
          <cell r="H2510" t="str">
            <v>South East</v>
          </cell>
          <cell r="I2510" t="str">
            <v>Cheney Lane</v>
          </cell>
          <cell r="J2510" t="str">
            <v>Headington</v>
          </cell>
          <cell r="L2510" t="str">
            <v>Oxford</v>
          </cell>
          <cell r="M2510" t="str">
            <v>Oxfordshire</v>
          </cell>
          <cell r="N2510" t="str">
            <v>OX3 7QH</v>
          </cell>
          <cell r="O2510" t="str">
            <v>jki@cheney.oxon.sch.uk</v>
          </cell>
          <cell r="P2510">
            <v>41110</v>
          </cell>
        </row>
        <row r="2511">
          <cell r="A2511">
            <v>3594025</v>
          </cell>
          <cell r="B2511">
            <v>106527</v>
          </cell>
          <cell r="C2511">
            <v>359</v>
          </cell>
          <cell r="D2511" t="str">
            <v>Wigan</v>
          </cell>
          <cell r="E2511">
            <v>4025</v>
          </cell>
          <cell r="F2511" t="str">
            <v>Pat Murison</v>
          </cell>
          <cell r="G2511" t="str">
            <v>Fred Longworth High School</v>
          </cell>
          <cell r="H2511" t="str">
            <v>North West</v>
          </cell>
          <cell r="I2511" t="str">
            <v>Printshop Lane</v>
          </cell>
          <cell r="J2511" t="str">
            <v>Tyldesley</v>
          </cell>
          <cell r="L2511" t="str">
            <v>Manchester</v>
          </cell>
          <cell r="N2511" t="str">
            <v>M29 8JN</v>
          </cell>
          <cell r="O2511" t="str">
            <v>garrettsj@flhs.wigan.sch.uk</v>
          </cell>
          <cell r="P2511">
            <v>40639</v>
          </cell>
        </row>
        <row r="2512">
          <cell r="A2512">
            <v>9282003</v>
          </cell>
          <cell r="B2512">
            <v>121795</v>
          </cell>
          <cell r="C2512">
            <v>928</v>
          </cell>
          <cell r="D2512" t="str">
            <v>Northamptonshire</v>
          </cell>
          <cell r="E2512">
            <v>2003</v>
          </cell>
          <cell r="F2512" t="str">
            <v>Sue Harp</v>
          </cell>
          <cell r="G2512" t="str">
            <v>Boughton Primary School</v>
          </cell>
          <cell r="H2512" t="str">
            <v>East Midlands</v>
          </cell>
          <cell r="I2512" t="str">
            <v>Moulton Lane</v>
          </cell>
          <cell r="J2512" t="str">
            <v>Boughton</v>
          </cell>
          <cell r="L2512" t="str">
            <v>Northampton</v>
          </cell>
          <cell r="M2512" t="str">
            <v>Northamptonshire</v>
          </cell>
          <cell r="N2512" t="str">
            <v>NN2 8RG</v>
          </cell>
          <cell r="O2512" t="str">
            <v>head@boughton.northants-ecl.gov.uk</v>
          </cell>
          <cell r="P2512">
            <v>40935</v>
          </cell>
        </row>
        <row r="2513">
          <cell r="A2513">
            <v>3842185</v>
          </cell>
          <cell r="B2513">
            <v>108241</v>
          </cell>
          <cell r="C2513">
            <v>384</v>
          </cell>
          <cell r="D2513" t="str">
            <v>Wakefield</v>
          </cell>
          <cell r="E2513">
            <v>2185</v>
          </cell>
          <cell r="F2513" t="str">
            <v>Jayne Turner</v>
          </cell>
          <cell r="G2513" t="str">
            <v>Ackton Pastures Primary School</v>
          </cell>
          <cell r="H2513" t="str">
            <v>Yorkshire and the Humber</v>
          </cell>
          <cell r="I2513" t="str">
            <v>College Grove</v>
          </cell>
          <cell r="J2513" t="str">
            <v>Whitwood</v>
          </cell>
          <cell r="L2513" t="str">
            <v>Castleford</v>
          </cell>
          <cell r="M2513" t="str">
            <v>West Yorkshire</v>
          </cell>
          <cell r="N2513" t="str">
            <v>WF10 5NS</v>
          </cell>
        </row>
        <row r="2514">
          <cell r="A2514">
            <v>9093023</v>
          </cell>
          <cell r="B2514">
            <v>112256</v>
          </cell>
          <cell r="C2514">
            <v>909</v>
          </cell>
          <cell r="D2514" t="str">
            <v>Cumbria</v>
          </cell>
          <cell r="E2514">
            <v>3023</v>
          </cell>
          <cell r="F2514" t="str">
            <v>Linda Tiley</v>
          </cell>
          <cell r="G2514" t="str">
            <v>Lees Hill CofE School</v>
          </cell>
          <cell r="H2514" t="str">
            <v>North West</v>
          </cell>
          <cell r="I2514" t="str">
            <v>Lees Hill</v>
          </cell>
          <cell r="L2514" t="str">
            <v>Brampton</v>
          </cell>
          <cell r="M2514" t="str">
            <v>Cumbria</v>
          </cell>
          <cell r="N2514" t="str">
            <v>CA8 2BB</v>
          </cell>
          <cell r="O2514" t="str">
            <v>headjs@leeshill.cumbria.sch.uk</v>
          </cell>
        </row>
        <row r="2515">
          <cell r="A2515">
            <v>8935401</v>
          </cell>
          <cell r="B2515">
            <v>123594</v>
          </cell>
          <cell r="C2515">
            <v>893</v>
          </cell>
          <cell r="D2515" t="str">
            <v>Shropshire</v>
          </cell>
          <cell r="E2515">
            <v>5401</v>
          </cell>
          <cell r="F2515" t="str">
            <v>Carol Ions</v>
          </cell>
          <cell r="G2515" t="str">
            <v>The Corbet School Technology College</v>
          </cell>
          <cell r="H2515" t="str">
            <v>West Midlands</v>
          </cell>
          <cell r="I2515" t="str">
            <v>Eyton Lane</v>
          </cell>
          <cell r="J2515" t="str">
            <v>Baschurch</v>
          </cell>
          <cell r="L2515" t="str">
            <v>Shrewsbury</v>
          </cell>
          <cell r="M2515" t="str">
            <v>Shropshire</v>
          </cell>
          <cell r="N2515" t="str">
            <v>SY4 2AX</v>
          </cell>
          <cell r="O2515" t="str">
            <v>ADAMS.P1@shropshirelg.net</v>
          </cell>
          <cell r="P2515">
            <v>40588</v>
          </cell>
        </row>
        <row r="2516">
          <cell r="A2516">
            <v>8923316</v>
          </cell>
          <cell r="B2516">
            <v>122780</v>
          </cell>
          <cell r="C2516">
            <v>892</v>
          </cell>
          <cell r="D2516" t="str">
            <v>Nottingham</v>
          </cell>
          <cell r="E2516">
            <v>3316</v>
          </cell>
          <cell r="F2516" t="str">
            <v>Sue Harp</v>
          </cell>
          <cell r="G2516" t="str">
            <v>St Patrick's Catholic Primary and Nursery School</v>
          </cell>
          <cell r="H2516" t="str">
            <v>East Midlands</v>
          </cell>
          <cell r="I2516" t="str">
            <v>Coronation Avenue</v>
          </cell>
          <cell r="J2516" t="str">
            <v>Wilford</v>
          </cell>
          <cell r="L2516" t="str">
            <v>Nottingham</v>
          </cell>
          <cell r="M2516" t="str">
            <v>Nottinghamshire</v>
          </cell>
          <cell r="N2516" t="str">
            <v>NG11 7AB</v>
          </cell>
          <cell r="O2516" t="str">
            <v>headteacher@st-patricks.nottingham.sch.uk</v>
          </cell>
          <cell r="P2516">
            <v>41239</v>
          </cell>
        </row>
        <row r="2517">
          <cell r="A2517">
            <v>9095200</v>
          </cell>
          <cell r="B2517">
            <v>112402</v>
          </cell>
          <cell r="C2517">
            <v>909</v>
          </cell>
          <cell r="D2517" t="str">
            <v>Cumbria</v>
          </cell>
          <cell r="E2517">
            <v>5200</v>
          </cell>
          <cell r="F2517" t="str">
            <v>Linda Tiley</v>
          </cell>
          <cell r="G2517" t="str">
            <v>Hayton CofE Primary School</v>
          </cell>
          <cell r="H2517" t="str">
            <v>North West</v>
          </cell>
          <cell r="I2517" t="str">
            <v>Hayton</v>
          </cell>
          <cell r="L2517" t="str">
            <v>Brampton</v>
          </cell>
          <cell r="M2517" t="str">
            <v>Cumbria</v>
          </cell>
          <cell r="N2517" t="str">
            <v>CA8 9HR</v>
          </cell>
          <cell r="O2517" t="str">
            <v>head@hayton.cumbria.sch.uk</v>
          </cell>
        </row>
        <row r="2518">
          <cell r="A2518">
            <v>3195400</v>
          </cell>
          <cell r="B2518">
            <v>103007</v>
          </cell>
          <cell r="C2518">
            <v>319</v>
          </cell>
          <cell r="D2518" t="str">
            <v>Sutton</v>
          </cell>
          <cell r="E2518">
            <v>5400</v>
          </cell>
          <cell r="F2518" t="str">
            <v>Helen Barry</v>
          </cell>
          <cell r="G2518" t="str">
            <v>Wilson's School</v>
          </cell>
          <cell r="H2518" t="str">
            <v>London</v>
          </cell>
          <cell r="I2518" t="str">
            <v>Mollison Drive</v>
          </cell>
          <cell r="L2518" t="str">
            <v>Wallington</v>
          </cell>
          <cell r="M2518" t="str">
            <v>Surrey</v>
          </cell>
          <cell r="N2518" t="str">
            <v>SM6 9JW</v>
          </cell>
          <cell r="O2518" t="str">
            <v>dmc@wilsonsschool.sutton.sch.uk</v>
          </cell>
          <cell r="P2518">
            <v>40445</v>
          </cell>
        </row>
        <row r="2519">
          <cell r="A2519">
            <v>2055400</v>
          </cell>
          <cell r="B2519">
            <v>100365</v>
          </cell>
          <cell r="C2519">
            <v>205</v>
          </cell>
          <cell r="D2519" t="str">
            <v>Hammersmith and Fulham</v>
          </cell>
          <cell r="E2519">
            <v>5400</v>
          </cell>
          <cell r="F2519" t="str">
            <v>Anita Bihal</v>
          </cell>
          <cell r="G2519" t="str">
            <v>The London Oratory School</v>
          </cell>
          <cell r="H2519" t="str">
            <v>London</v>
          </cell>
          <cell r="I2519" t="str">
            <v>Seagrave Road</v>
          </cell>
          <cell r="L2519" t="str">
            <v>London</v>
          </cell>
          <cell r="N2519" t="str">
            <v>SW6 1RX</v>
          </cell>
          <cell r="O2519" t="str">
            <v>hm@los.ac</v>
          </cell>
          <cell r="P2519">
            <v>40528</v>
          </cell>
        </row>
        <row r="2520">
          <cell r="A2520">
            <v>8862227</v>
          </cell>
          <cell r="B2520">
            <v>118337</v>
          </cell>
          <cell r="C2520">
            <v>886</v>
          </cell>
          <cell r="D2520" t="str">
            <v>Kent</v>
          </cell>
          <cell r="E2520">
            <v>2227</v>
          </cell>
          <cell r="F2520" t="str">
            <v>Tony Dunne</v>
          </cell>
          <cell r="G2520" t="str">
            <v>Ethelbert Road Primary School</v>
          </cell>
          <cell r="H2520" t="str">
            <v>South East</v>
          </cell>
          <cell r="I2520" t="str">
            <v>Ethelbert Road</v>
          </cell>
          <cell r="L2520" t="str">
            <v>Faversham</v>
          </cell>
          <cell r="M2520" t="str">
            <v>Kent</v>
          </cell>
          <cell r="N2520" t="str">
            <v>ME13 8SQ</v>
          </cell>
          <cell r="O2520" t="str">
            <v>headteacher@ethelbert-road.kent.sch.uk</v>
          </cell>
        </row>
        <row r="2521">
          <cell r="A2521">
            <v>9333439</v>
          </cell>
          <cell r="B2521">
            <v>123852</v>
          </cell>
          <cell r="C2521">
            <v>933</v>
          </cell>
          <cell r="D2521" t="str">
            <v>Somerset</v>
          </cell>
          <cell r="E2521">
            <v>3439</v>
          </cell>
          <cell r="F2521" t="str">
            <v>Ali Bushell</v>
          </cell>
          <cell r="G2521" t="str">
            <v>Bishop Henderson Church of England Primary School, Taunton</v>
          </cell>
          <cell r="H2521" t="str">
            <v>South West</v>
          </cell>
          <cell r="I2521" t="str">
            <v>Henderson Close</v>
          </cell>
          <cell r="L2521" t="str">
            <v>Taunton</v>
          </cell>
          <cell r="M2521" t="str">
            <v>Somerset</v>
          </cell>
          <cell r="N2521" t="str">
            <v>TA1 4TU</v>
          </cell>
          <cell r="O2521" t="str">
            <v>egregory@educ.somerset.gov.uk</v>
          </cell>
        </row>
        <row r="2522">
          <cell r="A2522">
            <v>9255228</v>
          </cell>
          <cell r="B2522">
            <v>120695</v>
          </cell>
          <cell r="C2522">
            <v>925</v>
          </cell>
          <cell r="D2522" t="str">
            <v>Lincolnshire</v>
          </cell>
          <cell r="E2522">
            <v>5228</v>
          </cell>
          <cell r="F2522" t="str">
            <v>Sue Harp</v>
          </cell>
          <cell r="G2522" t="str">
            <v>William Hildyard Church of England Primary and Nursery School</v>
          </cell>
          <cell r="H2522" t="str">
            <v>East Midlands</v>
          </cell>
          <cell r="I2522" t="str">
            <v>Godsey Lane</v>
          </cell>
          <cell r="L2522" t="str">
            <v>Market Deeping</v>
          </cell>
          <cell r="M2522" t="str">
            <v>Lincolnshire</v>
          </cell>
          <cell r="N2522" t="str">
            <v>PE6 8HZ</v>
          </cell>
          <cell r="O2522" t="str">
            <v>Fiona.Griffiths@williamhildyard.lincs.sch.uk</v>
          </cell>
        </row>
        <row r="2523">
          <cell r="A2523">
            <v>3117003</v>
          </cell>
          <cell r="B2523">
            <v>102364</v>
          </cell>
          <cell r="C2523">
            <v>311</v>
          </cell>
          <cell r="D2523" t="str">
            <v>Havering</v>
          </cell>
          <cell r="E2523">
            <v>7003</v>
          </cell>
          <cell r="F2523" t="str">
            <v>Tahir Shams</v>
          </cell>
          <cell r="G2523" t="str">
            <v>Ravensbourne School</v>
          </cell>
          <cell r="H2523" t="str">
            <v>London</v>
          </cell>
          <cell r="I2523" t="str">
            <v>Neave Crescent</v>
          </cell>
          <cell r="J2523" t="str">
            <v>Faringdon Avenue</v>
          </cell>
          <cell r="K2523" t="str">
            <v>Harold Hill</v>
          </cell>
          <cell r="L2523" t="str">
            <v>Romford</v>
          </cell>
          <cell r="M2523" t="str">
            <v>Essex</v>
          </cell>
          <cell r="N2523" t="str">
            <v>RM3 8HN</v>
          </cell>
          <cell r="O2523" t="str">
            <v>admin@ravensbourne.havering.sch.uk</v>
          </cell>
        </row>
        <row r="2524">
          <cell r="A2524">
            <v>8813462</v>
          </cell>
          <cell r="B2524">
            <v>115164</v>
          </cell>
          <cell r="C2524">
            <v>881</v>
          </cell>
          <cell r="D2524" t="str">
            <v>Essex</v>
          </cell>
          <cell r="E2524">
            <v>3462</v>
          </cell>
          <cell r="F2524" t="str">
            <v>Claire Ivie</v>
          </cell>
          <cell r="G2524" t="str">
            <v>St Peter's Church of England Voluntary Aided Primary School, South Weald</v>
          </cell>
          <cell r="H2524" t="str">
            <v>East of England</v>
          </cell>
          <cell r="I2524" t="str">
            <v>Wigley Bush Lane</v>
          </cell>
          <cell r="J2524" t="str">
            <v>South Weald</v>
          </cell>
          <cell r="L2524" t="str">
            <v>Brentwood</v>
          </cell>
          <cell r="M2524" t="str">
            <v>Essex</v>
          </cell>
          <cell r="N2524" t="str">
            <v>CM14 5QN</v>
          </cell>
          <cell r="O2524" t="str">
            <v xml:space="preserve">head@st-peters-southweald.essex.sch.uk
</v>
          </cell>
        </row>
        <row r="2525">
          <cell r="A2525">
            <v>9195415</v>
          </cell>
          <cell r="B2525">
            <v>117587</v>
          </cell>
          <cell r="C2525">
            <v>919</v>
          </cell>
          <cell r="D2525" t="str">
            <v>Hertfordshire</v>
          </cell>
          <cell r="E2525">
            <v>5415</v>
          </cell>
          <cell r="F2525" t="str">
            <v>Kish Chetty</v>
          </cell>
          <cell r="G2525" t="str">
            <v>Goffs School</v>
          </cell>
          <cell r="H2525" t="str">
            <v>East of England</v>
          </cell>
          <cell r="I2525" t="str">
            <v>Goffs Lane</v>
          </cell>
          <cell r="J2525" t="str">
            <v>Cheshunt</v>
          </cell>
          <cell r="L2525" t="str">
            <v>Waltham Cross</v>
          </cell>
          <cell r="M2525" t="str">
            <v>Hertfordshire</v>
          </cell>
          <cell r="N2525" t="str">
            <v>EN7 5QW</v>
          </cell>
          <cell r="O2525" t="str">
            <v>aga@goffs.herts.sch.uk</v>
          </cell>
          <cell r="P2525">
            <v>40664</v>
          </cell>
        </row>
        <row r="2526">
          <cell r="A2526">
            <v>9082032</v>
          </cell>
          <cell r="B2526">
            <v>111808</v>
          </cell>
          <cell r="C2526">
            <v>908</v>
          </cell>
          <cell r="D2526" t="str">
            <v>Cornwall</v>
          </cell>
          <cell r="E2526">
            <v>2032</v>
          </cell>
          <cell r="F2526" t="str">
            <v>Ali Bushell</v>
          </cell>
          <cell r="G2526" t="str">
            <v>Ludgvan Community Primary School</v>
          </cell>
          <cell r="H2526" t="str">
            <v>South West</v>
          </cell>
          <cell r="I2526" t="str">
            <v>Lower Quarter</v>
          </cell>
          <cell r="J2526" t="str">
            <v>Ludgvan</v>
          </cell>
          <cell r="L2526" t="str">
            <v>Penzance</v>
          </cell>
          <cell r="M2526" t="str">
            <v>Cornwall</v>
          </cell>
          <cell r="N2526" t="str">
            <v>TR20 8EX</v>
          </cell>
          <cell r="O2526" t="str">
            <v>head@ludgvan.cornwall.sch.uk</v>
          </cell>
          <cell r="P2526">
            <v>40640</v>
          </cell>
        </row>
        <row r="2527">
          <cell r="A2527">
            <v>9093662</v>
          </cell>
          <cell r="B2527">
            <v>134739</v>
          </cell>
          <cell r="C2527">
            <v>909</v>
          </cell>
          <cell r="D2527" t="str">
            <v>Cumbria</v>
          </cell>
          <cell r="E2527">
            <v>3662</v>
          </cell>
          <cell r="G2527" t="str">
            <v>Beckstone Primary Schools</v>
          </cell>
          <cell r="H2527" t="str">
            <v>North West</v>
          </cell>
          <cell r="I2527" t="str">
            <v>Eadie Street</v>
          </cell>
          <cell r="K2527" t="str">
            <v>Harrington</v>
          </cell>
          <cell r="L2527" t="str">
            <v>Workington</v>
          </cell>
          <cell r="M2527" t="str">
            <v>Cumbria</v>
          </cell>
          <cell r="N2527" t="str">
            <v>CA14 5PX</v>
          </cell>
          <cell r="O2527" t="str">
            <v>dwarbrick@beckstone.cumbria.sch.uk</v>
          </cell>
        </row>
        <row r="2528">
          <cell r="A2528">
            <v>3572061</v>
          </cell>
          <cell r="B2528">
            <v>106215</v>
          </cell>
          <cell r="C2528">
            <v>357</v>
          </cell>
          <cell r="D2528" t="str">
            <v>Tameside</v>
          </cell>
          <cell r="E2528">
            <v>2061</v>
          </cell>
          <cell r="F2528" t="str">
            <v>Alan Large</v>
          </cell>
          <cell r="G2528" t="str">
            <v>Denton West End Primary School</v>
          </cell>
          <cell r="H2528" t="str">
            <v>North West</v>
          </cell>
          <cell r="I2528" t="str">
            <v>Balmoral Drive</v>
          </cell>
          <cell r="J2528" t="str">
            <v>Denton</v>
          </cell>
          <cell r="L2528" t="str">
            <v>Manchester</v>
          </cell>
          <cell r="M2528" t="str">
            <v>Lancashire</v>
          </cell>
          <cell r="N2528" t="str">
            <v>M34 2JX</v>
          </cell>
          <cell r="O2528" t="str">
            <v>linda.pennington@dentonwestend.tameside.sch.uk</v>
          </cell>
          <cell r="P2528">
            <v>40683</v>
          </cell>
        </row>
        <row r="2529">
          <cell r="A2529">
            <v>9374241</v>
          </cell>
          <cell r="B2529">
            <v>125751</v>
          </cell>
          <cell r="C2529">
            <v>937</v>
          </cell>
          <cell r="D2529" t="str">
            <v>Warwickshire</v>
          </cell>
          <cell r="E2529">
            <v>4241</v>
          </cell>
          <cell r="F2529" t="str">
            <v>Lilian Da Cunha</v>
          </cell>
          <cell r="G2529" t="str">
            <v>Ashlawn School</v>
          </cell>
          <cell r="H2529" t="str">
            <v>West Midlands</v>
          </cell>
          <cell r="I2529" t="str">
            <v>Ashlawn Road</v>
          </cell>
          <cell r="L2529" t="str">
            <v>Rugby</v>
          </cell>
          <cell r="M2529" t="str">
            <v>Warwickshire</v>
          </cell>
          <cell r="N2529" t="str">
            <v>CV22 5ET</v>
          </cell>
          <cell r="O2529" t="str">
            <v>dandlreed@hotmail.co.uk</v>
          </cell>
          <cell r="P2529">
            <v>40465</v>
          </cell>
        </row>
        <row r="2530">
          <cell r="A2530">
            <v>3125405</v>
          </cell>
          <cell r="B2530">
            <v>102445</v>
          </cell>
          <cell r="C2530">
            <v>312</v>
          </cell>
          <cell r="D2530" t="str">
            <v>Hillingdon</v>
          </cell>
          <cell r="E2530">
            <v>5405</v>
          </cell>
          <cell r="F2530" t="str">
            <v>Martin Rowley</v>
          </cell>
          <cell r="G2530" t="str">
            <v>Northwood School</v>
          </cell>
          <cell r="H2530" t="str">
            <v>London</v>
          </cell>
          <cell r="I2530" t="str">
            <v>Potter Street</v>
          </cell>
          <cell r="L2530" t="str">
            <v>Northwood</v>
          </cell>
          <cell r="N2530" t="str">
            <v>HA6 1QG</v>
          </cell>
          <cell r="O2530" t="str">
            <v>Gatkins@hillingdongrid.org</v>
          </cell>
          <cell r="P2530">
            <v>40855</v>
          </cell>
        </row>
        <row r="2531">
          <cell r="A2531">
            <v>3073503</v>
          </cell>
          <cell r="B2531">
            <v>101920</v>
          </cell>
          <cell r="C2531">
            <v>307</v>
          </cell>
          <cell r="D2531" t="str">
            <v>Ealing</v>
          </cell>
          <cell r="E2531">
            <v>3503</v>
          </cell>
          <cell r="F2531" t="str">
            <v>Helen Fisher</v>
          </cell>
          <cell r="G2531" t="str">
            <v>Our Lady of the Visitation Roman Catholic Primary School</v>
          </cell>
          <cell r="H2531" t="str">
            <v>London</v>
          </cell>
          <cell r="I2531" t="str">
            <v>Greenford Road</v>
          </cell>
          <cell r="L2531" t="str">
            <v>Greenford</v>
          </cell>
          <cell r="N2531" t="str">
            <v>UB6 9AN</v>
          </cell>
          <cell r="O2531" t="str">
            <v>bruno.g@olovrc.com</v>
          </cell>
        </row>
        <row r="2532">
          <cell r="A2532">
            <v>8694042</v>
          </cell>
          <cell r="B2532">
            <v>110055</v>
          </cell>
          <cell r="C2532">
            <v>869</v>
          </cell>
          <cell r="D2532" t="str">
            <v>West Berkshire</v>
          </cell>
          <cell r="E2532">
            <v>4042</v>
          </cell>
          <cell r="F2532" t="str">
            <v>Darren Francis</v>
          </cell>
          <cell r="G2532" t="str">
            <v>Kennet School</v>
          </cell>
          <cell r="H2532" t="str">
            <v>South East</v>
          </cell>
          <cell r="I2532" t="str">
            <v>Stoney Lane</v>
          </cell>
          <cell r="L2532" t="str">
            <v>Thatcham</v>
          </cell>
          <cell r="M2532" t="str">
            <v>Berkshire</v>
          </cell>
          <cell r="N2532" t="str">
            <v>RG19 4LL</v>
          </cell>
          <cell r="O2532" t="str">
            <v>office.kennet@westberks.org</v>
          </cell>
          <cell r="P2532">
            <v>40513</v>
          </cell>
        </row>
        <row r="2533">
          <cell r="A2533">
            <v>8522471</v>
          </cell>
          <cell r="B2533">
            <v>116138</v>
          </cell>
          <cell r="C2533">
            <v>852</v>
          </cell>
          <cell r="D2533" t="str">
            <v>Southampton</v>
          </cell>
          <cell r="E2533">
            <v>2471</v>
          </cell>
          <cell r="F2533" t="str">
            <v>Lindsay Morris</v>
          </cell>
          <cell r="G2533" t="str">
            <v>Oakwood Junior School</v>
          </cell>
          <cell r="H2533" t="str">
            <v>South East</v>
          </cell>
          <cell r="I2533" t="str">
            <v>Sandpiper Road</v>
          </cell>
          <cell r="L2533" t="str">
            <v>Southampton</v>
          </cell>
          <cell r="M2533" t="str">
            <v>Hampshire</v>
          </cell>
          <cell r="N2533" t="str">
            <v>SO16 8FD</v>
          </cell>
          <cell r="O2533" t="str">
            <v>head@oakwoodlive.net</v>
          </cell>
        </row>
        <row r="2534">
          <cell r="A2534">
            <v>8782054</v>
          </cell>
          <cell r="B2534">
            <v>113103</v>
          </cell>
          <cell r="C2534">
            <v>878</v>
          </cell>
          <cell r="D2534" t="str">
            <v>Devon</v>
          </cell>
          <cell r="E2534">
            <v>2054</v>
          </cell>
          <cell r="F2534" t="str">
            <v>Nigel Hutchins</v>
          </cell>
          <cell r="G2534" t="str">
            <v>Newton Poppleford Primary School</v>
          </cell>
          <cell r="H2534" t="str">
            <v>South West</v>
          </cell>
          <cell r="I2534" t="str">
            <v>School Lane</v>
          </cell>
          <cell r="J2534" t="str">
            <v>Newton Poppleford</v>
          </cell>
          <cell r="L2534" t="str">
            <v>Sidmouth</v>
          </cell>
          <cell r="M2534" t="str">
            <v>Devon</v>
          </cell>
          <cell r="N2534" t="str">
            <v>EX10 0EL</v>
          </cell>
          <cell r="O2534" t="str">
            <v>head@newton-poppleford.devon.sch.uk</v>
          </cell>
        </row>
        <row r="2535">
          <cell r="A2535">
            <v>3802121</v>
          </cell>
          <cell r="B2535">
            <v>107260</v>
          </cell>
          <cell r="C2535">
            <v>380</v>
          </cell>
          <cell r="D2535" t="str">
            <v>Bradford</v>
          </cell>
          <cell r="E2535">
            <v>2121</v>
          </cell>
          <cell r="F2535" t="str">
            <v>Glyn Newton</v>
          </cell>
          <cell r="G2535" t="str">
            <v>Haworth Primary School</v>
          </cell>
          <cell r="H2535" t="str">
            <v>Yorkshire and the Humber</v>
          </cell>
          <cell r="I2535" t="str">
            <v>Rawdon Road</v>
          </cell>
          <cell r="J2535" t="str">
            <v>Haworth</v>
          </cell>
          <cell r="L2535" t="str">
            <v>Keighley</v>
          </cell>
          <cell r="M2535" t="str">
            <v>West Yorkshire</v>
          </cell>
          <cell r="N2535" t="str">
            <v>BD22 8DW</v>
          </cell>
          <cell r="O2535" t="str">
            <v>jparkinson@haworth.bradford.sch.uk</v>
          </cell>
        </row>
        <row r="2536">
          <cell r="A2536">
            <v>8112769</v>
          </cell>
          <cell r="B2536">
            <v>117884</v>
          </cell>
          <cell r="C2536">
            <v>811</v>
          </cell>
          <cell r="D2536" t="str">
            <v>East Riding of Yorkshire</v>
          </cell>
          <cell r="E2536">
            <v>2769</v>
          </cell>
          <cell r="F2536" t="str">
            <v>Glyn Newton</v>
          </cell>
          <cell r="G2536" t="str">
            <v>Swanland Primary School</v>
          </cell>
          <cell r="H2536" t="str">
            <v>Yorkshire and the Humber</v>
          </cell>
          <cell r="I2536" t="str">
            <v>Tranby Lane</v>
          </cell>
          <cell r="J2536" t="str">
            <v>Swanland</v>
          </cell>
          <cell r="L2536" t="str">
            <v>North Ferriby</v>
          </cell>
          <cell r="N2536" t="str">
            <v>HU14 3NE</v>
          </cell>
          <cell r="O2536" t="str">
            <v>headswan@aol.com</v>
          </cell>
          <cell r="P2536">
            <v>40616</v>
          </cell>
        </row>
        <row r="2537">
          <cell r="A2537">
            <v>9092319</v>
          </cell>
          <cell r="B2537">
            <v>112188</v>
          </cell>
          <cell r="C2537">
            <v>909</v>
          </cell>
          <cell r="D2537" t="str">
            <v>Cumbria</v>
          </cell>
          <cell r="E2537">
            <v>2319</v>
          </cell>
          <cell r="F2537" t="str">
            <v>Linda Tiley</v>
          </cell>
          <cell r="G2537" t="str">
            <v>Stramongate</v>
          </cell>
          <cell r="H2537" t="str">
            <v>North West</v>
          </cell>
          <cell r="I2537" t="str">
            <v>Blackhall Road</v>
          </cell>
          <cell r="L2537" t="str">
            <v>Kendal</v>
          </cell>
          <cell r="M2537" t="str">
            <v>Cumbria</v>
          </cell>
          <cell r="N2537" t="str">
            <v>LA9 4BT</v>
          </cell>
          <cell r="O2537" t="str">
            <v>head@stramongate.cumbria.sch.uk</v>
          </cell>
          <cell r="P2537">
            <v>40609</v>
          </cell>
        </row>
        <row r="2538">
          <cell r="A2538">
            <v>8822132</v>
          </cell>
          <cell r="B2538">
            <v>114793</v>
          </cell>
          <cell r="C2538">
            <v>882</v>
          </cell>
          <cell r="D2538" t="str">
            <v>Southend-on-Sea</v>
          </cell>
          <cell r="E2538">
            <v>2132</v>
          </cell>
          <cell r="F2538" t="str">
            <v>Michael Cook</v>
          </cell>
          <cell r="G2538" t="str">
            <v>Temple Sutton Primary School</v>
          </cell>
          <cell r="H2538" t="str">
            <v>East of England</v>
          </cell>
          <cell r="I2538" t="str">
            <v>Eastern Avenue</v>
          </cell>
          <cell r="L2538" t="str">
            <v>Southend-on-Sea</v>
          </cell>
          <cell r="M2538" t="str">
            <v>Essex</v>
          </cell>
          <cell r="N2538" t="str">
            <v>SS2 4BA</v>
          </cell>
          <cell r="O2538" t="str">
            <v>office@sutton.southend.sch.uk</v>
          </cell>
        </row>
        <row r="2539">
          <cell r="A2539">
            <v>2054106</v>
          </cell>
          <cell r="B2539">
            <v>100358</v>
          </cell>
          <cell r="C2539">
            <v>205</v>
          </cell>
          <cell r="D2539" t="str">
            <v>Hammersmith and Fulham</v>
          </cell>
          <cell r="E2539">
            <v>4106</v>
          </cell>
          <cell r="F2539" t="str">
            <v>Bola Bakrin</v>
          </cell>
          <cell r="G2539" t="str">
            <v>Fulham College Boys' School</v>
          </cell>
          <cell r="H2539" t="str">
            <v>London</v>
          </cell>
          <cell r="I2539" t="str">
            <v>Kingwood Road</v>
          </cell>
          <cell r="J2539" t="str">
            <v>Fulham Palace Road</v>
          </cell>
          <cell r="L2539" t="str">
            <v>London</v>
          </cell>
          <cell r="N2539" t="str">
            <v>SW6 6SN</v>
          </cell>
          <cell r="O2539" t="str">
            <v>berniepeploefcgs@hotmail.com</v>
          </cell>
          <cell r="P2539">
            <v>41184</v>
          </cell>
        </row>
        <row r="2540">
          <cell r="A2540">
            <v>8354801</v>
          </cell>
          <cell r="B2540">
            <v>113896</v>
          </cell>
          <cell r="C2540">
            <v>835</v>
          </cell>
          <cell r="D2540" t="str">
            <v>Dorset</v>
          </cell>
          <cell r="E2540">
            <v>4801</v>
          </cell>
          <cell r="F2540" t="str">
            <v>Tahamina Khan</v>
          </cell>
          <cell r="G2540" t="str">
            <v>All Saints' Church of England School, Weymouth</v>
          </cell>
          <cell r="H2540" t="str">
            <v>South West</v>
          </cell>
          <cell r="I2540" t="str">
            <v>Sunnyside Road</v>
          </cell>
          <cell r="J2540" t="str">
            <v>Wyke Regis</v>
          </cell>
          <cell r="L2540" t="str">
            <v>Weymouth</v>
          </cell>
          <cell r="M2540" t="str">
            <v>Dorset</v>
          </cell>
          <cell r="N2540" t="str">
            <v>DT4 9BJ</v>
          </cell>
          <cell r="O2540" t="str">
            <v>timbalmforth@allsaints.dorset.sch.uk</v>
          </cell>
        </row>
        <row r="2541">
          <cell r="A2541">
            <v>8554043</v>
          </cell>
          <cell r="B2541">
            <v>120263</v>
          </cell>
          <cell r="C2541">
            <v>855</v>
          </cell>
          <cell r="D2541" t="str">
            <v>Leicestershire</v>
          </cell>
          <cell r="E2541">
            <v>4043</v>
          </cell>
          <cell r="F2541" t="str">
            <v>Stephen Standret</v>
          </cell>
          <cell r="G2541" t="str">
            <v>Manor High School</v>
          </cell>
          <cell r="H2541" t="str">
            <v>East Midlands</v>
          </cell>
          <cell r="I2541" t="str">
            <v>Copse Close</v>
          </cell>
          <cell r="J2541" t="str">
            <v>Oadby</v>
          </cell>
          <cell r="L2541" t="str">
            <v>Leicester</v>
          </cell>
          <cell r="M2541" t="str">
            <v>Leicestershire</v>
          </cell>
          <cell r="N2541" t="str">
            <v>LE2 4FU</v>
          </cell>
          <cell r="O2541" t="str">
            <v>smajor@manorhigh.leics.sch.uk</v>
          </cell>
          <cell r="P2541">
            <v>40506</v>
          </cell>
        </row>
        <row r="2542">
          <cell r="A2542">
            <v>8732209</v>
          </cell>
          <cell r="B2542">
            <v>110677</v>
          </cell>
          <cell r="C2542">
            <v>873</v>
          </cell>
          <cell r="D2542" t="str">
            <v>Cambridgeshire</v>
          </cell>
          <cell r="E2542">
            <v>2209</v>
          </cell>
          <cell r="F2542" t="str">
            <v>Yvonne Reddington</v>
          </cell>
          <cell r="G2542" t="str">
            <v>Godmanchester Primary School</v>
          </cell>
          <cell r="H2542" t="str">
            <v>East of England</v>
          </cell>
          <cell r="I2542" t="str">
            <v>Park Lane</v>
          </cell>
          <cell r="J2542" t="str">
            <v>Godmanchester</v>
          </cell>
          <cell r="L2542" t="str">
            <v>Huntingdon</v>
          </cell>
          <cell r="M2542" t="str">
            <v>Cambridgeshire</v>
          </cell>
          <cell r="N2542" t="str">
            <v>PE29 2AG</v>
          </cell>
          <cell r="O2542" t="str">
            <v>Head@godmanchester.cambs.sch.uk</v>
          </cell>
          <cell r="P2542">
            <v>40875</v>
          </cell>
        </row>
        <row r="2543">
          <cell r="A2543">
            <v>3102045</v>
          </cell>
          <cell r="B2543">
            <v>102181</v>
          </cell>
          <cell r="C2543">
            <v>310</v>
          </cell>
          <cell r="D2543" t="str">
            <v>Harrow</v>
          </cell>
          <cell r="E2543">
            <v>2045</v>
          </cell>
          <cell r="F2543" t="str">
            <v>Helen Fisher</v>
          </cell>
          <cell r="G2543" t="str">
            <v>Newton Farm School</v>
          </cell>
          <cell r="H2543" t="str">
            <v>London</v>
          </cell>
          <cell r="I2543" t="str">
            <v>Ravenswood Crescent</v>
          </cell>
          <cell r="J2543" t="str">
            <v>South Harrow</v>
          </cell>
          <cell r="L2543" t="str">
            <v>Harrow</v>
          </cell>
          <cell r="N2543" t="str">
            <v>HA2 9JU</v>
          </cell>
          <cell r="O2543" t="str">
            <v>office@newtonfarm.harrow.sch.uk</v>
          </cell>
        </row>
        <row r="2544">
          <cell r="A2544">
            <v>9255424</v>
          </cell>
          <cell r="B2544">
            <v>120720</v>
          </cell>
          <cell r="C2544">
            <v>925</v>
          </cell>
          <cell r="D2544" t="str">
            <v>Lincolnshire</v>
          </cell>
          <cell r="E2544">
            <v>5424</v>
          </cell>
          <cell r="F2544" t="str">
            <v>Sue Harp</v>
          </cell>
          <cell r="G2544" t="str">
            <v>The Boston Grammar School</v>
          </cell>
          <cell r="H2544" t="str">
            <v>East Midlands</v>
          </cell>
          <cell r="I2544" t="str">
            <v>South End</v>
          </cell>
          <cell r="L2544" t="str">
            <v>Boston</v>
          </cell>
          <cell r="M2544" t="str">
            <v>Lincolnshire</v>
          </cell>
          <cell r="N2544" t="str">
            <v>PE21 6JY</v>
          </cell>
          <cell r="O2544" t="str">
            <v>paul.marsh@bostongrammarschool.co.uk</v>
          </cell>
          <cell r="P2544">
            <v>41117</v>
          </cell>
        </row>
        <row r="2545">
          <cell r="A2545">
            <v>8832552</v>
          </cell>
          <cell r="B2545">
            <v>114890</v>
          </cell>
          <cell r="C2545">
            <v>883</v>
          </cell>
          <cell r="D2545" t="str">
            <v>Thurrock</v>
          </cell>
          <cell r="E2545">
            <v>2552</v>
          </cell>
          <cell r="F2545" t="str">
            <v>Stella Aina</v>
          </cell>
          <cell r="G2545" t="str">
            <v>Lansdowne Primary School</v>
          </cell>
          <cell r="H2545" t="str">
            <v>East of England</v>
          </cell>
          <cell r="I2545" t="str">
            <v>Lansdowne Road</v>
          </cell>
          <cell r="L2545" t="str">
            <v>Tilbury</v>
          </cell>
          <cell r="M2545" t="str">
            <v>Essex</v>
          </cell>
          <cell r="N2545" t="str">
            <v>RM18 7QB</v>
          </cell>
          <cell r="O2545" t="str">
            <v>headteacher@lansdowneprimary.org</v>
          </cell>
          <cell r="P2545">
            <v>40763</v>
          </cell>
        </row>
        <row r="2546">
          <cell r="A2546">
            <v>3844029</v>
          </cell>
          <cell r="B2546">
            <v>108281</v>
          </cell>
          <cell r="C2546">
            <v>384</v>
          </cell>
          <cell r="D2546" t="str">
            <v>Wakefield</v>
          </cell>
          <cell r="E2546">
            <v>4029</v>
          </cell>
          <cell r="F2546" t="str">
            <v>John Edmunds</v>
          </cell>
          <cell r="G2546" t="str">
            <v>Crofton High School - Specialists in Maths and Computing</v>
          </cell>
          <cell r="H2546" t="str">
            <v>Yorkshire and the Humber</v>
          </cell>
          <cell r="I2546" t="str">
            <v>High Street</v>
          </cell>
          <cell r="J2546" t="str">
            <v>Crofton</v>
          </cell>
          <cell r="L2546" t="str">
            <v>Wakefield</v>
          </cell>
          <cell r="M2546" t="str">
            <v>West Yorkshire</v>
          </cell>
          <cell r="N2546" t="str">
            <v>WF4 1NF</v>
          </cell>
          <cell r="O2546" t="str">
            <v>headteacher@croftonhigh.wakefield.sch.uk</v>
          </cell>
          <cell r="P2546">
            <v>40577</v>
          </cell>
        </row>
        <row r="2547">
          <cell r="A2547">
            <v>8922081</v>
          </cell>
          <cell r="B2547">
            <v>122428</v>
          </cell>
          <cell r="C2547">
            <v>892</v>
          </cell>
          <cell r="D2547" t="str">
            <v>Nottingham</v>
          </cell>
          <cell r="E2547">
            <v>2081</v>
          </cell>
          <cell r="F2547" t="str">
            <v>Grant Dyson</v>
          </cell>
          <cell r="G2547" t="str">
            <v>Northgate Primary and Nursery School</v>
          </cell>
          <cell r="H2547" t="str">
            <v>East Midlands</v>
          </cell>
          <cell r="I2547" t="str">
            <v>Suez Street</v>
          </cell>
          <cell r="J2547" t="str">
            <v>New Basford</v>
          </cell>
          <cell r="L2547" t="str">
            <v>Nottingham</v>
          </cell>
          <cell r="M2547" t="str">
            <v>Nottinghamshire</v>
          </cell>
          <cell r="N2547" t="str">
            <v>NG7 7GB</v>
          </cell>
          <cell r="O2547" t="str">
            <v>headteacher@northgate.nottingham.sch.uk</v>
          </cell>
          <cell r="P2547">
            <v>40533</v>
          </cell>
        </row>
        <row r="2548">
          <cell r="A2548">
            <v>3302439</v>
          </cell>
          <cell r="B2548">
            <v>103366</v>
          </cell>
          <cell r="C2548">
            <v>330</v>
          </cell>
          <cell r="D2548" t="str">
            <v>Birmingham</v>
          </cell>
          <cell r="E2548">
            <v>2439</v>
          </cell>
          <cell r="F2548" t="str">
            <v>Ruth Pallister</v>
          </cell>
          <cell r="G2548" t="str">
            <v>Tame Valley Community School</v>
          </cell>
          <cell r="H2548" t="str">
            <v>West Midlands</v>
          </cell>
          <cell r="I2548" t="str">
            <v>Chillinghome Road</v>
          </cell>
          <cell r="L2548" t="str">
            <v>Birmingham</v>
          </cell>
          <cell r="M2548" t="str">
            <v>West Midlands</v>
          </cell>
          <cell r="N2548" t="str">
            <v>B36 8QJ</v>
          </cell>
          <cell r="O2548" t="str">
            <v>enquiry@tamevall.bham.sch.uk</v>
          </cell>
        </row>
        <row r="2549">
          <cell r="A2549">
            <v>3084015</v>
          </cell>
          <cell r="B2549">
            <v>102044</v>
          </cell>
          <cell r="C2549">
            <v>308</v>
          </cell>
          <cell r="D2549" t="str">
            <v>Enfield</v>
          </cell>
          <cell r="E2549">
            <v>4015</v>
          </cell>
          <cell r="F2549" t="str">
            <v>Martin Rowley</v>
          </cell>
          <cell r="G2549" t="str">
            <v>Kingsmead School</v>
          </cell>
          <cell r="H2549" t="str">
            <v>London</v>
          </cell>
          <cell r="I2549" t="str">
            <v>Southbury Road</v>
          </cell>
          <cell r="L2549" t="str">
            <v>Enfield</v>
          </cell>
          <cell r="N2549" t="str">
            <v>EN1 1YQ</v>
          </cell>
          <cell r="O2549" t="str">
            <v>yvonne.barry@kingsmead.org;</v>
          </cell>
          <cell r="P2549">
            <v>40358</v>
          </cell>
        </row>
        <row r="2550">
          <cell r="A2550">
            <v>2102852</v>
          </cell>
          <cell r="B2550">
            <v>100818</v>
          </cell>
          <cell r="C2550">
            <v>210</v>
          </cell>
          <cell r="D2550" t="str">
            <v>Southwark</v>
          </cell>
          <cell r="E2550">
            <v>2852</v>
          </cell>
          <cell r="F2550" t="str">
            <v>Anita Bihal</v>
          </cell>
          <cell r="G2550" t="str">
            <v>Pilgrims' Way Primary School</v>
          </cell>
          <cell r="H2550" t="str">
            <v>London</v>
          </cell>
          <cell r="I2550" t="str">
            <v>Tustin Estate</v>
          </cell>
          <cell r="J2550" t="str">
            <v>Manor Grove</v>
          </cell>
          <cell r="K2550" t="str">
            <v>Peckham</v>
          </cell>
          <cell r="L2550" t="str">
            <v>London</v>
          </cell>
          <cell r="N2550" t="str">
            <v>SE15 1EF</v>
          </cell>
          <cell r="O2550" t="str">
            <v>headteacher@pilgrimsway.southwark.sch.uk</v>
          </cell>
        </row>
        <row r="2551">
          <cell r="A2551">
            <v>3737036</v>
          </cell>
          <cell r="B2551">
            <v>107182</v>
          </cell>
          <cell r="C2551">
            <v>373</v>
          </cell>
          <cell r="D2551" t="str">
            <v>Sheffield</v>
          </cell>
          <cell r="E2551">
            <v>7036</v>
          </cell>
          <cell r="F2551" t="str">
            <v>Bev Annables</v>
          </cell>
          <cell r="G2551" t="str">
            <v>Mossbrook School</v>
          </cell>
          <cell r="H2551" t="str">
            <v>Yorkshire and the Humber</v>
          </cell>
          <cell r="I2551" t="str">
            <v>Bochum Parkway</v>
          </cell>
          <cell r="L2551" t="str">
            <v>Sheffield</v>
          </cell>
          <cell r="M2551" t="str">
            <v>South Yorkshire</v>
          </cell>
          <cell r="N2551" t="str">
            <v>S8 8JR</v>
          </cell>
          <cell r="O2551" t="str">
            <v>headteacher@mossbrook.sheffield.sch.uk</v>
          </cell>
        </row>
        <row r="2552">
          <cell r="A2552">
            <v>9254059</v>
          </cell>
          <cell r="B2552">
            <v>120652</v>
          </cell>
          <cell r="C2552">
            <v>925</v>
          </cell>
          <cell r="D2552" t="str">
            <v>Lincolnshire</v>
          </cell>
          <cell r="E2552">
            <v>4059</v>
          </cell>
          <cell r="F2552" t="str">
            <v>Not yet assigned</v>
          </cell>
          <cell r="G2552" t="str">
            <v>The Mablethorpe Tennyson High School</v>
          </cell>
          <cell r="H2552" t="str">
            <v>East Midlands</v>
          </cell>
          <cell r="I2552" t="str">
            <v>Seaholme Road</v>
          </cell>
          <cell r="L2552" t="str">
            <v>Mablethorpe</v>
          </cell>
          <cell r="M2552" t="str">
            <v>Lincolnshire</v>
          </cell>
          <cell r="N2552" t="str">
            <v>LN12 2DF</v>
          </cell>
          <cell r="O2552" t="str">
            <v>cro@monksdyke.lincs.sch.uk</v>
          </cell>
        </row>
        <row r="2553">
          <cell r="A2553">
            <v>3942107</v>
          </cell>
          <cell r="B2553">
            <v>108796</v>
          </cell>
          <cell r="C2553">
            <v>394</v>
          </cell>
          <cell r="D2553" t="str">
            <v>Sunderland</v>
          </cell>
          <cell r="E2553">
            <v>2107</v>
          </cell>
          <cell r="F2553" t="str">
            <v>June Laughton</v>
          </cell>
          <cell r="G2553" t="str">
            <v>Eppleton Primary School</v>
          </cell>
          <cell r="H2553" t="str">
            <v>North East</v>
          </cell>
          <cell r="I2553" t="str">
            <v>Church Road</v>
          </cell>
          <cell r="J2553" t="str">
            <v>Hetton-le-Hole</v>
          </cell>
          <cell r="L2553" t="str">
            <v>Houghton le Spring</v>
          </cell>
          <cell r="M2553" t="str">
            <v>Tyne and Wear</v>
          </cell>
          <cell r="N2553" t="str">
            <v>DH5 9AJ</v>
          </cell>
          <cell r="O2553" t="str">
            <v>carolyn.murray@schools.sunderland.gov.uk</v>
          </cell>
          <cell r="P2553">
            <v>40927</v>
          </cell>
        </row>
        <row r="2554">
          <cell r="A2554">
            <v>8862625</v>
          </cell>
          <cell r="B2554">
            <v>118546</v>
          </cell>
          <cell r="C2554">
            <v>886</v>
          </cell>
          <cell r="D2554" t="str">
            <v>Kent</v>
          </cell>
          <cell r="E2554">
            <v>2625</v>
          </cell>
          <cell r="F2554" t="str">
            <v>Not yet assigned</v>
          </cell>
          <cell r="G2554" t="str">
            <v>Godinton Primary School</v>
          </cell>
          <cell r="H2554" t="str">
            <v>South East</v>
          </cell>
          <cell r="I2554" t="str">
            <v>Lockholt Close</v>
          </cell>
          <cell r="L2554" t="str">
            <v>Ashford</v>
          </cell>
          <cell r="M2554" t="str">
            <v>Kent</v>
          </cell>
          <cell r="N2554" t="str">
            <v>TN23 3JR</v>
          </cell>
          <cell r="O2554" t="str">
            <v>headteacher@godinton.kent.sch.uk</v>
          </cell>
        </row>
        <row r="2555">
          <cell r="A2555">
            <v>8914583</v>
          </cell>
          <cell r="B2555">
            <v>131360</v>
          </cell>
          <cell r="C2555">
            <v>891</v>
          </cell>
          <cell r="D2555" t="str">
            <v>Nottinghamshire</v>
          </cell>
          <cell r="E2555">
            <v>4583</v>
          </cell>
          <cell r="F2555" t="str">
            <v>Grant Dyson</v>
          </cell>
          <cell r="G2555" t="str">
            <v>Magnus CofE School</v>
          </cell>
          <cell r="H2555" t="str">
            <v>East Midlands</v>
          </cell>
          <cell r="I2555" t="str">
            <v>Earp Avenue</v>
          </cell>
          <cell r="L2555" t="str">
            <v>Newark</v>
          </cell>
          <cell r="M2555" t="str">
            <v>Nottinghamshire</v>
          </cell>
          <cell r="N2555" t="str">
            <v>NG24 4AB</v>
          </cell>
          <cell r="O2555" t="str">
            <v>philip.blinston@magnuscofe.notts.sch.uk</v>
          </cell>
        </row>
        <row r="2556">
          <cell r="A2556">
            <v>8521115</v>
          </cell>
          <cell r="B2556">
            <v>134529</v>
          </cell>
          <cell r="C2556">
            <v>852</v>
          </cell>
          <cell r="D2556" t="str">
            <v>Southampton</v>
          </cell>
          <cell r="E2556">
            <v>1115</v>
          </cell>
          <cell r="F2556" t="str">
            <v>Tahir Shams</v>
          </cell>
          <cell r="G2556" t="str">
            <v>Tremona Road Hospital and Home</v>
          </cell>
          <cell r="H2556" t="str">
            <v>South East</v>
          </cell>
          <cell r="I2556" t="str">
            <v>Education Service</v>
          </cell>
          <cell r="J2556" t="str">
            <v>Southampton General Hospital</v>
          </cell>
          <cell r="K2556" t="str">
            <v>Tremona Road</v>
          </cell>
          <cell r="L2556" t="str">
            <v>Southampton</v>
          </cell>
          <cell r="M2556" t="str">
            <v>Hampshire</v>
          </cell>
          <cell r="N2556" t="str">
            <v>SO16 6HU</v>
          </cell>
          <cell r="O2556" t="str">
            <v>head@tremona.southampton.sch.uk</v>
          </cell>
          <cell r="P2556">
            <v>41247</v>
          </cell>
        </row>
        <row r="2557">
          <cell r="A2557">
            <v>3714029</v>
          </cell>
          <cell r="B2557">
            <v>106786</v>
          </cell>
          <cell r="C2557">
            <v>371</v>
          </cell>
          <cell r="D2557" t="str">
            <v>Doncaster</v>
          </cell>
          <cell r="E2557">
            <v>4029</v>
          </cell>
          <cell r="F2557" t="str">
            <v>Lisa Sargeant</v>
          </cell>
          <cell r="G2557" t="str">
            <v>Don Valley School and Performing Arts College</v>
          </cell>
          <cell r="H2557" t="str">
            <v>Yorkshire and the Humber</v>
          </cell>
          <cell r="I2557" t="str">
            <v>Jossey Lane</v>
          </cell>
          <cell r="J2557" t="str">
            <v>Scawthorpe</v>
          </cell>
          <cell r="L2557" t="str">
            <v>Doncaster</v>
          </cell>
          <cell r="M2557" t="str">
            <v>South Yorkshire</v>
          </cell>
          <cell r="N2557" t="str">
            <v>DN5 9DD</v>
          </cell>
          <cell r="O2557" t="str">
            <v>hdo@donvalley.co.uk</v>
          </cell>
          <cell r="P2557">
            <v>40610</v>
          </cell>
        </row>
        <row r="2558">
          <cell r="A2558">
            <v>8454041</v>
          </cell>
          <cell r="B2558">
            <v>114593</v>
          </cell>
          <cell r="C2558">
            <v>845</v>
          </cell>
          <cell r="D2558" t="str">
            <v>East Sussex</v>
          </cell>
          <cell r="E2558">
            <v>4041</v>
          </cell>
          <cell r="F2558" t="str">
            <v>Sarah Mitchell</v>
          </cell>
          <cell r="G2558" t="str">
            <v>Ringmer Community College</v>
          </cell>
          <cell r="H2558" t="str">
            <v>South East</v>
          </cell>
          <cell r="I2558" t="str">
            <v>Lewes Road</v>
          </cell>
          <cell r="J2558" t="str">
            <v>Ringmer</v>
          </cell>
          <cell r="L2558" t="str">
            <v>Lewes</v>
          </cell>
          <cell r="M2558" t="str">
            <v>East Sussex</v>
          </cell>
          <cell r="N2558" t="str">
            <v>BN8 5RB</v>
          </cell>
          <cell r="O2558" t="str">
            <v>kstonier@ringmer.e-sussex.sch.uk</v>
          </cell>
          <cell r="P2558">
            <v>40590</v>
          </cell>
        </row>
        <row r="2559">
          <cell r="A2559">
            <v>8014031</v>
          </cell>
          <cell r="B2559">
            <v>109279</v>
          </cell>
          <cell r="C2559">
            <v>801</v>
          </cell>
          <cell r="D2559" t="str">
            <v>Bristol City of</v>
          </cell>
          <cell r="E2559">
            <v>4031</v>
          </cell>
          <cell r="F2559" t="str">
            <v>Niko Thomas</v>
          </cell>
          <cell r="G2559" t="str">
            <v>Henbury School</v>
          </cell>
          <cell r="H2559" t="str">
            <v>South West</v>
          </cell>
          <cell r="I2559" t="str">
            <v>Station Road</v>
          </cell>
          <cell r="J2559" t="str">
            <v>Henbury</v>
          </cell>
          <cell r="L2559" t="str">
            <v>Bristol</v>
          </cell>
          <cell r="N2559" t="str">
            <v>BS10 7QH</v>
          </cell>
          <cell r="O2559" t="str">
            <v>headhenbury@bristol.gov.uk</v>
          </cell>
          <cell r="P2559">
            <v>40675</v>
          </cell>
        </row>
        <row r="2560">
          <cell r="A2560">
            <v>3414431</v>
          </cell>
          <cell r="B2560">
            <v>104702</v>
          </cell>
          <cell r="C2560">
            <v>341</v>
          </cell>
          <cell r="D2560" t="str">
            <v>Liverpool</v>
          </cell>
          <cell r="E2560">
            <v>4431</v>
          </cell>
          <cell r="F2560" t="str">
            <v>Maria Sabberton</v>
          </cell>
          <cell r="G2560" t="str">
            <v>Parklands High School</v>
          </cell>
          <cell r="H2560" t="str">
            <v>North West</v>
          </cell>
          <cell r="I2560" t="str">
            <v>Ganworth Road</v>
          </cell>
          <cell r="J2560" t="str">
            <v>Speke</v>
          </cell>
          <cell r="L2560" t="str">
            <v>Liverpool</v>
          </cell>
          <cell r="M2560" t="str">
            <v>Merseyside</v>
          </cell>
          <cell r="N2560" t="str">
            <v>L24 2RZ</v>
          </cell>
          <cell r="O2560" t="str">
            <v>st-sharplesy@parklands.liverpool.sch.uk</v>
          </cell>
        </row>
        <row r="2561">
          <cell r="A2561">
            <v>3305400</v>
          </cell>
          <cell r="B2561">
            <v>103547</v>
          </cell>
          <cell r="C2561">
            <v>330</v>
          </cell>
          <cell r="D2561" t="str">
            <v>Birmingham</v>
          </cell>
          <cell r="E2561">
            <v>5400</v>
          </cell>
          <cell r="F2561" t="str">
            <v>Carol Ions</v>
          </cell>
          <cell r="G2561" t="str">
            <v>Baverstock Foundation School and Specialist Sports College</v>
          </cell>
          <cell r="H2561" t="str">
            <v>West Midlands</v>
          </cell>
          <cell r="I2561" t="str">
            <v>501 Bells Lane</v>
          </cell>
          <cell r="J2561" t="str">
            <v>Druids Heath</v>
          </cell>
          <cell r="L2561" t="str">
            <v>Birmingham</v>
          </cell>
          <cell r="M2561" t="str">
            <v>West Midlands</v>
          </cell>
          <cell r="N2561" t="str">
            <v>B14 5TL</v>
          </cell>
          <cell r="O2561" t="str">
            <v>Marshalltc@baverstock.bham.sch.uk</v>
          </cell>
          <cell r="P2561">
            <v>41218</v>
          </cell>
        </row>
        <row r="2562">
          <cell r="A2562">
            <v>8265208</v>
          </cell>
          <cell r="B2562">
            <v>135870</v>
          </cell>
          <cell r="C2562">
            <v>826</v>
          </cell>
          <cell r="D2562" t="str">
            <v>Milton Keynes</v>
          </cell>
          <cell r="E2562">
            <v>5208</v>
          </cell>
          <cell r="F2562" t="str">
            <v>Sarah Nairne</v>
          </cell>
          <cell r="G2562" t="str">
            <v>Rickley Park Primary School</v>
          </cell>
          <cell r="H2562" t="str">
            <v>South East</v>
          </cell>
          <cell r="I2562" t="str">
            <v>Rickley Lane</v>
          </cell>
          <cell r="L2562" t="str">
            <v>Bletchley</v>
          </cell>
          <cell r="M2562" t="str">
            <v>Buckinghamshire</v>
          </cell>
          <cell r="N2562" t="str">
            <v>MK3 6EW</v>
          </cell>
          <cell r="O2562" t="str">
            <v>mark.bateman@milton-keynes.gov.uk</v>
          </cell>
          <cell r="P2562">
            <v>41040</v>
          </cell>
        </row>
        <row r="2563">
          <cell r="A2563">
            <v>9354604</v>
          </cell>
          <cell r="B2563">
            <v>135863</v>
          </cell>
          <cell r="C2563">
            <v>935</v>
          </cell>
          <cell r="D2563" t="str">
            <v>Suffolk</v>
          </cell>
          <cell r="E2563">
            <v>4604</v>
          </cell>
          <cell r="F2563" t="str">
            <v>Joe Farrell</v>
          </cell>
          <cell r="G2563" t="str">
            <v>Suffolk One</v>
          </cell>
          <cell r="H2563" t="str">
            <v>East of England</v>
          </cell>
          <cell r="I2563" t="str">
            <v>South of London Road</v>
          </cell>
          <cell r="J2563" t="str">
            <v>Scrivener Drive</v>
          </cell>
          <cell r="L2563" t="str">
            <v>Ipswich</v>
          </cell>
          <cell r="M2563" t="str">
            <v>Suffolk</v>
          </cell>
          <cell r="N2563" t="str">
            <v>IP8 3SU</v>
          </cell>
          <cell r="O2563" t="str">
            <v>admin@suffolkone.org</v>
          </cell>
          <cell r="P2563">
            <v>41208</v>
          </cell>
        </row>
        <row r="2564">
          <cell r="A2564">
            <v>8052151</v>
          </cell>
          <cell r="B2564">
            <v>111589</v>
          </cell>
          <cell r="C2564">
            <v>805</v>
          </cell>
          <cell r="D2564" t="str">
            <v>Hartlepool</v>
          </cell>
          <cell r="E2564">
            <v>2151</v>
          </cell>
          <cell r="F2564" t="str">
            <v>Carol Blain</v>
          </cell>
          <cell r="G2564" t="str">
            <v>Eldon Grove Primary School</v>
          </cell>
          <cell r="H2564" t="str">
            <v>North East</v>
          </cell>
          <cell r="I2564" t="str">
            <v>Eldon Grove</v>
          </cell>
          <cell r="L2564" t="str">
            <v>Hartlepool</v>
          </cell>
          <cell r="M2564" t="str">
            <v>Teesside</v>
          </cell>
          <cell r="N2564" t="str">
            <v>TS26 9LY</v>
          </cell>
          <cell r="O2564" t="str">
            <v>head.eldongrove@hartlepool.gov.uk</v>
          </cell>
        </row>
        <row r="2565">
          <cell r="A2565">
            <v>8604112</v>
          </cell>
          <cell r="B2565">
            <v>124417</v>
          </cell>
          <cell r="C2565">
            <v>860</v>
          </cell>
          <cell r="D2565" t="str">
            <v>Staffordshire</v>
          </cell>
          <cell r="E2565">
            <v>4112</v>
          </cell>
          <cell r="F2565" t="str">
            <v>Liz Robinson</v>
          </cell>
          <cell r="G2565" t="str">
            <v>Alleyne's High School</v>
          </cell>
          <cell r="H2565" t="str">
            <v>West Midlands</v>
          </cell>
          <cell r="I2565" t="str">
            <v>Oulton Road</v>
          </cell>
          <cell r="L2565" t="str">
            <v>Stone</v>
          </cell>
          <cell r="M2565" t="str">
            <v>Staffordshire</v>
          </cell>
          <cell r="N2565" t="str">
            <v>ST15 8DT</v>
          </cell>
          <cell r="O2565" t="str">
            <v>k.lockett@alleynes.staffs.sch.uk</v>
          </cell>
          <cell r="P2565">
            <v>41113</v>
          </cell>
        </row>
        <row r="2566">
          <cell r="A2566">
            <v>8012034</v>
          </cell>
          <cell r="B2566">
            <v>108928</v>
          </cell>
          <cell r="C2566">
            <v>801</v>
          </cell>
          <cell r="D2566" t="str">
            <v>Bristol City of</v>
          </cell>
          <cell r="E2566">
            <v>2034</v>
          </cell>
          <cell r="F2566" t="str">
            <v>Sarah Hall</v>
          </cell>
          <cell r="G2566" t="str">
            <v>Filton Avenue Infant School</v>
          </cell>
          <cell r="H2566" t="str">
            <v>South West</v>
          </cell>
          <cell r="I2566" t="str">
            <v>Lockleaze Road</v>
          </cell>
          <cell r="J2566" t="str">
            <v>Horfield</v>
          </cell>
          <cell r="L2566" t="str">
            <v>Bristol</v>
          </cell>
          <cell r="N2566" t="str">
            <v>BS7 9RP</v>
          </cell>
          <cell r="O2566" t="str">
            <v>headfiltonavei@bristol.gov.uk</v>
          </cell>
          <cell r="P2566">
            <v>40871</v>
          </cell>
        </row>
        <row r="2567">
          <cell r="A2567">
            <v>8825423</v>
          </cell>
          <cell r="B2567">
            <v>115339</v>
          </cell>
          <cell r="C2567">
            <v>882</v>
          </cell>
          <cell r="D2567" t="str">
            <v>Southend-on-Sea</v>
          </cell>
          <cell r="E2567">
            <v>5423</v>
          </cell>
          <cell r="F2567" t="str">
            <v>Michael Cook</v>
          </cell>
          <cell r="G2567" t="str">
            <v>Westcliff High School for Girls</v>
          </cell>
          <cell r="H2567" t="str">
            <v>East of England</v>
          </cell>
          <cell r="I2567" t="str">
            <v>Kenilworth Gardens</v>
          </cell>
          <cell r="L2567" t="str">
            <v>Westcliff-on-Sea</v>
          </cell>
          <cell r="M2567" t="str">
            <v>Essex</v>
          </cell>
          <cell r="N2567" t="str">
            <v>SS0 0BS</v>
          </cell>
          <cell r="O2567" t="str">
            <v>st-paul.hayman@whsg.info</v>
          </cell>
          <cell r="P2567">
            <v>40526</v>
          </cell>
        </row>
        <row r="2568">
          <cell r="A2568">
            <v>9334309</v>
          </cell>
          <cell r="B2568">
            <v>123882</v>
          </cell>
          <cell r="C2568">
            <v>933</v>
          </cell>
          <cell r="D2568" t="str">
            <v>Somerset</v>
          </cell>
          <cell r="E2568">
            <v>4309</v>
          </cell>
          <cell r="F2568" t="str">
            <v>Maria Whiting</v>
          </cell>
          <cell r="G2568" t="str">
            <v>Haygrove School</v>
          </cell>
          <cell r="H2568" t="str">
            <v>South West</v>
          </cell>
          <cell r="I2568" t="str">
            <v>Durleigh Road</v>
          </cell>
          <cell r="L2568" t="str">
            <v>Bridgwater</v>
          </cell>
          <cell r="M2568" t="str">
            <v>Somerset</v>
          </cell>
          <cell r="N2568" t="str">
            <v>TA6 7HW</v>
          </cell>
          <cell r="O2568" t="str">
            <v>kcanham@educ.somerset.gov.uk</v>
          </cell>
          <cell r="P2568">
            <v>40632</v>
          </cell>
        </row>
        <row r="2569">
          <cell r="A2569">
            <v>9082431</v>
          </cell>
          <cell r="B2569">
            <v>111893</v>
          </cell>
          <cell r="C2569">
            <v>908</v>
          </cell>
          <cell r="D2569" t="str">
            <v>Cornwall</v>
          </cell>
          <cell r="E2569">
            <v>2431</v>
          </cell>
          <cell r="F2569" t="str">
            <v>Kate Bosher</v>
          </cell>
          <cell r="G2569" t="str">
            <v>St Columb Major Community Primary School</v>
          </cell>
          <cell r="H2569" t="str">
            <v>South West</v>
          </cell>
          <cell r="I2569" t="str">
            <v>Newquay Road</v>
          </cell>
          <cell r="L2569" t="str">
            <v>St Columb</v>
          </cell>
          <cell r="M2569" t="str">
            <v>Cornwall</v>
          </cell>
          <cell r="N2569" t="str">
            <v>TR9 6RW</v>
          </cell>
          <cell r="O2569" t="str">
            <v>head@st-columb-major.cornwall.sch.uk</v>
          </cell>
          <cell r="P2569">
            <v>40623</v>
          </cell>
        </row>
        <row r="2570">
          <cell r="A2570">
            <v>9194011</v>
          </cell>
          <cell r="B2570">
            <v>117505</v>
          </cell>
          <cell r="C2570">
            <v>919</v>
          </cell>
          <cell r="D2570" t="str">
            <v>Hertfordshire</v>
          </cell>
          <cell r="E2570">
            <v>4011</v>
          </cell>
          <cell r="F2570" t="str">
            <v>Lilian Da Cunha</v>
          </cell>
          <cell r="G2570" t="str">
            <v>Verulam</v>
          </cell>
          <cell r="H2570" t="str">
            <v>East of England</v>
          </cell>
          <cell r="I2570" t="str">
            <v>Brampton Road</v>
          </cell>
          <cell r="L2570" t="str">
            <v>St Albans</v>
          </cell>
          <cell r="M2570" t="str">
            <v>Hertfordshire</v>
          </cell>
          <cell r="N2570" t="str">
            <v>AL1 4PR</v>
          </cell>
          <cell r="O2570" t="str">
            <v>paul.ramsey@verulam.herts.sch.uk</v>
          </cell>
          <cell r="P2570">
            <v>40527</v>
          </cell>
        </row>
        <row r="2571">
          <cell r="A2571">
            <v>3502072</v>
          </cell>
          <cell r="B2571">
            <v>105194</v>
          </cell>
          <cell r="C2571">
            <v>350</v>
          </cell>
          <cell r="D2571" t="str">
            <v>Bolton</v>
          </cell>
          <cell r="E2571">
            <v>2072</v>
          </cell>
          <cell r="F2571" t="str">
            <v>Felicity Price</v>
          </cell>
          <cell r="G2571" t="str">
            <v>Harwood Meadows Primary School</v>
          </cell>
          <cell r="H2571" t="str">
            <v>North West</v>
          </cell>
          <cell r="I2571" t="str">
            <v>Orchard Gardens</v>
          </cell>
          <cell r="J2571" t="str">
            <v>Harwood</v>
          </cell>
          <cell r="L2571" t="str">
            <v>Bolton</v>
          </cell>
          <cell r="M2571" t="str">
            <v>Lancashire</v>
          </cell>
          <cell r="N2571" t="str">
            <v>BL2 3PS</v>
          </cell>
          <cell r="O2571" t="str">
            <v>barness@harwood-meadows.bolton.sch.uk</v>
          </cell>
          <cell r="P2571">
            <v>40870</v>
          </cell>
        </row>
        <row r="2572">
          <cell r="A2572">
            <v>3332076</v>
          </cell>
          <cell r="B2572">
            <v>103926</v>
          </cell>
          <cell r="C2572">
            <v>333</v>
          </cell>
          <cell r="D2572" t="str">
            <v>Sandwell</v>
          </cell>
          <cell r="E2572">
            <v>2076</v>
          </cell>
          <cell r="F2572" t="str">
            <v>Hannah Copp</v>
          </cell>
          <cell r="G2572" t="str">
            <v>Wednesbury Oak Primary School</v>
          </cell>
          <cell r="H2572" t="str">
            <v>West Midlands</v>
          </cell>
          <cell r="I2572" t="str">
            <v>Greenacre Road</v>
          </cell>
          <cell r="L2572" t="str">
            <v>Tipton</v>
          </cell>
          <cell r="M2572" t="str">
            <v>West Midlands</v>
          </cell>
          <cell r="N2572" t="str">
            <v>DY4 0AR</v>
          </cell>
          <cell r="O2572" t="str">
            <v>maria.bull@wednesburyoak.sandwell.sch.uk</v>
          </cell>
        </row>
        <row r="2573">
          <cell r="A2573">
            <v>3412063</v>
          </cell>
          <cell r="B2573">
            <v>104543</v>
          </cell>
          <cell r="C2573">
            <v>341</v>
          </cell>
          <cell r="D2573" t="str">
            <v>Liverpool</v>
          </cell>
          <cell r="E2573">
            <v>2063</v>
          </cell>
          <cell r="F2573" t="str">
            <v>Maria Sabberton</v>
          </cell>
          <cell r="G2573" t="str">
            <v>Gilmour Junior School</v>
          </cell>
          <cell r="H2573" t="str">
            <v>North West</v>
          </cell>
          <cell r="I2573" t="str">
            <v>Whitehedge Road</v>
          </cell>
          <cell r="L2573" t="str">
            <v>Liverpool</v>
          </cell>
          <cell r="M2573" t="str">
            <v>Merseyside</v>
          </cell>
          <cell r="N2573" t="str">
            <v>L19 1RD</v>
          </cell>
          <cell r="O2573" t="str">
            <v>gilmourj-ao@gilmour-jun.liverpool.sch.uk</v>
          </cell>
        </row>
        <row r="2574">
          <cell r="A2574">
            <v>3062047</v>
          </cell>
          <cell r="B2574">
            <v>101742</v>
          </cell>
          <cell r="C2574">
            <v>306</v>
          </cell>
          <cell r="D2574" t="str">
            <v>Croydon</v>
          </cell>
          <cell r="E2574">
            <v>2047</v>
          </cell>
          <cell r="F2574" t="str">
            <v>Helen Barry</v>
          </cell>
          <cell r="G2574" t="str">
            <v>Whitehorse Manor Junior School</v>
          </cell>
          <cell r="H2574" t="str">
            <v>London</v>
          </cell>
          <cell r="I2574" t="str">
            <v>Whitehorse Road</v>
          </cell>
          <cell r="L2574" t="str">
            <v>Thornton Heath</v>
          </cell>
          <cell r="M2574" t="str">
            <v>Surrey</v>
          </cell>
          <cell r="N2574" t="str">
            <v>CR7 8SB</v>
          </cell>
          <cell r="O2574" t="str">
            <v>head@schmail.net</v>
          </cell>
          <cell r="P2574">
            <v>40507</v>
          </cell>
        </row>
        <row r="2575">
          <cell r="A2575">
            <v>8864242</v>
          </cell>
          <cell r="B2575">
            <v>118831</v>
          </cell>
          <cell r="C2575">
            <v>886</v>
          </cell>
          <cell r="D2575" t="str">
            <v>Kent</v>
          </cell>
          <cell r="E2575">
            <v>4242</v>
          </cell>
          <cell r="F2575" t="str">
            <v>Sarah Nairne</v>
          </cell>
          <cell r="G2575" t="str">
            <v>The Abbey School</v>
          </cell>
          <cell r="H2575" t="str">
            <v>South East</v>
          </cell>
          <cell r="I2575" t="str">
            <v>London Road</v>
          </cell>
          <cell r="L2575" t="str">
            <v>Faversham</v>
          </cell>
          <cell r="M2575" t="str">
            <v>Kent</v>
          </cell>
          <cell r="N2575" t="str">
            <v>ME13 8RZ</v>
          </cell>
          <cell r="O2575" t="str">
            <v>cwoodend@abbey.kent.sch.uk</v>
          </cell>
          <cell r="P2575">
            <v>40595</v>
          </cell>
        </row>
        <row r="2576">
          <cell r="A2576">
            <v>9283060</v>
          </cell>
          <cell r="B2576">
            <v>121992</v>
          </cell>
          <cell r="C2576">
            <v>928</v>
          </cell>
          <cell r="D2576" t="str">
            <v>Northamptonshire</v>
          </cell>
          <cell r="E2576">
            <v>3060</v>
          </cell>
          <cell r="F2576" t="str">
            <v>Sue Harp</v>
          </cell>
          <cell r="G2576" t="str">
            <v>Stoke Bruerne Church of England Primary School</v>
          </cell>
          <cell r="H2576" t="str">
            <v>East Midlands</v>
          </cell>
          <cell r="I2576" t="str">
            <v>Bridge Road</v>
          </cell>
          <cell r="J2576" t="str">
            <v>Stoke Bruerne</v>
          </cell>
          <cell r="L2576" t="str">
            <v>Towcester</v>
          </cell>
          <cell r="M2576" t="str">
            <v>Northamptonshire</v>
          </cell>
          <cell r="N2576" t="str">
            <v>NN12 7SD</v>
          </cell>
          <cell r="O2576" t="str">
            <v>head@stokebruerne.northants-ecl.gov.uk</v>
          </cell>
        </row>
        <row r="2577">
          <cell r="A2577">
            <v>9084145</v>
          </cell>
          <cell r="B2577">
            <v>112042</v>
          </cell>
          <cell r="C2577">
            <v>908</v>
          </cell>
          <cell r="D2577" t="str">
            <v>Cornwall</v>
          </cell>
          <cell r="E2577">
            <v>4145</v>
          </cell>
          <cell r="F2577" t="str">
            <v>Kate Bosher</v>
          </cell>
          <cell r="G2577" t="str">
            <v>Fowey Community College</v>
          </cell>
          <cell r="H2577" t="str">
            <v>South West</v>
          </cell>
          <cell r="I2577" t="str">
            <v>Windmill</v>
          </cell>
          <cell r="L2577" t="str">
            <v>Fowey</v>
          </cell>
          <cell r="M2577" t="str">
            <v>Cornwall</v>
          </cell>
          <cell r="N2577" t="str">
            <v>PL23 1HE</v>
          </cell>
          <cell r="O2577" t="str">
            <v>jperry@fowey-comm-coll.cornwall.sch.uk</v>
          </cell>
        </row>
        <row r="2578">
          <cell r="A2578">
            <v>8255408</v>
          </cell>
          <cell r="B2578">
            <v>110534</v>
          </cell>
          <cell r="C2578">
            <v>825</v>
          </cell>
          <cell r="D2578" t="str">
            <v>Buckinghamshire</v>
          </cell>
          <cell r="E2578">
            <v>5408</v>
          </cell>
          <cell r="F2578" t="str">
            <v>Darren Francis</v>
          </cell>
          <cell r="G2578" t="str">
            <v>Waddesdon Church of England School</v>
          </cell>
          <cell r="H2578" t="str">
            <v>South East</v>
          </cell>
          <cell r="I2578" t="str">
            <v>Baker Street</v>
          </cell>
          <cell r="J2578" t="str">
            <v>Waddesdon</v>
          </cell>
          <cell r="L2578" t="str">
            <v>Aylesbury</v>
          </cell>
          <cell r="M2578" t="str">
            <v>Buckinghamshire</v>
          </cell>
          <cell r="N2578" t="str">
            <v>HP18 0LQ</v>
          </cell>
          <cell r="O2578" t="str">
            <v>valh@waddesdonschool.com</v>
          </cell>
          <cell r="P2578">
            <v>40682</v>
          </cell>
        </row>
        <row r="2579">
          <cell r="A2579">
            <v>3834752</v>
          </cell>
          <cell r="B2579">
            <v>108096</v>
          </cell>
          <cell r="C2579">
            <v>383</v>
          </cell>
          <cell r="D2579" t="str">
            <v>Leeds</v>
          </cell>
          <cell r="E2579">
            <v>4752</v>
          </cell>
          <cell r="F2579" t="str">
            <v>Bev Annables</v>
          </cell>
          <cell r="G2579" t="str">
            <v>Corpus Christi Catholic College</v>
          </cell>
          <cell r="H2579" t="str">
            <v>Yorkshire and the Humber</v>
          </cell>
          <cell r="I2579" t="str">
            <v>Neville Road</v>
          </cell>
          <cell r="L2579" t="str">
            <v>Leeds</v>
          </cell>
          <cell r="M2579" t="str">
            <v>West Yorkshire</v>
          </cell>
          <cell r="N2579" t="str">
            <v>LS9 0TT</v>
          </cell>
          <cell r="O2579" t="str">
            <v>woodsmj01@leedslearning.net</v>
          </cell>
        </row>
        <row r="2580">
          <cell r="A2580">
            <v>8413002</v>
          </cell>
          <cell r="B2580">
            <v>114212</v>
          </cell>
          <cell r="C2580">
            <v>841</v>
          </cell>
          <cell r="D2580" t="str">
            <v>Darlington</v>
          </cell>
          <cell r="E2580">
            <v>3002</v>
          </cell>
          <cell r="F2580" t="str">
            <v>Not yet assigned</v>
          </cell>
          <cell r="G2580" t="str">
            <v>Cockerton Church of England Primary School</v>
          </cell>
          <cell r="H2580" t="str">
            <v>North East</v>
          </cell>
          <cell r="I2580" t="str">
            <v>Newton Lane</v>
          </cell>
          <cell r="J2580" t="str">
            <v>Cockerton</v>
          </cell>
          <cell r="L2580" t="str">
            <v>Darlington</v>
          </cell>
          <cell r="M2580" t="str">
            <v>County Durham</v>
          </cell>
          <cell r="N2580" t="str">
            <v>DL3 9EX</v>
          </cell>
          <cell r="O2580" t="str">
            <v>cmetcalfe@cockerton.darlington.sch.uk</v>
          </cell>
        </row>
        <row r="2581">
          <cell r="A2581">
            <v>2034682</v>
          </cell>
          <cell r="B2581">
            <v>100193</v>
          </cell>
          <cell r="C2581">
            <v>203</v>
          </cell>
          <cell r="D2581" t="str">
            <v>Greenwich</v>
          </cell>
          <cell r="E2581">
            <v>4682</v>
          </cell>
          <cell r="F2581" t="str">
            <v>Helen Barry</v>
          </cell>
          <cell r="G2581" t="str">
            <v>St Ursula's Convent School</v>
          </cell>
          <cell r="H2581" t="str">
            <v>London</v>
          </cell>
          <cell r="I2581" t="str">
            <v>Crooms Hill</v>
          </cell>
          <cell r="J2581" t="str">
            <v>Greenwich</v>
          </cell>
          <cell r="L2581" t="str">
            <v>London</v>
          </cell>
          <cell r="N2581" t="str">
            <v>SE10 8HN</v>
          </cell>
          <cell r="O2581" t="str">
            <v>cwarnock@stursulas.com</v>
          </cell>
        </row>
        <row r="2582">
          <cell r="A2582">
            <v>9362005</v>
          </cell>
          <cell r="B2582">
            <v>124936</v>
          </cell>
          <cell r="C2582">
            <v>936</v>
          </cell>
          <cell r="D2582" t="str">
            <v>Surrey</v>
          </cell>
          <cell r="E2582">
            <v>2005</v>
          </cell>
          <cell r="F2582" t="str">
            <v>Gabriela Grimley</v>
          </cell>
          <cell r="G2582" t="str">
            <v>Banstead Infant School</v>
          </cell>
          <cell r="H2582" t="str">
            <v>South East</v>
          </cell>
          <cell r="I2582" t="str">
            <v>The Horseshoe</v>
          </cell>
          <cell r="L2582" t="str">
            <v>Banstead</v>
          </cell>
          <cell r="M2582" t="str">
            <v>Surrey</v>
          </cell>
          <cell r="N2582" t="str">
            <v>SM7 2BQ</v>
          </cell>
          <cell r="O2582" t="str">
            <v>rm@familywagner.net</v>
          </cell>
        </row>
        <row r="2583">
          <cell r="A2583">
            <v>8842094</v>
          </cell>
          <cell r="B2583">
            <v>116699</v>
          </cell>
          <cell r="C2583">
            <v>884</v>
          </cell>
          <cell r="D2583" t="str">
            <v>Herefordshire</v>
          </cell>
          <cell r="E2583">
            <v>2094</v>
          </cell>
          <cell r="F2583" t="str">
            <v>Beverley Samuel</v>
          </cell>
          <cell r="G2583" t="str">
            <v xml:space="preserve">Kings Caple Primary School </v>
          </cell>
          <cell r="H2583" t="str">
            <v>West Midlands</v>
          </cell>
          <cell r="I2583" t="str">
            <v>Kings Caple</v>
          </cell>
          <cell r="L2583" t="str">
            <v>Hereford</v>
          </cell>
          <cell r="M2583" t="str">
            <v>Herefordshire</v>
          </cell>
          <cell r="N2583" t="str">
            <v>HR1 4TZ</v>
          </cell>
          <cell r="O2583" t="str">
            <v>admin@kingscaple.hereford.sch.uk</v>
          </cell>
          <cell r="P2583">
            <v>40521</v>
          </cell>
        </row>
        <row r="2584">
          <cell r="A2584">
            <v>8815408</v>
          </cell>
          <cell r="B2584">
            <v>115324</v>
          </cell>
          <cell r="C2584">
            <v>881</v>
          </cell>
          <cell r="D2584" t="str">
            <v>Essex</v>
          </cell>
          <cell r="E2584">
            <v>5408</v>
          </cell>
          <cell r="F2584" t="str">
            <v>Claire Ivie</v>
          </cell>
          <cell r="G2584" t="str">
            <v>Saffron Walden County High School</v>
          </cell>
          <cell r="H2584" t="str">
            <v>East of England</v>
          </cell>
          <cell r="I2584" t="str">
            <v>Audley End Road</v>
          </cell>
          <cell r="L2584" t="str">
            <v>Saffron Walden</v>
          </cell>
          <cell r="M2584" t="str">
            <v>Essex</v>
          </cell>
          <cell r="N2584" t="str">
            <v>CB11 4UH</v>
          </cell>
          <cell r="O2584" t="str">
            <v>jhartley@saffronwalden.essex.sch.uk</v>
          </cell>
          <cell r="P2584">
            <v>40634</v>
          </cell>
        </row>
        <row r="2585">
          <cell r="A2585">
            <v>3174605</v>
          </cell>
          <cell r="B2585">
            <v>132106</v>
          </cell>
          <cell r="C2585">
            <v>317</v>
          </cell>
          <cell r="D2585" t="str">
            <v>Redbridge</v>
          </cell>
          <cell r="E2585">
            <v>4605</v>
          </cell>
          <cell r="F2585" t="str">
            <v>Bola Bakrin</v>
          </cell>
          <cell r="G2585" t="str">
            <v>Ilford Ursuline High School</v>
          </cell>
          <cell r="H2585" t="str">
            <v>London</v>
          </cell>
          <cell r="I2585" t="str">
            <v>Morland Road</v>
          </cell>
          <cell r="L2585" t="str">
            <v>Ilford</v>
          </cell>
          <cell r="M2585" t="str">
            <v>Essex</v>
          </cell>
          <cell r="N2585" t="str">
            <v>IG1 4JU</v>
          </cell>
          <cell r="O2585" t="str">
            <v>headteacher@ilfordursuline-high.redbridge.sch.uk</v>
          </cell>
          <cell r="P2585">
            <v>40687</v>
          </cell>
        </row>
        <row r="2586">
          <cell r="A2586">
            <v>8914465</v>
          </cell>
          <cell r="B2586">
            <v>133703</v>
          </cell>
          <cell r="C2586">
            <v>891</v>
          </cell>
          <cell r="D2586" t="str">
            <v>Nottinghamshire</v>
          </cell>
          <cell r="E2586">
            <v>4465</v>
          </cell>
          <cell r="F2586" t="str">
            <v>Not yet assigned</v>
          </cell>
          <cell r="G2586" t="str">
            <v>Retford Oaks High School</v>
          </cell>
          <cell r="H2586" t="str">
            <v>East Midlands</v>
          </cell>
          <cell r="I2586" t="str">
            <v>Babworth Road</v>
          </cell>
          <cell r="L2586" t="str">
            <v>Retford</v>
          </cell>
          <cell r="M2586" t="str">
            <v>Nottinghamshire</v>
          </cell>
          <cell r="N2586" t="str">
            <v>DN22 7NJ</v>
          </cell>
          <cell r="O2586" t="str">
            <v>dgibson@retfordoaks.notts.sch.uk</v>
          </cell>
        </row>
        <row r="2587">
          <cell r="A2587">
            <v>8822108</v>
          </cell>
          <cell r="B2587">
            <v>114779</v>
          </cell>
          <cell r="C2587">
            <v>882</v>
          </cell>
          <cell r="D2587" t="str">
            <v>Southend-on-Sea</v>
          </cell>
          <cell r="E2587">
            <v>2108</v>
          </cell>
          <cell r="F2587" t="str">
            <v>William Thursfield</v>
          </cell>
          <cell r="G2587" t="str">
            <v>West Leigh Junior School</v>
          </cell>
          <cell r="H2587" t="str">
            <v>East of England</v>
          </cell>
          <cell r="I2587" t="str">
            <v>Ronald Hill Grove</v>
          </cell>
          <cell r="L2587" t="str">
            <v>Leigh-on-Sea</v>
          </cell>
          <cell r="M2587" t="str">
            <v>Essex</v>
          </cell>
          <cell r="N2587" t="str">
            <v>SS9 2JB</v>
          </cell>
          <cell r="O2587" t="str">
            <v>headteacher@westleigh-jun.southend.sch.uk</v>
          </cell>
          <cell r="P2587">
            <v>40711</v>
          </cell>
        </row>
        <row r="2588">
          <cell r="A2588">
            <v>8254095</v>
          </cell>
          <cell r="B2588">
            <v>110509</v>
          </cell>
          <cell r="C2588">
            <v>825</v>
          </cell>
          <cell r="D2588" t="str">
            <v>Buckinghamshire</v>
          </cell>
          <cell r="E2588">
            <v>4095</v>
          </cell>
          <cell r="F2588" t="str">
            <v>Darren Francis</v>
          </cell>
          <cell r="G2588" t="str">
            <v>Amersham School</v>
          </cell>
          <cell r="H2588" t="str">
            <v>South East</v>
          </cell>
          <cell r="I2588" t="str">
            <v>Stanley Hill</v>
          </cell>
          <cell r="L2588" t="str">
            <v>Amersham</v>
          </cell>
          <cell r="M2588" t="str">
            <v>Buckinghamshire</v>
          </cell>
          <cell r="N2588" t="str">
            <v>HP7 9HH</v>
          </cell>
          <cell r="O2588" t="str">
            <v>sjarrett@bucksgfl.org.uk</v>
          </cell>
          <cell r="P2588">
            <v>40688</v>
          </cell>
        </row>
        <row r="2589">
          <cell r="A2589">
            <v>3307063</v>
          </cell>
          <cell r="B2589">
            <v>131473</v>
          </cell>
          <cell r="C2589">
            <v>330</v>
          </cell>
          <cell r="D2589" t="str">
            <v>Birmingham</v>
          </cell>
          <cell r="E2589">
            <v>7063</v>
          </cell>
          <cell r="F2589" t="str">
            <v>Tony Bretherick</v>
          </cell>
          <cell r="G2589" t="str">
            <v>James Brindley School</v>
          </cell>
          <cell r="H2589" t="str">
            <v>West Midlands</v>
          </cell>
          <cell r="I2589" t="str">
            <v>Bell Barn Road</v>
          </cell>
          <cell r="J2589" t="str">
            <v>Edgbaston</v>
          </cell>
          <cell r="L2589" t="str">
            <v>Birmingham</v>
          </cell>
          <cell r="M2589" t="str">
            <v>West Midlands</v>
          </cell>
          <cell r="N2589" t="str">
            <v>B15 2AF</v>
          </cell>
          <cell r="O2589" t="str">
            <v>nicky.kendall@jamesbrindley.bham.sch.uk</v>
          </cell>
          <cell r="P2589">
            <v>40592</v>
          </cell>
        </row>
        <row r="2590">
          <cell r="A2590">
            <v>8782075</v>
          </cell>
          <cell r="B2590">
            <v>113114</v>
          </cell>
          <cell r="C2590">
            <v>878</v>
          </cell>
          <cell r="D2590" t="str">
            <v>Devon</v>
          </cell>
          <cell r="E2590">
            <v>2075</v>
          </cell>
          <cell r="F2590" t="str">
            <v>Nigel Hutchins</v>
          </cell>
          <cell r="G2590" t="str">
            <v>Willand School</v>
          </cell>
          <cell r="H2590" t="str">
            <v>South West</v>
          </cell>
          <cell r="I2590" t="str">
            <v>Gables Road</v>
          </cell>
          <cell r="J2590" t="str">
            <v>Willand</v>
          </cell>
          <cell r="L2590" t="str">
            <v>Cullompton</v>
          </cell>
          <cell r="M2590" t="str">
            <v>Devon</v>
          </cell>
          <cell r="N2590" t="str">
            <v>EX15 2QL</v>
          </cell>
          <cell r="O2590" t="str">
            <v>admin@willand.devon.sch.uk</v>
          </cell>
        </row>
        <row r="2591">
          <cell r="A2591">
            <v>8354504</v>
          </cell>
          <cell r="B2591">
            <v>113883</v>
          </cell>
          <cell r="C2591">
            <v>835</v>
          </cell>
          <cell r="D2591" t="str">
            <v>Dorset</v>
          </cell>
          <cell r="E2591">
            <v>4504</v>
          </cell>
          <cell r="F2591" t="str">
            <v>Theresa Oddelm</v>
          </cell>
          <cell r="G2591" t="str">
            <v>Queen Elizabeth's School</v>
          </cell>
          <cell r="H2591" t="str">
            <v>South West</v>
          </cell>
          <cell r="I2591" t="str">
            <v>Blandford Road</v>
          </cell>
          <cell r="J2591" t="str">
            <v>Pamphill</v>
          </cell>
          <cell r="L2591" t="str">
            <v>Wimborne</v>
          </cell>
          <cell r="M2591" t="str">
            <v>Dorset</v>
          </cell>
          <cell r="N2591" t="str">
            <v>BH21 4DT</v>
          </cell>
          <cell r="O2591" t="str">
            <v>aputtock@qe.dorset.sch.uk</v>
          </cell>
        </row>
        <row r="2592">
          <cell r="A2592">
            <v>9192198</v>
          </cell>
          <cell r="B2592">
            <v>117206</v>
          </cell>
          <cell r="C2592">
            <v>919</v>
          </cell>
          <cell r="D2592" t="str">
            <v>Hertfordshire</v>
          </cell>
          <cell r="E2592">
            <v>2198</v>
          </cell>
          <cell r="F2592" t="str">
            <v>Aminat Alli</v>
          </cell>
          <cell r="G2592" t="str">
            <v>Peartree Spring Infant School</v>
          </cell>
          <cell r="H2592" t="str">
            <v>East of England</v>
          </cell>
          <cell r="I2592" t="str">
            <v>Hydean Way</v>
          </cell>
          <cell r="L2592" t="str">
            <v>Stevenage</v>
          </cell>
          <cell r="M2592" t="str">
            <v>Hertfordshire</v>
          </cell>
          <cell r="N2592" t="str">
            <v>SG2 9GG</v>
          </cell>
        </row>
        <row r="2593">
          <cell r="A2593">
            <v>9282128</v>
          </cell>
          <cell r="B2593">
            <v>121889</v>
          </cell>
          <cell r="C2593">
            <v>928</v>
          </cell>
          <cell r="D2593" t="str">
            <v>Northamptonshire</v>
          </cell>
          <cell r="E2593">
            <v>2128</v>
          </cell>
          <cell r="F2593" t="str">
            <v>Sue Harp</v>
          </cell>
          <cell r="G2593" t="str">
            <v>Ruskin Infant &amp; Nursery School</v>
          </cell>
          <cell r="H2593" t="str">
            <v>East Midlands</v>
          </cell>
          <cell r="I2593" t="str">
            <v>Ruskin Avenue</v>
          </cell>
          <cell r="L2593" t="str">
            <v>Wellingborough</v>
          </cell>
          <cell r="M2593" t="str">
            <v>Northamptonshire</v>
          </cell>
          <cell r="N2593" t="str">
            <v>NN8 3EG</v>
          </cell>
          <cell r="O2593" t="str">
            <v>head@ruskin-inf.northants-ecl.gov.uk</v>
          </cell>
        </row>
        <row r="2594">
          <cell r="A2594">
            <v>8922939</v>
          </cell>
          <cell r="B2594">
            <v>131090</v>
          </cell>
          <cell r="C2594">
            <v>892</v>
          </cell>
          <cell r="D2594" t="str">
            <v>Nottingham</v>
          </cell>
          <cell r="E2594">
            <v>2939</v>
          </cell>
          <cell r="F2594" t="str">
            <v>Sue Harp</v>
          </cell>
          <cell r="G2594" t="str">
            <v>Huntingdon Primary and Nursery School</v>
          </cell>
          <cell r="H2594" t="str">
            <v>East Midlands</v>
          </cell>
          <cell r="I2594" t="str">
            <v>Alfred Street Central</v>
          </cell>
          <cell r="J2594" t="str">
            <v>St Ann's</v>
          </cell>
          <cell r="L2594" t="str">
            <v>Nottingham</v>
          </cell>
          <cell r="M2594" t="str">
            <v>Nottinghamshire</v>
          </cell>
          <cell r="N2594" t="str">
            <v>NG3 4AY</v>
          </cell>
          <cell r="O2594" t="str">
            <v>headteacher@huntingdon.nottingham.sch.uk</v>
          </cell>
          <cell r="P2594">
            <v>40627</v>
          </cell>
        </row>
        <row r="2595">
          <cell r="A2595">
            <v>8953147</v>
          </cell>
          <cell r="B2595">
            <v>111269</v>
          </cell>
          <cell r="C2595">
            <v>895</v>
          </cell>
          <cell r="D2595" t="str">
            <v>Cheshire East</v>
          </cell>
          <cell r="E2595">
            <v>3147</v>
          </cell>
          <cell r="F2595" t="str">
            <v>Jane McCusker</v>
          </cell>
          <cell r="G2595" t="str">
            <v>Stapeley Broad Lane CofE Primary School</v>
          </cell>
          <cell r="H2595" t="str">
            <v>North West</v>
          </cell>
          <cell r="I2595" t="str">
            <v>Broad Lane</v>
          </cell>
          <cell r="J2595" t="str">
            <v>Stapeley</v>
          </cell>
          <cell r="L2595" t="str">
            <v>Nantwich</v>
          </cell>
          <cell r="M2595" t="str">
            <v>Cheshire</v>
          </cell>
          <cell r="N2595" t="str">
            <v>CW5 7QL</v>
          </cell>
          <cell r="O2595" t="str">
            <v>head@stapeleybl.cheshire.sch.uk</v>
          </cell>
        </row>
        <row r="2596">
          <cell r="A2596">
            <v>3022030</v>
          </cell>
          <cell r="B2596">
            <v>101284</v>
          </cell>
          <cell r="C2596">
            <v>302</v>
          </cell>
          <cell r="D2596" t="str">
            <v>Barnet</v>
          </cell>
          <cell r="E2596">
            <v>2030</v>
          </cell>
          <cell r="F2596" t="str">
            <v>Helen Fisher</v>
          </cell>
          <cell r="G2596" t="str">
            <v>Grasvenor Avenue Infant School</v>
          </cell>
          <cell r="H2596" t="str">
            <v>London</v>
          </cell>
          <cell r="I2596" t="str">
            <v>Grasvenor Avenue</v>
          </cell>
          <cell r="L2596" t="str">
            <v>Barnet</v>
          </cell>
          <cell r="M2596" t="str">
            <v>Hertfordshire</v>
          </cell>
          <cell r="N2596" t="str">
            <v>EN5 2BY</v>
          </cell>
          <cell r="O2596" t="str">
            <v>head@grasvenoravenue.barnetmail.net</v>
          </cell>
          <cell r="P2596">
            <v>40946</v>
          </cell>
        </row>
        <row r="2597">
          <cell r="A2597">
            <v>3104021</v>
          </cell>
          <cell r="B2597">
            <v>102236</v>
          </cell>
          <cell r="C2597">
            <v>310</v>
          </cell>
          <cell r="D2597" t="str">
            <v>Harrow</v>
          </cell>
          <cell r="E2597">
            <v>4021</v>
          </cell>
          <cell r="F2597" t="str">
            <v>Sheila Longstaff</v>
          </cell>
          <cell r="G2597" t="str">
            <v>Park High School</v>
          </cell>
          <cell r="H2597" t="str">
            <v>London</v>
          </cell>
          <cell r="I2597" t="str">
            <v>Thistlecroft Gardens</v>
          </cell>
          <cell r="L2597" t="str">
            <v>Stanmore</v>
          </cell>
          <cell r="N2597" t="str">
            <v>HA7 1PL</v>
          </cell>
          <cell r="O2597" t="str">
            <v>e.lumley@parkhighstanmore.org.uk</v>
          </cell>
          <cell r="P2597">
            <v>40602</v>
          </cell>
        </row>
        <row r="2598">
          <cell r="A2598">
            <v>9375406</v>
          </cell>
          <cell r="B2598">
            <v>125769</v>
          </cell>
          <cell r="C2598">
            <v>937</v>
          </cell>
          <cell r="D2598" t="str">
            <v>Warwickshire</v>
          </cell>
          <cell r="E2598">
            <v>5406</v>
          </cell>
          <cell r="F2598" t="str">
            <v>Beverley Samuel</v>
          </cell>
          <cell r="G2598" t="str">
            <v>Rugby High School</v>
          </cell>
          <cell r="H2598" t="str">
            <v>West Midlands</v>
          </cell>
          <cell r="I2598" t="str">
            <v>Longrood Road</v>
          </cell>
          <cell r="L2598" t="str">
            <v>Rugby</v>
          </cell>
          <cell r="M2598" t="str">
            <v>Warwickshire</v>
          </cell>
          <cell r="N2598" t="str">
            <v>CV22 7RE</v>
          </cell>
          <cell r="O2598" t="str">
            <v>martenc@rugbyhighschool.co.uk</v>
          </cell>
          <cell r="P2598">
            <v>40525</v>
          </cell>
        </row>
        <row r="2599">
          <cell r="A2599">
            <v>8524275</v>
          </cell>
          <cell r="B2599">
            <v>116457</v>
          </cell>
          <cell r="C2599">
            <v>852</v>
          </cell>
          <cell r="D2599" t="str">
            <v>Southampton</v>
          </cell>
          <cell r="E2599">
            <v>4275</v>
          </cell>
          <cell r="F2599" t="str">
            <v>Lindsay Morris</v>
          </cell>
          <cell r="G2599" t="str">
            <v>Upper Shirley High</v>
          </cell>
          <cell r="H2599" t="str">
            <v>South East</v>
          </cell>
          <cell r="I2599" t="str">
            <v>Bellemoor Road</v>
          </cell>
          <cell r="J2599" t="str">
            <v>Shirley</v>
          </cell>
          <cell r="L2599" t="str">
            <v>Southampton</v>
          </cell>
          <cell r="M2599" t="str">
            <v>Hampshire</v>
          </cell>
          <cell r="N2599" t="str">
            <v>SO15 7QU</v>
          </cell>
          <cell r="O2599" t="str">
            <v>cassie.ellins@ushschool.org</v>
          </cell>
          <cell r="P2599">
            <v>40675</v>
          </cell>
        </row>
        <row r="2600">
          <cell r="A2600">
            <v>8862617</v>
          </cell>
          <cell r="B2600">
            <v>118542</v>
          </cell>
          <cell r="C2600">
            <v>886</v>
          </cell>
          <cell r="D2600" t="str">
            <v>Kent</v>
          </cell>
          <cell r="E2600">
            <v>2617</v>
          </cell>
          <cell r="G2600" t="str">
            <v>Cliftonville Primary School</v>
          </cell>
          <cell r="H2600" t="str">
            <v>South East</v>
          </cell>
          <cell r="I2600" t="str">
            <v>Northumberland Avenue</v>
          </cell>
          <cell r="J2600" t="str">
            <v>Cliftonville</v>
          </cell>
          <cell r="L2600" t="str">
            <v>Margate</v>
          </cell>
          <cell r="M2600" t="str">
            <v>Kent</v>
          </cell>
          <cell r="N2600" t="str">
            <v>CT9 3LY</v>
          </cell>
          <cell r="O2600" t="str">
            <v>headteacher@cliftonville.kent.sch.uk</v>
          </cell>
        </row>
        <row r="2601">
          <cell r="A2601">
            <v>8454025</v>
          </cell>
          <cell r="B2601">
            <v>114584</v>
          </cell>
          <cell r="C2601">
            <v>845</v>
          </cell>
          <cell r="D2601" t="str">
            <v>East Sussex</v>
          </cell>
          <cell r="E2601">
            <v>4025</v>
          </cell>
          <cell r="F2601" t="str">
            <v>Sarah Mitchell</v>
          </cell>
          <cell r="G2601" t="str">
            <v>Claverham Community College</v>
          </cell>
          <cell r="H2601" t="str">
            <v>South East</v>
          </cell>
          <cell r="I2601" t="str">
            <v>North Trade Road</v>
          </cell>
          <cell r="L2601" t="str">
            <v>Battle</v>
          </cell>
          <cell r="M2601" t="str">
            <v>East Sussex</v>
          </cell>
          <cell r="N2601" t="str">
            <v>TN33 0HT</v>
          </cell>
          <cell r="O2601" t="str">
            <v>head@claverham.e-sussex.sch.uk</v>
          </cell>
        </row>
        <row r="2602">
          <cell r="A2602">
            <v>8454046</v>
          </cell>
          <cell r="B2602">
            <v>114597</v>
          </cell>
          <cell r="C2602">
            <v>845</v>
          </cell>
          <cell r="D2602" t="str">
            <v>East Sussex</v>
          </cell>
          <cell r="E2602">
            <v>4046</v>
          </cell>
          <cell r="F2602" t="str">
            <v>Sarah Mitchell</v>
          </cell>
          <cell r="G2602" t="str">
            <v>Tideway School</v>
          </cell>
          <cell r="H2602" t="str">
            <v>South East</v>
          </cell>
          <cell r="I2602" t="str">
            <v>Southdown Road</v>
          </cell>
          <cell r="L2602" t="str">
            <v>Newhaven</v>
          </cell>
          <cell r="M2602" t="str">
            <v>East Sussex</v>
          </cell>
          <cell r="N2602" t="str">
            <v>BN9 9JL</v>
          </cell>
          <cell r="O2602" t="str">
            <v>corbettr@tidewayschool.org</v>
          </cell>
        </row>
        <row r="2603">
          <cell r="A2603">
            <v>8122896</v>
          </cell>
          <cell r="B2603">
            <v>117923</v>
          </cell>
          <cell r="C2603">
            <v>812</v>
          </cell>
          <cell r="D2603" t="str">
            <v>North East Lincolnshire</v>
          </cell>
          <cell r="E2603">
            <v>2896</v>
          </cell>
          <cell r="F2603" t="str">
            <v>Bev Annables</v>
          </cell>
          <cell r="G2603" t="str">
            <v>Fairfield Primary School</v>
          </cell>
          <cell r="H2603" t="str">
            <v>Yorkshire and the Humber</v>
          </cell>
          <cell r="I2603" t="str">
            <v>Mendip Avenue</v>
          </cell>
          <cell r="J2603" t="str">
            <v>Scartho</v>
          </cell>
          <cell r="L2603" t="str">
            <v>Grimsby</v>
          </cell>
          <cell r="M2603" t="str">
            <v>North East Lincolnshire</v>
          </cell>
          <cell r="N2603" t="str">
            <v>DN33 3AE</v>
          </cell>
          <cell r="O2603" t="str">
            <v>head@fairfieldprimaryschool.co.uk</v>
          </cell>
        </row>
        <row r="2604">
          <cell r="A2604">
            <v>9262420</v>
          </cell>
          <cell r="B2604">
            <v>121022</v>
          </cell>
          <cell r="C2604">
            <v>926</v>
          </cell>
          <cell r="D2604" t="str">
            <v>Norfolk</v>
          </cell>
          <cell r="E2604">
            <v>2420</v>
          </cell>
          <cell r="F2604" t="str">
            <v>Beverley Samuel</v>
          </cell>
          <cell r="G2604" t="str">
            <v>Terrington St Clement Community School</v>
          </cell>
          <cell r="H2604" t="str">
            <v>East of England</v>
          </cell>
          <cell r="I2604" t="str">
            <v>72 Churchgateway</v>
          </cell>
          <cell r="J2604" t="str">
            <v>Terrington St Clement</v>
          </cell>
          <cell r="L2604" t="str">
            <v>King's Lynn</v>
          </cell>
          <cell r="M2604" t="str">
            <v>Norfolk</v>
          </cell>
          <cell r="N2604" t="str">
            <v>PE34 4LZ</v>
          </cell>
          <cell r="O2604" t="str">
            <v>head@terrington-st-clement.norfolk.sch.uk</v>
          </cell>
        </row>
        <row r="2605">
          <cell r="A2605">
            <v>3842100</v>
          </cell>
          <cell r="B2605">
            <v>108177</v>
          </cell>
          <cell r="C2605">
            <v>384</v>
          </cell>
          <cell r="D2605" t="str">
            <v>Wakefield</v>
          </cell>
          <cell r="E2605">
            <v>2100</v>
          </cell>
          <cell r="F2605" t="str">
            <v>Janet Smith</v>
          </cell>
          <cell r="G2605" t="str">
            <v>Knottingley Vale Junior and Infant School</v>
          </cell>
          <cell r="H2605" t="str">
            <v>Yorkshire and the Humber</v>
          </cell>
          <cell r="I2605" t="str">
            <v>Ferrybridge Road</v>
          </cell>
          <cell r="L2605" t="str">
            <v>Knottingley</v>
          </cell>
          <cell r="M2605" t="str">
            <v>West Yorkshire</v>
          </cell>
          <cell r="N2605" t="str">
            <v>WF11 8JF</v>
          </cell>
          <cell r="O2605" t="str">
            <v>headteacher@vale.wakefield.sch.uk</v>
          </cell>
          <cell r="P2605">
            <v>40883</v>
          </cell>
        </row>
        <row r="2606">
          <cell r="A2606">
            <v>3055202</v>
          </cell>
          <cell r="B2606">
            <v>101662</v>
          </cell>
          <cell r="C2606">
            <v>305</v>
          </cell>
          <cell r="D2606" t="str">
            <v>Bromley</v>
          </cell>
          <cell r="E2606">
            <v>5202</v>
          </cell>
          <cell r="F2606" t="str">
            <v>Helen Fisher</v>
          </cell>
          <cell r="G2606" t="str">
            <v>St Mary's Catholic Primary School, Beckenham</v>
          </cell>
          <cell r="H2606" t="str">
            <v>London</v>
          </cell>
          <cell r="I2606" t="str">
            <v>Westgate Road</v>
          </cell>
          <cell r="L2606" t="str">
            <v>Beckenham</v>
          </cell>
          <cell r="M2606" t="str">
            <v>Kent</v>
          </cell>
          <cell r="N2606" t="str">
            <v>BR3 5DE</v>
          </cell>
          <cell r="O2606" t="str">
            <v>isobel.vassallo@st-marys-catholic.bromley.sch.uk</v>
          </cell>
        </row>
        <row r="2607">
          <cell r="A2607">
            <v>3833360</v>
          </cell>
          <cell r="B2607">
            <v>108014</v>
          </cell>
          <cell r="C2607">
            <v>383</v>
          </cell>
          <cell r="D2607" t="str">
            <v>Leeds</v>
          </cell>
          <cell r="E2607">
            <v>3360</v>
          </cell>
          <cell r="F2607" t="str">
            <v>Tony Bretherick</v>
          </cell>
          <cell r="G2607" t="str">
            <v>St Joseph's Catholic Primary School, Otley</v>
          </cell>
          <cell r="H2607" t="str">
            <v>Yorkshire and the Humber</v>
          </cell>
          <cell r="I2607" t="str">
            <v>Manor Square</v>
          </cell>
          <cell r="L2607" t="str">
            <v>Otley</v>
          </cell>
          <cell r="M2607" t="str">
            <v>West Yorkshire</v>
          </cell>
          <cell r="N2607" t="str">
            <v>LS21 3AP</v>
          </cell>
          <cell r="O2607" t="str">
            <v>Knightc01@leedslearning.net</v>
          </cell>
          <cell r="P2607">
            <v>41225</v>
          </cell>
        </row>
        <row r="2608">
          <cell r="A2608">
            <v>8843023</v>
          </cell>
          <cell r="B2608">
            <v>116797</v>
          </cell>
          <cell r="C2608">
            <v>884</v>
          </cell>
          <cell r="D2608" t="str">
            <v>Herefordshire</v>
          </cell>
          <cell r="E2608">
            <v>3023</v>
          </cell>
          <cell r="F2608" t="str">
            <v>Carla Spink</v>
          </cell>
          <cell r="G2608" t="str">
            <v>Colwall CofE Primary School</v>
          </cell>
          <cell r="H2608" t="str">
            <v>West Midlands</v>
          </cell>
          <cell r="I2608" t="str">
            <v>Colwall Green</v>
          </cell>
          <cell r="L2608" t="str">
            <v>Malvern</v>
          </cell>
          <cell r="M2608" t="str">
            <v>Worcestershire</v>
          </cell>
          <cell r="N2608" t="str">
            <v>WR13 6DU</v>
          </cell>
          <cell r="O2608" t="str">
            <v>head@colwall.hereford.sch.uk</v>
          </cell>
        </row>
        <row r="2609">
          <cell r="A2609">
            <v>8553097</v>
          </cell>
          <cell r="B2609">
            <v>120168</v>
          </cell>
          <cell r="C2609">
            <v>855</v>
          </cell>
          <cell r="D2609" t="str">
            <v>Leicestershire</v>
          </cell>
          <cell r="E2609">
            <v>3097</v>
          </cell>
          <cell r="F2609" t="str">
            <v>Sue Harp</v>
          </cell>
          <cell r="G2609" t="str">
            <v>Tugby Church of England Primary School</v>
          </cell>
          <cell r="H2609" t="str">
            <v>East Midlands</v>
          </cell>
          <cell r="I2609" t="str">
            <v>Main Street</v>
          </cell>
          <cell r="J2609" t="str">
            <v>Tugby</v>
          </cell>
          <cell r="L2609" t="str">
            <v>Leicester</v>
          </cell>
          <cell r="M2609" t="str">
            <v>Leicestershire</v>
          </cell>
          <cell r="N2609" t="str">
            <v>LE7 9WD</v>
          </cell>
          <cell r="O2609" t="str">
            <v>office@tugby.leics.sch.uk</v>
          </cell>
        </row>
        <row r="2610">
          <cell r="A2610">
            <v>8252354</v>
          </cell>
          <cell r="B2610">
            <v>130328</v>
          </cell>
          <cell r="C2610">
            <v>825</v>
          </cell>
          <cell r="D2610" t="str">
            <v>Buckinghamshire</v>
          </cell>
          <cell r="E2610">
            <v>2354</v>
          </cell>
          <cell r="F2610" t="str">
            <v>Darren Francis</v>
          </cell>
          <cell r="G2610" t="str">
            <v>The Stoke Poges School</v>
          </cell>
          <cell r="H2610" t="str">
            <v>South East</v>
          </cell>
          <cell r="I2610" t="str">
            <v>Rogers Lane</v>
          </cell>
          <cell r="J2610" t="str">
            <v>Stoke Poges</v>
          </cell>
          <cell r="L2610" t="str">
            <v>Slough</v>
          </cell>
          <cell r="M2610" t="str">
            <v>Berkshire</v>
          </cell>
          <cell r="N2610" t="str">
            <v>SL2 4LN</v>
          </cell>
          <cell r="O2610" t="str">
            <v>head@stokepoges.bucks.sch.uk</v>
          </cell>
        </row>
        <row r="2611">
          <cell r="A2611">
            <v>8552383</v>
          </cell>
          <cell r="B2611">
            <v>120105</v>
          </cell>
          <cell r="C2611">
            <v>855</v>
          </cell>
          <cell r="D2611" t="str">
            <v>Leicestershire</v>
          </cell>
          <cell r="E2611">
            <v>2383</v>
          </cell>
          <cell r="F2611" t="str">
            <v>Sue Harp</v>
          </cell>
          <cell r="G2611" t="str">
            <v>Hallbrook Primary School Broughton Astley</v>
          </cell>
          <cell r="H2611" t="str">
            <v>East Midlands</v>
          </cell>
          <cell r="I2611" t="str">
            <v>Hallbrook Road</v>
          </cell>
          <cell r="L2611" t="str">
            <v>Broughton Astley</v>
          </cell>
          <cell r="M2611" t="str">
            <v>Leicestershire</v>
          </cell>
          <cell r="N2611" t="str">
            <v>LE9 6WX</v>
          </cell>
          <cell r="O2611" t="str">
            <v>rhaltof@hallbrook.leics.sch.uk</v>
          </cell>
          <cell r="P2611">
            <v>41073</v>
          </cell>
        </row>
        <row r="2612">
          <cell r="A2612">
            <v>3902182</v>
          </cell>
          <cell r="B2612">
            <v>108349</v>
          </cell>
          <cell r="C2612">
            <v>390</v>
          </cell>
          <cell r="D2612" t="str">
            <v>Gateshead</v>
          </cell>
          <cell r="E2612">
            <v>2182</v>
          </cell>
          <cell r="F2612" t="str">
            <v>Alan Large</v>
          </cell>
          <cell r="G2612" t="str">
            <v>Blaydon West Primary School</v>
          </cell>
          <cell r="H2612" t="str">
            <v>North East</v>
          </cell>
          <cell r="I2612" t="str">
            <v>Blaydon Bank</v>
          </cell>
          <cell r="L2612" t="str">
            <v>Blaydon-on-Tyne</v>
          </cell>
          <cell r="M2612" t="str">
            <v>Tyne and Wear</v>
          </cell>
          <cell r="N2612" t="str">
            <v>NE21 4PY</v>
          </cell>
        </row>
        <row r="2613">
          <cell r="A2613">
            <v>3342050</v>
          </cell>
          <cell r="B2613">
            <v>104059</v>
          </cell>
          <cell r="C2613">
            <v>334</v>
          </cell>
          <cell r="D2613" t="str">
            <v>Solihull</v>
          </cell>
          <cell r="E2613">
            <v>2050</v>
          </cell>
          <cell r="F2613" t="str">
            <v>Sally Gardiner</v>
          </cell>
          <cell r="G2613" t="str">
            <v>Balsall Common Primary School</v>
          </cell>
          <cell r="H2613" t="str">
            <v>West Midlands</v>
          </cell>
          <cell r="I2613" t="str">
            <v>Balsall Street East</v>
          </cell>
          <cell r="J2613" t="str">
            <v>Balsall Common</v>
          </cell>
          <cell r="L2613" t="str">
            <v>Coventry</v>
          </cell>
          <cell r="M2613" t="str">
            <v>West Midlands</v>
          </cell>
          <cell r="N2613" t="str">
            <v>CV7 7FS</v>
          </cell>
          <cell r="O2613" t="str">
            <v>s2gburgess@balsall-common.solihull.sch.uk</v>
          </cell>
          <cell r="P2613">
            <v>40975</v>
          </cell>
        </row>
        <row r="2614">
          <cell r="A2614">
            <v>9333101</v>
          </cell>
          <cell r="B2614">
            <v>123774</v>
          </cell>
          <cell r="C2614">
            <v>933</v>
          </cell>
          <cell r="D2614" t="str">
            <v>Somerset</v>
          </cell>
          <cell r="E2614">
            <v>3101</v>
          </cell>
          <cell r="F2614" t="str">
            <v>Theresa Oddelm</v>
          </cell>
          <cell r="G2614" t="str">
            <v>Stogumber CofE Primary School</v>
          </cell>
          <cell r="H2614" t="str">
            <v>South West</v>
          </cell>
          <cell r="I2614" t="str">
            <v>Station Road</v>
          </cell>
          <cell r="J2614" t="str">
            <v>Stogumber</v>
          </cell>
          <cell r="L2614" t="str">
            <v>Taunton</v>
          </cell>
          <cell r="M2614" t="str">
            <v>Somerset</v>
          </cell>
          <cell r="N2614" t="str">
            <v>TA4 3TQ</v>
          </cell>
        </row>
        <row r="2615">
          <cell r="A2615">
            <v>8123523</v>
          </cell>
          <cell r="B2615">
            <v>131257</v>
          </cell>
          <cell r="C2615">
            <v>812</v>
          </cell>
          <cell r="D2615" t="str">
            <v>North East Lincolnshire</v>
          </cell>
          <cell r="E2615">
            <v>3523</v>
          </cell>
          <cell r="F2615" t="str">
            <v>Bev Annables</v>
          </cell>
          <cell r="G2615" t="str">
            <v>Thrunscoe Primary School</v>
          </cell>
          <cell r="H2615" t="str">
            <v>Yorkshire and the Humber</v>
          </cell>
          <cell r="I2615" t="str">
            <v>Trinity Road</v>
          </cell>
          <cell r="L2615" t="str">
            <v>Cleethorpes</v>
          </cell>
          <cell r="M2615" t="str">
            <v>Lincolnshire</v>
          </cell>
          <cell r="N2615" t="str">
            <v>DN35 8UL</v>
          </cell>
          <cell r="O2615" t="str">
            <v>head@tp.tlfe.org</v>
          </cell>
          <cell r="P2615">
            <v>40879</v>
          </cell>
        </row>
        <row r="2616">
          <cell r="A2616">
            <v>8223342</v>
          </cell>
          <cell r="B2616">
            <v>109629</v>
          </cell>
          <cell r="C2616">
            <v>822</v>
          </cell>
          <cell r="D2616" t="str">
            <v>Bedford</v>
          </cell>
          <cell r="E2616">
            <v>3342</v>
          </cell>
          <cell r="F2616" t="str">
            <v>Michael Cook</v>
          </cell>
          <cell r="G2616" t="str">
            <v>St Joseph's RC Lower School</v>
          </cell>
          <cell r="H2616" t="str">
            <v>East of England</v>
          </cell>
          <cell r="I2616" t="str">
            <v>Chester Road</v>
          </cell>
          <cell r="L2616" t="str">
            <v>Bedford</v>
          </cell>
          <cell r="M2616" t="str">
            <v>Bedfordshire</v>
          </cell>
          <cell r="N2616" t="str">
            <v>MK40 4HN</v>
          </cell>
          <cell r="O2616" t="str">
            <v>ALee@stm.beds.sch.uk</v>
          </cell>
          <cell r="P2616">
            <v>41165</v>
          </cell>
        </row>
        <row r="2617">
          <cell r="A2617">
            <v>8953124</v>
          </cell>
          <cell r="B2617">
            <v>111258</v>
          </cell>
          <cell r="C2617">
            <v>895</v>
          </cell>
          <cell r="D2617" t="str">
            <v>Cheshire East</v>
          </cell>
          <cell r="E2617">
            <v>3124</v>
          </cell>
          <cell r="F2617" t="str">
            <v>Jane McCusker</v>
          </cell>
          <cell r="G2617" t="str">
            <v>Mossley CofE Primary School</v>
          </cell>
          <cell r="H2617" t="str">
            <v>North West</v>
          </cell>
          <cell r="I2617" t="str">
            <v>Boundary Lane</v>
          </cell>
          <cell r="L2617" t="str">
            <v>Congleton</v>
          </cell>
          <cell r="M2617" t="str">
            <v>Cheshire</v>
          </cell>
          <cell r="N2617" t="str">
            <v>CW12 3JA</v>
          </cell>
          <cell r="O2617" t="str">
            <v xml:space="preserve"> head@mossleyce.cheshire.sch.uk</v>
          </cell>
        </row>
        <row r="2618">
          <cell r="A2618">
            <v>3532113</v>
          </cell>
          <cell r="B2618">
            <v>133712</v>
          </cell>
          <cell r="C2618">
            <v>353</v>
          </cell>
          <cell r="D2618" t="str">
            <v>Oldham</v>
          </cell>
          <cell r="E2618">
            <v>2113</v>
          </cell>
          <cell r="F2618" t="str">
            <v>Linda Tiley</v>
          </cell>
          <cell r="G2618" t="str">
            <v>Yew Tree Community School</v>
          </cell>
          <cell r="H2618" t="str">
            <v>North West</v>
          </cell>
          <cell r="I2618" t="str">
            <v>Alcester Street</v>
          </cell>
          <cell r="J2618" t="str">
            <v>Chadderton</v>
          </cell>
          <cell r="L2618" t="str">
            <v>Oldham</v>
          </cell>
          <cell r="M2618" t="str">
            <v>Greater Manchester</v>
          </cell>
          <cell r="N2618" t="str">
            <v>OL9 8LD</v>
          </cell>
          <cell r="O2618" t="str">
            <v>m.buckley@yewtree.oldham.sch.uk</v>
          </cell>
        </row>
        <row r="2619">
          <cell r="A2619">
            <v>3434101</v>
          </cell>
          <cell r="B2619">
            <v>104949</v>
          </cell>
          <cell r="C2619">
            <v>343</v>
          </cell>
          <cell r="D2619" t="str">
            <v>Sefton</v>
          </cell>
          <cell r="E2619">
            <v>4101</v>
          </cell>
          <cell r="F2619" t="str">
            <v>Maria Sabberton</v>
          </cell>
          <cell r="G2619" t="str">
            <v>Formby High School</v>
          </cell>
          <cell r="H2619" t="str">
            <v>North West</v>
          </cell>
          <cell r="I2619" t="str">
            <v>Freshfield Road</v>
          </cell>
          <cell r="J2619" t="str">
            <v>Formby</v>
          </cell>
          <cell r="L2619" t="str">
            <v>Liverpool</v>
          </cell>
          <cell r="M2619" t="str">
            <v>Merseyside</v>
          </cell>
          <cell r="N2619" t="str">
            <v>L37 3HW</v>
          </cell>
          <cell r="O2619" t="str">
            <v>admin.formbyhigh@schools.sefton.gov.uk</v>
          </cell>
          <cell r="P2619">
            <v>40633</v>
          </cell>
        </row>
        <row r="2620">
          <cell r="A2620">
            <v>9253015</v>
          </cell>
          <cell r="B2620">
            <v>120517</v>
          </cell>
          <cell r="C2620">
            <v>925</v>
          </cell>
          <cell r="D2620" t="str">
            <v>Lincolnshire</v>
          </cell>
          <cell r="E2620">
            <v>3015</v>
          </cell>
          <cell r="G2620" t="str">
            <v>Coleby Church of England Primary School</v>
          </cell>
          <cell r="H2620" t="str">
            <v>East Midlands</v>
          </cell>
          <cell r="I2620" t="str">
            <v>Rectory Road</v>
          </cell>
          <cell r="J2620" t="str">
            <v>Coleby</v>
          </cell>
          <cell r="L2620" t="str">
            <v>Lincoln</v>
          </cell>
          <cell r="M2620" t="str">
            <v>Lincolnshire</v>
          </cell>
          <cell r="N2620" t="str">
            <v>LN5 0AJ</v>
          </cell>
          <cell r="O2620" t="str">
            <v>karen.espin@coleby.lincs.sch.uk</v>
          </cell>
        </row>
        <row r="2621">
          <cell r="A2621">
            <v>3502064</v>
          </cell>
          <cell r="B2621">
            <v>105188</v>
          </cell>
          <cell r="C2621">
            <v>350</v>
          </cell>
          <cell r="D2621" t="str">
            <v>Bolton</v>
          </cell>
          <cell r="E2621">
            <v>2064</v>
          </cell>
          <cell r="F2621" t="str">
            <v>Viv Clutton</v>
          </cell>
          <cell r="G2621" t="str">
            <v>Eagley Junior School</v>
          </cell>
          <cell r="H2621" t="str">
            <v>North West</v>
          </cell>
          <cell r="I2621" t="str">
            <v>Chapeltown Road</v>
          </cell>
          <cell r="J2621" t="str">
            <v>Bromley Cross</v>
          </cell>
          <cell r="L2621" t="str">
            <v>Bolton</v>
          </cell>
          <cell r="M2621" t="str">
            <v>Lancashire</v>
          </cell>
          <cell r="N2621" t="str">
            <v>BL7 9AT</v>
          </cell>
          <cell r="O2621" t="str">
            <v>kwilkinson@eagley-junior.bolton.sch.uk</v>
          </cell>
          <cell r="P2621">
            <v>40851</v>
          </cell>
        </row>
        <row r="2622">
          <cell r="A2622">
            <v>3074031</v>
          </cell>
          <cell r="B2622">
            <v>101931</v>
          </cell>
          <cell r="C2622">
            <v>307</v>
          </cell>
          <cell r="D2622" t="str">
            <v>Ealing</v>
          </cell>
          <cell r="E2622">
            <v>4031</v>
          </cell>
          <cell r="F2622" t="str">
            <v>Sheila Longstaff</v>
          </cell>
          <cell r="G2622" t="str">
            <v>Featherstone High School</v>
          </cell>
          <cell r="H2622" t="str">
            <v>London</v>
          </cell>
          <cell r="I2622" t="str">
            <v>11 Montague Waye</v>
          </cell>
          <cell r="L2622" t="str">
            <v>Southall</v>
          </cell>
          <cell r="M2622" t="str">
            <v>Middlesex</v>
          </cell>
          <cell r="N2622" t="str">
            <v>UB2 5HF</v>
          </cell>
          <cell r="O2622" t="str">
            <v>gwadwa@featherstonehigh.ealing.sch.uk</v>
          </cell>
          <cell r="P2622">
            <v>40774</v>
          </cell>
        </row>
        <row r="2623">
          <cell r="A2623">
            <v>8814499</v>
          </cell>
          <cell r="B2623">
            <v>115235</v>
          </cell>
          <cell r="C2623">
            <v>881</v>
          </cell>
          <cell r="D2623" t="str">
            <v>Essex</v>
          </cell>
          <cell r="E2623">
            <v>4499</v>
          </cell>
          <cell r="F2623" t="str">
            <v>Claire Ivie</v>
          </cell>
          <cell r="G2623" t="str">
            <v>Roding Valley High School</v>
          </cell>
          <cell r="H2623" t="str">
            <v>East of England</v>
          </cell>
          <cell r="I2623" t="str">
            <v>Alderton Hill</v>
          </cell>
          <cell r="L2623" t="str">
            <v>Loughton</v>
          </cell>
          <cell r="M2623" t="str">
            <v>Essex</v>
          </cell>
          <cell r="N2623" t="str">
            <v>IG10 3JA</v>
          </cell>
          <cell r="O2623" t="str">
            <v>pbanks@roding-sec.essex.sch.uk</v>
          </cell>
        </row>
        <row r="2624">
          <cell r="A2624">
            <v>8573111</v>
          </cell>
          <cell r="B2624">
            <v>120177</v>
          </cell>
          <cell r="C2624">
            <v>857</v>
          </cell>
          <cell r="D2624" t="str">
            <v>Rutland</v>
          </cell>
          <cell r="E2624">
            <v>3111</v>
          </cell>
          <cell r="F2624" t="str">
            <v>Sue Harp</v>
          </cell>
          <cell r="G2624" t="str">
            <v>Empingham CofE Primary School</v>
          </cell>
          <cell r="H2624" t="str">
            <v>East Midlands</v>
          </cell>
          <cell r="I2624" t="str">
            <v>School Lane</v>
          </cell>
          <cell r="J2624" t="str">
            <v>Empingham</v>
          </cell>
          <cell r="L2624" t="str">
            <v>Oakham</v>
          </cell>
          <cell r="M2624" t="str">
            <v>Rutland</v>
          </cell>
          <cell r="N2624" t="str">
            <v>LE15 8PQ</v>
          </cell>
          <cell r="O2624" t="str">
            <v>head@greatcasterton.rutland.sch.uk</v>
          </cell>
        </row>
        <row r="2625">
          <cell r="A2625">
            <v>8254084</v>
          </cell>
          <cell r="B2625">
            <v>110506</v>
          </cell>
          <cell r="C2625">
            <v>825</v>
          </cell>
          <cell r="D2625" t="str">
            <v>Buckinghamshire</v>
          </cell>
          <cell r="E2625">
            <v>4084</v>
          </cell>
          <cell r="F2625" t="str">
            <v>Darren Francis</v>
          </cell>
          <cell r="G2625" t="str">
            <v>Sir William Ramsay School</v>
          </cell>
          <cell r="H2625" t="str">
            <v>South East</v>
          </cell>
          <cell r="I2625" t="str">
            <v>Rose Avenue</v>
          </cell>
          <cell r="J2625" t="str">
            <v>Hazlemere</v>
          </cell>
          <cell r="L2625" t="str">
            <v>High Wycombe</v>
          </cell>
          <cell r="M2625" t="str">
            <v>Buckinghamshire</v>
          </cell>
          <cell r="N2625" t="str">
            <v>HP15 7UB</v>
          </cell>
          <cell r="O2625" t="str">
            <v>gcomber@swr.bucks.sch.uk</v>
          </cell>
          <cell r="P2625">
            <v>40672</v>
          </cell>
        </row>
        <row r="2626">
          <cell r="A2626">
            <v>9092106</v>
          </cell>
          <cell r="B2626">
            <v>112130</v>
          </cell>
          <cell r="C2626">
            <v>909</v>
          </cell>
          <cell r="D2626" t="str">
            <v>Cumbria</v>
          </cell>
          <cell r="E2626">
            <v>2106</v>
          </cell>
          <cell r="F2626" t="str">
            <v>Linda Quinn</v>
          </cell>
          <cell r="G2626" t="str">
            <v>Fairfield Junior School</v>
          </cell>
          <cell r="H2626" t="str">
            <v>North West</v>
          </cell>
          <cell r="I2626" t="str">
            <v>Gallowbarrow</v>
          </cell>
          <cell r="L2626" t="str">
            <v>Cockermouth</v>
          </cell>
          <cell r="M2626" t="str">
            <v>Cumbria</v>
          </cell>
          <cell r="N2626" t="str">
            <v>CA13 0DX</v>
          </cell>
          <cell r="O2626" t="str">
            <v>awilkinson@fairfieldjun.cumbria.sch.uk</v>
          </cell>
          <cell r="P2626">
            <v>41031</v>
          </cell>
        </row>
        <row r="2627">
          <cell r="A2627">
            <v>9362943</v>
          </cell>
          <cell r="B2627">
            <v>125119</v>
          </cell>
          <cell r="C2627">
            <v>936</v>
          </cell>
          <cell r="D2627" t="str">
            <v>Surrey</v>
          </cell>
          <cell r="E2627">
            <v>2943</v>
          </cell>
          <cell r="F2627" t="str">
            <v>Lindsay Morris</v>
          </cell>
          <cell r="G2627" t="str">
            <v>Goldsworth Primary School</v>
          </cell>
          <cell r="H2627" t="str">
            <v>South East</v>
          </cell>
          <cell r="I2627" t="str">
            <v>Bridge Barn Lane</v>
          </cell>
          <cell r="L2627" t="str">
            <v>Woking</v>
          </cell>
          <cell r="M2627" t="str">
            <v>Surrey</v>
          </cell>
          <cell r="N2627" t="str">
            <v>GU21 6NL</v>
          </cell>
          <cell r="O2627" t="str">
            <v>palexander@goldsworth.surrey.sch.uk</v>
          </cell>
          <cell r="P2627">
            <v>40666</v>
          </cell>
        </row>
        <row r="2628">
          <cell r="A2628">
            <v>9192185</v>
          </cell>
          <cell r="B2628">
            <v>117198</v>
          </cell>
          <cell r="C2628">
            <v>919</v>
          </cell>
          <cell r="D2628" t="str">
            <v>Hertfordshire</v>
          </cell>
          <cell r="E2628">
            <v>2185</v>
          </cell>
          <cell r="G2628" t="str">
            <v>Chaulden Junior School</v>
          </cell>
          <cell r="H2628" t="str">
            <v>East of England</v>
          </cell>
          <cell r="I2628" t="str">
            <v>School Row</v>
          </cell>
          <cell r="J2628" t="str">
            <v>Chaulden</v>
          </cell>
          <cell r="L2628" t="str">
            <v>Hemel Hempstead</v>
          </cell>
          <cell r="M2628" t="str">
            <v>Hertfordshire</v>
          </cell>
          <cell r="N2628" t="str">
            <v>HP1 2JU</v>
          </cell>
          <cell r="O2628" t="str">
            <v>tess.clancy@chauldenjm.herts.sch.uk</v>
          </cell>
        </row>
        <row r="2629">
          <cell r="A2629">
            <v>9283322</v>
          </cell>
          <cell r="B2629">
            <v>122024</v>
          </cell>
          <cell r="C2629">
            <v>928</v>
          </cell>
          <cell r="D2629" t="str">
            <v>Northamptonshire</v>
          </cell>
          <cell r="E2629">
            <v>3322</v>
          </cell>
          <cell r="F2629" t="str">
            <v>Helen Whetter</v>
          </cell>
          <cell r="G2629" t="str">
            <v>St Mary's Church of England Voluntary Aided Primary School</v>
          </cell>
          <cell r="H2629" t="str">
            <v>East Midlands</v>
          </cell>
          <cell r="I2629" t="str">
            <v>Fuller Street</v>
          </cell>
          <cell r="L2629" t="str">
            <v>Kettering</v>
          </cell>
          <cell r="M2629" t="str">
            <v>Northamptonshire</v>
          </cell>
          <cell r="N2629" t="str">
            <v>NN16 0JH</v>
          </cell>
          <cell r="O2629" t="str">
            <v>head@stmarys-ce-pri.northants-ecl.gov.uk</v>
          </cell>
          <cell r="P2629">
            <v>41114</v>
          </cell>
        </row>
        <row r="2630">
          <cell r="A2630">
            <v>8523657</v>
          </cell>
          <cell r="B2630">
            <v>116397</v>
          </cell>
          <cell r="C2630">
            <v>852</v>
          </cell>
          <cell r="D2630" t="str">
            <v>Southampton</v>
          </cell>
          <cell r="E2630">
            <v>3657</v>
          </cell>
          <cell r="F2630" t="str">
            <v>Gabriela Grimley</v>
          </cell>
          <cell r="G2630" t="str">
            <v>Holy Family Catholic Primary School</v>
          </cell>
          <cell r="H2630" t="str">
            <v>South East</v>
          </cell>
          <cell r="I2630" t="str">
            <v>Mansel Road West</v>
          </cell>
          <cell r="J2630" t="str">
            <v>Millbrook</v>
          </cell>
          <cell r="L2630" t="str">
            <v>Southampton</v>
          </cell>
          <cell r="M2630" t="str">
            <v>Hampshire</v>
          </cell>
          <cell r="N2630" t="str">
            <v>SO16 9LP</v>
          </cell>
          <cell r="O2630" t="str">
            <v>head@holyfamily.southampton.sch.uk</v>
          </cell>
          <cell r="P2630">
            <v>40674</v>
          </cell>
        </row>
        <row r="2631">
          <cell r="A2631">
            <v>8717036</v>
          </cell>
          <cell r="B2631">
            <v>131600</v>
          </cell>
          <cell r="C2631">
            <v>871</v>
          </cell>
          <cell r="D2631" t="str">
            <v>Slough</v>
          </cell>
          <cell r="E2631">
            <v>7036</v>
          </cell>
          <cell r="F2631" t="str">
            <v>Sarah Nairne</v>
          </cell>
          <cell r="G2631" t="str">
            <v>Haybrook College</v>
          </cell>
          <cell r="H2631" t="str">
            <v>South East</v>
          </cell>
          <cell r="I2631" t="str">
            <v>112 Burnham Lane</v>
          </cell>
          <cell r="L2631" t="str">
            <v>Slough</v>
          </cell>
          <cell r="M2631" t="str">
            <v>Berkshire</v>
          </cell>
          <cell r="N2631" t="str">
            <v>SL1 6LZ</v>
          </cell>
          <cell r="O2631" t="str">
            <v>helenhuntley@haybrookcollege.slough.sch.uk</v>
          </cell>
        </row>
        <row r="2632">
          <cell r="A2632">
            <v>8464012</v>
          </cell>
          <cell r="B2632">
            <v>114579</v>
          </cell>
          <cell r="C2632">
            <v>846</v>
          </cell>
          <cell r="D2632" t="str">
            <v>Brighton and Hove</v>
          </cell>
          <cell r="E2632">
            <v>4012</v>
          </cell>
          <cell r="F2632" t="str">
            <v>Sarah Mitchell</v>
          </cell>
          <cell r="G2632" t="str">
            <v>Varndean School</v>
          </cell>
          <cell r="H2632" t="str">
            <v>South East</v>
          </cell>
          <cell r="I2632" t="str">
            <v>Balfour Road</v>
          </cell>
          <cell r="L2632" t="str">
            <v>Brighton</v>
          </cell>
          <cell r="M2632" t="str">
            <v>East Sussex</v>
          </cell>
          <cell r="N2632" t="str">
            <v>BN1 6NP</v>
          </cell>
          <cell r="O2632" t="str">
            <v>Williamdeighan@varndean.co.uk</v>
          </cell>
        </row>
        <row r="2633">
          <cell r="A2633">
            <v>3822097</v>
          </cell>
          <cell r="B2633">
            <v>107665</v>
          </cell>
          <cell r="C2633">
            <v>382</v>
          </cell>
          <cell r="D2633" t="str">
            <v>Kirklees</v>
          </cell>
          <cell r="E2633">
            <v>2097</v>
          </cell>
          <cell r="F2633" t="str">
            <v>Bev Annables</v>
          </cell>
          <cell r="G2633" t="str">
            <v>Hopton Primary School</v>
          </cell>
          <cell r="H2633" t="str">
            <v>Yorkshire and the Humber</v>
          </cell>
          <cell r="I2633" t="str">
            <v>Woodend Road</v>
          </cell>
          <cell r="L2633" t="str">
            <v>Mirfield</v>
          </cell>
          <cell r="M2633" t="str">
            <v>West Yorkshire</v>
          </cell>
          <cell r="N2633" t="str">
            <v>WF14 8PR</v>
          </cell>
          <cell r="O2633" t="str">
            <v>head.hopton@edukirklees.net</v>
          </cell>
        </row>
        <row r="2634">
          <cell r="A2634">
            <v>8552045</v>
          </cell>
          <cell r="B2634">
            <v>119928</v>
          </cell>
          <cell r="C2634">
            <v>855</v>
          </cell>
          <cell r="D2634" t="str">
            <v>Leicestershire</v>
          </cell>
          <cell r="E2634">
            <v>2045</v>
          </cell>
          <cell r="F2634" t="str">
            <v>Sue Harp</v>
          </cell>
          <cell r="G2634" t="str">
            <v>Westfield Junior School</v>
          </cell>
          <cell r="H2634" t="str">
            <v>East Midlands</v>
          </cell>
          <cell r="I2634" t="str">
            <v>Westfield Road</v>
          </cell>
          <cell r="L2634" t="str">
            <v>Hinckley</v>
          </cell>
          <cell r="M2634" t="str">
            <v>Leicestershire</v>
          </cell>
          <cell r="N2634" t="str">
            <v>LE10 0LT</v>
          </cell>
        </row>
        <row r="2635">
          <cell r="A2635">
            <v>9165409</v>
          </cell>
          <cell r="B2635">
            <v>115760</v>
          </cell>
          <cell r="C2635">
            <v>916</v>
          </cell>
          <cell r="D2635" t="str">
            <v>Gloucestershire</v>
          </cell>
          <cell r="E2635">
            <v>5409</v>
          </cell>
          <cell r="F2635" t="str">
            <v>Dominic Wilson</v>
          </cell>
          <cell r="G2635" t="str">
            <v>Churchdown School</v>
          </cell>
          <cell r="H2635" t="str">
            <v>South West</v>
          </cell>
          <cell r="I2635" t="str">
            <v>Winston Road</v>
          </cell>
          <cell r="J2635" t="str">
            <v>Churchdown</v>
          </cell>
          <cell r="L2635" t="str">
            <v>Gloucester</v>
          </cell>
          <cell r="M2635" t="str">
            <v>Gloucestershire</v>
          </cell>
          <cell r="N2635" t="str">
            <v>GL3 2RB</v>
          </cell>
          <cell r="O2635" t="str">
            <v>sap@churchdown.gloucs.sch.uk</v>
          </cell>
          <cell r="P2635">
            <v>40605</v>
          </cell>
        </row>
        <row r="2636">
          <cell r="A2636">
            <v>8604156</v>
          </cell>
          <cell r="B2636">
            <v>124433</v>
          </cell>
          <cell r="C2636">
            <v>860</v>
          </cell>
          <cell r="D2636" t="str">
            <v>Staffordshire</v>
          </cell>
          <cell r="E2636">
            <v>4156</v>
          </cell>
          <cell r="F2636" t="str">
            <v>Stephen Bagnall</v>
          </cell>
          <cell r="G2636" t="str">
            <v>Belgrave High School</v>
          </cell>
          <cell r="H2636" t="str">
            <v>West Midlands</v>
          </cell>
          <cell r="I2636" t="str">
            <v>Birds Bush Road</v>
          </cell>
          <cell r="J2636" t="str">
            <v>Belgrave</v>
          </cell>
          <cell r="L2636" t="str">
            <v>Tamworth</v>
          </cell>
          <cell r="M2636" t="str">
            <v>Staffordshire</v>
          </cell>
          <cell r="N2636" t="str">
            <v>B77 2NE</v>
          </cell>
          <cell r="O2636" t="str">
            <v>headteacher@belgrave.staffs.sch.uk</v>
          </cell>
        </row>
        <row r="2637">
          <cell r="A2637">
            <v>3802128</v>
          </cell>
          <cell r="B2637">
            <v>107265</v>
          </cell>
          <cell r="C2637">
            <v>380</v>
          </cell>
          <cell r="D2637" t="str">
            <v>Bradford</v>
          </cell>
          <cell r="E2637">
            <v>2128</v>
          </cell>
          <cell r="F2637" t="str">
            <v>Glyn Newton</v>
          </cell>
          <cell r="G2637" t="str">
            <v>Long Lee Primary School</v>
          </cell>
          <cell r="H2637" t="str">
            <v>Yorkshire and the Humber</v>
          </cell>
          <cell r="I2637" t="str">
            <v>Cherry Tree Rise</v>
          </cell>
          <cell r="L2637" t="str">
            <v>Keighley</v>
          </cell>
          <cell r="M2637" t="str">
            <v>West Yorkshire</v>
          </cell>
          <cell r="N2637" t="str">
            <v>BD21 4RU</v>
          </cell>
          <cell r="O2637" t="str">
            <v>louise.smith@longlee.bradford.sch.uk</v>
          </cell>
        </row>
        <row r="2638">
          <cell r="A2638">
            <v>8857023</v>
          </cell>
          <cell r="B2638">
            <v>131084</v>
          </cell>
          <cell r="C2638">
            <v>885</v>
          </cell>
          <cell r="D2638" t="str">
            <v>Worcestershire</v>
          </cell>
          <cell r="E2638">
            <v>7023</v>
          </cell>
          <cell r="F2638" t="str">
            <v>Alison Middleton</v>
          </cell>
          <cell r="G2638" t="str">
            <v>The Kingfisher School</v>
          </cell>
          <cell r="H2638" t="str">
            <v>West Midlands</v>
          </cell>
          <cell r="I2638" t="str">
            <v>Clifton Close</v>
          </cell>
          <cell r="J2638" t="str">
            <v>Matchborough</v>
          </cell>
          <cell r="L2638" t="str">
            <v>Redditch</v>
          </cell>
          <cell r="M2638" t="str">
            <v>Worcestershire</v>
          </cell>
          <cell r="N2638" t="str">
            <v>B98 0HF</v>
          </cell>
          <cell r="O2638" t="str">
            <v>head@kingfisher.worcs.sch.uk</v>
          </cell>
        </row>
        <row r="2639">
          <cell r="A2639">
            <v>8253029</v>
          </cell>
          <cell r="B2639">
            <v>110421</v>
          </cell>
          <cell r="C2639">
            <v>825</v>
          </cell>
          <cell r="D2639" t="str">
            <v>Buckinghamshire</v>
          </cell>
          <cell r="E2639">
            <v>3029</v>
          </cell>
          <cell r="F2639" t="str">
            <v>Darren Francis</v>
          </cell>
          <cell r="G2639" t="str">
            <v>Wendover Church of England Junior School</v>
          </cell>
          <cell r="H2639" t="str">
            <v>South East</v>
          </cell>
          <cell r="I2639" t="str">
            <v>Wharf Road</v>
          </cell>
          <cell r="J2639" t="str">
            <v>Wendover</v>
          </cell>
          <cell r="L2639" t="str">
            <v>Aylesbury</v>
          </cell>
          <cell r="M2639" t="str">
            <v>Buckinghamshire</v>
          </cell>
          <cell r="N2639" t="str">
            <v>HP22 6HF</v>
          </cell>
          <cell r="O2639" t="str">
            <v>head@wendover.bucks.sch.uk</v>
          </cell>
        </row>
        <row r="2640">
          <cell r="A2640">
            <v>3593027</v>
          </cell>
          <cell r="B2640">
            <v>106446</v>
          </cell>
          <cell r="C2640">
            <v>359</v>
          </cell>
          <cell r="D2640" t="str">
            <v>Wigan</v>
          </cell>
          <cell r="E2640">
            <v>3027</v>
          </cell>
          <cell r="F2640" t="str">
            <v>Viv Clutton</v>
          </cell>
          <cell r="G2640" t="str">
            <v>Bedford Hall Methodist Primary School</v>
          </cell>
          <cell r="H2640" t="str">
            <v>North West</v>
          </cell>
          <cell r="I2640" t="str">
            <v>Breaston Avenue</v>
          </cell>
          <cell r="L2640" t="str">
            <v>Leigh</v>
          </cell>
          <cell r="M2640" t="str">
            <v>Lancashire</v>
          </cell>
          <cell r="N2640" t="str">
            <v>WN7 3DJ</v>
          </cell>
          <cell r="O2640" t="str">
            <v>headteacher@admin.bedfordhall.wigan.sch.uk</v>
          </cell>
        </row>
        <row r="2641">
          <cell r="A2641">
            <v>2067031</v>
          </cell>
          <cell r="B2641">
            <v>134030</v>
          </cell>
          <cell r="C2641">
            <v>206</v>
          </cell>
          <cell r="D2641" t="str">
            <v>Islington</v>
          </cell>
          <cell r="E2641">
            <v>7031</v>
          </cell>
          <cell r="F2641" t="str">
            <v>Martin Rowley</v>
          </cell>
          <cell r="G2641" t="str">
            <v>The Bridge School</v>
          </cell>
          <cell r="H2641" t="str">
            <v>London</v>
          </cell>
          <cell r="I2641" t="str">
            <v>28 Carleton Road</v>
          </cell>
          <cell r="L2641" t="str">
            <v>London</v>
          </cell>
          <cell r="N2641" t="str">
            <v>N7 0EQ</v>
          </cell>
          <cell r="O2641" t="str">
            <v>penny.barratt@thebridge.islington.sch.uk</v>
          </cell>
          <cell r="P2641">
            <v>40927</v>
          </cell>
        </row>
        <row r="2642">
          <cell r="A2642">
            <v>8004138</v>
          </cell>
          <cell r="B2642">
            <v>109311</v>
          </cell>
          <cell r="C2642">
            <v>800</v>
          </cell>
          <cell r="D2642" t="str">
            <v>Bath and North East Somerset</v>
          </cell>
          <cell r="E2642">
            <v>4138</v>
          </cell>
          <cell r="F2642" t="str">
            <v>Janet Smith</v>
          </cell>
          <cell r="G2642" t="str">
            <v>Wellsway School</v>
          </cell>
          <cell r="H2642" t="str">
            <v>South West</v>
          </cell>
          <cell r="I2642" t="str">
            <v>Chandag Road</v>
          </cell>
          <cell r="J2642" t="str">
            <v>Keynsham</v>
          </cell>
          <cell r="L2642" t="str">
            <v>Bristol</v>
          </cell>
          <cell r="N2642" t="str">
            <v>BS31 1PH</v>
          </cell>
          <cell r="O2642" t="str">
            <v>aarlidge@wellsway.bathnes.sch.uk</v>
          </cell>
          <cell r="P2642">
            <v>40673</v>
          </cell>
        </row>
        <row r="2643">
          <cell r="A2643">
            <v>3145404</v>
          </cell>
          <cell r="B2643">
            <v>102600</v>
          </cell>
          <cell r="C2643">
            <v>314</v>
          </cell>
          <cell r="D2643" t="str">
            <v>Kingston upon Thames</v>
          </cell>
          <cell r="E2643">
            <v>5404</v>
          </cell>
          <cell r="F2643" t="str">
            <v>Helen Barry</v>
          </cell>
          <cell r="G2643" t="str">
            <v>The Hollyfield School and Sixth Form Centre</v>
          </cell>
          <cell r="H2643" t="str">
            <v>London</v>
          </cell>
          <cell r="I2643" t="str">
            <v>Surbiton Hill Road</v>
          </cell>
          <cell r="L2643" t="str">
            <v>Surbiton</v>
          </cell>
          <cell r="M2643" t="str">
            <v>Surrey</v>
          </cell>
          <cell r="N2643" t="str">
            <v>KT6 4TU</v>
          </cell>
          <cell r="O2643" t="str">
            <v>stephen.chamberlain@rbksch.org</v>
          </cell>
          <cell r="P2643">
            <v>40715</v>
          </cell>
        </row>
        <row r="2644">
          <cell r="A2644">
            <v>8503196</v>
          </cell>
          <cell r="B2644">
            <v>116337</v>
          </cell>
          <cell r="C2644">
            <v>850</v>
          </cell>
          <cell r="D2644" t="str">
            <v>Hampshire</v>
          </cell>
          <cell r="E2644">
            <v>3196</v>
          </cell>
          <cell r="F2644" t="str">
            <v>Amanda Barrett</v>
          </cell>
          <cell r="G2644" t="str">
            <v>Rowledge Church of England Controlled Primary School</v>
          </cell>
          <cell r="H2644" t="str">
            <v>South East</v>
          </cell>
          <cell r="I2644" t="str">
            <v>School Road</v>
          </cell>
          <cell r="J2644" t="str">
            <v>Rowledge</v>
          </cell>
          <cell r="L2644" t="str">
            <v>Farnham</v>
          </cell>
          <cell r="M2644" t="str">
            <v>Surrey</v>
          </cell>
          <cell r="N2644" t="str">
            <v>GU10 4BW</v>
          </cell>
        </row>
        <row r="2645">
          <cell r="A2645">
            <v>8925404</v>
          </cell>
          <cell r="B2645">
            <v>122895</v>
          </cell>
          <cell r="C2645">
            <v>892</v>
          </cell>
          <cell r="D2645" t="str">
            <v>Nottingham</v>
          </cell>
          <cell r="E2645">
            <v>5404</v>
          </cell>
          <cell r="F2645" t="str">
            <v>Stella Mascarenhas-Keys</v>
          </cell>
          <cell r="G2645" t="str">
            <v>The Trinity Catholic School</v>
          </cell>
          <cell r="H2645" t="str">
            <v>East Midlands</v>
          </cell>
          <cell r="I2645" t="str">
            <v>Beechdale Road</v>
          </cell>
          <cell r="J2645" t="str">
            <v>Aspley</v>
          </cell>
          <cell r="L2645" t="str">
            <v>Nottingham</v>
          </cell>
          <cell r="M2645" t="str">
            <v>Nottinghamshire</v>
          </cell>
          <cell r="N2645" t="str">
            <v>NG8 3EZ</v>
          </cell>
          <cell r="O2645" t="str">
            <v>m.mckeever@trinity.nottingham.sch.uk</v>
          </cell>
          <cell r="P2645">
            <v>40928</v>
          </cell>
        </row>
        <row r="2646">
          <cell r="A2646">
            <v>8764103</v>
          </cell>
          <cell r="B2646">
            <v>111400</v>
          </cell>
          <cell r="C2646">
            <v>876</v>
          </cell>
          <cell r="D2646" t="str">
            <v>Halton</v>
          </cell>
          <cell r="E2646">
            <v>4103</v>
          </cell>
          <cell r="F2646" t="str">
            <v>Maria Sabberton</v>
          </cell>
          <cell r="G2646" t="str">
            <v>The Heath School</v>
          </cell>
          <cell r="H2646" t="str">
            <v>North West</v>
          </cell>
          <cell r="I2646" t="str">
            <v>Clifton Road</v>
          </cell>
          <cell r="L2646" t="str">
            <v>Runcorn</v>
          </cell>
          <cell r="M2646" t="str">
            <v>Cheshire</v>
          </cell>
          <cell r="N2646" t="str">
            <v>WA7 4SY</v>
          </cell>
          <cell r="O2646" t="str">
            <v>hmullaney@heathschool.org.uk</v>
          </cell>
          <cell r="P2646">
            <v>40529</v>
          </cell>
        </row>
        <row r="2647">
          <cell r="A2647">
            <v>3554018</v>
          </cell>
          <cell r="B2647">
            <v>134196</v>
          </cell>
          <cell r="C2647">
            <v>355</v>
          </cell>
          <cell r="D2647" t="str">
            <v>Salford</v>
          </cell>
          <cell r="E2647">
            <v>4018</v>
          </cell>
          <cell r="F2647" t="str">
            <v>Linda Tiley</v>
          </cell>
          <cell r="G2647" t="str">
            <v>Beis Yaakov Jewish High School</v>
          </cell>
          <cell r="H2647" t="str">
            <v>North West</v>
          </cell>
          <cell r="I2647" t="str">
            <v>69 Broom Lane</v>
          </cell>
          <cell r="J2647" t="str">
            <v>Bury New Road</v>
          </cell>
          <cell r="L2647" t="str">
            <v>Salford</v>
          </cell>
          <cell r="M2647" t="str">
            <v>Greater Manchester</v>
          </cell>
          <cell r="N2647" t="str">
            <v>M7 4FF</v>
          </cell>
          <cell r="O2647" t="str">
            <v>y.goldblatt@byhs.org</v>
          </cell>
          <cell r="P2647">
            <v>40804</v>
          </cell>
        </row>
        <row r="2648">
          <cell r="A2648">
            <v>9282001</v>
          </cell>
          <cell r="B2648">
            <v>122096</v>
          </cell>
          <cell r="C2648">
            <v>928</v>
          </cell>
          <cell r="D2648" t="str">
            <v>Northamptonshire</v>
          </cell>
          <cell r="E2648">
            <v>2001</v>
          </cell>
          <cell r="F2648" t="str">
            <v>Sue Harp</v>
          </cell>
          <cell r="G2648" t="str">
            <v>All Saints CofE VA Primary School</v>
          </cell>
          <cell r="H2648" t="str">
            <v>East Midlands</v>
          </cell>
          <cell r="I2648" t="str">
            <v>Boughton Green Road</v>
          </cell>
          <cell r="J2648" t="str">
            <v>Kingsthorpe</v>
          </cell>
          <cell r="L2648" t="str">
            <v>Northampton</v>
          </cell>
          <cell r="M2648" t="str">
            <v>Northamptonshire</v>
          </cell>
          <cell r="N2648" t="str">
            <v>NN2 7AJ</v>
          </cell>
        </row>
        <row r="2649">
          <cell r="A2649">
            <v>8254503</v>
          </cell>
          <cell r="B2649">
            <v>110513</v>
          </cell>
          <cell r="C2649">
            <v>825</v>
          </cell>
          <cell r="D2649" t="str">
            <v>Buckinghamshire</v>
          </cell>
          <cell r="E2649">
            <v>4503</v>
          </cell>
          <cell r="F2649" t="str">
            <v>Darren Francis</v>
          </cell>
          <cell r="G2649" t="str">
            <v>Wycombe High School</v>
          </cell>
          <cell r="H2649" t="str">
            <v>South East</v>
          </cell>
          <cell r="I2649" t="str">
            <v>Marlow Road</v>
          </cell>
          <cell r="L2649" t="str">
            <v>High Wycombe</v>
          </cell>
          <cell r="M2649" t="str">
            <v>Buckinghamshire</v>
          </cell>
          <cell r="N2649" t="str">
            <v>HP11 1TB</v>
          </cell>
          <cell r="O2649" t="str">
            <v>office@whs.bucks.sch.uk</v>
          </cell>
          <cell r="P2649">
            <v>40562</v>
          </cell>
        </row>
        <row r="2650">
          <cell r="A2650">
            <v>8403527</v>
          </cell>
          <cell r="B2650">
            <v>135838</v>
          </cell>
          <cell r="C2650">
            <v>840</v>
          </cell>
          <cell r="D2650" t="str">
            <v>Durham</v>
          </cell>
          <cell r="E2650">
            <v>3527</v>
          </cell>
          <cell r="F2650" t="str">
            <v>Carol Blain</v>
          </cell>
          <cell r="G2650" t="str">
            <v>Shotton Hall Primary School</v>
          </cell>
          <cell r="H2650" t="str">
            <v>North East</v>
          </cell>
          <cell r="I2650" t="str">
            <v>Waveney Road</v>
          </cell>
          <cell r="L2650" t="str">
            <v>Peterlee</v>
          </cell>
          <cell r="M2650" t="str">
            <v>County Durham</v>
          </cell>
          <cell r="N2650" t="str">
            <v>SR8 1NX</v>
          </cell>
          <cell r="O2650" t="str">
            <v>n.leyland200@durhamlearning.net</v>
          </cell>
        </row>
        <row r="2651">
          <cell r="A2651">
            <v>9283508</v>
          </cell>
          <cell r="B2651">
            <v>134653</v>
          </cell>
          <cell r="C2651">
            <v>928</v>
          </cell>
          <cell r="D2651" t="str">
            <v>Northamptonshire</v>
          </cell>
          <cell r="E2651">
            <v>3508</v>
          </cell>
          <cell r="F2651" t="str">
            <v>Grant Dyson</v>
          </cell>
          <cell r="G2651" t="str">
            <v>Upton Meadows Primary School</v>
          </cell>
          <cell r="H2651" t="str">
            <v>East Midlands</v>
          </cell>
          <cell r="I2651" t="str">
            <v>The Square</v>
          </cell>
          <cell r="J2651" t="str">
            <v>Upton</v>
          </cell>
          <cell r="L2651" t="str">
            <v>Northampton</v>
          </cell>
          <cell r="M2651" t="str">
            <v>Northamptonshire</v>
          </cell>
          <cell r="N2651" t="str">
            <v>NN5 4EZ</v>
          </cell>
          <cell r="O2651" t="str">
            <v>head@upton-pri.northants-ecl.gov.uk</v>
          </cell>
          <cell r="P2651">
            <v>40816</v>
          </cell>
        </row>
        <row r="2652">
          <cell r="A2652">
            <v>8865434</v>
          </cell>
          <cell r="B2652">
            <v>118906</v>
          </cell>
          <cell r="C2652">
            <v>886</v>
          </cell>
          <cell r="D2652" t="str">
            <v>Kent</v>
          </cell>
          <cell r="E2652">
            <v>5434</v>
          </cell>
          <cell r="F2652" t="str">
            <v>Sarah Mitchell</v>
          </cell>
          <cell r="G2652" t="str">
            <v>The Westlands School (in federation with The Woodgrove Primary School)</v>
          </cell>
          <cell r="H2652" t="str">
            <v>South East</v>
          </cell>
          <cell r="I2652" t="str">
            <v>Westlands Avenue</v>
          </cell>
          <cell r="L2652" t="str">
            <v>Sittingbourne</v>
          </cell>
          <cell r="M2652" t="str">
            <v>Kent</v>
          </cell>
          <cell r="N2652" t="str">
            <v>ME10 1PF</v>
          </cell>
          <cell r="O2652" t="str">
            <v>jwh@westlands.kent.sch.uk</v>
          </cell>
          <cell r="P2652">
            <v>40360</v>
          </cell>
        </row>
        <row r="2653">
          <cell r="A2653">
            <v>8862458</v>
          </cell>
          <cell r="B2653">
            <v>118452</v>
          </cell>
          <cell r="C2653">
            <v>886</v>
          </cell>
          <cell r="D2653" t="str">
            <v>Kent</v>
          </cell>
          <cell r="E2653">
            <v>2458</v>
          </cell>
          <cell r="G2653" t="str">
            <v>Istead Rise Primary</v>
          </cell>
          <cell r="H2653" t="str">
            <v>South East</v>
          </cell>
          <cell r="I2653" t="str">
            <v>Downs Road</v>
          </cell>
          <cell r="J2653" t="str">
            <v>Northfleet</v>
          </cell>
          <cell r="L2653" t="str">
            <v>Gravesend</v>
          </cell>
          <cell r="M2653" t="str">
            <v>Kent</v>
          </cell>
          <cell r="N2653" t="str">
            <v>DA13 9HG</v>
          </cell>
          <cell r="O2653" t="str">
            <v>headteacher@istead-rise.kent.sch.uk</v>
          </cell>
        </row>
        <row r="2654">
          <cell r="A2654">
            <v>8553433</v>
          </cell>
          <cell r="B2654">
            <v>120232</v>
          </cell>
          <cell r="C2654">
            <v>855</v>
          </cell>
          <cell r="D2654" t="str">
            <v>Leicestershire</v>
          </cell>
          <cell r="E2654">
            <v>3433</v>
          </cell>
          <cell r="F2654" t="str">
            <v>Grant Dyson</v>
          </cell>
          <cell r="G2654" t="str">
            <v>Saint Mary's Catholic Primary School, Loughborough</v>
          </cell>
          <cell r="H2654" t="str">
            <v>East Midlands</v>
          </cell>
          <cell r="I2654" t="str">
            <v>Hastings Street</v>
          </cell>
          <cell r="L2654" t="str">
            <v>Loughborough</v>
          </cell>
          <cell r="M2654" t="str">
            <v>Leicestershire</v>
          </cell>
          <cell r="N2654" t="str">
            <v>LE11 5AX</v>
          </cell>
          <cell r="O2654" t="str">
            <v>headteachera1@stmarys-rc.leics.sch.uk</v>
          </cell>
          <cell r="P2654">
            <v>40996</v>
          </cell>
        </row>
        <row r="2655">
          <cell r="A2655">
            <v>8815204</v>
          </cell>
          <cell r="B2655">
            <v>115244</v>
          </cell>
          <cell r="C2655">
            <v>881</v>
          </cell>
          <cell r="D2655" t="str">
            <v>Essex</v>
          </cell>
          <cell r="E2655">
            <v>5204</v>
          </cell>
          <cell r="F2655" t="str">
            <v>Claire Ivie</v>
          </cell>
          <cell r="G2655" t="str">
            <v>Great Totham Primary School</v>
          </cell>
          <cell r="H2655" t="str">
            <v>East of England</v>
          </cell>
          <cell r="I2655" t="str">
            <v>Walden House Road</v>
          </cell>
          <cell r="J2655" t="str">
            <v>Great Totham</v>
          </cell>
          <cell r="L2655" t="str">
            <v>Maldon</v>
          </cell>
          <cell r="M2655" t="str">
            <v>Essex</v>
          </cell>
          <cell r="N2655" t="str">
            <v>CM9 8PN</v>
          </cell>
        </row>
        <row r="2656">
          <cell r="A2656">
            <v>8862316</v>
          </cell>
          <cell r="B2656">
            <v>118396</v>
          </cell>
          <cell r="C2656">
            <v>886</v>
          </cell>
          <cell r="D2656" t="str">
            <v>Kent</v>
          </cell>
          <cell r="E2656">
            <v>2316</v>
          </cell>
          <cell r="F2656" t="str">
            <v>Darren Francis</v>
          </cell>
          <cell r="G2656" t="str">
            <v>Shatterlocks Infant School</v>
          </cell>
          <cell r="H2656" t="str">
            <v>South East</v>
          </cell>
          <cell r="I2656" t="str">
            <v>Heathfield Avenue</v>
          </cell>
          <cell r="L2656" t="str">
            <v>Dover</v>
          </cell>
          <cell r="M2656" t="str">
            <v>Kent</v>
          </cell>
          <cell r="N2656" t="str">
            <v>CT16 2PB</v>
          </cell>
          <cell r="O2656" t="str">
            <v>chiefexecutive@astorcollege.org.uk</v>
          </cell>
          <cell r="P2656">
            <v>40815</v>
          </cell>
        </row>
        <row r="2657">
          <cell r="A2657">
            <v>3143503</v>
          </cell>
          <cell r="B2657">
            <v>102597</v>
          </cell>
          <cell r="C2657">
            <v>314</v>
          </cell>
          <cell r="D2657" t="str">
            <v>Kingston upon Thames</v>
          </cell>
          <cell r="E2657">
            <v>3503</v>
          </cell>
          <cell r="F2657" t="str">
            <v>Tahir Shams</v>
          </cell>
          <cell r="G2657" t="str">
            <v>St Agatha's Catholic Primary School</v>
          </cell>
          <cell r="H2657" t="str">
            <v>London</v>
          </cell>
          <cell r="I2657" t="str">
            <v>St Agatha's Drive</v>
          </cell>
          <cell r="L2657" t="str">
            <v>Kingston upon Thames</v>
          </cell>
          <cell r="M2657" t="str">
            <v>Surrey</v>
          </cell>
          <cell r="N2657" t="str">
            <v>KT2 5TY</v>
          </cell>
          <cell r="O2657" t="str">
            <v>paddy.monk@stagathas.rbksch.org</v>
          </cell>
          <cell r="P2657">
            <v>40812</v>
          </cell>
        </row>
        <row r="2658">
          <cell r="A2658">
            <v>9332177</v>
          </cell>
          <cell r="B2658">
            <v>123691</v>
          </cell>
          <cell r="C2658">
            <v>933</v>
          </cell>
          <cell r="D2658" t="str">
            <v>Somerset</v>
          </cell>
          <cell r="E2658">
            <v>2177</v>
          </cell>
          <cell r="F2658" t="str">
            <v>Kate Bosher</v>
          </cell>
          <cell r="G2658" t="str">
            <v>Othery Village School</v>
          </cell>
          <cell r="H2658" t="str">
            <v>South West</v>
          </cell>
          <cell r="I2658" t="str">
            <v>Othery</v>
          </cell>
          <cell r="L2658" t="str">
            <v>Bridgwater</v>
          </cell>
          <cell r="M2658" t="str">
            <v>Somerset</v>
          </cell>
          <cell r="N2658" t="str">
            <v>TA7 0PX</v>
          </cell>
          <cell r="O2658" t="str">
            <v>hormerod@educ.somerset.gov.uk</v>
          </cell>
        </row>
        <row r="2659">
          <cell r="A2659">
            <v>8652028</v>
          </cell>
          <cell r="B2659">
            <v>126184</v>
          </cell>
          <cell r="C2659">
            <v>865</v>
          </cell>
          <cell r="D2659" t="str">
            <v>Wiltshire</v>
          </cell>
          <cell r="E2659">
            <v>2028</v>
          </cell>
          <cell r="F2659" t="str">
            <v>Nigel Mills</v>
          </cell>
          <cell r="G2659" t="str">
            <v>Corsham Primary School</v>
          </cell>
          <cell r="H2659" t="str">
            <v>South West</v>
          </cell>
          <cell r="I2659" t="str">
            <v>Pound Pill</v>
          </cell>
          <cell r="L2659" t="str">
            <v>Corsham</v>
          </cell>
          <cell r="M2659" t="str">
            <v>Wiltshire</v>
          </cell>
          <cell r="N2659" t="str">
            <v>SN13 9YW</v>
          </cell>
          <cell r="O2659" t="str">
            <v>head@corsham-pri.wilts.sch.uk</v>
          </cell>
          <cell r="P2659">
            <v>40487</v>
          </cell>
        </row>
        <row r="2660">
          <cell r="A2660">
            <v>3162099</v>
          </cell>
          <cell r="B2660">
            <v>131613</v>
          </cell>
          <cell r="C2660">
            <v>316</v>
          </cell>
          <cell r="D2660" t="str">
            <v>Newham</v>
          </cell>
          <cell r="E2660">
            <v>2099</v>
          </cell>
          <cell r="F2660" t="str">
            <v>Sheila Longstaff</v>
          </cell>
          <cell r="G2660" t="str">
            <v>Britannia Village Primary School</v>
          </cell>
          <cell r="H2660" t="str">
            <v>London</v>
          </cell>
          <cell r="I2660" t="str">
            <v>Westwood Road</v>
          </cell>
          <cell r="J2660" t="str">
            <v>West Silvertown</v>
          </cell>
          <cell r="L2660" t="str">
            <v>London</v>
          </cell>
          <cell r="N2660" t="str">
            <v>E16 2AW</v>
          </cell>
          <cell r="O2660" t="str">
            <v>linda-may@britannia-village.newham.sch.uk</v>
          </cell>
        </row>
        <row r="2661">
          <cell r="A2661">
            <v>3812027</v>
          </cell>
          <cell r="B2661">
            <v>107493</v>
          </cell>
          <cell r="C2661">
            <v>381</v>
          </cell>
          <cell r="D2661" t="str">
            <v>Calderdale</v>
          </cell>
          <cell r="E2661">
            <v>2027</v>
          </cell>
          <cell r="F2661" t="str">
            <v>Lisa Sargeant</v>
          </cell>
          <cell r="G2661" t="str">
            <v>Wainstalls School</v>
          </cell>
          <cell r="H2661" t="str">
            <v>Yorkshire and the Humber</v>
          </cell>
          <cell r="I2661" t="str">
            <v>Wainstalls</v>
          </cell>
          <cell r="L2661" t="str">
            <v>Halifax</v>
          </cell>
          <cell r="M2661" t="str">
            <v>West Yorkshire</v>
          </cell>
          <cell r="N2661" t="str">
            <v>HX2 7TE</v>
          </cell>
          <cell r="O2661" t="str">
            <v>head@wainstalls.calderdale.sch.uk</v>
          </cell>
          <cell r="P2661">
            <v>41255</v>
          </cell>
        </row>
        <row r="2662">
          <cell r="A2662">
            <v>9363931</v>
          </cell>
          <cell r="B2662">
            <v>125137</v>
          </cell>
          <cell r="C2662">
            <v>936</v>
          </cell>
          <cell r="D2662" t="str">
            <v>Surrey</v>
          </cell>
          <cell r="E2662">
            <v>3931</v>
          </cell>
          <cell r="F2662" t="str">
            <v>Gabriela Grimley</v>
          </cell>
          <cell r="G2662" t="str">
            <v>Lyne and Longcross CofE Infant School</v>
          </cell>
          <cell r="H2662" t="str">
            <v>South East</v>
          </cell>
          <cell r="I2662" t="str">
            <v>Lyne Lane</v>
          </cell>
          <cell r="J2662" t="str">
            <v>Lyne</v>
          </cell>
          <cell r="L2662" t="str">
            <v>Chertsey</v>
          </cell>
          <cell r="M2662" t="str">
            <v>Surrey</v>
          </cell>
          <cell r="N2662" t="str">
            <v>KT16 0AJ</v>
          </cell>
        </row>
        <row r="2663">
          <cell r="A2663">
            <v>8965204</v>
          </cell>
          <cell r="B2663">
            <v>111246</v>
          </cell>
          <cell r="C2663">
            <v>896</v>
          </cell>
          <cell r="D2663" t="str">
            <v>Cheshire West and Chester</v>
          </cell>
          <cell r="E2663">
            <v>5204</v>
          </cell>
          <cell r="F2663" t="str">
            <v>Kris Nursiah</v>
          </cell>
          <cell r="G2663" t="str">
            <v>Antrobus St Mark's Primary School</v>
          </cell>
          <cell r="H2663" t="str">
            <v>North West</v>
          </cell>
          <cell r="I2663" t="str">
            <v>School Lane</v>
          </cell>
          <cell r="J2663" t="str">
            <v>Antrobus</v>
          </cell>
          <cell r="L2663" t="str">
            <v>Northwich</v>
          </cell>
          <cell r="M2663" t="str">
            <v>Cheshire</v>
          </cell>
          <cell r="N2663" t="str">
            <v>CW9 6LB</v>
          </cell>
          <cell r="O2663" t="str">
            <v>diggle163@btinternet.com</v>
          </cell>
        </row>
        <row r="2664">
          <cell r="A2664">
            <v>8663461</v>
          </cell>
          <cell r="B2664">
            <v>131376</v>
          </cell>
          <cell r="C2664">
            <v>866</v>
          </cell>
          <cell r="D2664" t="str">
            <v>Swindon</v>
          </cell>
          <cell r="E2664">
            <v>3461</v>
          </cell>
          <cell r="F2664" t="str">
            <v>Nigel Mills</v>
          </cell>
          <cell r="G2664" t="str">
            <v>Moredon Primary School</v>
          </cell>
          <cell r="H2664" t="str">
            <v>South West</v>
          </cell>
          <cell r="I2664" t="str">
            <v>Moredon Road</v>
          </cell>
          <cell r="L2664" t="str">
            <v>Swindon</v>
          </cell>
          <cell r="M2664" t="str">
            <v>Wiltshire</v>
          </cell>
          <cell r="N2664" t="str">
            <v>SN2 2JG</v>
          </cell>
          <cell r="O2664" t="str">
            <v>head@admin.moredon.swindon.sch.uk</v>
          </cell>
          <cell r="P2664">
            <v>40865</v>
          </cell>
        </row>
        <row r="2665">
          <cell r="A2665">
            <v>8952176</v>
          </cell>
          <cell r="B2665">
            <v>111045</v>
          </cell>
          <cell r="C2665">
            <v>895</v>
          </cell>
          <cell r="D2665" t="str">
            <v>Cheshire East</v>
          </cell>
          <cell r="E2665">
            <v>2176</v>
          </cell>
          <cell r="F2665" t="str">
            <v>Jane McCusker</v>
          </cell>
          <cell r="G2665" t="str">
            <v>Black Firs Primary School</v>
          </cell>
          <cell r="H2665" t="str">
            <v>North West</v>
          </cell>
          <cell r="I2665" t="str">
            <v>Longdown Road</v>
          </cell>
          <cell r="L2665" t="str">
            <v>Congleton</v>
          </cell>
          <cell r="M2665" t="str">
            <v>Cheshire</v>
          </cell>
          <cell r="N2665" t="str">
            <v>CW12 4QJ</v>
          </cell>
          <cell r="O2665" t="str">
            <v>mcasserley@black-firs.co.uk</v>
          </cell>
        </row>
        <row r="2666">
          <cell r="A2666">
            <v>9263128</v>
          </cell>
          <cell r="B2666">
            <v>121088</v>
          </cell>
          <cell r="C2666">
            <v>926</v>
          </cell>
          <cell r="D2666" t="str">
            <v>Norfolk</v>
          </cell>
          <cell r="E2666">
            <v>3128</v>
          </cell>
          <cell r="F2666" t="str">
            <v>Not yet assigned</v>
          </cell>
          <cell r="G2666" t="str">
            <v>North Pickenham; St Andrew's CE VC Primary School</v>
          </cell>
          <cell r="H2666" t="str">
            <v>East of England</v>
          </cell>
          <cell r="I2666" t="str">
            <v>South Pickenham Road</v>
          </cell>
          <cell r="J2666" t="str">
            <v>North Pickenham</v>
          </cell>
          <cell r="L2666" t="str">
            <v>Swaffham</v>
          </cell>
          <cell r="M2666" t="str">
            <v>Norfolk</v>
          </cell>
          <cell r="N2666" t="str">
            <v>PE37 8DA</v>
          </cell>
          <cell r="O2666" t="str">
            <v>head@northpickenhamprimary.norfolk.sch.uk</v>
          </cell>
        </row>
        <row r="2667">
          <cell r="A2667">
            <v>3302472</v>
          </cell>
          <cell r="B2667">
            <v>131135</v>
          </cell>
          <cell r="C2667">
            <v>330</v>
          </cell>
          <cell r="D2667" t="str">
            <v>Birmingham</v>
          </cell>
          <cell r="E2667">
            <v>2472</v>
          </cell>
          <cell r="F2667" t="str">
            <v>Nicole Felicien</v>
          </cell>
          <cell r="G2667" t="str">
            <v>Alston Primary School</v>
          </cell>
          <cell r="H2667" t="str">
            <v>West Midlands</v>
          </cell>
          <cell r="I2667" t="str">
            <v>Alston Road</v>
          </cell>
          <cell r="J2667" t="str">
            <v>Bordesley Green East</v>
          </cell>
          <cell r="L2667" t="str">
            <v>Birmingham</v>
          </cell>
          <cell r="M2667" t="str">
            <v>West Midlands</v>
          </cell>
          <cell r="N2667" t="str">
            <v>B9 5UN</v>
          </cell>
          <cell r="O2667" t="str">
            <v>sarahprestonfoster@yahoo.co.uk</v>
          </cell>
          <cell r="P2667">
            <v>41025</v>
          </cell>
        </row>
        <row r="2668">
          <cell r="A2668">
            <v>9263310</v>
          </cell>
          <cell r="B2668">
            <v>121111</v>
          </cell>
          <cell r="C2668">
            <v>926</v>
          </cell>
          <cell r="D2668" t="str">
            <v>Norfolk</v>
          </cell>
          <cell r="E2668">
            <v>3310</v>
          </cell>
          <cell r="F2668" t="str">
            <v>Michael Cook</v>
          </cell>
          <cell r="G2668" t="str">
            <v>Caston Church of England Voluntary Aided Primary School</v>
          </cell>
          <cell r="H2668" t="str">
            <v>East of England</v>
          </cell>
          <cell r="I2668" t="str">
            <v>The Street</v>
          </cell>
          <cell r="J2668" t="str">
            <v>Caston</v>
          </cell>
          <cell r="L2668" t="str">
            <v>Attleborough</v>
          </cell>
          <cell r="M2668" t="str">
            <v>Norfolk</v>
          </cell>
          <cell r="N2668" t="str">
            <v>NR17 1DD</v>
          </cell>
          <cell r="O2668" t="str">
            <v>office@caston.norfolk.sch.uk</v>
          </cell>
        </row>
        <row r="2669">
          <cell r="A2669">
            <v>9263327</v>
          </cell>
          <cell r="B2669">
            <v>121118</v>
          </cell>
          <cell r="C2669">
            <v>926</v>
          </cell>
          <cell r="D2669" t="str">
            <v>Norfolk</v>
          </cell>
          <cell r="E2669">
            <v>3327</v>
          </cell>
          <cell r="F2669" t="str">
            <v>Shreena Patel</v>
          </cell>
          <cell r="G2669" t="str">
            <v>Gooderstone Church of England Voluntary Aided Primary School</v>
          </cell>
          <cell r="H2669" t="str">
            <v>East of England</v>
          </cell>
          <cell r="I2669" t="str">
            <v>The Street</v>
          </cell>
          <cell r="J2669" t="str">
            <v>Gooderstone</v>
          </cell>
          <cell r="L2669" t="str">
            <v>King's Lynn</v>
          </cell>
          <cell r="M2669" t="str">
            <v>Norfolk</v>
          </cell>
          <cell r="N2669" t="str">
            <v>PE33 9BP</v>
          </cell>
        </row>
        <row r="2670">
          <cell r="A2670">
            <v>8674603</v>
          </cell>
          <cell r="B2670">
            <v>110082</v>
          </cell>
          <cell r="C2670">
            <v>867</v>
          </cell>
          <cell r="D2670" t="str">
            <v>Bracknell Forest</v>
          </cell>
          <cell r="E2670">
            <v>4603</v>
          </cell>
          <cell r="F2670" t="str">
            <v>Darren Francis</v>
          </cell>
          <cell r="G2670" t="str">
            <v>Ranelagh School</v>
          </cell>
          <cell r="H2670" t="str">
            <v>South East</v>
          </cell>
          <cell r="I2670" t="str">
            <v>Ranelagh Drive</v>
          </cell>
          <cell r="L2670" t="str">
            <v>Bracknell</v>
          </cell>
          <cell r="M2670" t="str">
            <v>Berkshire</v>
          </cell>
          <cell r="N2670" t="str">
            <v>RG12 9DA</v>
          </cell>
          <cell r="O2670" t="str">
            <v>kmw@ranelagh.bracknell-forest.sch.uk</v>
          </cell>
          <cell r="P2670">
            <v>40683</v>
          </cell>
        </row>
        <row r="2671">
          <cell r="A2671">
            <v>3833910</v>
          </cell>
          <cell r="B2671">
            <v>108049</v>
          </cell>
          <cell r="C2671">
            <v>383</v>
          </cell>
          <cell r="D2671" t="str">
            <v>Leeds</v>
          </cell>
          <cell r="E2671">
            <v>3910</v>
          </cell>
          <cell r="F2671" t="str">
            <v>Frances Blow</v>
          </cell>
          <cell r="G2671" t="str">
            <v>Manston St James Church of England Primary School</v>
          </cell>
          <cell r="H2671" t="str">
            <v>Yorkshire and the Humber</v>
          </cell>
          <cell r="I2671" t="str">
            <v>Sandbed Lane</v>
          </cell>
          <cell r="J2671" t="str">
            <v>Cross Gates</v>
          </cell>
          <cell r="L2671" t="str">
            <v>Leeds</v>
          </cell>
          <cell r="M2671" t="str">
            <v>West Yorkshire</v>
          </cell>
          <cell r="N2671" t="str">
            <v>LS15 8JH</v>
          </cell>
          <cell r="O2671" t="str">
            <v>edwardm06@leedslearning.net</v>
          </cell>
          <cell r="P2671">
            <v>40963</v>
          </cell>
        </row>
        <row r="2672">
          <cell r="A2672">
            <v>9255417</v>
          </cell>
          <cell r="B2672">
            <v>120713</v>
          </cell>
          <cell r="C2672">
            <v>925</v>
          </cell>
          <cell r="D2672" t="str">
            <v>Lincolnshire</v>
          </cell>
          <cell r="E2672">
            <v>5417</v>
          </cell>
          <cell r="F2672" t="str">
            <v>Not yet assigned</v>
          </cell>
          <cell r="G2672" t="str">
            <v>Monks' Dyke Technology College</v>
          </cell>
          <cell r="H2672" t="str">
            <v>East Midlands</v>
          </cell>
          <cell r="I2672" t="str">
            <v>Monks' Dyke Road</v>
          </cell>
          <cell r="L2672" t="str">
            <v>Louth</v>
          </cell>
          <cell r="M2672" t="str">
            <v>Lincolnshire</v>
          </cell>
          <cell r="N2672" t="str">
            <v>LN11 9AW</v>
          </cell>
          <cell r="O2672" t="str">
            <v>cro@monksdyke.lincs.sch.uk</v>
          </cell>
        </row>
        <row r="2673">
          <cell r="A2673">
            <v>3722010</v>
          </cell>
          <cell r="B2673">
            <v>106838</v>
          </cell>
          <cell r="C2673">
            <v>372</v>
          </cell>
          <cell r="D2673" t="str">
            <v>Rotherham</v>
          </cell>
          <cell r="E2673">
            <v>2010</v>
          </cell>
          <cell r="F2673" t="str">
            <v>Nick Monton</v>
          </cell>
          <cell r="G2673" t="str">
            <v>East Dene Primary School</v>
          </cell>
          <cell r="H2673" t="str">
            <v>Yorkshire and the Humber</v>
          </cell>
          <cell r="I2673" t="str">
            <v>Doncaster Road</v>
          </cell>
          <cell r="J2673" t="str">
            <v>East Dene</v>
          </cell>
          <cell r="L2673" t="str">
            <v>Rotherham</v>
          </cell>
          <cell r="M2673" t="str">
            <v>South Yorkshire</v>
          </cell>
          <cell r="N2673" t="str">
            <v>S65 2DF</v>
          </cell>
          <cell r="O2673" t="str">
            <v>East-dean.junior-infant@rotherham.gov.uk</v>
          </cell>
        </row>
        <row r="2674">
          <cell r="A2674">
            <v>8514320</v>
          </cell>
          <cell r="B2674">
            <v>116476</v>
          </cell>
          <cell r="C2674">
            <v>851</v>
          </cell>
          <cell r="D2674" t="str">
            <v>Portsmouth</v>
          </cell>
          <cell r="E2674">
            <v>4320</v>
          </cell>
          <cell r="F2674" t="str">
            <v>Eric Mcewen</v>
          </cell>
          <cell r="G2674" t="str">
            <v>Admiral Lord Nelson School</v>
          </cell>
          <cell r="H2674" t="str">
            <v>South East</v>
          </cell>
          <cell r="I2674" t="str">
            <v>Dundas Lane</v>
          </cell>
          <cell r="L2674" t="str">
            <v>Portsmouth</v>
          </cell>
          <cell r="M2674" t="str">
            <v>Hampshire</v>
          </cell>
          <cell r="N2674" t="str">
            <v>PO3 5XT</v>
          </cell>
          <cell r="O2674" t="str">
            <v>slabedz@alns.co.uk</v>
          </cell>
        </row>
        <row r="2675">
          <cell r="A2675">
            <v>8652022</v>
          </cell>
          <cell r="B2675">
            <v>126181</v>
          </cell>
          <cell r="C2675">
            <v>865</v>
          </cell>
          <cell r="D2675" t="str">
            <v>Wiltshire</v>
          </cell>
          <cell r="E2675">
            <v>2022</v>
          </cell>
          <cell r="F2675" t="str">
            <v>Not yet assigned</v>
          </cell>
          <cell r="G2675" t="str">
            <v>Ivy Lane Primary School</v>
          </cell>
          <cell r="H2675" t="str">
            <v>South West</v>
          </cell>
          <cell r="I2675" t="str">
            <v>Ivy Lane</v>
          </cell>
          <cell r="L2675" t="str">
            <v>Chippenham</v>
          </cell>
          <cell r="M2675" t="str">
            <v>Wiltshire</v>
          </cell>
          <cell r="N2675" t="str">
            <v>SN15 1HE</v>
          </cell>
        </row>
        <row r="2676">
          <cell r="A2676">
            <v>8875445</v>
          </cell>
          <cell r="B2676">
            <v>118917</v>
          </cell>
          <cell r="C2676">
            <v>887</v>
          </cell>
          <cell r="D2676" t="str">
            <v>Medway</v>
          </cell>
          <cell r="E2676">
            <v>5445</v>
          </cell>
          <cell r="F2676" t="str">
            <v>Sarah Hall</v>
          </cell>
          <cell r="G2676" t="str">
            <v>The Rochester Grammar School</v>
          </cell>
          <cell r="H2676" t="str">
            <v>South East</v>
          </cell>
          <cell r="I2676" t="str">
            <v>Maidstone Road</v>
          </cell>
          <cell r="L2676" t="str">
            <v>Rochester</v>
          </cell>
          <cell r="M2676" t="str">
            <v>Kent</v>
          </cell>
          <cell r="N2676" t="str">
            <v>ME1 3BY</v>
          </cell>
          <cell r="O2676" t="str">
            <v>shepd004@medway.org.uk</v>
          </cell>
          <cell r="P2676">
            <v>40353</v>
          </cell>
        </row>
        <row r="2677">
          <cell r="A2677">
            <v>9262061</v>
          </cell>
          <cell r="B2677">
            <v>120806</v>
          </cell>
          <cell r="C2677">
            <v>926</v>
          </cell>
          <cell r="D2677" t="str">
            <v>Norfolk</v>
          </cell>
          <cell r="E2677">
            <v>2061</v>
          </cell>
          <cell r="F2677" t="str">
            <v>Michael Cook</v>
          </cell>
          <cell r="G2677" t="str">
            <v>Filby Primary School</v>
          </cell>
          <cell r="H2677" t="str">
            <v>East of England</v>
          </cell>
          <cell r="I2677" t="str">
            <v>Thrigby Road</v>
          </cell>
          <cell r="J2677" t="str">
            <v>Filby</v>
          </cell>
          <cell r="L2677" t="str">
            <v>Great Yarmouth</v>
          </cell>
          <cell r="M2677" t="str">
            <v>Norfolk</v>
          </cell>
          <cell r="N2677" t="str">
            <v>NR29 3HJ</v>
          </cell>
          <cell r="O2677" t="str">
            <v>head@filby.norfolk.sch.uk</v>
          </cell>
        </row>
        <row r="2678">
          <cell r="A2678">
            <v>8014100</v>
          </cell>
          <cell r="B2678">
            <v>109289</v>
          </cell>
          <cell r="C2678">
            <v>801</v>
          </cell>
          <cell r="D2678" t="str">
            <v>Bristol City of</v>
          </cell>
          <cell r="E2678">
            <v>4100</v>
          </cell>
          <cell r="F2678" t="str">
            <v>Ed Schuldt</v>
          </cell>
          <cell r="G2678" t="str">
            <v>Cotham School</v>
          </cell>
          <cell r="H2678" t="str">
            <v>South West</v>
          </cell>
          <cell r="I2678" t="str">
            <v>Cotham Lawn Road</v>
          </cell>
          <cell r="J2678" t="str">
            <v>Cotham</v>
          </cell>
          <cell r="L2678" t="str">
            <v>Bristol</v>
          </cell>
          <cell r="N2678" t="str">
            <v>BS6 6DT</v>
          </cell>
          <cell r="O2678" t="str">
            <v>willism@cotham.bristol.sch.uk</v>
          </cell>
          <cell r="P2678">
            <v>40674</v>
          </cell>
        </row>
        <row r="2679">
          <cell r="A2679">
            <v>3302172</v>
          </cell>
          <cell r="B2679">
            <v>103253</v>
          </cell>
          <cell r="C2679">
            <v>330</v>
          </cell>
          <cell r="D2679" t="str">
            <v>Birmingham</v>
          </cell>
          <cell r="E2679">
            <v>2172</v>
          </cell>
          <cell r="F2679" t="str">
            <v>Ruth Pallister</v>
          </cell>
          <cell r="G2679" t="str">
            <v>Shirestone Community Primary School</v>
          </cell>
          <cell r="H2679" t="str">
            <v>West Midlands</v>
          </cell>
          <cell r="I2679" t="str">
            <v>Shirestone Road</v>
          </cell>
          <cell r="J2679" t="str">
            <v>Tile Cross</v>
          </cell>
          <cell r="L2679" t="str">
            <v>Birmingham</v>
          </cell>
          <cell r="M2679" t="str">
            <v>West Midlands</v>
          </cell>
          <cell r="N2679" t="str">
            <v>B33 0DH</v>
          </cell>
          <cell r="O2679" t="str">
            <v>c.lucas@shirestn.bham.sch.uk</v>
          </cell>
        </row>
        <row r="2680">
          <cell r="A2680">
            <v>8953142</v>
          </cell>
          <cell r="B2680">
            <v>111268</v>
          </cell>
          <cell r="C2680">
            <v>895</v>
          </cell>
          <cell r="D2680" t="str">
            <v>Cheshire East</v>
          </cell>
          <cell r="E2680">
            <v>3142</v>
          </cell>
          <cell r="F2680" t="str">
            <v>Jane McCusker</v>
          </cell>
          <cell r="G2680" t="str">
            <v>Bickerton Holy Trinity CofE Primary School</v>
          </cell>
          <cell r="H2680" t="str">
            <v>North West</v>
          </cell>
          <cell r="I2680" t="str">
            <v>Long Lane</v>
          </cell>
          <cell r="J2680" t="str">
            <v>Bickerton</v>
          </cell>
          <cell r="L2680" t="str">
            <v>Malpas</v>
          </cell>
          <cell r="M2680" t="str">
            <v>Cheshire</v>
          </cell>
          <cell r="N2680" t="str">
            <v>SY14 8AP</v>
          </cell>
          <cell r="O2680" t="str">
            <v>abutler@lamonts.co.uk</v>
          </cell>
        </row>
        <row r="2681">
          <cell r="A2681">
            <v>3702088</v>
          </cell>
          <cell r="B2681">
            <v>106594</v>
          </cell>
          <cell r="C2681">
            <v>370</v>
          </cell>
          <cell r="D2681" t="str">
            <v>Barnsley</v>
          </cell>
          <cell r="E2681">
            <v>2088</v>
          </cell>
          <cell r="F2681" t="str">
            <v>Lisa Sargeant</v>
          </cell>
          <cell r="G2681" t="str">
            <v>Wombwell Park Street Primary School</v>
          </cell>
          <cell r="H2681" t="str">
            <v>Yorkshire and the Humber</v>
          </cell>
          <cell r="I2681" t="str">
            <v>Park Street</v>
          </cell>
          <cell r="J2681" t="str">
            <v>Wombwell</v>
          </cell>
          <cell r="L2681" t="str">
            <v>Barnsley</v>
          </cell>
          <cell r="M2681" t="str">
            <v>South Yorkshire</v>
          </cell>
          <cell r="N2681" t="str">
            <v>S73 0HS</v>
          </cell>
          <cell r="O2681" t="str">
            <v>g.fosterwilson@barnsley.org</v>
          </cell>
        </row>
        <row r="2682">
          <cell r="A2682">
            <v>3702122</v>
          </cell>
          <cell r="B2682">
            <v>106610</v>
          </cell>
          <cell r="C2682">
            <v>370</v>
          </cell>
          <cell r="D2682" t="str">
            <v>Barnsley</v>
          </cell>
          <cell r="E2682">
            <v>2122</v>
          </cell>
          <cell r="F2682" t="str">
            <v>John Edmunds</v>
          </cell>
          <cell r="G2682" t="str">
            <v>Carlton Primary School</v>
          </cell>
          <cell r="H2682" t="str">
            <v>Yorkshire and the Humber</v>
          </cell>
          <cell r="I2682" t="str">
            <v>Fish Dam Lane</v>
          </cell>
          <cell r="J2682" t="str">
            <v>Carlton</v>
          </cell>
          <cell r="L2682" t="str">
            <v>Barnsley</v>
          </cell>
          <cell r="M2682" t="str">
            <v>South Yorkshire</v>
          </cell>
          <cell r="N2682" t="str">
            <v>S71 3HF</v>
          </cell>
          <cell r="O2682" t="str">
            <v>v.hall@barnsley.org</v>
          </cell>
          <cell r="P2682">
            <v>41080</v>
          </cell>
        </row>
        <row r="2683">
          <cell r="A2683">
            <v>8913298</v>
          </cell>
          <cell r="B2683">
            <v>133269</v>
          </cell>
          <cell r="C2683">
            <v>891</v>
          </cell>
          <cell r="D2683" t="str">
            <v>Nottinghamshire</v>
          </cell>
          <cell r="E2683">
            <v>3298</v>
          </cell>
          <cell r="F2683" t="str">
            <v>*Not yet assigned*</v>
          </cell>
          <cell r="G2683" t="str">
            <v>Wynndale Primary School</v>
          </cell>
          <cell r="H2683" t="str">
            <v>East Midlands</v>
          </cell>
          <cell r="I2683" t="str">
            <v>Wynndale Drive</v>
          </cell>
          <cell r="L2683" t="str">
            <v>Mansfield</v>
          </cell>
          <cell r="M2683" t="str">
            <v>Nottinghamshire</v>
          </cell>
          <cell r="N2683" t="str">
            <v>NG18 3NY</v>
          </cell>
          <cell r="O2683" t="str">
            <v>head@wynndale.notts.sch.uk</v>
          </cell>
        </row>
        <row r="2684">
          <cell r="A2684">
            <v>8522450</v>
          </cell>
          <cell r="B2684">
            <v>116125</v>
          </cell>
          <cell r="C2684">
            <v>852</v>
          </cell>
          <cell r="D2684" t="str">
            <v>Southampton</v>
          </cell>
          <cell r="E2684">
            <v>2450</v>
          </cell>
          <cell r="F2684" t="str">
            <v>Lindsay Morris</v>
          </cell>
          <cell r="G2684" t="str">
            <v>Hightown Primary School</v>
          </cell>
          <cell r="H2684" t="str">
            <v>South East</v>
          </cell>
          <cell r="I2684" t="str">
            <v>Tunstall Road</v>
          </cell>
          <cell r="J2684" t="str">
            <v>Thornhill</v>
          </cell>
          <cell r="L2684" t="str">
            <v>Southampton</v>
          </cell>
          <cell r="M2684" t="str">
            <v>Hampshire</v>
          </cell>
          <cell r="N2684" t="str">
            <v>SO19 6AA</v>
          </cell>
          <cell r="O2684" t="str">
            <v>head@hightown.southampton.sch.uk</v>
          </cell>
          <cell r="P2684">
            <v>41205</v>
          </cell>
        </row>
        <row r="2685">
          <cell r="A2685">
            <v>3055401</v>
          </cell>
          <cell r="B2685">
            <v>101667</v>
          </cell>
          <cell r="C2685">
            <v>305</v>
          </cell>
          <cell r="D2685" t="str">
            <v>Bromley</v>
          </cell>
          <cell r="E2685">
            <v>5401</v>
          </cell>
          <cell r="F2685" t="str">
            <v>Dervise Ali-Riza</v>
          </cell>
          <cell r="G2685" t="str">
            <v>Coopers Technology College</v>
          </cell>
          <cell r="H2685" t="str">
            <v>London</v>
          </cell>
          <cell r="I2685" t="str">
            <v>Hawkwood Lane</v>
          </cell>
          <cell r="L2685" t="str">
            <v>Chislehurst</v>
          </cell>
          <cell r="M2685" t="str">
            <v>Kent</v>
          </cell>
          <cell r="N2685" t="str">
            <v>BR7 5PS</v>
          </cell>
          <cell r="O2685" t="str">
            <v>spuxty@coopers.bromley.sch.uk</v>
          </cell>
          <cell r="P2685">
            <v>40501</v>
          </cell>
        </row>
        <row r="2686">
          <cell r="A2686">
            <v>8774218</v>
          </cell>
          <cell r="B2686">
            <v>111438</v>
          </cell>
          <cell r="C2686">
            <v>877</v>
          </cell>
          <cell r="D2686" t="str">
            <v>Warrington</v>
          </cell>
          <cell r="E2686">
            <v>4218</v>
          </cell>
          <cell r="F2686" t="str">
            <v>Maria Sabberton</v>
          </cell>
          <cell r="G2686" t="str">
            <v>Lysander Community High School</v>
          </cell>
          <cell r="H2686" t="str">
            <v>North West</v>
          </cell>
          <cell r="I2686" t="str">
            <v>Insall Road</v>
          </cell>
          <cell r="J2686" t="str">
            <v>Padgate</v>
          </cell>
          <cell r="L2686" t="str">
            <v>Warrington</v>
          </cell>
          <cell r="M2686" t="str">
            <v>Cheshire</v>
          </cell>
          <cell r="N2686" t="str">
            <v>WA2 0LN</v>
          </cell>
          <cell r="O2686" t="str">
            <v>staffams@lysander.warrington.sch.uk</v>
          </cell>
          <cell r="P2686">
            <v>40704</v>
          </cell>
        </row>
        <row r="2687">
          <cell r="A2687">
            <v>3572006</v>
          </cell>
          <cell r="B2687">
            <v>106181</v>
          </cell>
          <cell r="C2687">
            <v>357</v>
          </cell>
          <cell r="D2687" t="str">
            <v>Tameside</v>
          </cell>
          <cell r="E2687">
            <v>2006</v>
          </cell>
          <cell r="F2687" t="str">
            <v>Jane McCusker</v>
          </cell>
          <cell r="G2687" t="str">
            <v>Pinfold Primary School</v>
          </cell>
          <cell r="H2687" t="str">
            <v>North West</v>
          </cell>
          <cell r="I2687" t="str">
            <v>Hattersley Road East</v>
          </cell>
          <cell r="J2687" t="str">
            <v>Hattersley</v>
          </cell>
          <cell r="L2687" t="str">
            <v>Hyde</v>
          </cell>
          <cell r="M2687" t="str">
            <v>Cheshire</v>
          </cell>
          <cell r="N2687" t="str">
            <v>SK14 3NL</v>
          </cell>
          <cell r="P2687">
            <v>41243</v>
          </cell>
        </row>
        <row r="2688">
          <cell r="A2688">
            <v>3063006</v>
          </cell>
          <cell r="B2688">
            <v>101790</v>
          </cell>
          <cell r="C2688">
            <v>306</v>
          </cell>
          <cell r="D2688" t="str">
            <v>Croydon</v>
          </cell>
          <cell r="E2688">
            <v>3006</v>
          </cell>
          <cell r="F2688" t="str">
            <v>Helen Barry</v>
          </cell>
          <cell r="G2688" t="str">
            <v>Parish Church C.E. Junior School</v>
          </cell>
          <cell r="H2688" t="str">
            <v>London</v>
          </cell>
          <cell r="I2688" t="str">
            <v>Warrington Road</v>
          </cell>
          <cell r="L2688" t="str">
            <v>Croydon</v>
          </cell>
          <cell r="M2688" t="str">
            <v>Surrey</v>
          </cell>
          <cell r="N2688" t="str">
            <v>CR0 4BH</v>
          </cell>
          <cell r="O2688" t="str">
            <v>head@parishchurch-jun.croydon.sch.uk</v>
          </cell>
        </row>
        <row r="2689">
          <cell r="A2689">
            <v>9083549</v>
          </cell>
          <cell r="B2689">
            <v>112012</v>
          </cell>
          <cell r="C2689">
            <v>908</v>
          </cell>
          <cell r="D2689" t="str">
            <v>Cornwall</v>
          </cell>
          <cell r="E2689">
            <v>3549</v>
          </cell>
          <cell r="F2689" t="str">
            <v>Kate Bosher</v>
          </cell>
          <cell r="G2689" t="str">
            <v>Archbishop Benson CofE Primary School</v>
          </cell>
          <cell r="H2689" t="str">
            <v>South West</v>
          </cell>
          <cell r="I2689" t="str">
            <v>Bodmin Road</v>
          </cell>
          <cell r="L2689" t="str">
            <v>Truro</v>
          </cell>
          <cell r="M2689" t="str">
            <v>Cornwall</v>
          </cell>
          <cell r="N2689" t="str">
            <v>TR1 1BN</v>
          </cell>
          <cell r="O2689" t="str">
            <v>head@archbishop-benson.cornwall.sch.uk</v>
          </cell>
          <cell r="P2689">
            <v>40669</v>
          </cell>
        </row>
        <row r="2690">
          <cell r="A2690">
            <v>8522425</v>
          </cell>
          <cell r="B2690">
            <v>116104</v>
          </cell>
          <cell r="C2690">
            <v>852</v>
          </cell>
          <cell r="D2690" t="str">
            <v>Southampton</v>
          </cell>
          <cell r="E2690">
            <v>2425</v>
          </cell>
          <cell r="F2690" t="str">
            <v>Bukky Sawyerr</v>
          </cell>
          <cell r="G2690" t="str">
            <v>Shirley Junior School</v>
          </cell>
          <cell r="H2690" t="str">
            <v>South East</v>
          </cell>
          <cell r="I2690" t="str">
            <v>Bellemoor Road</v>
          </cell>
          <cell r="L2690" t="str">
            <v>Southampton</v>
          </cell>
          <cell r="M2690" t="str">
            <v>Hampshire</v>
          </cell>
          <cell r="N2690" t="str">
            <v>SO15 5XE</v>
          </cell>
          <cell r="O2690" t="str">
            <v>head@shirley-jun.southampton.sch.uk</v>
          </cell>
          <cell r="P2690">
            <v>41022</v>
          </cell>
        </row>
        <row r="2691">
          <cell r="A2691">
            <v>3824045</v>
          </cell>
          <cell r="B2691">
            <v>107768</v>
          </cell>
          <cell r="C2691">
            <v>382</v>
          </cell>
          <cell r="D2691" t="str">
            <v>Kirklees</v>
          </cell>
          <cell r="E2691">
            <v>4045</v>
          </cell>
          <cell r="F2691" t="str">
            <v>John Edmunds</v>
          </cell>
          <cell r="G2691" t="str">
            <v>Birkenshaw Middle School</v>
          </cell>
          <cell r="H2691" t="str">
            <v>Yorkshire and the Humber</v>
          </cell>
          <cell r="I2691" t="str">
            <v>Bradford Road</v>
          </cell>
          <cell r="J2691" t="str">
            <v>Gomersal</v>
          </cell>
          <cell r="L2691" t="str">
            <v>Cleckheaton</v>
          </cell>
          <cell r="M2691" t="str">
            <v>West Yorkshire</v>
          </cell>
          <cell r="N2691" t="str">
            <v>BD19 4BE</v>
          </cell>
          <cell r="O2691" t="str">
            <v>susy.jagger@edukirklees.net</v>
          </cell>
          <cell r="P2691">
            <v>40851</v>
          </cell>
        </row>
        <row r="2692">
          <cell r="A2692">
            <v>8555400</v>
          </cell>
          <cell r="B2692">
            <v>120308</v>
          </cell>
          <cell r="C2692">
            <v>855</v>
          </cell>
          <cell r="D2692" t="str">
            <v>Leicestershire</v>
          </cell>
          <cell r="E2692">
            <v>5400</v>
          </cell>
          <cell r="F2692" t="str">
            <v>Pauline Cole</v>
          </cell>
          <cell r="G2692" t="str">
            <v>Long Field School</v>
          </cell>
          <cell r="H2692" t="str">
            <v>East Midlands</v>
          </cell>
          <cell r="I2692" t="str">
            <v>Ambleside Way</v>
          </cell>
          <cell r="L2692" t="str">
            <v>Melton Mowbray</v>
          </cell>
          <cell r="M2692" t="str">
            <v>Leicestershire</v>
          </cell>
          <cell r="N2692" t="str">
            <v>LE13 0BN</v>
          </cell>
          <cell r="O2692" t="str">
            <v>rgarrett@longfield.leics.sch.uk</v>
          </cell>
          <cell r="P2692">
            <v>40849</v>
          </cell>
        </row>
        <row r="2693">
          <cell r="A2693">
            <v>3302310</v>
          </cell>
          <cell r="B2693">
            <v>103330</v>
          </cell>
          <cell r="C2693">
            <v>330</v>
          </cell>
          <cell r="D2693" t="str">
            <v>Birmingham</v>
          </cell>
          <cell r="E2693">
            <v>2310</v>
          </cell>
          <cell r="F2693" t="str">
            <v>Nicole Felicien</v>
          </cell>
          <cell r="G2693" t="str">
            <v>Fairway Primary School</v>
          </cell>
          <cell r="H2693" t="str">
            <v>West Midlands</v>
          </cell>
          <cell r="I2693" t="str">
            <v>Muirfield Gardens</v>
          </cell>
          <cell r="J2693" t="str">
            <v>Kings Norton</v>
          </cell>
          <cell r="L2693" t="str">
            <v>Birmingham</v>
          </cell>
          <cell r="M2693" t="str">
            <v>West Midlands</v>
          </cell>
          <cell r="N2693" t="str">
            <v>B38 8XQ</v>
          </cell>
          <cell r="O2693" t="str">
            <v>d.grist@fairway.bham.sch.uk</v>
          </cell>
          <cell r="P2693">
            <v>41173</v>
          </cell>
        </row>
        <row r="2694">
          <cell r="A2694">
            <v>9333240</v>
          </cell>
          <cell r="B2694">
            <v>123813</v>
          </cell>
          <cell r="C2694">
            <v>933</v>
          </cell>
          <cell r="D2694" t="str">
            <v>Somerset</v>
          </cell>
          <cell r="E2694">
            <v>3240</v>
          </cell>
          <cell r="F2694" t="str">
            <v>Ali Bushell</v>
          </cell>
          <cell r="G2694" t="str">
            <v>Weare Church of England First School</v>
          </cell>
          <cell r="H2694" t="str">
            <v>South West</v>
          </cell>
          <cell r="I2694" t="str">
            <v>Nottinghill Way</v>
          </cell>
          <cell r="L2694" t="str">
            <v>Weare</v>
          </cell>
          <cell r="M2694" t="str">
            <v>Somerset</v>
          </cell>
          <cell r="N2694" t="str">
            <v>BS26 2JS</v>
          </cell>
          <cell r="O2694" t="str">
            <v>david@dwdw1.com</v>
          </cell>
          <cell r="P2694">
            <v>40376</v>
          </cell>
        </row>
        <row r="2695">
          <cell r="A2695">
            <v>9334100</v>
          </cell>
          <cell r="B2695">
            <v>123863</v>
          </cell>
          <cell r="C2695">
            <v>933</v>
          </cell>
          <cell r="D2695" t="str">
            <v>Somerset</v>
          </cell>
          <cell r="E2695">
            <v>4100</v>
          </cell>
          <cell r="F2695" t="str">
            <v>Maria Whiting</v>
          </cell>
          <cell r="G2695" t="str">
            <v>Bishop Fox's Community School</v>
          </cell>
          <cell r="H2695" t="str">
            <v>South West</v>
          </cell>
          <cell r="I2695" t="str">
            <v>Bishop Fox Drive</v>
          </cell>
          <cell r="L2695" t="str">
            <v>Taunton</v>
          </cell>
          <cell r="M2695" t="str">
            <v>Somerset</v>
          </cell>
          <cell r="N2695" t="str">
            <v>TA1 3HQ</v>
          </cell>
          <cell r="O2695" t="str">
            <v>pscutt@educ.somerset.gov.uk</v>
          </cell>
          <cell r="P2695">
            <v>40613</v>
          </cell>
        </row>
        <row r="2696">
          <cell r="A2696">
            <v>8232154</v>
          </cell>
          <cell r="B2696">
            <v>109501</v>
          </cell>
          <cell r="C2696">
            <v>823</v>
          </cell>
          <cell r="D2696" t="str">
            <v>Central Bedfordshire</v>
          </cell>
          <cell r="E2696">
            <v>2154</v>
          </cell>
          <cell r="F2696" t="str">
            <v>Michael Cook</v>
          </cell>
          <cell r="G2696" t="str">
            <v>Pulloxhill Lower School</v>
          </cell>
          <cell r="H2696" t="str">
            <v>East of England</v>
          </cell>
          <cell r="I2696" t="str">
            <v>Fieldside Road</v>
          </cell>
          <cell r="J2696" t="str">
            <v>Pulloxhill</v>
          </cell>
          <cell r="L2696" t="str">
            <v>Bedford</v>
          </cell>
          <cell r="M2696" t="str">
            <v>Bedfordshire</v>
          </cell>
          <cell r="N2696" t="str">
            <v>MK45 5HN</v>
          </cell>
          <cell r="O2696" t="str">
            <v>amccullion@yahoo.co.uk</v>
          </cell>
          <cell r="P2696">
            <v>40569</v>
          </cell>
        </row>
        <row r="2697">
          <cell r="A2697">
            <v>8262332</v>
          </cell>
          <cell r="B2697">
            <v>110390</v>
          </cell>
          <cell r="C2697">
            <v>826</v>
          </cell>
          <cell r="D2697" t="str">
            <v>Milton Keynes</v>
          </cell>
          <cell r="E2697">
            <v>2332</v>
          </cell>
          <cell r="F2697" t="str">
            <v>Sarah Nairne</v>
          </cell>
          <cell r="G2697" t="str">
            <v>Loughton School</v>
          </cell>
          <cell r="H2697" t="str">
            <v>South East</v>
          </cell>
          <cell r="I2697" t="str">
            <v>Bradwell Road</v>
          </cell>
          <cell r="J2697" t="str">
            <v>Loughton</v>
          </cell>
          <cell r="L2697" t="str">
            <v>Milton Keynes</v>
          </cell>
          <cell r="M2697" t="str">
            <v>Buckinghamshire</v>
          </cell>
          <cell r="N2697" t="str">
            <v>MK5 8DN</v>
          </cell>
          <cell r="O2697" t="str">
            <v>behrensk@loughton.milton-keynes.sch.uk</v>
          </cell>
        </row>
        <row r="2698">
          <cell r="A2698">
            <v>9354092</v>
          </cell>
          <cell r="B2698">
            <v>124842</v>
          </cell>
          <cell r="C2698">
            <v>935</v>
          </cell>
          <cell r="D2698" t="str">
            <v>Suffolk</v>
          </cell>
          <cell r="E2698">
            <v>4092</v>
          </cell>
          <cell r="F2698" t="str">
            <v>William Thursfield</v>
          </cell>
          <cell r="G2698" t="str">
            <v>Copleston High School</v>
          </cell>
          <cell r="H2698" t="str">
            <v>East of England</v>
          </cell>
          <cell r="I2698" t="str">
            <v>Copleston Road</v>
          </cell>
          <cell r="L2698" t="str">
            <v>Ipswich</v>
          </cell>
          <cell r="M2698" t="str">
            <v>Suffolk</v>
          </cell>
          <cell r="N2698" t="str">
            <v>IP4 5HD</v>
          </cell>
          <cell r="O2698" t="str">
            <v>scommon@copleston.suffolk.sch.uk</v>
          </cell>
          <cell r="P2698">
            <v>40633</v>
          </cell>
        </row>
        <row r="2699">
          <cell r="A2699">
            <v>8452088</v>
          </cell>
          <cell r="B2699">
            <v>114420</v>
          </cell>
          <cell r="C2699">
            <v>845</v>
          </cell>
          <cell r="D2699" t="str">
            <v>East Sussex</v>
          </cell>
          <cell r="E2699">
            <v>2088</v>
          </cell>
          <cell r="F2699" t="str">
            <v>Sarah Mitchell</v>
          </cell>
          <cell r="G2699" t="str">
            <v>Telscombe Cliffs Community Primary School</v>
          </cell>
          <cell r="H2699" t="str">
            <v>South East</v>
          </cell>
          <cell r="I2699" t="str">
            <v>Telscombe Cliffs Way</v>
          </cell>
          <cell r="J2699" t="str">
            <v>Telscombe Cliffs</v>
          </cell>
          <cell r="L2699" t="str">
            <v>Peacehaven</v>
          </cell>
          <cell r="M2699" t="str">
            <v>East Sussex</v>
          </cell>
          <cell r="N2699" t="str">
            <v>BN10 7DE</v>
          </cell>
          <cell r="O2699" t="str">
            <v>head@telscombecliffs.e-sussex.sch.uk</v>
          </cell>
        </row>
        <row r="2700">
          <cell r="A2700">
            <v>8554059</v>
          </cell>
          <cell r="B2700">
            <v>120276</v>
          </cell>
          <cell r="C2700">
            <v>855</v>
          </cell>
          <cell r="D2700" t="str">
            <v>Leicestershire</v>
          </cell>
          <cell r="E2700">
            <v>4059</v>
          </cell>
          <cell r="F2700" t="str">
            <v>Sue Harp</v>
          </cell>
          <cell r="G2700" t="str">
            <v>William Bradford Community College</v>
          </cell>
          <cell r="H2700" t="str">
            <v>East Midlands</v>
          </cell>
          <cell r="I2700" t="str">
            <v>Heath Lane</v>
          </cell>
          <cell r="J2700" t="str">
            <v>Earl Shilton</v>
          </cell>
          <cell r="L2700" t="str">
            <v>Leicester</v>
          </cell>
          <cell r="M2700" t="str">
            <v>Leicestershire</v>
          </cell>
          <cell r="N2700" t="str">
            <v>LE9 7PD</v>
          </cell>
          <cell r="O2700" t="str">
            <v>staffcc@williambradford.leics.sch.uk</v>
          </cell>
        </row>
        <row r="2701">
          <cell r="A2701">
            <v>8235202</v>
          </cell>
          <cell r="B2701">
            <v>109703</v>
          </cell>
          <cell r="C2701">
            <v>823</v>
          </cell>
          <cell r="D2701" t="str">
            <v>Central Bedfordshire</v>
          </cell>
          <cell r="E2701">
            <v>5202</v>
          </cell>
          <cell r="F2701" t="str">
            <v>Shreena Patel</v>
          </cell>
          <cell r="G2701" t="str">
            <v>Ashton St Peter's VA CofE School</v>
          </cell>
          <cell r="H2701" t="str">
            <v>East of England</v>
          </cell>
          <cell r="I2701" t="str">
            <v>Leighton Court</v>
          </cell>
          <cell r="L2701" t="str">
            <v>Dunstable</v>
          </cell>
          <cell r="M2701" t="str">
            <v>Bedfordshire</v>
          </cell>
          <cell r="N2701" t="str">
            <v>LU6 1EW</v>
          </cell>
          <cell r="O2701" t="str">
            <v>s.mcginty@cbc.beds.sch.uk</v>
          </cell>
        </row>
        <row r="2702">
          <cell r="A2702">
            <v>3062074</v>
          </cell>
          <cell r="B2702">
            <v>101765</v>
          </cell>
          <cell r="C2702">
            <v>306</v>
          </cell>
          <cell r="D2702" t="str">
            <v>Croydon</v>
          </cell>
          <cell r="E2702">
            <v>2074</v>
          </cell>
          <cell r="F2702" t="str">
            <v>Tahir Shams</v>
          </cell>
          <cell r="G2702" t="str">
            <v>Applegarth Nursery and Infant School</v>
          </cell>
          <cell r="H2702" t="str">
            <v>London</v>
          </cell>
          <cell r="I2702" t="str">
            <v>Bygrove Fieldway</v>
          </cell>
          <cell r="J2702" t="str">
            <v>New Addington</v>
          </cell>
          <cell r="L2702" t="str">
            <v>Croydon</v>
          </cell>
          <cell r="M2702" t="str">
            <v>Surrey</v>
          </cell>
          <cell r="N2702" t="str">
            <v>CR0 9DL</v>
          </cell>
          <cell r="O2702" t="str">
            <v>head@applegarth-school.croydon.sch.uk</v>
          </cell>
        </row>
        <row r="2703">
          <cell r="A2703">
            <v>8232069</v>
          </cell>
          <cell r="B2703">
            <v>109467</v>
          </cell>
          <cell r="C2703">
            <v>823</v>
          </cell>
          <cell r="D2703" t="str">
            <v>Central Bedfordshire</v>
          </cell>
          <cell r="E2703">
            <v>2069</v>
          </cell>
          <cell r="F2703" t="str">
            <v>Julie McDowall</v>
          </cell>
          <cell r="G2703" t="str">
            <v>St George's Lower School</v>
          </cell>
          <cell r="H2703" t="str">
            <v>East of England</v>
          </cell>
          <cell r="I2703" t="str">
            <v>East Street</v>
          </cell>
          <cell r="L2703" t="str">
            <v>Leighton Buzzard</v>
          </cell>
          <cell r="M2703" t="str">
            <v>Bedfordshire</v>
          </cell>
          <cell r="N2703" t="str">
            <v>LU7 1EW</v>
          </cell>
          <cell r="P2703">
            <v>40783</v>
          </cell>
        </row>
        <row r="2704">
          <cell r="A2704">
            <v>2073379</v>
          </cell>
          <cell r="B2704">
            <v>100491</v>
          </cell>
          <cell r="C2704">
            <v>207</v>
          </cell>
          <cell r="D2704" t="str">
            <v>Kensington and Chelsea</v>
          </cell>
          <cell r="E2704">
            <v>3379</v>
          </cell>
          <cell r="F2704" t="str">
            <v>Tahir Shams</v>
          </cell>
          <cell r="G2704" t="str">
            <v>Oratory Roman Catholic Primary School</v>
          </cell>
          <cell r="H2704" t="str">
            <v>London</v>
          </cell>
          <cell r="I2704" t="str">
            <v>Bury Walk</v>
          </cell>
          <cell r="J2704" t="str">
            <v>Cale Street</v>
          </cell>
          <cell r="K2704" t="str">
            <v>Chelsea</v>
          </cell>
          <cell r="L2704" t="str">
            <v>London</v>
          </cell>
          <cell r="N2704" t="str">
            <v>SW3 6QH</v>
          </cell>
          <cell r="O2704" t="str">
            <v>peter.ward@oratory.rbkc.sch.uk</v>
          </cell>
        </row>
        <row r="2705">
          <cell r="A2705">
            <v>8553100</v>
          </cell>
          <cell r="B2705">
            <v>120170</v>
          </cell>
          <cell r="C2705">
            <v>855</v>
          </cell>
          <cell r="D2705" t="str">
            <v>Leicestershire</v>
          </cell>
          <cell r="E2705">
            <v>3100</v>
          </cell>
          <cell r="F2705" t="str">
            <v>Sue Harp</v>
          </cell>
          <cell r="G2705" t="str">
            <v>Waltham on the Wolds Church of England Primary School</v>
          </cell>
          <cell r="H2705" t="str">
            <v>East Midlands</v>
          </cell>
          <cell r="I2705" t="str">
            <v>Melton Road</v>
          </cell>
          <cell r="J2705" t="str">
            <v>Waltham-on-the-Wolds</v>
          </cell>
          <cell r="L2705" t="str">
            <v>Melton Mowbray</v>
          </cell>
          <cell r="M2705" t="str">
            <v>Leicestershire</v>
          </cell>
          <cell r="N2705" t="str">
            <v>LE14 4AJ</v>
          </cell>
          <cell r="O2705" t="str">
            <v>mhenderson2@waltham.leics.sch.uk</v>
          </cell>
        </row>
        <row r="2706">
          <cell r="A2706">
            <v>3594035</v>
          </cell>
          <cell r="B2706">
            <v>106532</v>
          </cell>
          <cell r="C2706">
            <v>359</v>
          </cell>
          <cell r="D2706" t="str">
            <v>Wigan</v>
          </cell>
          <cell r="E2706">
            <v>4035</v>
          </cell>
          <cell r="F2706" t="str">
            <v>Felicity Price</v>
          </cell>
          <cell r="G2706" t="str">
            <v>Hawkley Hall High School</v>
          </cell>
          <cell r="H2706" t="str">
            <v>North West</v>
          </cell>
          <cell r="I2706" t="str">
            <v>Carr Lane</v>
          </cell>
          <cell r="J2706" t="str">
            <v>Hawkley Hall</v>
          </cell>
          <cell r="L2706" t="str">
            <v>Wigan</v>
          </cell>
          <cell r="M2706" t="str">
            <v>Lancashire</v>
          </cell>
          <cell r="N2706" t="str">
            <v>WN3 5NY</v>
          </cell>
          <cell r="O2706" t="str">
            <v>rwh@hawkleyhall.wigan.sch.uk</v>
          </cell>
          <cell r="P2706">
            <v>40938</v>
          </cell>
        </row>
        <row r="2707">
          <cell r="A2707">
            <v>3834062</v>
          </cell>
          <cell r="B2707">
            <v>108075</v>
          </cell>
          <cell r="C2707">
            <v>383</v>
          </cell>
          <cell r="D2707" t="str">
            <v>Leeds</v>
          </cell>
          <cell r="E2707">
            <v>4062</v>
          </cell>
          <cell r="F2707" t="str">
            <v>Bev Annables</v>
          </cell>
          <cell r="G2707" t="str">
            <v>Ralph Thoresby School</v>
          </cell>
          <cell r="H2707" t="str">
            <v>Yorkshire and the Humber</v>
          </cell>
          <cell r="I2707" t="str">
            <v>Holtdale Approach</v>
          </cell>
          <cell r="L2707" t="str">
            <v>Leeds</v>
          </cell>
          <cell r="M2707" t="str">
            <v>West Yorkshire</v>
          </cell>
          <cell r="N2707" t="str">
            <v>LS16 7RX</v>
          </cell>
        </row>
        <row r="2708">
          <cell r="A2708">
            <v>8132120</v>
          </cell>
          <cell r="B2708">
            <v>117738</v>
          </cell>
          <cell r="C2708">
            <v>813</v>
          </cell>
          <cell r="D2708" t="str">
            <v>North Lincolnshire</v>
          </cell>
          <cell r="E2708">
            <v>2120</v>
          </cell>
          <cell r="F2708" t="str">
            <v>Claire Ryan</v>
          </cell>
          <cell r="G2708" t="str">
            <v>Hibaldstow Primary School</v>
          </cell>
          <cell r="H2708" t="str">
            <v>Yorkshire and the Humber</v>
          </cell>
          <cell r="I2708" t="str">
            <v>Hopfield</v>
          </cell>
          <cell r="J2708" t="str">
            <v>Hibaldstow</v>
          </cell>
          <cell r="L2708" t="str">
            <v>Brigg</v>
          </cell>
          <cell r="M2708" t="str">
            <v>Lincolnshire</v>
          </cell>
          <cell r="N2708" t="str">
            <v>DN20 9PN</v>
          </cell>
          <cell r="O2708" t="str">
            <v>head.scawby@northlincs.gov.uk</v>
          </cell>
          <cell r="P2708">
            <v>40856</v>
          </cell>
        </row>
        <row r="2709">
          <cell r="A2709">
            <v>8854401</v>
          </cell>
          <cell r="B2709">
            <v>116957</v>
          </cell>
          <cell r="C2709">
            <v>885</v>
          </cell>
          <cell r="D2709" t="str">
            <v>Worcestershire</v>
          </cell>
          <cell r="E2709">
            <v>4401</v>
          </cell>
          <cell r="F2709" t="str">
            <v>Alison Middleton</v>
          </cell>
          <cell r="G2709" t="str">
            <v>Aston Fields Middle School</v>
          </cell>
          <cell r="H2709" t="str">
            <v>West Midlands</v>
          </cell>
          <cell r="I2709" t="str">
            <v>Drummond Road</v>
          </cell>
          <cell r="L2709" t="str">
            <v>Bromsgrove</v>
          </cell>
          <cell r="M2709" t="str">
            <v>Worcestershire</v>
          </cell>
          <cell r="N2709" t="str">
            <v>B60 2ET</v>
          </cell>
          <cell r="O2709" t="str">
            <v>spc27@astonfields.worcs.sch.uk</v>
          </cell>
        </row>
        <row r="2710">
          <cell r="A2710">
            <v>3842131</v>
          </cell>
          <cell r="B2710">
            <v>108198</v>
          </cell>
          <cell r="C2710">
            <v>384</v>
          </cell>
          <cell r="D2710" t="str">
            <v>Wakefield</v>
          </cell>
          <cell r="E2710">
            <v>2131</v>
          </cell>
          <cell r="F2710" t="str">
            <v>Glyn Newton</v>
          </cell>
          <cell r="G2710" t="str">
            <v>Rooks Nest Junior, Infant and Nursery School</v>
          </cell>
          <cell r="H2710" t="str">
            <v>Yorkshire and the Humber</v>
          </cell>
          <cell r="I2710" t="str">
            <v>Rooks Nest Road</v>
          </cell>
          <cell r="J2710" t="str">
            <v>Outwood</v>
          </cell>
          <cell r="L2710" t="str">
            <v>Wakefield</v>
          </cell>
          <cell r="M2710" t="str">
            <v>West Yorkshire</v>
          </cell>
          <cell r="N2710" t="str">
            <v>WF1 3DX</v>
          </cell>
          <cell r="O2710" t="str">
            <v>headteacher@rooksnest.wakefield.sch.uk</v>
          </cell>
          <cell r="P2710">
            <v>40548</v>
          </cell>
        </row>
        <row r="2711">
          <cell r="A2711">
            <v>8552350</v>
          </cell>
          <cell r="B2711">
            <v>120075</v>
          </cell>
          <cell r="C2711">
            <v>855</v>
          </cell>
          <cell r="D2711" t="str">
            <v>Leicestershire</v>
          </cell>
          <cell r="E2711">
            <v>2350</v>
          </cell>
          <cell r="F2711" t="str">
            <v>June Laughton</v>
          </cell>
          <cell r="G2711" t="str">
            <v>Shelthorpe Community School</v>
          </cell>
          <cell r="H2711" t="str">
            <v>East Midlands</v>
          </cell>
          <cell r="I2711" t="str">
            <v>Woodthorpe Road</v>
          </cell>
          <cell r="J2711" t="str">
            <v>Shelthorpe</v>
          </cell>
          <cell r="L2711" t="str">
            <v>Loughborough</v>
          </cell>
          <cell r="M2711" t="str">
            <v>Leicestershire</v>
          </cell>
          <cell r="N2711" t="str">
            <v>LE11 2NF</v>
          </cell>
          <cell r="O2711" t="str">
            <v>head@shelthorpe.leics.sch.uk</v>
          </cell>
        </row>
        <row r="2712">
          <cell r="A2712">
            <v>8784003</v>
          </cell>
          <cell r="B2712">
            <v>113498</v>
          </cell>
          <cell r="C2712">
            <v>878</v>
          </cell>
          <cell r="D2712" t="str">
            <v>Devon</v>
          </cell>
          <cell r="E2712">
            <v>4003</v>
          </cell>
          <cell r="F2712" t="str">
            <v>Susan Shakespeare</v>
          </cell>
          <cell r="G2712" t="str">
            <v>Queen Elizabeth's Community College ( this school has boarding)</v>
          </cell>
          <cell r="H2712" t="str">
            <v>South West</v>
          </cell>
          <cell r="I2712" t="str">
            <v>Western Road</v>
          </cell>
          <cell r="L2712" t="str">
            <v>Crediton</v>
          </cell>
          <cell r="M2712" t="str">
            <v>Devon</v>
          </cell>
          <cell r="N2712" t="str">
            <v>EX17 3LU</v>
          </cell>
          <cell r="O2712" t="str">
            <v>principal@queenelizabeths.devon.sch.uk</v>
          </cell>
          <cell r="P2712">
            <v>40550</v>
          </cell>
        </row>
        <row r="2713">
          <cell r="A2713">
            <v>8502470</v>
          </cell>
          <cell r="B2713">
            <v>116137</v>
          </cell>
          <cell r="C2713">
            <v>850</v>
          </cell>
          <cell r="D2713" t="str">
            <v>Hampshire</v>
          </cell>
          <cell r="E2713">
            <v>2470</v>
          </cell>
          <cell r="F2713" t="str">
            <v>Amanda Barrett</v>
          </cell>
          <cell r="G2713" t="str">
            <v>Hatch Warren Infant School</v>
          </cell>
          <cell r="H2713" t="str">
            <v>South East</v>
          </cell>
          <cell r="I2713" t="str">
            <v>Gershwin Road</v>
          </cell>
          <cell r="L2713" t="str">
            <v>Basingstoke</v>
          </cell>
          <cell r="M2713" t="str">
            <v>Hampshire</v>
          </cell>
          <cell r="N2713" t="str">
            <v>RG22 4PQ</v>
          </cell>
          <cell r="O2713" t="str">
            <v>michelle.moore@hatchwarren-inf.hants.sch.uk</v>
          </cell>
        </row>
        <row r="2714">
          <cell r="A2714">
            <v>3102064</v>
          </cell>
          <cell r="B2714">
            <v>102198</v>
          </cell>
          <cell r="C2714">
            <v>310</v>
          </cell>
          <cell r="D2714" t="str">
            <v>Harrow</v>
          </cell>
          <cell r="E2714">
            <v>2064</v>
          </cell>
          <cell r="F2714" t="str">
            <v>Sheila Longstaff</v>
          </cell>
          <cell r="G2714" t="str">
            <v>Stanburn Middle School</v>
          </cell>
          <cell r="H2714" t="str">
            <v>London</v>
          </cell>
          <cell r="I2714" t="str">
            <v>Abercorn Road</v>
          </cell>
          <cell r="L2714" t="str">
            <v>Stanmore</v>
          </cell>
          <cell r="N2714" t="str">
            <v>HA7 2PJ</v>
          </cell>
          <cell r="O2714" t="str">
            <v>lchamberlain@stanburnmiddle.harrow.sch.uk</v>
          </cell>
        </row>
        <row r="2715">
          <cell r="A2715">
            <v>8255403</v>
          </cell>
          <cell r="B2715">
            <v>110529</v>
          </cell>
          <cell r="C2715">
            <v>825</v>
          </cell>
          <cell r="D2715" t="str">
            <v>Buckinghamshire</v>
          </cell>
          <cell r="E2715">
            <v>5403</v>
          </cell>
          <cell r="F2715" t="str">
            <v>Darren Francis</v>
          </cell>
          <cell r="G2715" t="str">
            <v>The Chalfonts Community College</v>
          </cell>
          <cell r="H2715" t="str">
            <v>South East</v>
          </cell>
          <cell r="I2715" t="str">
            <v>Narcot Lane</v>
          </cell>
          <cell r="J2715" t="str">
            <v>Chalfont St Peter</v>
          </cell>
          <cell r="L2715" t="str">
            <v>Gerrards Cross</v>
          </cell>
          <cell r="M2715" t="str">
            <v>Buckinghamshire</v>
          </cell>
          <cell r="N2715" t="str">
            <v>SL9 8TP</v>
          </cell>
          <cell r="O2715" t="str">
            <v>SueTanner@chalfonts.org</v>
          </cell>
          <cell r="P2715">
            <v>40592</v>
          </cell>
        </row>
        <row r="2716">
          <cell r="A2716">
            <v>8554010</v>
          </cell>
          <cell r="B2716">
            <v>120240</v>
          </cell>
          <cell r="C2716">
            <v>855</v>
          </cell>
          <cell r="D2716" t="str">
            <v>Leicestershire</v>
          </cell>
          <cell r="E2716">
            <v>4010</v>
          </cell>
          <cell r="F2716" t="str">
            <v>Sue Harp</v>
          </cell>
          <cell r="G2716" t="str">
            <v>Mount Grace High School</v>
          </cell>
          <cell r="H2716" t="str">
            <v>East Midlands</v>
          </cell>
          <cell r="I2716" t="str">
            <v>Leicester Road</v>
          </cell>
          <cell r="L2716" t="str">
            <v>Hinckley</v>
          </cell>
          <cell r="M2716" t="str">
            <v>Leicestershire</v>
          </cell>
          <cell r="N2716" t="str">
            <v>LE10 1LP</v>
          </cell>
          <cell r="O2716" t="str">
            <v>mgoffice@mountgrace.leics.sch.uk</v>
          </cell>
          <cell r="P2716">
            <v>41010</v>
          </cell>
        </row>
        <row r="2717">
          <cell r="A2717">
            <v>3712052</v>
          </cell>
          <cell r="B2717">
            <v>106668</v>
          </cell>
          <cell r="C2717">
            <v>371</v>
          </cell>
          <cell r="D2717" t="str">
            <v>Doncaster</v>
          </cell>
          <cell r="E2717">
            <v>2052</v>
          </cell>
          <cell r="F2717" t="str">
            <v>Janet Smith</v>
          </cell>
          <cell r="G2717" t="str">
            <v>Highfields Primary School</v>
          </cell>
          <cell r="H2717" t="str">
            <v>Yorkshire and the Humber</v>
          </cell>
          <cell r="I2717" t="str">
            <v>Highfields</v>
          </cell>
          <cell r="K2717" t="str">
            <v>Market Street</v>
          </cell>
          <cell r="L2717" t="str">
            <v>Doncaster</v>
          </cell>
          <cell r="M2717" t="str">
            <v>South Yorkshire</v>
          </cell>
          <cell r="N2717" t="str">
            <v>DN6 7JE</v>
          </cell>
          <cell r="O2717" t="str">
            <v>head@highfields.doncaster.sch.uk</v>
          </cell>
          <cell r="P2717">
            <v>40815</v>
          </cell>
        </row>
        <row r="2718">
          <cell r="A2718">
            <v>9313836</v>
          </cell>
          <cell r="B2718">
            <v>123215</v>
          </cell>
          <cell r="C2718">
            <v>931</v>
          </cell>
          <cell r="D2718" t="str">
            <v>Oxfordshire</v>
          </cell>
          <cell r="E2718">
            <v>3836</v>
          </cell>
          <cell r="F2718" t="str">
            <v>Sarah Nairne</v>
          </cell>
          <cell r="G2718" t="str">
            <v>Our Lady's Catholic Primary School</v>
          </cell>
          <cell r="H2718" t="str">
            <v>South East</v>
          </cell>
          <cell r="I2718" t="str">
            <v>Oxford Road</v>
          </cell>
          <cell r="J2718" t="str">
            <v>Cowley</v>
          </cell>
          <cell r="L2718" t="str">
            <v>Oxford</v>
          </cell>
          <cell r="M2718" t="str">
            <v>Oxfordshire</v>
          </cell>
          <cell r="N2718" t="str">
            <v>OX4 2LF</v>
          </cell>
          <cell r="O2718" t="str">
            <v>head.3836@our-ladys.oxon.sch.uk</v>
          </cell>
          <cell r="P2718">
            <v>41206</v>
          </cell>
        </row>
        <row r="2719">
          <cell r="A2719">
            <v>8374189</v>
          </cell>
          <cell r="B2719">
            <v>113881</v>
          </cell>
          <cell r="C2719">
            <v>837</v>
          </cell>
          <cell r="D2719" t="str">
            <v>Bournemouth</v>
          </cell>
          <cell r="E2719">
            <v>4189</v>
          </cell>
          <cell r="F2719" t="str">
            <v>Ali Bushell</v>
          </cell>
          <cell r="G2719" t="str">
            <v>Oakmead College of Technology</v>
          </cell>
          <cell r="H2719" t="str">
            <v>South West</v>
          </cell>
          <cell r="I2719" t="str">
            <v>Duck Lane</v>
          </cell>
          <cell r="L2719" t="str">
            <v>Bournemouth</v>
          </cell>
          <cell r="M2719" t="str">
            <v>Dorset</v>
          </cell>
          <cell r="N2719" t="str">
            <v>BH11 9JJ</v>
          </cell>
          <cell r="O2719" t="str">
            <v>thall@oakmead.bournemouth.sch.uk</v>
          </cell>
          <cell r="P2719">
            <v>40935</v>
          </cell>
        </row>
        <row r="2720">
          <cell r="A2720">
            <v>9082427</v>
          </cell>
          <cell r="B2720">
            <v>111891</v>
          </cell>
          <cell r="C2720">
            <v>908</v>
          </cell>
          <cell r="D2720" t="str">
            <v>Cornwall</v>
          </cell>
          <cell r="E2720">
            <v>2427</v>
          </cell>
          <cell r="F2720" t="str">
            <v>Nigel Hutchins</v>
          </cell>
          <cell r="G2720" t="str">
            <v>Treverbyn Community Primary School</v>
          </cell>
          <cell r="H2720" t="str">
            <v>South West</v>
          </cell>
          <cell r="I2720" t="str">
            <v>Stenalees</v>
          </cell>
          <cell r="L2720" t="str">
            <v>St Austell</v>
          </cell>
          <cell r="M2720" t="str">
            <v>Cornwall</v>
          </cell>
          <cell r="N2720" t="str">
            <v>PL26 8TL</v>
          </cell>
          <cell r="O2720" t="str">
            <v>head@treverbyn.cornwall.sch.uk</v>
          </cell>
          <cell r="P2720">
            <v>40557</v>
          </cell>
        </row>
        <row r="2721">
          <cell r="A2721">
            <v>3574025</v>
          </cell>
          <cell r="B2721">
            <v>106268</v>
          </cell>
          <cell r="C2721">
            <v>357</v>
          </cell>
          <cell r="D2721" t="str">
            <v>Tameside</v>
          </cell>
          <cell r="E2721">
            <v>4025</v>
          </cell>
          <cell r="F2721" t="str">
            <v>Linda Tiley</v>
          </cell>
          <cell r="G2721" t="str">
            <v>Hyde Technology School and Hearing Impaired Resource Base</v>
          </cell>
          <cell r="H2721" t="str">
            <v>North West</v>
          </cell>
          <cell r="I2721" t="str">
            <v>Old Road</v>
          </cell>
          <cell r="L2721" t="str">
            <v>Hyde</v>
          </cell>
          <cell r="M2721" t="str">
            <v>Cheshire</v>
          </cell>
          <cell r="N2721" t="str">
            <v>SK14 4SP</v>
          </cell>
          <cell r="O2721" t="str">
            <v>d.spence@hydecc.tameside.sch.uk</v>
          </cell>
        </row>
        <row r="2722">
          <cell r="A2722">
            <v>8122937</v>
          </cell>
          <cell r="B2722">
            <v>117964</v>
          </cell>
          <cell r="C2722">
            <v>812</v>
          </cell>
          <cell r="D2722" t="str">
            <v>North East Lincolnshire</v>
          </cell>
          <cell r="E2722">
            <v>2937</v>
          </cell>
          <cell r="F2722" t="str">
            <v>Debbie Garbutt</v>
          </cell>
          <cell r="G2722" t="str">
            <v>Littlecoates Primary School</v>
          </cell>
          <cell r="H2722" t="str">
            <v>Yorkshire and the Humber</v>
          </cell>
          <cell r="I2722" t="str">
            <v>Harlow Street</v>
          </cell>
          <cell r="L2722" t="str">
            <v>Grimsby</v>
          </cell>
          <cell r="M2722" t="str">
            <v>Lincolnshire</v>
          </cell>
          <cell r="N2722" t="str">
            <v>DN31 2QX</v>
          </cell>
          <cell r="O2722" t="str">
            <v>head@lp.tlfe.org</v>
          </cell>
        </row>
        <row r="2723">
          <cell r="A2723">
            <v>3122011</v>
          </cell>
          <cell r="B2723">
            <v>102374</v>
          </cell>
          <cell r="C2723">
            <v>312</v>
          </cell>
          <cell r="D2723" t="str">
            <v>Hillingdon</v>
          </cell>
          <cell r="E2723">
            <v>2011</v>
          </cell>
          <cell r="F2723" t="str">
            <v>Martin Rowley</v>
          </cell>
          <cell r="G2723" t="str">
            <v>Coteford Junior School</v>
          </cell>
          <cell r="H2723" t="str">
            <v>London</v>
          </cell>
          <cell r="I2723" t="str">
            <v>Fore Street</v>
          </cell>
          <cell r="J2723" t="str">
            <v>Eastcote</v>
          </cell>
          <cell r="L2723" t="str">
            <v>Pinner</v>
          </cell>
          <cell r="N2723" t="str">
            <v>HA5 2JQ</v>
          </cell>
          <cell r="O2723" t="str">
            <v>jmartin@hillingdongrid.org</v>
          </cell>
          <cell r="P2723">
            <v>41110</v>
          </cell>
        </row>
        <row r="2724">
          <cell r="A2724">
            <v>8921107</v>
          </cell>
          <cell r="B2724">
            <v>131648</v>
          </cell>
          <cell r="C2724">
            <v>892</v>
          </cell>
          <cell r="D2724" t="str">
            <v>Nottingham</v>
          </cell>
          <cell r="E2724">
            <v>1107</v>
          </cell>
          <cell r="F2724" t="str">
            <v>Not yet assigned</v>
          </cell>
          <cell r="G2724" t="str">
            <v>Beckhampton Centre</v>
          </cell>
          <cell r="H2724" t="str">
            <v>East Midlands</v>
          </cell>
          <cell r="I2724" t="str">
            <v>Edwards Lane</v>
          </cell>
          <cell r="J2724" t="str">
            <v>Bestwood</v>
          </cell>
          <cell r="L2724" t="str">
            <v>Nottingham</v>
          </cell>
          <cell r="M2724" t="str">
            <v>Nottinghamshire</v>
          </cell>
          <cell r="N2724" t="str">
            <v>NG5 5SL</v>
          </cell>
        </row>
        <row r="2725">
          <cell r="A2725">
            <v>8812181</v>
          </cell>
          <cell r="B2725">
            <v>114801</v>
          </cell>
          <cell r="C2725">
            <v>881</v>
          </cell>
          <cell r="D2725" t="str">
            <v>Essex</v>
          </cell>
          <cell r="E2725">
            <v>2181</v>
          </cell>
          <cell r="F2725" t="str">
            <v>Michael Cook</v>
          </cell>
          <cell r="G2725" t="str">
            <v>Quilters Junior School</v>
          </cell>
          <cell r="H2725" t="str">
            <v>East of England</v>
          </cell>
          <cell r="I2725" t="str">
            <v>Laindon Road</v>
          </cell>
          <cell r="L2725" t="str">
            <v>Billericay</v>
          </cell>
          <cell r="M2725" t="str">
            <v>Essex</v>
          </cell>
          <cell r="N2725" t="str">
            <v>CM12 9LD</v>
          </cell>
          <cell r="O2725" t="str">
            <v xml:space="preserve"> junedodd@yahoo.com</v>
          </cell>
        </row>
        <row r="2726">
          <cell r="A2726">
            <v>8732087</v>
          </cell>
          <cell r="B2726">
            <v>110646</v>
          </cell>
          <cell r="C2726">
            <v>873</v>
          </cell>
          <cell r="D2726" t="str">
            <v>Cambridgeshire</v>
          </cell>
          <cell r="E2726">
            <v>2087</v>
          </cell>
          <cell r="F2726" t="str">
            <v>Yvonne Reddington</v>
          </cell>
          <cell r="G2726" t="str">
            <v>Alderman Jacobs Primary School</v>
          </cell>
          <cell r="H2726" t="str">
            <v>East of England</v>
          </cell>
          <cell r="I2726" t="str">
            <v>Drybread Road</v>
          </cell>
          <cell r="J2726" t="str">
            <v>Whittlesey</v>
          </cell>
          <cell r="L2726" t="str">
            <v>Peterborough</v>
          </cell>
          <cell r="M2726" t="str">
            <v>Cambridgeshire</v>
          </cell>
          <cell r="N2726" t="str">
            <v>PE7 1XJ</v>
          </cell>
          <cell r="O2726" t="str">
            <v>head@aldermanjacobs.cambs.sch.uk</v>
          </cell>
          <cell r="P2726">
            <v>40472</v>
          </cell>
        </row>
        <row r="2727">
          <cell r="A2727">
            <v>9374237</v>
          </cell>
          <cell r="B2727">
            <v>125748</v>
          </cell>
          <cell r="C2727">
            <v>937</v>
          </cell>
          <cell r="D2727" t="str">
            <v>Warwickshire</v>
          </cell>
          <cell r="E2727">
            <v>4237</v>
          </cell>
          <cell r="F2727" t="str">
            <v>Julia Waterhouse</v>
          </cell>
          <cell r="G2727" t="str">
            <v>North Leamington School</v>
          </cell>
          <cell r="H2727" t="str">
            <v>West Midlands</v>
          </cell>
          <cell r="I2727" t="str">
            <v>Sandy Lane</v>
          </cell>
          <cell r="J2727" t="str">
            <v>Blackdown</v>
          </cell>
          <cell r="L2727" t="str">
            <v>Leamington Spa</v>
          </cell>
          <cell r="M2727" t="str">
            <v>Warwickshire</v>
          </cell>
          <cell r="N2727" t="str">
            <v>CV32 6RD</v>
          </cell>
          <cell r="O2727" t="str">
            <v>mitchell.j55@we-learn.com</v>
          </cell>
        </row>
        <row r="2728">
          <cell r="A2728">
            <v>8164153</v>
          </cell>
          <cell r="B2728">
            <v>121684</v>
          </cell>
          <cell r="C2728">
            <v>816</v>
          </cell>
          <cell r="D2728" t="str">
            <v>York</v>
          </cell>
          <cell r="E2728">
            <v>4153</v>
          </cell>
          <cell r="F2728" t="str">
            <v>Glyn Newton</v>
          </cell>
          <cell r="G2728" t="str">
            <v>Fulford School</v>
          </cell>
          <cell r="H2728" t="str">
            <v>Yorkshire and the Humber</v>
          </cell>
          <cell r="I2728" t="str">
            <v>Fulfordgate</v>
          </cell>
          <cell r="J2728" t="str">
            <v>Heslington Lane</v>
          </cell>
          <cell r="K2728" t="str">
            <v>Fulford</v>
          </cell>
          <cell r="L2728" t="str">
            <v>York</v>
          </cell>
          <cell r="M2728" t="str">
            <v>North Yorkshire</v>
          </cell>
          <cell r="N2728" t="str">
            <v>YO10 4FY</v>
          </cell>
          <cell r="O2728" t="str">
            <v>sws@fulford.york.sch.uk</v>
          </cell>
        </row>
        <row r="2729">
          <cell r="A2729">
            <v>8554033</v>
          </cell>
          <cell r="B2729">
            <v>120256</v>
          </cell>
          <cell r="C2729">
            <v>855</v>
          </cell>
          <cell r="D2729" t="str">
            <v>Leicestershire</v>
          </cell>
          <cell r="E2729">
            <v>4033</v>
          </cell>
          <cell r="F2729" t="str">
            <v>Stephen Standret</v>
          </cell>
          <cell r="G2729" t="str">
            <v>Guthlaxton College Wigston</v>
          </cell>
          <cell r="H2729" t="str">
            <v>East Midlands</v>
          </cell>
          <cell r="I2729" t="str">
            <v>Station Road</v>
          </cell>
          <cell r="L2729" t="str">
            <v>Wigston</v>
          </cell>
          <cell r="M2729" t="str">
            <v>Leicestershire</v>
          </cell>
          <cell r="N2729" t="str">
            <v>LE18 2DS</v>
          </cell>
          <cell r="O2729" t="str">
            <v>j.keller@guth.org.uk</v>
          </cell>
          <cell r="P2729">
            <v>41089</v>
          </cell>
        </row>
        <row r="2730">
          <cell r="A2730">
            <v>3807034</v>
          </cell>
          <cell r="B2730">
            <v>135231</v>
          </cell>
          <cell r="C2730">
            <v>380</v>
          </cell>
          <cell r="D2730" t="str">
            <v>Bradford</v>
          </cell>
          <cell r="E2730">
            <v>7034</v>
          </cell>
          <cell r="F2730" t="str">
            <v>Bev Mullin</v>
          </cell>
          <cell r="G2730" t="str">
            <v>Hazelbeck Special School</v>
          </cell>
          <cell r="H2730" t="str">
            <v>Yorkshire and the Humber</v>
          </cell>
          <cell r="I2730" t="str">
            <v>Rhodesway</v>
          </cell>
          <cell r="L2730" t="str">
            <v>Bradford</v>
          </cell>
          <cell r="M2730" t="str">
            <v>West Yorkshire</v>
          </cell>
          <cell r="N2730" t="str">
            <v>BD8 0DQ</v>
          </cell>
          <cell r="O2730" t="str">
            <v>hazjrb@haz.bradford.sch.uk</v>
          </cell>
          <cell r="P2730">
            <v>41001</v>
          </cell>
        </row>
        <row r="2731">
          <cell r="A2731">
            <v>8913769</v>
          </cell>
          <cell r="B2731">
            <v>122821</v>
          </cell>
          <cell r="C2731">
            <v>891</v>
          </cell>
          <cell r="D2731" t="str">
            <v>Nottinghamshire</v>
          </cell>
          <cell r="E2731">
            <v>3769</v>
          </cell>
          <cell r="F2731" t="str">
            <v>Sue Harp</v>
          </cell>
          <cell r="G2731" t="str">
            <v>St Philip Neri with St Bede Catholic Primary School</v>
          </cell>
          <cell r="H2731" t="str">
            <v>East Midlands</v>
          </cell>
          <cell r="I2731" t="str">
            <v>Rosemary Street</v>
          </cell>
          <cell r="L2731" t="str">
            <v>Mansfield</v>
          </cell>
          <cell r="M2731" t="str">
            <v>Nottinghamshire</v>
          </cell>
          <cell r="N2731" t="str">
            <v>NG19 6AA</v>
          </cell>
          <cell r="O2731" t="str">
            <v>office24@st-philipneri.notts.sch.uk</v>
          </cell>
        </row>
        <row r="2732">
          <cell r="A2732">
            <v>8867066</v>
          </cell>
          <cell r="B2732">
            <v>119061</v>
          </cell>
          <cell r="C2732">
            <v>886</v>
          </cell>
          <cell r="D2732" t="str">
            <v>Kent</v>
          </cell>
          <cell r="E2732">
            <v>7066</v>
          </cell>
          <cell r="F2732" t="str">
            <v>Darren Francis</v>
          </cell>
          <cell r="G2732" t="str">
            <v>Milestone School</v>
          </cell>
          <cell r="H2732" t="str">
            <v>South East</v>
          </cell>
          <cell r="I2732" t="str">
            <v>Ash Road</v>
          </cell>
          <cell r="J2732" t="str">
            <v>New Ash Green</v>
          </cell>
          <cell r="L2732" t="str">
            <v>Longfield</v>
          </cell>
          <cell r="M2732" t="str">
            <v>Kent</v>
          </cell>
          <cell r="N2732" t="str">
            <v>DA3 8JZ</v>
          </cell>
          <cell r="O2732" t="str">
            <v>office@milestone.kent.sch.uk</v>
          </cell>
          <cell r="P2732">
            <v>40599</v>
          </cell>
        </row>
        <row r="2733">
          <cell r="A2733">
            <v>9082449</v>
          </cell>
          <cell r="B2733">
            <v>111905</v>
          </cell>
          <cell r="C2733">
            <v>908</v>
          </cell>
          <cell r="D2733" t="str">
            <v>Cornwall</v>
          </cell>
          <cell r="E2733">
            <v>2449</v>
          </cell>
          <cell r="F2733" t="str">
            <v>Kate Bosher</v>
          </cell>
          <cell r="G2733" t="str">
            <v>Charlestown Primary School</v>
          </cell>
          <cell r="H2733" t="str">
            <v>South West</v>
          </cell>
          <cell r="I2733" t="str">
            <v>Crinnis Road</v>
          </cell>
          <cell r="J2733" t="str">
            <v>Carlyon Bay</v>
          </cell>
          <cell r="L2733" t="str">
            <v>St Austell</v>
          </cell>
          <cell r="M2733" t="str">
            <v>Cornwall</v>
          </cell>
          <cell r="N2733" t="str">
            <v>PL25 3PB</v>
          </cell>
          <cell r="O2733" t="str">
            <v>head@charlestown.cornwall.sch.uk</v>
          </cell>
          <cell r="P2733">
            <v>40533</v>
          </cell>
        </row>
        <row r="2734">
          <cell r="A2734">
            <v>9264052</v>
          </cell>
          <cell r="B2734">
            <v>121167</v>
          </cell>
          <cell r="C2734">
            <v>926</v>
          </cell>
          <cell r="D2734" t="str">
            <v>Norfolk</v>
          </cell>
          <cell r="E2734">
            <v>4052</v>
          </cell>
          <cell r="F2734" t="str">
            <v>Michael Cook</v>
          </cell>
          <cell r="G2734" t="str">
            <v>Attleborough High School</v>
          </cell>
          <cell r="H2734" t="str">
            <v>East of England</v>
          </cell>
          <cell r="I2734" t="str">
            <v>9 Norwich Road</v>
          </cell>
          <cell r="L2734" t="str">
            <v>Attleborough</v>
          </cell>
          <cell r="M2734" t="str">
            <v>Norfolk</v>
          </cell>
          <cell r="N2734" t="str">
            <v>NR17 2AJ</v>
          </cell>
          <cell r="O2734" t="str">
            <v>head@attleboroughhigh.norfolk.sch.uk</v>
          </cell>
        </row>
        <row r="2735">
          <cell r="A2735">
            <v>9334287</v>
          </cell>
          <cell r="B2735">
            <v>123874</v>
          </cell>
          <cell r="C2735">
            <v>933</v>
          </cell>
          <cell r="D2735" t="str">
            <v>Somerset</v>
          </cell>
          <cell r="E2735">
            <v>4287</v>
          </cell>
          <cell r="F2735" t="str">
            <v>Phil Hossell</v>
          </cell>
          <cell r="G2735" t="str">
            <v>Maiden Beech School</v>
          </cell>
          <cell r="H2735" t="str">
            <v>South West</v>
          </cell>
          <cell r="I2735" t="str">
            <v>Lyme Road</v>
          </cell>
          <cell r="L2735" t="str">
            <v>Crewkerne</v>
          </cell>
          <cell r="M2735" t="str">
            <v>Somerset</v>
          </cell>
          <cell r="N2735" t="str">
            <v>TA18 8HG</v>
          </cell>
          <cell r="O2735" t="str">
            <v>ssmith12@educ.somerset.gov.uk</v>
          </cell>
          <cell r="P2735">
            <v>40641</v>
          </cell>
        </row>
        <row r="2736">
          <cell r="A2736">
            <v>9254603</v>
          </cell>
          <cell r="B2736">
            <v>120665</v>
          </cell>
          <cell r="C2736">
            <v>925</v>
          </cell>
          <cell r="D2736" t="str">
            <v>Lincolnshire</v>
          </cell>
          <cell r="E2736">
            <v>4603</v>
          </cell>
          <cell r="F2736" t="str">
            <v>Pauline Cole</v>
          </cell>
          <cell r="G2736" t="str">
            <v>Spalding Grammar School</v>
          </cell>
          <cell r="H2736" t="str">
            <v>East Midlands</v>
          </cell>
          <cell r="I2736" t="str">
            <v>Priory Road</v>
          </cell>
          <cell r="L2736" t="str">
            <v>Spalding</v>
          </cell>
          <cell r="M2736" t="str">
            <v>Lincolnshire</v>
          </cell>
          <cell r="N2736" t="str">
            <v>PE11 2XH</v>
          </cell>
          <cell r="O2736" t="str">
            <v>nigel.ryan@spaldinggrammar.lincs.sch.uk</v>
          </cell>
          <cell r="P2736">
            <v>41226</v>
          </cell>
        </row>
        <row r="2737">
          <cell r="A2737">
            <v>9254507</v>
          </cell>
          <cell r="B2737">
            <v>120662</v>
          </cell>
          <cell r="C2737">
            <v>925</v>
          </cell>
          <cell r="D2737" t="str">
            <v>Lincolnshire</v>
          </cell>
          <cell r="E2737">
            <v>4507</v>
          </cell>
          <cell r="F2737" t="str">
            <v>Sue Harp</v>
          </cell>
          <cell r="G2737" t="str">
            <v>The Thomas Cowley High School</v>
          </cell>
          <cell r="H2737" t="str">
            <v>East Midlands</v>
          </cell>
          <cell r="I2737" t="str">
            <v>School Lane</v>
          </cell>
          <cell r="J2737" t="str">
            <v>Donington</v>
          </cell>
          <cell r="L2737" t="str">
            <v>Spalding</v>
          </cell>
          <cell r="M2737" t="str">
            <v>Lincolnshire</v>
          </cell>
          <cell r="N2737" t="str">
            <v>PE11 4TF</v>
          </cell>
          <cell r="O2737" t="str">
            <v>martyn.taylor@thomascowley.lincs.sch.uk</v>
          </cell>
          <cell r="P2737">
            <v>40994</v>
          </cell>
        </row>
        <row r="2738">
          <cell r="A2738">
            <v>3173509</v>
          </cell>
          <cell r="B2738">
            <v>102847</v>
          </cell>
          <cell r="C2738">
            <v>317</v>
          </cell>
          <cell r="D2738" t="str">
            <v>Redbridge</v>
          </cell>
          <cell r="E2738">
            <v>3509</v>
          </cell>
          <cell r="F2738" t="str">
            <v>Tahir Shams</v>
          </cell>
          <cell r="G2738" t="str">
            <v>Ilford Jewish Primary School</v>
          </cell>
          <cell r="H2738" t="str">
            <v>London</v>
          </cell>
          <cell r="I2738" t="str">
            <v>Carlton Drive</v>
          </cell>
          <cell r="J2738" t="str">
            <v>Barkingside</v>
          </cell>
          <cell r="L2738" t="str">
            <v>Ilford</v>
          </cell>
          <cell r="M2738" t="str">
            <v>Essex</v>
          </cell>
          <cell r="N2738" t="str">
            <v>IG6 1LZ</v>
          </cell>
          <cell r="O2738" t="str">
            <v>roz.levin@redbridge.gov.uk</v>
          </cell>
        </row>
        <row r="2739">
          <cell r="A2739">
            <v>9314007</v>
          </cell>
          <cell r="B2739">
            <v>123230</v>
          </cell>
          <cell r="C2739">
            <v>931</v>
          </cell>
          <cell r="D2739" t="str">
            <v>Oxfordshire</v>
          </cell>
          <cell r="E2739">
            <v>4007</v>
          </cell>
          <cell r="F2739" t="str">
            <v>Sarah Nairne</v>
          </cell>
          <cell r="G2739" t="str">
            <v>The Warriner School</v>
          </cell>
          <cell r="H2739" t="str">
            <v>South East</v>
          </cell>
          <cell r="I2739" t="str">
            <v>Banbury Road</v>
          </cell>
          <cell r="J2739" t="str">
            <v>Bloxham</v>
          </cell>
          <cell r="L2739" t="str">
            <v>Banbury</v>
          </cell>
          <cell r="M2739" t="str">
            <v>Oxfordshire</v>
          </cell>
          <cell r="N2739" t="str">
            <v>OX15 4LJ</v>
          </cell>
          <cell r="O2739" t="str">
            <v>A.Kay@warriner.oxon.sch.uk</v>
          </cell>
          <cell r="P2739">
            <v>41250</v>
          </cell>
        </row>
        <row r="2740">
          <cell r="A2740">
            <v>2083307</v>
          </cell>
          <cell r="B2740">
            <v>100609</v>
          </cell>
          <cell r="C2740">
            <v>208</v>
          </cell>
          <cell r="D2740" t="str">
            <v>Lambeth</v>
          </cell>
          <cell r="E2740">
            <v>3307</v>
          </cell>
          <cell r="F2740" t="str">
            <v>Suzanne Farrell</v>
          </cell>
          <cell r="G2740" t="str">
            <v>Archbishop Sumner Church of England Primary School</v>
          </cell>
          <cell r="H2740" t="str">
            <v>London</v>
          </cell>
          <cell r="I2740" t="str">
            <v>Reedworth Street</v>
          </cell>
          <cell r="J2740" t="str">
            <v>Lambeth</v>
          </cell>
          <cell r="L2740" t="str">
            <v>London</v>
          </cell>
          <cell r="N2740" t="str">
            <v>SE11 4PH</v>
          </cell>
          <cell r="O2740" t="str">
            <v>ujo.abs@gmail.com</v>
          </cell>
        </row>
        <row r="2741">
          <cell r="A2741">
            <v>8813832</v>
          </cell>
          <cell r="B2741">
            <v>130900</v>
          </cell>
          <cell r="C2741">
            <v>881</v>
          </cell>
          <cell r="D2741" t="str">
            <v>Essex</v>
          </cell>
          <cell r="E2741">
            <v>3832</v>
          </cell>
          <cell r="F2741" t="str">
            <v>Claire Ivie</v>
          </cell>
          <cell r="G2741" t="str">
            <v>Flitch Green Primary School</v>
          </cell>
          <cell r="H2741" t="str">
            <v>East of England</v>
          </cell>
          <cell r="I2741" t="str">
            <v>Tanton Road</v>
          </cell>
          <cell r="J2741" t="str">
            <v>Little Dunmow</v>
          </cell>
          <cell r="L2741" t="str">
            <v>Dunmow</v>
          </cell>
          <cell r="M2741" t="str">
            <v>Essex</v>
          </cell>
          <cell r="N2741" t="str">
            <v>CM6 3GG</v>
          </cell>
          <cell r="O2741" t="str">
            <v>flitchgreen@me.com</v>
          </cell>
          <cell r="P2741">
            <v>40359</v>
          </cell>
        </row>
        <row r="2742">
          <cell r="A2742">
            <v>8553067</v>
          </cell>
          <cell r="B2742">
            <v>120150</v>
          </cell>
          <cell r="C2742">
            <v>855</v>
          </cell>
          <cell r="D2742" t="str">
            <v>Leicestershire</v>
          </cell>
          <cell r="E2742">
            <v>3067</v>
          </cell>
          <cell r="F2742" t="str">
            <v>Stephen Standret</v>
          </cell>
          <cell r="G2742" t="str">
            <v>Old Dalby Church of England Primary School</v>
          </cell>
          <cell r="H2742" t="str">
            <v>East Midlands</v>
          </cell>
          <cell r="I2742" t="str">
            <v>Longcliff Hill</v>
          </cell>
          <cell r="J2742" t="str">
            <v>Old Dalby</v>
          </cell>
          <cell r="L2742" t="str">
            <v>Melton Mowbray</v>
          </cell>
          <cell r="M2742" t="str">
            <v>Leicestershire</v>
          </cell>
          <cell r="N2742" t="str">
            <v>LE14 3JY</v>
          </cell>
          <cell r="O2742" t="str">
            <v>headteacher@olddalby.leics.sch.uk</v>
          </cell>
          <cell r="P2742">
            <v>41222</v>
          </cell>
        </row>
        <row r="2743">
          <cell r="A2743">
            <v>8717030</v>
          </cell>
          <cell r="B2743">
            <v>110188</v>
          </cell>
          <cell r="C2743">
            <v>871</v>
          </cell>
          <cell r="D2743" t="str">
            <v>Slough</v>
          </cell>
          <cell r="E2743">
            <v>7030</v>
          </cell>
          <cell r="F2743" t="str">
            <v>Gabriela Grimley</v>
          </cell>
          <cell r="G2743" t="str">
            <v>Littledown School</v>
          </cell>
          <cell r="H2743" t="str">
            <v>South East</v>
          </cell>
          <cell r="I2743" t="str">
            <v>Queen's Road</v>
          </cell>
          <cell r="L2743" t="str">
            <v>Slough</v>
          </cell>
          <cell r="M2743" t="str">
            <v>Berkshire</v>
          </cell>
          <cell r="N2743" t="str">
            <v>SL1 3QW</v>
          </cell>
          <cell r="O2743" t="str">
            <v>Jo.Matthews@littledown.slough.sch.uk</v>
          </cell>
          <cell r="P2743">
            <v>40984</v>
          </cell>
        </row>
        <row r="2744">
          <cell r="A2744">
            <v>8875451</v>
          </cell>
          <cell r="B2744">
            <v>118923</v>
          </cell>
          <cell r="C2744">
            <v>887</v>
          </cell>
          <cell r="D2744" t="str">
            <v>Medway</v>
          </cell>
          <cell r="E2744">
            <v>5451</v>
          </cell>
          <cell r="F2744" t="str">
            <v>Sarah Mitchell</v>
          </cell>
          <cell r="G2744" t="str">
            <v>The Thomas Aveling School</v>
          </cell>
          <cell r="H2744" t="str">
            <v>South East</v>
          </cell>
          <cell r="I2744" t="str">
            <v>Arethusa Road</v>
          </cell>
          <cell r="L2744" t="str">
            <v>Rochester</v>
          </cell>
          <cell r="M2744" t="str">
            <v>Kent</v>
          </cell>
          <cell r="N2744" t="str">
            <v>ME1 2UW</v>
          </cell>
          <cell r="O2744" t="str">
            <v>pjackson@thomasaveling.co.uk</v>
          </cell>
          <cell r="P2744">
            <v>40676</v>
          </cell>
        </row>
        <row r="2745">
          <cell r="A2745">
            <v>8882020</v>
          </cell>
          <cell r="B2745">
            <v>119131</v>
          </cell>
          <cell r="C2745">
            <v>888</v>
          </cell>
          <cell r="D2745" t="str">
            <v>Lancashire</v>
          </cell>
          <cell r="E2745">
            <v>2020</v>
          </cell>
          <cell r="F2745" t="str">
            <v>Linda Tiley</v>
          </cell>
          <cell r="G2745" t="str">
            <v>Lancaster Ridge Primary School</v>
          </cell>
          <cell r="H2745" t="str">
            <v>North West</v>
          </cell>
          <cell r="I2745" t="str">
            <v>Keswick Road</v>
          </cell>
          <cell r="L2745" t="str">
            <v>Lancaster</v>
          </cell>
          <cell r="M2745" t="str">
            <v>Lancashire</v>
          </cell>
          <cell r="N2745" t="str">
            <v>LA1 3LE</v>
          </cell>
          <cell r="O2745" t="str">
            <v>head@ridge.lancs.sch.uk</v>
          </cell>
          <cell r="P2745">
            <v>41192</v>
          </cell>
        </row>
        <row r="2746">
          <cell r="A2746">
            <v>8522461</v>
          </cell>
          <cell r="B2746">
            <v>116132</v>
          </cell>
          <cell r="C2746">
            <v>852</v>
          </cell>
          <cell r="D2746" t="str">
            <v>Southampton</v>
          </cell>
          <cell r="E2746">
            <v>2461</v>
          </cell>
          <cell r="F2746" t="str">
            <v>Lindsay Morris</v>
          </cell>
          <cell r="G2746" t="str">
            <v>Townhill Infant School</v>
          </cell>
          <cell r="H2746" t="str">
            <v>South East</v>
          </cell>
          <cell r="I2746" t="str">
            <v>Benhams Road</v>
          </cell>
          <cell r="L2746" t="str">
            <v>Southampton</v>
          </cell>
          <cell r="M2746" t="str">
            <v>Hampshire</v>
          </cell>
          <cell r="N2746" t="str">
            <v>SO18 2FG</v>
          </cell>
          <cell r="O2746" t="str">
            <v>head@townhill-inf.southampton.sch.uk</v>
          </cell>
        </row>
        <row r="2747">
          <cell r="A2747">
            <v>8815421</v>
          </cell>
          <cell r="B2747">
            <v>115337</v>
          </cell>
          <cell r="C2747">
            <v>881</v>
          </cell>
          <cell r="D2747" t="str">
            <v>Essex</v>
          </cell>
          <cell r="E2747">
            <v>5421</v>
          </cell>
          <cell r="F2747" t="str">
            <v>Claire Ivie</v>
          </cell>
          <cell r="G2747" t="str">
            <v>The King Edmund School</v>
          </cell>
          <cell r="H2747" t="str">
            <v>East of England</v>
          </cell>
          <cell r="I2747" t="str">
            <v>Vaughan Close</v>
          </cell>
          <cell r="L2747" t="str">
            <v>Rochford</v>
          </cell>
          <cell r="M2747" t="str">
            <v>Essex</v>
          </cell>
          <cell r="N2747" t="str">
            <v>SS4 1TL</v>
          </cell>
          <cell r="O2747" t="str">
            <v>grahamabel@kes.essex.sch.uk</v>
          </cell>
          <cell r="P2747">
            <v>40617</v>
          </cell>
        </row>
        <row r="2748">
          <cell r="A2748">
            <v>3414421</v>
          </cell>
          <cell r="B2748">
            <v>104693</v>
          </cell>
          <cell r="C2748">
            <v>341</v>
          </cell>
          <cell r="D2748" t="str">
            <v>Liverpool</v>
          </cell>
          <cell r="E2748">
            <v>4421</v>
          </cell>
          <cell r="F2748" t="str">
            <v>Maria Sabberton</v>
          </cell>
          <cell r="G2748" t="str">
            <v>Alsop High School Technology &amp; Applied Learning Specialist College</v>
          </cell>
          <cell r="H2748" t="str">
            <v>North West</v>
          </cell>
          <cell r="I2748" t="str">
            <v>Queen's Drive</v>
          </cell>
          <cell r="L2748" t="str">
            <v>Liverpool</v>
          </cell>
          <cell r="M2748" t="str">
            <v>Merseyside</v>
          </cell>
          <cell r="N2748" t="str">
            <v>L4 6SH</v>
          </cell>
          <cell r="O2748" t="str">
            <v>paj@alsophigh.biblio.net</v>
          </cell>
        </row>
        <row r="2749">
          <cell r="A2749">
            <v>3843337</v>
          </cell>
          <cell r="B2749">
            <v>108268</v>
          </cell>
          <cell r="C2749">
            <v>384</v>
          </cell>
          <cell r="D2749" t="str">
            <v>Wakefield</v>
          </cell>
          <cell r="E2749">
            <v>3337</v>
          </cell>
          <cell r="F2749" t="str">
            <v>Jayne Turner</v>
          </cell>
          <cell r="G2749" t="str">
            <v>Pontefract St Giles Church of England Voluntary Aided Junior and Infant School</v>
          </cell>
          <cell r="H2749" t="str">
            <v>Yorkshire and the Humber</v>
          </cell>
          <cell r="I2749" t="str">
            <v>Skinner Lane</v>
          </cell>
          <cell r="L2749" t="str">
            <v>Pontefract</v>
          </cell>
          <cell r="M2749" t="str">
            <v>West Yorkshire</v>
          </cell>
          <cell r="N2749" t="str">
            <v>WF8 1HG</v>
          </cell>
          <cell r="O2749" t="str">
            <v>headteacher@st-giles.wakefield.sch.uk</v>
          </cell>
        </row>
        <row r="2750">
          <cell r="A2750">
            <v>3702078</v>
          </cell>
          <cell r="B2750">
            <v>106587</v>
          </cell>
          <cell r="C2750">
            <v>370</v>
          </cell>
          <cell r="D2750" t="str">
            <v>Barnsley</v>
          </cell>
          <cell r="E2750">
            <v>2078</v>
          </cell>
          <cell r="F2750" t="str">
            <v>Lisa Sargeant</v>
          </cell>
          <cell r="G2750" t="str">
            <v>Springvale Primary School</v>
          </cell>
          <cell r="H2750" t="str">
            <v>Yorkshire and the Humber</v>
          </cell>
          <cell r="I2750" t="str">
            <v>Sheffield Road</v>
          </cell>
          <cell r="J2750" t="str">
            <v>Penistone</v>
          </cell>
          <cell r="L2750" t="str">
            <v>Sheffield</v>
          </cell>
          <cell r="M2750" t="str">
            <v>South Yorkshire</v>
          </cell>
          <cell r="N2750" t="str">
            <v>S36 6HJ</v>
          </cell>
          <cell r="O2750" t="str">
            <v>a.platt@barnsley.org</v>
          </cell>
        </row>
        <row r="2751">
          <cell r="A2751">
            <v>8865468</v>
          </cell>
          <cell r="B2751">
            <v>135826</v>
          </cell>
          <cell r="C2751">
            <v>886</v>
          </cell>
          <cell r="D2751" t="str">
            <v>Kent</v>
          </cell>
          <cell r="E2751">
            <v>5468</v>
          </cell>
          <cell r="F2751" t="str">
            <v>Sarah Nairne</v>
          </cell>
          <cell r="G2751" t="str">
            <v>The Ellington and Hereson School</v>
          </cell>
          <cell r="H2751" t="str">
            <v>South East</v>
          </cell>
          <cell r="I2751" t="str">
            <v>Newlands Lane</v>
          </cell>
          <cell r="L2751" t="str">
            <v>Ramsgate</v>
          </cell>
          <cell r="M2751" t="str">
            <v>Kent</v>
          </cell>
          <cell r="N2751" t="str">
            <v>CT12 6RH</v>
          </cell>
        </row>
        <row r="2752">
          <cell r="A2752">
            <v>8554601</v>
          </cell>
          <cell r="B2752">
            <v>120304</v>
          </cell>
          <cell r="C2752">
            <v>855</v>
          </cell>
          <cell r="D2752" t="str">
            <v>Leicestershire</v>
          </cell>
          <cell r="E2752">
            <v>4601</v>
          </cell>
          <cell r="F2752" t="str">
            <v>Grant Dyson</v>
          </cell>
          <cell r="G2752" t="str">
            <v>De Lisle Catholic School Loughborough Leicestershire</v>
          </cell>
          <cell r="H2752" t="str">
            <v>East Midlands</v>
          </cell>
          <cell r="I2752" t="str">
            <v>Thorpe Hill</v>
          </cell>
          <cell r="L2752" t="str">
            <v>Loughborough</v>
          </cell>
          <cell r="M2752" t="str">
            <v>Leicestershire</v>
          </cell>
          <cell r="N2752" t="str">
            <v>LE11 4SQ</v>
          </cell>
          <cell r="O2752" t="str">
            <v>chris.davies@delisle.leics.sch.uk</v>
          </cell>
          <cell r="P2752">
            <v>41018</v>
          </cell>
        </row>
        <row r="2753">
          <cell r="A2753">
            <v>8953518</v>
          </cell>
          <cell r="B2753">
            <v>111325</v>
          </cell>
          <cell r="C2753">
            <v>895</v>
          </cell>
          <cell r="D2753" t="str">
            <v>Cheshire East</v>
          </cell>
          <cell r="E2753">
            <v>3518</v>
          </cell>
          <cell r="F2753" t="str">
            <v>Kris Nursiah</v>
          </cell>
          <cell r="G2753" t="str">
            <v>Prestbury C of E Primary School</v>
          </cell>
          <cell r="H2753" t="str">
            <v>North West</v>
          </cell>
          <cell r="I2753" t="str">
            <v>Bollin Grove</v>
          </cell>
          <cell r="J2753" t="str">
            <v>Prestbury</v>
          </cell>
          <cell r="L2753" t="str">
            <v>Macclesfield</v>
          </cell>
          <cell r="M2753" t="str">
            <v>Cheshire</v>
          </cell>
          <cell r="N2753" t="str">
            <v>SK10 4JJ</v>
          </cell>
          <cell r="O2753" t="str">
            <v>head@prestbury.cheshire.sch.uk</v>
          </cell>
        </row>
        <row r="2754">
          <cell r="A2754">
            <v>3527043</v>
          </cell>
          <cell r="B2754">
            <v>105615</v>
          </cell>
          <cell r="C2754">
            <v>352</v>
          </cell>
          <cell r="D2754" t="str">
            <v>Manchester</v>
          </cell>
          <cell r="E2754">
            <v>7043</v>
          </cell>
          <cell r="F2754" t="str">
            <v>Sheila Milnes</v>
          </cell>
          <cell r="G2754" t="str">
            <v>Melland High School</v>
          </cell>
          <cell r="H2754" t="str">
            <v>North West</v>
          </cell>
          <cell r="I2754" t="str">
            <v>Holmcroft Road</v>
          </cell>
          <cell r="J2754" t="str">
            <v>Gorton</v>
          </cell>
          <cell r="L2754" t="str">
            <v>Manchester</v>
          </cell>
          <cell r="N2754" t="str">
            <v>M18 7NG</v>
          </cell>
          <cell r="O2754" t="str">
            <v>head@melland.manchester.sch.uk</v>
          </cell>
          <cell r="P2754">
            <v>40980</v>
          </cell>
        </row>
        <row r="2755">
          <cell r="A2755">
            <v>8843102</v>
          </cell>
          <cell r="B2755">
            <v>116849</v>
          </cell>
          <cell r="C2755">
            <v>884</v>
          </cell>
          <cell r="D2755" t="str">
            <v>Herefordshire</v>
          </cell>
          <cell r="E2755">
            <v>3102</v>
          </cell>
          <cell r="F2755" t="str">
            <v>Stephen Bagnall</v>
          </cell>
          <cell r="G2755" t="str">
            <v>Stretton Sugwas CofE Primary School</v>
          </cell>
          <cell r="H2755" t="str">
            <v>West Midlands</v>
          </cell>
          <cell r="I2755" t="str">
            <v>Stretton Sugwas</v>
          </cell>
          <cell r="L2755" t="str">
            <v>Hereford</v>
          </cell>
          <cell r="M2755" t="str">
            <v>Herefordshire</v>
          </cell>
          <cell r="N2755" t="str">
            <v>HR4 7AE</v>
          </cell>
          <cell r="O2755" t="str">
            <v>smatthews@strettonsugwas.hereford.sch.uk</v>
          </cell>
          <cell r="P2755">
            <v>40624</v>
          </cell>
        </row>
        <row r="2756">
          <cell r="A2756">
            <v>3415400</v>
          </cell>
          <cell r="B2756">
            <v>104718</v>
          </cell>
          <cell r="C2756">
            <v>341</v>
          </cell>
          <cell r="D2756" t="str">
            <v>Liverpool</v>
          </cell>
          <cell r="E2756">
            <v>5400</v>
          </cell>
          <cell r="F2756" t="str">
            <v>Cathy Dudley</v>
          </cell>
          <cell r="G2756" t="str">
            <v>St Francis Xavier's College</v>
          </cell>
          <cell r="H2756" t="str">
            <v>North West</v>
          </cell>
          <cell r="I2756" t="str">
            <v>High Lee</v>
          </cell>
          <cell r="J2756" t="str">
            <v>Beaconsfield Road</v>
          </cell>
          <cell r="L2756" t="str">
            <v>Liverpool</v>
          </cell>
          <cell r="M2756" t="str">
            <v>Merseyside</v>
          </cell>
          <cell r="N2756" t="str">
            <v>L25 6EG</v>
          </cell>
          <cell r="O2756" t="str">
            <v>lrn@sfx.liverpool.sch.uk</v>
          </cell>
          <cell r="P2756">
            <v>41018</v>
          </cell>
        </row>
        <row r="2757">
          <cell r="A2757">
            <v>8212251</v>
          </cell>
          <cell r="B2757">
            <v>109559</v>
          </cell>
          <cell r="C2757">
            <v>821</v>
          </cell>
          <cell r="D2757" t="str">
            <v>Luton</v>
          </cell>
          <cell r="E2757">
            <v>2251</v>
          </cell>
          <cell r="F2757" t="str">
            <v>Colin McGuffie</v>
          </cell>
          <cell r="G2757" t="str">
            <v>Whipperley Infant School</v>
          </cell>
          <cell r="H2757" t="str">
            <v>East of England</v>
          </cell>
          <cell r="I2757" t="str">
            <v>Whipperley Ring</v>
          </cell>
          <cell r="L2757" t="str">
            <v>Luton</v>
          </cell>
          <cell r="M2757" t="str">
            <v>Bedfordshire</v>
          </cell>
          <cell r="N2757" t="str">
            <v>LU1 5QY</v>
          </cell>
          <cell r="O2757" t="str">
            <v>whipperley.infants.head@luton.gov.uk</v>
          </cell>
          <cell r="P2757">
            <v>40997</v>
          </cell>
        </row>
        <row r="2758">
          <cell r="A2758">
            <v>8783011</v>
          </cell>
          <cell r="B2758">
            <v>113355</v>
          </cell>
          <cell r="C2758">
            <v>878</v>
          </cell>
          <cell r="D2758" t="str">
            <v>Devon</v>
          </cell>
          <cell r="E2758">
            <v>3011</v>
          </cell>
          <cell r="F2758" t="str">
            <v>Susan Phillips</v>
          </cell>
          <cell r="G2758" t="str">
            <v>Withycombe Raleigh Church of England Primary School</v>
          </cell>
          <cell r="H2758" t="str">
            <v>South West</v>
          </cell>
          <cell r="I2758" t="str">
            <v>Withycombe Village Road</v>
          </cell>
          <cell r="L2758" t="str">
            <v>Exmouth</v>
          </cell>
          <cell r="M2758" t="str">
            <v>Devon</v>
          </cell>
          <cell r="N2758" t="str">
            <v>EX8 3BA</v>
          </cell>
          <cell r="O2758" t="str">
            <v xml:space="preserve"> headteacher@withycomberaleigh.devon.sch.uk</v>
          </cell>
        </row>
        <row r="2759">
          <cell r="A2759">
            <v>2122807</v>
          </cell>
          <cell r="B2759">
            <v>101031</v>
          </cell>
          <cell r="C2759">
            <v>212</v>
          </cell>
          <cell r="D2759" t="str">
            <v>Wandsworth</v>
          </cell>
          <cell r="E2759">
            <v>2807</v>
          </cell>
          <cell r="F2759" t="str">
            <v>Helena Antoniou</v>
          </cell>
          <cell r="G2759" t="str">
            <v>Ronald Ross Primary School</v>
          </cell>
          <cell r="H2759" t="str">
            <v>London</v>
          </cell>
          <cell r="I2759" t="str">
            <v>Castlecombe Drive</v>
          </cell>
          <cell r="J2759" t="str">
            <v>Beaumont Road</v>
          </cell>
          <cell r="L2759" t="str">
            <v>London</v>
          </cell>
          <cell r="N2759" t="str">
            <v>SW19 6RW</v>
          </cell>
          <cell r="O2759" t="str">
            <v>info@ronaldross.wandsworth.sch.uk</v>
          </cell>
        </row>
        <row r="2760">
          <cell r="A2760">
            <v>8815462</v>
          </cell>
          <cell r="B2760">
            <v>115378</v>
          </cell>
          <cell r="C2760">
            <v>881</v>
          </cell>
          <cell r="D2760" t="str">
            <v>Essex</v>
          </cell>
          <cell r="E2760">
            <v>5462</v>
          </cell>
          <cell r="F2760" t="str">
            <v>Claire Ivie</v>
          </cell>
          <cell r="G2760" t="str">
            <v>The Stanway School</v>
          </cell>
          <cell r="H2760" t="str">
            <v>East of England</v>
          </cell>
          <cell r="I2760" t="str">
            <v>Winstree Road</v>
          </cell>
          <cell r="J2760" t="str">
            <v>Stanway</v>
          </cell>
          <cell r="L2760" t="str">
            <v>Colchester</v>
          </cell>
          <cell r="M2760" t="str">
            <v>Essex</v>
          </cell>
          <cell r="N2760" t="str">
            <v>CO3 0QA</v>
          </cell>
          <cell r="O2760" t="str">
            <v>burnss2@stanway.essex.sch.uk</v>
          </cell>
          <cell r="P2760">
            <v>40864</v>
          </cell>
        </row>
        <row r="2761">
          <cell r="A2761">
            <v>8782232</v>
          </cell>
          <cell r="B2761">
            <v>113155</v>
          </cell>
          <cell r="C2761">
            <v>878</v>
          </cell>
          <cell r="D2761" t="str">
            <v>Devon</v>
          </cell>
          <cell r="E2761">
            <v>2232</v>
          </cell>
          <cell r="F2761" t="str">
            <v>Not yet assigned</v>
          </cell>
          <cell r="G2761" t="str">
            <v>Ilfracombe Infant and Nursery School</v>
          </cell>
          <cell r="H2761" t="str">
            <v>South West</v>
          </cell>
          <cell r="I2761" t="str">
            <v>Marlborough Road</v>
          </cell>
          <cell r="L2761" t="str">
            <v>Ilfracombe</v>
          </cell>
          <cell r="M2761" t="str">
            <v>Devon</v>
          </cell>
          <cell r="N2761" t="str">
            <v>EX34 8JL</v>
          </cell>
          <cell r="O2761" t="str">
            <v>cthompson@ilfracombe-inf.devon.sch.uk</v>
          </cell>
        </row>
        <row r="2762">
          <cell r="A2762">
            <v>8154611</v>
          </cell>
          <cell r="B2762">
            <v>121719</v>
          </cell>
          <cell r="C2762">
            <v>815</v>
          </cell>
          <cell r="D2762" t="str">
            <v>North Yorkshire</v>
          </cell>
          <cell r="E2762">
            <v>4611</v>
          </cell>
          <cell r="F2762" t="str">
            <v>Glyn Newton</v>
          </cell>
          <cell r="G2762" t="str">
            <v>St Aidan's Church of England High School</v>
          </cell>
          <cell r="H2762" t="str">
            <v>Yorkshire and the Humber</v>
          </cell>
          <cell r="I2762" t="str">
            <v>Oatlands Drive</v>
          </cell>
          <cell r="L2762" t="str">
            <v>Harrogate</v>
          </cell>
          <cell r="M2762" t="str">
            <v>North Yorkshire</v>
          </cell>
          <cell r="N2762" t="str">
            <v>HG2 8JR</v>
          </cell>
          <cell r="P2762">
            <v>40637</v>
          </cell>
        </row>
        <row r="2763">
          <cell r="A2763">
            <v>3304240</v>
          </cell>
          <cell r="B2763">
            <v>103516</v>
          </cell>
          <cell r="C2763">
            <v>330</v>
          </cell>
          <cell r="D2763" t="str">
            <v>Birmingham</v>
          </cell>
          <cell r="E2763">
            <v>4240</v>
          </cell>
          <cell r="F2763" t="str">
            <v>Alison Middleton</v>
          </cell>
          <cell r="G2763" t="str">
            <v>Hamstead Hall Community Learning Centre</v>
          </cell>
          <cell r="H2763" t="str">
            <v>West Midlands</v>
          </cell>
          <cell r="I2763" t="str">
            <v>Craythorne Avenue</v>
          </cell>
          <cell r="J2763" t="str">
            <v>Handsworth Wood</v>
          </cell>
          <cell r="L2763" t="str">
            <v>Birmingham</v>
          </cell>
          <cell r="M2763" t="str">
            <v>West Midlands</v>
          </cell>
          <cell r="N2763" t="str">
            <v>B20 1HL</v>
          </cell>
          <cell r="O2763" t="str">
            <v>ken@hamsteadhall.com</v>
          </cell>
        </row>
        <row r="2764">
          <cell r="A2764">
            <v>3055406</v>
          </cell>
          <cell r="B2764">
            <v>101672</v>
          </cell>
          <cell r="C2764">
            <v>305</v>
          </cell>
          <cell r="D2764" t="str">
            <v>Bromley</v>
          </cell>
          <cell r="E2764">
            <v>5406</v>
          </cell>
          <cell r="F2764" t="str">
            <v>Kevin Hall</v>
          </cell>
          <cell r="G2764" t="str">
            <v>Kemnal Technology College (part of the Kemnal Trust)</v>
          </cell>
          <cell r="H2764" t="str">
            <v>London</v>
          </cell>
          <cell r="I2764" t="str">
            <v>Sevenoaks Way</v>
          </cell>
          <cell r="L2764" t="str">
            <v>Sidcup</v>
          </cell>
          <cell r="M2764" t="str">
            <v>Kent</v>
          </cell>
          <cell r="N2764" t="str">
            <v>DA14 5AA</v>
          </cell>
          <cell r="O2764" t="str">
            <v>cmarkham@ktc.bromley.sch.uk</v>
          </cell>
          <cell r="P2764">
            <v>40346</v>
          </cell>
        </row>
        <row r="2765">
          <cell r="A2765">
            <v>8913690</v>
          </cell>
          <cell r="B2765">
            <v>122811</v>
          </cell>
          <cell r="C2765">
            <v>891</v>
          </cell>
          <cell r="D2765" t="str">
            <v>Nottinghamshire</v>
          </cell>
          <cell r="E2765">
            <v>3690</v>
          </cell>
          <cell r="F2765" t="str">
            <v>Pauline Cole</v>
          </cell>
          <cell r="G2765" t="str">
            <v>Sacred Heart Catholic Primary School, Carlton</v>
          </cell>
          <cell r="H2765" t="str">
            <v>East Midlands</v>
          </cell>
          <cell r="I2765" t="str">
            <v>Southcliffe Road</v>
          </cell>
          <cell r="J2765" t="str">
            <v>Carlton</v>
          </cell>
          <cell r="L2765" t="str">
            <v>Nottingham</v>
          </cell>
          <cell r="M2765" t="str">
            <v>Nottinghamshire</v>
          </cell>
          <cell r="N2765" t="str">
            <v>NG4 1EQ</v>
          </cell>
          <cell r="O2765" t="str">
            <v>head@sacredheart.notts.sch.uk</v>
          </cell>
          <cell r="P2765">
            <v>40862</v>
          </cell>
        </row>
        <row r="2766">
          <cell r="A2766">
            <v>9362484</v>
          </cell>
          <cell r="B2766">
            <v>125079</v>
          </cell>
          <cell r="C2766">
            <v>936</v>
          </cell>
          <cell r="D2766" t="str">
            <v>Surrey</v>
          </cell>
          <cell r="E2766">
            <v>2484</v>
          </cell>
          <cell r="F2766" t="str">
            <v>Gabriela Grimley</v>
          </cell>
          <cell r="G2766" t="str">
            <v>Tillingbourne Junior School</v>
          </cell>
          <cell r="H2766" t="str">
            <v>South East</v>
          </cell>
          <cell r="I2766" t="str">
            <v>New Road</v>
          </cell>
          <cell r="J2766" t="str">
            <v>Chilworth</v>
          </cell>
          <cell r="L2766" t="str">
            <v>Guildford</v>
          </cell>
          <cell r="M2766" t="str">
            <v>Surrey</v>
          </cell>
          <cell r="N2766" t="str">
            <v>GU4 8NB</v>
          </cell>
          <cell r="O2766" t="str">
            <v>head@tillingbourne.surrey.sch.uk</v>
          </cell>
        </row>
        <row r="2767">
          <cell r="A2767">
            <v>3713325</v>
          </cell>
          <cell r="B2767">
            <v>134363</v>
          </cell>
          <cell r="C2767">
            <v>371</v>
          </cell>
          <cell r="D2767" t="str">
            <v>Doncaster</v>
          </cell>
          <cell r="E2767">
            <v>3325</v>
          </cell>
          <cell r="F2767" t="str">
            <v>Lisa Sargeant</v>
          </cell>
          <cell r="G2767" t="str">
            <v>Shaw Wood Primary School</v>
          </cell>
          <cell r="H2767" t="str">
            <v>Yorkshire and the Humber</v>
          </cell>
          <cell r="I2767" t="str">
            <v>Mere Lane</v>
          </cell>
          <cell r="J2767" t="str">
            <v>Armthorpe</v>
          </cell>
          <cell r="L2767" t="str">
            <v>Doncaster</v>
          </cell>
          <cell r="M2767" t="str">
            <v>South Yorkshire</v>
          </cell>
          <cell r="N2767" t="str">
            <v>DN3 2DG</v>
          </cell>
          <cell r="O2767" t="str">
            <v>head@shawwood.doncaster.sch.uk</v>
          </cell>
          <cell r="P2767">
            <v>40889</v>
          </cell>
        </row>
        <row r="2768">
          <cell r="A2768">
            <v>8863142</v>
          </cell>
          <cell r="B2768">
            <v>118669</v>
          </cell>
          <cell r="C2768">
            <v>886</v>
          </cell>
          <cell r="D2768" t="str">
            <v>Kent</v>
          </cell>
          <cell r="E2768">
            <v>3142</v>
          </cell>
          <cell r="F2768" t="str">
            <v>Kevin Hall</v>
          </cell>
          <cell r="G2768" t="str">
            <v>Pluckley Church of England Primary School</v>
          </cell>
          <cell r="H2768" t="str">
            <v>South East</v>
          </cell>
          <cell r="I2768" t="str">
            <v>The Street</v>
          </cell>
          <cell r="J2768" t="str">
            <v>Pluckley</v>
          </cell>
          <cell r="L2768" t="str">
            <v>Ashford</v>
          </cell>
          <cell r="M2768" t="str">
            <v>Kent</v>
          </cell>
          <cell r="N2768" t="str">
            <v>TN27 0QS</v>
          </cell>
          <cell r="O2768" t="str">
            <v>headteacher@pluckley.kent.sch.uk</v>
          </cell>
          <cell r="P2768">
            <v>40703</v>
          </cell>
        </row>
        <row r="2769">
          <cell r="A2769">
            <v>8815463</v>
          </cell>
          <cell r="B2769">
            <v>115379</v>
          </cell>
          <cell r="C2769">
            <v>881</v>
          </cell>
          <cell r="D2769" t="str">
            <v>Essex</v>
          </cell>
          <cell r="E2769">
            <v>5463</v>
          </cell>
          <cell r="F2769" t="str">
            <v>Cathy Knights</v>
          </cell>
          <cell r="G2769" t="str">
            <v>The Sandon School</v>
          </cell>
          <cell r="H2769" t="str">
            <v>East of England</v>
          </cell>
          <cell r="I2769" t="str">
            <v>Molrams Lane</v>
          </cell>
          <cell r="J2769" t="str">
            <v>Sandon</v>
          </cell>
          <cell r="L2769" t="str">
            <v>Chelmsford</v>
          </cell>
          <cell r="M2769" t="str">
            <v>Essex</v>
          </cell>
          <cell r="N2769" t="str">
            <v>CM2 7AQ</v>
          </cell>
          <cell r="O2769" t="str">
            <v>jwi@sandon.essex.sch.uk</v>
          </cell>
          <cell r="P2769">
            <v>40638</v>
          </cell>
        </row>
        <row r="2770">
          <cell r="A2770">
            <v>3847054</v>
          </cell>
          <cell r="B2770">
            <v>133718</v>
          </cell>
          <cell r="C2770">
            <v>384</v>
          </cell>
          <cell r="D2770" t="str">
            <v>Wakefield</v>
          </cell>
          <cell r="E2770">
            <v>7054</v>
          </cell>
          <cell r="F2770" t="str">
            <v>Glyn Newton</v>
          </cell>
          <cell r="G2770" t="str">
            <v>Kingsland Primary School</v>
          </cell>
          <cell r="H2770" t="str">
            <v>Yorkshire and the Humber</v>
          </cell>
          <cell r="I2770" t="str">
            <v>Aberford Road</v>
          </cell>
          <cell r="J2770" t="str">
            <v>Stanley</v>
          </cell>
          <cell r="L2770" t="str">
            <v>Wakefield</v>
          </cell>
          <cell r="M2770" t="str">
            <v>West Yorkshire</v>
          </cell>
          <cell r="N2770" t="str">
            <v>WF3 4BA</v>
          </cell>
          <cell r="O2770" t="str">
            <v>headteacher@kingsland.wakefield.sch.uk</v>
          </cell>
        </row>
        <row r="2771">
          <cell r="A2771">
            <v>3192006</v>
          </cell>
          <cell r="B2771">
            <v>102962</v>
          </cell>
          <cell r="C2771">
            <v>319</v>
          </cell>
          <cell r="D2771" t="str">
            <v>Sutton</v>
          </cell>
          <cell r="E2771">
            <v>2006</v>
          </cell>
          <cell r="F2771" t="str">
            <v>Helen Barry</v>
          </cell>
          <cell r="G2771" t="str">
            <v>Cheam Common Junior School</v>
          </cell>
          <cell r="H2771" t="str">
            <v>London</v>
          </cell>
          <cell r="I2771" t="str">
            <v>Kingsmead Avenue</v>
          </cell>
          <cell r="L2771" t="str">
            <v>Worcester Park</v>
          </cell>
          <cell r="M2771" t="str">
            <v>Surrey</v>
          </cell>
          <cell r="N2771" t="str">
            <v>KT4 8UT</v>
          </cell>
          <cell r="O2771" t="str">
            <v>rallott@suttonlea.org</v>
          </cell>
        </row>
        <row r="2772">
          <cell r="A2772">
            <v>3734253</v>
          </cell>
          <cell r="B2772">
            <v>107136</v>
          </cell>
          <cell r="C2772">
            <v>373</v>
          </cell>
          <cell r="D2772" t="str">
            <v>Sheffield</v>
          </cell>
          <cell r="E2772">
            <v>4253</v>
          </cell>
          <cell r="F2772" t="str">
            <v>John Edmunds</v>
          </cell>
          <cell r="G2772" t="str">
            <v>Yewlands School Technology College</v>
          </cell>
          <cell r="H2772" t="str">
            <v>Yorkshire and the Humber</v>
          </cell>
          <cell r="I2772" t="str">
            <v>Creswick Lane</v>
          </cell>
          <cell r="J2772" t="str">
            <v>Grenoside</v>
          </cell>
          <cell r="L2772" t="str">
            <v>Sheffield</v>
          </cell>
          <cell r="M2772" t="str">
            <v>South Yorkshire</v>
          </cell>
          <cell r="N2772" t="str">
            <v>S35 8NN</v>
          </cell>
          <cell r="O2772" t="str">
            <v>aarmytage@yewlands.learnsheffield.com</v>
          </cell>
          <cell r="P2772">
            <v>40571</v>
          </cell>
        </row>
        <row r="2773">
          <cell r="A2773">
            <v>8552133</v>
          </cell>
          <cell r="B2773">
            <v>119960</v>
          </cell>
          <cell r="C2773">
            <v>855</v>
          </cell>
          <cell r="D2773" t="str">
            <v>Leicestershire</v>
          </cell>
          <cell r="E2773">
            <v>2133</v>
          </cell>
          <cell r="F2773" t="str">
            <v>Bev Mullin</v>
          </cell>
          <cell r="G2773" t="str">
            <v>Millfield Community School and Centre</v>
          </cell>
          <cell r="H2773" t="str">
            <v>East Midlands</v>
          </cell>
          <cell r="I2773" t="str">
            <v>Hat Road</v>
          </cell>
          <cell r="L2773" t="str">
            <v>Leicester</v>
          </cell>
          <cell r="M2773" t="str">
            <v>Leicestershire</v>
          </cell>
          <cell r="N2773" t="str">
            <v>LE3 2WF</v>
          </cell>
          <cell r="O2773" t="str">
            <v>pwood@millfield.leics.sch.uk</v>
          </cell>
        </row>
        <row r="2774">
          <cell r="A2774">
            <v>9092322</v>
          </cell>
          <cell r="B2774">
            <v>112191</v>
          </cell>
          <cell r="C2774">
            <v>909</v>
          </cell>
          <cell r="D2774" t="str">
            <v>Cumbria</v>
          </cell>
          <cell r="E2774">
            <v>2322</v>
          </cell>
          <cell r="F2774" t="str">
            <v>Jane McCusker</v>
          </cell>
          <cell r="G2774" t="str">
            <v>Goodly Dale Primary School</v>
          </cell>
          <cell r="H2774" t="str">
            <v>North West</v>
          </cell>
          <cell r="I2774" t="str">
            <v>Lake Road</v>
          </cell>
          <cell r="L2774" t="str">
            <v>Windermere</v>
          </cell>
          <cell r="M2774" t="str">
            <v>Cumbria</v>
          </cell>
          <cell r="N2774" t="str">
            <v>LA23 2JX</v>
          </cell>
          <cell r="O2774" t="str">
            <v>head@goodlydale.cumbria.sch.uk</v>
          </cell>
        </row>
        <row r="2775">
          <cell r="A2775">
            <v>8102610</v>
          </cell>
          <cell r="B2775">
            <v>117814</v>
          </cell>
          <cell r="C2775">
            <v>810</v>
          </cell>
          <cell r="D2775" t="str">
            <v>Kingston upon Hull City of</v>
          </cell>
          <cell r="E2775">
            <v>2610</v>
          </cell>
          <cell r="F2775" t="str">
            <v>Jayne Turner</v>
          </cell>
          <cell r="G2775" t="str">
            <v>Spring Cottage Primary School</v>
          </cell>
          <cell r="H2775" t="str">
            <v>Yorkshire and the Humber</v>
          </cell>
          <cell r="I2775" t="str">
            <v>Dressay Grove</v>
          </cell>
          <cell r="J2775" t="str">
            <v>Spring Cottage Estate</v>
          </cell>
          <cell r="L2775" t="str">
            <v>Hull</v>
          </cell>
          <cell r="N2775" t="str">
            <v>HU8 9JH</v>
          </cell>
          <cell r="O2775" t="str">
            <v>head@springcottage.hull.sch.uk</v>
          </cell>
        </row>
        <row r="2776">
          <cell r="A2776">
            <v>3062019</v>
          </cell>
          <cell r="B2776">
            <v>101724</v>
          </cell>
          <cell r="C2776">
            <v>306</v>
          </cell>
          <cell r="D2776" t="str">
            <v>Croydon</v>
          </cell>
          <cell r="E2776">
            <v>2019</v>
          </cell>
          <cell r="F2776" t="str">
            <v>Helen Barry</v>
          </cell>
          <cell r="G2776" t="str">
            <v>Gonville Primary School</v>
          </cell>
          <cell r="H2776" t="str">
            <v>London</v>
          </cell>
          <cell r="I2776" t="str">
            <v>Gonville Road</v>
          </cell>
          <cell r="L2776" t="str">
            <v>Thornton Heath</v>
          </cell>
          <cell r="M2776" t="str">
            <v>Surrey</v>
          </cell>
          <cell r="N2776" t="str">
            <v>CR7 6DL</v>
          </cell>
          <cell r="O2776" t="str">
            <v>head@gonville-pri.croydon.sch.uk</v>
          </cell>
          <cell r="P2776">
            <v>40525</v>
          </cell>
        </row>
        <row r="2777">
          <cell r="A2777">
            <v>8865452</v>
          </cell>
          <cell r="B2777">
            <v>118924</v>
          </cell>
          <cell r="C2777">
            <v>886</v>
          </cell>
          <cell r="D2777" t="str">
            <v>Kent</v>
          </cell>
          <cell r="E2777">
            <v>5452</v>
          </cell>
          <cell r="F2777" t="str">
            <v>Nicky Edwards</v>
          </cell>
          <cell r="G2777" t="str">
            <v>Chaucer Technology School</v>
          </cell>
          <cell r="H2777" t="str">
            <v>South East</v>
          </cell>
          <cell r="I2777" t="str">
            <v>Spring Lane</v>
          </cell>
          <cell r="L2777" t="str">
            <v>Canterbury</v>
          </cell>
          <cell r="M2777" t="str">
            <v>Kent</v>
          </cell>
          <cell r="N2777" t="str">
            <v>CT1 1SU</v>
          </cell>
          <cell r="O2777" t="str">
            <v>smurphy@chaucer.ac.uk</v>
          </cell>
        </row>
        <row r="2778">
          <cell r="A2778">
            <v>8934395</v>
          </cell>
          <cell r="B2778">
            <v>123569</v>
          </cell>
          <cell r="C2778">
            <v>893</v>
          </cell>
          <cell r="D2778" t="str">
            <v>Shropshire</v>
          </cell>
          <cell r="E2778">
            <v>4395</v>
          </cell>
          <cell r="F2778" t="str">
            <v>Julia Waterhouse</v>
          </cell>
          <cell r="G2778" t="str">
            <v>Sundorne School and Sports College</v>
          </cell>
          <cell r="H2778" t="str">
            <v>West Midlands</v>
          </cell>
          <cell r="I2778" t="str">
            <v>Corndon Crescent</v>
          </cell>
          <cell r="J2778" t="str">
            <v>Sundorne</v>
          </cell>
          <cell r="L2778" t="str">
            <v>Shrewsbury</v>
          </cell>
          <cell r="M2778" t="str">
            <v>Shropshire</v>
          </cell>
          <cell r="N2778" t="str">
            <v>SY1 4LL</v>
          </cell>
          <cell r="O2778" t="str">
            <v>pettengell.g@shropshirelg.net</v>
          </cell>
          <cell r="P2778">
            <v>41110</v>
          </cell>
        </row>
        <row r="2779">
          <cell r="A2779">
            <v>9254030</v>
          </cell>
          <cell r="B2779">
            <v>120645</v>
          </cell>
          <cell r="C2779">
            <v>925</v>
          </cell>
          <cell r="D2779" t="str">
            <v>Lincolnshire</v>
          </cell>
          <cell r="E2779">
            <v>4030</v>
          </cell>
          <cell r="F2779" t="str">
            <v>Grant Dyson</v>
          </cell>
          <cell r="G2779" t="str">
            <v>The Peele Community College</v>
          </cell>
          <cell r="H2779" t="str">
            <v>East Midlands</v>
          </cell>
          <cell r="I2779" t="str">
            <v>84 Little London</v>
          </cell>
          <cell r="J2779" t="str">
            <v>Long Sutton</v>
          </cell>
          <cell r="L2779" t="str">
            <v>Spalding</v>
          </cell>
          <cell r="M2779" t="str">
            <v>Lincolnshire</v>
          </cell>
          <cell r="N2779" t="str">
            <v>PE12 9LF</v>
          </cell>
          <cell r="O2779" t="str">
            <v>charlesi@peele.lincs.sch.uk</v>
          </cell>
        </row>
        <row r="2780">
          <cell r="A2780">
            <v>3582009</v>
          </cell>
          <cell r="B2780">
            <v>106291</v>
          </cell>
          <cell r="C2780">
            <v>358</v>
          </cell>
          <cell r="D2780" t="str">
            <v>Trafford</v>
          </cell>
          <cell r="E2780">
            <v>2009</v>
          </cell>
          <cell r="F2780" t="str">
            <v>Jane McCusker</v>
          </cell>
          <cell r="G2780" t="str">
            <v>Elmridge Primary School</v>
          </cell>
          <cell r="H2780" t="str">
            <v>North West</v>
          </cell>
          <cell r="I2780" t="str">
            <v>Wilton Drive</v>
          </cell>
          <cell r="J2780" t="str">
            <v>Halebarns</v>
          </cell>
          <cell r="K2780" t="str">
            <v>Wilton Drive Halebarns</v>
          </cell>
          <cell r="L2780" t="str">
            <v>Altrincham</v>
          </cell>
          <cell r="M2780" t="str">
            <v>Cheshire</v>
          </cell>
          <cell r="N2780" t="str">
            <v>WA15 0JF</v>
          </cell>
          <cell r="O2780" t="str">
            <v>office@elmridge.trafford.sch.uk</v>
          </cell>
          <cell r="P2780">
            <v>40869</v>
          </cell>
        </row>
        <row r="2781">
          <cell r="A2781">
            <v>8685403</v>
          </cell>
          <cell r="B2781">
            <v>110099</v>
          </cell>
          <cell r="C2781">
            <v>868</v>
          </cell>
          <cell r="D2781" t="str">
            <v>Windsor and Maidenhead</v>
          </cell>
          <cell r="E2781">
            <v>5403</v>
          </cell>
          <cell r="F2781" t="str">
            <v>Maryam Jabbari</v>
          </cell>
          <cell r="G2781" t="str">
            <v>Desborough School</v>
          </cell>
          <cell r="H2781" t="str">
            <v>South East</v>
          </cell>
          <cell r="I2781" t="str">
            <v>Shoppenhangers Road</v>
          </cell>
          <cell r="L2781" t="str">
            <v>Maidenhead</v>
          </cell>
          <cell r="M2781" t="str">
            <v>Berkshire</v>
          </cell>
          <cell r="N2781" t="str">
            <v>SL6 2QB</v>
          </cell>
          <cell r="O2781" t="str">
            <v>nigelcook@btopenworld.com</v>
          </cell>
          <cell r="P2781">
            <v>40983</v>
          </cell>
        </row>
        <row r="2782">
          <cell r="A2782">
            <v>9375407</v>
          </cell>
          <cell r="B2782">
            <v>125770</v>
          </cell>
          <cell r="C2782">
            <v>937</v>
          </cell>
          <cell r="D2782" t="str">
            <v>Warwickshire</v>
          </cell>
          <cell r="E2782">
            <v>5407</v>
          </cell>
          <cell r="F2782" t="str">
            <v>Lilian Da Cunha</v>
          </cell>
          <cell r="G2782" t="str">
            <v>Alcester Grammar School</v>
          </cell>
          <cell r="H2782" t="str">
            <v>West Midlands</v>
          </cell>
          <cell r="I2782" t="str">
            <v>Birmingham Road</v>
          </cell>
          <cell r="L2782" t="str">
            <v>Alcester</v>
          </cell>
          <cell r="M2782" t="str">
            <v>Warwickshire</v>
          </cell>
          <cell r="N2782" t="str">
            <v>B49 5ED</v>
          </cell>
          <cell r="O2782" t="str">
            <v>i.blaikie@btinternet.com</v>
          </cell>
          <cell r="P2782">
            <v>40451</v>
          </cell>
        </row>
        <row r="2783">
          <cell r="A2783">
            <v>8865460</v>
          </cell>
          <cell r="B2783">
            <v>118932</v>
          </cell>
          <cell r="C2783">
            <v>886</v>
          </cell>
          <cell r="D2783" t="str">
            <v>Kent</v>
          </cell>
          <cell r="E2783">
            <v>5460</v>
          </cell>
          <cell r="F2783" t="str">
            <v>Sarah Mitchell</v>
          </cell>
          <cell r="G2783" t="str">
            <v>Dane Court Grammar School</v>
          </cell>
          <cell r="H2783" t="str">
            <v>South East</v>
          </cell>
          <cell r="I2783" t="str">
            <v>Broadstairs Road</v>
          </cell>
          <cell r="L2783" t="str">
            <v>Broadstairs</v>
          </cell>
          <cell r="M2783" t="str">
            <v>Kent</v>
          </cell>
          <cell r="N2783" t="str">
            <v>CT10 2RT</v>
          </cell>
          <cell r="O2783" t="str">
            <v>luxmoore@danecourt.kent.sch.uk</v>
          </cell>
          <cell r="P2783">
            <v>40529</v>
          </cell>
        </row>
        <row r="2784">
          <cell r="A2784">
            <v>8913297</v>
          </cell>
          <cell r="B2784">
            <v>133280</v>
          </cell>
          <cell r="C2784">
            <v>891</v>
          </cell>
          <cell r="D2784" t="str">
            <v>Nottinghamshire</v>
          </cell>
          <cell r="E2784">
            <v>3297</v>
          </cell>
          <cell r="F2784" t="str">
            <v>Gabriela Grimley</v>
          </cell>
          <cell r="G2784" t="str">
            <v>Abby Primary School</v>
          </cell>
          <cell r="H2784" t="str">
            <v>East Midlands</v>
          </cell>
          <cell r="I2784" t="str">
            <v>Abbey Road</v>
          </cell>
          <cell r="L2784" t="str">
            <v>Mansfield</v>
          </cell>
          <cell r="M2784" t="str">
            <v>Nottinghamshire</v>
          </cell>
          <cell r="N2784" t="str">
            <v>NG18 3AF</v>
          </cell>
          <cell r="O2784" t="str">
            <v>maxinebithel@btinternet.com</v>
          </cell>
        </row>
        <row r="2785">
          <cell r="A2785">
            <v>8524270</v>
          </cell>
          <cell r="B2785">
            <v>116453</v>
          </cell>
          <cell r="C2785">
            <v>852</v>
          </cell>
          <cell r="D2785" t="str">
            <v>Southampton</v>
          </cell>
          <cell r="E2785">
            <v>4270</v>
          </cell>
          <cell r="F2785" t="str">
            <v>Lindsay Morris</v>
          </cell>
          <cell r="G2785" t="str">
            <v>Redbridge Community School</v>
          </cell>
          <cell r="H2785" t="str">
            <v>South East</v>
          </cell>
          <cell r="I2785" t="str">
            <v>Cuckmere Lane</v>
          </cell>
          <cell r="L2785" t="str">
            <v>Southampton</v>
          </cell>
          <cell r="M2785" t="str">
            <v>Hampshire</v>
          </cell>
          <cell r="N2785" t="str">
            <v>SO16 9RJ</v>
          </cell>
          <cell r="O2785" t="str">
            <v>jashley@redbridgecs.co.uk</v>
          </cell>
          <cell r="P2785">
            <v>40890</v>
          </cell>
        </row>
        <row r="2786">
          <cell r="A2786">
            <v>8863308</v>
          </cell>
          <cell r="B2786">
            <v>118716</v>
          </cell>
          <cell r="C2786">
            <v>886</v>
          </cell>
          <cell r="D2786" t="str">
            <v>Kent</v>
          </cell>
          <cell r="E2786">
            <v>3308</v>
          </cell>
          <cell r="F2786" t="str">
            <v>Nicky Edwards</v>
          </cell>
          <cell r="G2786" t="str">
            <v>Colliers Green Church of England Primary School</v>
          </cell>
          <cell r="H2786" t="str">
            <v>South East</v>
          </cell>
          <cell r="I2786" t="str">
            <v>Colliers Green</v>
          </cell>
          <cell r="L2786" t="str">
            <v>Cranbrook</v>
          </cell>
          <cell r="M2786" t="str">
            <v>Kent</v>
          </cell>
          <cell r="N2786" t="str">
            <v>TN17 2LR</v>
          </cell>
          <cell r="O2786" t="str">
            <v>jnash@colliers-green.kent.sch.uk</v>
          </cell>
        </row>
        <row r="2787">
          <cell r="A2787">
            <v>8865403</v>
          </cell>
          <cell r="B2787">
            <v>118875</v>
          </cell>
          <cell r="C2787">
            <v>886</v>
          </cell>
          <cell r="D2787" t="str">
            <v>Kent</v>
          </cell>
          <cell r="E2787">
            <v>5403</v>
          </cell>
          <cell r="F2787" t="str">
            <v>Nicky Edwards</v>
          </cell>
          <cell r="G2787" t="str">
            <v>Wilmington Grammar School for Boys</v>
          </cell>
          <cell r="H2787" t="str">
            <v>South East</v>
          </cell>
          <cell r="I2787" t="str">
            <v>Common Lane</v>
          </cell>
          <cell r="J2787" t="str">
            <v>Wilmington</v>
          </cell>
          <cell r="L2787" t="str">
            <v>Dartford</v>
          </cell>
          <cell r="M2787" t="str">
            <v>Kent</v>
          </cell>
          <cell r="N2787" t="str">
            <v>DA2 7DA</v>
          </cell>
          <cell r="O2787" t="str">
            <v>awilliamson@wgsb.org.uk</v>
          </cell>
          <cell r="P2787">
            <v>40638</v>
          </cell>
        </row>
        <row r="2788">
          <cell r="A2788">
            <v>8847003</v>
          </cell>
          <cell r="B2788">
            <v>117051</v>
          </cell>
          <cell r="C2788">
            <v>884</v>
          </cell>
          <cell r="D2788" t="str">
            <v>Herefordshire</v>
          </cell>
          <cell r="E2788">
            <v>7003</v>
          </cell>
          <cell r="F2788" t="str">
            <v>Sally Gardiner</v>
          </cell>
          <cell r="G2788" t="str">
            <v>Barrs Court School</v>
          </cell>
          <cell r="H2788" t="str">
            <v>West Midlands</v>
          </cell>
          <cell r="I2788" t="str">
            <v>Barrs Court Road</v>
          </cell>
          <cell r="L2788" t="str">
            <v>Hereford</v>
          </cell>
          <cell r="N2788" t="str">
            <v>HR1 1EQ</v>
          </cell>
          <cell r="O2788" t="str">
            <v>raird@barrscourt.hereford.sch.uk</v>
          </cell>
          <cell r="P2788">
            <v>41085</v>
          </cell>
        </row>
        <row r="2789">
          <cell r="A2789">
            <v>8262336</v>
          </cell>
          <cell r="B2789">
            <v>110394</v>
          </cell>
          <cell r="C2789">
            <v>826</v>
          </cell>
          <cell r="D2789" t="str">
            <v>Milton Keynes</v>
          </cell>
          <cell r="E2789">
            <v>2336</v>
          </cell>
          <cell r="F2789" t="str">
            <v>Sarah Nairne</v>
          </cell>
          <cell r="G2789" t="str">
            <v>Caroline Haslett Primary School</v>
          </cell>
          <cell r="H2789" t="str">
            <v>South East</v>
          </cell>
          <cell r="I2789" t="str">
            <v>Faraday Drive</v>
          </cell>
          <cell r="J2789" t="str">
            <v>Shenley Lodge</v>
          </cell>
          <cell r="L2789" t="str">
            <v>Milton Keynes</v>
          </cell>
          <cell r="M2789" t="str">
            <v>Buckinghamshire</v>
          </cell>
          <cell r="N2789" t="str">
            <v>MK5 7DF</v>
          </cell>
          <cell r="O2789" t="str">
            <v>ian.fergus@milton-keynes.gov.uk</v>
          </cell>
        </row>
        <row r="2790">
          <cell r="A2790">
            <v>9367060</v>
          </cell>
          <cell r="B2790">
            <v>125475</v>
          </cell>
          <cell r="C2790">
            <v>936</v>
          </cell>
          <cell r="D2790" t="str">
            <v>Surrey</v>
          </cell>
          <cell r="E2790">
            <v>7060</v>
          </cell>
          <cell r="F2790" t="str">
            <v>Not yet assigned</v>
          </cell>
          <cell r="G2790" t="str">
            <v>Linden Bridge School</v>
          </cell>
          <cell r="H2790" t="str">
            <v>South East</v>
          </cell>
          <cell r="I2790" t="str">
            <v>Grafton Road</v>
          </cell>
          <cell r="L2790" t="str">
            <v>Worcester Park</v>
          </cell>
          <cell r="M2790" t="str">
            <v>Surrey</v>
          </cell>
          <cell r="N2790" t="str">
            <v>KT4 7JW</v>
          </cell>
          <cell r="O2790" t="str">
            <v>head@linden-bridge.surrey.sch.uk</v>
          </cell>
        </row>
        <row r="2791">
          <cell r="A2791">
            <v>3207011</v>
          </cell>
          <cell r="B2791">
            <v>131697</v>
          </cell>
          <cell r="C2791">
            <v>320</v>
          </cell>
          <cell r="D2791" t="str">
            <v>Waltham Forest</v>
          </cell>
          <cell r="E2791">
            <v>7011</v>
          </cell>
          <cell r="F2791" t="str">
            <v>Tahir Shams</v>
          </cell>
          <cell r="G2791" t="str">
            <v>Belmont Park School</v>
          </cell>
          <cell r="H2791" t="str">
            <v>London</v>
          </cell>
          <cell r="I2791" t="str">
            <v>Leyton Green Road</v>
          </cell>
          <cell r="J2791" t="str">
            <v>Leyton</v>
          </cell>
          <cell r="K2791" t="str">
            <v>Waltham Forest</v>
          </cell>
          <cell r="L2791" t="str">
            <v>London</v>
          </cell>
          <cell r="N2791" t="str">
            <v>E10 6DB</v>
          </cell>
          <cell r="O2791" t="str">
            <v>julia.mainwaring@belmontpark.waltham.sch.uk</v>
          </cell>
        </row>
        <row r="2792">
          <cell r="A2792">
            <v>3943322</v>
          </cell>
          <cell r="B2792">
            <v>108848</v>
          </cell>
          <cell r="C2792">
            <v>394</v>
          </cell>
          <cell r="D2792" t="str">
            <v>Sunderland</v>
          </cell>
          <cell r="E2792">
            <v>3322</v>
          </cell>
          <cell r="F2792" t="str">
            <v>Claire Ryan</v>
          </cell>
          <cell r="G2792" t="str">
            <v>Benedict Biscop Church of England Aided Primary School</v>
          </cell>
          <cell r="H2792" t="str">
            <v>North East</v>
          </cell>
          <cell r="I2792" t="str">
            <v>Marcross Drive</v>
          </cell>
          <cell r="J2792" t="str">
            <v>Moorside</v>
          </cell>
          <cell r="L2792" t="str">
            <v>Sunderland</v>
          </cell>
          <cell r="M2792" t="str">
            <v>Tyne and Wear</v>
          </cell>
          <cell r="N2792" t="str">
            <v>SR3 2RE</v>
          </cell>
          <cell r="O2792" t="str">
            <v>paula.thompson@schools.sunderland.gov.uk</v>
          </cell>
          <cell r="P2792">
            <v>40850</v>
          </cell>
        </row>
        <row r="2793">
          <cell r="A2793">
            <v>8863899</v>
          </cell>
          <cell r="B2793">
            <v>134975</v>
          </cell>
          <cell r="C2793">
            <v>886</v>
          </cell>
          <cell r="D2793" t="str">
            <v>Kent</v>
          </cell>
          <cell r="E2793">
            <v>3899</v>
          </cell>
          <cell r="F2793" t="str">
            <v>Sarah Nairne</v>
          </cell>
          <cell r="G2793" t="str">
            <v>St James the Great Primary and Nursery School</v>
          </cell>
          <cell r="H2793" t="str">
            <v>South East</v>
          </cell>
          <cell r="I2793" t="str">
            <v>Chapman Way</v>
          </cell>
          <cell r="L2793" t="str">
            <v>East Malling</v>
          </cell>
          <cell r="M2793" t="str">
            <v>Kent</v>
          </cell>
          <cell r="N2793" t="str">
            <v>ME19 6SD</v>
          </cell>
          <cell r="O2793" t="str">
            <v>scrockett@stjamesthegreat.kent.sch.uk</v>
          </cell>
        </row>
        <row r="2794">
          <cell r="A2794">
            <v>3304220</v>
          </cell>
          <cell r="B2794">
            <v>103508</v>
          </cell>
          <cell r="C2794">
            <v>330</v>
          </cell>
          <cell r="D2794" t="str">
            <v>Birmingham</v>
          </cell>
          <cell r="E2794">
            <v>4220</v>
          </cell>
          <cell r="F2794" t="str">
            <v>Hannah Copp</v>
          </cell>
          <cell r="G2794" t="str">
            <v>Aston Manor School</v>
          </cell>
          <cell r="H2794" t="str">
            <v>West Midlands</v>
          </cell>
          <cell r="I2794" t="str">
            <v>Phillips Street</v>
          </cell>
          <cell r="J2794" t="str">
            <v>Aston</v>
          </cell>
          <cell r="L2794" t="str">
            <v>Birmingham</v>
          </cell>
          <cell r="M2794" t="str">
            <v>West Midlands</v>
          </cell>
          <cell r="N2794" t="str">
            <v>B6 4PZ</v>
          </cell>
          <cell r="O2794" t="str">
            <v>hroberts@astonmanor.bham.sch.uk</v>
          </cell>
          <cell r="P2794">
            <v>40639</v>
          </cell>
        </row>
        <row r="2795">
          <cell r="A2795">
            <v>8683350</v>
          </cell>
          <cell r="B2795">
            <v>110034</v>
          </cell>
          <cell r="C2795">
            <v>868</v>
          </cell>
          <cell r="D2795" t="str">
            <v>Windsor and Maidenhead</v>
          </cell>
          <cell r="E2795">
            <v>3350</v>
          </cell>
          <cell r="F2795" t="str">
            <v>Lindsay Morris</v>
          </cell>
          <cell r="G2795" t="str">
            <v>Datchet St Mary's CofE Primary School</v>
          </cell>
          <cell r="H2795" t="str">
            <v>South East</v>
          </cell>
          <cell r="I2795" t="str">
            <v>The Green</v>
          </cell>
          <cell r="J2795" t="str">
            <v>Datchet</v>
          </cell>
          <cell r="L2795" t="str">
            <v>Slough</v>
          </cell>
          <cell r="M2795" t="str">
            <v>Berkshire</v>
          </cell>
          <cell r="N2795" t="str">
            <v>SL3 9EJ</v>
          </cell>
          <cell r="O2795" t="str">
            <v>pinkj001@rbwm.org</v>
          </cell>
          <cell r="P2795">
            <v>40744</v>
          </cell>
        </row>
        <row r="2796">
          <cell r="A2796">
            <v>8407029</v>
          </cell>
          <cell r="B2796">
            <v>114346</v>
          </cell>
          <cell r="C2796">
            <v>840</v>
          </cell>
          <cell r="D2796" t="str">
            <v>Durham</v>
          </cell>
          <cell r="E2796">
            <v>7029</v>
          </cell>
          <cell r="F2796" t="str">
            <v>Pat Murison</v>
          </cell>
          <cell r="G2796" t="str">
            <v>Glendene School</v>
          </cell>
          <cell r="H2796" t="str">
            <v>North East</v>
          </cell>
          <cell r="I2796" t="str">
            <v>Crawlaw Road</v>
          </cell>
          <cell r="J2796" t="str">
            <v>Easington Colliery</v>
          </cell>
          <cell r="L2796" t="str">
            <v>Peterlee</v>
          </cell>
          <cell r="N2796" t="str">
            <v>SR8 3LP</v>
          </cell>
          <cell r="O2796" t="str">
            <v>e7029.admin@durhamlearning.net</v>
          </cell>
          <cell r="P2796">
            <v>40988</v>
          </cell>
        </row>
        <row r="2797">
          <cell r="A2797">
            <v>8715409</v>
          </cell>
          <cell r="B2797">
            <v>110105</v>
          </cell>
          <cell r="C2797">
            <v>871</v>
          </cell>
          <cell r="D2797" t="str">
            <v>Slough</v>
          </cell>
          <cell r="E2797">
            <v>5409</v>
          </cell>
          <cell r="F2797" t="str">
            <v>Lindsay Morris</v>
          </cell>
          <cell r="G2797" t="str">
            <v>The Westgate School</v>
          </cell>
          <cell r="H2797" t="str">
            <v>South East</v>
          </cell>
          <cell r="I2797" t="str">
            <v>Cippenham Lane</v>
          </cell>
          <cell r="L2797" t="str">
            <v>Slough</v>
          </cell>
          <cell r="M2797" t="str">
            <v>Berkshire</v>
          </cell>
          <cell r="N2797" t="str">
            <v>SL1 5AH</v>
          </cell>
          <cell r="O2797" t="str">
            <v>rt@westgate.slough.sch.uk</v>
          </cell>
          <cell r="P2797">
            <v>40869</v>
          </cell>
        </row>
        <row r="2798">
          <cell r="A2798">
            <v>8843325</v>
          </cell>
          <cell r="B2798">
            <v>116880</v>
          </cell>
          <cell r="C2798">
            <v>884</v>
          </cell>
          <cell r="D2798" t="str">
            <v>Herefordshire</v>
          </cell>
          <cell r="E2798">
            <v>3325</v>
          </cell>
          <cell r="F2798" t="str">
            <v>Carla Spink</v>
          </cell>
          <cell r="G2798" t="str">
            <v>St Mary's CofE Primary School</v>
          </cell>
          <cell r="H2798" t="str">
            <v>West Midlands</v>
          </cell>
          <cell r="I2798" t="str">
            <v>Fownhope</v>
          </cell>
          <cell r="L2798" t="str">
            <v>Hereford</v>
          </cell>
          <cell r="M2798" t="str">
            <v>Herefordshire</v>
          </cell>
          <cell r="N2798" t="str">
            <v>HR1 4PG</v>
          </cell>
          <cell r="O2798" t="str">
            <v>ataylor@st-marys-pri.hereford.sch.uk</v>
          </cell>
        </row>
        <row r="2799">
          <cell r="A2799">
            <v>8084630</v>
          </cell>
          <cell r="B2799">
            <v>111757</v>
          </cell>
          <cell r="C2799">
            <v>808</v>
          </cell>
          <cell r="D2799" t="str">
            <v>Stockton-on-Tees</v>
          </cell>
          <cell r="E2799">
            <v>4630</v>
          </cell>
          <cell r="F2799" t="str">
            <v>Carol Blain</v>
          </cell>
          <cell r="G2799" t="str">
            <v>St Michael's Roman Catholic Voluntary Aided Comprehensive School</v>
          </cell>
          <cell r="H2799" t="str">
            <v>North East</v>
          </cell>
          <cell r="I2799" t="str">
            <v>Beamish Road</v>
          </cell>
          <cell r="L2799" t="str">
            <v>Billingham</v>
          </cell>
          <cell r="N2799" t="str">
            <v>TS23 3DX</v>
          </cell>
          <cell r="O2799" t="str">
            <v>jjwhite@stmichaelsrcschool.org.uk</v>
          </cell>
        </row>
        <row r="2800">
          <cell r="A2800">
            <v>3195404</v>
          </cell>
          <cell r="B2800">
            <v>103011</v>
          </cell>
          <cell r="C2800">
            <v>319</v>
          </cell>
          <cell r="D2800" t="str">
            <v>Sutton</v>
          </cell>
          <cell r="E2800">
            <v>5404</v>
          </cell>
          <cell r="F2800" t="str">
            <v>Helen Barry</v>
          </cell>
          <cell r="G2800" t="str">
            <v>Sutton Grammar School for Boys</v>
          </cell>
          <cell r="H2800" t="str">
            <v>London</v>
          </cell>
          <cell r="I2800" t="str">
            <v>Manor Lane</v>
          </cell>
          <cell r="L2800" t="str">
            <v>Sutton</v>
          </cell>
          <cell r="M2800" t="str">
            <v>Surrey</v>
          </cell>
          <cell r="N2800" t="str">
            <v>SM1 4AS</v>
          </cell>
          <cell r="O2800" t="str">
            <v>gironside@suttonlea.org</v>
          </cell>
          <cell r="P2800">
            <v>40590</v>
          </cell>
        </row>
        <row r="2801">
          <cell r="A2801">
            <v>9095202</v>
          </cell>
          <cell r="B2801">
            <v>112404</v>
          </cell>
          <cell r="C2801">
            <v>909</v>
          </cell>
          <cell r="D2801" t="str">
            <v>Cumbria</v>
          </cell>
          <cell r="E2801">
            <v>5202</v>
          </cell>
          <cell r="F2801" t="str">
            <v>Linda Tiley</v>
          </cell>
          <cell r="G2801" t="str">
            <v>Warwick Bridge Primary School</v>
          </cell>
          <cell r="H2801" t="str">
            <v>North West</v>
          </cell>
          <cell r="I2801" t="str">
            <v>Warwick Bridge</v>
          </cell>
          <cell r="L2801" t="str">
            <v>Carlisle</v>
          </cell>
          <cell r="M2801" t="str">
            <v>Cumbria</v>
          </cell>
          <cell r="N2801" t="str">
            <v>CA4 8RE</v>
          </cell>
          <cell r="O2801" t="str">
            <v>head@warwickbridge.cumbria.sch.uk</v>
          </cell>
        </row>
        <row r="2802">
          <cell r="A2802">
            <v>8552374</v>
          </cell>
          <cell r="B2802">
            <v>120097</v>
          </cell>
          <cell r="C2802">
            <v>855</v>
          </cell>
          <cell r="D2802" t="str">
            <v>Leicestershire</v>
          </cell>
          <cell r="E2802">
            <v>2374</v>
          </cell>
          <cell r="F2802" t="str">
            <v>Sue Harp</v>
          </cell>
          <cell r="G2802" t="str">
            <v>Cobden Primary School &amp; Children's Centre</v>
          </cell>
          <cell r="H2802" t="str">
            <v>East Midlands</v>
          </cell>
          <cell r="I2802" t="str">
            <v>Cobden Street</v>
          </cell>
          <cell r="L2802" t="str">
            <v>Loughborough</v>
          </cell>
          <cell r="M2802" t="str">
            <v>Leicestershire</v>
          </cell>
          <cell r="N2802" t="str">
            <v>LE11 1AF</v>
          </cell>
        </row>
        <row r="2803">
          <cell r="A2803">
            <v>8504171</v>
          </cell>
          <cell r="B2803">
            <v>116436</v>
          </cell>
          <cell r="C2803">
            <v>850</v>
          </cell>
          <cell r="D2803" t="str">
            <v>Hampshire</v>
          </cell>
          <cell r="E2803">
            <v>4171</v>
          </cell>
          <cell r="F2803" t="str">
            <v>Amanda Barrett</v>
          </cell>
          <cell r="G2803" t="str">
            <v>Calthorpe Park School</v>
          </cell>
          <cell r="H2803" t="str">
            <v>South East</v>
          </cell>
          <cell r="I2803" t="str">
            <v>Hitches Lane</v>
          </cell>
          <cell r="L2803" t="str">
            <v>Fleet</v>
          </cell>
          <cell r="M2803" t="str">
            <v>Hampshire</v>
          </cell>
          <cell r="N2803" t="str">
            <v>GU51 5JA</v>
          </cell>
          <cell r="O2803" t="str">
            <v>headteacher@calthorpepark.hants.sch.uk</v>
          </cell>
        </row>
        <row r="2804">
          <cell r="A2804">
            <v>8745405</v>
          </cell>
          <cell r="B2804">
            <v>110899</v>
          </cell>
          <cell r="C2804">
            <v>874</v>
          </cell>
          <cell r="D2804" t="str">
            <v>Peterborough</v>
          </cell>
          <cell r="E2804">
            <v>5405</v>
          </cell>
          <cell r="F2804" t="str">
            <v>Joe Farrell</v>
          </cell>
          <cell r="G2804" t="str">
            <v>Jack Hunt School</v>
          </cell>
          <cell r="H2804" t="str">
            <v>East of England</v>
          </cell>
          <cell r="I2804" t="str">
            <v>Ledbury Road</v>
          </cell>
          <cell r="L2804" t="str">
            <v>Peterborough</v>
          </cell>
          <cell r="M2804" t="str">
            <v>Cambridgeshire</v>
          </cell>
          <cell r="N2804" t="str">
            <v>PE3 9PN</v>
          </cell>
          <cell r="O2804" t="str">
            <v>pkilbey@jackhunt.peterborough.sch.uk</v>
          </cell>
        </row>
        <row r="2805">
          <cell r="A2805">
            <v>8872406</v>
          </cell>
          <cell r="B2805">
            <v>118425</v>
          </cell>
          <cell r="C2805">
            <v>887</v>
          </cell>
          <cell r="D2805" t="str">
            <v>Medway</v>
          </cell>
          <cell r="E2805">
            <v>2406</v>
          </cell>
          <cell r="F2805" t="str">
            <v>Sarah Mitchell</v>
          </cell>
          <cell r="G2805" t="str">
            <v>Napier CP and Nursery School</v>
          </cell>
          <cell r="H2805" t="str">
            <v>South East</v>
          </cell>
          <cell r="I2805" t="str">
            <v>Napier Road</v>
          </cell>
          <cell r="L2805" t="str">
            <v>Gillingham</v>
          </cell>
          <cell r="M2805" t="str">
            <v>Kent</v>
          </cell>
          <cell r="N2805" t="str">
            <v>ME7 4HG</v>
          </cell>
          <cell r="O2805" t="str">
            <v>office@napier.medway.sch.uk</v>
          </cell>
        </row>
        <row r="2806">
          <cell r="A2806">
            <v>3125408</v>
          </cell>
          <cell r="B2806">
            <v>102448</v>
          </cell>
          <cell r="C2806">
            <v>312</v>
          </cell>
          <cell r="D2806" t="str">
            <v>Hillingdon</v>
          </cell>
          <cell r="E2806">
            <v>5408</v>
          </cell>
          <cell r="F2806" t="str">
            <v>Helen Fisher</v>
          </cell>
          <cell r="G2806" t="str">
            <v>The Douay Martyrs Catholic School</v>
          </cell>
          <cell r="H2806" t="str">
            <v>London</v>
          </cell>
          <cell r="I2806" t="str">
            <v>Edinburgh Drive</v>
          </cell>
          <cell r="J2806" t="str">
            <v>Ickenham</v>
          </cell>
          <cell r="L2806" t="str">
            <v>Uxbridge</v>
          </cell>
          <cell r="N2806" t="str">
            <v>UB10 8QY</v>
          </cell>
          <cell r="O2806" t="str">
            <v>mrainsford@hillingdongrid.org</v>
          </cell>
          <cell r="P2806">
            <v>40855</v>
          </cell>
        </row>
        <row r="2807">
          <cell r="A2807">
            <v>9364464</v>
          </cell>
          <cell r="B2807">
            <v>125272</v>
          </cell>
          <cell r="C2807">
            <v>936</v>
          </cell>
          <cell r="D2807" t="str">
            <v>Surrey</v>
          </cell>
          <cell r="E2807">
            <v>4464</v>
          </cell>
          <cell r="F2807" t="str">
            <v>Nicky Edwards</v>
          </cell>
          <cell r="G2807" t="str">
            <v>Thomas Knyvett College</v>
          </cell>
          <cell r="H2807" t="str">
            <v>South East</v>
          </cell>
          <cell r="I2807" t="str">
            <v>Stanwell Road</v>
          </cell>
          <cell r="L2807" t="str">
            <v>Ashford</v>
          </cell>
          <cell r="M2807" t="str">
            <v>Surrey</v>
          </cell>
          <cell r="N2807" t="str">
            <v>TW15 3DU</v>
          </cell>
          <cell r="O2807" t="str">
            <v xml:space="preserve"> rhona.barnfield@thehoward.org</v>
          </cell>
          <cell r="P2807">
            <v>40522</v>
          </cell>
        </row>
        <row r="2808">
          <cell r="A2808">
            <v>8694031</v>
          </cell>
          <cell r="B2808">
            <v>110048</v>
          </cell>
          <cell r="C2808">
            <v>869</v>
          </cell>
          <cell r="D2808" t="str">
            <v>West Berkshire</v>
          </cell>
          <cell r="E2808">
            <v>4031</v>
          </cell>
          <cell r="F2808" t="str">
            <v>Bukky Sawyerr</v>
          </cell>
          <cell r="G2808" t="str">
            <v>The Willink School</v>
          </cell>
          <cell r="H2808" t="str">
            <v>South East</v>
          </cell>
          <cell r="I2808" t="str">
            <v>School Lane</v>
          </cell>
          <cell r="J2808" t="str">
            <v>Burghfield Common</v>
          </cell>
          <cell r="L2808" t="str">
            <v>Reading</v>
          </cell>
          <cell r="M2808" t="str">
            <v>Berkshire</v>
          </cell>
          <cell r="N2808" t="str">
            <v>RG7 3XJ</v>
          </cell>
          <cell r="O2808" t="str">
            <v>pfry1@westberks.org</v>
          </cell>
        </row>
        <row r="2809">
          <cell r="A2809">
            <v>8662002</v>
          </cell>
          <cell r="B2809">
            <v>131566</v>
          </cell>
          <cell r="C2809">
            <v>866</v>
          </cell>
          <cell r="D2809" t="str">
            <v>Swindon</v>
          </cell>
          <cell r="E2809">
            <v>2002</v>
          </cell>
          <cell r="F2809" t="str">
            <v>Nigel Mills</v>
          </cell>
          <cell r="G2809" t="str">
            <v>Drove Primary School</v>
          </cell>
          <cell r="H2809" t="str">
            <v>South West</v>
          </cell>
          <cell r="I2809" t="str">
            <v>Drove Road</v>
          </cell>
          <cell r="L2809" t="str">
            <v>Swindon</v>
          </cell>
          <cell r="M2809" t="str">
            <v>Wiltshire</v>
          </cell>
          <cell r="N2809" t="str">
            <v>SN1 3AH</v>
          </cell>
          <cell r="O2809" t="str">
            <v>nick_capstick@hotmail.com</v>
          </cell>
          <cell r="P2809">
            <v>40865</v>
          </cell>
        </row>
        <row r="2810">
          <cell r="A2810">
            <v>8262337</v>
          </cell>
          <cell r="B2810">
            <v>110395</v>
          </cell>
          <cell r="C2810">
            <v>826</v>
          </cell>
          <cell r="D2810" t="str">
            <v>Milton Keynes</v>
          </cell>
          <cell r="E2810">
            <v>2337</v>
          </cell>
          <cell r="F2810" t="str">
            <v>Nicky Edwards</v>
          </cell>
          <cell r="G2810" t="str">
            <v>Green Park School</v>
          </cell>
          <cell r="H2810" t="str">
            <v>South East</v>
          </cell>
          <cell r="I2810" t="str">
            <v>Green Park Drive</v>
          </cell>
          <cell r="L2810" t="str">
            <v>Newport Pagnell</v>
          </cell>
          <cell r="M2810" t="str">
            <v>Buckinghamshire</v>
          </cell>
          <cell r="N2810" t="str">
            <v>MK16 0NH</v>
          </cell>
          <cell r="O2810" t="str">
            <v>claire.worrall@milton-keynes.gov.uk</v>
          </cell>
        </row>
        <row r="2811">
          <cell r="A2811">
            <v>3053000</v>
          </cell>
          <cell r="B2811">
            <v>101643</v>
          </cell>
          <cell r="C2811">
            <v>305</v>
          </cell>
          <cell r="D2811" t="str">
            <v>Bromley</v>
          </cell>
          <cell r="E2811">
            <v>3000</v>
          </cell>
          <cell r="F2811" t="str">
            <v>Sheila Longstaff</v>
          </cell>
          <cell r="G2811" t="str">
            <v>Keston C of E Primary School</v>
          </cell>
          <cell r="H2811" t="str">
            <v>London</v>
          </cell>
          <cell r="I2811" t="str">
            <v>Lakes Road</v>
          </cell>
          <cell r="L2811" t="str">
            <v>Keston</v>
          </cell>
          <cell r="M2811" t="str">
            <v>Kent</v>
          </cell>
          <cell r="N2811" t="str">
            <v>BR2 6BN</v>
          </cell>
          <cell r="O2811" t="str">
            <v>julia.evison@keston.bromley.sch.uk</v>
          </cell>
          <cell r="P2811">
            <v>40710</v>
          </cell>
        </row>
        <row r="2812">
          <cell r="A2812">
            <v>9313044</v>
          </cell>
          <cell r="B2812">
            <v>123097</v>
          </cell>
          <cell r="C2812">
            <v>931</v>
          </cell>
          <cell r="D2812" t="str">
            <v>Oxfordshire</v>
          </cell>
          <cell r="E2812">
            <v>3044</v>
          </cell>
          <cell r="F2812" t="str">
            <v>Sarah Nairne</v>
          </cell>
          <cell r="G2812" t="str">
            <v>Hook Norton Church of England Primary School</v>
          </cell>
          <cell r="H2812" t="str">
            <v>South East</v>
          </cell>
          <cell r="I2812" t="str">
            <v>Sibford Road</v>
          </cell>
          <cell r="J2812" t="str">
            <v>Hook Norton</v>
          </cell>
          <cell r="L2812" t="str">
            <v>Banbury</v>
          </cell>
          <cell r="M2812" t="str">
            <v>Oxfordshire</v>
          </cell>
          <cell r="N2812" t="str">
            <v>OX15 5JS</v>
          </cell>
          <cell r="O2812" t="str">
            <v>headteacher.3044@hook-norton.oxon.sch.uk</v>
          </cell>
        </row>
        <row r="2813">
          <cell r="A2813">
            <v>9165406</v>
          </cell>
          <cell r="B2813">
            <v>115757</v>
          </cell>
          <cell r="C2813">
            <v>916</v>
          </cell>
          <cell r="D2813" t="str">
            <v>Gloucestershire</v>
          </cell>
          <cell r="E2813">
            <v>5406</v>
          </cell>
          <cell r="F2813" t="str">
            <v>Nigel Mills</v>
          </cell>
          <cell r="G2813" t="str">
            <v>Katharine Lady Berkeley's School</v>
          </cell>
          <cell r="H2813" t="str">
            <v>South West</v>
          </cell>
          <cell r="I2813" t="str">
            <v>Kingswood Road</v>
          </cell>
          <cell r="L2813" t="str">
            <v>Wotton-under-Edge</v>
          </cell>
          <cell r="M2813" t="str">
            <v>Gloucestershire</v>
          </cell>
          <cell r="N2813" t="str">
            <v>GL12 8RB</v>
          </cell>
          <cell r="O2813" t="str">
            <v>aharris@klbschool.org.uk</v>
          </cell>
          <cell r="P2813">
            <v>40641</v>
          </cell>
        </row>
        <row r="2814">
          <cell r="A2814">
            <v>8883720</v>
          </cell>
          <cell r="B2814">
            <v>119632</v>
          </cell>
          <cell r="C2814">
            <v>888</v>
          </cell>
          <cell r="D2814" t="str">
            <v>Lancashire</v>
          </cell>
          <cell r="E2814">
            <v>3720</v>
          </cell>
          <cell r="F2814" t="str">
            <v>Viv Clutton</v>
          </cell>
          <cell r="G2814" t="str">
            <v>Sacred Heart Catholic Primary School, Thornton Cleveleys</v>
          </cell>
          <cell r="H2814" t="str">
            <v>North West</v>
          </cell>
          <cell r="I2814" t="str">
            <v>Heys Street</v>
          </cell>
          <cell r="J2814" t="str">
            <v>Thornton</v>
          </cell>
          <cell r="L2814" t="str">
            <v>Thornton-Cleveleys</v>
          </cell>
          <cell r="M2814" t="str">
            <v>Lancashire</v>
          </cell>
          <cell r="N2814" t="str">
            <v>FY5 4HL</v>
          </cell>
          <cell r="O2814" t="str">
            <v>head@sacredheart-thornton.lancs.sch.uk</v>
          </cell>
        </row>
        <row r="2815">
          <cell r="A2815">
            <v>8934387</v>
          </cell>
          <cell r="B2815">
            <v>123566</v>
          </cell>
          <cell r="C2815">
            <v>893</v>
          </cell>
          <cell r="D2815" t="str">
            <v>Shropshire</v>
          </cell>
          <cell r="E2815">
            <v>4387</v>
          </cell>
          <cell r="F2815" t="str">
            <v>Sally Gardiner</v>
          </cell>
          <cell r="G2815" t="str">
            <v>The Lakelands School, Sports and Language College</v>
          </cell>
          <cell r="H2815" t="str">
            <v>West Midlands</v>
          </cell>
          <cell r="I2815" t="str">
            <v>Oswestry Road</v>
          </cell>
          <cell r="L2815" t="str">
            <v>Ellesmere</v>
          </cell>
          <cell r="M2815" t="str">
            <v>Shropshire</v>
          </cell>
          <cell r="N2815" t="str">
            <v>SY12 0EA</v>
          </cell>
          <cell r="O2815" t="str">
            <v>isanders@lsgfl.net</v>
          </cell>
          <cell r="P2815">
            <v>41032</v>
          </cell>
        </row>
        <row r="2816">
          <cell r="A2816">
            <v>9264031</v>
          </cell>
          <cell r="B2816">
            <v>121158</v>
          </cell>
          <cell r="C2816">
            <v>926</v>
          </cell>
          <cell r="D2816" t="str">
            <v>Norfolk</v>
          </cell>
          <cell r="E2816">
            <v>4031</v>
          </cell>
          <cell r="F2816" t="str">
            <v>Yvonne Reddington</v>
          </cell>
          <cell r="G2816" t="str">
            <v>Wayland Community High School</v>
          </cell>
          <cell r="H2816" t="str">
            <v>East of England</v>
          </cell>
          <cell r="I2816" t="str">
            <v>Merton Road</v>
          </cell>
          <cell r="J2816" t="str">
            <v>Watton</v>
          </cell>
          <cell r="L2816" t="str">
            <v>Thetford</v>
          </cell>
          <cell r="M2816" t="str">
            <v>Norfolk</v>
          </cell>
          <cell r="N2816" t="str">
            <v>IP25 6BA</v>
          </cell>
          <cell r="O2816" t="str">
            <v>head@wayland.norfolk.sch.uk</v>
          </cell>
          <cell r="P2816">
            <v>40737</v>
          </cell>
        </row>
        <row r="2817">
          <cell r="A2817">
            <v>8684046</v>
          </cell>
          <cell r="B2817">
            <v>110057</v>
          </cell>
          <cell r="C2817">
            <v>868</v>
          </cell>
          <cell r="D2817" t="str">
            <v>Windsor and Maidenhead</v>
          </cell>
          <cell r="E2817">
            <v>4046</v>
          </cell>
          <cell r="F2817" t="str">
            <v>Darren Francis</v>
          </cell>
          <cell r="G2817" t="str">
            <v>Windsor Girls' School</v>
          </cell>
          <cell r="H2817" t="str">
            <v>South East</v>
          </cell>
          <cell r="I2817" t="str">
            <v>Imperial Road</v>
          </cell>
          <cell r="L2817" t="str">
            <v>Windsor</v>
          </cell>
          <cell r="M2817" t="str">
            <v>Berkshire</v>
          </cell>
          <cell r="N2817" t="str">
            <v>SL4 3RT</v>
          </cell>
        </row>
        <row r="2818">
          <cell r="A2818">
            <v>8414287</v>
          </cell>
          <cell r="B2818">
            <v>114322</v>
          </cell>
          <cell r="C2818">
            <v>841</v>
          </cell>
          <cell r="D2818" t="str">
            <v>Darlington</v>
          </cell>
          <cell r="E2818">
            <v>4287</v>
          </cell>
          <cell r="F2818" t="str">
            <v>Anita Turnbull</v>
          </cell>
          <cell r="G2818" t="str">
            <v>Longfield School</v>
          </cell>
          <cell r="H2818" t="str">
            <v>North East</v>
          </cell>
          <cell r="I2818" t="str">
            <v>Longfield Road</v>
          </cell>
          <cell r="L2818" t="str">
            <v>Darlington</v>
          </cell>
          <cell r="M2818" t="str">
            <v>County Durham</v>
          </cell>
          <cell r="N2818" t="str">
            <v>DL3 0HT</v>
          </cell>
          <cell r="O2818" t="str">
            <v>kcotgrave@longfield.darlington.sch.uk</v>
          </cell>
          <cell r="P2818">
            <v>40608</v>
          </cell>
        </row>
        <row r="2819">
          <cell r="A2819">
            <v>3065405</v>
          </cell>
          <cell r="B2819">
            <v>101823</v>
          </cell>
          <cell r="C2819">
            <v>306</v>
          </cell>
          <cell r="D2819" t="str">
            <v>Croydon</v>
          </cell>
          <cell r="E2819">
            <v>5405</v>
          </cell>
          <cell r="F2819" t="str">
            <v>Martin Rowley</v>
          </cell>
          <cell r="G2819" t="str">
            <v>Coloma Convent Girls' School</v>
          </cell>
          <cell r="H2819" t="str">
            <v>London</v>
          </cell>
          <cell r="I2819" t="str">
            <v>Upper Shirley Road</v>
          </cell>
          <cell r="L2819" t="str">
            <v>Croydon</v>
          </cell>
          <cell r="M2819" t="str">
            <v>Surrey</v>
          </cell>
          <cell r="N2819" t="str">
            <v>CR9 5AS</v>
          </cell>
          <cell r="O2819" t="str">
            <v>mmmartin@blueyonder.co.uk</v>
          </cell>
          <cell r="P2819">
            <v>40896</v>
          </cell>
        </row>
        <row r="2820">
          <cell r="A2820">
            <v>9383341</v>
          </cell>
          <cell r="B2820">
            <v>126047</v>
          </cell>
          <cell r="C2820">
            <v>938</v>
          </cell>
          <cell r="D2820" t="str">
            <v>West Sussex</v>
          </cell>
          <cell r="E2820">
            <v>3341</v>
          </cell>
          <cell r="F2820" t="str">
            <v>Sarah Mitchell</v>
          </cell>
          <cell r="G2820" t="str">
            <v>St Andrew's CofE Primary School</v>
          </cell>
          <cell r="H2820" t="str">
            <v>South East</v>
          </cell>
          <cell r="I2820" t="str">
            <v>Weald Drive</v>
          </cell>
          <cell r="J2820" t="str">
            <v>Furnace Green</v>
          </cell>
          <cell r="L2820" t="str">
            <v>Crawley</v>
          </cell>
          <cell r="M2820" t="str">
            <v>West Sussex</v>
          </cell>
          <cell r="N2820" t="str">
            <v>RH10 6NU</v>
          </cell>
        </row>
        <row r="2821">
          <cell r="A2821">
            <v>8815218</v>
          </cell>
          <cell r="B2821">
            <v>115258</v>
          </cell>
          <cell r="C2821">
            <v>881</v>
          </cell>
          <cell r="D2821" t="str">
            <v>Essex</v>
          </cell>
          <cell r="E2821">
            <v>5218</v>
          </cell>
          <cell r="F2821" t="str">
            <v>Claire Ivie</v>
          </cell>
          <cell r="G2821" t="str">
            <v>Hutton All Saints' Church of England Primary School</v>
          </cell>
          <cell r="H2821" t="str">
            <v>East of England</v>
          </cell>
          <cell r="I2821" t="str">
            <v>Claughton Way</v>
          </cell>
          <cell r="J2821" t="str">
            <v>Hutton</v>
          </cell>
          <cell r="L2821" t="str">
            <v>Brentwood</v>
          </cell>
          <cell r="M2821" t="str">
            <v>Essex</v>
          </cell>
          <cell r="N2821" t="str">
            <v>CM13 1JW</v>
          </cell>
          <cell r="O2821" t="str">
            <v>lindadean@huttonallsaints.essex.sch.uk</v>
          </cell>
          <cell r="P2821">
            <v>40721</v>
          </cell>
        </row>
        <row r="2822">
          <cell r="A2822">
            <v>9373041</v>
          </cell>
          <cell r="B2822">
            <v>125640</v>
          </cell>
          <cell r="C2822">
            <v>937</v>
          </cell>
          <cell r="D2822" t="str">
            <v>Warwickshire</v>
          </cell>
          <cell r="E2822">
            <v>3041</v>
          </cell>
          <cell r="F2822" t="str">
            <v>Julia Waterhouse</v>
          </cell>
          <cell r="G2822" t="str">
            <v>Mappleborough Green CofE Primary School</v>
          </cell>
          <cell r="H2822" t="str">
            <v>West Midlands</v>
          </cell>
          <cell r="I2822" t="str">
            <v>Henley Road</v>
          </cell>
          <cell r="J2822" t="str">
            <v>Mappleborough Green</v>
          </cell>
          <cell r="L2822" t="str">
            <v>Studley</v>
          </cell>
          <cell r="M2822" t="str">
            <v>Warwickshire</v>
          </cell>
          <cell r="N2822" t="str">
            <v>B80 7DR</v>
          </cell>
          <cell r="O2822" t="str">
            <v>head3041@we-learn.com</v>
          </cell>
        </row>
        <row r="2823">
          <cell r="A2823">
            <v>8884405</v>
          </cell>
          <cell r="B2823">
            <v>119770</v>
          </cell>
          <cell r="C2823">
            <v>888</v>
          </cell>
          <cell r="D2823" t="str">
            <v>Lancashire</v>
          </cell>
          <cell r="E2823">
            <v>4405</v>
          </cell>
          <cell r="F2823" t="str">
            <v>Viv Clutton</v>
          </cell>
          <cell r="G2823" t="str">
            <v>Central Lancaster High School</v>
          </cell>
          <cell r="H2823" t="str">
            <v>North West</v>
          </cell>
          <cell r="I2823" t="str">
            <v>Crag Road</v>
          </cell>
          <cell r="L2823" t="str">
            <v>Lancaster</v>
          </cell>
          <cell r="M2823" t="str">
            <v>Lancashire</v>
          </cell>
          <cell r="N2823" t="str">
            <v>LA1 3LS</v>
          </cell>
          <cell r="O2823" t="str">
            <v>head@lancasterhigh.lancs.sch.uk</v>
          </cell>
        </row>
        <row r="2824">
          <cell r="A2824">
            <v>3314800</v>
          </cell>
          <cell r="B2824">
            <v>103745</v>
          </cell>
          <cell r="C2824">
            <v>331</v>
          </cell>
          <cell r="D2824" t="str">
            <v>Coventry</v>
          </cell>
          <cell r="E2824">
            <v>4800</v>
          </cell>
          <cell r="F2824" t="str">
            <v>Beverley Samuel</v>
          </cell>
          <cell r="G2824" t="str">
            <v>The Coventry Blue Coat Church of England School and Music College</v>
          </cell>
          <cell r="H2824" t="str">
            <v>West Midlands</v>
          </cell>
          <cell r="I2824" t="str">
            <v>Terry Road</v>
          </cell>
          <cell r="L2824" t="str">
            <v>Coventry</v>
          </cell>
          <cell r="M2824" t="str">
            <v>West Midlands</v>
          </cell>
          <cell r="N2824" t="str">
            <v>CV1 2BA</v>
          </cell>
          <cell r="O2824" t="str">
            <v>julie.roberts11@virgin.net</v>
          </cell>
          <cell r="P2824">
            <v>40378</v>
          </cell>
        </row>
        <row r="2825">
          <cell r="A2825">
            <v>8004108</v>
          </cell>
          <cell r="B2825">
            <v>109293</v>
          </cell>
          <cell r="C2825">
            <v>800</v>
          </cell>
          <cell r="D2825" t="str">
            <v>Bath and North East Somerset</v>
          </cell>
          <cell r="E2825">
            <v>4108</v>
          </cell>
          <cell r="G2825" t="str">
            <v>Culverhay School</v>
          </cell>
          <cell r="H2825" t="str">
            <v>South West</v>
          </cell>
          <cell r="I2825" t="str">
            <v>Rush Hill</v>
          </cell>
          <cell r="L2825" t="str">
            <v>Bath</v>
          </cell>
          <cell r="M2825" t="str">
            <v>Somerset</v>
          </cell>
          <cell r="N2825" t="str">
            <v>BA2 2QL</v>
          </cell>
          <cell r="O2825" t="str">
            <v>rthomson@culverhay.bathnes.sch.uk</v>
          </cell>
        </row>
        <row r="2826">
          <cell r="A2826">
            <v>9375404</v>
          </cell>
          <cell r="B2826">
            <v>125768</v>
          </cell>
          <cell r="C2826">
            <v>937</v>
          </cell>
          <cell r="D2826" t="str">
            <v>Warwickshire</v>
          </cell>
          <cell r="E2826">
            <v>5404</v>
          </cell>
          <cell r="F2826" t="str">
            <v>Carla Spink</v>
          </cell>
          <cell r="G2826" t="str">
            <v>Queen Elizabeth School</v>
          </cell>
          <cell r="H2826" t="str">
            <v>West Midlands</v>
          </cell>
          <cell r="I2826" t="str">
            <v>Witherley Road</v>
          </cell>
          <cell r="L2826" t="str">
            <v>Atherstone</v>
          </cell>
          <cell r="M2826" t="str">
            <v>Warwickshire</v>
          </cell>
          <cell r="N2826" t="str">
            <v>CV9 1LZ</v>
          </cell>
          <cell r="O2826" t="str">
            <v>anthony.wilmot@queenelizabeth.warwickshire.sch.uk</v>
          </cell>
        </row>
        <row r="2827">
          <cell r="A2827">
            <v>9314021</v>
          </cell>
          <cell r="B2827">
            <v>123232</v>
          </cell>
          <cell r="C2827">
            <v>931</v>
          </cell>
          <cell r="D2827" t="str">
            <v>Oxfordshire</v>
          </cell>
          <cell r="E2827">
            <v>4021</v>
          </cell>
          <cell r="F2827" t="str">
            <v>Sarah Nairne</v>
          </cell>
          <cell r="G2827" t="str">
            <v>Banbury School</v>
          </cell>
          <cell r="H2827" t="str">
            <v>South East</v>
          </cell>
          <cell r="I2827" t="str">
            <v>Ruskin Road</v>
          </cell>
          <cell r="L2827" t="str">
            <v>Banbury</v>
          </cell>
          <cell r="M2827" t="str">
            <v>Oxfordshire</v>
          </cell>
          <cell r="N2827" t="str">
            <v>OX16 9HY</v>
          </cell>
          <cell r="O2827" t="str">
            <v>fbhammans@banbury.oxon.sch.uk</v>
          </cell>
          <cell r="P2827">
            <v>40651</v>
          </cell>
        </row>
        <row r="2828">
          <cell r="A2828">
            <v>3844042</v>
          </cell>
          <cell r="B2828">
            <v>108292</v>
          </cell>
          <cell r="C2828">
            <v>384</v>
          </cell>
          <cell r="D2828" t="str">
            <v>Wakefield</v>
          </cell>
          <cell r="E2828">
            <v>4042</v>
          </cell>
          <cell r="F2828" t="str">
            <v>Glyn Newton</v>
          </cell>
          <cell r="G2828" t="str">
            <v>Featherstone Technology College</v>
          </cell>
          <cell r="H2828" t="str">
            <v>Yorkshire and the Humber</v>
          </cell>
          <cell r="I2828" t="str">
            <v>Pontefract Road</v>
          </cell>
          <cell r="J2828" t="str">
            <v>Purston</v>
          </cell>
          <cell r="K2828" t="str">
            <v>Featherstone</v>
          </cell>
          <cell r="L2828" t="str">
            <v>Pontefract</v>
          </cell>
          <cell r="M2828" t="str">
            <v>West Yorkshire</v>
          </cell>
          <cell r="N2828" t="str">
            <v>WF7 5AJ</v>
          </cell>
          <cell r="O2828" t="str">
            <v>admin@featherstone.wakefield.sch.uk</v>
          </cell>
          <cell r="P2828">
            <v>40711</v>
          </cell>
        </row>
        <row r="2829">
          <cell r="A2829">
            <v>8414288</v>
          </cell>
          <cell r="B2829">
            <v>114323</v>
          </cell>
          <cell r="C2829">
            <v>841</v>
          </cell>
          <cell r="D2829" t="str">
            <v>Darlington</v>
          </cell>
          <cell r="E2829">
            <v>4288</v>
          </cell>
          <cell r="F2829" t="str">
            <v>Jane Moore</v>
          </cell>
          <cell r="G2829" t="str">
            <v>Hummersknott School and Language College</v>
          </cell>
          <cell r="H2829" t="str">
            <v>North East</v>
          </cell>
          <cell r="I2829" t="str">
            <v>Edinburgh Drive</v>
          </cell>
          <cell r="L2829" t="str">
            <v>Darlington</v>
          </cell>
          <cell r="M2829" t="str">
            <v>County Durham</v>
          </cell>
          <cell r="N2829" t="str">
            <v>DL3 8AR</v>
          </cell>
          <cell r="O2829" t="str">
            <v>shw@hummersknott.org.uk</v>
          </cell>
          <cell r="P2829">
            <v>40613</v>
          </cell>
        </row>
        <row r="2830">
          <cell r="A2830">
            <v>3304323</v>
          </cell>
          <cell r="B2830">
            <v>103524</v>
          </cell>
          <cell r="C2830">
            <v>330</v>
          </cell>
          <cell r="D2830" t="str">
            <v>Birmingham</v>
          </cell>
          <cell r="E2830">
            <v>4323</v>
          </cell>
          <cell r="F2830" t="str">
            <v>Stephen Bagnall</v>
          </cell>
          <cell r="G2830" t="str">
            <v>Park View School</v>
          </cell>
          <cell r="H2830" t="str">
            <v>West Midlands</v>
          </cell>
          <cell r="I2830" t="str">
            <v>Naseby Road</v>
          </cell>
          <cell r="J2830" t="str">
            <v>Alum Rock</v>
          </cell>
          <cell r="L2830" t="str">
            <v>Birmingham</v>
          </cell>
          <cell r="M2830" t="str">
            <v>West Midlands</v>
          </cell>
          <cell r="N2830" t="str">
            <v>B8 3HG</v>
          </cell>
          <cell r="O2830" t="str">
            <v>lindseyclark@parkview.bham.sch.uk</v>
          </cell>
          <cell r="P2830">
            <v>40708</v>
          </cell>
        </row>
        <row r="2831">
          <cell r="A2831">
            <v>3135401</v>
          </cell>
          <cell r="B2831">
            <v>102545</v>
          </cell>
          <cell r="C2831">
            <v>313</v>
          </cell>
          <cell r="D2831" t="str">
            <v>Hounslow</v>
          </cell>
          <cell r="E2831">
            <v>5401</v>
          </cell>
          <cell r="F2831" t="str">
            <v>Sheila Longstaff</v>
          </cell>
          <cell r="G2831" t="str">
            <v>Gunnersbury Catholic School</v>
          </cell>
          <cell r="H2831" t="str">
            <v>London</v>
          </cell>
          <cell r="I2831" t="str">
            <v>The Ride</v>
          </cell>
          <cell r="J2831" t="str">
            <v>Boston Manor Road</v>
          </cell>
          <cell r="L2831" t="str">
            <v>Brentford</v>
          </cell>
          <cell r="N2831" t="str">
            <v>TW8 9LB</v>
          </cell>
          <cell r="O2831" t="str">
            <v>headteacher@gunnersbury.hounslow.sch.uk</v>
          </cell>
        </row>
        <row r="2832">
          <cell r="A2832">
            <v>8813244</v>
          </cell>
          <cell r="B2832">
            <v>115129</v>
          </cell>
          <cell r="C2832">
            <v>881</v>
          </cell>
          <cell r="D2832" t="str">
            <v>Essex</v>
          </cell>
          <cell r="E2832">
            <v>3244</v>
          </cell>
          <cell r="F2832" t="str">
            <v>Claire Ivie</v>
          </cell>
          <cell r="G2832" t="str">
            <v>Elsenham Church of England Voluntary Controlled Primary School</v>
          </cell>
          <cell r="H2832" t="str">
            <v>East of England</v>
          </cell>
          <cell r="I2832" t="str">
            <v>High Street</v>
          </cell>
          <cell r="J2832" t="str">
            <v>Elsenham</v>
          </cell>
          <cell r="L2832" t="str">
            <v>Bishop's Stortford</v>
          </cell>
          <cell r="M2832" t="str">
            <v>Hertfordshire</v>
          </cell>
          <cell r="N2832" t="str">
            <v>CM22 6DD</v>
          </cell>
          <cell r="O2832" t="str">
            <v>headteacher@elsenham.essex.sch.uk</v>
          </cell>
        </row>
        <row r="2833">
          <cell r="A2833">
            <v>3102100</v>
          </cell>
          <cell r="B2833">
            <v>102226</v>
          </cell>
          <cell r="C2833">
            <v>310</v>
          </cell>
          <cell r="D2833" t="str">
            <v>Harrow</v>
          </cell>
          <cell r="E2833">
            <v>2100</v>
          </cell>
          <cell r="F2833" t="str">
            <v>Sheila Longstaff</v>
          </cell>
          <cell r="G2833" t="str">
            <v>Whitchurch First School</v>
          </cell>
          <cell r="H2833" t="str">
            <v>London</v>
          </cell>
          <cell r="I2833" t="str">
            <v>Wemborough Road</v>
          </cell>
          <cell r="L2833" t="str">
            <v>Stanmore</v>
          </cell>
          <cell r="N2833" t="str">
            <v>HA7 2EQ</v>
          </cell>
          <cell r="O2833" t="str">
            <v>awinstrom.310@lgflmail.org</v>
          </cell>
          <cell r="P2833">
            <v>40640</v>
          </cell>
        </row>
        <row r="2834">
          <cell r="A2834">
            <v>8505201</v>
          </cell>
          <cell r="B2834">
            <v>116481</v>
          </cell>
          <cell r="C2834">
            <v>850</v>
          </cell>
          <cell r="D2834" t="str">
            <v>Hampshire</v>
          </cell>
          <cell r="E2834">
            <v>5201</v>
          </cell>
          <cell r="F2834" t="str">
            <v>Tahamina Khan</v>
          </cell>
          <cell r="G2834" t="str">
            <v>The Priory Primary School</v>
          </cell>
          <cell r="H2834" t="str">
            <v>South East</v>
          </cell>
          <cell r="I2834" t="str">
            <v>Pamber End</v>
          </cell>
          <cell r="L2834" t="str">
            <v>Tadley</v>
          </cell>
          <cell r="M2834" t="str">
            <v>Hampshire</v>
          </cell>
          <cell r="N2834" t="str">
            <v>RG26 5QD</v>
          </cell>
          <cell r="O2834" t="str">
            <v>suzanne.kelly@priory.hants.sch.uk</v>
          </cell>
          <cell r="P2834">
            <v>40463</v>
          </cell>
        </row>
        <row r="2835">
          <cell r="A2835">
            <v>9084150</v>
          </cell>
          <cell r="B2835">
            <v>112045</v>
          </cell>
          <cell r="C2835">
            <v>908</v>
          </cell>
          <cell r="D2835" t="str">
            <v>Cornwall</v>
          </cell>
          <cell r="E2835">
            <v>4150</v>
          </cell>
          <cell r="F2835" t="str">
            <v>Theresa Oddelm</v>
          </cell>
          <cell r="G2835" t="str">
            <v>Budehaven Community School</v>
          </cell>
          <cell r="H2835" t="str">
            <v>South West</v>
          </cell>
          <cell r="I2835" t="str">
            <v>Valley Road</v>
          </cell>
          <cell r="L2835" t="str">
            <v>Bude</v>
          </cell>
          <cell r="M2835" t="str">
            <v>Cornwall</v>
          </cell>
          <cell r="N2835" t="str">
            <v>EX23 8DQ</v>
          </cell>
          <cell r="O2835" t="str">
            <v>dbb@budehaven.cornwall.sch.uk</v>
          </cell>
        </row>
        <row r="2836">
          <cell r="A2836">
            <v>9363380</v>
          </cell>
          <cell r="B2836">
            <v>125194</v>
          </cell>
          <cell r="C2836">
            <v>936</v>
          </cell>
          <cell r="D2836" t="str">
            <v>Surrey</v>
          </cell>
          <cell r="E2836">
            <v>3380</v>
          </cell>
          <cell r="F2836" t="str">
            <v>Gabriela Grimley</v>
          </cell>
          <cell r="G2836" t="str">
            <v>St Mary's C of E Junior school</v>
          </cell>
          <cell r="H2836" t="str">
            <v>South East</v>
          </cell>
          <cell r="I2836" t="str">
            <v>Silkham Road</v>
          </cell>
          <cell r="L2836" t="str">
            <v>Oxted</v>
          </cell>
          <cell r="M2836" t="str">
            <v>Surrey</v>
          </cell>
          <cell r="N2836" t="str">
            <v>RH8 0NP</v>
          </cell>
          <cell r="O2836" t="str">
            <v>e.m.perryer@ntlworld.com</v>
          </cell>
        </row>
        <row r="2837">
          <cell r="A2837">
            <v>3942020</v>
          </cell>
          <cell r="B2837">
            <v>108764</v>
          </cell>
          <cell r="C2837">
            <v>394</v>
          </cell>
          <cell r="D2837" t="str">
            <v>Sunderland</v>
          </cell>
          <cell r="E2837">
            <v>2020</v>
          </cell>
          <cell r="F2837" t="str">
            <v>Pat Murison</v>
          </cell>
          <cell r="G2837" t="str">
            <v>Fulwell Infant School</v>
          </cell>
          <cell r="H2837" t="str">
            <v>North East</v>
          </cell>
          <cell r="I2837" t="str">
            <v>Ebdon Lane</v>
          </cell>
          <cell r="J2837" t="str">
            <v>Fulwell</v>
          </cell>
          <cell r="L2837" t="str">
            <v>Sunderland</v>
          </cell>
          <cell r="M2837" t="str">
            <v>Tyne and Wear</v>
          </cell>
          <cell r="N2837" t="str">
            <v>SR6 8ED</v>
          </cell>
          <cell r="O2837" t="str">
            <v>wendy.angus@schools.sunderland.gov.uk</v>
          </cell>
          <cell r="P2837">
            <v>41110</v>
          </cell>
        </row>
        <row r="2838">
          <cell r="A2838">
            <v>8865226</v>
          </cell>
          <cell r="B2838">
            <v>118371</v>
          </cell>
          <cell r="C2838">
            <v>886</v>
          </cell>
          <cell r="D2838" t="str">
            <v>Kent</v>
          </cell>
          <cell r="E2838">
            <v>5226</v>
          </cell>
          <cell r="F2838" t="str">
            <v>Nicky Edwards</v>
          </cell>
          <cell r="G2838" t="str">
            <v>Willesborough Junior School</v>
          </cell>
          <cell r="H2838" t="str">
            <v>South East</v>
          </cell>
          <cell r="I2838" t="str">
            <v>Highfield Road</v>
          </cell>
          <cell r="J2838" t="str">
            <v>Willesborough</v>
          </cell>
          <cell r="L2838" t="str">
            <v>Ashford</v>
          </cell>
          <cell r="M2838" t="str">
            <v>Kent</v>
          </cell>
          <cell r="N2838" t="str">
            <v>TN24 0JU</v>
          </cell>
          <cell r="O2838" t="str">
            <v>headteacher@willesborough-js.kent.sch.uk</v>
          </cell>
        </row>
        <row r="2839">
          <cell r="A2839">
            <v>9192206</v>
          </cell>
          <cell r="B2839">
            <v>117212</v>
          </cell>
          <cell r="C2839">
            <v>919</v>
          </cell>
          <cell r="D2839" t="str">
            <v>Hertfordshire</v>
          </cell>
          <cell r="E2839">
            <v>2206</v>
          </cell>
          <cell r="F2839" t="str">
            <v>Joe Farrell</v>
          </cell>
          <cell r="G2839" t="str">
            <v>Wheatfields Junior Mixed School</v>
          </cell>
          <cell r="H2839" t="str">
            <v>East of England</v>
          </cell>
          <cell r="I2839" t="str">
            <v>Downes Road</v>
          </cell>
          <cell r="L2839" t="str">
            <v>St Albans</v>
          </cell>
          <cell r="M2839" t="str">
            <v>Hertfordshire</v>
          </cell>
          <cell r="N2839" t="str">
            <v>AL4 9NT</v>
          </cell>
          <cell r="O2839" t="str">
            <v>lyndonevans@hotmail.com</v>
          </cell>
        </row>
        <row r="2840">
          <cell r="A2840">
            <v>8812720</v>
          </cell>
          <cell r="B2840">
            <v>114967</v>
          </cell>
          <cell r="C2840">
            <v>881</v>
          </cell>
          <cell r="D2840" t="str">
            <v>Essex</v>
          </cell>
          <cell r="E2840">
            <v>2720</v>
          </cell>
          <cell r="F2840" t="str">
            <v>Claire Ivie</v>
          </cell>
          <cell r="G2840" t="str">
            <v>Clavering Primary School</v>
          </cell>
          <cell r="H2840" t="str">
            <v>East of England</v>
          </cell>
          <cell r="I2840" t="str">
            <v>Stortford Road</v>
          </cell>
          <cell r="J2840" t="str">
            <v>Clavering</v>
          </cell>
          <cell r="L2840" t="str">
            <v>Saffron Walden</v>
          </cell>
          <cell r="M2840" t="str">
            <v>Essex</v>
          </cell>
          <cell r="N2840" t="str">
            <v>CB11 4PE</v>
          </cell>
          <cell r="O2840" t="str">
            <v>chezjules@hall00.wanadoo.co.uk</v>
          </cell>
        </row>
        <row r="2841">
          <cell r="A2841">
            <v>8522401</v>
          </cell>
          <cell r="B2841">
            <v>131272</v>
          </cell>
          <cell r="C2841">
            <v>852</v>
          </cell>
          <cell r="D2841" t="str">
            <v>Southampton</v>
          </cell>
          <cell r="E2841">
            <v>2401</v>
          </cell>
          <cell r="F2841" t="str">
            <v>Lindsay Morris</v>
          </cell>
          <cell r="G2841" t="str">
            <v>Mansel Park Primary School</v>
          </cell>
          <cell r="H2841" t="str">
            <v>South East</v>
          </cell>
          <cell r="I2841" t="str">
            <v>Culver Close</v>
          </cell>
          <cell r="J2841" t="str">
            <v>Porlock Road</v>
          </cell>
          <cell r="K2841" t="str">
            <v>Millbrook</v>
          </cell>
          <cell r="L2841" t="str">
            <v>Southampton</v>
          </cell>
          <cell r="M2841" t="str">
            <v>Hampshire</v>
          </cell>
          <cell r="N2841" t="str">
            <v>SO16 9HZ</v>
          </cell>
          <cell r="O2841" t="str">
            <v>head@manselpark.net</v>
          </cell>
        </row>
        <row r="2842">
          <cell r="A2842">
            <v>8902220</v>
          </cell>
          <cell r="B2842">
            <v>119254</v>
          </cell>
          <cell r="C2842">
            <v>890</v>
          </cell>
          <cell r="D2842" t="str">
            <v>Blackpool</v>
          </cell>
          <cell r="E2842">
            <v>2220</v>
          </cell>
          <cell r="F2842" t="str">
            <v>Stuart Mepham</v>
          </cell>
          <cell r="G2842" t="str">
            <v>Thames Primary School</v>
          </cell>
          <cell r="H2842" t="str">
            <v>North West</v>
          </cell>
          <cell r="I2842" t="str">
            <v>Severn Road</v>
          </cell>
          <cell r="L2842" t="str">
            <v>Blackpool</v>
          </cell>
          <cell r="M2842" t="str">
            <v>Lancashire</v>
          </cell>
          <cell r="N2842" t="str">
            <v>FY4 1EE</v>
          </cell>
          <cell r="O2842" t="str">
            <v>tracy.harrison@thames.blackpool.sch.uk</v>
          </cell>
          <cell r="P2842">
            <v>41033</v>
          </cell>
        </row>
        <row r="2843">
          <cell r="A2843">
            <v>8512658</v>
          </cell>
          <cell r="B2843">
            <v>116190</v>
          </cell>
          <cell r="C2843">
            <v>851</v>
          </cell>
          <cell r="D2843" t="str">
            <v>Portsmouth</v>
          </cell>
          <cell r="E2843">
            <v>2658</v>
          </cell>
          <cell r="F2843" t="str">
            <v>Eric Mcewen</v>
          </cell>
          <cell r="G2843" t="str">
            <v>Northern Parade Junior School</v>
          </cell>
          <cell r="H2843" t="str">
            <v>South East</v>
          </cell>
          <cell r="I2843" t="str">
            <v>Doyle Avenue</v>
          </cell>
          <cell r="L2843" t="str">
            <v>Portsmouth</v>
          </cell>
          <cell r="M2843" t="str">
            <v>Hampshire</v>
          </cell>
          <cell r="N2843" t="str">
            <v>PO2 9NE</v>
          </cell>
        </row>
        <row r="2844">
          <cell r="A2844">
            <v>8237006</v>
          </cell>
          <cell r="B2844">
            <v>109736</v>
          </cell>
          <cell r="C2844">
            <v>823</v>
          </cell>
          <cell r="D2844" t="str">
            <v>Central Bedfordshire</v>
          </cell>
          <cell r="E2844">
            <v>7006</v>
          </cell>
          <cell r="F2844" t="str">
            <v>Bev Mullin</v>
          </cell>
          <cell r="G2844" t="str">
            <v>Weatherfield School</v>
          </cell>
          <cell r="H2844" t="str">
            <v>East of England</v>
          </cell>
          <cell r="I2844" t="str">
            <v>Brewers Hill Road</v>
          </cell>
          <cell r="L2844" t="str">
            <v>Dunstable</v>
          </cell>
          <cell r="M2844" t="str">
            <v>Bedfordshire</v>
          </cell>
          <cell r="N2844" t="str">
            <v>LU6 1AF</v>
          </cell>
          <cell r="O2844" t="str">
            <v>selmesj@weatherfield.cbeds.co.uk</v>
          </cell>
          <cell r="P2844">
            <v>40704</v>
          </cell>
        </row>
        <row r="2845">
          <cell r="A2845">
            <v>9334508</v>
          </cell>
          <cell r="B2845">
            <v>123893</v>
          </cell>
          <cell r="C2845">
            <v>933</v>
          </cell>
          <cell r="D2845" t="str">
            <v>Somerset</v>
          </cell>
          <cell r="E2845">
            <v>4508</v>
          </cell>
          <cell r="F2845" t="str">
            <v>Elizabeth Rouse</v>
          </cell>
          <cell r="G2845" t="str">
            <v>Wadham School</v>
          </cell>
          <cell r="H2845" t="str">
            <v>South West</v>
          </cell>
          <cell r="I2845" t="str">
            <v>Mount Pleasant</v>
          </cell>
          <cell r="L2845" t="str">
            <v>Crewkerne</v>
          </cell>
          <cell r="M2845" t="str">
            <v>Somerset</v>
          </cell>
          <cell r="N2845" t="str">
            <v>TA18 7NT</v>
          </cell>
          <cell r="O2845" t="str">
            <v>dderbyshire@educ.somerset.gov.uk</v>
          </cell>
          <cell r="P2845">
            <v>40640</v>
          </cell>
        </row>
        <row r="2846">
          <cell r="A2846">
            <v>3832475</v>
          </cell>
          <cell r="B2846">
            <v>107951</v>
          </cell>
          <cell r="C2846">
            <v>383</v>
          </cell>
          <cell r="D2846" t="str">
            <v>Leeds</v>
          </cell>
          <cell r="E2846">
            <v>2475</v>
          </cell>
          <cell r="F2846" t="str">
            <v>Bev Annables</v>
          </cell>
          <cell r="G2846" t="str">
            <v>Hunslet Moor Primary School</v>
          </cell>
          <cell r="H2846" t="str">
            <v>Yorkshire and the Humber</v>
          </cell>
          <cell r="I2846" t="str">
            <v>Fairford Avenue</v>
          </cell>
          <cell r="L2846" t="str">
            <v>Leeds</v>
          </cell>
          <cell r="M2846" t="str">
            <v>West Yorkshire</v>
          </cell>
          <cell r="N2846" t="str">
            <v>LS11 5EL</v>
          </cell>
          <cell r="O2846" t="str">
            <v>gilln07@leedslearning.net</v>
          </cell>
        </row>
        <row r="2847">
          <cell r="A2847">
            <v>3702120</v>
          </cell>
          <cell r="B2847">
            <v>106608</v>
          </cell>
          <cell r="C2847">
            <v>370</v>
          </cell>
          <cell r="D2847" t="str">
            <v>Barnsley</v>
          </cell>
          <cell r="E2847">
            <v>2120</v>
          </cell>
          <cell r="F2847" t="str">
            <v>Lisa Sargeant</v>
          </cell>
          <cell r="G2847" t="str">
            <v>Heather Garth Primary School</v>
          </cell>
          <cell r="H2847" t="str">
            <v>Yorkshire and the Humber</v>
          </cell>
          <cell r="I2847" t="str">
            <v>Billingley View</v>
          </cell>
          <cell r="J2847" t="str">
            <v>Bolton-on-Dearne</v>
          </cell>
          <cell r="L2847" t="str">
            <v>Rotherham</v>
          </cell>
          <cell r="M2847" t="str">
            <v>South Yorkshire</v>
          </cell>
          <cell r="N2847" t="str">
            <v>S63 8ES</v>
          </cell>
          <cell r="O2847" t="str">
            <v>a.wise@barnsley.org</v>
          </cell>
          <cell r="P2847">
            <v>41104</v>
          </cell>
        </row>
        <row r="2848">
          <cell r="A2848">
            <v>3303015</v>
          </cell>
          <cell r="B2848">
            <v>103403</v>
          </cell>
          <cell r="C2848">
            <v>330</v>
          </cell>
          <cell r="D2848" t="str">
            <v>Birmingham</v>
          </cell>
          <cell r="E2848">
            <v>3015</v>
          </cell>
          <cell r="F2848" t="str">
            <v>Carol Ions</v>
          </cell>
          <cell r="G2848" t="str">
            <v>St Mary's CofE Junior and Infant School (NC)</v>
          </cell>
          <cell r="H2848" t="str">
            <v>West Midlands</v>
          </cell>
          <cell r="I2848" t="str">
            <v>Hamstead Road</v>
          </cell>
          <cell r="J2848" t="str">
            <v>Handsworth</v>
          </cell>
          <cell r="L2848" t="str">
            <v>Birmingham</v>
          </cell>
          <cell r="M2848" t="str">
            <v>West Midlands</v>
          </cell>
          <cell r="N2848" t="str">
            <v>B20 2RW</v>
          </cell>
          <cell r="O2848" t="str">
            <v>ava.packer@stmryb20.bham.sch.uk</v>
          </cell>
          <cell r="P2848">
            <v>40858</v>
          </cell>
        </row>
        <row r="2849">
          <cell r="A2849">
            <v>9165204</v>
          </cell>
          <cell r="B2849">
            <v>115734</v>
          </cell>
          <cell r="C2849">
            <v>916</v>
          </cell>
          <cell r="D2849" t="str">
            <v>Gloucestershire</v>
          </cell>
          <cell r="E2849">
            <v>5204</v>
          </cell>
          <cell r="F2849" t="str">
            <v>Not yet assigned</v>
          </cell>
          <cell r="G2849" t="str">
            <v>Blue Coat Church of England Primary School</v>
          </cell>
          <cell r="H2849" t="str">
            <v>South West</v>
          </cell>
          <cell r="I2849" t="str">
            <v>Symn Lane</v>
          </cell>
          <cell r="L2849" t="str">
            <v>Wotton-under-Edge</v>
          </cell>
          <cell r="M2849" t="str">
            <v>Gloucestershire</v>
          </cell>
          <cell r="N2849" t="str">
            <v>GL12 7BD</v>
          </cell>
          <cell r="O2849" t="str">
            <v>head@bluecoat.gloucs.sch.uk</v>
          </cell>
        </row>
        <row r="2850">
          <cell r="A2850">
            <v>3302272</v>
          </cell>
          <cell r="B2850">
            <v>103306</v>
          </cell>
          <cell r="C2850">
            <v>330</v>
          </cell>
          <cell r="D2850" t="str">
            <v>Birmingham</v>
          </cell>
          <cell r="E2850">
            <v>2272</v>
          </cell>
          <cell r="F2850" t="str">
            <v>Alison Middleton</v>
          </cell>
          <cell r="G2850" t="str">
            <v>Chivenor Junior and Infant School</v>
          </cell>
          <cell r="H2850" t="str">
            <v>West Midlands</v>
          </cell>
          <cell r="I2850" t="str">
            <v>Farnborough Road</v>
          </cell>
          <cell r="J2850" t="str">
            <v>Castle Vale</v>
          </cell>
          <cell r="L2850" t="str">
            <v>Birmingham</v>
          </cell>
          <cell r="M2850" t="str">
            <v>West Midlands</v>
          </cell>
          <cell r="N2850" t="str">
            <v>B35 7JA</v>
          </cell>
          <cell r="O2850" t="str">
            <v>mlouca@chivenor.bham.sch.uk</v>
          </cell>
          <cell r="P2850">
            <v>41024</v>
          </cell>
        </row>
        <row r="2851">
          <cell r="A2851">
            <v>2054632</v>
          </cell>
          <cell r="B2851">
            <v>100364</v>
          </cell>
          <cell r="C2851">
            <v>205</v>
          </cell>
          <cell r="D2851" t="str">
            <v>Hammersmith and Fulham</v>
          </cell>
          <cell r="E2851">
            <v>4632</v>
          </cell>
          <cell r="F2851" t="str">
            <v>Sheila Longstaff</v>
          </cell>
          <cell r="G2851" t="str">
            <v>Lady Margaret School</v>
          </cell>
          <cell r="H2851" t="str">
            <v>London</v>
          </cell>
          <cell r="I2851" t="str">
            <v>Parson's Green</v>
          </cell>
          <cell r="L2851" t="str">
            <v>London</v>
          </cell>
          <cell r="N2851" t="str">
            <v>SW6 4UN</v>
          </cell>
          <cell r="O2851" t="str">
            <v>swoods@ladymargaret.lbhf.sch.uk</v>
          </cell>
          <cell r="P2851">
            <v>41037</v>
          </cell>
        </row>
        <row r="2852">
          <cell r="A2852">
            <v>8803618</v>
          </cell>
          <cell r="B2852">
            <v>113475</v>
          </cell>
          <cell r="C2852">
            <v>880</v>
          </cell>
          <cell r="D2852" t="str">
            <v>Torbay</v>
          </cell>
          <cell r="E2852">
            <v>3618</v>
          </cell>
          <cell r="F2852" t="str">
            <v>Theresa Oddelm</v>
          </cell>
          <cell r="G2852" t="str">
            <v>Torre Church of England Primary School</v>
          </cell>
          <cell r="H2852" t="str">
            <v>South West</v>
          </cell>
          <cell r="I2852" t="str">
            <v>Barton Road</v>
          </cell>
          <cell r="L2852" t="str">
            <v>Torquay</v>
          </cell>
          <cell r="M2852" t="str">
            <v>Devon</v>
          </cell>
          <cell r="N2852" t="str">
            <v>TQ1 4DN</v>
          </cell>
          <cell r="O2852" t="str">
            <v>nbridgewater@torre-primary.torbay.sch.uk</v>
          </cell>
          <cell r="P2852">
            <v>41208</v>
          </cell>
        </row>
        <row r="2853">
          <cell r="A2853">
            <v>8734045</v>
          </cell>
          <cell r="B2853">
            <v>110869</v>
          </cell>
          <cell r="C2853">
            <v>873</v>
          </cell>
          <cell r="D2853" t="str">
            <v>Cambridgeshire</v>
          </cell>
          <cell r="E2853">
            <v>4045</v>
          </cell>
          <cell r="F2853" t="str">
            <v>Shreena Patel</v>
          </cell>
          <cell r="G2853" t="str">
            <v>Cromwell Community College</v>
          </cell>
          <cell r="H2853" t="str">
            <v>East of England</v>
          </cell>
          <cell r="I2853" t="str">
            <v>Wenny Road</v>
          </cell>
          <cell r="L2853" t="str">
            <v>Chatteris</v>
          </cell>
          <cell r="M2853" t="str">
            <v>Cambridgeshire</v>
          </cell>
          <cell r="N2853" t="str">
            <v>PE16 6UU</v>
          </cell>
          <cell r="O2853" t="str">
            <v>principal@cromwell.cambs.sch.uk</v>
          </cell>
          <cell r="P2853">
            <v>40864</v>
          </cell>
        </row>
        <row r="2854">
          <cell r="A2854">
            <v>3913473</v>
          </cell>
          <cell r="B2854">
            <v>108497</v>
          </cell>
          <cell r="C2854">
            <v>391</v>
          </cell>
          <cell r="D2854" t="str">
            <v>Newcastle upon Tyne</v>
          </cell>
          <cell r="E2854">
            <v>3473</v>
          </cell>
          <cell r="F2854" t="str">
            <v>Lisa Sargeant</v>
          </cell>
          <cell r="G2854" t="str">
            <v>St Oswald's RC Primary School</v>
          </cell>
          <cell r="H2854" t="str">
            <v>North East</v>
          </cell>
          <cell r="I2854" t="str">
            <v>Hartford Road</v>
          </cell>
          <cell r="J2854" t="str">
            <v>Gosforth</v>
          </cell>
          <cell r="L2854" t="str">
            <v>Newcastle-upon-Tyne</v>
          </cell>
          <cell r="M2854" t="str">
            <v>Tyne and Wear</v>
          </cell>
          <cell r="N2854" t="str">
            <v>NE3 5LE</v>
          </cell>
          <cell r="O2854" t="str">
            <v>karen.holmes@stoswalds.newcastle.gov.uk</v>
          </cell>
        </row>
        <row r="2855">
          <cell r="A2855">
            <v>8034148</v>
          </cell>
          <cell r="B2855">
            <v>109321</v>
          </cell>
          <cell r="C2855">
            <v>803</v>
          </cell>
          <cell r="D2855" t="str">
            <v>South Gloucestershire</v>
          </cell>
          <cell r="E2855">
            <v>4148</v>
          </cell>
          <cell r="F2855" t="str">
            <v>Nigel Mills</v>
          </cell>
          <cell r="G2855" t="str">
            <v>Downend Comprehensive School</v>
          </cell>
          <cell r="H2855" t="str">
            <v>South West</v>
          </cell>
          <cell r="I2855" t="str">
            <v>Westerleigh Road</v>
          </cell>
          <cell r="J2855" t="str">
            <v>Downend</v>
          </cell>
          <cell r="L2855" t="str">
            <v>Bristol</v>
          </cell>
          <cell r="N2855" t="str">
            <v>BS16 6XA</v>
          </cell>
          <cell r="O2855" t="str">
            <v>w.roberts@downend.com</v>
          </cell>
          <cell r="P2855">
            <v>41198</v>
          </cell>
        </row>
        <row r="2856">
          <cell r="A2856">
            <v>8653244</v>
          </cell>
          <cell r="B2856">
            <v>131656</v>
          </cell>
          <cell r="C2856">
            <v>865</v>
          </cell>
          <cell r="D2856" t="str">
            <v>Wiltshire</v>
          </cell>
          <cell r="E2856">
            <v>3244</v>
          </cell>
          <cell r="F2856" t="str">
            <v>Ali Bushell</v>
          </cell>
          <cell r="G2856" t="str">
            <v>By Brook Valley CofE Primary School</v>
          </cell>
          <cell r="H2856" t="str">
            <v>South West</v>
          </cell>
          <cell r="I2856" t="str">
            <v>The Street</v>
          </cell>
          <cell r="J2856" t="str">
            <v>Yatton Keynell</v>
          </cell>
          <cell r="L2856" t="str">
            <v>Chippenham</v>
          </cell>
          <cell r="M2856" t="str">
            <v>Wiltshire</v>
          </cell>
          <cell r="N2856" t="str">
            <v>SN14 7BA</v>
          </cell>
          <cell r="O2856" t="str">
            <v>head@bybrookvalley.wilts.sch.uk</v>
          </cell>
          <cell r="P2856">
            <v>40760</v>
          </cell>
        </row>
        <row r="2857">
          <cell r="A2857">
            <v>2124328</v>
          </cell>
          <cell r="B2857">
            <v>101054</v>
          </cell>
          <cell r="C2857">
            <v>212</v>
          </cell>
          <cell r="D2857" t="str">
            <v>Wandsworth</v>
          </cell>
          <cell r="E2857">
            <v>4328</v>
          </cell>
          <cell r="F2857" t="str">
            <v>Helena Antoniou</v>
          </cell>
          <cell r="G2857" t="str">
            <v>Chestnut Grove School</v>
          </cell>
          <cell r="H2857" t="str">
            <v>London</v>
          </cell>
          <cell r="I2857" t="str">
            <v>Chestnut Grove</v>
          </cell>
          <cell r="J2857" t="str">
            <v>Balham</v>
          </cell>
          <cell r="L2857" t="str">
            <v>London</v>
          </cell>
          <cell r="N2857" t="str">
            <v>SW12 8JZ</v>
          </cell>
          <cell r="O2857" t="str">
            <v>peacockcgs@aol.com</v>
          </cell>
          <cell r="P2857">
            <v>40603</v>
          </cell>
        </row>
        <row r="2858">
          <cell r="A2858">
            <v>2032028</v>
          </cell>
          <cell r="B2858">
            <v>100113</v>
          </cell>
          <cell r="C2858">
            <v>203</v>
          </cell>
          <cell r="D2858" t="str">
            <v>Greenwich</v>
          </cell>
          <cell r="E2858">
            <v>2028</v>
          </cell>
          <cell r="F2858" t="str">
            <v>Helen Barry</v>
          </cell>
          <cell r="G2858" t="str">
            <v>Bannockburn Primary School</v>
          </cell>
          <cell r="H2858" t="str">
            <v>London</v>
          </cell>
          <cell r="I2858" t="str">
            <v>Plumstead High Street</v>
          </cell>
          <cell r="L2858" t="str">
            <v>London</v>
          </cell>
          <cell r="N2858" t="str">
            <v>SE18 1HE</v>
          </cell>
          <cell r="O2858" t="str">
            <v>rcarpenter.bannockburn.greenwich@lgfl.net</v>
          </cell>
        </row>
        <row r="2859">
          <cell r="A2859">
            <v>8505407</v>
          </cell>
          <cell r="B2859">
            <v>116500</v>
          </cell>
          <cell r="C2859">
            <v>850</v>
          </cell>
          <cell r="D2859" t="str">
            <v>Hampshire</v>
          </cell>
          <cell r="E2859">
            <v>5407</v>
          </cell>
          <cell r="F2859" t="str">
            <v>Jacki Couch</v>
          </cell>
          <cell r="G2859" t="str">
            <v>Bohunt School</v>
          </cell>
          <cell r="H2859" t="str">
            <v>South East</v>
          </cell>
          <cell r="I2859" t="str">
            <v>Longmoor Road</v>
          </cell>
          <cell r="L2859" t="str">
            <v>Liphook</v>
          </cell>
          <cell r="M2859" t="str">
            <v>Hampshire</v>
          </cell>
          <cell r="N2859" t="str">
            <v>GU30 7NY</v>
          </cell>
          <cell r="O2859" t="str">
            <v>nstrowger@bohunt.hants.sch.uk</v>
          </cell>
          <cell r="P2859">
            <v>40555</v>
          </cell>
        </row>
        <row r="2860">
          <cell r="A2860">
            <v>9193399</v>
          </cell>
          <cell r="B2860">
            <v>117476</v>
          </cell>
          <cell r="C2860">
            <v>919</v>
          </cell>
          <cell r="D2860" t="str">
            <v>Hertfordshire</v>
          </cell>
          <cell r="E2860">
            <v>3399</v>
          </cell>
          <cell r="F2860" t="str">
            <v>William Thursfield</v>
          </cell>
          <cell r="G2860" t="str">
            <v>Our Lady Roman Catholic Primary School</v>
          </cell>
          <cell r="H2860" t="str">
            <v>East of England</v>
          </cell>
          <cell r="I2860" t="str">
            <v>Old Hale Way</v>
          </cell>
          <cell r="L2860" t="str">
            <v>Hitchin</v>
          </cell>
          <cell r="M2860" t="str">
            <v>Hertfordshire</v>
          </cell>
          <cell r="N2860" t="str">
            <v>SG5 1XT</v>
          </cell>
          <cell r="O2860" t="str">
            <v>head@ourladys.herts.sch.uk</v>
          </cell>
          <cell r="P2860">
            <v>40967</v>
          </cell>
        </row>
        <row r="2861">
          <cell r="A2861">
            <v>8012016</v>
          </cell>
          <cell r="B2861">
            <v>131499</v>
          </cell>
          <cell r="C2861">
            <v>801</v>
          </cell>
          <cell r="D2861" t="str">
            <v>Bristol City of</v>
          </cell>
          <cell r="E2861">
            <v>2016</v>
          </cell>
          <cell r="F2861" t="str">
            <v>Lilian Da Cunha</v>
          </cell>
          <cell r="G2861" t="str">
            <v>Oldbury Court Primary School</v>
          </cell>
          <cell r="H2861" t="str">
            <v>South West</v>
          </cell>
          <cell r="I2861" t="str">
            <v>Frenchay Road</v>
          </cell>
          <cell r="J2861" t="str">
            <v>Downend</v>
          </cell>
          <cell r="L2861" t="str">
            <v>Bristol</v>
          </cell>
          <cell r="N2861" t="str">
            <v>BS16 2QS</v>
          </cell>
          <cell r="O2861" t="str">
            <v>dcarter@cabot.ac.uk</v>
          </cell>
          <cell r="P2861">
            <v>40862</v>
          </cell>
        </row>
        <row r="2862">
          <cell r="A2862">
            <v>8234054</v>
          </cell>
          <cell r="B2862">
            <v>109662</v>
          </cell>
          <cell r="C2862">
            <v>823</v>
          </cell>
          <cell r="D2862" t="str">
            <v>Central Bedfordshire</v>
          </cell>
          <cell r="E2862">
            <v>4054</v>
          </cell>
          <cell r="F2862" t="str">
            <v>Michael Cook</v>
          </cell>
          <cell r="G2862" t="str">
            <v>Parkfields Middle School</v>
          </cell>
          <cell r="H2862" t="str">
            <v>East of England</v>
          </cell>
          <cell r="I2862" t="str">
            <v>Park Road</v>
          </cell>
          <cell r="J2862" t="str">
            <v>Toddington</v>
          </cell>
          <cell r="L2862" t="str">
            <v>Dunstable</v>
          </cell>
          <cell r="M2862" t="str">
            <v>Bedfordshire</v>
          </cell>
          <cell r="N2862" t="str">
            <v>LU5 6AB</v>
          </cell>
          <cell r="O2862" t="str">
            <v>david.brandon.bravo@googlemail.com</v>
          </cell>
          <cell r="P2862">
            <v>40606</v>
          </cell>
        </row>
        <row r="2863">
          <cell r="A2863">
            <v>8732072</v>
          </cell>
          <cell r="B2863">
            <v>110636</v>
          </cell>
          <cell r="C2863">
            <v>873</v>
          </cell>
          <cell r="D2863" t="str">
            <v>Cambridgeshire</v>
          </cell>
          <cell r="E2863">
            <v>2072</v>
          </cell>
          <cell r="F2863" t="str">
            <v>Yvonne Reddington</v>
          </cell>
          <cell r="G2863" t="str">
            <v>Leverington Community Primary School</v>
          </cell>
          <cell r="H2863" t="str">
            <v>East of England</v>
          </cell>
          <cell r="I2863" t="str">
            <v>Church Road</v>
          </cell>
          <cell r="J2863" t="str">
            <v>Leverington</v>
          </cell>
          <cell r="L2863" t="str">
            <v>Wisbech</v>
          </cell>
          <cell r="M2863" t="str">
            <v>Cambridgeshire</v>
          </cell>
          <cell r="N2863" t="str">
            <v>PE13 5DD</v>
          </cell>
          <cell r="O2863" t="str">
            <v>head@Leverington.cambs.sch.uk</v>
          </cell>
          <cell r="P2863">
            <v>40462</v>
          </cell>
        </row>
        <row r="2864">
          <cell r="A2864">
            <v>3025408</v>
          </cell>
          <cell r="B2864">
            <v>101365</v>
          </cell>
          <cell r="C2864">
            <v>302</v>
          </cell>
          <cell r="D2864" t="str">
            <v>Barnet</v>
          </cell>
          <cell r="E2864">
            <v>5408</v>
          </cell>
          <cell r="F2864" t="str">
            <v>Bola Bakrin</v>
          </cell>
          <cell r="G2864" t="str">
            <v>Bishop Douglass School Finchley</v>
          </cell>
          <cell r="H2864" t="str">
            <v>London</v>
          </cell>
          <cell r="I2864" t="str">
            <v>Hamilton Road</v>
          </cell>
          <cell r="J2864" t="str">
            <v>East Finchley</v>
          </cell>
          <cell r="L2864" t="str">
            <v>London</v>
          </cell>
          <cell r="N2864" t="str">
            <v>N2 0SQ</v>
          </cell>
          <cell r="O2864" t="str">
            <v>abmurphy@bishopdouglass.barnet.sch.uk</v>
          </cell>
        </row>
        <row r="2865">
          <cell r="A2865">
            <v>8954211</v>
          </cell>
          <cell r="B2865">
            <v>111436</v>
          </cell>
          <cell r="C2865">
            <v>895</v>
          </cell>
          <cell r="D2865" t="str">
            <v>Cheshire East</v>
          </cell>
          <cell r="E2865">
            <v>4211</v>
          </cell>
          <cell r="F2865" t="str">
            <v>Kris Nursiah</v>
          </cell>
          <cell r="G2865" t="str">
            <v>Poynton High School and Performing Arts College</v>
          </cell>
          <cell r="H2865" t="str">
            <v>North West</v>
          </cell>
          <cell r="I2865" t="str">
            <v>Yew Tree Lane</v>
          </cell>
          <cell r="J2865" t="str">
            <v>Poynton</v>
          </cell>
          <cell r="L2865" t="str">
            <v>Stockport</v>
          </cell>
          <cell r="M2865" t="str">
            <v>Cheshire</v>
          </cell>
          <cell r="N2865" t="str">
            <v>SK12 1PU</v>
          </cell>
          <cell r="O2865" t="str">
            <v xml:space="preserve"> sa@phs.cheshire.sch.uk</v>
          </cell>
        </row>
        <row r="2866">
          <cell r="A2866">
            <v>3127002</v>
          </cell>
          <cell r="B2866">
            <v>102460</v>
          </cell>
          <cell r="C2866">
            <v>312</v>
          </cell>
          <cell r="D2866" t="str">
            <v>Hillingdon</v>
          </cell>
          <cell r="E2866">
            <v>7002</v>
          </cell>
          <cell r="F2866" t="str">
            <v>Anita Bihal</v>
          </cell>
          <cell r="G2866" t="str">
            <v>The Willows School</v>
          </cell>
          <cell r="H2866" t="str">
            <v>London</v>
          </cell>
          <cell r="I2866" t="str">
            <v>Stipularis Drive</v>
          </cell>
          <cell r="J2866" t="str">
            <v>Off Glencoe Road</v>
          </cell>
          <cell r="L2866" t="str">
            <v>Hayes</v>
          </cell>
          <cell r="N2866" t="str">
            <v>UB4 9QB</v>
          </cell>
          <cell r="O2866" t="str">
            <v>ctaylor3@hillingdongrid.org</v>
          </cell>
          <cell r="P2866">
            <v>40639</v>
          </cell>
        </row>
        <row r="2867">
          <cell r="A2867">
            <v>9265401</v>
          </cell>
          <cell r="B2867">
            <v>121209</v>
          </cell>
          <cell r="C2867">
            <v>926</v>
          </cell>
          <cell r="D2867" t="str">
            <v>Norfolk</v>
          </cell>
          <cell r="E2867">
            <v>5401</v>
          </cell>
          <cell r="F2867" t="str">
            <v>Marie Hepperle</v>
          </cell>
          <cell r="G2867" t="str">
            <v>Cromer High School an International Sports College</v>
          </cell>
          <cell r="H2867" t="str">
            <v>East of England</v>
          </cell>
          <cell r="I2867" t="str">
            <v>Norwich Road</v>
          </cell>
          <cell r="L2867" t="str">
            <v>Cromer</v>
          </cell>
          <cell r="M2867" t="str">
            <v>Norfolk</v>
          </cell>
          <cell r="N2867" t="str">
            <v>NR27 0EX</v>
          </cell>
          <cell r="O2867" t="str">
            <v>head@cromerhigh.norfolk.sch.uk</v>
          </cell>
          <cell r="P2867">
            <v>40633</v>
          </cell>
        </row>
        <row r="2868">
          <cell r="A2868">
            <v>8885407</v>
          </cell>
          <cell r="B2868">
            <v>119816</v>
          </cell>
          <cell r="C2868">
            <v>888</v>
          </cell>
          <cell r="D2868" t="str">
            <v>Lancashire</v>
          </cell>
          <cell r="E2868">
            <v>5407</v>
          </cell>
          <cell r="F2868" t="str">
            <v>Viv Clutton</v>
          </cell>
          <cell r="G2868" t="str">
            <v>Leyland St Mary's Catholic Technology College</v>
          </cell>
          <cell r="H2868" t="str">
            <v>North West</v>
          </cell>
          <cell r="I2868" t="str">
            <v>Royal Avenue</v>
          </cell>
          <cell r="L2868" t="str">
            <v>Leyland</v>
          </cell>
          <cell r="M2868" t="str">
            <v>Lancashire</v>
          </cell>
          <cell r="N2868" t="str">
            <v>PR25 1BS</v>
          </cell>
          <cell r="O2868" t="str">
            <v>m.wright@leyland-st-marys.lancs.sch.uk</v>
          </cell>
        </row>
        <row r="2869">
          <cell r="A2869">
            <v>8882554</v>
          </cell>
          <cell r="B2869">
            <v>119305</v>
          </cell>
          <cell r="C2869">
            <v>888</v>
          </cell>
          <cell r="D2869" t="str">
            <v>Lancashire</v>
          </cell>
          <cell r="E2869">
            <v>2554</v>
          </cell>
          <cell r="F2869" t="str">
            <v>Felicity Price</v>
          </cell>
          <cell r="G2869" t="str">
            <v>Lever House Primary School</v>
          </cell>
          <cell r="H2869" t="str">
            <v>North West</v>
          </cell>
          <cell r="I2869" t="str">
            <v>Bristol Avenue</v>
          </cell>
          <cell r="J2869" t="str">
            <v>Farington</v>
          </cell>
          <cell r="L2869" t="str">
            <v>Leyland</v>
          </cell>
          <cell r="M2869" t="str">
            <v>Lancashire</v>
          </cell>
          <cell r="N2869" t="str">
            <v>PR25 4YR</v>
          </cell>
          <cell r="O2869" t="str">
            <v>head@leverhouse.net</v>
          </cell>
        </row>
        <row r="2870">
          <cell r="A2870">
            <v>8832622</v>
          </cell>
          <cell r="B2870">
            <v>114920</v>
          </cell>
          <cell r="C2870">
            <v>883</v>
          </cell>
          <cell r="D2870" t="str">
            <v>Thurrock</v>
          </cell>
          <cell r="E2870">
            <v>2622</v>
          </cell>
          <cell r="F2870" t="str">
            <v>Julie McDowall</v>
          </cell>
          <cell r="G2870" t="str">
            <v>Dilkes Primary School</v>
          </cell>
          <cell r="H2870" t="str">
            <v>East of England</v>
          </cell>
          <cell r="I2870" t="str">
            <v>Garron Lane</v>
          </cell>
          <cell r="L2870" t="str">
            <v>South Ockendon</v>
          </cell>
          <cell r="M2870" t="str">
            <v>Essex</v>
          </cell>
          <cell r="N2870" t="str">
            <v>RM15 5JQ</v>
          </cell>
          <cell r="O2870" t="str">
            <v>headteacher@dilkesprimary.thurrock.sch.uk</v>
          </cell>
          <cell r="P2870">
            <v>40724</v>
          </cell>
        </row>
        <row r="2871">
          <cell r="A2871">
            <v>8815441</v>
          </cell>
          <cell r="B2871">
            <v>115357</v>
          </cell>
          <cell r="C2871">
            <v>881</v>
          </cell>
          <cell r="D2871" t="str">
            <v>Essex</v>
          </cell>
          <cell r="E2871">
            <v>5441</v>
          </cell>
          <cell r="F2871" t="str">
            <v>Claire Ivie</v>
          </cell>
          <cell r="G2871" t="str">
            <v>The Gilberd School</v>
          </cell>
          <cell r="H2871" t="str">
            <v>East of England</v>
          </cell>
          <cell r="I2871" t="str">
            <v>Brinkley Lane</v>
          </cell>
          <cell r="L2871" t="str">
            <v>Colchester</v>
          </cell>
          <cell r="M2871" t="str">
            <v>Essex</v>
          </cell>
          <cell r="N2871" t="str">
            <v>CO4 9PU</v>
          </cell>
          <cell r="O2871" t="str">
            <v>headteacher@gilberd.com</v>
          </cell>
          <cell r="P2871">
            <v>40840</v>
          </cell>
        </row>
        <row r="2872">
          <cell r="A2872">
            <v>8601111</v>
          </cell>
          <cell r="B2872">
            <v>134880</v>
          </cell>
          <cell r="C2872">
            <v>860</v>
          </cell>
          <cell r="D2872" t="str">
            <v>Staffordshire</v>
          </cell>
          <cell r="E2872">
            <v>1111</v>
          </cell>
          <cell r="F2872" t="str">
            <v>Stella Mascarenhas-Keys</v>
          </cell>
          <cell r="G2872" t="str">
            <v>Burton ARC Sports College (PRU)</v>
          </cell>
          <cell r="H2872" t="str">
            <v>West Midlands</v>
          </cell>
          <cell r="I2872" t="str">
            <v>Berryhedge Lane</v>
          </cell>
          <cell r="J2872" t="str">
            <v>Winshill</v>
          </cell>
          <cell r="L2872" t="str">
            <v>Burton-on-Trent</v>
          </cell>
          <cell r="M2872" t="str">
            <v>Staffordshire</v>
          </cell>
          <cell r="N2872" t="str">
            <v>DE15 0DP</v>
          </cell>
          <cell r="O2872" t="str">
            <v xml:space="preserve"> headteacher@burtonpru.staffs.sch.uk</v>
          </cell>
          <cell r="P2872">
            <v>40666</v>
          </cell>
        </row>
        <row r="2873">
          <cell r="A2873">
            <v>9093352</v>
          </cell>
          <cell r="B2873">
            <v>112311</v>
          </cell>
          <cell r="C2873">
            <v>909</v>
          </cell>
          <cell r="D2873" t="str">
            <v>Cumbria</v>
          </cell>
          <cell r="E2873">
            <v>3352</v>
          </cell>
          <cell r="F2873" t="str">
            <v>Pat Murison</v>
          </cell>
          <cell r="G2873" t="str">
            <v>Arnside National School</v>
          </cell>
          <cell r="H2873" t="str">
            <v>North West</v>
          </cell>
          <cell r="I2873" t="str">
            <v>Church Hill</v>
          </cell>
          <cell r="J2873" t="str">
            <v>Arnside</v>
          </cell>
          <cell r="L2873" t="str">
            <v>Carnforth</v>
          </cell>
          <cell r="M2873" t="str">
            <v>Lancashire</v>
          </cell>
          <cell r="N2873" t="str">
            <v>LA5 0DW</v>
          </cell>
          <cell r="O2873" t="str">
            <v>head@arnside.cumbria.sch.uk</v>
          </cell>
          <cell r="P2873">
            <v>40689</v>
          </cell>
        </row>
        <row r="2874">
          <cell r="A2874">
            <v>8254500</v>
          </cell>
          <cell r="B2874">
            <v>110511</v>
          </cell>
          <cell r="C2874">
            <v>825</v>
          </cell>
          <cell r="D2874" t="str">
            <v>Buckinghamshire</v>
          </cell>
          <cell r="E2874">
            <v>4500</v>
          </cell>
          <cell r="F2874" t="str">
            <v>Darren Francis</v>
          </cell>
          <cell r="G2874" t="str">
            <v>Aylesbury Grammar School</v>
          </cell>
          <cell r="H2874" t="str">
            <v>South East</v>
          </cell>
          <cell r="I2874" t="str">
            <v>Walton Road</v>
          </cell>
          <cell r="L2874" t="str">
            <v>Aylesbury</v>
          </cell>
          <cell r="M2874" t="str">
            <v>Buckinghamshire</v>
          </cell>
          <cell r="N2874" t="str">
            <v>HP21 7RP</v>
          </cell>
          <cell r="O2874" t="str">
            <v>slehec@ags.bucks.sch.uk</v>
          </cell>
          <cell r="P2874">
            <v>40557</v>
          </cell>
        </row>
        <row r="2875">
          <cell r="A2875">
            <v>8812089</v>
          </cell>
          <cell r="B2875">
            <v>114768</v>
          </cell>
          <cell r="C2875">
            <v>881</v>
          </cell>
          <cell r="D2875" t="str">
            <v>Essex</v>
          </cell>
          <cell r="E2875">
            <v>2089</v>
          </cell>
          <cell r="F2875" t="str">
            <v>Claire Ivie</v>
          </cell>
          <cell r="G2875" t="str">
            <v>Cann Hall Primary School</v>
          </cell>
          <cell r="H2875" t="str">
            <v>East of England</v>
          </cell>
          <cell r="I2875" t="str">
            <v>Constable Avenue</v>
          </cell>
          <cell r="L2875" t="str">
            <v>Clacton-on-Sea</v>
          </cell>
          <cell r="M2875" t="str">
            <v>Essex</v>
          </cell>
          <cell r="N2875" t="str">
            <v>CO16 8DA</v>
          </cell>
        </row>
        <row r="2876">
          <cell r="A2876">
            <v>3912350</v>
          </cell>
          <cell r="B2876">
            <v>108472</v>
          </cell>
          <cell r="C2876">
            <v>391</v>
          </cell>
          <cell r="D2876" t="str">
            <v>Newcastle upon Tyne</v>
          </cell>
          <cell r="E2876">
            <v>2350</v>
          </cell>
          <cell r="F2876" t="str">
            <v>Pat Murison</v>
          </cell>
          <cell r="G2876" t="str">
            <v>Hilton Primary School</v>
          </cell>
          <cell r="H2876" t="str">
            <v>North East</v>
          </cell>
          <cell r="I2876" t="str">
            <v>Hilton Avenue</v>
          </cell>
          <cell r="J2876" t="str">
            <v>Blakelaw</v>
          </cell>
          <cell r="L2876" t="str">
            <v>Newcastle-upon-Tyne</v>
          </cell>
          <cell r="M2876" t="str">
            <v>Tyne and Wear</v>
          </cell>
          <cell r="N2876" t="str">
            <v>NE5 3RN</v>
          </cell>
          <cell r="O2876" t="str">
            <v>shirley.davison@hilton.newcastle.sch.uk</v>
          </cell>
        </row>
        <row r="2877">
          <cell r="A2877">
            <v>8813029</v>
          </cell>
          <cell r="B2877">
            <v>115083</v>
          </cell>
          <cell r="C2877">
            <v>881</v>
          </cell>
          <cell r="D2877" t="str">
            <v>Essex</v>
          </cell>
          <cell r="E2877">
            <v>3029</v>
          </cell>
          <cell r="F2877" t="str">
            <v>Claire Ivie</v>
          </cell>
          <cell r="G2877" t="str">
            <v>Heathlands Church of England Voluntary Controlled Primary School, West Bergholt</v>
          </cell>
          <cell r="H2877" t="str">
            <v>East of England</v>
          </cell>
          <cell r="I2877" t="str">
            <v>New Church Road</v>
          </cell>
          <cell r="J2877" t="str">
            <v>West Bergholt</v>
          </cell>
          <cell r="L2877" t="str">
            <v>Colchester</v>
          </cell>
          <cell r="M2877" t="str">
            <v>Essex</v>
          </cell>
          <cell r="N2877" t="str">
            <v>CO6 3JF</v>
          </cell>
          <cell r="O2877" t="str">
            <v>head@heathlands.essex.sch.uk</v>
          </cell>
        </row>
        <row r="2878">
          <cell r="A2878">
            <v>8783023</v>
          </cell>
          <cell r="B2878">
            <v>113366</v>
          </cell>
          <cell r="C2878">
            <v>878</v>
          </cell>
          <cell r="D2878" t="str">
            <v>Devon</v>
          </cell>
          <cell r="E2878">
            <v>3023</v>
          </cell>
          <cell r="F2878" t="str">
            <v>Niko Thomas</v>
          </cell>
          <cell r="G2878" t="str">
            <v>Stockland Church of England Primary School</v>
          </cell>
          <cell r="H2878" t="str">
            <v>South West</v>
          </cell>
          <cell r="I2878" t="str">
            <v>Stockland</v>
          </cell>
          <cell r="L2878" t="str">
            <v>Honiton</v>
          </cell>
          <cell r="M2878" t="str">
            <v>Devon</v>
          </cell>
          <cell r="N2878" t="str">
            <v>EX14 9EF</v>
          </cell>
          <cell r="O2878" t="str">
            <v>admin@stockland.devon.sch.uk</v>
          </cell>
          <cell r="P2878">
            <v>40704</v>
          </cell>
        </row>
        <row r="2879">
          <cell r="A2879">
            <v>2062856</v>
          </cell>
          <cell r="B2879">
            <v>131741</v>
          </cell>
          <cell r="C2879">
            <v>206</v>
          </cell>
          <cell r="D2879" t="str">
            <v>Islington</v>
          </cell>
          <cell r="E2879">
            <v>2856</v>
          </cell>
          <cell r="F2879" t="str">
            <v>Sheila Longstaff</v>
          </cell>
          <cell r="G2879" t="str">
            <v>Pooles Park Primary School</v>
          </cell>
          <cell r="H2879" t="str">
            <v>London</v>
          </cell>
          <cell r="I2879" t="str">
            <v>Lennox Road</v>
          </cell>
          <cell r="J2879" t="str">
            <v>Finsbury Park</v>
          </cell>
          <cell r="L2879" t="str">
            <v>London</v>
          </cell>
          <cell r="N2879" t="str">
            <v>N4 3NW</v>
          </cell>
          <cell r="O2879" t="str">
            <v>gregcrawford19@googlemail.com</v>
          </cell>
          <cell r="P2879">
            <v>40641</v>
          </cell>
        </row>
        <row r="2880">
          <cell r="A2880">
            <v>9364508</v>
          </cell>
          <cell r="B2880">
            <v>125274</v>
          </cell>
          <cell r="C2880">
            <v>936</v>
          </cell>
          <cell r="D2880" t="str">
            <v>Surrey</v>
          </cell>
          <cell r="E2880">
            <v>4508</v>
          </cell>
          <cell r="F2880" t="str">
            <v>Gabriela Grimley</v>
          </cell>
          <cell r="G2880" t="str">
            <v>Esher CofE High School</v>
          </cell>
          <cell r="H2880" t="str">
            <v>South East</v>
          </cell>
          <cell r="I2880" t="str">
            <v>More Lane</v>
          </cell>
          <cell r="L2880" t="str">
            <v>Esher</v>
          </cell>
          <cell r="M2880" t="str">
            <v>Surrey</v>
          </cell>
          <cell r="N2880" t="str">
            <v>KT10 8AP</v>
          </cell>
          <cell r="O2880" t="str">
            <v>smorris@esherhigh.surrey.sch.uk</v>
          </cell>
        </row>
        <row r="2881">
          <cell r="A2881">
            <v>8914201</v>
          </cell>
          <cell r="B2881">
            <v>122855</v>
          </cell>
          <cell r="C2881">
            <v>891</v>
          </cell>
          <cell r="D2881" t="str">
            <v>Nottinghamshire</v>
          </cell>
          <cell r="E2881">
            <v>4201</v>
          </cell>
          <cell r="F2881" t="str">
            <v>Sue Harp</v>
          </cell>
          <cell r="G2881" t="str">
            <v>Eastwood Comprehensive School</v>
          </cell>
          <cell r="H2881" t="str">
            <v>East Midlands</v>
          </cell>
          <cell r="I2881" t="str">
            <v>Mansfield Road</v>
          </cell>
          <cell r="J2881" t="str">
            <v>Eastwood</v>
          </cell>
          <cell r="L2881" t="str">
            <v>Nottingham</v>
          </cell>
          <cell r="M2881" t="str">
            <v>Nottinghamshire</v>
          </cell>
          <cell r="N2881" t="str">
            <v>NG16 3EA</v>
          </cell>
        </row>
        <row r="2882">
          <cell r="A2882">
            <v>8303519</v>
          </cell>
          <cell r="B2882">
            <v>112910</v>
          </cell>
          <cell r="C2882">
            <v>830</v>
          </cell>
          <cell r="D2882" t="str">
            <v>Derbyshire</v>
          </cell>
          <cell r="E2882">
            <v>3519</v>
          </cell>
          <cell r="F2882" t="str">
            <v>Not yet assigned</v>
          </cell>
          <cell r="G2882" t="str">
            <v>English Martyrs' Catholic Primary</v>
          </cell>
          <cell r="H2882" t="str">
            <v>East Midlands</v>
          </cell>
          <cell r="I2882" t="str">
            <v>Bracken Road</v>
          </cell>
          <cell r="J2882" t="str">
            <v>Long Eaton</v>
          </cell>
          <cell r="L2882" t="str">
            <v>Nottingham</v>
          </cell>
          <cell r="M2882" t="str">
            <v>Nottinghamshire</v>
          </cell>
          <cell r="N2882" t="str">
            <v>NG10 4DA</v>
          </cell>
        </row>
        <row r="2883">
          <cell r="A2883">
            <v>3203308</v>
          </cell>
          <cell r="B2883">
            <v>131517</v>
          </cell>
          <cell r="C2883">
            <v>320</v>
          </cell>
          <cell r="D2883" t="str">
            <v>Waltham Forest</v>
          </cell>
          <cell r="E2883">
            <v>3308</v>
          </cell>
          <cell r="F2883" t="str">
            <v>Anita Bihal</v>
          </cell>
          <cell r="G2883" t="str">
            <v>Barclay Primary School</v>
          </cell>
          <cell r="H2883" t="str">
            <v>London</v>
          </cell>
          <cell r="I2883" t="str">
            <v>Canterbury Road</v>
          </cell>
          <cell r="J2883" t="str">
            <v>Leyton</v>
          </cell>
          <cell r="L2883" t="str">
            <v>London</v>
          </cell>
          <cell r="N2883" t="str">
            <v>E10 6EJ</v>
          </cell>
          <cell r="O2883" t="str">
            <v>justin.james@barclayprimary.waltham.sch.uk</v>
          </cell>
          <cell r="P2883">
            <v>40998</v>
          </cell>
        </row>
        <row r="2884">
          <cell r="A2884">
            <v>8954612</v>
          </cell>
          <cell r="B2884">
            <v>111452</v>
          </cell>
          <cell r="C2884">
            <v>895</v>
          </cell>
          <cell r="D2884" t="str">
            <v>Cheshire East</v>
          </cell>
          <cell r="E2884">
            <v>4612</v>
          </cell>
          <cell r="F2884" t="str">
            <v>Stuart Mepham</v>
          </cell>
          <cell r="G2884" t="str">
            <v>St Thomas More Catholic High School, A Specialist School for Maths &amp; ICT</v>
          </cell>
          <cell r="H2884" t="str">
            <v>North West</v>
          </cell>
          <cell r="I2884" t="str">
            <v>Dane Bank Avenue</v>
          </cell>
          <cell r="L2884" t="str">
            <v>Crewe</v>
          </cell>
          <cell r="M2884" t="str">
            <v>Cheshire</v>
          </cell>
          <cell r="N2884" t="str">
            <v>CW2 8AE</v>
          </cell>
          <cell r="O2884" t="str">
            <v>mr.emchugh@st-thomasmore.cheshire.sch.uk</v>
          </cell>
          <cell r="P2884">
            <v>41193</v>
          </cell>
        </row>
        <row r="2885">
          <cell r="A2885">
            <v>8552082</v>
          </cell>
          <cell r="B2885">
            <v>119944</v>
          </cell>
          <cell r="C2885">
            <v>855</v>
          </cell>
          <cell r="D2885" t="str">
            <v>Leicestershire</v>
          </cell>
          <cell r="E2885">
            <v>2082</v>
          </cell>
          <cell r="F2885" t="str">
            <v>Sue Harp</v>
          </cell>
          <cell r="G2885" t="str">
            <v>Donisthorpe Primary School</v>
          </cell>
          <cell r="H2885" t="str">
            <v>East Midlands</v>
          </cell>
          <cell r="I2885" t="str">
            <v>Ashby Road</v>
          </cell>
          <cell r="J2885" t="str">
            <v>Donisthorpe</v>
          </cell>
          <cell r="L2885" t="str">
            <v>Swadlincote</v>
          </cell>
          <cell r="M2885" t="str">
            <v>Derbyshire</v>
          </cell>
          <cell r="N2885" t="str">
            <v>DE12 7QF</v>
          </cell>
        </row>
        <row r="2886">
          <cell r="A2886">
            <v>3445901</v>
          </cell>
          <cell r="B2886">
            <v>105115</v>
          </cell>
          <cell r="C2886">
            <v>344</v>
          </cell>
          <cell r="D2886" t="str">
            <v>Wirral</v>
          </cell>
          <cell r="E2886">
            <v>5901</v>
          </cell>
          <cell r="F2886" t="str">
            <v>Cathy Dudley</v>
          </cell>
          <cell r="G2886" t="str">
            <v>Upton Hall School FCJ</v>
          </cell>
          <cell r="H2886" t="str">
            <v>North West</v>
          </cell>
          <cell r="I2886" t="str">
            <v>Upton</v>
          </cell>
          <cell r="L2886" t="str">
            <v>Wirral</v>
          </cell>
          <cell r="M2886" t="str">
            <v>Merseyside</v>
          </cell>
          <cell r="N2886" t="str">
            <v>CH49 6LJ</v>
          </cell>
          <cell r="O2886" t="str">
            <v>pyoung@uptonhall.wirral.sch.uk</v>
          </cell>
          <cell r="P2886">
            <v>40877</v>
          </cell>
        </row>
        <row r="2887">
          <cell r="A2887">
            <v>3524766</v>
          </cell>
          <cell r="B2887">
            <v>105579</v>
          </cell>
          <cell r="C2887">
            <v>352</v>
          </cell>
          <cell r="D2887" t="str">
            <v>Manchester</v>
          </cell>
          <cell r="E2887">
            <v>4766</v>
          </cell>
          <cell r="F2887" t="str">
            <v>Stuart Mepham</v>
          </cell>
          <cell r="G2887" t="str">
            <v>Saint Paul's Catholic High School</v>
          </cell>
          <cell r="H2887" t="str">
            <v>North West</v>
          </cell>
          <cell r="I2887" t="str">
            <v>Firbank Road</v>
          </cell>
          <cell r="J2887" t="str">
            <v>Newall Green</v>
          </cell>
          <cell r="L2887" t="str">
            <v>Manchester</v>
          </cell>
          <cell r="N2887" t="str">
            <v>M23 2YS</v>
          </cell>
          <cell r="O2887" t="str">
            <v>wadaron@st-paulshigh.net</v>
          </cell>
          <cell r="P2887">
            <v>41207</v>
          </cell>
        </row>
        <row r="2888">
          <cell r="A2888">
            <v>9282171</v>
          </cell>
          <cell r="B2888">
            <v>121918</v>
          </cell>
          <cell r="C2888">
            <v>928</v>
          </cell>
          <cell r="D2888" t="str">
            <v>Northamptonshire</v>
          </cell>
          <cell r="E2888">
            <v>2171</v>
          </cell>
          <cell r="F2888" t="str">
            <v>Helen Whetter</v>
          </cell>
          <cell r="G2888" t="str">
            <v>Spring Lane Primary School</v>
          </cell>
          <cell r="H2888" t="str">
            <v>East Midlands</v>
          </cell>
          <cell r="I2888" t="str">
            <v>Spring Lane</v>
          </cell>
          <cell r="L2888" t="str">
            <v>Northampton</v>
          </cell>
          <cell r="M2888" t="str">
            <v>Northamptonshire</v>
          </cell>
          <cell r="N2888" t="str">
            <v>NN1 2JW</v>
          </cell>
          <cell r="O2888" t="str">
            <v>head@springlane.northants-ecl.gov.uk</v>
          </cell>
        </row>
        <row r="2889">
          <cell r="A2889">
            <v>8553103</v>
          </cell>
          <cell r="B2889">
            <v>120173</v>
          </cell>
          <cell r="C2889">
            <v>855</v>
          </cell>
          <cell r="D2889" t="str">
            <v>Leicestershire</v>
          </cell>
          <cell r="E2889">
            <v>3103</v>
          </cell>
          <cell r="F2889" t="str">
            <v>Sue Harp</v>
          </cell>
          <cell r="G2889" t="str">
            <v>Woodhouse Eaves St Paul's Church of England Primary School</v>
          </cell>
          <cell r="H2889" t="str">
            <v>East Midlands</v>
          </cell>
          <cell r="I2889" t="str">
            <v>Meadow Road</v>
          </cell>
          <cell r="J2889" t="str">
            <v>Woodhouse Eaves</v>
          </cell>
          <cell r="L2889" t="str">
            <v>Loughborough</v>
          </cell>
          <cell r="M2889" t="str">
            <v>Leicestershire</v>
          </cell>
          <cell r="N2889" t="str">
            <v>LE12 8SA</v>
          </cell>
          <cell r="O2889" t="str">
            <v>headteacher@st-pauls.leics.sch.uk</v>
          </cell>
        </row>
        <row r="2890">
          <cell r="A2890">
            <v>9282230</v>
          </cell>
          <cell r="B2890">
            <v>133552</v>
          </cell>
          <cell r="C2890">
            <v>928</v>
          </cell>
          <cell r="D2890" t="str">
            <v>Northamptonshire</v>
          </cell>
          <cell r="E2890">
            <v>2230</v>
          </cell>
          <cell r="F2890" t="str">
            <v>Sue Harp</v>
          </cell>
          <cell r="G2890" t="str">
            <v>Henry Chichele Primary School</v>
          </cell>
          <cell r="H2890" t="str">
            <v>East Midlands</v>
          </cell>
          <cell r="I2890" t="str">
            <v>School Lane</v>
          </cell>
          <cell r="L2890" t="str">
            <v>Higham Ferrers</v>
          </cell>
          <cell r="M2890" t="str">
            <v>Northamptonshire</v>
          </cell>
          <cell r="N2890" t="str">
            <v>NN10 8NQ</v>
          </cell>
          <cell r="O2890" t="str">
            <v>head@henrychichele.northants-ecl.gov.uk</v>
          </cell>
        </row>
        <row r="2891">
          <cell r="A2891">
            <v>8454044</v>
          </cell>
          <cell r="B2891">
            <v>114595</v>
          </cell>
          <cell r="C2891">
            <v>845</v>
          </cell>
          <cell r="D2891" t="str">
            <v>East Sussex</v>
          </cell>
          <cell r="E2891">
            <v>4044</v>
          </cell>
          <cell r="F2891" t="str">
            <v>Sarah Mitchell</v>
          </cell>
          <cell r="G2891" t="str">
            <v>Bexhill High School</v>
          </cell>
          <cell r="H2891" t="str">
            <v>South East</v>
          </cell>
          <cell r="I2891" t="str">
            <v>Down Road</v>
          </cell>
          <cell r="L2891" t="str">
            <v>Bexhill-on-Sea</v>
          </cell>
          <cell r="M2891" t="str">
            <v>East Sussex</v>
          </cell>
          <cell r="N2891" t="str">
            <v>TN39 4HT</v>
          </cell>
          <cell r="O2891" t="str">
            <v>mconn@bexhillhigh.e-sussex.sch.uk</v>
          </cell>
          <cell r="P2891">
            <v>40982</v>
          </cell>
        </row>
        <row r="2892">
          <cell r="A2892">
            <v>8732004</v>
          </cell>
          <cell r="B2892">
            <v>110603</v>
          </cell>
          <cell r="C2892">
            <v>873</v>
          </cell>
          <cell r="D2892" t="str">
            <v>Cambridgeshire</v>
          </cell>
          <cell r="E2892">
            <v>2004</v>
          </cell>
          <cell r="F2892" t="str">
            <v>Not yet assigned</v>
          </cell>
          <cell r="G2892" t="str">
            <v>Caldecote Primary School</v>
          </cell>
          <cell r="H2892" t="str">
            <v>East of England</v>
          </cell>
          <cell r="I2892" t="str">
            <v>Highfields Road</v>
          </cell>
          <cell r="J2892" t="str">
            <v>Highfields Caldecote</v>
          </cell>
          <cell r="L2892" t="str">
            <v>Cambridge</v>
          </cell>
          <cell r="M2892" t="str">
            <v>Cambridgeshire</v>
          </cell>
          <cell r="N2892" t="str">
            <v>CB23 7NX</v>
          </cell>
          <cell r="O2892" t="str">
            <v>head@caldecote.cambs.sch.uk</v>
          </cell>
        </row>
        <row r="2893">
          <cell r="A2893">
            <v>8122182</v>
          </cell>
          <cell r="B2893">
            <v>117789</v>
          </cell>
          <cell r="C2893">
            <v>812</v>
          </cell>
          <cell r="D2893" t="str">
            <v>North East Lincolnshire</v>
          </cell>
          <cell r="E2893">
            <v>2182</v>
          </cell>
          <cell r="F2893" t="str">
            <v>Bev Annables</v>
          </cell>
          <cell r="G2893" t="str">
            <v>Middlethorpe Primary School</v>
          </cell>
          <cell r="H2893" t="str">
            <v>Yorkshire and the Humber</v>
          </cell>
          <cell r="I2893" t="str">
            <v>Highthorpe Crescent</v>
          </cell>
          <cell r="L2893" t="str">
            <v>Cleethorpes</v>
          </cell>
          <cell r="M2893" t="str">
            <v>Lincolnshire</v>
          </cell>
          <cell r="N2893" t="str">
            <v>DN35 9PY</v>
          </cell>
          <cell r="O2893" t="str">
            <v>holbrookj@middlethorpeprimary.co.uk</v>
          </cell>
          <cell r="P2893">
            <v>40864</v>
          </cell>
        </row>
        <row r="2894">
          <cell r="A2894">
            <v>3842158</v>
          </cell>
          <cell r="B2894">
            <v>108214</v>
          </cell>
          <cell r="C2894">
            <v>384</v>
          </cell>
          <cell r="D2894" t="str">
            <v>Wakefield</v>
          </cell>
          <cell r="E2894">
            <v>2158</v>
          </cell>
          <cell r="F2894" t="str">
            <v>Glyn Newton</v>
          </cell>
          <cell r="G2894" t="str">
            <v>Wakefield Sandal Magna Junior and Infants School</v>
          </cell>
          <cell r="H2894" t="str">
            <v>Yorkshire and the Humber</v>
          </cell>
          <cell r="I2894" t="str">
            <v>Belle Vue Road</v>
          </cell>
          <cell r="L2894" t="str">
            <v>Wakefield</v>
          </cell>
          <cell r="M2894" t="str">
            <v>West Yorkshire</v>
          </cell>
          <cell r="N2894" t="str">
            <v>WF1 5NF</v>
          </cell>
          <cell r="O2894" t="str">
            <v>headteacher@sandalmagna.wakefield.sch.uk</v>
          </cell>
        </row>
        <row r="2895">
          <cell r="A2895">
            <v>3582013</v>
          </cell>
          <cell r="B2895">
            <v>106295</v>
          </cell>
          <cell r="C2895">
            <v>358</v>
          </cell>
          <cell r="D2895" t="str">
            <v>Trafford</v>
          </cell>
          <cell r="E2895">
            <v>2013</v>
          </cell>
          <cell r="F2895" t="str">
            <v>Jane McCusker</v>
          </cell>
          <cell r="G2895" t="str">
            <v>Cloverlea Primary School</v>
          </cell>
          <cell r="H2895" t="str">
            <v>North West</v>
          </cell>
          <cell r="I2895" t="str">
            <v>Green Lane North</v>
          </cell>
          <cell r="J2895" t="str">
            <v>Timperley</v>
          </cell>
          <cell r="L2895" t="str">
            <v>Altrincham</v>
          </cell>
          <cell r="M2895" t="str">
            <v>Cheshire</v>
          </cell>
          <cell r="N2895" t="str">
            <v>WA15 7NQ</v>
          </cell>
          <cell r="O2895" t="str">
            <v>cloverleaprim.plinnett@traffordlearning.org</v>
          </cell>
        </row>
        <row r="2896">
          <cell r="A2896">
            <v>3132079</v>
          </cell>
          <cell r="B2896">
            <v>132264</v>
          </cell>
          <cell r="C2896">
            <v>313</v>
          </cell>
          <cell r="D2896" t="str">
            <v>Hounslow</v>
          </cell>
          <cell r="E2896">
            <v>2079</v>
          </cell>
          <cell r="F2896" t="str">
            <v>Martin Rowley</v>
          </cell>
          <cell r="G2896" t="str">
            <v>Fairholme Primary School</v>
          </cell>
          <cell r="H2896" t="str">
            <v>London</v>
          </cell>
          <cell r="I2896" t="str">
            <v>Peacock Avenue</v>
          </cell>
          <cell r="J2896" t="str">
            <v>Bedfont</v>
          </cell>
          <cell r="L2896" t="str">
            <v>Feltham</v>
          </cell>
          <cell r="N2896" t="str">
            <v>TW14 8ET</v>
          </cell>
          <cell r="O2896" t="str">
            <v>head@fairholme.hounslow.sch.uk</v>
          </cell>
        </row>
        <row r="2897">
          <cell r="A2897">
            <v>9162048</v>
          </cell>
          <cell r="B2897">
            <v>115508</v>
          </cell>
          <cell r="C2897">
            <v>916</v>
          </cell>
          <cell r="D2897" t="str">
            <v>Gloucestershire</v>
          </cell>
          <cell r="E2897">
            <v>2048</v>
          </cell>
          <cell r="F2897" t="str">
            <v>Lilian Da Cunha</v>
          </cell>
          <cell r="G2897" t="str">
            <v>Brockworth Primary School</v>
          </cell>
          <cell r="H2897" t="str">
            <v>South West</v>
          </cell>
          <cell r="I2897" t="str">
            <v>Moorfield Road</v>
          </cell>
          <cell r="J2897" t="str">
            <v>Brockworth</v>
          </cell>
          <cell r="L2897" t="str">
            <v>Gloucester</v>
          </cell>
          <cell r="M2897" t="str">
            <v>Gloucestershire</v>
          </cell>
          <cell r="N2897" t="str">
            <v>GL3 4JL</v>
          </cell>
          <cell r="O2897" t="str">
            <v>dtriggs@academiesenterprisetrust.org</v>
          </cell>
          <cell r="P2897">
            <v>40933</v>
          </cell>
        </row>
        <row r="2898">
          <cell r="A2898">
            <v>9254019</v>
          </cell>
          <cell r="B2898">
            <v>120639</v>
          </cell>
          <cell r="C2898">
            <v>925</v>
          </cell>
          <cell r="D2898" t="str">
            <v>Lincolnshire</v>
          </cell>
          <cell r="E2898">
            <v>4019</v>
          </cell>
          <cell r="F2898" t="str">
            <v>Grant Dyson</v>
          </cell>
          <cell r="G2898" t="str">
            <v>Grantham The Walton Girls' High School</v>
          </cell>
          <cell r="H2898" t="str">
            <v>East Midlands</v>
          </cell>
          <cell r="I2898" t="str">
            <v>Harlaxton Road</v>
          </cell>
          <cell r="L2898" t="str">
            <v>Grantham</v>
          </cell>
          <cell r="M2898" t="str">
            <v>Lincolnshire</v>
          </cell>
          <cell r="N2898" t="str">
            <v>NG31 7JR</v>
          </cell>
          <cell r="O2898" t="str">
            <v>ros.gulson@btopenworld.com</v>
          </cell>
          <cell r="P2898">
            <v>40525</v>
          </cell>
        </row>
        <row r="2899">
          <cell r="A2899">
            <v>9252188</v>
          </cell>
          <cell r="B2899">
            <v>120473</v>
          </cell>
          <cell r="C2899">
            <v>925</v>
          </cell>
          <cell r="D2899" t="str">
            <v>Lincolnshire</v>
          </cell>
          <cell r="E2899">
            <v>2188</v>
          </cell>
          <cell r="F2899" t="str">
            <v>Grant Dyson</v>
          </cell>
          <cell r="G2899" t="str">
            <v>Scotter Primary School</v>
          </cell>
          <cell r="H2899" t="str">
            <v>East Midlands</v>
          </cell>
          <cell r="I2899" t="str">
            <v>High Street</v>
          </cell>
          <cell r="J2899" t="str">
            <v>Scotter</v>
          </cell>
          <cell r="L2899" t="str">
            <v>Gainsborough</v>
          </cell>
          <cell r="M2899" t="str">
            <v>Lincolnshire</v>
          </cell>
          <cell r="N2899" t="str">
            <v>DN21 3RY</v>
          </cell>
          <cell r="O2899" t="str">
            <v>elizabeth.mccaffery@scotter.lincs.sch.uk</v>
          </cell>
        </row>
        <row r="2900">
          <cell r="A2900">
            <v>3712091</v>
          </cell>
          <cell r="B2900">
            <v>106688</v>
          </cell>
          <cell r="C2900">
            <v>371</v>
          </cell>
          <cell r="D2900" t="str">
            <v>Doncaster</v>
          </cell>
          <cell r="E2900">
            <v>2091</v>
          </cell>
          <cell r="F2900" t="str">
            <v>Lisa Sargeant</v>
          </cell>
          <cell r="G2900" t="str">
            <v>Rossington Pheasant Bank Junior School</v>
          </cell>
          <cell r="H2900" t="str">
            <v>Yorkshire and the Humber</v>
          </cell>
          <cell r="I2900" t="str">
            <v>West End Lane</v>
          </cell>
          <cell r="J2900" t="str">
            <v>Rossington</v>
          </cell>
          <cell r="L2900" t="str">
            <v>Doncaster</v>
          </cell>
          <cell r="M2900" t="str">
            <v>South Yorkshire</v>
          </cell>
          <cell r="N2900" t="str">
            <v>DN11 0PQ</v>
          </cell>
          <cell r="O2900" t="str">
            <v>head@pheasant.doncaster.sch.uk</v>
          </cell>
          <cell r="P2900">
            <v>40609</v>
          </cell>
        </row>
        <row r="2901">
          <cell r="A2901">
            <v>8815201</v>
          </cell>
          <cell r="B2901">
            <v>115241</v>
          </cell>
          <cell r="C2901">
            <v>881</v>
          </cell>
          <cell r="D2901" t="str">
            <v>Essex</v>
          </cell>
          <cell r="E2901">
            <v>5201</v>
          </cell>
          <cell r="F2901" t="str">
            <v>Janet Smith</v>
          </cell>
          <cell r="G2901" t="str">
            <v>Newlands Spring Primary School</v>
          </cell>
          <cell r="H2901" t="str">
            <v>East of England</v>
          </cell>
          <cell r="I2901" t="str">
            <v>Dickens Place</v>
          </cell>
          <cell r="J2901" t="str">
            <v>Copperfield Road</v>
          </cell>
          <cell r="L2901" t="str">
            <v>Chelmsford</v>
          </cell>
          <cell r="M2901" t="str">
            <v>Essex</v>
          </cell>
          <cell r="N2901" t="str">
            <v>CM1 4UU</v>
          </cell>
          <cell r="O2901" t="str">
            <v>head@newlandsspring.essex.sch.uk</v>
          </cell>
          <cell r="P2901">
            <v>40980</v>
          </cell>
        </row>
        <row r="2902">
          <cell r="A2902">
            <v>8563426</v>
          </cell>
          <cell r="B2902">
            <v>120226</v>
          </cell>
          <cell r="C2902">
            <v>856</v>
          </cell>
          <cell r="D2902" t="str">
            <v>Leicester</v>
          </cell>
          <cell r="E2902">
            <v>3426</v>
          </cell>
          <cell r="F2902" t="str">
            <v>Michael Corner</v>
          </cell>
          <cell r="G2902" t="str">
            <v>St Thomas More Catholic Primary School</v>
          </cell>
          <cell r="H2902" t="str">
            <v>East Midlands</v>
          </cell>
          <cell r="I2902" t="str">
            <v>Newstead Road</v>
          </cell>
          <cell r="L2902" t="str">
            <v>Leicester</v>
          </cell>
          <cell r="M2902" t="str">
            <v>Leicestershire</v>
          </cell>
          <cell r="N2902" t="str">
            <v>LE2 3TA</v>
          </cell>
          <cell r="O2902" t="str">
            <v>pmason@st-thomasmore.leicester.sch.uk</v>
          </cell>
          <cell r="P2902">
            <v>40891</v>
          </cell>
        </row>
        <row r="2903">
          <cell r="A2903">
            <v>8554056</v>
          </cell>
          <cell r="B2903">
            <v>120274</v>
          </cell>
          <cell r="C2903">
            <v>855</v>
          </cell>
          <cell r="D2903" t="str">
            <v>Leicestershire</v>
          </cell>
          <cell r="E2903">
            <v>4056</v>
          </cell>
          <cell r="F2903" t="str">
            <v>Colin McGuffie</v>
          </cell>
          <cell r="G2903" t="str">
            <v>Hind Leys - A Specialist Arts College</v>
          </cell>
          <cell r="H2903" t="str">
            <v>East Midlands</v>
          </cell>
          <cell r="I2903" t="str">
            <v>Forest Street</v>
          </cell>
          <cell r="J2903" t="str">
            <v>Shepshed</v>
          </cell>
          <cell r="L2903" t="str">
            <v>Loughborough</v>
          </cell>
          <cell r="M2903" t="str">
            <v>Leicestershire</v>
          </cell>
          <cell r="N2903" t="str">
            <v>LE12 9DB</v>
          </cell>
          <cell r="O2903" t="str">
            <v>yvonnel4@hind-leys.leics.sch.uk</v>
          </cell>
          <cell r="P2903">
            <v>41179</v>
          </cell>
        </row>
        <row r="2904">
          <cell r="A2904">
            <v>9354504</v>
          </cell>
          <cell r="B2904">
            <v>124860</v>
          </cell>
          <cell r="C2904">
            <v>935</v>
          </cell>
          <cell r="D2904" t="str">
            <v>Suffolk</v>
          </cell>
          <cell r="E2904">
            <v>4504</v>
          </cell>
          <cell r="F2904" t="str">
            <v>Claire Ivie</v>
          </cell>
          <cell r="G2904" t="str">
            <v>Debenham Church of England Voluntary Controlled High School</v>
          </cell>
          <cell r="H2904" t="str">
            <v>East of England</v>
          </cell>
          <cell r="I2904" t="str">
            <v>Gracechurch Street</v>
          </cell>
          <cell r="J2904" t="str">
            <v>Debenham</v>
          </cell>
          <cell r="L2904" t="str">
            <v>Stowmarket</v>
          </cell>
          <cell r="M2904" t="str">
            <v>Suffolk</v>
          </cell>
          <cell r="N2904" t="str">
            <v>IP14 6BL</v>
          </cell>
          <cell r="O2904" t="str">
            <v>crawshaw@gmail.com</v>
          </cell>
          <cell r="P2904">
            <v>40508</v>
          </cell>
        </row>
        <row r="2905">
          <cell r="A2905">
            <v>3537014</v>
          </cell>
          <cell r="B2905">
            <v>134517</v>
          </cell>
          <cell r="C2905">
            <v>353</v>
          </cell>
          <cell r="D2905" t="str">
            <v>Oldham</v>
          </cell>
          <cell r="E2905">
            <v>7014</v>
          </cell>
          <cell r="F2905" t="str">
            <v>Linda Tiley</v>
          </cell>
          <cell r="G2905" t="str">
            <v>New Bridge School</v>
          </cell>
          <cell r="H2905" t="str">
            <v>North West</v>
          </cell>
          <cell r="I2905" t="str">
            <v>Roman Road</v>
          </cell>
          <cell r="J2905" t="str">
            <v>Hollinwood</v>
          </cell>
          <cell r="L2905" t="str">
            <v>Oldham</v>
          </cell>
          <cell r="M2905" t="str">
            <v>Lancashire</v>
          </cell>
          <cell r="N2905" t="str">
            <v>OL8 3PH</v>
          </cell>
          <cell r="O2905" t="str">
            <v>gquinn@newbridgeschool.net</v>
          </cell>
          <cell r="P2905">
            <v>40910</v>
          </cell>
        </row>
        <row r="2906">
          <cell r="A2906">
            <v>8373205</v>
          </cell>
          <cell r="B2906">
            <v>113788</v>
          </cell>
          <cell r="C2906">
            <v>837</v>
          </cell>
          <cell r="D2906" t="str">
            <v>Bournemouth</v>
          </cell>
          <cell r="E2906">
            <v>3205</v>
          </cell>
          <cell r="F2906" t="str">
            <v>Tahamina Khan</v>
          </cell>
          <cell r="G2906" t="str">
            <v>St Michael's CE (VC) Primary School</v>
          </cell>
          <cell r="H2906" t="str">
            <v>South West</v>
          </cell>
          <cell r="I2906" t="str">
            <v>Somerville Road</v>
          </cell>
          <cell r="L2906" t="str">
            <v>Bournemouth</v>
          </cell>
          <cell r="M2906" t="str">
            <v>Dorset</v>
          </cell>
          <cell r="N2906" t="str">
            <v>BH2 5LH</v>
          </cell>
          <cell r="O2906" t="str">
            <v>bob.kennedy@bournemouth.gov.uk</v>
          </cell>
        </row>
        <row r="2907">
          <cell r="A2907">
            <v>8523659</v>
          </cell>
          <cell r="B2907">
            <v>128091</v>
          </cell>
          <cell r="C2907">
            <v>852</v>
          </cell>
          <cell r="D2907" t="str">
            <v>Southampton</v>
          </cell>
          <cell r="E2907">
            <v>3659</v>
          </cell>
          <cell r="F2907" t="str">
            <v>Lindsay Morris</v>
          </cell>
          <cell r="G2907" t="str">
            <v>Harefield Primary School</v>
          </cell>
          <cell r="H2907" t="str">
            <v>South East</v>
          </cell>
          <cell r="I2907" t="str">
            <v>Yeovil Chase</v>
          </cell>
          <cell r="J2907" t="str">
            <v>Bitterne</v>
          </cell>
          <cell r="L2907" t="str">
            <v>Southampton</v>
          </cell>
          <cell r="M2907" t="str">
            <v>Hampshire</v>
          </cell>
          <cell r="N2907" t="str">
            <v>SO18 5NZ</v>
          </cell>
          <cell r="O2907" t="str">
            <v>head@harefield-pri.southampton.sch.uk</v>
          </cell>
          <cell r="P2907">
            <v>40991</v>
          </cell>
        </row>
        <row r="2908">
          <cell r="A2908">
            <v>3502043</v>
          </cell>
          <cell r="B2908">
            <v>105176</v>
          </cell>
          <cell r="C2908">
            <v>350</v>
          </cell>
          <cell r="D2908" t="str">
            <v>Bolton</v>
          </cell>
          <cell r="E2908">
            <v>2043</v>
          </cell>
          <cell r="F2908" t="str">
            <v>Viv Clutton</v>
          </cell>
          <cell r="G2908" t="str">
            <v>The Oaks Primary School</v>
          </cell>
          <cell r="H2908" t="str">
            <v>North West</v>
          </cell>
          <cell r="I2908" t="str">
            <v>Sharples Hall Drive</v>
          </cell>
          <cell r="L2908" t="str">
            <v>Bolton</v>
          </cell>
          <cell r="M2908" t="str">
            <v>Lancashire</v>
          </cell>
          <cell r="N2908" t="str">
            <v>BL1 7HS</v>
          </cell>
          <cell r="O2908" t="str">
            <v>warrens@the-oaks.bolton.sch.uk</v>
          </cell>
        </row>
        <row r="2909">
          <cell r="A2909">
            <v>2125400</v>
          </cell>
          <cell r="B2909">
            <v>101058</v>
          </cell>
          <cell r="C2909">
            <v>212</v>
          </cell>
          <cell r="D2909" t="str">
            <v>Wandsworth</v>
          </cell>
          <cell r="E2909">
            <v>5400</v>
          </cell>
          <cell r="F2909" t="str">
            <v>Helen Barry</v>
          </cell>
          <cell r="G2909" t="str">
            <v>Graveney School</v>
          </cell>
          <cell r="H2909" t="str">
            <v>London</v>
          </cell>
          <cell r="I2909" t="str">
            <v>Welham Road</v>
          </cell>
          <cell r="J2909" t="str">
            <v>Tooting</v>
          </cell>
          <cell r="L2909" t="str">
            <v>London</v>
          </cell>
          <cell r="N2909" t="str">
            <v>SW17 9BU</v>
          </cell>
          <cell r="O2909" t="str">
            <v>gstapleton@graveney.wandsworth.sch.uk</v>
          </cell>
          <cell r="P2909">
            <v>40676</v>
          </cell>
        </row>
        <row r="2910">
          <cell r="A2910">
            <v>8152065</v>
          </cell>
          <cell r="B2910">
            <v>121304</v>
          </cell>
          <cell r="C2910">
            <v>815</v>
          </cell>
          <cell r="D2910" t="str">
            <v>North Yorkshire</v>
          </cell>
          <cell r="E2910">
            <v>2065</v>
          </cell>
          <cell r="F2910" t="str">
            <v>Sheila Milnes</v>
          </cell>
          <cell r="G2910" t="str">
            <v>Leyburn Community Primary School</v>
          </cell>
          <cell r="H2910" t="str">
            <v>Yorkshire and the Humber</v>
          </cell>
          <cell r="I2910" t="str">
            <v>Wensleydale Avenue</v>
          </cell>
          <cell r="L2910" t="str">
            <v>Leyburn</v>
          </cell>
          <cell r="M2910" t="str">
            <v>North Yorkshire</v>
          </cell>
          <cell r="N2910" t="str">
            <v>DL8 5SD</v>
          </cell>
          <cell r="O2910" t="str">
            <v>headteacher@leyburn.n-yorks.sch.uk</v>
          </cell>
        </row>
        <row r="2911">
          <cell r="A2911">
            <v>8783100</v>
          </cell>
          <cell r="B2911">
            <v>113387</v>
          </cell>
          <cell r="C2911">
            <v>878</v>
          </cell>
          <cell r="D2911" t="str">
            <v>Devon</v>
          </cell>
          <cell r="E2911">
            <v>3100</v>
          </cell>
          <cell r="F2911" t="str">
            <v>Nigel Mills</v>
          </cell>
          <cell r="G2911" t="str">
            <v>Aveton Gifford CofE Primary School</v>
          </cell>
          <cell r="H2911" t="str">
            <v>South West</v>
          </cell>
          <cell r="I2911" t="str">
            <v>Fore Street</v>
          </cell>
          <cell r="J2911" t="str">
            <v>Aveton Gifford</v>
          </cell>
          <cell r="L2911" t="str">
            <v>Kingsbridge</v>
          </cell>
          <cell r="M2911" t="str">
            <v>Devon</v>
          </cell>
          <cell r="N2911" t="str">
            <v>TQ7 4LB</v>
          </cell>
          <cell r="O2911" t="str">
            <v>paul.jones@firstfederation.org</v>
          </cell>
          <cell r="P2911">
            <v>41100</v>
          </cell>
        </row>
        <row r="2912">
          <cell r="A2912">
            <v>8572316</v>
          </cell>
          <cell r="B2912">
            <v>120046</v>
          </cell>
          <cell r="C2912">
            <v>857</v>
          </cell>
          <cell r="D2912" t="str">
            <v>Rutland</v>
          </cell>
          <cell r="E2912">
            <v>2316</v>
          </cell>
          <cell r="F2912" t="str">
            <v>Sue Harp</v>
          </cell>
          <cell r="G2912" t="str">
            <v>Brooke Hill Primary School</v>
          </cell>
          <cell r="H2912" t="str">
            <v>East Midlands</v>
          </cell>
          <cell r="I2912" t="str">
            <v>Brooke Road</v>
          </cell>
          <cell r="L2912" t="str">
            <v>Oakham</v>
          </cell>
          <cell r="M2912" t="str">
            <v>Rutland</v>
          </cell>
          <cell r="N2912" t="str">
            <v>LE15 6HQ</v>
          </cell>
          <cell r="O2912" t="str">
            <v>smilner@brookehill.rutland.sch.uk</v>
          </cell>
          <cell r="P2912">
            <v>40676</v>
          </cell>
        </row>
        <row r="2913">
          <cell r="A2913">
            <v>3834601</v>
          </cell>
          <cell r="B2913">
            <v>108094</v>
          </cell>
          <cell r="C2913">
            <v>383</v>
          </cell>
          <cell r="D2913" t="str">
            <v>Leeds</v>
          </cell>
          <cell r="E2913">
            <v>4601</v>
          </cell>
          <cell r="F2913" t="str">
            <v>Tony Bretherick</v>
          </cell>
          <cell r="G2913" t="str">
            <v>St Mary's Catholic Comprehensive School, Menston</v>
          </cell>
          <cell r="H2913" t="str">
            <v>Yorkshire and the Humber</v>
          </cell>
          <cell r="I2913" t="str">
            <v>Bradford Road</v>
          </cell>
          <cell r="J2913" t="str">
            <v>Menston</v>
          </cell>
          <cell r="L2913" t="str">
            <v>Ilkley</v>
          </cell>
          <cell r="M2913" t="str">
            <v>West Yorkshire</v>
          </cell>
          <cell r="N2913" t="str">
            <v>LS29 6AE</v>
          </cell>
          <cell r="O2913" t="str">
            <v>r.pritchard@stmarysmenston.org</v>
          </cell>
          <cell r="P2913">
            <v>41214</v>
          </cell>
        </row>
        <row r="2914">
          <cell r="A2914">
            <v>8604133</v>
          </cell>
          <cell r="B2914">
            <v>124424</v>
          </cell>
          <cell r="C2914">
            <v>860</v>
          </cell>
          <cell r="D2914" t="str">
            <v>Staffordshire</v>
          </cell>
          <cell r="E2914">
            <v>4133</v>
          </cell>
          <cell r="F2914" t="str">
            <v>Stephen Bagnall</v>
          </cell>
          <cell r="G2914" t="str">
            <v>Codsall Middle School</v>
          </cell>
          <cell r="H2914" t="str">
            <v>West Midlands</v>
          </cell>
          <cell r="I2914" t="str">
            <v>Wolverhampton Road</v>
          </cell>
          <cell r="J2914" t="str">
            <v>Codsall</v>
          </cell>
          <cell r="L2914" t="str">
            <v>Wolverhampton</v>
          </cell>
          <cell r="M2914" t="str">
            <v>West Midlands</v>
          </cell>
          <cell r="N2914" t="str">
            <v>WV8 1PB</v>
          </cell>
          <cell r="O2914" t="str">
            <v>headteacher@codsall-middle.staffs.sch.uk</v>
          </cell>
        </row>
        <row r="2915">
          <cell r="A2915">
            <v>8134701</v>
          </cell>
          <cell r="B2915">
            <v>135134</v>
          </cell>
          <cell r="C2915">
            <v>813</v>
          </cell>
          <cell r="D2915" t="str">
            <v>North Lincolnshire</v>
          </cell>
          <cell r="E2915">
            <v>4701</v>
          </cell>
          <cell r="F2915" t="str">
            <v>Bev Annables</v>
          </cell>
          <cell r="G2915" t="str">
            <v>Melior Community College</v>
          </cell>
          <cell r="H2915" t="str">
            <v>Yorkshire and the Humber</v>
          </cell>
          <cell r="I2915" t="str">
            <v>Chandos Road</v>
          </cell>
          <cell r="L2915" t="str">
            <v>Scunthorpe</v>
          </cell>
          <cell r="M2915" t="str">
            <v>Lincolnshire</v>
          </cell>
          <cell r="N2915" t="str">
            <v>DN17 1HA</v>
          </cell>
          <cell r="O2915" t="str">
            <v>ABriggs.melior@hotmail.co.uk</v>
          </cell>
          <cell r="P2915">
            <v>40521</v>
          </cell>
        </row>
        <row r="2916">
          <cell r="A2916">
            <v>8834299</v>
          </cell>
          <cell r="B2916">
            <v>115216</v>
          </cell>
          <cell r="C2916">
            <v>883</v>
          </cell>
          <cell r="D2916" t="str">
            <v>Thurrock</v>
          </cell>
          <cell r="E2916">
            <v>4299</v>
          </cell>
          <cell r="F2916" t="str">
            <v>Beverley Samuel</v>
          </cell>
          <cell r="G2916" t="str">
            <v>The Ockendon School</v>
          </cell>
          <cell r="H2916" t="str">
            <v>East of England</v>
          </cell>
          <cell r="I2916" t="str">
            <v>Erriff Drive</v>
          </cell>
          <cell r="L2916" t="str">
            <v>South Ockendon</v>
          </cell>
          <cell r="M2916" t="str">
            <v>Essex</v>
          </cell>
          <cell r="N2916" t="str">
            <v>RM15 5AY</v>
          </cell>
          <cell r="O2916" t="str">
            <v>headteacher@ockendon.thurrock.sch.uk</v>
          </cell>
          <cell r="P2916">
            <v>40359</v>
          </cell>
        </row>
        <row r="2917">
          <cell r="A2917">
            <v>8734064</v>
          </cell>
          <cell r="B2917">
            <v>110874</v>
          </cell>
          <cell r="C2917">
            <v>873</v>
          </cell>
          <cell r="D2917" t="str">
            <v>Cambridgeshire</v>
          </cell>
          <cell r="E2917">
            <v>4064</v>
          </cell>
          <cell r="F2917" t="str">
            <v>Yvonne Reddington</v>
          </cell>
          <cell r="G2917" t="str">
            <v>St Ivo School</v>
          </cell>
          <cell r="H2917" t="str">
            <v>East of England</v>
          </cell>
          <cell r="I2917" t="str">
            <v>High Leys</v>
          </cell>
          <cell r="L2917" t="str">
            <v>St Ives</v>
          </cell>
          <cell r="M2917" t="str">
            <v>Cambridgeshire</v>
          </cell>
          <cell r="N2917" t="str">
            <v>PE27 6RR</v>
          </cell>
          <cell r="O2917" t="str">
            <v>hgilbert@stivoschool.org</v>
          </cell>
          <cell r="P2917">
            <v>40632</v>
          </cell>
        </row>
        <row r="2918">
          <cell r="A2918">
            <v>8152343</v>
          </cell>
          <cell r="B2918">
            <v>121406</v>
          </cell>
          <cell r="C2918">
            <v>815</v>
          </cell>
          <cell r="D2918" t="str">
            <v>North Yorkshire</v>
          </cell>
          <cell r="E2918">
            <v>2343</v>
          </cell>
          <cell r="F2918" t="str">
            <v>Jane Moore</v>
          </cell>
          <cell r="G2918" t="str">
            <v>Kettlewell Primary School</v>
          </cell>
          <cell r="H2918" t="str">
            <v>Yorkshire and the Humber</v>
          </cell>
          <cell r="I2918" t="str">
            <v>Kettlewell</v>
          </cell>
          <cell r="L2918" t="str">
            <v>Skipton</v>
          </cell>
          <cell r="M2918" t="str">
            <v>North Yorkshire</v>
          </cell>
          <cell r="N2918" t="str">
            <v>BD23 5HX</v>
          </cell>
        </row>
        <row r="2919">
          <cell r="A2919">
            <v>8952349</v>
          </cell>
          <cell r="B2919">
            <v>111159</v>
          </cell>
          <cell r="C2919">
            <v>895</v>
          </cell>
          <cell r="D2919" t="str">
            <v>Cheshire East</v>
          </cell>
          <cell r="E2919">
            <v>2349</v>
          </cell>
          <cell r="F2919" t="str">
            <v>Jane McCusker</v>
          </cell>
          <cell r="G2919" t="str">
            <v>Rode Heath Primary School</v>
          </cell>
          <cell r="H2919" t="str">
            <v>North West</v>
          </cell>
          <cell r="I2919" t="str">
            <v>Heath Avenue</v>
          </cell>
          <cell r="J2919" t="str">
            <v>Rode Heath</v>
          </cell>
          <cell r="L2919" t="str">
            <v>Stoke-on-Trent</v>
          </cell>
          <cell r="M2919" t="str">
            <v>Staffordshire</v>
          </cell>
          <cell r="N2919" t="str">
            <v>ST7 3RY</v>
          </cell>
          <cell r="O2919" t="str">
            <v>head@rodeheath.cheshire.sch.uk</v>
          </cell>
        </row>
        <row r="2920">
          <cell r="A2920">
            <v>8774226</v>
          </cell>
          <cell r="B2920">
            <v>111444</v>
          </cell>
          <cell r="C2920">
            <v>877</v>
          </cell>
          <cell r="D2920" t="str">
            <v>Warrington</v>
          </cell>
          <cell r="E2920">
            <v>4226</v>
          </cell>
          <cell r="F2920" t="str">
            <v>Linda Quinn</v>
          </cell>
          <cell r="G2920" t="str">
            <v>Birchwood Community High School</v>
          </cell>
          <cell r="H2920" t="str">
            <v>North West</v>
          </cell>
          <cell r="I2920" t="str">
            <v>Brock Road</v>
          </cell>
          <cell r="J2920" t="str">
            <v>Birchwood</v>
          </cell>
          <cell r="L2920" t="str">
            <v>Warrington</v>
          </cell>
          <cell r="M2920" t="str">
            <v>Cheshire</v>
          </cell>
          <cell r="N2920" t="str">
            <v>WA3 7PT</v>
          </cell>
          <cell r="O2920" t="str">
            <v>abright@birchwoodhigh.org</v>
          </cell>
          <cell r="P2920">
            <v>41240</v>
          </cell>
        </row>
        <row r="2921">
          <cell r="A2921">
            <v>8354508</v>
          </cell>
          <cell r="B2921">
            <v>113886</v>
          </cell>
          <cell r="C2921">
            <v>835</v>
          </cell>
          <cell r="D2921" t="str">
            <v>Dorset</v>
          </cell>
          <cell r="E2921">
            <v>4508</v>
          </cell>
          <cell r="F2921" t="str">
            <v>Tahamina Khan</v>
          </cell>
          <cell r="G2921" t="str">
            <v>Sandford Church of England Middle School</v>
          </cell>
          <cell r="H2921" t="str">
            <v>South West</v>
          </cell>
          <cell r="I2921" t="str">
            <v>Sandford</v>
          </cell>
          <cell r="L2921" t="str">
            <v>Wareham</v>
          </cell>
          <cell r="M2921" t="str">
            <v>Dorset</v>
          </cell>
          <cell r="N2921" t="str">
            <v>BH20 7BN</v>
          </cell>
          <cell r="O2921" t="str">
            <v>office@sandfordmid.dorset.sch.uk</v>
          </cell>
        </row>
        <row r="2922">
          <cell r="A2922">
            <v>9353092</v>
          </cell>
          <cell r="B2922">
            <v>124734</v>
          </cell>
          <cell r="C2922">
            <v>935</v>
          </cell>
          <cell r="D2922" t="str">
            <v>Suffolk</v>
          </cell>
          <cell r="E2922">
            <v>3092</v>
          </cell>
          <cell r="F2922" t="str">
            <v>Joe Farrell</v>
          </cell>
          <cell r="G2922" t="str">
            <v>Hintlesham and Chattisham Church of England Voluntary Controlled Primary School</v>
          </cell>
          <cell r="H2922" t="str">
            <v>East of England</v>
          </cell>
          <cell r="I2922" t="str">
            <v>George Street</v>
          </cell>
          <cell r="J2922" t="str">
            <v>Hintlesham</v>
          </cell>
          <cell r="L2922" t="str">
            <v>Ipswich</v>
          </cell>
          <cell r="M2922" t="str">
            <v>Suffolk</v>
          </cell>
          <cell r="N2922" t="str">
            <v>IP8 3NH</v>
          </cell>
          <cell r="O2922" t="str">
            <v>sue.e.cross@btinternet.com</v>
          </cell>
        </row>
        <row r="2923">
          <cell r="A2923">
            <v>9353085</v>
          </cell>
          <cell r="B2923">
            <v>124729</v>
          </cell>
          <cell r="C2923">
            <v>935</v>
          </cell>
          <cell r="D2923" t="str">
            <v>Suffolk</v>
          </cell>
          <cell r="E2923">
            <v>3085</v>
          </cell>
          <cell r="F2923" t="str">
            <v>Struan Mackenzie</v>
          </cell>
          <cell r="G2923" t="str">
            <v>East Bergholt CEVC Primary</v>
          </cell>
          <cell r="H2923" t="str">
            <v>East of England</v>
          </cell>
          <cell r="I2923" t="str">
            <v>School Lane</v>
          </cell>
          <cell r="J2923" t="str">
            <v>East Bergholt</v>
          </cell>
          <cell r="L2923" t="str">
            <v>Colchester</v>
          </cell>
          <cell r="M2923" t="str">
            <v>Essex</v>
          </cell>
          <cell r="N2923" t="str">
            <v>CO7 6SW</v>
          </cell>
          <cell r="O2923" t="str">
            <v>ht.eastbergholt.p@talk21.com</v>
          </cell>
        </row>
        <row r="2924">
          <cell r="A2924">
            <v>9165401</v>
          </cell>
          <cell r="B2924">
            <v>115752</v>
          </cell>
          <cell r="C2924">
            <v>916</v>
          </cell>
          <cell r="D2924" t="str">
            <v>Gloucestershire</v>
          </cell>
          <cell r="E2924">
            <v>5401</v>
          </cell>
          <cell r="F2924" t="str">
            <v>Kate Bosher</v>
          </cell>
          <cell r="G2924" t="str">
            <v>Marling School</v>
          </cell>
          <cell r="H2924" t="str">
            <v>South West</v>
          </cell>
          <cell r="I2924" t="str">
            <v>Cainscross Road</v>
          </cell>
          <cell r="L2924" t="str">
            <v>Stroud</v>
          </cell>
          <cell r="M2924" t="str">
            <v>Gloucestershire</v>
          </cell>
          <cell r="N2924" t="str">
            <v>GL5 4HE</v>
          </cell>
          <cell r="O2924" t="str">
            <v>stuart.wilson@marling.gloucs.sch.uk</v>
          </cell>
          <cell r="P2924">
            <v>40591</v>
          </cell>
        </row>
        <row r="2925">
          <cell r="A2925">
            <v>8924461</v>
          </cell>
          <cell r="B2925">
            <v>133256</v>
          </cell>
          <cell r="C2925">
            <v>892</v>
          </cell>
          <cell r="D2925" t="str">
            <v>Nottingham</v>
          </cell>
          <cell r="E2925">
            <v>4461</v>
          </cell>
          <cell r="F2925" t="str">
            <v>Sue Harp</v>
          </cell>
          <cell r="G2925" t="str">
            <v>Hadden Park High School</v>
          </cell>
          <cell r="H2925" t="str">
            <v>East Midlands</v>
          </cell>
          <cell r="I2925" t="str">
            <v>Harvey Road</v>
          </cell>
          <cell r="J2925" t="str">
            <v>Bilborough</v>
          </cell>
          <cell r="L2925" t="str">
            <v>Nottingham</v>
          </cell>
          <cell r="M2925" t="str">
            <v>Nottinghamshire</v>
          </cell>
          <cell r="N2925" t="str">
            <v>NG8 3GP</v>
          </cell>
          <cell r="O2925" t="str">
            <v>headteacher@haddenpark.nottingham.sch.uk</v>
          </cell>
        </row>
        <row r="2926">
          <cell r="A2926">
            <v>3302142</v>
          </cell>
          <cell r="B2926">
            <v>103237</v>
          </cell>
          <cell r="C2926">
            <v>330</v>
          </cell>
          <cell r="D2926" t="str">
            <v>Birmingham</v>
          </cell>
          <cell r="E2926">
            <v>2142</v>
          </cell>
          <cell r="F2926" t="str">
            <v>Alison Middleton</v>
          </cell>
          <cell r="G2926" t="str">
            <v>Nelson Junior and Infant School</v>
          </cell>
          <cell r="H2926" t="str">
            <v>West Midlands</v>
          </cell>
          <cell r="I2926" t="str">
            <v>King Edward's Road</v>
          </cell>
          <cell r="J2926" t="str">
            <v>Ladywood</v>
          </cell>
          <cell r="L2926" t="str">
            <v>Birmingham</v>
          </cell>
          <cell r="M2926" t="str">
            <v>West Midlands</v>
          </cell>
          <cell r="N2926" t="str">
            <v>B1 2PJ</v>
          </cell>
          <cell r="O2926" t="str">
            <v>m.tromans@nelson.bham.sch.uk</v>
          </cell>
        </row>
        <row r="2927">
          <cell r="A2927">
            <v>2063633</v>
          </cell>
          <cell r="B2927">
            <v>100450</v>
          </cell>
          <cell r="C2927">
            <v>206</v>
          </cell>
          <cell r="D2927" t="str">
            <v>Islington</v>
          </cell>
          <cell r="E2927">
            <v>3633</v>
          </cell>
          <cell r="F2927" t="str">
            <v>Martin Rowley</v>
          </cell>
          <cell r="G2927" t="str">
            <v>Christ the King RC Primary</v>
          </cell>
          <cell r="H2927" t="str">
            <v>London</v>
          </cell>
          <cell r="I2927" t="str">
            <v>55 Tollington Park</v>
          </cell>
          <cell r="L2927" t="str">
            <v>London</v>
          </cell>
          <cell r="N2927" t="str">
            <v>N4 3QW</v>
          </cell>
          <cell r="O2927" t="str">
            <v>paul@ctks.co.uk</v>
          </cell>
        </row>
        <row r="2928">
          <cell r="A2928">
            <v>3802001</v>
          </cell>
          <cell r="B2928">
            <v>107193</v>
          </cell>
          <cell r="C2928">
            <v>380</v>
          </cell>
          <cell r="D2928" t="str">
            <v>Bradford</v>
          </cell>
          <cell r="E2928">
            <v>2001</v>
          </cell>
          <cell r="F2928" t="str">
            <v>Lisa Sargeant</v>
          </cell>
          <cell r="G2928" t="str">
            <v>Allerton Primary School</v>
          </cell>
          <cell r="H2928" t="str">
            <v>Yorkshire and the Humber</v>
          </cell>
          <cell r="I2928" t="str">
            <v>Garforth Street</v>
          </cell>
          <cell r="J2928" t="str">
            <v>Allerton</v>
          </cell>
          <cell r="L2928" t="str">
            <v>Bradford</v>
          </cell>
          <cell r="M2928" t="str">
            <v>West Yorkshire</v>
          </cell>
          <cell r="N2928" t="str">
            <v>BD15 7HB</v>
          </cell>
          <cell r="O2928" t="str">
            <v>Sharon.lambert@btinternet.com</v>
          </cell>
          <cell r="P2928">
            <v>40680</v>
          </cell>
        </row>
        <row r="2929">
          <cell r="A2929">
            <v>9194016</v>
          </cell>
          <cell r="B2929">
            <v>117509</v>
          </cell>
          <cell r="C2929">
            <v>919</v>
          </cell>
          <cell r="D2929" t="str">
            <v>Hertfordshire</v>
          </cell>
          <cell r="E2929">
            <v>4016</v>
          </cell>
          <cell r="F2929" t="str">
            <v>Joe Farrell</v>
          </cell>
          <cell r="G2929" t="str">
            <v>The Knights Templar School</v>
          </cell>
          <cell r="H2929" t="str">
            <v>East of England</v>
          </cell>
          <cell r="I2929" t="str">
            <v>Park Street</v>
          </cell>
          <cell r="L2929" t="str">
            <v>Baldock</v>
          </cell>
          <cell r="M2929" t="str">
            <v>Hertfordshire</v>
          </cell>
          <cell r="N2929" t="str">
            <v>SG7 6DZ</v>
          </cell>
          <cell r="O2929" t="str">
            <v>head@ktemplar.herts.sch.uk</v>
          </cell>
          <cell r="P2929">
            <v>40462</v>
          </cell>
        </row>
        <row r="2930">
          <cell r="A2930">
            <v>8553098</v>
          </cell>
          <cell r="B2930">
            <v>120169</v>
          </cell>
          <cell r="C2930">
            <v>855</v>
          </cell>
          <cell r="D2930" t="str">
            <v>Leicestershire</v>
          </cell>
          <cell r="E2930">
            <v>3098</v>
          </cell>
          <cell r="F2930" t="str">
            <v>Sue Harp</v>
          </cell>
          <cell r="G2930" t="str">
            <v>Ullesthorpe Church of England Primary School</v>
          </cell>
          <cell r="H2930" t="str">
            <v>East Midlands</v>
          </cell>
          <cell r="I2930" t="str">
            <v>Ashby Road</v>
          </cell>
          <cell r="J2930" t="str">
            <v>Ullesthorpe</v>
          </cell>
          <cell r="L2930" t="str">
            <v>Lutterworth</v>
          </cell>
          <cell r="M2930" t="str">
            <v>Leicestershire</v>
          </cell>
          <cell r="N2930" t="str">
            <v>LE17 5DN</v>
          </cell>
        </row>
        <row r="2931">
          <cell r="A2931">
            <v>9374802</v>
          </cell>
          <cell r="B2931">
            <v>125757</v>
          </cell>
          <cell r="C2931">
            <v>937</v>
          </cell>
          <cell r="D2931" t="str">
            <v>Warwickshire</v>
          </cell>
          <cell r="E2931">
            <v>4802</v>
          </cell>
          <cell r="F2931" t="str">
            <v>Julia Waterhouse</v>
          </cell>
          <cell r="G2931" t="str">
            <v>Harris School</v>
          </cell>
          <cell r="H2931" t="str">
            <v>West Midlands</v>
          </cell>
          <cell r="I2931" t="str">
            <v>Harris Drive</v>
          </cell>
          <cell r="J2931" t="str">
            <v>Overslade Lane</v>
          </cell>
          <cell r="L2931" t="str">
            <v>Rugby</v>
          </cell>
          <cell r="M2931" t="str">
            <v>Warwickshire</v>
          </cell>
          <cell r="N2931" t="str">
            <v>CV22 6EA</v>
          </cell>
          <cell r="O2931" t="str">
            <v>cbult@harris-school.co.uk</v>
          </cell>
        </row>
        <row r="2932">
          <cell r="A2932">
            <v>3802027</v>
          </cell>
          <cell r="B2932">
            <v>107204</v>
          </cell>
          <cell r="C2932">
            <v>380</v>
          </cell>
          <cell r="D2932" t="str">
            <v>Bradford</v>
          </cell>
          <cell r="E2932">
            <v>2027</v>
          </cell>
          <cell r="F2932" t="str">
            <v>Jane Moore</v>
          </cell>
          <cell r="G2932" t="str">
            <v>Frizinghall Primary School</v>
          </cell>
          <cell r="H2932" t="str">
            <v>Yorkshire and the Humber</v>
          </cell>
          <cell r="I2932" t="str">
            <v>Salisbury Road</v>
          </cell>
          <cell r="J2932" t="str">
            <v>Frizinghall</v>
          </cell>
          <cell r="L2932" t="str">
            <v>Bradford</v>
          </cell>
          <cell r="M2932" t="str">
            <v>West Yorkshire</v>
          </cell>
          <cell r="N2932" t="str">
            <v>BD9 4HP</v>
          </cell>
          <cell r="O2932" t="str">
            <v>pauline.chilvers@frizinghall.ngfl.ac.uk</v>
          </cell>
          <cell r="P2932">
            <v>40746</v>
          </cell>
        </row>
        <row r="2933">
          <cell r="A2933">
            <v>3702125</v>
          </cell>
          <cell r="B2933">
            <v>106613</v>
          </cell>
          <cell r="C2933">
            <v>370</v>
          </cell>
          <cell r="D2933" t="str">
            <v>Barnsley</v>
          </cell>
          <cell r="E2933">
            <v>2125</v>
          </cell>
          <cell r="F2933" t="str">
            <v>John Edmunds</v>
          </cell>
          <cell r="G2933" t="str">
            <v>Royston Summer Fields Primary School</v>
          </cell>
          <cell r="H2933" t="str">
            <v>Yorkshire and the Humber</v>
          </cell>
          <cell r="I2933" t="str">
            <v>Haigh Croft Summer Lane</v>
          </cell>
          <cell r="J2933" t="str">
            <v>Royston</v>
          </cell>
          <cell r="L2933" t="str">
            <v>Barnsley</v>
          </cell>
          <cell r="M2933" t="str">
            <v>South Yorkshire</v>
          </cell>
          <cell r="N2933" t="str">
            <v>S71 4SF</v>
          </cell>
          <cell r="O2933" t="str">
            <v>m.fretwell1@barnsley.org</v>
          </cell>
          <cell r="P2933">
            <v>41080</v>
          </cell>
        </row>
        <row r="2934">
          <cell r="A2934">
            <v>8812696</v>
          </cell>
          <cell r="B2934">
            <v>114954</v>
          </cell>
          <cell r="C2934">
            <v>881</v>
          </cell>
          <cell r="D2934" t="str">
            <v>Essex</v>
          </cell>
          <cell r="E2934">
            <v>2696</v>
          </cell>
          <cell r="F2934" t="str">
            <v>Tony Bretherick</v>
          </cell>
          <cell r="G2934" t="str">
            <v>Kingston School</v>
          </cell>
          <cell r="H2934" t="str">
            <v>East of England</v>
          </cell>
          <cell r="I2934" t="str">
            <v>Church Road</v>
          </cell>
          <cell r="J2934" t="str">
            <v>Thundersley</v>
          </cell>
          <cell r="L2934" t="str">
            <v>Benfleet</v>
          </cell>
          <cell r="M2934" t="str">
            <v>Essex</v>
          </cell>
          <cell r="N2934" t="str">
            <v>SS7 3HG</v>
          </cell>
          <cell r="O2934" t="str">
            <v>admin@kingston.essex.sch.uk</v>
          </cell>
          <cell r="P2934">
            <v>40632</v>
          </cell>
        </row>
        <row r="2935">
          <cell r="A2935">
            <v>8552187</v>
          </cell>
          <cell r="B2935">
            <v>119988</v>
          </cell>
          <cell r="C2935">
            <v>855</v>
          </cell>
          <cell r="D2935" t="str">
            <v>Leicestershire</v>
          </cell>
          <cell r="E2935">
            <v>2187</v>
          </cell>
          <cell r="F2935" t="str">
            <v>Pauline Cole</v>
          </cell>
          <cell r="G2935" t="str">
            <v>Captains Close Primary School</v>
          </cell>
          <cell r="H2935" t="str">
            <v>East Midlands</v>
          </cell>
          <cell r="I2935" t="str">
            <v>Saxelby Road</v>
          </cell>
          <cell r="J2935" t="str">
            <v>Asfordby</v>
          </cell>
          <cell r="L2935" t="str">
            <v>Melton Mowbray</v>
          </cell>
          <cell r="M2935" t="str">
            <v>Leicestershire</v>
          </cell>
          <cell r="N2935" t="str">
            <v>LE14 3TU</v>
          </cell>
          <cell r="O2935" t="str">
            <v>Jhancock3@captains-close.leics.sch.uk</v>
          </cell>
          <cell r="P2935">
            <v>41255</v>
          </cell>
        </row>
        <row r="2936">
          <cell r="A2936">
            <v>8817001</v>
          </cell>
          <cell r="B2936">
            <v>134100</v>
          </cell>
          <cell r="C2936">
            <v>881</v>
          </cell>
          <cell r="D2936" t="str">
            <v>Essex</v>
          </cell>
          <cell r="E2936">
            <v>7001</v>
          </cell>
          <cell r="F2936" t="str">
            <v>Shreena Patel</v>
          </cell>
          <cell r="G2936" t="str">
            <v>The Pioneer School</v>
          </cell>
          <cell r="H2936" t="str">
            <v>East of England</v>
          </cell>
          <cell r="I2936" t="str">
            <v>Ghyllgrove</v>
          </cell>
          <cell r="L2936" t="str">
            <v>Basildon</v>
          </cell>
          <cell r="M2936" t="str">
            <v>Essex</v>
          </cell>
          <cell r="N2936" t="str">
            <v>SS14 2LA</v>
          </cell>
          <cell r="O2936" t="str">
            <v>shorsted@pioneer.essex.sch.uk</v>
          </cell>
          <cell r="P2936">
            <v>40949</v>
          </cell>
        </row>
        <row r="2937">
          <cell r="A2937">
            <v>2092267</v>
          </cell>
          <cell r="B2937">
            <v>100685</v>
          </cell>
          <cell r="C2937">
            <v>209</v>
          </cell>
          <cell r="D2937" t="str">
            <v>Lewisham</v>
          </cell>
          <cell r="E2937">
            <v>2267</v>
          </cell>
          <cell r="F2937" t="str">
            <v>Helen Barry</v>
          </cell>
          <cell r="G2937" t="str">
            <v>Grinling Gibbons Primary School</v>
          </cell>
          <cell r="H2937" t="str">
            <v>London</v>
          </cell>
          <cell r="I2937" t="str">
            <v>Clyde Street</v>
          </cell>
          <cell r="J2937" t="str">
            <v>Deptford</v>
          </cell>
          <cell r="L2937" t="str">
            <v>London</v>
          </cell>
          <cell r="N2937" t="str">
            <v>SE8 5LW</v>
          </cell>
          <cell r="O2937" t="str">
            <v>ceubank@ggibbons.lewisham.sch.uk</v>
          </cell>
        </row>
        <row r="2938">
          <cell r="A2938">
            <v>9092107</v>
          </cell>
          <cell r="B2938">
            <v>112131</v>
          </cell>
          <cell r="C2938">
            <v>909</v>
          </cell>
          <cell r="D2938" t="str">
            <v>Cumbria</v>
          </cell>
          <cell r="E2938">
            <v>2107</v>
          </cell>
          <cell r="F2938" t="str">
            <v>Linda Tiley</v>
          </cell>
          <cell r="G2938" t="str">
            <v>Fairfield Infant School</v>
          </cell>
          <cell r="H2938" t="str">
            <v>North West</v>
          </cell>
          <cell r="I2938" t="str">
            <v>Gallowbarrow</v>
          </cell>
          <cell r="L2938" t="str">
            <v>Cockermouth</v>
          </cell>
          <cell r="M2938" t="str">
            <v>Cumbria</v>
          </cell>
          <cell r="N2938" t="str">
            <v>CA13 0DX</v>
          </cell>
          <cell r="O2938" t="str">
            <v>head@fairfieldinf.cumbria.sch.uk</v>
          </cell>
          <cell r="P2938">
            <v>41038</v>
          </cell>
        </row>
        <row r="2939">
          <cell r="A2939">
            <v>3545400</v>
          </cell>
          <cell r="B2939">
            <v>105852</v>
          </cell>
          <cell r="C2939">
            <v>354</v>
          </cell>
          <cell r="D2939" t="str">
            <v>Rochdale</v>
          </cell>
          <cell r="E2939">
            <v>5400</v>
          </cell>
          <cell r="F2939" t="str">
            <v>Linda Tiley</v>
          </cell>
          <cell r="G2939" t="str">
            <v>Wardle High School</v>
          </cell>
          <cell r="H2939" t="str">
            <v>North West</v>
          </cell>
          <cell r="I2939" t="str">
            <v>Birch Road</v>
          </cell>
          <cell r="J2939" t="str">
            <v>Wardle</v>
          </cell>
          <cell r="L2939" t="str">
            <v>Rochdale</v>
          </cell>
          <cell r="M2939" t="str">
            <v>Lancashire</v>
          </cell>
          <cell r="N2939" t="str">
            <v>OL12 9RD</v>
          </cell>
          <cell r="O2939" t="str">
            <v>gwright@wardlehigh.co.uk</v>
          </cell>
          <cell r="P2939">
            <v>40961</v>
          </cell>
        </row>
        <row r="2940">
          <cell r="A2940">
            <v>9332045</v>
          </cell>
          <cell r="B2940">
            <v>123653</v>
          </cell>
          <cell r="C2940">
            <v>933</v>
          </cell>
          <cell r="D2940" t="str">
            <v>Somerset</v>
          </cell>
          <cell r="E2940">
            <v>2045</v>
          </cell>
          <cell r="F2940" t="str">
            <v>Theresa Oddelm</v>
          </cell>
          <cell r="G2940" t="str">
            <v>Meare Village Primary School</v>
          </cell>
          <cell r="H2940" t="str">
            <v>South West</v>
          </cell>
          <cell r="I2940" t="str">
            <v>St Mary's Road</v>
          </cell>
          <cell r="J2940" t="str">
            <v>Meare</v>
          </cell>
          <cell r="L2940" t="str">
            <v>Glastonbury</v>
          </cell>
          <cell r="M2940" t="str">
            <v>Somerset</v>
          </cell>
          <cell r="N2940" t="str">
            <v>BA6 9SP</v>
          </cell>
        </row>
        <row r="2941">
          <cell r="A2941">
            <v>9163021</v>
          </cell>
          <cell r="B2941">
            <v>115613</v>
          </cell>
          <cell r="C2941">
            <v>916</v>
          </cell>
          <cell r="D2941" t="str">
            <v>Gloucestershire</v>
          </cell>
          <cell r="E2941">
            <v>3021</v>
          </cell>
          <cell r="F2941" t="str">
            <v>Simon Foster</v>
          </cell>
          <cell r="G2941" t="str">
            <v>Blockley Church of England Primary School</v>
          </cell>
          <cell r="H2941" t="str">
            <v>South West</v>
          </cell>
          <cell r="I2941" t="str">
            <v>Park Road</v>
          </cell>
          <cell r="J2941" t="str">
            <v>Blockley</v>
          </cell>
          <cell r="L2941" t="str">
            <v>Moreton-in-Marsh</v>
          </cell>
          <cell r="M2941" t="str">
            <v>Gloucestershire</v>
          </cell>
          <cell r="N2941" t="str">
            <v>GL56 9BY</v>
          </cell>
          <cell r="O2941" t="str">
            <v>admin@blockleyschool.gloucs.sch.uk</v>
          </cell>
          <cell r="P2941">
            <v>40739</v>
          </cell>
        </row>
        <row r="2942">
          <cell r="A2942">
            <v>9163101</v>
          </cell>
          <cell r="B2942">
            <v>132248</v>
          </cell>
          <cell r="C2942">
            <v>916</v>
          </cell>
          <cell r="D2942" t="str">
            <v>Gloucestershire</v>
          </cell>
          <cell r="E2942">
            <v>3101</v>
          </cell>
          <cell r="F2942" t="str">
            <v>Not yet assigned</v>
          </cell>
          <cell r="G2942" t="str">
            <v>Lakefield CE Primary School</v>
          </cell>
          <cell r="H2942" t="str">
            <v>South West</v>
          </cell>
          <cell r="I2942" t="str">
            <v>Lake Lane</v>
          </cell>
          <cell r="J2942" t="str">
            <v>Frampton-on-Severn</v>
          </cell>
          <cell r="L2942" t="str">
            <v>Gloucester</v>
          </cell>
          <cell r="M2942" t="str">
            <v>Gloucestershire</v>
          </cell>
          <cell r="N2942" t="str">
            <v>GL2 7HG</v>
          </cell>
          <cell r="O2942" t="str">
            <v xml:space="preserve"> head@lakefield.gloucs.sch.uk</v>
          </cell>
        </row>
        <row r="2943">
          <cell r="A2943">
            <v>8223020</v>
          </cell>
          <cell r="B2943">
            <v>109611</v>
          </cell>
          <cell r="C2943">
            <v>822</v>
          </cell>
          <cell r="D2943" t="str">
            <v>Bedford</v>
          </cell>
          <cell r="E2943">
            <v>3020</v>
          </cell>
          <cell r="F2943" t="str">
            <v>Not yet assigned</v>
          </cell>
          <cell r="G2943" t="str">
            <v>Bromham C of E (VC) Lower School</v>
          </cell>
          <cell r="H2943" t="str">
            <v>East of England</v>
          </cell>
          <cell r="I2943" t="str">
            <v>Grange Lane</v>
          </cell>
          <cell r="J2943" t="str">
            <v>Bromham</v>
          </cell>
          <cell r="L2943" t="str">
            <v>Bedford</v>
          </cell>
          <cell r="M2943" t="str">
            <v>Bedfordshire</v>
          </cell>
          <cell r="N2943" t="str">
            <v>MK43 8NR</v>
          </cell>
          <cell r="O2943" t="str">
            <v>v.gilks@bedfordshire.gov.uk</v>
          </cell>
        </row>
        <row r="2944">
          <cell r="A2944">
            <v>9163072</v>
          </cell>
          <cell r="B2944">
            <v>115653</v>
          </cell>
          <cell r="C2944">
            <v>916</v>
          </cell>
          <cell r="D2944" t="str">
            <v>Gloucestershire</v>
          </cell>
          <cell r="E2944">
            <v>3072</v>
          </cell>
          <cell r="F2944" t="str">
            <v>Not yet assigned</v>
          </cell>
          <cell r="G2944" t="str">
            <v>Temple Guiting Church of England School</v>
          </cell>
          <cell r="H2944" t="str">
            <v>South West</v>
          </cell>
          <cell r="I2944" t="str">
            <v>Temple Guiting</v>
          </cell>
          <cell r="L2944" t="str">
            <v>Cheltenham</v>
          </cell>
          <cell r="M2944" t="str">
            <v>Gloucestershire</v>
          </cell>
          <cell r="N2944" t="str">
            <v>GL54 5RW</v>
          </cell>
          <cell r="O2944" t="str">
            <v>head@templeguiting.gloucs.sch.uk</v>
          </cell>
        </row>
        <row r="2945">
          <cell r="A2945">
            <v>8952161</v>
          </cell>
          <cell r="B2945">
            <v>111031</v>
          </cell>
          <cell r="C2945">
            <v>895</v>
          </cell>
          <cell r="D2945" t="str">
            <v>Cheshire East</v>
          </cell>
          <cell r="E2945">
            <v>2161</v>
          </cell>
          <cell r="F2945" t="str">
            <v>Jane McCusker</v>
          </cell>
          <cell r="G2945" t="str">
            <v>Lindow Community Primary School</v>
          </cell>
          <cell r="H2945" t="str">
            <v>North West</v>
          </cell>
          <cell r="I2945" t="str">
            <v>Upcast Lane</v>
          </cell>
          <cell r="L2945" t="str">
            <v>Wilmslow</v>
          </cell>
          <cell r="M2945" t="str">
            <v>Cheshire</v>
          </cell>
          <cell r="N2945" t="str">
            <v>SK9 6EH</v>
          </cell>
          <cell r="O2945" t="str">
            <v>admin@lindow.cheshire.org.uk</v>
          </cell>
        </row>
        <row r="2946">
          <cell r="A2946">
            <v>9083716</v>
          </cell>
          <cell r="B2946">
            <v>112018</v>
          </cell>
          <cell r="C2946">
            <v>908</v>
          </cell>
          <cell r="D2946" t="str">
            <v>Cornwall</v>
          </cell>
          <cell r="E2946">
            <v>3716</v>
          </cell>
          <cell r="F2946" t="str">
            <v>Kate Bosher</v>
          </cell>
          <cell r="G2946" t="str">
            <v>St Mabyn CofE School</v>
          </cell>
          <cell r="H2946" t="str">
            <v>South West</v>
          </cell>
          <cell r="I2946" t="str">
            <v>St Mabyn</v>
          </cell>
          <cell r="L2946" t="str">
            <v>Bodmin</v>
          </cell>
          <cell r="M2946" t="str">
            <v>Cornwall</v>
          </cell>
          <cell r="N2946" t="str">
            <v>PL30 3BQ</v>
          </cell>
          <cell r="O2946" t="str">
            <v>head@st-mabyn.cornwall.sch.uk</v>
          </cell>
          <cell r="P2946">
            <v>41124</v>
          </cell>
        </row>
        <row r="2947">
          <cell r="A2947">
            <v>8815461</v>
          </cell>
          <cell r="B2947">
            <v>115377</v>
          </cell>
          <cell r="C2947">
            <v>881</v>
          </cell>
          <cell r="D2947" t="str">
            <v>Essex</v>
          </cell>
          <cell r="E2947">
            <v>5461</v>
          </cell>
          <cell r="F2947" t="str">
            <v>Aminat Alli</v>
          </cell>
          <cell r="G2947" t="str">
            <v>Brentwood Ursuline Convent High School</v>
          </cell>
          <cell r="H2947" t="str">
            <v>East of England</v>
          </cell>
          <cell r="I2947" t="str">
            <v>Queen's Road</v>
          </cell>
          <cell r="L2947" t="str">
            <v>Brentwood</v>
          </cell>
          <cell r="M2947" t="str">
            <v>Essex</v>
          </cell>
          <cell r="N2947" t="str">
            <v>CM14 4EX</v>
          </cell>
          <cell r="P2947">
            <v>41054</v>
          </cell>
        </row>
        <row r="2948">
          <cell r="A2948">
            <v>3912900</v>
          </cell>
          <cell r="B2948">
            <v>108481</v>
          </cell>
          <cell r="C2948">
            <v>391</v>
          </cell>
          <cell r="D2948" t="str">
            <v>Newcastle upon Tyne</v>
          </cell>
          <cell r="E2948">
            <v>2900</v>
          </cell>
          <cell r="F2948" t="str">
            <v>Bev Mullin</v>
          </cell>
          <cell r="G2948" t="str">
            <v>Welbeck Primary School</v>
          </cell>
          <cell r="H2948" t="str">
            <v>North East</v>
          </cell>
          <cell r="I2948" t="str">
            <v>Flodden Street</v>
          </cell>
          <cell r="J2948" t="str">
            <v>Walker</v>
          </cell>
          <cell r="L2948" t="str">
            <v>Newcastle-upon-Tyne</v>
          </cell>
          <cell r="M2948" t="str">
            <v>Tyne and Wear</v>
          </cell>
          <cell r="N2948" t="str">
            <v>NE6 2QL</v>
          </cell>
          <cell r="O2948" t="str">
            <v>linda.taylor@welbeck.newcastle.sch.uk</v>
          </cell>
          <cell r="P2948">
            <v>40994</v>
          </cell>
        </row>
        <row r="2949">
          <cell r="A2949">
            <v>9282040</v>
          </cell>
          <cell r="B2949">
            <v>121820</v>
          </cell>
          <cell r="C2949">
            <v>928</v>
          </cell>
          <cell r="D2949" t="str">
            <v>Northamptonshire</v>
          </cell>
          <cell r="E2949">
            <v>2040</v>
          </cell>
          <cell r="F2949" t="str">
            <v>Stephen Standret</v>
          </cell>
          <cell r="G2949" t="str">
            <v>Great Creaton Primary</v>
          </cell>
          <cell r="H2949" t="str">
            <v>East Midlands</v>
          </cell>
          <cell r="I2949" t="str">
            <v>Welford Road</v>
          </cell>
          <cell r="J2949" t="str">
            <v>Creaton</v>
          </cell>
          <cell r="L2949" t="str">
            <v>Northampton</v>
          </cell>
          <cell r="M2949" t="str">
            <v>Northamptonshire</v>
          </cell>
          <cell r="N2949" t="str">
            <v>NN6 8NH</v>
          </cell>
          <cell r="O2949" t="str">
            <v>head@creaton.northants-ecl.gov.uk</v>
          </cell>
        </row>
        <row r="2950">
          <cell r="A2950">
            <v>8122939</v>
          </cell>
          <cell r="B2950">
            <v>117966</v>
          </cell>
          <cell r="C2950">
            <v>812</v>
          </cell>
          <cell r="D2950" t="str">
            <v>North East Lincolnshire</v>
          </cell>
          <cell r="E2950">
            <v>2939</v>
          </cell>
          <cell r="F2950" t="str">
            <v>Bev Annables</v>
          </cell>
          <cell r="G2950" t="str">
            <v>Humberston Cloverfields Primary School</v>
          </cell>
          <cell r="H2950" t="str">
            <v>Yorkshire and the Humber</v>
          </cell>
          <cell r="I2950" t="str">
            <v>St Thomas Close</v>
          </cell>
          <cell r="J2950" t="str">
            <v>Humberston</v>
          </cell>
          <cell r="L2950" t="str">
            <v>Grimsby</v>
          </cell>
          <cell r="M2950" t="str">
            <v>Lincolnshire</v>
          </cell>
          <cell r="N2950" t="str">
            <v>DN36 4HS</v>
          </cell>
          <cell r="O2950" t="str">
            <v>head@hcp.tlfe.org</v>
          </cell>
          <cell r="P2950">
            <v>40935</v>
          </cell>
        </row>
        <row r="2951">
          <cell r="A2951">
            <v>8505206</v>
          </cell>
          <cell r="B2951">
            <v>116486</v>
          </cell>
          <cell r="C2951">
            <v>850</v>
          </cell>
          <cell r="D2951" t="str">
            <v>Hampshire</v>
          </cell>
          <cell r="E2951">
            <v>5206</v>
          </cell>
          <cell r="F2951" t="str">
            <v>Amanda Barrett</v>
          </cell>
          <cell r="G2951" t="str">
            <v>Hordle CofE Primary School</v>
          </cell>
          <cell r="H2951" t="str">
            <v>South East</v>
          </cell>
          <cell r="I2951" t="str">
            <v>Hordle Lane</v>
          </cell>
          <cell r="J2951" t="str">
            <v>Hordle</v>
          </cell>
          <cell r="L2951" t="str">
            <v>Lymington</v>
          </cell>
          <cell r="M2951" t="str">
            <v>Hampshire</v>
          </cell>
          <cell r="N2951" t="str">
            <v>SO41 0FB</v>
          </cell>
          <cell r="O2951" t="str">
            <v>fiona.adams@hordle.hants.sch.uk</v>
          </cell>
        </row>
        <row r="2952">
          <cell r="A2952">
            <v>8603433</v>
          </cell>
          <cell r="B2952">
            <v>124334</v>
          </cell>
          <cell r="C2952">
            <v>860</v>
          </cell>
          <cell r="D2952" t="str">
            <v>Staffordshire</v>
          </cell>
          <cell r="E2952">
            <v>3433</v>
          </cell>
          <cell r="F2952" t="str">
            <v>Stephen Bagnall</v>
          </cell>
          <cell r="G2952" t="str">
            <v>Church Eaton Endowed (VA) Primary School</v>
          </cell>
          <cell r="H2952" t="str">
            <v>West Midlands</v>
          </cell>
          <cell r="I2952" t="str">
            <v>Church Eaton</v>
          </cell>
          <cell r="L2952" t="str">
            <v>Stafford</v>
          </cell>
          <cell r="M2952" t="str">
            <v>Staffordshire</v>
          </cell>
          <cell r="N2952" t="str">
            <v>ST20 0AG</v>
          </cell>
        </row>
        <row r="2953">
          <cell r="A2953">
            <v>8402023</v>
          </cell>
          <cell r="B2953">
            <v>113996</v>
          </cell>
          <cell r="C2953">
            <v>840</v>
          </cell>
          <cell r="D2953" t="str">
            <v>Durham</v>
          </cell>
          <cell r="E2953">
            <v>2023</v>
          </cell>
          <cell r="F2953" t="str">
            <v>Janet Smith</v>
          </cell>
          <cell r="G2953" t="str">
            <v>New Seaham Primary School</v>
          </cell>
          <cell r="H2953" t="str">
            <v>North East</v>
          </cell>
          <cell r="I2953" t="str">
            <v>Byron Terrace</v>
          </cell>
          <cell r="L2953" t="str">
            <v>Seaham</v>
          </cell>
          <cell r="M2953" t="str">
            <v>County Durham</v>
          </cell>
          <cell r="N2953" t="str">
            <v>SR7 0HX</v>
          </cell>
          <cell r="O2953" t="str">
            <v>b.dolan100@durhamlearning.net</v>
          </cell>
          <cell r="P2953">
            <v>40998</v>
          </cell>
        </row>
        <row r="2954">
          <cell r="A2954">
            <v>3122074</v>
          </cell>
          <cell r="B2954">
            <v>102413</v>
          </cell>
          <cell r="C2954">
            <v>312</v>
          </cell>
          <cell r="D2954" t="str">
            <v>Hillingdon</v>
          </cell>
          <cell r="E2954">
            <v>2074</v>
          </cell>
          <cell r="F2954" t="str">
            <v>Martin Rowley</v>
          </cell>
          <cell r="G2954" t="str">
            <v>Whiteheath Infant and Nursery School</v>
          </cell>
          <cell r="H2954" t="str">
            <v>London</v>
          </cell>
          <cell r="I2954" t="str">
            <v>Ladygate Lane</v>
          </cell>
          <cell r="L2954" t="str">
            <v>Ruislip</v>
          </cell>
          <cell r="N2954" t="str">
            <v>HA4 7RF</v>
          </cell>
          <cell r="O2954" t="str">
            <v>cweaving@hillingdongrid.org</v>
          </cell>
        </row>
        <row r="2955">
          <cell r="A2955">
            <v>8234040</v>
          </cell>
          <cell r="B2955">
            <v>109656</v>
          </cell>
          <cell r="C2955">
            <v>823</v>
          </cell>
          <cell r="D2955" t="str">
            <v>Central Bedfordshire</v>
          </cell>
          <cell r="E2955">
            <v>4040</v>
          </cell>
          <cell r="F2955" t="str">
            <v>Joe Farrell</v>
          </cell>
          <cell r="G2955" t="str">
            <v>Arnold Middle School</v>
          </cell>
          <cell r="H2955" t="str">
            <v>East of England</v>
          </cell>
          <cell r="I2955" t="str">
            <v>Hexton Road</v>
          </cell>
          <cell r="J2955" t="str">
            <v>Barton-le-Clay</v>
          </cell>
          <cell r="L2955" t="str">
            <v>Bedford</v>
          </cell>
          <cell r="M2955" t="str">
            <v>Bedfordshire</v>
          </cell>
          <cell r="N2955" t="str">
            <v>MK45 4JZ</v>
          </cell>
          <cell r="O2955" t="str">
            <v>apayne@arnold.beds.sch.uk</v>
          </cell>
          <cell r="P2955">
            <v>40616</v>
          </cell>
        </row>
        <row r="2956">
          <cell r="A2956">
            <v>3522068</v>
          </cell>
          <cell r="B2956">
            <v>105408</v>
          </cell>
          <cell r="C2956">
            <v>352</v>
          </cell>
          <cell r="D2956" t="str">
            <v>Manchester</v>
          </cell>
          <cell r="E2956">
            <v>2068</v>
          </cell>
          <cell r="F2956" t="str">
            <v>Stuart Mepham</v>
          </cell>
          <cell r="G2956" t="str">
            <v>Claremont Primary School</v>
          </cell>
          <cell r="H2956" t="str">
            <v>North West</v>
          </cell>
          <cell r="I2956" t="str">
            <v>Claremont Road</v>
          </cell>
          <cell r="J2956" t="str">
            <v>Moss Side</v>
          </cell>
          <cell r="L2956" t="str">
            <v>Manchester</v>
          </cell>
          <cell r="N2956" t="str">
            <v>M14 7NA</v>
          </cell>
          <cell r="O2956" t="str">
            <v>head@claremont.manchester.sch.uk</v>
          </cell>
          <cell r="P2956">
            <v>40927</v>
          </cell>
        </row>
        <row r="2957">
          <cell r="A2957">
            <v>9282216</v>
          </cell>
          <cell r="B2957">
            <v>121950</v>
          </cell>
          <cell r="C2957">
            <v>928</v>
          </cell>
          <cell r="D2957" t="str">
            <v>Northamptonshire</v>
          </cell>
          <cell r="E2957">
            <v>2216</v>
          </cell>
          <cell r="F2957" t="str">
            <v>Sue Harp</v>
          </cell>
          <cell r="G2957" t="str">
            <v>Redwell Junior School</v>
          </cell>
          <cell r="H2957" t="str">
            <v>East Midlands</v>
          </cell>
          <cell r="I2957" t="str">
            <v>Barnwell Road</v>
          </cell>
          <cell r="L2957" t="str">
            <v>Wellingborough</v>
          </cell>
          <cell r="M2957" t="str">
            <v>Northamptonshire</v>
          </cell>
          <cell r="N2957" t="str">
            <v>NN8 5LQ</v>
          </cell>
          <cell r="O2957" t="str">
            <v>head@redwell-jun.northants-ecl.gov.uk</v>
          </cell>
        </row>
        <row r="2958">
          <cell r="A2958">
            <v>3302051</v>
          </cell>
          <cell r="B2958">
            <v>103186</v>
          </cell>
          <cell r="C2958">
            <v>330</v>
          </cell>
          <cell r="D2958" t="str">
            <v>Birmingham</v>
          </cell>
          <cell r="E2958">
            <v>2051</v>
          </cell>
          <cell r="F2958" t="str">
            <v>Christine West</v>
          </cell>
          <cell r="G2958" t="str">
            <v>Colmers Farm Junior School</v>
          </cell>
          <cell r="H2958" t="str">
            <v>West Midlands</v>
          </cell>
          <cell r="I2958" t="str">
            <v>Leybrook Road</v>
          </cell>
          <cell r="J2958" t="str">
            <v>Rednal</v>
          </cell>
          <cell r="L2958" t="str">
            <v>Birmingham</v>
          </cell>
          <cell r="M2958" t="str">
            <v>West Midlands</v>
          </cell>
          <cell r="N2958" t="str">
            <v>B45 9PB</v>
          </cell>
          <cell r="O2958" t="str">
            <v>enquiry@colfarmj.bham.sch.uk</v>
          </cell>
        </row>
        <row r="2959">
          <cell r="A2959">
            <v>2083375</v>
          </cell>
          <cell r="B2959">
            <v>100612</v>
          </cell>
          <cell r="C2959">
            <v>208</v>
          </cell>
          <cell r="D2959" t="str">
            <v>Lambeth</v>
          </cell>
          <cell r="E2959">
            <v>3375</v>
          </cell>
          <cell r="F2959" t="str">
            <v>Suzanne Farrell</v>
          </cell>
          <cell r="G2959" t="str">
            <v>Macauley Church of England Primary School</v>
          </cell>
          <cell r="H2959" t="str">
            <v>London</v>
          </cell>
          <cell r="I2959" t="str">
            <v>Victoria Rise</v>
          </cell>
          <cell r="L2959" t="str">
            <v>London</v>
          </cell>
          <cell r="N2959" t="str">
            <v>SW4 0NU</v>
          </cell>
          <cell r="O2959" t="str">
            <v>headteacher@macaulay.lambeth.sch.uk</v>
          </cell>
        </row>
        <row r="2960">
          <cell r="A2960">
            <v>3502018</v>
          </cell>
          <cell r="B2960">
            <v>105158</v>
          </cell>
          <cell r="C2960">
            <v>350</v>
          </cell>
          <cell r="D2960" t="str">
            <v>Bolton</v>
          </cell>
          <cell r="E2960">
            <v>2018</v>
          </cell>
          <cell r="F2960" t="str">
            <v>Joe Farrell</v>
          </cell>
          <cell r="G2960" t="str">
            <v>Lever Edge Primary School</v>
          </cell>
          <cell r="H2960" t="str">
            <v>North West</v>
          </cell>
          <cell r="I2960" t="str">
            <v>Lever Edge Lane</v>
          </cell>
          <cell r="L2960" t="str">
            <v>Bolton</v>
          </cell>
          <cell r="M2960" t="str">
            <v>Lancashire</v>
          </cell>
          <cell r="N2960" t="str">
            <v>BL3 3HP</v>
          </cell>
          <cell r="O2960" t="str">
            <v>barryf@lever-edge.bolton.sch.uk</v>
          </cell>
          <cell r="P2960">
            <v>40347</v>
          </cell>
        </row>
        <row r="2961">
          <cell r="A2961">
            <v>3065408</v>
          </cell>
          <cell r="B2961">
            <v>101826</v>
          </cell>
          <cell r="C2961">
            <v>306</v>
          </cell>
          <cell r="D2961" t="str">
            <v>Croydon</v>
          </cell>
          <cell r="E2961">
            <v>5408</v>
          </cell>
          <cell r="F2961" t="str">
            <v>Helen Barry</v>
          </cell>
          <cell r="G2961" t="str">
            <v>The Archbishop Lanfranc School</v>
          </cell>
          <cell r="H2961" t="str">
            <v>London</v>
          </cell>
          <cell r="I2961" t="str">
            <v>Mitcham Road</v>
          </cell>
          <cell r="L2961" t="str">
            <v>Croydon</v>
          </cell>
          <cell r="M2961" t="str">
            <v>Surrey</v>
          </cell>
          <cell r="N2961" t="str">
            <v>CR9 3AS</v>
          </cell>
          <cell r="O2961" t="str">
            <v>lanfranc@hotmail.com</v>
          </cell>
        </row>
        <row r="2962">
          <cell r="A2962">
            <v>9163050</v>
          </cell>
          <cell r="B2962">
            <v>115636</v>
          </cell>
          <cell r="C2962">
            <v>916</v>
          </cell>
          <cell r="D2962" t="str">
            <v>Gloucestershire</v>
          </cell>
          <cell r="E2962">
            <v>3050</v>
          </cell>
          <cell r="F2962" t="str">
            <v>Not yet assigned</v>
          </cell>
          <cell r="G2962" t="str">
            <v>Meysey Hampton Church of England Primary School</v>
          </cell>
          <cell r="H2962" t="str">
            <v>South West</v>
          </cell>
          <cell r="I2962" t="str">
            <v>Meysey Hampton</v>
          </cell>
          <cell r="L2962" t="str">
            <v>Cirencester</v>
          </cell>
          <cell r="M2962" t="str">
            <v>Gloucestershire</v>
          </cell>
          <cell r="N2962" t="str">
            <v>GL7 5JS</v>
          </cell>
          <cell r="O2962" t="str">
            <v>head@meyseyhampton.gloucs.sch.uk</v>
          </cell>
        </row>
        <row r="2963">
          <cell r="A2963">
            <v>3303311</v>
          </cell>
          <cell r="B2963">
            <v>103418</v>
          </cell>
          <cell r="C2963">
            <v>330</v>
          </cell>
          <cell r="D2963" t="str">
            <v>Birmingham</v>
          </cell>
          <cell r="E2963">
            <v>3311</v>
          </cell>
          <cell r="F2963" t="str">
            <v>Carol Ions</v>
          </cell>
          <cell r="G2963" t="str">
            <v>St Michael's Church of England Aided Primary School</v>
          </cell>
          <cell r="H2963" t="str">
            <v>West Midlands</v>
          </cell>
          <cell r="I2963" t="str">
            <v>Nantmel Grove</v>
          </cell>
          <cell r="J2963" t="str">
            <v>Bartley Green</v>
          </cell>
          <cell r="L2963" t="str">
            <v>Birmingham</v>
          </cell>
          <cell r="M2963" t="str">
            <v>West Midlands</v>
          </cell>
          <cell r="N2963" t="str">
            <v>B32 3JS</v>
          </cell>
          <cell r="O2963" t="str">
            <v>scosgrove@stmicb32.bham.sch.uk</v>
          </cell>
        </row>
        <row r="2964">
          <cell r="A2964">
            <v>8657002</v>
          </cell>
          <cell r="B2964">
            <v>126546</v>
          </cell>
          <cell r="C2964">
            <v>865</v>
          </cell>
          <cell r="D2964" t="str">
            <v>Wiltshire</v>
          </cell>
          <cell r="E2964">
            <v>7002</v>
          </cell>
          <cell r="F2964" t="str">
            <v>Ed Schuldt</v>
          </cell>
          <cell r="G2964" t="str">
            <v>Rowdeford School</v>
          </cell>
          <cell r="H2964" t="str">
            <v>South West</v>
          </cell>
          <cell r="I2964" t="str">
            <v>Rowde</v>
          </cell>
          <cell r="L2964" t="str">
            <v>Devizes</v>
          </cell>
          <cell r="M2964" t="str">
            <v>Wiltshire</v>
          </cell>
          <cell r="N2964" t="str">
            <v>SN10 2QQ</v>
          </cell>
          <cell r="O2964" t="str">
            <v>head@rowdeford.wilts.sch.uk</v>
          </cell>
        </row>
        <row r="2965">
          <cell r="A2965">
            <v>8504175</v>
          </cell>
          <cell r="B2965">
            <v>116439</v>
          </cell>
          <cell r="C2965">
            <v>850</v>
          </cell>
          <cell r="D2965" t="str">
            <v>Hampshire</v>
          </cell>
          <cell r="E2965">
            <v>4175</v>
          </cell>
          <cell r="F2965" t="str">
            <v>Linda Brooks</v>
          </cell>
          <cell r="G2965" t="str">
            <v>Thornden School</v>
          </cell>
          <cell r="H2965" t="str">
            <v>South East</v>
          </cell>
          <cell r="I2965" t="str">
            <v>Winchester Road</v>
          </cell>
          <cell r="J2965" t="str">
            <v>Chandler's Ford</v>
          </cell>
          <cell r="L2965" t="str">
            <v>Eastleigh</v>
          </cell>
          <cell r="M2965" t="str">
            <v>Hampshire</v>
          </cell>
          <cell r="N2965" t="str">
            <v>SO53 2DW</v>
          </cell>
          <cell r="O2965" t="str">
            <v>rob.sykes@thornden.hants.sch.uk</v>
          </cell>
          <cell r="P2965">
            <v>40557</v>
          </cell>
        </row>
        <row r="2966">
          <cell r="A2966">
            <v>3815200</v>
          </cell>
          <cell r="B2966">
            <v>107568</v>
          </cell>
          <cell r="C2966">
            <v>381</v>
          </cell>
          <cell r="D2966" t="str">
            <v>Calderdale</v>
          </cell>
          <cell r="E2966">
            <v>5200</v>
          </cell>
          <cell r="F2966" t="str">
            <v>Bev Annables</v>
          </cell>
          <cell r="G2966" t="str">
            <v>Salterlee Primary School</v>
          </cell>
          <cell r="H2966" t="str">
            <v>Yorkshire and the Humber</v>
          </cell>
          <cell r="I2966" t="str">
            <v>Kell Lane</v>
          </cell>
          <cell r="J2966" t="str">
            <v>Shibden</v>
          </cell>
          <cell r="L2966" t="str">
            <v>Halifax</v>
          </cell>
          <cell r="M2966" t="str">
            <v>West Yorkshire</v>
          </cell>
          <cell r="N2966" t="str">
            <v>HX3 7AY</v>
          </cell>
          <cell r="O2966" t="str">
            <v>admin@salterlee.calderdale.sch.uk</v>
          </cell>
          <cell r="P2966">
            <v>40647</v>
          </cell>
        </row>
        <row r="2967">
          <cell r="A2967">
            <v>9164064</v>
          </cell>
          <cell r="B2967">
            <v>115726</v>
          </cell>
          <cell r="C2967">
            <v>916</v>
          </cell>
          <cell r="D2967" t="str">
            <v>Gloucestershire</v>
          </cell>
          <cell r="E2967">
            <v>4064</v>
          </cell>
          <cell r="F2967" t="str">
            <v>Irene Nambi</v>
          </cell>
          <cell r="G2967" t="str">
            <v>Severn Vale School</v>
          </cell>
          <cell r="H2967" t="str">
            <v>South West</v>
          </cell>
          <cell r="I2967" t="str">
            <v>School Lane</v>
          </cell>
          <cell r="J2967" t="str">
            <v>Quedgeley</v>
          </cell>
          <cell r="L2967" t="str">
            <v>Gloucester</v>
          </cell>
          <cell r="M2967" t="str">
            <v>Gloucestershire</v>
          </cell>
          <cell r="N2967" t="str">
            <v>GL2 4PR</v>
          </cell>
          <cell r="O2967" t="str">
            <v>PRowland@severnvale.gloucs.sch.uk</v>
          </cell>
          <cell r="P2967">
            <v>40672</v>
          </cell>
        </row>
        <row r="2968">
          <cell r="A2968">
            <v>8843030</v>
          </cell>
          <cell r="B2968">
            <v>116803</v>
          </cell>
          <cell r="C2968">
            <v>884</v>
          </cell>
          <cell r="D2968" t="str">
            <v>Herefordshire</v>
          </cell>
          <cell r="E2968">
            <v>3030</v>
          </cell>
          <cell r="F2968" t="str">
            <v>Christine West</v>
          </cell>
          <cell r="G2968" t="str">
            <v>Dilwyn CofE Primary School</v>
          </cell>
          <cell r="H2968" t="str">
            <v>West Midlands</v>
          </cell>
          <cell r="I2968" t="str">
            <v>Dilwyn</v>
          </cell>
          <cell r="L2968" t="str">
            <v>Hereford</v>
          </cell>
          <cell r="M2968" t="str">
            <v>Herefordshire</v>
          </cell>
          <cell r="N2968" t="str">
            <v>HR4 8HR</v>
          </cell>
          <cell r="O2968" t="str">
            <v>Jwspackman@aol.com</v>
          </cell>
          <cell r="P2968">
            <v>40718</v>
          </cell>
        </row>
        <row r="2969">
          <cell r="A2969">
            <v>8857022</v>
          </cell>
          <cell r="B2969">
            <v>131492</v>
          </cell>
          <cell r="C2969">
            <v>885</v>
          </cell>
          <cell r="D2969" t="str">
            <v>Worcestershire</v>
          </cell>
          <cell r="E2969">
            <v>7022</v>
          </cell>
          <cell r="F2969" t="str">
            <v>Alison Middleton</v>
          </cell>
          <cell r="G2969" t="str">
            <v>Riversides School</v>
          </cell>
          <cell r="H2969" t="str">
            <v>West Midlands</v>
          </cell>
          <cell r="I2969" t="str">
            <v>Thorneloe Road</v>
          </cell>
          <cell r="J2969" t="str">
            <v>Barbourne</v>
          </cell>
          <cell r="L2969" t="str">
            <v>Worcester</v>
          </cell>
          <cell r="M2969" t="str">
            <v>Worcestershire</v>
          </cell>
          <cell r="N2969" t="str">
            <v>WR1 3HZ</v>
          </cell>
          <cell r="O2969" t="str">
            <v>head@riverside.worcs.sch.uk</v>
          </cell>
        </row>
        <row r="2970">
          <cell r="A2970">
            <v>9165427</v>
          </cell>
          <cell r="B2970">
            <v>115778</v>
          </cell>
          <cell r="C2970">
            <v>916</v>
          </cell>
          <cell r="D2970" t="str">
            <v>Gloucestershire</v>
          </cell>
          <cell r="E2970">
            <v>5427</v>
          </cell>
          <cell r="F2970" t="str">
            <v>Not yet assigned</v>
          </cell>
          <cell r="G2970" t="str">
            <v>Whitecross School (Foundation)</v>
          </cell>
          <cell r="H2970" t="str">
            <v>South West</v>
          </cell>
          <cell r="I2970" t="str">
            <v>Church Road</v>
          </cell>
          <cell r="L2970" t="str">
            <v>Lydney</v>
          </cell>
          <cell r="M2970" t="str">
            <v>Gloucestershire</v>
          </cell>
          <cell r="N2970" t="str">
            <v>GL15 5DZ</v>
          </cell>
          <cell r="O2970" t="str">
            <v>David.Gaston@whitecross.gloucs.sch.uk</v>
          </cell>
        </row>
        <row r="2971">
          <cell r="A2971">
            <v>9282185</v>
          </cell>
          <cell r="B2971">
            <v>121928</v>
          </cell>
          <cell r="C2971">
            <v>928</v>
          </cell>
          <cell r="D2971" t="str">
            <v>Northamptonshire</v>
          </cell>
          <cell r="E2971">
            <v>2185</v>
          </cell>
          <cell r="F2971" t="str">
            <v>Helen Whetter</v>
          </cell>
          <cell r="G2971" t="str">
            <v>Sunnyside Primary School</v>
          </cell>
          <cell r="H2971" t="str">
            <v>East Midlands</v>
          </cell>
          <cell r="I2971" t="str">
            <v>Reynard Way</v>
          </cell>
          <cell r="L2971" t="str">
            <v>Northampton</v>
          </cell>
          <cell r="M2971" t="str">
            <v>Northamptonshire</v>
          </cell>
          <cell r="N2971" t="str">
            <v>NN2 8QS</v>
          </cell>
          <cell r="O2971" t="str">
            <v>head@sunnyside.northants-ecl.gov.uk</v>
          </cell>
        </row>
        <row r="2972">
          <cell r="A2972">
            <v>8315414</v>
          </cell>
          <cell r="B2972">
            <v>112999</v>
          </cell>
          <cell r="C2972">
            <v>831</v>
          </cell>
          <cell r="D2972" t="str">
            <v>Derby</v>
          </cell>
          <cell r="E2972">
            <v>5414</v>
          </cell>
          <cell r="F2972" t="str">
            <v>Sue Harp</v>
          </cell>
          <cell r="G2972" t="str">
            <v>Woodlands School</v>
          </cell>
          <cell r="H2972" t="str">
            <v>East Midlands</v>
          </cell>
          <cell r="I2972" t="str">
            <v>Blenheim Drive</v>
          </cell>
          <cell r="J2972" t="str">
            <v>Allestree</v>
          </cell>
          <cell r="L2972" t="str">
            <v>Derby</v>
          </cell>
          <cell r="M2972" t="str">
            <v>Derbyshire</v>
          </cell>
          <cell r="N2972" t="str">
            <v>DE22 2LW</v>
          </cell>
          <cell r="O2972" t="str">
            <v>a.brady@woodlands.derby.sch.uk</v>
          </cell>
          <cell r="P2972">
            <v>40826</v>
          </cell>
        </row>
        <row r="2973">
          <cell r="A2973">
            <v>8815404</v>
          </cell>
          <cell r="B2973">
            <v>115320</v>
          </cell>
          <cell r="C2973">
            <v>881</v>
          </cell>
          <cell r="D2973" t="str">
            <v>Essex</v>
          </cell>
          <cell r="E2973">
            <v>5404</v>
          </cell>
          <cell r="F2973" t="str">
            <v>Claire Ivie</v>
          </cell>
          <cell r="G2973" t="str">
            <v>Philip Morant School and College</v>
          </cell>
          <cell r="H2973" t="str">
            <v>East of England</v>
          </cell>
          <cell r="I2973" t="str">
            <v>Rembrandt Way</v>
          </cell>
          <cell r="L2973" t="str">
            <v>Colchester</v>
          </cell>
          <cell r="M2973" t="str">
            <v>Essex</v>
          </cell>
          <cell r="N2973" t="str">
            <v>CO3 4QS</v>
          </cell>
          <cell r="O2973" t="str">
            <v>theschool@philipmorant.essex.sch.uk</v>
          </cell>
          <cell r="P2973">
            <v>40702</v>
          </cell>
        </row>
        <row r="2974">
          <cell r="A2974">
            <v>8374173</v>
          </cell>
          <cell r="B2974">
            <v>113872</v>
          </cell>
          <cell r="C2974">
            <v>837</v>
          </cell>
          <cell r="D2974" t="str">
            <v>Bournemouth</v>
          </cell>
          <cell r="E2974">
            <v>4173</v>
          </cell>
          <cell r="F2974" t="str">
            <v>Kate Bosher</v>
          </cell>
          <cell r="G2974" t="str">
            <v>Winton Arts and Media College</v>
          </cell>
          <cell r="H2974" t="str">
            <v>South West</v>
          </cell>
          <cell r="I2974" t="str">
            <v>Winton Way</v>
          </cell>
          <cell r="L2974" t="str">
            <v>Bournemouth</v>
          </cell>
          <cell r="M2974" t="str">
            <v>Dorset</v>
          </cell>
          <cell r="N2974" t="str">
            <v>BH10 4HT</v>
          </cell>
          <cell r="O2974" t="str">
            <v>info@waamc.co.uk</v>
          </cell>
        </row>
        <row r="2975">
          <cell r="A2975">
            <v>9283007</v>
          </cell>
          <cell r="B2975">
            <v>121960</v>
          </cell>
          <cell r="C2975">
            <v>928</v>
          </cell>
          <cell r="D2975" t="str">
            <v>Northamptonshire</v>
          </cell>
          <cell r="E2975">
            <v>3007</v>
          </cell>
          <cell r="F2975" t="str">
            <v>Pauline Cole</v>
          </cell>
          <cell r="G2975" t="str">
            <v>Boddington Church of England Voluntary School</v>
          </cell>
          <cell r="H2975" t="str">
            <v>East Midlands</v>
          </cell>
          <cell r="I2975" t="str">
            <v>Church Road</v>
          </cell>
          <cell r="J2975" t="str">
            <v>Upper Boddington</v>
          </cell>
          <cell r="L2975" t="str">
            <v>Daventry</v>
          </cell>
          <cell r="M2975" t="str">
            <v>Northamptonshire</v>
          </cell>
          <cell r="N2975" t="str">
            <v>NN11 6DL</v>
          </cell>
          <cell r="O2975" t="str">
            <v>head@boddington-ce.northants-ecl.gov.uk</v>
          </cell>
          <cell r="P2975">
            <v>41254</v>
          </cell>
        </row>
        <row r="2976">
          <cell r="A2976">
            <v>9283035</v>
          </cell>
          <cell r="B2976">
            <v>121977</v>
          </cell>
          <cell r="C2976">
            <v>928</v>
          </cell>
          <cell r="D2976" t="str">
            <v>Northamptonshire</v>
          </cell>
          <cell r="E2976">
            <v>3035</v>
          </cell>
          <cell r="F2976" t="str">
            <v>Stephen Standret</v>
          </cell>
          <cell r="G2976" t="str">
            <v>Hartwell Church of England Primary School</v>
          </cell>
          <cell r="H2976" t="str">
            <v>East Midlands</v>
          </cell>
          <cell r="I2976" t="str">
            <v>School Lane</v>
          </cell>
          <cell r="J2976" t="str">
            <v>Hartwell</v>
          </cell>
          <cell r="L2976" t="str">
            <v>Northampton</v>
          </cell>
          <cell r="M2976" t="str">
            <v>Northamptonshire</v>
          </cell>
          <cell r="N2976" t="str">
            <v>NN7 2HL</v>
          </cell>
          <cell r="O2976" t="str">
            <v>head@hartwell.northants-ecl.gov.uk</v>
          </cell>
          <cell r="P2976">
            <v>40554</v>
          </cell>
        </row>
        <row r="2977">
          <cell r="A2977">
            <v>8794152</v>
          </cell>
          <cell r="B2977">
            <v>113531</v>
          </cell>
          <cell r="C2977">
            <v>879</v>
          </cell>
          <cell r="D2977" t="str">
            <v>Plymouth</v>
          </cell>
          <cell r="E2977">
            <v>4152</v>
          </cell>
          <cell r="F2977" t="str">
            <v>Ali Bushell</v>
          </cell>
          <cell r="G2977" t="str">
            <v>Devonport High School for Girls</v>
          </cell>
          <cell r="H2977" t="str">
            <v>South West</v>
          </cell>
          <cell r="I2977" t="str">
            <v>Lyndhurst Road</v>
          </cell>
          <cell r="J2977" t="str">
            <v>Peverell</v>
          </cell>
          <cell r="L2977" t="str">
            <v>Plymouth</v>
          </cell>
          <cell r="M2977" t="str">
            <v>Devon</v>
          </cell>
          <cell r="N2977" t="str">
            <v>PL2 3DL</v>
          </cell>
          <cell r="O2977" t="str">
            <v>ahemsi@devonportgirls.plymouth.sch.uk</v>
          </cell>
          <cell r="P2977">
            <v>40557</v>
          </cell>
        </row>
        <row r="2978">
          <cell r="A2978">
            <v>8881113</v>
          </cell>
          <cell r="B2978">
            <v>134127</v>
          </cell>
          <cell r="C2978">
            <v>888</v>
          </cell>
          <cell r="D2978" t="str">
            <v>Lancashire</v>
          </cell>
          <cell r="E2978">
            <v>1113</v>
          </cell>
          <cell r="F2978" t="str">
            <v>Martin Rowley</v>
          </cell>
          <cell r="G2978" t="str">
            <v>The Oswaldtwistle School</v>
          </cell>
          <cell r="H2978" t="str">
            <v>North West</v>
          </cell>
          <cell r="I2978" t="str">
            <v>Union Road</v>
          </cell>
          <cell r="J2978" t="str">
            <v>Oswaldtwistle</v>
          </cell>
          <cell r="L2978" t="str">
            <v>Accrington</v>
          </cell>
          <cell r="M2978" t="str">
            <v>Lancashire</v>
          </cell>
          <cell r="N2978" t="str">
            <v>BB5 3DA</v>
          </cell>
          <cell r="O2978" t="str">
            <v>head@oswaldtwistle.lancs.sch.uk</v>
          </cell>
        </row>
        <row r="2979">
          <cell r="A2979">
            <v>9372419</v>
          </cell>
          <cell r="B2979">
            <v>125578</v>
          </cell>
          <cell r="C2979">
            <v>937</v>
          </cell>
          <cell r="D2979" t="str">
            <v>Warwickshire</v>
          </cell>
          <cell r="E2979">
            <v>2419</v>
          </cell>
          <cell r="F2979" t="str">
            <v>Julia Waterhouse</v>
          </cell>
          <cell r="G2979" t="str">
            <v>Oakfield Primary School</v>
          </cell>
          <cell r="H2979" t="str">
            <v>West Midlands</v>
          </cell>
          <cell r="I2979" t="str">
            <v>Oakfield Road</v>
          </cell>
          <cell r="L2979" t="str">
            <v>Rugby</v>
          </cell>
          <cell r="M2979" t="str">
            <v>Warwickshire</v>
          </cell>
          <cell r="N2979" t="str">
            <v>CV22 6AU</v>
          </cell>
          <cell r="O2979" t="str">
            <v>Head2419@we-learn.com</v>
          </cell>
        </row>
        <row r="2980">
          <cell r="A2980">
            <v>8013014</v>
          </cell>
          <cell r="B2980">
            <v>109146</v>
          </cell>
          <cell r="C2980">
            <v>801</v>
          </cell>
          <cell r="D2980" t="str">
            <v>Bristol City of</v>
          </cell>
          <cell r="E2980">
            <v>3014</v>
          </cell>
          <cell r="F2980" t="str">
            <v>Not yet assigned</v>
          </cell>
          <cell r="G2980" t="str">
            <v>St Johns Church of England Primary School, Clifton</v>
          </cell>
          <cell r="H2980" t="str">
            <v>South West</v>
          </cell>
          <cell r="I2980" t="str">
            <v>Worrall Road</v>
          </cell>
          <cell r="J2980" t="str">
            <v>Clifton</v>
          </cell>
          <cell r="L2980" t="str">
            <v>Bristol</v>
          </cell>
          <cell r="N2980" t="str">
            <v>BS8 2UH</v>
          </cell>
          <cell r="O2980" t="str">
            <v>headstjohnsp@bristol.gov.uk</v>
          </cell>
        </row>
        <row r="2981">
          <cell r="A2981">
            <v>8884140</v>
          </cell>
          <cell r="B2981">
            <v>119741</v>
          </cell>
          <cell r="C2981">
            <v>888</v>
          </cell>
          <cell r="D2981" t="str">
            <v>Lancashire</v>
          </cell>
          <cell r="E2981">
            <v>4140</v>
          </cell>
          <cell r="F2981" t="str">
            <v>Felicity Price</v>
          </cell>
          <cell r="G2981" t="str">
            <v>Worden Sports College</v>
          </cell>
          <cell r="H2981" t="str">
            <v>North West</v>
          </cell>
          <cell r="I2981" t="str">
            <v>Westfield Drive</v>
          </cell>
          <cell r="L2981" t="str">
            <v>Leyland</v>
          </cell>
          <cell r="M2981" t="str">
            <v>Lancashire</v>
          </cell>
          <cell r="N2981" t="str">
            <v>PR25 1QX</v>
          </cell>
          <cell r="O2981" t="str">
            <v>chris.catherall@worden.lancs.sch.uk</v>
          </cell>
          <cell r="P2981">
            <v>40879</v>
          </cell>
        </row>
        <row r="2982">
          <cell r="A2982">
            <v>8862453</v>
          </cell>
          <cell r="B2982">
            <v>118448</v>
          </cell>
          <cell r="C2982">
            <v>886</v>
          </cell>
          <cell r="D2982" t="str">
            <v>Kent</v>
          </cell>
          <cell r="E2982">
            <v>2453</v>
          </cell>
          <cell r="G2982" t="str">
            <v>Woodlands Junior School</v>
          </cell>
          <cell r="H2982" t="str">
            <v>South East</v>
          </cell>
          <cell r="I2982" t="str">
            <v>Hunt Road</v>
          </cell>
          <cell r="L2982" t="str">
            <v>Tonbridge</v>
          </cell>
          <cell r="M2982" t="str">
            <v>Kent</v>
          </cell>
          <cell r="N2982" t="str">
            <v>TN10 4BB</v>
          </cell>
          <cell r="O2982" t="str">
            <v>headteacher@woodlands-junior.kent.sch.uk</v>
          </cell>
        </row>
        <row r="2983">
          <cell r="A2983">
            <v>3025201</v>
          </cell>
          <cell r="B2983">
            <v>101356</v>
          </cell>
          <cell r="C2983">
            <v>302</v>
          </cell>
          <cell r="D2983" t="str">
            <v>Barnet</v>
          </cell>
          <cell r="E2983">
            <v>5201</v>
          </cell>
          <cell r="F2983" t="str">
            <v>Bola Bakrin</v>
          </cell>
          <cell r="G2983" t="str">
            <v>Osidge Primary School</v>
          </cell>
          <cell r="H2983" t="str">
            <v>London</v>
          </cell>
          <cell r="I2983" t="str">
            <v>Chase Side</v>
          </cell>
          <cell r="J2983" t="str">
            <v>Southgate</v>
          </cell>
          <cell r="L2983" t="str">
            <v>London</v>
          </cell>
          <cell r="N2983" t="str">
            <v>N14 5HD</v>
          </cell>
          <cell r="O2983" t="str">
            <v>dworrall1.302@lgflmail.org</v>
          </cell>
        </row>
        <row r="2984">
          <cell r="A2984">
            <v>2133316</v>
          </cell>
          <cell r="B2984">
            <v>101122</v>
          </cell>
          <cell r="C2984">
            <v>213</v>
          </cell>
          <cell r="D2984" t="str">
            <v>Westminster</v>
          </cell>
          <cell r="E2984">
            <v>3316</v>
          </cell>
          <cell r="F2984" t="str">
            <v>Sheila Longstaff</v>
          </cell>
          <cell r="G2984" t="str">
            <v>Burdett-Coutts &amp; Townshend Foundation CofE PS</v>
          </cell>
          <cell r="H2984" t="str">
            <v>London</v>
          </cell>
          <cell r="I2984" t="str">
            <v>Rochester Street</v>
          </cell>
          <cell r="L2984" t="str">
            <v>London</v>
          </cell>
          <cell r="N2984" t="str">
            <v>SW1P 2QQ</v>
          </cell>
          <cell r="O2984" t="str">
            <v>head@burdettcoutts.co.uk</v>
          </cell>
        </row>
        <row r="2985">
          <cell r="A2985">
            <v>3352244</v>
          </cell>
          <cell r="B2985">
            <v>131434</v>
          </cell>
          <cell r="C2985">
            <v>335</v>
          </cell>
          <cell r="D2985" t="str">
            <v>Walsall</v>
          </cell>
          <cell r="E2985">
            <v>2244</v>
          </cell>
          <cell r="F2985" t="str">
            <v>Hannah Copp</v>
          </cell>
          <cell r="G2985" t="str">
            <v>North Walsall Primary School</v>
          </cell>
          <cell r="H2985" t="str">
            <v>West Midlands</v>
          </cell>
          <cell r="I2985" t="str">
            <v>Derby Street</v>
          </cell>
          <cell r="L2985" t="str">
            <v>Walsall</v>
          </cell>
          <cell r="M2985" t="str">
            <v>West Midlands</v>
          </cell>
          <cell r="N2985" t="str">
            <v>WS2 7BH</v>
          </cell>
          <cell r="O2985" t="str">
            <v>postbox@n-walsall.walsall.sch.uk</v>
          </cell>
        </row>
        <row r="2986">
          <cell r="A2986">
            <v>3593357</v>
          </cell>
          <cell r="B2986">
            <v>106467</v>
          </cell>
          <cell r="C2986">
            <v>359</v>
          </cell>
          <cell r="D2986" t="str">
            <v>Wigan</v>
          </cell>
          <cell r="E2986">
            <v>3357</v>
          </cell>
          <cell r="F2986" t="str">
            <v>Viv Clutton</v>
          </cell>
          <cell r="G2986" t="str">
            <v>Standish St Wilfrid's CofE Primary School</v>
          </cell>
          <cell r="H2986" t="str">
            <v>North West</v>
          </cell>
          <cell r="I2986" t="str">
            <v>Rectory Lane</v>
          </cell>
          <cell r="J2986" t="str">
            <v>Standish</v>
          </cell>
          <cell r="L2986" t="str">
            <v>Wigan</v>
          </cell>
          <cell r="M2986" t="str">
            <v>Lancashire</v>
          </cell>
          <cell r="N2986" t="str">
            <v>WN6 0XB</v>
          </cell>
          <cell r="O2986" t="str">
            <v>enquiries@admin.saintwilfrids.wigan.sch.uk</v>
          </cell>
        </row>
        <row r="2987">
          <cell r="A2987">
            <v>8782022</v>
          </cell>
          <cell r="B2987">
            <v>134172</v>
          </cell>
          <cell r="C2987">
            <v>878</v>
          </cell>
          <cell r="D2987" t="str">
            <v>Devon</v>
          </cell>
          <cell r="E2987">
            <v>2022</v>
          </cell>
          <cell r="G2987" t="str">
            <v>Exwick Heights Primary School</v>
          </cell>
          <cell r="H2987" t="str">
            <v>South West</v>
          </cell>
          <cell r="I2987" t="str">
            <v>Exwick Lane</v>
          </cell>
          <cell r="J2987" t="str">
            <v>Exwick</v>
          </cell>
          <cell r="L2987" t="str">
            <v>Exeter</v>
          </cell>
          <cell r="M2987" t="str">
            <v>Devon</v>
          </cell>
          <cell r="N2987" t="str">
            <v>EX4 2FB</v>
          </cell>
          <cell r="O2987" t="str">
            <v>admin@exwickheights.devon.sch.uk</v>
          </cell>
        </row>
        <row r="2988">
          <cell r="A2988">
            <v>8604143</v>
          </cell>
          <cell r="B2988">
            <v>124427</v>
          </cell>
          <cell r="C2988">
            <v>860</v>
          </cell>
          <cell r="D2988" t="str">
            <v>Staffordshire</v>
          </cell>
          <cell r="E2988">
            <v>4143</v>
          </cell>
          <cell r="F2988" t="str">
            <v>Grant Dyson</v>
          </cell>
          <cell r="G2988" t="str">
            <v>Biddulph High School</v>
          </cell>
          <cell r="H2988" t="str">
            <v>West Midlands</v>
          </cell>
          <cell r="I2988" t="str">
            <v>Conway Road</v>
          </cell>
          <cell r="J2988" t="str">
            <v>Knypersley</v>
          </cell>
          <cell r="K2988" t="str">
            <v>Biddulph</v>
          </cell>
          <cell r="L2988" t="str">
            <v>Stoke-on-Trent</v>
          </cell>
          <cell r="M2988" t="str">
            <v>Staffordshire</v>
          </cell>
          <cell r="N2988" t="str">
            <v>ST8 7AR</v>
          </cell>
          <cell r="O2988" t="str">
            <v>headteacher@biddulph.staffs.sch.uk</v>
          </cell>
          <cell r="P2988">
            <v>40528</v>
          </cell>
        </row>
        <row r="2989">
          <cell r="A2989">
            <v>9332216</v>
          </cell>
          <cell r="B2989">
            <v>123708</v>
          </cell>
          <cell r="C2989">
            <v>933</v>
          </cell>
          <cell r="D2989" t="str">
            <v>Somerset</v>
          </cell>
          <cell r="E2989">
            <v>2216</v>
          </cell>
          <cell r="F2989" t="str">
            <v>Damian McGrath</v>
          </cell>
          <cell r="G2989" t="str">
            <v>North Town Community Primary School</v>
          </cell>
          <cell r="H2989" t="str">
            <v>South West</v>
          </cell>
          <cell r="I2989" t="str">
            <v>Staplegrove Road</v>
          </cell>
          <cell r="L2989" t="str">
            <v>Taunton</v>
          </cell>
          <cell r="M2989" t="str">
            <v>Somerset</v>
          </cell>
          <cell r="N2989" t="str">
            <v>TA1 1DF</v>
          </cell>
          <cell r="O2989" t="str">
            <v>clare.blackmore@albertgoodman.co.uk</v>
          </cell>
          <cell r="P2989">
            <v>40633</v>
          </cell>
        </row>
        <row r="2990">
          <cell r="A2990">
            <v>9362457</v>
          </cell>
          <cell r="B2990">
            <v>125070</v>
          </cell>
          <cell r="C2990">
            <v>936</v>
          </cell>
          <cell r="D2990" t="str">
            <v>Surrey</v>
          </cell>
          <cell r="E2990">
            <v>2457</v>
          </cell>
          <cell r="F2990" t="str">
            <v>Gabriela Grimley</v>
          </cell>
          <cell r="G2990" t="str">
            <v>Reigate Priory Junior School</v>
          </cell>
          <cell r="H2990" t="str">
            <v>South East</v>
          </cell>
          <cell r="I2990" t="str">
            <v>Bell Street</v>
          </cell>
          <cell r="L2990" t="str">
            <v>Reigate</v>
          </cell>
          <cell r="M2990" t="str">
            <v>Surrey</v>
          </cell>
          <cell r="N2990" t="str">
            <v>RH2 7RL</v>
          </cell>
          <cell r="O2990" t="str">
            <v>head@reigate-priory.surrey.sch.uk</v>
          </cell>
        </row>
        <row r="2991">
          <cell r="A2991">
            <v>3543014</v>
          </cell>
          <cell r="B2991">
            <v>105811</v>
          </cell>
          <cell r="C2991">
            <v>354</v>
          </cell>
          <cell r="D2991" t="str">
            <v>Rochdale</v>
          </cell>
          <cell r="E2991">
            <v>3014</v>
          </cell>
          <cell r="F2991" t="str">
            <v>Jane McCusker</v>
          </cell>
          <cell r="G2991" t="str">
            <v>All Souls Church of England Primary School</v>
          </cell>
          <cell r="H2991" t="str">
            <v>North West</v>
          </cell>
          <cell r="I2991" t="str">
            <v>Rye Street</v>
          </cell>
          <cell r="L2991" t="str">
            <v>Heywood</v>
          </cell>
          <cell r="M2991" t="str">
            <v>Lancashire</v>
          </cell>
          <cell r="N2991" t="str">
            <v>OL10 4DF</v>
          </cell>
          <cell r="O2991" t="str">
            <v>head@allsoulsce.rochdale.sch.uk</v>
          </cell>
          <cell r="P2991">
            <v>40647</v>
          </cell>
        </row>
        <row r="2992">
          <cell r="A2992">
            <v>8552382</v>
          </cell>
          <cell r="B2992">
            <v>120104</v>
          </cell>
          <cell r="C2992">
            <v>855</v>
          </cell>
          <cell r="D2992" t="str">
            <v>Leicestershire</v>
          </cell>
          <cell r="E2992">
            <v>2382</v>
          </cell>
          <cell r="F2992" t="str">
            <v>Sue Harp</v>
          </cell>
          <cell r="G2992" t="str">
            <v>Stonebow Primary School Loughborough</v>
          </cell>
          <cell r="H2992" t="str">
            <v>East Midlands</v>
          </cell>
          <cell r="I2992" t="str">
            <v>Stonebow Close</v>
          </cell>
          <cell r="L2992" t="str">
            <v>Loughborough</v>
          </cell>
          <cell r="M2992" t="str">
            <v>Leicestershire</v>
          </cell>
          <cell r="N2992" t="str">
            <v>LE11 4ZH</v>
          </cell>
          <cell r="O2992" t="str">
            <v>woodo@stonebow.leics.mg4l.net</v>
          </cell>
          <cell r="P2992">
            <v>41057</v>
          </cell>
        </row>
        <row r="2993">
          <cell r="A2993">
            <v>3533008</v>
          </cell>
          <cell r="B2993">
            <v>105690</v>
          </cell>
          <cell r="C2993">
            <v>353</v>
          </cell>
          <cell r="D2993" t="str">
            <v>Oldham</v>
          </cell>
          <cell r="E2993">
            <v>3008</v>
          </cell>
          <cell r="F2993" t="str">
            <v>Linda Quinn</v>
          </cell>
          <cell r="G2993" t="str">
            <v>St Chad's CofE Primary School</v>
          </cell>
          <cell r="H2993" t="str">
            <v>North West</v>
          </cell>
          <cell r="I2993" t="str">
            <v>Rhodes Avenue</v>
          </cell>
          <cell r="J2993" t="str">
            <v>Uppermill</v>
          </cell>
          <cell r="L2993" t="str">
            <v>Oldham</v>
          </cell>
          <cell r="M2993" t="str">
            <v>Lancashire</v>
          </cell>
          <cell r="N2993" t="str">
            <v>OL3 6EE</v>
          </cell>
          <cell r="O2993" t="str">
            <v>peterburnley@btinternet.com</v>
          </cell>
          <cell r="P2993">
            <v>40969</v>
          </cell>
        </row>
        <row r="2994">
          <cell r="A2994">
            <v>8004107</v>
          </cell>
          <cell r="B2994">
            <v>109292</v>
          </cell>
          <cell r="C2994">
            <v>800</v>
          </cell>
          <cell r="D2994" t="str">
            <v>Bath and North East Somerset</v>
          </cell>
          <cell r="E2994">
            <v>4107</v>
          </cell>
          <cell r="F2994" t="str">
            <v>Ed Schuldt</v>
          </cell>
          <cell r="G2994" t="str">
            <v>Hayesfield Girls School</v>
          </cell>
          <cell r="H2994" t="str">
            <v>South West</v>
          </cell>
          <cell r="I2994" t="str">
            <v>Upper Oldfield Park</v>
          </cell>
          <cell r="L2994" t="str">
            <v>Bath</v>
          </cell>
          <cell r="M2994" t="str">
            <v>Somerset</v>
          </cell>
          <cell r="N2994" t="str">
            <v>BA2 3LA</v>
          </cell>
          <cell r="O2994" t="str">
            <v>e.draisey@hayesfield.com</v>
          </cell>
          <cell r="P2994">
            <v>40452</v>
          </cell>
        </row>
        <row r="2995">
          <cell r="A2995">
            <v>9384100</v>
          </cell>
          <cell r="B2995">
            <v>126084</v>
          </cell>
          <cell r="C2995">
            <v>938</v>
          </cell>
          <cell r="D2995" t="str">
            <v>West Sussex</v>
          </cell>
          <cell r="E2995">
            <v>4100</v>
          </cell>
          <cell r="F2995" t="str">
            <v>Sarah Mitchell</v>
          </cell>
          <cell r="G2995" t="str">
            <v>Oakmeeds Community College</v>
          </cell>
          <cell r="H2995" t="str">
            <v>South East</v>
          </cell>
          <cell r="I2995" t="str">
            <v>Station Road</v>
          </cell>
          <cell r="L2995" t="str">
            <v>Burgess Hill</v>
          </cell>
          <cell r="M2995" t="str">
            <v>West Sussex</v>
          </cell>
          <cell r="N2995" t="str">
            <v>RH15 9EA</v>
          </cell>
          <cell r="O2995" t="str">
            <v>head@oakmeeds.w-sussex.sch.uk</v>
          </cell>
        </row>
        <row r="2996">
          <cell r="A2996">
            <v>3502081</v>
          </cell>
          <cell r="B2996">
            <v>105200</v>
          </cell>
          <cell r="C2996">
            <v>350</v>
          </cell>
          <cell r="D2996" t="str">
            <v>Bolton</v>
          </cell>
          <cell r="E2996">
            <v>2081</v>
          </cell>
          <cell r="G2996" t="str">
            <v>Red Lane Primary School</v>
          </cell>
          <cell r="H2996" t="str">
            <v>North West</v>
          </cell>
          <cell r="I2996" t="str">
            <v>Red Lane</v>
          </cell>
          <cell r="L2996" t="str">
            <v>Bolton</v>
          </cell>
          <cell r="M2996" t="str">
            <v>Lancashire</v>
          </cell>
          <cell r="N2996" t="str">
            <v>BL2 5HP</v>
          </cell>
          <cell r="O2996" t="str">
            <v>underwoodh@red-lane.bolton.sch.uk</v>
          </cell>
        </row>
        <row r="2997">
          <cell r="A2997">
            <v>9192001</v>
          </cell>
          <cell r="B2997">
            <v>134197</v>
          </cell>
          <cell r="C2997">
            <v>919</v>
          </cell>
          <cell r="D2997" t="str">
            <v>Hertfordshire</v>
          </cell>
          <cell r="E2997">
            <v>2001</v>
          </cell>
          <cell r="F2997" t="str">
            <v>Aminat Alli</v>
          </cell>
          <cell r="G2997" t="str">
            <v>Flamstead End Primary and Nursery School</v>
          </cell>
          <cell r="H2997" t="str">
            <v>East of England</v>
          </cell>
          <cell r="I2997" t="str">
            <v>Longfield Lane</v>
          </cell>
          <cell r="J2997" t="str">
            <v>Cheshunt</v>
          </cell>
          <cell r="L2997" t="str">
            <v>Waltham Cross</v>
          </cell>
          <cell r="M2997" t="str">
            <v>Hertfordshire</v>
          </cell>
          <cell r="N2997" t="str">
            <v>EN7 6AG</v>
          </cell>
          <cell r="O2997" t="str">
            <v>head@flamsteadend.herts.sch.uk</v>
          </cell>
          <cell r="P2997">
            <v>41138</v>
          </cell>
        </row>
        <row r="2998">
          <cell r="A2998">
            <v>8404175</v>
          </cell>
          <cell r="B2998">
            <v>114304</v>
          </cell>
          <cell r="C2998">
            <v>840</v>
          </cell>
          <cell r="D2998" t="str">
            <v>Durham</v>
          </cell>
          <cell r="E2998">
            <v>4175</v>
          </cell>
          <cell r="F2998" t="str">
            <v>June Laughton</v>
          </cell>
          <cell r="G2998" t="str">
            <v>Woodham Community Technology College</v>
          </cell>
          <cell r="H2998" t="str">
            <v>North East</v>
          </cell>
          <cell r="I2998" t="str">
            <v>Washington Crescent</v>
          </cell>
          <cell r="L2998" t="str">
            <v>Newton Aycliffe</v>
          </cell>
          <cell r="M2998" t="str">
            <v>County Durham</v>
          </cell>
          <cell r="N2998" t="str">
            <v>DL5 4AX</v>
          </cell>
          <cell r="O2998" t="str">
            <v>c.forsyth@woodham.org.uk</v>
          </cell>
          <cell r="P2998">
            <v>40996</v>
          </cell>
        </row>
        <row r="2999">
          <cell r="A2999">
            <v>3303011</v>
          </cell>
          <cell r="B2999">
            <v>103402</v>
          </cell>
          <cell r="C2999">
            <v>330</v>
          </cell>
          <cell r="D2999" t="str">
            <v>Birmingham</v>
          </cell>
          <cell r="E2999">
            <v>3011</v>
          </cell>
          <cell r="F2999" t="str">
            <v>Carol Ions</v>
          </cell>
          <cell r="G2999" t="str">
            <v>St John's Ladywood Church of England Primary School</v>
          </cell>
          <cell r="H2999" t="str">
            <v>West Midlands</v>
          </cell>
          <cell r="I2999" t="str">
            <v>St Vincent Street West</v>
          </cell>
          <cell r="J2999" t="str">
            <v>Ladywood</v>
          </cell>
          <cell r="L2999" t="str">
            <v>Birmingham</v>
          </cell>
          <cell r="M2999" t="str">
            <v>West Midlands</v>
          </cell>
          <cell r="N2999" t="str">
            <v>B16 8RN</v>
          </cell>
          <cell r="O2999" t="str">
            <v>s.lea@stjonb16.bham.sch.uk</v>
          </cell>
        </row>
        <row r="3000">
          <cell r="A3000">
            <v>9373066</v>
          </cell>
          <cell r="B3000">
            <v>125647</v>
          </cell>
          <cell r="C3000">
            <v>937</v>
          </cell>
          <cell r="D3000" t="str">
            <v>Warwickshire</v>
          </cell>
          <cell r="E3000">
            <v>3066</v>
          </cell>
          <cell r="F3000" t="str">
            <v>Sally Gardiner</v>
          </cell>
          <cell r="G3000" t="str">
            <v>Temple Grafton CofE Primary School</v>
          </cell>
          <cell r="H3000" t="str">
            <v>West Midlands</v>
          </cell>
          <cell r="I3000" t="str">
            <v>Temple Grafton</v>
          </cell>
          <cell r="J3000" t="str">
            <v>Church Bank</v>
          </cell>
          <cell r="L3000" t="str">
            <v>Alcester</v>
          </cell>
          <cell r="M3000" t="str">
            <v>Warwickshire</v>
          </cell>
          <cell r="N3000" t="str">
            <v>B49 6NU</v>
          </cell>
          <cell r="O3000" t="str">
            <v>head3066@we-learn.com</v>
          </cell>
        </row>
        <row r="3001">
          <cell r="A3001">
            <v>8113087</v>
          </cell>
          <cell r="B3001">
            <v>118029</v>
          </cell>
          <cell r="C3001">
            <v>811</v>
          </cell>
          <cell r="D3001" t="str">
            <v>East Riding of Yorkshire</v>
          </cell>
          <cell r="E3001">
            <v>3087</v>
          </cell>
          <cell r="F3001" t="str">
            <v>Glyn Newton</v>
          </cell>
          <cell r="G3001" t="str">
            <v>Hook Church of England Voluntary Controlled Primary School</v>
          </cell>
          <cell r="H3001" t="str">
            <v>Yorkshire and the Humber</v>
          </cell>
          <cell r="I3001" t="str">
            <v>Garth Lane</v>
          </cell>
          <cell r="J3001" t="str">
            <v>Hook</v>
          </cell>
          <cell r="L3001" t="str">
            <v>Goole</v>
          </cell>
          <cell r="N3001" t="str">
            <v>DN14 5NW</v>
          </cell>
          <cell r="O3001" t="str">
            <v>hook.head.primary@eastriding.gov.uk</v>
          </cell>
        </row>
        <row r="3002">
          <cell r="A3002">
            <v>8944401</v>
          </cell>
          <cell r="B3002">
            <v>123572</v>
          </cell>
          <cell r="C3002">
            <v>894</v>
          </cell>
          <cell r="D3002" t="str">
            <v>Telford and Wrekin</v>
          </cell>
          <cell r="E3002">
            <v>4401</v>
          </cell>
          <cell r="F3002" t="str">
            <v>Liz Robinson</v>
          </cell>
          <cell r="G3002" t="str">
            <v>Wrockwardine Wood Arts College</v>
          </cell>
          <cell r="H3002" t="str">
            <v>West Midlands</v>
          </cell>
          <cell r="I3002" t="str">
            <v>New Road</v>
          </cell>
          <cell r="J3002" t="str">
            <v>Wrockwardine Wood</v>
          </cell>
          <cell r="L3002" t="str">
            <v>Telford</v>
          </cell>
          <cell r="M3002" t="str">
            <v>Shropshire</v>
          </cell>
          <cell r="N3002" t="str">
            <v>TF2 6JZ</v>
          </cell>
          <cell r="O3002" t="str">
            <v>John.jones1@taw.org.uk</v>
          </cell>
          <cell r="P3002">
            <v>41236</v>
          </cell>
        </row>
        <row r="3003">
          <cell r="A3003">
            <v>8914091</v>
          </cell>
          <cell r="B3003">
            <v>122847</v>
          </cell>
          <cell r="C3003">
            <v>891</v>
          </cell>
          <cell r="D3003" t="str">
            <v>Nottinghamshire</v>
          </cell>
          <cell r="E3003">
            <v>4091</v>
          </cell>
          <cell r="F3003" t="str">
            <v>Helen Whetter</v>
          </cell>
          <cell r="G3003" t="str">
            <v>Arnold Hill School and Technology College</v>
          </cell>
          <cell r="H3003" t="str">
            <v>East Midlands</v>
          </cell>
          <cell r="I3003" t="str">
            <v>Gedling Road</v>
          </cell>
          <cell r="J3003" t="str">
            <v>Arnold</v>
          </cell>
          <cell r="L3003" t="str">
            <v>Nottingham</v>
          </cell>
          <cell r="M3003" t="str">
            <v>Nottinghamshire</v>
          </cell>
          <cell r="N3003" t="str">
            <v>NG5 6NZ</v>
          </cell>
          <cell r="O3003" t="str">
            <v>r.fugill@arnold-hill.notts.sch.uk</v>
          </cell>
          <cell r="P3003">
            <v>40707</v>
          </cell>
        </row>
        <row r="3004">
          <cell r="A3004">
            <v>2037199</v>
          </cell>
          <cell r="B3004">
            <v>133400</v>
          </cell>
          <cell r="C3004">
            <v>203</v>
          </cell>
          <cell r="D3004" t="str">
            <v>Greenwich</v>
          </cell>
          <cell r="E3004">
            <v>7199</v>
          </cell>
          <cell r="F3004" t="str">
            <v>Gabriela Grimley</v>
          </cell>
          <cell r="G3004" t="str">
            <v>Charlton School</v>
          </cell>
          <cell r="H3004" t="str">
            <v>London</v>
          </cell>
          <cell r="I3004" t="str">
            <v>Charlton Park Road</v>
          </cell>
          <cell r="L3004" t="str">
            <v>London</v>
          </cell>
          <cell r="N3004" t="str">
            <v>SE7 8HX</v>
          </cell>
          <cell r="O3004" t="str">
            <v>mdale-emberton@charltonschool.com</v>
          </cell>
          <cell r="P3004">
            <v>40743</v>
          </cell>
        </row>
        <row r="3005">
          <cell r="A3005">
            <v>3334129</v>
          </cell>
          <cell r="B3005">
            <v>104016</v>
          </cell>
          <cell r="C3005">
            <v>333</v>
          </cell>
          <cell r="D3005" t="str">
            <v>Sandwell</v>
          </cell>
          <cell r="E3005">
            <v>4129</v>
          </cell>
          <cell r="F3005" t="str">
            <v>Hannah Copp</v>
          </cell>
          <cell r="G3005" t="str">
            <v>Bristnall Hall Technology College</v>
          </cell>
          <cell r="H3005" t="str">
            <v>West Midlands</v>
          </cell>
          <cell r="I3005" t="str">
            <v>Bristnall Hall Lane</v>
          </cell>
          <cell r="L3005" t="str">
            <v>Oldbury</v>
          </cell>
          <cell r="M3005" t="str">
            <v>West Midlands</v>
          </cell>
          <cell r="N3005" t="str">
            <v>B68 9PA</v>
          </cell>
          <cell r="O3005" t="str">
            <v>headtecher@bhtc.sandwell.sch.uk</v>
          </cell>
          <cell r="P3005">
            <v>40942</v>
          </cell>
        </row>
        <row r="3006">
          <cell r="A3006">
            <v>3352003</v>
          </cell>
          <cell r="B3006">
            <v>104145</v>
          </cell>
          <cell r="C3006">
            <v>335</v>
          </cell>
          <cell r="D3006" t="str">
            <v>Walsall</v>
          </cell>
          <cell r="E3006">
            <v>2003</v>
          </cell>
          <cell r="F3006" t="str">
            <v>Hannah Copp</v>
          </cell>
          <cell r="G3006" t="str">
            <v>Sunshine Infant and Nursery School</v>
          </cell>
          <cell r="H3006" t="str">
            <v>West Midlands</v>
          </cell>
          <cell r="I3006" t="str">
            <v>Blakenall Lane</v>
          </cell>
          <cell r="J3006" t="str">
            <v>Leamore</v>
          </cell>
          <cell r="L3006" t="str">
            <v>Walsall</v>
          </cell>
          <cell r="M3006" t="str">
            <v>West Midlands</v>
          </cell>
          <cell r="N3006" t="str">
            <v>WS3 1HF</v>
          </cell>
          <cell r="O3006" t="str">
            <v>scorkindale@sunshine.Walsall.sch.uk</v>
          </cell>
          <cell r="P3006">
            <v>41092</v>
          </cell>
        </row>
        <row r="3007">
          <cell r="A3007">
            <v>8225402</v>
          </cell>
          <cell r="B3007">
            <v>109706</v>
          </cell>
          <cell r="C3007">
            <v>822</v>
          </cell>
          <cell r="D3007" t="str">
            <v>Bedford</v>
          </cell>
          <cell r="E3007">
            <v>5402</v>
          </cell>
          <cell r="F3007" t="str">
            <v>Michael Cook</v>
          </cell>
          <cell r="G3007" t="str">
            <v>Sharnbrook Upper School (in federation with Lincroft Middle School, Harrold Priory Middle School and Margaret Beaufort Middle School)</v>
          </cell>
          <cell r="H3007" t="str">
            <v>East of England</v>
          </cell>
          <cell r="I3007" t="str">
            <v>Odell Road</v>
          </cell>
          <cell r="J3007" t="str">
            <v>Sharnbrook</v>
          </cell>
          <cell r="L3007" t="str">
            <v>Bedford</v>
          </cell>
          <cell r="M3007" t="str">
            <v>Bedfordshire</v>
          </cell>
          <cell r="N3007" t="str">
            <v>MK44 1JL</v>
          </cell>
          <cell r="O3007" t="str">
            <v>pbellamy@sharnbrook.beds.sch.uk</v>
          </cell>
          <cell r="P3007">
            <v>40351</v>
          </cell>
        </row>
        <row r="3008">
          <cell r="A3008">
            <v>3195201</v>
          </cell>
          <cell r="B3008">
            <v>103005</v>
          </cell>
          <cell r="C3008">
            <v>319</v>
          </cell>
          <cell r="D3008" t="str">
            <v>Sutton</v>
          </cell>
          <cell r="E3008">
            <v>5201</v>
          </cell>
          <cell r="F3008" t="str">
            <v>Bola Bakrin</v>
          </cell>
          <cell r="G3008" t="str">
            <v>Stanley Park Junior School</v>
          </cell>
          <cell r="H3008" t="str">
            <v>London</v>
          </cell>
          <cell r="I3008" t="str">
            <v>Stanley Park Road</v>
          </cell>
          <cell r="L3008" t="str">
            <v>Carshalton</v>
          </cell>
          <cell r="M3008" t="str">
            <v>Surrey</v>
          </cell>
          <cell r="N3008" t="str">
            <v>SM5 3JL</v>
          </cell>
          <cell r="O3008" t="str">
            <v>bclark@suttonlea.org</v>
          </cell>
        </row>
        <row r="3009">
          <cell r="A3009">
            <v>9374112</v>
          </cell>
          <cell r="B3009">
            <v>125736</v>
          </cell>
          <cell r="C3009">
            <v>937</v>
          </cell>
          <cell r="D3009" t="str">
            <v>Warwickshire</v>
          </cell>
          <cell r="E3009">
            <v>4112</v>
          </cell>
          <cell r="F3009" t="str">
            <v>Vivienne Brown</v>
          </cell>
          <cell r="G3009" t="str">
            <v>The Polesworth School - A Specialist Language College</v>
          </cell>
          <cell r="H3009" t="str">
            <v>West Midlands</v>
          </cell>
          <cell r="I3009" t="str">
            <v>Dordon Road</v>
          </cell>
          <cell r="J3009" t="str">
            <v>Dordon</v>
          </cell>
          <cell r="L3009" t="str">
            <v>Tamworth</v>
          </cell>
          <cell r="M3009" t="str">
            <v>Staffordshire</v>
          </cell>
          <cell r="N3009" t="str">
            <v>B78 1QT</v>
          </cell>
          <cell r="O3009" t="str">
            <v>p.hamilton@thepolesworthschool.com</v>
          </cell>
          <cell r="P3009">
            <v>40381</v>
          </cell>
        </row>
        <row r="3010">
          <cell r="A3010">
            <v>3304227</v>
          </cell>
          <cell r="B3010">
            <v>103511</v>
          </cell>
          <cell r="C3010">
            <v>330</v>
          </cell>
          <cell r="D3010" t="str">
            <v>Birmingham</v>
          </cell>
          <cell r="E3010">
            <v>4227</v>
          </cell>
          <cell r="F3010" t="str">
            <v>Nicole Felicien</v>
          </cell>
          <cell r="G3010" t="str">
            <v>Broadway School</v>
          </cell>
          <cell r="H3010" t="str">
            <v>West Midlands</v>
          </cell>
          <cell r="I3010" t="str">
            <v>The Broadway</v>
          </cell>
          <cell r="J3010" t="str">
            <v>Perry Barr</v>
          </cell>
          <cell r="L3010" t="str">
            <v>Birmingham</v>
          </cell>
          <cell r="M3010" t="str">
            <v>West Midlands</v>
          </cell>
          <cell r="N3010" t="str">
            <v>B20 3DP</v>
          </cell>
          <cell r="O3010" t="str">
            <v>j.cahill@broadway.bham.sch.uk</v>
          </cell>
          <cell r="P3010">
            <v>41192</v>
          </cell>
        </row>
        <row r="3011">
          <cell r="A3011">
            <v>8812810</v>
          </cell>
          <cell r="B3011">
            <v>115007</v>
          </cell>
          <cell r="C3011">
            <v>881</v>
          </cell>
          <cell r="D3011" t="str">
            <v>Essex</v>
          </cell>
          <cell r="E3011">
            <v>2810</v>
          </cell>
          <cell r="F3011" t="str">
            <v>Claire Ivie</v>
          </cell>
          <cell r="G3011" t="str">
            <v>John Bunyan Junior School</v>
          </cell>
          <cell r="H3011" t="str">
            <v>East of England</v>
          </cell>
          <cell r="I3011" t="str">
            <v>Lancaster Way</v>
          </cell>
          <cell r="L3011" t="str">
            <v>Braintree</v>
          </cell>
          <cell r="M3011" t="str">
            <v>Essex</v>
          </cell>
          <cell r="N3011" t="str">
            <v>CM7 5UL</v>
          </cell>
          <cell r="O3011" t="str">
            <v>head@johnbunyan-jun.essex.sch.uk</v>
          </cell>
        </row>
        <row r="3012">
          <cell r="A3012">
            <v>3355406</v>
          </cell>
          <cell r="B3012">
            <v>104264</v>
          </cell>
          <cell r="C3012">
            <v>335</v>
          </cell>
          <cell r="D3012" t="str">
            <v>Walsall</v>
          </cell>
          <cell r="E3012">
            <v>5406</v>
          </cell>
          <cell r="F3012" t="str">
            <v>Christine West</v>
          </cell>
          <cell r="G3012" t="str">
            <v>Barr Beacon Language College</v>
          </cell>
          <cell r="H3012" t="str">
            <v>West Midlands</v>
          </cell>
          <cell r="I3012" t="str">
            <v>Old Hall Lane</v>
          </cell>
          <cell r="J3012" t="str">
            <v>Aldridge</v>
          </cell>
          <cell r="L3012" t="str">
            <v>Walsall</v>
          </cell>
          <cell r="M3012" t="str">
            <v>West Midlands</v>
          </cell>
          <cell r="N3012" t="str">
            <v>WS9 0RF</v>
          </cell>
          <cell r="O3012" t="str">
            <v>mbrennan@barrbeacon.walsall.sch.uk</v>
          </cell>
          <cell r="P3012">
            <v>40617</v>
          </cell>
        </row>
        <row r="3013">
          <cell r="A3013">
            <v>3077007</v>
          </cell>
          <cell r="B3013">
            <v>101966</v>
          </cell>
          <cell r="C3013">
            <v>307</v>
          </cell>
          <cell r="D3013" t="str">
            <v>Ealing</v>
          </cell>
          <cell r="E3013">
            <v>7007</v>
          </cell>
          <cell r="F3013" t="str">
            <v>Martin Rowley</v>
          </cell>
          <cell r="G3013" t="str">
            <v>Castlebar School</v>
          </cell>
          <cell r="H3013" t="str">
            <v>London</v>
          </cell>
          <cell r="I3013" t="str">
            <v>Hathaway Gardens</v>
          </cell>
          <cell r="J3013" t="str">
            <v>Ealing</v>
          </cell>
          <cell r="L3013" t="str">
            <v>London</v>
          </cell>
          <cell r="N3013" t="str">
            <v>W13 0DH</v>
          </cell>
          <cell r="O3013" t="str">
            <v>padair@castlebar.ealing.sch.uk</v>
          </cell>
        </row>
        <row r="3014">
          <cell r="A3014">
            <v>8012026</v>
          </cell>
          <cell r="B3014">
            <v>131794</v>
          </cell>
          <cell r="C3014">
            <v>801</v>
          </cell>
          <cell r="D3014" t="str">
            <v>Bristol City of</v>
          </cell>
          <cell r="E3014">
            <v>2026</v>
          </cell>
          <cell r="F3014" t="str">
            <v>Sean Cox</v>
          </cell>
          <cell r="G3014" t="str">
            <v>Ilminster Avenue Primary School</v>
          </cell>
          <cell r="H3014" t="str">
            <v>South West</v>
          </cell>
          <cell r="I3014" t="str">
            <v>Ilminster Avenue</v>
          </cell>
          <cell r="J3014" t="str">
            <v>Knowle West</v>
          </cell>
          <cell r="L3014" t="str">
            <v>Bristol</v>
          </cell>
          <cell r="N3014" t="str">
            <v>BS4 1BX</v>
          </cell>
          <cell r="P3014">
            <v>40521</v>
          </cell>
        </row>
        <row r="3015">
          <cell r="A3015">
            <v>9283346</v>
          </cell>
          <cell r="B3015">
            <v>122034</v>
          </cell>
          <cell r="C3015">
            <v>928</v>
          </cell>
          <cell r="D3015" t="str">
            <v>Northamptonshire</v>
          </cell>
          <cell r="E3015">
            <v>3346</v>
          </cell>
          <cell r="F3015" t="str">
            <v>Sue Harp</v>
          </cell>
          <cell r="G3015" t="str">
            <v>Finedon Mulso Church of England Junior School</v>
          </cell>
          <cell r="H3015" t="str">
            <v>East Midlands</v>
          </cell>
          <cell r="I3015" t="str">
            <v>Wellingborough Road</v>
          </cell>
          <cell r="J3015" t="str">
            <v>Finedon</v>
          </cell>
          <cell r="L3015" t="str">
            <v>Wellingborough</v>
          </cell>
          <cell r="M3015" t="str">
            <v>Northamptonshire</v>
          </cell>
          <cell r="N3015" t="str">
            <v>NN9 5JT</v>
          </cell>
          <cell r="O3015" t="str">
            <v>head@finedonmulso.northants-ecl.gov.uk</v>
          </cell>
        </row>
        <row r="3016">
          <cell r="A3016">
            <v>3582004</v>
          </cell>
          <cell r="B3016">
            <v>106286</v>
          </cell>
          <cell r="C3016">
            <v>358</v>
          </cell>
          <cell r="D3016" t="str">
            <v>Trafford</v>
          </cell>
          <cell r="E3016">
            <v>2004</v>
          </cell>
          <cell r="F3016" t="str">
            <v>Jane McCusker</v>
          </cell>
          <cell r="G3016" t="str">
            <v>Stamford Park Infant School</v>
          </cell>
          <cell r="H3016" t="str">
            <v>North West</v>
          </cell>
          <cell r="I3016" t="str">
            <v>Cedar Road</v>
          </cell>
          <cell r="J3016" t="str">
            <v>Hale</v>
          </cell>
          <cell r="L3016" t="str">
            <v>Altrincham</v>
          </cell>
          <cell r="M3016" t="str">
            <v>Cheshire</v>
          </cell>
          <cell r="N3016" t="str">
            <v>WA15 9JB</v>
          </cell>
          <cell r="O3016" t="str">
            <v>stamfordparkinf.admin@trafford.gov.uk</v>
          </cell>
        </row>
        <row r="3017">
          <cell r="A3017">
            <v>8902829</v>
          </cell>
          <cell r="B3017">
            <v>119349</v>
          </cell>
          <cell r="C3017">
            <v>890</v>
          </cell>
          <cell r="D3017" t="str">
            <v>Blackpool</v>
          </cell>
          <cell r="E3017">
            <v>2829</v>
          </cell>
          <cell r="F3017" t="str">
            <v>Stuart Mepham</v>
          </cell>
          <cell r="G3017" t="str">
            <v>Roseacre Primary School</v>
          </cell>
          <cell r="H3017" t="str">
            <v>North West</v>
          </cell>
          <cell r="I3017" t="str">
            <v>Stonycroft Avenue</v>
          </cell>
          <cell r="L3017" t="str">
            <v>Blackpool</v>
          </cell>
          <cell r="M3017" t="str">
            <v>Lancashire</v>
          </cell>
          <cell r="N3017" t="str">
            <v>FY4 2PF</v>
          </cell>
          <cell r="O3017" t="str">
            <v>sandra.gillibrand@roseacre.blackpool.sch.uk</v>
          </cell>
          <cell r="P3017">
            <v>40987</v>
          </cell>
        </row>
        <row r="3018">
          <cell r="A3018">
            <v>3322102</v>
          </cell>
          <cell r="B3018">
            <v>103793</v>
          </cell>
          <cell r="C3018">
            <v>332</v>
          </cell>
          <cell r="D3018" t="str">
            <v>Dudley</v>
          </cell>
          <cell r="E3018">
            <v>2102</v>
          </cell>
          <cell r="F3018" t="str">
            <v>Ruth Pallister</v>
          </cell>
          <cell r="G3018" t="str">
            <v>Colley Lane Primary School</v>
          </cell>
          <cell r="H3018" t="str">
            <v>West Midlands</v>
          </cell>
          <cell r="I3018" t="str">
            <v>Colley Lane</v>
          </cell>
          <cell r="L3018" t="str">
            <v>Halesowen</v>
          </cell>
          <cell r="M3018" t="str">
            <v>West Midlands</v>
          </cell>
          <cell r="N3018" t="str">
            <v>B63 2TN</v>
          </cell>
          <cell r="O3018" t="str">
            <v>jwhite@colley.dudley.sch.uk</v>
          </cell>
          <cell r="P3018">
            <v>40690</v>
          </cell>
        </row>
        <row r="3019">
          <cell r="A3019">
            <v>8404200</v>
          </cell>
          <cell r="B3019">
            <v>114312</v>
          </cell>
          <cell r="C3019">
            <v>840</v>
          </cell>
          <cell r="D3019" t="str">
            <v>Durham</v>
          </cell>
          <cell r="E3019">
            <v>4200</v>
          </cell>
          <cell r="F3019" t="str">
            <v>Bev Annables</v>
          </cell>
          <cell r="G3019" t="str">
            <v>Durham Johnston Comprehensive School</v>
          </cell>
          <cell r="H3019" t="str">
            <v>North East</v>
          </cell>
          <cell r="I3019" t="str">
            <v>Crossgate Moor</v>
          </cell>
          <cell r="L3019" t="str">
            <v>Durham</v>
          </cell>
          <cell r="N3019" t="str">
            <v>DH1 4SU</v>
          </cell>
          <cell r="O3019" t="str">
            <v>CRoberts@durham-johnston.durham.sch.uk</v>
          </cell>
        </row>
        <row r="3020">
          <cell r="A3020">
            <v>3947018</v>
          </cell>
          <cell r="B3020">
            <v>108884</v>
          </cell>
          <cell r="C3020">
            <v>394</v>
          </cell>
          <cell r="D3020" t="str">
            <v>Sunderland</v>
          </cell>
          <cell r="E3020">
            <v>7018</v>
          </cell>
          <cell r="F3020" t="str">
            <v>Bev Mullin</v>
          </cell>
          <cell r="G3020" t="str">
            <v>Portland College</v>
          </cell>
          <cell r="H3020" t="str">
            <v>North East</v>
          </cell>
          <cell r="I3020" t="str">
            <v>Weymouth Road</v>
          </cell>
          <cell r="J3020" t="str">
            <v>Chapelgarth</v>
          </cell>
          <cell r="L3020" t="str">
            <v>Sunderland</v>
          </cell>
          <cell r="M3020" t="str">
            <v>Tyne and Wear</v>
          </cell>
          <cell r="N3020" t="str">
            <v>SR3 2NQ</v>
          </cell>
          <cell r="O3020" t="str">
            <v>melanie.carson@schools.sunderland.gov.uk</v>
          </cell>
          <cell r="P3020">
            <v>40998</v>
          </cell>
        </row>
        <row r="3021">
          <cell r="A3021">
            <v>8553074</v>
          </cell>
          <cell r="B3021">
            <v>120155</v>
          </cell>
          <cell r="C3021">
            <v>855</v>
          </cell>
          <cell r="D3021" t="str">
            <v>Leicestershire</v>
          </cell>
          <cell r="E3021">
            <v>3074</v>
          </cell>
          <cell r="F3021" t="str">
            <v>Grant Dyson</v>
          </cell>
          <cell r="G3021" t="str">
            <v>Rothley Church of England Primary School</v>
          </cell>
          <cell r="H3021" t="str">
            <v>East Midlands</v>
          </cell>
          <cell r="I3021" t="str">
            <v>Mountsorrel Lane</v>
          </cell>
          <cell r="J3021" t="str">
            <v>Rothley</v>
          </cell>
          <cell r="L3021" t="str">
            <v>Leicester</v>
          </cell>
          <cell r="M3021" t="str">
            <v>Leicestershire</v>
          </cell>
          <cell r="N3021" t="str">
            <v>LE7 7PS</v>
          </cell>
          <cell r="O3021" t="str">
            <v>admin@rothley.leics.sch.uk</v>
          </cell>
          <cell r="P3021">
            <v>41043</v>
          </cell>
        </row>
        <row r="3022">
          <cell r="A3022">
            <v>3582044</v>
          </cell>
          <cell r="B3022">
            <v>106318</v>
          </cell>
          <cell r="C3022">
            <v>358</v>
          </cell>
          <cell r="D3022" t="str">
            <v>Trafford</v>
          </cell>
          <cell r="E3022">
            <v>2044</v>
          </cell>
          <cell r="F3022" t="str">
            <v>Elaine Howard</v>
          </cell>
          <cell r="G3022" t="str">
            <v>Flixton Junior School</v>
          </cell>
          <cell r="H3022" t="str">
            <v>North West</v>
          </cell>
          <cell r="I3022" t="str">
            <v>Delamere Road</v>
          </cell>
          <cell r="J3022" t="str">
            <v>Flixton</v>
          </cell>
          <cell r="K3022" t="str">
            <v>Urmston</v>
          </cell>
          <cell r="L3022" t="str">
            <v>Manchester</v>
          </cell>
          <cell r="N3022" t="str">
            <v>M41 5QL</v>
          </cell>
          <cell r="O3022" t="str">
            <v>flixtonjunior.j.redmond@traffordlearning.org</v>
          </cell>
        </row>
        <row r="3023">
          <cell r="A3023">
            <v>3583312</v>
          </cell>
          <cell r="B3023">
            <v>106348</v>
          </cell>
          <cell r="C3023">
            <v>358</v>
          </cell>
          <cell r="D3023" t="str">
            <v>Trafford</v>
          </cell>
          <cell r="E3023">
            <v>3312</v>
          </cell>
          <cell r="F3023" t="str">
            <v>Jane McCusker</v>
          </cell>
          <cell r="G3023" t="str">
            <v>St Joseph's Catholic Primary School</v>
          </cell>
          <cell r="H3023" t="str">
            <v>North West</v>
          </cell>
          <cell r="I3023" t="str">
            <v>Marlborough Road</v>
          </cell>
          <cell r="L3023" t="str">
            <v>Sale</v>
          </cell>
          <cell r="M3023" t="str">
            <v>Cheshire</v>
          </cell>
          <cell r="N3023" t="str">
            <v>M33 3AF</v>
          </cell>
          <cell r="O3023" t="str">
            <v>email@harrolds.freeserve.co.uk</v>
          </cell>
        </row>
        <row r="3024">
          <cell r="A3024">
            <v>8122175</v>
          </cell>
          <cell r="B3024">
            <v>117782</v>
          </cell>
          <cell r="C3024">
            <v>812</v>
          </cell>
          <cell r="D3024" t="str">
            <v>North East Lincolnshire</v>
          </cell>
          <cell r="E3024">
            <v>2175</v>
          </cell>
          <cell r="F3024" t="str">
            <v>Bev Annables</v>
          </cell>
          <cell r="G3024" t="str">
            <v>Signhills Infants' School</v>
          </cell>
          <cell r="H3024" t="str">
            <v>Yorkshire and the Humber</v>
          </cell>
          <cell r="I3024" t="str">
            <v>Hardys Road</v>
          </cell>
          <cell r="L3024" t="str">
            <v>Cleethorpes</v>
          </cell>
          <cell r="M3024" t="str">
            <v>Lincolnshire</v>
          </cell>
          <cell r="N3024" t="str">
            <v>DN35 0DN</v>
          </cell>
          <cell r="O3024" t="str">
            <v>headteacher@signhillsinfants.co.uk</v>
          </cell>
          <cell r="P3024">
            <v>40840</v>
          </cell>
        </row>
        <row r="3025">
          <cell r="A3025">
            <v>3305408</v>
          </cell>
          <cell r="B3025">
            <v>103555</v>
          </cell>
          <cell r="C3025">
            <v>330</v>
          </cell>
          <cell r="D3025" t="str">
            <v>Birmingham</v>
          </cell>
          <cell r="E3025">
            <v>5408</v>
          </cell>
          <cell r="F3025" t="str">
            <v>Lilian Da Cunha</v>
          </cell>
          <cell r="G3025" t="str">
            <v>King Edward VI Aston School</v>
          </cell>
          <cell r="H3025" t="str">
            <v>West Midlands</v>
          </cell>
          <cell r="I3025" t="str">
            <v>Frederick Road</v>
          </cell>
          <cell r="J3025" t="str">
            <v>Aston</v>
          </cell>
          <cell r="L3025" t="str">
            <v>Birmingham</v>
          </cell>
          <cell r="M3025" t="str">
            <v>West Midlands</v>
          </cell>
          <cell r="N3025" t="str">
            <v>B6 6DJ</v>
          </cell>
          <cell r="O3025" t="str">
            <v>parkerc@keaston.bham.sch.uk</v>
          </cell>
          <cell r="P3025">
            <v>40511</v>
          </cell>
        </row>
        <row r="3026">
          <cell r="A3026">
            <v>8365409</v>
          </cell>
          <cell r="B3026">
            <v>113909</v>
          </cell>
          <cell r="C3026">
            <v>836</v>
          </cell>
          <cell r="D3026" t="str">
            <v>Poole</v>
          </cell>
          <cell r="E3026">
            <v>5409</v>
          </cell>
          <cell r="F3026" t="str">
            <v>Kate Bosher</v>
          </cell>
          <cell r="G3026" t="str">
            <v>Poole Grammar School</v>
          </cell>
          <cell r="H3026" t="str">
            <v>South West</v>
          </cell>
          <cell r="I3026" t="str">
            <v>Gravel Hill</v>
          </cell>
          <cell r="L3026" t="str">
            <v>Poole</v>
          </cell>
          <cell r="M3026" t="str">
            <v>Dorset</v>
          </cell>
          <cell r="N3026" t="str">
            <v>BH17 9JU</v>
          </cell>
          <cell r="O3026" t="str">
            <v>headmaster@poolegrammar.com</v>
          </cell>
          <cell r="P3026">
            <v>40591</v>
          </cell>
        </row>
        <row r="3027">
          <cell r="A3027">
            <v>8653330</v>
          </cell>
          <cell r="B3027">
            <v>126400</v>
          </cell>
          <cell r="C3027">
            <v>865</v>
          </cell>
          <cell r="D3027" t="str">
            <v>Wiltshire</v>
          </cell>
          <cell r="E3027">
            <v>3330</v>
          </cell>
          <cell r="F3027" t="str">
            <v>Not yet assigned</v>
          </cell>
          <cell r="G3027" t="str">
            <v>Derry Hill Church of England Voluntary Aided Primary School</v>
          </cell>
          <cell r="H3027" t="str">
            <v>South West</v>
          </cell>
          <cell r="I3027" t="str">
            <v>Church Road</v>
          </cell>
          <cell r="J3027" t="str">
            <v>Derry Hill</v>
          </cell>
          <cell r="L3027" t="str">
            <v>Calne</v>
          </cell>
          <cell r="M3027" t="str">
            <v>Wiltshire</v>
          </cell>
          <cell r="N3027" t="str">
            <v>SN11 9NN</v>
          </cell>
        </row>
        <row r="3028">
          <cell r="A3028">
            <v>3047000</v>
          </cell>
          <cell r="B3028">
            <v>101579</v>
          </cell>
          <cell r="C3028">
            <v>304</v>
          </cell>
          <cell r="D3028" t="str">
            <v>Brent</v>
          </cell>
          <cell r="E3028">
            <v>7000</v>
          </cell>
          <cell r="F3028" t="str">
            <v>Martin Rowley</v>
          </cell>
          <cell r="G3028" t="str">
            <v>Woodfield School</v>
          </cell>
          <cell r="H3028" t="str">
            <v>London</v>
          </cell>
          <cell r="I3028" t="str">
            <v>Glenwood Avenue</v>
          </cell>
          <cell r="J3028" t="str">
            <v>Kingsbury</v>
          </cell>
          <cell r="L3028" t="str">
            <v>London</v>
          </cell>
          <cell r="N3028" t="str">
            <v>NW9 7LY</v>
          </cell>
          <cell r="O3028" t="str">
            <v>dlp@woodfieldschool.co.uk</v>
          </cell>
        </row>
        <row r="3029">
          <cell r="A3029">
            <v>8813630</v>
          </cell>
          <cell r="B3029">
            <v>115185</v>
          </cell>
          <cell r="C3029">
            <v>881</v>
          </cell>
          <cell r="D3029" t="str">
            <v>Essex</v>
          </cell>
          <cell r="E3029">
            <v>3630</v>
          </cell>
          <cell r="F3029" t="str">
            <v>David Rudd</v>
          </cell>
          <cell r="G3029" t="str">
            <v>St Cedd's Church of England Voluntary Aided Primary School, Bradwell</v>
          </cell>
          <cell r="H3029" t="str">
            <v>East of England</v>
          </cell>
          <cell r="I3029" t="str">
            <v>East End Road</v>
          </cell>
          <cell r="J3029" t="str">
            <v>Bradwell-on-Sea</v>
          </cell>
          <cell r="L3029" t="str">
            <v>Southminster</v>
          </cell>
          <cell r="M3029" t="str">
            <v>Essex</v>
          </cell>
          <cell r="N3029" t="str">
            <v>CM0 7PY</v>
          </cell>
          <cell r="O3029" t="str">
            <v>head@st-cedds-pri.essex.sch.uk</v>
          </cell>
        </row>
        <row r="3030">
          <cell r="A3030">
            <v>8412000</v>
          </cell>
          <cell r="B3030">
            <v>132206</v>
          </cell>
          <cell r="C3030">
            <v>841</v>
          </cell>
          <cell r="D3030" t="str">
            <v>Darlington</v>
          </cell>
          <cell r="E3030">
            <v>2000</v>
          </cell>
          <cell r="F3030" t="str">
            <v>Alan Large</v>
          </cell>
          <cell r="G3030" t="str">
            <v>Skerne Park Primary School</v>
          </cell>
          <cell r="H3030" t="str">
            <v>North East</v>
          </cell>
          <cell r="I3030" t="str">
            <v>Coleridge Gardens</v>
          </cell>
          <cell r="L3030" t="str">
            <v>Darlington</v>
          </cell>
          <cell r="M3030" t="str">
            <v>County Durham</v>
          </cell>
          <cell r="N3030" t="str">
            <v>DL1 5AJ</v>
          </cell>
        </row>
        <row r="3031">
          <cell r="A3031">
            <v>3055405</v>
          </cell>
          <cell r="B3031">
            <v>101671</v>
          </cell>
          <cell r="C3031">
            <v>305</v>
          </cell>
          <cell r="D3031" t="str">
            <v>Bromley</v>
          </cell>
          <cell r="E3031">
            <v>5405</v>
          </cell>
          <cell r="F3031" t="str">
            <v>Dervise Ali-Riza</v>
          </cell>
          <cell r="G3031" t="str">
            <v>Newstead Wood School for Girls</v>
          </cell>
          <cell r="H3031" t="str">
            <v>London</v>
          </cell>
          <cell r="I3031" t="str">
            <v>Avebury Road</v>
          </cell>
          <cell r="L3031" t="str">
            <v>Orpington</v>
          </cell>
          <cell r="M3031" t="str">
            <v>Kent</v>
          </cell>
          <cell r="N3031" t="str">
            <v>BR6 9SA</v>
          </cell>
          <cell r="O3031" t="str">
            <v>liz.allen@newsteadwood.bromley.sch.uk</v>
          </cell>
          <cell r="P3031">
            <v>40533</v>
          </cell>
        </row>
        <row r="3032">
          <cell r="A3032">
            <v>9363587</v>
          </cell>
          <cell r="B3032">
            <v>125232</v>
          </cell>
          <cell r="C3032">
            <v>936</v>
          </cell>
          <cell r="D3032" t="str">
            <v>Surrey</v>
          </cell>
          <cell r="E3032">
            <v>3587</v>
          </cell>
          <cell r="F3032" t="str">
            <v>Gabriela Grimley</v>
          </cell>
          <cell r="G3032" t="str">
            <v>Waverley Abbey Junior School</v>
          </cell>
          <cell r="H3032" t="str">
            <v>South East</v>
          </cell>
          <cell r="I3032" t="str">
            <v>The Street</v>
          </cell>
          <cell r="J3032" t="str">
            <v>Tilford</v>
          </cell>
          <cell r="L3032" t="str">
            <v>Farnham</v>
          </cell>
          <cell r="M3032" t="str">
            <v>Surrey</v>
          </cell>
          <cell r="N3032" t="str">
            <v>GU10 2AE</v>
          </cell>
          <cell r="O3032" t="str">
            <v>Head@waverley-abbey.surrey.sch.uk</v>
          </cell>
        </row>
        <row r="3033">
          <cell r="A3033">
            <v>3362109</v>
          </cell>
          <cell r="B3033">
            <v>104348</v>
          </cell>
          <cell r="C3033">
            <v>336</v>
          </cell>
          <cell r="D3033" t="str">
            <v>Wolverhampton</v>
          </cell>
          <cell r="E3033">
            <v>2109</v>
          </cell>
          <cell r="F3033" t="str">
            <v>Hannah Copp</v>
          </cell>
          <cell r="G3033" t="str">
            <v>Perry Hall Primary School</v>
          </cell>
          <cell r="H3033" t="str">
            <v>West Midlands</v>
          </cell>
          <cell r="I3033" t="str">
            <v>Colman Avenue</v>
          </cell>
          <cell r="J3033" t="str">
            <v>Wednesfield</v>
          </cell>
          <cell r="L3033" t="str">
            <v>Wolverhampton</v>
          </cell>
          <cell r="M3033" t="str">
            <v>West Midlands</v>
          </cell>
          <cell r="N3033" t="str">
            <v>WV11 3RT</v>
          </cell>
          <cell r="O3033" t="str">
            <v>A.cheema@perryhall-pri.lpplus.net</v>
          </cell>
        </row>
        <row r="3034">
          <cell r="A3034">
            <v>3524286</v>
          </cell>
          <cell r="B3034">
            <v>105571</v>
          </cell>
          <cell r="C3034">
            <v>352</v>
          </cell>
          <cell r="D3034" t="str">
            <v>Manchester</v>
          </cell>
          <cell r="E3034">
            <v>4286</v>
          </cell>
          <cell r="F3034" t="str">
            <v>Viv Clutton</v>
          </cell>
          <cell r="G3034" t="str">
            <v>Newall Green High School</v>
          </cell>
          <cell r="H3034" t="str">
            <v>North West</v>
          </cell>
          <cell r="I3034" t="str">
            <v>Greenbrow Road</v>
          </cell>
          <cell r="J3034" t="str">
            <v>Wythenshawe</v>
          </cell>
          <cell r="L3034" t="str">
            <v>Manchester</v>
          </cell>
          <cell r="N3034" t="str">
            <v>M23 2SX</v>
          </cell>
          <cell r="O3034" t="str">
            <v>n.wilson@newallgreenhigh.manchester.sch.uk</v>
          </cell>
        </row>
        <row r="3035">
          <cell r="A3035">
            <v>3922075</v>
          </cell>
          <cell r="B3035">
            <v>108601</v>
          </cell>
          <cell r="C3035">
            <v>392</v>
          </cell>
          <cell r="D3035" t="str">
            <v>North Tyneside</v>
          </cell>
          <cell r="E3035">
            <v>2075</v>
          </cell>
          <cell r="F3035" t="str">
            <v>Bev Mullin</v>
          </cell>
          <cell r="G3035" t="str">
            <v>Moor Edge Community Primary School</v>
          </cell>
          <cell r="H3035" t="str">
            <v>North East</v>
          </cell>
          <cell r="I3035" t="str">
            <v>Grasmere Court</v>
          </cell>
          <cell r="J3035" t="str">
            <v>Killingworth</v>
          </cell>
          <cell r="L3035" t="str">
            <v>Newcastle-upon-Tyne</v>
          </cell>
          <cell r="M3035" t="str">
            <v>Tyne and Wear</v>
          </cell>
          <cell r="N3035" t="str">
            <v>NE12 6TS</v>
          </cell>
          <cell r="O3035" t="str">
            <v>mooredge.primary@northtyneside.gov.uk</v>
          </cell>
          <cell r="P3035">
            <v>40976</v>
          </cell>
        </row>
        <row r="3036">
          <cell r="A3036">
            <v>3714033</v>
          </cell>
          <cell r="B3036">
            <v>106789</v>
          </cell>
          <cell r="C3036">
            <v>371</v>
          </cell>
          <cell r="D3036" t="str">
            <v>Doncaster</v>
          </cell>
          <cell r="E3036">
            <v>4033</v>
          </cell>
          <cell r="F3036" t="str">
            <v>Glyn Newton</v>
          </cell>
          <cell r="G3036" t="str">
            <v>Ridgewood School</v>
          </cell>
          <cell r="H3036" t="str">
            <v>Yorkshire and the Humber</v>
          </cell>
          <cell r="I3036" t="str">
            <v>Barnsley Road</v>
          </cell>
          <cell r="J3036" t="str">
            <v>Scawsby</v>
          </cell>
          <cell r="L3036" t="str">
            <v>Doncaster</v>
          </cell>
          <cell r="M3036" t="str">
            <v>South Yorkshire</v>
          </cell>
          <cell r="N3036" t="str">
            <v>DN5 7UB</v>
          </cell>
          <cell r="O3036" t="str">
            <v>hoyle_c@ridgewoodschool.co.uk</v>
          </cell>
          <cell r="P3036">
            <v>40661</v>
          </cell>
        </row>
        <row r="3037">
          <cell r="A3037">
            <v>8553034</v>
          </cell>
          <cell r="B3037">
            <v>120129</v>
          </cell>
          <cell r="C3037">
            <v>855</v>
          </cell>
          <cell r="D3037" t="str">
            <v>Leicestershire</v>
          </cell>
          <cell r="E3037">
            <v>3034</v>
          </cell>
          <cell r="F3037" t="str">
            <v>Stephen Standret</v>
          </cell>
          <cell r="G3037" t="str">
            <v>Fleckney Church of England Primary School</v>
          </cell>
          <cell r="H3037" t="str">
            <v>East Midlands</v>
          </cell>
          <cell r="I3037" t="str">
            <v>Batchelor Road</v>
          </cell>
          <cell r="J3037" t="str">
            <v>Fleckney</v>
          </cell>
          <cell r="L3037" t="str">
            <v>Leicester</v>
          </cell>
          <cell r="M3037" t="str">
            <v>Leicestershire</v>
          </cell>
          <cell r="N3037" t="str">
            <v>LE8 8BE</v>
          </cell>
          <cell r="O3037" t="str">
            <v>dharvey@fleckney.leics.sch.uk</v>
          </cell>
        </row>
        <row r="3038">
          <cell r="A3038">
            <v>9195417</v>
          </cell>
          <cell r="B3038">
            <v>117589</v>
          </cell>
          <cell r="C3038">
            <v>919</v>
          </cell>
          <cell r="D3038" t="str">
            <v>Hertfordshire</v>
          </cell>
          <cell r="E3038">
            <v>5417</v>
          </cell>
          <cell r="F3038" t="str">
            <v>Beverley Samuel</v>
          </cell>
          <cell r="G3038" t="str">
            <v>Saint Michael's Catholic High School</v>
          </cell>
          <cell r="H3038" t="str">
            <v>East of England</v>
          </cell>
          <cell r="I3038" t="str">
            <v>High Elms Lane</v>
          </cell>
          <cell r="J3038" t="str">
            <v>Garston</v>
          </cell>
          <cell r="L3038" t="str">
            <v>Watford</v>
          </cell>
          <cell r="M3038" t="str">
            <v>Hertfordshire</v>
          </cell>
          <cell r="N3038" t="str">
            <v>WD25 0SS</v>
          </cell>
          <cell r="O3038" t="str">
            <v>head@stmichaelschs.herts.sch.uk</v>
          </cell>
          <cell r="P3038">
            <v>40891</v>
          </cell>
        </row>
        <row r="3039">
          <cell r="A3039">
            <v>8504015</v>
          </cell>
          <cell r="B3039">
            <v>116408</v>
          </cell>
          <cell r="C3039">
            <v>850</v>
          </cell>
          <cell r="D3039" t="str">
            <v>Hampshire</v>
          </cell>
          <cell r="E3039">
            <v>4015</v>
          </cell>
          <cell r="F3039" t="str">
            <v>Linda Brooks</v>
          </cell>
          <cell r="G3039" t="str">
            <v>The Mountbatten School A Language and Sports College</v>
          </cell>
          <cell r="H3039" t="str">
            <v>South East</v>
          </cell>
          <cell r="I3039" t="str">
            <v>Whitenap Lane</v>
          </cell>
          <cell r="L3039" t="str">
            <v>Romsey</v>
          </cell>
          <cell r="M3039" t="str">
            <v>Hampshire</v>
          </cell>
          <cell r="N3039" t="str">
            <v>SO51 5SY</v>
          </cell>
          <cell r="O3039" t="str">
            <v>heather.McIlroy@mountbatten.hants.sch.uk</v>
          </cell>
          <cell r="P3039">
            <v>40568</v>
          </cell>
        </row>
        <row r="3040">
          <cell r="A3040">
            <v>8265406</v>
          </cell>
          <cell r="B3040">
            <v>110532</v>
          </cell>
          <cell r="C3040">
            <v>826</v>
          </cell>
          <cell r="D3040" t="str">
            <v>Milton Keynes</v>
          </cell>
          <cell r="E3040">
            <v>5406</v>
          </cell>
          <cell r="F3040" t="str">
            <v>Sarah Nairne</v>
          </cell>
          <cell r="G3040" t="str">
            <v>The Radcliffe School</v>
          </cell>
          <cell r="H3040" t="str">
            <v>South East</v>
          </cell>
          <cell r="I3040" t="str">
            <v>Aylesbury Street West</v>
          </cell>
          <cell r="J3040" t="str">
            <v>Wolverton</v>
          </cell>
          <cell r="L3040" t="str">
            <v>Milton Keynes</v>
          </cell>
          <cell r="M3040" t="str">
            <v>Buckinghamshire</v>
          </cell>
          <cell r="N3040" t="str">
            <v>MK12 5BT</v>
          </cell>
          <cell r="O3040" t="str">
            <v>j.odonnell@radcliffeschool.org.uk</v>
          </cell>
        </row>
        <row r="3041">
          <cell r="A3041">
            <v>3363315</v>
          </cell>
          <cell r="B3041">
            <v>104383</v>
          </cell>
          <cell r="C3041">
            <v>336</v>
          </cell>
          <cell r="D3041" t="str">
            <v>Wolverhampton</v>
          </cell>
          <cell r="E3041">
            <v>3315</v>
          </cell>
          <cell r="F3041" t="str">
            <v>Hannah Copp</v>
          </cell>
          <cell r="G3041" t="str">
            <v>The Giffard Catholic Primary School</v>
          </cell>
          <cell r="H3041" t="str">
            <v>West Midlands</v>
          </cell>
          <cell r="I3041" t="str">
            <v>Hordern Close</v>
          </cell>
          <cell r="J3041" t="str">
            <v>Hordern Road</v>
          </cell>
          <cell r="K3041" t="str">
            <v>Newbridge</v>
          </cell>
          <cell r="L3041" t="str">
            <v>Wolverhampton</v>
          </cell>
          <cell r="M3041" t="str">
            <v>West Midlands</v>
          </cell>
          <cell r="N3041" t="str">
            <v>WV6 0HR</v>
          </cell>
          <cell r="O3041" t="str">
            <v>A.Lombardi@thegiffard-pri.lpplus.net</v>
          </cell>
        </row>
        <row r="3042">
          <cell r="A3042">
            <v>8554055</v>
          </cell>
          <cell r="B3042">
            <v>120273</v>
          </cell>
          <cell r="C3042">
            <v>855</v>
          </cell>
          <cell r="D3042" t="str">
            <v>Leicestershire</v>
          </cell>
          <cell r="E3042">
            <v>4055</v>
          </cell>
          <cell r="F3042" t="str">
            <v>Helen Whetter</v>
          </cell>
          <cell r="G3042" t="str">
            <v>Kibworth High School &amp; Community Technology College</v>
          </cell>
          <cell r="H3042" t="str">
            <v>East Midlands</v>
          </cell>
          <cell r="I3042" t="str">
            <v>Smeeton Road</v>
          </cell>
          <cell r="J3042" t="str">
            <v>Kibworth</v>
          </cell>
          <cell r="L3042" t="str">
            <v>Leicester</v>
          </cell>
          <cell r="M3042" t="str">
            <v>Leicestershire</v>
          </cell>
          <cell r="N3042" t="str">
            <v>LE8 0LG</v>
          </cell>
          <cell r="O3042" t="str">
            <v>angedw@kibworthhigh.leics.sch.uk</v>
          </cell>
          <cell r="P3042">
            <v>40651</v>
          </cell>
        </row>
        <row r="3043">
          <cell r="A3043">
            <v>9191106</v>
          </cell>
          <cell r="B3043">
            <v>130356</v>
          </cell>
          <cell r="C3043">
            <v>919</v>
          </cell>
          <cell r="D3043" t="str">
            <v>Hertfordshire</v>
          </cell>
          <cell r="E3043">
            <v>1106</v>
          </cell>
          <cell r="F3043" t="str">
            <v>Pat Murison</v>
          </cell>
          <cell r="G3043" t="str">
            <v>The Links Education Support Centre</v>
          </cell>
          <cell r="H3043" t="str">
            <v>East of England</v>
          </cell>
          <cell r="I3043" t="str">
            <v>Woollam Crescent</v>
          </cell>
          <cell r="L3043" t="str">
            <v>St Albans</v>
          </cell>
          <cell r="M3043" t="str">
            <v>Hertfordshire</v>
          </cell>
          <cell r="N3043" t="str">
            <v>AL3 6EJ</v>
          </cell>
          <cell r="O3043" t="str">
            <v>head@linksesc.herts.sch.uk</v>
          </cell>
          <cell r="P3043">
            <v>41024</v>
          </cell>
        </row>
        <row r="3044">
          <cell r="A3044">
            <v>9163010</v>
          </cell>
          <cell r="B3044">
            <v>115607</v>
          </cell>
          <cell r="C3044">
            <v>916</v>
          </cell>
          <cell r="D3044" t="str">
            <v>Gloucestershire</v>
          </cell>
          <cell r="E3044">
            <v>3010</v>
          </cell>
          <cell r="F3044" t="str">
            <v>Not yet assigned</v>
          </cell>
          <cell r="G3044" t="str">
            <v>Kingsholm Church of England Primary School</v>
          </cell>
          <cell r="H3044" t="str">
            <v>South West</v>
          </cell>
          <cell r="I3044" t="str">
            <v>Guinea Street</v>
          </cell>
          <cell r="L3044" t="str">
            <v>Gloucester</v>
          </cell>
          <cell r="M3044" t="str">
            <v>Gloucestershire</v>
          </cell>
          <cell r="N3044" t="str">
            <v>GL1 3BN</v>
          </cell>
          <cell r="O3044" t="str">
            <v xml:space="preserve"> janbuckland@kingsholm.gloucs.sch.uk</v>
          </cell>
        </row>
        <row r="3045">
          <cell r="A3045">
            <v>8614038</v>
          </cell>
          <cell r="B3045">
            <v>124385</v>
          </cell>
          <cell r="C3045">
            <v>861</v>
          </cell>
          <cell r="D3045" t="str">
            <v>Stoke-on-Trent</v>
          </cell>
          <cell r="E3045">
            <v>4038</v>
          </cell>
          <cell r="F3045" t="str">
            <v>Julia Waterhouse</v>
          </cell>
          <cell r="G3045" t="str">
            <v>Holden Lane High School Specialist Sports College</v>
          </cell>
          <cell r="H3045" t="str">
            <v>West Midlands</v>
          </cell>
          <cell r="I3045" t="str">
            <v>Milton Road</v>
          </cell>
          <cell r="J3045" t="str">
            <v>Sneyd Green</v>
          </cell>
          <cell r="L3045" t="str">
            <v>Stoke-on-Trent</v>
          </cell>
          <cell r="M3045" t="str">
            <v>Staffordshire</v>
          </cell>
          <cell r="N3045" t="str">
            <v>ST1 6LG</v>
          </cell>
          <cell r="O3045" t="str">
            <v>Jpatino@holdenlanehighschool.co.uk_x000D_
Jpatino@holdenlanehighschool.co.uk</v>
          </cell>
          <cell r="P3045">
            <v>41169</v>
          </cell>
        </row>
        <row r="3046">
          <cell r="A3046">
            <v>9093209</v>
          </cell>
          <cell r="B3046">
            <v>112296</v>
          </cell>
          <cell r="C3046">
            <v>909</v>
          </cell>
          <cell r="D3046" t="str">
            <v>Cumbria</v>
          </cell>
          <cell r="E3046">
            <v>3209</v>
          </cell>
          <cell r="F3046" t="str">
            <v>Steve Bibby</v>
          </cell>
          <cell r="G3046" t="str">
            <v>St.Bridget's C.E. Primary School</v>
          </cell>
          <cell r="H3046" t="str">
            <v>North West</v>
          </cell>
          <cell r="I3046" t="str">
            <v>Main Street</v>
          </cell>
          <cell r="J3046" t="str">
            <v>Parton</v>
          </cell>
          <cell r="L3046" t="str">
            <v>Whitehaven</v>
          </cell>
          <cell r="M3046" t="str">
            <v>Cumbria</v>
          </cell>
          <cell r="N3046" t="str">
            <v>CA28 6NY</v>
          </cell>
          <cell r="O3046" t="str">
            <v>admin@stbridgets-par.cumbria.sch.uk</v>
          </cell>
        </row>
        <row r="3047">
          <cell r="A3047">
            <v>8813824</v>
          </cell>
          <cell r="B3047">
            <v>115205</v>
          </cell>
          <cell r="C3047">
            <v>881</v>
          </cell>
          <cell r="D3047" t="str">
            <v>Essex</v>
          </cell>
          <cell r="E3047">
            <v>3824</v>
          </cell>
          <cell r="F3047" t="str">
            <v>Shreena Patel</v>
          </cell>
          <cell r="G3047" t="str">
            <v>St Thomas More's Catholic Primary School, Colchester</v>
          </cell>
          <cell r="H3047" t="str">
            <v>East of England</v>
          </cell>
          <cell r="I3047" t="str">
            <v>Priory Street</v>
          </cell>
          <cell r="L3047" t="str">
            <v>Colchester</v>
          </cell>
          <cell r="M3047" t="str">
            <v>Essex</v>
          </cell>
          <cell r="N3047" t="str">
            <v>CO1 2QB</v>
          </cell>
          <cell r="O3047" t="str">
            <v>head@st-thomasmores.essex.sch.uk</v>
          </cell>
          <cell r="P3047">
            <v>40919</v>
          </cell>
        </row>
        <row r="3048">
          <cell r="A3048">
            <v>9265407</v>
          </cell>
          <cell r="B3048">
            <v>121215</v>
          </cell>
          <cell r="C3048">
            <v>926</v>
          </cell>
          <cell r="D3048" t="str">
            <v>Norfolk</v>
          </cell>
          <cell r="E3048">
            <v>5407</v>
          </cell>
          <cell r="F3048" t="str">
            <v>Janet Coatsworth</v>
          </cell>
          <cell r="G3048" t="str">
            <v>Lynn Grove VA High School</v>
          </cell>
          <cell r="H3048" t="str">
            <v>East of England</v>
          </cell>
          <cell r="I3048" t="str">
            <v>Lynn Grove</v>
          </cell>
          <cell r="J3048" t="str">
            <v>Gorleston</v>
          </cell>
          <cell r="L3048" t="str">
            <v>Great Yarmouth</v>
          </cell>
          <cell r="M3048" t="str">
            <v>Norfolk</v>
          </cell>
          <cell r="N3048" t="str">
            <v>NR31 8AP</v>
          </cell>
          <cell r="O3048" t="str">
            <v>amobbs@lynngrove.org.uk</v>
          </cell>
          <cell r="P3048">
            <v>40660</v>
          </cell>
        </row>
        <row r="3049">
          <cell r="A3049">
            <v>9165419</v>
          </cell>
          <cell r="B3049">
            <v>115770</v>
          </cell>
          <cell r="C3049">
            <v>916</v>
          </cell>
          <cell r="D3049" t="str">
            <v>Gloucestershire</v>
          </cell>
          <cell r="E3049">
            <v>5419</v>
          </cell>
          <cell r="F3049" t="str">
            <v>Sophie Silver</v>
          </cell>
          <cell r="G3049" t="str">
            <v>Cirencester Kingshill School</v>
          </cell>
          <cell r="H3049" t="str">
            <v>South West</v>
          </cell>
          <cell r="I3049" t="str">
            <v>Kingshill Lane</v>
          </cell>
          <cell r="L3049" t="str">
            <v>Cirencester</v>
          </cell>
          <cell r="M3049" t="str">
            <v>Gloucestershire</v>
          </cell>
          <cell r="N3049" t="str">
            <v>GL7 1HS</v>
          </cell>
          <cell r="O3049" t="str">
            <v>cminett@cirencesterkingshill.gloucs.sch.uk</v>
          </cell>
          <cell r="P3049">
            <v>40640</v>
          </cell>
        </row>
        <row r="3050">
          <cell r="A3050">
            <v>9365412</v>
          </cell>
          <cell r="B3050">
            <v>125312</v>
          </cell>
          <cell r="C3050">
            <v>936</v>
          </cell>
          <cell r="D3050" t="str">
            <v>Surrey</v>
          </cell>
          <cell r="E3050">
            <v>5412</v>
          </cell>
          <cell r="F3050" t="str">
            <v>Gabriela Grimley</v>
          </cell>
          <cell r="G3050" t="str">
            <v>Salesian School</v>
          </cell>
          <cell r="H3050" t="str">
            <v>South East</v>
          </cell>
          <cell r="I3050" t="str">
            <v>Guildford Road</v>
          </cell>
          <cell r="L3050" t="str">
            <v>Chertsey</v>
          </cell>
          <cell r="M3050" t="str">
            <v>Surrey</v>
          </cell>
          <cell r="N3050" t="str">
            <v>KT16 9LU</v>
          </cell>
          <cell r="O3050" t="str">
            <v>jkibble@salesian.surrey.sch.uk</v>
          </cell>
        </row>
        <row r="3051">
          <cell r="A3051">
            <v>3803310</v>
          </cell>
          <cell r="B3051">
            <v>107322</v>
          </cell>
          <cell r="C3051">
            <v>380</v>
          </cell>
          <cell r="D3051" t="str">
            <v>Bradford</v>
          </cell>
          <cell r="E3051">
            <v>3310</v>
          </cell>
          <cell r="F3051" t="str">
            <v>Nick Monton</v>
          </cell>
          <cell r="G3051" t="str">
            <v>St Oswald's CofE Primary School</v>
          </cell>
          <cell r="H3051" t="str">
            <v>Yorkshire and the Humber</v>
          </cell>
          <cell r="I3051" t="str">
            <v>Cross Lane</v>
          </cell>
          <cell r="L3051" t="str">
            <v>Bradford</v>
          </cell>
          <cell r="M3051" t="str">
            <v>West Yorkshire</v>
          </cell>
          <cell r="N3051" t="str">
            <v>BD7 3JT</v>
          </cell>
          <cell r="O3051" t="str">
            <v>administrator@st-oswalds-bradford.co.uk</v>
          </cell>
        </row>
        <row r="3052">
          <cell r="A3052">
            <v>8863128</v>
          </cell>
          <cell r="B3052">
            <v>118658</v>
          </cell>
          <cell r="C3052">
            <v>886</v>
          </cell>
          <cell r="D3052" t="str">
            <v>Kent</v>
          </cell>
          <cell r="E3052">
            <v>3128</v>
          </cell>
          <cell r="F3052" t="str">
            <v>Tony Dunne</v>
          </cell>
          <cell r="G3052" t="str">
            <v>Sturry Church of England Primary School</v>
          </cell>
          <cell r="H3052" t="str">
            <v>South East</v>
          </cell>
          <cell r="I3052" t="str">
            <v>Park View</v>
          </cell>
          <cell r="J3052" t="str">
            <v>Sturry</v>
          </cell>
          <cell r="L3052" t="str">
            <v>Canterbury</v>
          </cell>
          <cell r="M3052" t="str">
            <v>Kent</v>
          </cell>
          <cell r="N3052" t="str">
            <v>CT2 0NR</v>
          </cell>
          <cell r="O3052" t="str">
            <v>headteacher@sturry.kent.sch.uk</v>
          </cell>
        </row>
        <row r="3053">
          <cell r="A3053">
            <v>8062313</v>
          </cell>
          <cell r="B3053">
            <v>111619</v>
          </cell>
          <cell r="C3053">
            <v>806</v>
          </cell>
          <cell r="D3053" t="str">
            <v>Middlesbrough</v>
          </cell>
          <cell r="E3053">
            <v>2313</v>
          </cell>
          <cell r="F3053" t="str">
            <v>June Laughton</v>
          </cell>
          <cell r="G3053" t="str">
            <v>Chandlers Ridge Primary School</v>
          </cell>
          <cell r="H3053" t="str">
            <v>North East</v>
          </cell>
          <cell r="I3053" t="str">
            <v>Chandlers Ridge</v>
          </cell>
          <cell r="J3053" t="str">
            <v>Nunthorpe</v>
          </cell>
          <cell r="L3053" t="str">
            <v>Middlesbrough</v>
          </cell>
          <cell r="N3053" t="str">
            <v>TS7 0JL</v>
          </cell>
          <cell r="O3053" t="str">
            <v>Bill_Smith@middlesbrough.gov.uk</v>
          </cell>
          <cell r="P3053">
            <v>40948</v>
          </cell>
        </row>
        <row r="3054">
          <cell r="A3054">
            <v>9374190</v>
          </cell>
          <cell r="B3054">
            <v>125744</v>
          </cell>
          <cell r="C3054">
            <v>937</v>
          </cell>
          <cell r="D3054" t="str">
            <v>Warwickshire</v>
          </cell>
          <cell r="E3054">
            <v>4190</v>
          </cell>
          <cell r="F3054" t="str">
            <v>Frances Blow</v>
          </cell>
          <cell r="G3054" t="str">
            <v>Aylesford School, a specialist language and music college</v>
          </cell>
          <cell r="H3054" t="str">
            <v>West Midlands</v>
          </cell>
          <cell r="I3054" t="str">
            <v>Shelley Avenue</v>
          </cell>
          <cell r="L3054" t="str">
            <v>Warwick</v>
          </cell>
          <cell r="M3054" t="str">
            <v>Warwickshire</v>
          </cell>
          <cell r="N3054" t="str">
            <v>CV34 6LA</v>
          </cell>
          <cell r="O3054" t="str">
            <v>steve.hall@aylesford-elearning.net</v>
          </cell>
          <cell r="P3054">
            <v>40646</v>
          </cell>
        </row>
        <row r="3055">
          <cell r="A3055">
            <v>8734051</v>
          </cell>
          <cell r="B3055">
            <v>110870</v>
          </cell>
          <cell r="C3055">
            <v>873</v>
          </cell>
          <cell r="D3055" t="str">
            <v>Cambridgeshire</v>
          </cell>
          <cell r="E3055">
            <v>4051</v>
          </cell>
          <cell r="F3055" t="str">
            <v>Shreena Patel</v>
          </cell>
          <cell r="G3055" t="str">
            <v>Sir Harry Smith Community College</v>
          </cell>
          <cell r="H3055" t="str">
            <v>East of England</v>
          </cell>
          <cell r="I3055" t="str">
            <v>Eastrea Road</v>
          </cell>
          <cell r="J3055" t="str">
            <v>Whittlesey</v>
          </cell>
          <cell r="L3055" t="str">
            <v>Peterborough</v>
          </cell>
          <cell r="M3055" t="str">
            <v>Cambridgeshire</v>
          </cell>
          <cell r="N3055" t="str">
            <v>PE7 1XB</v>
          </cell>
          <cell r="O3055" t="str">
            <v>Jdigby@sirharrysmith.cambs.sch.uk</v>
          </cell>
          <cell r="P3055">
            <v>40864</v>
          </cell>
        </row>
        <row r="3056">
          <cell r="A3056">
            <v>8523205</v>
          </cell>
          <cell r="B3056">
            <v>116343</v>
          </cell>
          <cell r="C3056">
            <v>852</v>
          </cell>
          <cell r="D3056" t="str">
            <v>Southampton</v>
          </cell>
          <cell r="E3056">
            <v>3205</v>
          </cell>
          <cell r="F3056" t="str">
            <v>Nicky Edwards</v>
          </cell>
          <cell r="G3056" t="str">
            <v>St Mary's Church of England Voluntary Controlled Primary School</v>
          </cell>
          <cell r="H3056" t="str">
            <v>South East</v>
          </cell>
          <cell r="I3056" t="str">
            <v>Ascupart Street</v>
          </cell>
          <cell r="L3056" t="str">
            <v>Southampton</v>
          </cell>
          <cell r="M3056" t="str">
            <v>Hampshire</v>
          </cell>
          <cell r="N3056" t="str">
            <v>SO14 1LU</v>
          </cell>
        </row>
        <row r="3057">
          <cell r="A3057">
            <v>3444056</v>
          </cell>
          <cell r="B3057">
            <v>105099</v>
          </cell>
          <cell r="C3057">
            <v>344</v>
          </cell>
          <cell r="D3057" t="str">
            <v>Wirral</v>
          </cell>
          <cell r="E3057">
            <v>4056</v>
          </cell>
          <cell r="F3057" t="str">
            <v>Maria Sabberton</v>
          </cell>
          <cell r="G3057" t="str">
            <v>West Kirby Grammar School</v>
          </cell>
          <cell r="H3057" t="str">
            <v>North West</v>
          </cell>
          <cell r="I3057" t="str">
            <v>Graham Road</v>
          </cell>
          <cell r="J3057" t="str">
            <v>West Kirby</v>
          </cell>
          <cell r="L3057" t="str">
            <v>Wirral</v>
          </cell>
          <cell r="M3057" t="str">
            <v>Merseyside</v>
          </cell>
          <cell r="N3057" t="str">
            <v>CH48 5DP</v>
          </cell>
          <cell r="O3057" t="str">
            <v>glenice.siddall@btinternet.com</v>
          </cell>
          <cell r="P3057">
            <v>40555</v>
          </cell>
        </row>
        <row r="3058">
          <cell r="A3058">
            <v>8882530</v>
          </cell>
          <cell r="B3058">
            <v>119300</v>
          </cell>
          <cell r="C3058">
            <v>888</v>
          </cell>
          <cell r="D3058" t="str">
            <v>Lancashire</v>
          </cell>
          <cell r="E3058">
            <v>2530</v>
          </cell>
          <cell r="F3058" t="str">
            <v>Viv Clutton</v>
          </cell>
          <cell r="G3058" t="str">
            <v>Garstang Community Primary School</v>
          </cell>
          <cell r="H3058" t="str">
            <v>North West</v>
          </cell>
          <cell r="I3058" t="str">
            <v>Oak Road</v>
          </cell>
          <cell r="J3058" t="str">
            <v>Garstang</v>
          </cell>
          <cell r="L3058" t="str">
            <v>Preston</v>
          </cell>
          <cell r="M3058" t="str">
            <v>Lancashire</v>
          </cell>
          <cell r="N3058" t="str">
            <v>PR3 1HT</v>
          </cell>
          <cell r="O3058" t="str">
            <v>head@garstang.lancs.sch.uk</v>
          </cell>
        </row>
        <row r="3059">
          <cell r="A3059">
            <v>8862463</v>
          </cell>
          <cell r="B3059">
            <v>118455</v>
          </cell>
          <cell r="C3059">
            <v>886</v>
          </cell>
          <cell r="D3059" t="str">
            <v>Kent</v>
          </cell>
          <cell r="E3059">
            <v>2463</v>
          </cell>
          <cell r="F3059" t="str">
            <v>Tony Dunne</v>
          </cell>
          <cell r="G3059" t="str">
            <v>Minterne Junior School</v>
          </cell>
          <cell r="H3059" t="str">
            <v>South East</v>
          </cell>
          <cell r="I3059" t="str">
            <v>Minterne Avenue</v>
          </cell>
          <cell r="L3059" t="str">
            <v>Sittingbourne</v>
          </cell>
          <cell r="M3059" t="str">
            <v>Kent</v>
          </cell>
          <cell r="N3059" t="str">
            <v>ME10 1SB</v>
          </cell>
          <cell r="O3059" t="str">
            <v>headteacher@minterne.kent.sch.uk</v>
          </cell>
          <cell r="P3059">
            <v>40949</v>
          </cell>
        </row>
        <row r="3060">
          <cell r="A3060">
            <v>9194197</v>
          </cell>
          <cell r="B3060">
            <v>117548</v>
          </cell>
          <cell r="C3060">
            <v>919</v>
          </cell>
          <cell r="D3060" t="str">
            <v>Hertfordshire</v>
          </cell>
          <cell r="E3060">
            <v>4197</v>
          </cell>
          <cell r="F3060" t="str">
            <v>Joe Farrell</v>
          </cell>
          <cell r="G3060" t="str">
            <v>Sandringham School</v>
          </cell>
          <cell r="H3060" t="str">
            <v>East of England</v>
          </cell>
          <cell r="I3060" t="str">
            <v>The Ridgeway</v>
          </cell>
          <cell r="L3060" t="str">
            <v>St Albans</v>
          </cell>
          <cell r="M3060" t="str">
            <v>Hertfordshire</v>
          </cell>
          <cell r="N3060" t="str">
            <v>AL4 9NX</v>
          </cell>
          <cell r="O3060" t="str">
            <v>head@sandringham.herts.sch.uk</v>
          </cell>
          <cell r="P3060">
            <v>40429</v>
          </cell>
        </row>
        <row r="3061">
          <cell r="A3061">
            <v>9084166</v>
          </cell>
          <cell r="B3061">
            <v>112060</v>
          </cell>
          <cell r="C3061">
            <v>908</v>
          </cell>
          <cell r="D3061" t="str">
            <v>Cornwall</v>
          </cell>
          <cell r="E3061">
            <v>4166</v>
          </cell>
          <cell r="F3061" t="str">
            <v>Tahamina Khan</v>
          </cell>
          <cell r="G3061" t="str">
            <v>Penair School</v>
          </cell>
          <cell r="H3061" t="str">
            <v>South West</v>
          </cell>
          <cell r="I3061" t="str">
            <v>St Clement</v>
          </cell>
          <cell r="L3061" t="str">
            <v>Truro</v>
          </cell>
          <cell r="M3061" t="str">
            <v>Cornwall</v>
          </cell>
          <cell r="N3061" t="str">
            <v>TR1 1TN</v>
          </cell>
          <cell r="O3061" t="str">
            <v>head@penair.cornwall.sch.uk</v>
          </cell>
          <cell r="P3061">
            <v>40557</v>
          </cell>
        </row>
        <row r="3062">
          <cell r="A3062">
            <v>8762724</v>
          </cell>
          <cell r="B3062">
            <v>130271</v>
          </cell>
          <cell r="C3062">
            <v>876</v>
          </cell>
          <cell r="D3062" t="str">
            <v>Halton</v>
          </cell>
          <cell r="E3062">
            <v>2724</v>
          </cell>
          <cell r="F3062" t="str">
            <v>Maria Sabberton</v>
          </cell>
          <cell r="G3062" t="str">
            <v>Palace Fields Primary School</v>
          </cell>
          <cell r="H3062" t="str">
            <v>North West</v>
          </cell>
          <cell r="I3062" t="str">
            <v>Badger Close</v>
          </cell>
          <cell r="J3062" t="str">
            <v>Palacefields</v>
          </cell>
          <cell r="L3062" t="str">
            <v>Runcorn</v>
          </cell>
          <cell r="M3062" t="str">
            <v>Cheshire</v>
          </cell>
          <cell r="N3062" t="str">
            <v>WA7 2QW</v>
          </cell>
          <cell r="O3062" t="str">
            <v>principal@palacefieldsacademy.org.uk</v>
          </cell>
          <cell r="P3062">
            <v>40501</v>
          </cell>
        </row>
        <row r="3063">
          <cell r="A3063">
            <v>8805200</v>
          </cell>
          <cell r="B3063">
            <v>113554</v>
          </cell>
          <cell r="C3063">
            <v>880</v>
          </cell>
          <cell r="D3063" t="str">
            <v>Torbay</v>
          </cell>
          <cell r="E3063">
            <v>5200</v>
          </cell>
          <cell r="F3063" t="str">
            <v>Ali Bushell</v>
          </cell>
          <cell r="G3063" t="str">
            <v>Hayes School</v>
          </cell>
          <cell r="H3063" t="str">
            <v>South West</v>
          </cell>
          <cell r="I3063" t="str">
            <v>Hayes Road</v>
          </cell>
          <cell r="L3063" t="str">
            <v>Paignton</v>
          </cell>
          <cell r="M3063" t="str">
            <v>Devon</v>
          </cell>
          <cell r="N3063" t="str">
            <v>TQ4 5PJ</v>
          </cell>
          <cell r="O3063" t="str">
            <v>admin@hayes.torbay.sch.uk</v>
          </cell>
          <cell r="P3063">
            <v>40520</v>
          </cell>
        </row>
        <row r="3064">
          <cell r="A3064">
            <v>8234011</v>
          </cell>
          <cell r="B3064">
            <v>109650</v>
          </cell>
          <cell r="C3064">
            <v>823</v>
          </cell>
          <cell r="D3064" t="str">
            <v>Central Bedfordshire</v>
          </cell>
          <cell r="E3064">
            <v>4011</v>
          </cell>
          <cell r="F3064" t="str">
            <v>Kish Chetty</v>
          </cell>
          <cell r="G3064" t="str">
            <v>Cedars Upper School</v>
          </cell>
          <cell r="H3064" t="str">
            <v>East of England</v>
          </cell>
          <cell r="I3064" t="str">
            <v>Mentmore Road</v>
          </cell>
          <cell r="J3064" t="str">
            <v>Linslade</v>
          </cell>
          <cell r="L3064" t="str">
            <v>Leighton Buzzard</v>
          </cell>
          <cell r="M3064" t="str">
            <v>Bedfordshire</v>
          </cell>
          <cell r="N3064" t="str">
            <v>LU7 2AE</v>
          </cell>
          <cell r="O3064" t="str">
            <v>palmers@cedarsupper.org.uk</v>
          </cell>
          <cell r="P3064">
            <v>40588</v>
          </cell>
        </row>
        <row r="3065">
          <cell r="A3065">
            <v>3203300</v>
          </cell>
          <cell r="B3065">
            <v>103085</v>
          </cell>
          <cell r="C3065">
            <v>320</v>
          </cell>
          <cell r="D3065" t="str">
            <v>Waltham Forest</v>
          </cell>
          <cell r="E3065">
            <v>3300</v>
          </cell>
          <cell r="F3065" t="str">
            <v>Tahir Shams</v>
          </cell>
          <cell r="G3065" t="str">
            <v>St Mary's Catholic Primary School</v>
          </cell>
          <cell r="H3065" t="str">
            <v>London</v>
          </cell>
          <cell r="I3065" t="str">
            <v>Station Road</v>
          </cell>
          <cell r="J3065" t="str">
            <v>Chingford</v>
          </cell>
          <cell r="L3065" t="str">
            <v>London</v>
          </cell>
          <cell r="N3065" t="str">
            <v>E4 7BJ</v>
          </cell>
          <cell r="O3065" t="str">
            <v>pegan.320@lgflmail.org</v>
          </cell>
        </row>
        <row r="3066">
          <cell r="A3066">
            <v>8803752</v>
          </cell>
          <cell r="B3066">
            <v>131646</v>
          </cell>
          <cell r="C3066">
            <v>880</v>
          </cell>
          <cell r="D3066" t="str">
            <v>Torbay</v>
          </cell>
          <cell r="E3066">
            <v>3752</v>
          </cell>
          <cell r="F3066" t="str">
            <v>Bola Bakrin</v>
          </cell>
          <cell r="G3066" t="str">
            <v>Kings Ash Primary School</v>
          </cell>
          <cell r="H3066" t="str">
            <v>South West</v>
          </cell>
          <cell r="I3066" t="str">
            <v>Pimm Road</v>
          </cell>
          <cell r="L3066" t="str">
            <v>Paignton</v>
          </cell>
          <cell r="M3066" t="str">
            <v>Devon</v>
          </cell>
          <cell r="N3066" t="str">
            <v>TQ3 3XA</v>
          </cell>
          <cell r="O3066" t="str">
            <v>admin@kingsash.torbay.sch.uk</v>
          </cell>
        </row>
        <row r="3067">
          <cell r="A3067">
            <v>8952133</v>
          </cell>
          <cell r="B3067">
            <v>111010</v>
          </cell>
          <cell r="C3067">
            <v>895</v>
          </cell>
          <cell r="D3067" t="str">
            <v>Cheshire East</v>
          </cell>
          <cell r="E3067">
            <v>2133</v>
          </cell>
          <cell r="F3067" t="str">
            <v>Pat Murison</v>
          </cell>
          <cell r="G3067" t="str">
            <v>Lacey Green Primary School</v>
          </cell>
          <cell r="H3067" t="str">
            <v>North West</v>
          </cell>
          <cell r="I3067" t="str">
            <v>Barlow Road</v>
          </cell>
          <cell r="L3067" t="str">
            <v>Wilmslow</v>
          </cell>
          <cell r="M3067" t="str">
            <v>Cheshire</v>
          </cell>
          <cell r="N3067" t="str">
            <v>SK9 4DP</v>
          </cell>
          <cell r="O3067" t="str">
            <v>head@laceygreen.cheshire.sch.uk</v>
          </cell>
          <cell r="P3067">
            <v>40591</v>
          </cell>
        </row>
        <row r="3068">
          <cell r="A3068">
            <v>3087008</v>
          </cell>
          <cell r="B3068">
            <v>130958</v>
          </cell>
          <cell r="C3068">
            <v>308</v>
          </cell>
          <cell r="D3068" t="str">
            <v>Enfield</v>
          </cell>
          <cell r="E3068">
            <v>7008</v>
          </cell>
          <cell r="F3068" t="str">
            <v>Martin Rowley</v>
          </cell>
          <cell r="G3068" t="str">
            <v>Russet House School</v>
          </cell>
          <cell r="H3068" t="str">
            <v>London</v>
          </cell>
          <cell r="I3068" t="str">
            <v>11 Autumn Close</v>
          </cell>
          <cell r="L3068" t="str">
            <v>Enfield</v>
          </cell>
          <cell r="N3068" t="str">
            <v>EN1 4JA</v>
          </cell>
          <cell r="O3068" t="str">
            <v>headteacher@russethouse.enfield.sch.uk</v>
          </cell>
        </row>
        <row r="3069">
          <cell r="A3069">
            <v>9314128</v>
          </cell>
          <cell r="B3069">
            <v>123258</v>
          </cell>
          <cell r="C3069">
            <v>931</v>
          </cell>
          <cell r="D3069" t="str">
            <v>Oxfordshire</v>
          </cell>
          <cell r="E3069">
            <v>4128</v>
          </cell>
          <cell r="F3069" t="str">
            <v>Darren Francis</v>
          </cell>
          <cell r="G3069" t="str">
            <v>Matthew Arnold School</v>
          </cell>
          <cell r="H3069" t="str">
            <v>South East</v>
          </cell>
          <cell r="I3069" t="str">
            <v>Arnolds Way</v>
          </cell>
          <cell r="L3069" t="str">
            <v>Oxford</v>
          </cell>
          <cell r="M3069" t="str">
            <v>Oxfordshire</v>
          </cell>
          <cell r="N3069" t="str">
            <v>OX2 9JE</v>
          </cell>
          <cell r="O3069" t="str">
            <v>office@matthew-arnold.ocnmail.net</v>
          </cell>
          <cell r="P3069">
            <v>41190</v>
          </cell>
        </row>
        <row r="3070">
          <cell r="A3070">
            <v>9165213</v>
          </cell>
          <cell r="B3070">
            <v>115743</v>
          </cell>
          <cell r="C3070">
            <v>916</v>
          </cell>
          <cell r="D3070" t="str">
            <v>Gloucestershire</v>
          </cell>
          <cell r="E3070">
            <v>5213</v>
          </cell>
          <cell r="F3070" t="str">
            <v>Kate Bosher</v>
          </cell>
          <cell r="G3070" t="str">
            <v>St David's School</v>
          </cell>
          <cell r="H3070" t="str">
            <v>South West</v>
          </cell>
          <cell r="I3070" t="str">
            <v>East Street</v>
          </cell>
          <cell r="L3070" t="str">
            <v>Moreton-in-Marsh</v>
          </cell>
          <cell r="M3070" t="str">
            <v>Gloucestershire</v>
          </cell>
          <cell r="N3070" t="str">
            <v>GL56 0LQ</v>
          </cell>
          <cell r="O3070" t="str">
            <v xml:space="preserve"> head@st-davids.gloucs.sch.uk</v>
          </cell>
          <cell r="P3070">
            <v>40724</v>
          </cell>
        </row>
        <row r="3071">
          <cell r="A3071">
            <v>8653405</v>
          </cell>
          <cell r="B3071">
            <v>126420</v>
          </cell>
          <cell r="C3071">
            <v>865</v>
          </cell>
          <cell r="D3071" t="str">
            <v>Wiltshire</v>
          </cell>
          <cell r="E3071">
            <v>3405</v>
          </cell>
          <cell r="F3071" t="str">
            <v>Not yet assigned</v>
          </cell>
          <cell r="G3071" t="str">
            <v>Winterslow CofE (Aided) Primary School</v>
          </cell>
          <cell r="H3071" t="str">
            <v>South West</v>
          </cell>
          <cell r="I3071" t="str">
            <v>Middle Winterslow</v>
          </cell>
          <cell r="L3071" t="str">
            <v>Salisbury</v>
          </cell>
          <cell r="M3071" t="str">
            <v>Wiltshire</v>
          </cell>
          <cell r="N3071" t="str">
            <v>SP5 1RD</v>
          </cell>
        </row>
        <row r="3072">
          <cell r="A3072">
            <v>2103337</v>
          </cell>
          <cell r="B3072">
            <v>100823</v>
          </cell>
          <cell r="C3072">
            <v>210</v>
          </cell>
          <cell r="D3072" t="str">
            <v>Southwark</v>
          </cell>
          <cell r="E3072">
            <v>3337</v>
          </cell>
          <cell r="F3072" t="str">
            <v>Bola Bakrin</v>
          </cell>
          <cell r="G3072" t="str">
            <v>Dulwich Village Church of England Infants' School</v>
          </cell>
          <cell r="H3072" t="str">
            <v>London</v>
          </cell>
          <cell r="I3072" t="str">
            <v>Dulwich Village</v>
          </cell>
          <cell r="L3072" t="str">
            <v>London</v>
          </cell>
          <cell r="N3072" t="str">
            <v>SE21 7AL</v>
          </cell>
          <cell r="O3072" t="str">
            <v>dulwichvillageschool@yahoo.com</v>
          </cell>
        </row>
        <row r="3073">
          <cell r="A3073">
            <v>8834733</v>
          </cell>
          <cell r="B3073">
            <v>115239</v>
          </cell>
          <cell r="C3073">
            <v>883</v>
          </cell>
          <cell r="D3073" t="str">
            <v>Thurrock</v>
          </cell>
          <cell r="E3073">
            <v>4733</v>
          </cell>
          <cell r="F3073" t="str">
            <v>Claire Ivie</v>
          </cell>
          <cell r="G3073" t="str">
            <v>Grays Convent High School</v>
          </cell>
          <cell r="H3073" t="str">
            <v>East of England</v>
          </cell>
          <cell r="I3073" t="str">
            <v>College Avenue</v>
          </cell>
          <cell r="L3073" t="str">
            <v>Grays</v>
          </cell>
          <cell r="M3073" t="str">
            <v>Essex</v>
          </cell>
          <cell r="N3073" t="str">
            <v>RM17 5UX</v>
          </cell>
          <cell r="O3073" t="str">
            <v>BristerAM@graysconvent.thurrock.sch</v>
          </cell>
        </row>
        <row r="3074">
          <cell r="A3074">
            <v>9294168</v>
          </cell>
          <cell r="B3074">
            <v>122338</v>
          </cell>
          <cell r="C3074">
            <v>929</v>
          </cell>
          <cell r="D3074" t="str">
            <v>Northumberland</v>
          </cell>
          <cell r="E3074">
            <v>4168</v>
          </cell>
          <cell r="F3074" t="str">
            <v>Lisa Sargeant</v>
          </cell>
          <cell r="G3074" t="str">
            <v>Meadowdale Middle School</v>
          </cell>
          <cell r="H3074" t="str">
            <v>North East</v>
          </cell>
          <cell r="I3074" t="str">
            <v>Hazelmere Avenue</v>
          </cell>
          <cell r="L3074" t="str">
            <v>Bedlington</v>
          </cell>
          <cell r="M3074" t="str">
            <v>Northumberland</v>
          </cell>
          <cell r="N3074" t="str">
            <v>NE22 6HA</v>
          </cell>
          <cell r="O3074" t="str">
            <v>joy.finn@northumberland.gov.uk</v>
          </cell>
          <cell r="P3074">
            <v>40353</v>
          </cell>
        </row>
        <row r="3075">
          <cell r="A3075">
            <v>8653243</v>
          </cell>
          <cell r="B3075">
            <v>126391</v>
          </cell>
          <cell r="C3075">
            <v>865</v>
          </cell>
          <cell r="D3075" t="str">
            <v>Wiltshire</v>
          </cell>
          <cell r="E3075">
            <v>3243</v>
          </cell>
          <cell r="F3075" t="str">
            <v>Not yet assigned</v>
          </cell>
          <cell r="G3075" t="str">
            <v>Great Bedwyn Church of England School</v>
          </cell>
          <cell r="H3075" t="str">
            <v>South West</v>
          </cell>
          <cell r="I3075" t="str">
            <v>Farm Lane</v>
          </cell>
          <cell r="J3075" t="str">
            <v>Great Bedwyn</v>
          </cell>
          <cell r="L3075" t="str">
            <v>Marlborough</v>
          </cell>
          <cell r="M3075" t="str">
            <v>Wiltshire</v>
          </cell>
          <cell r="N3075" t="str">
            <v>SN8 3TR</v>
          </cell>
          <cell r="O3075" t="str">
            <v>head@greatbedwyn.wilts.sch.uk</v>
          </cell>
        </row>
        <row r="3076">
          <cell r="A3076">
            <v>8782049</v>
          </cell>
          <cell r="B3076">
            <v>113099</v>
          </cell>
          <cell r="C3076">
            <v>878</v>
          </cell>
          <cell r="D3076" t="str">
            <v>Devon</v>
          </cell>
          <cell r="E3076">
            <v>2049</v>
          </cell>
          <cell r="F3076" t="str">
            <v>Lilian Da Cunha</v>
          </cell>
          <cell r="G3076" t="str">
            <v>Littletown Primary School</v>
          </cell>
          <cell r="H3076" t="str">
            <v>South West</v>
          </cell>
          <cell r="I3076" t="str">
            <v>Honiton Bottom Road</v>
          </cell>
          <cell r="L3076" t="str">
            <v>Honiton</v>
          </cell>
          <cell r="M3076" t="str">
            <v>Devon</v>
          </cell>
          <cell r="N3076" t="str">
            <v>EX14 2EG</v>
          </cell>
          <cell r="O3076" t="str">
            <v>head@littletown.devon.sch.uk</v>
          </cell>
          <cell r="P3076">
            <v>40710</v>
          </cell>
        </row>
        <row r="3077">
          <cell r="A3077">
            <v>2132032</v>
          </cell>
          <cell r="B3077">
            <v>101107</v>
          </cell>
          <cell r="C3077">
            <v>213</v>
          </cell>
          <cell r="D3077" t="str">
            <v>Westminster</v>
          </cell>
          <cell r="E3077">
            <v>2032</v>
          </cell>
          <cell r="F3077" t="str">
            <v>Sheila Longstaff</v>
          </cell>
          <cell r="G3077" t="str">
            <v>Barrow Hill Junior School</v>
          </cell>
          <cell r="H3077" t="str">
            <v>London</v>
          </cell>
          <cell r="I3077" t="str">
            <v>Bridgeman Street</v>
          </cell>
          <cell r="J3077" t="str">
            <v>St John's Wood</v>
          </cell>
          <cell r="L3077" t="str">
            <v>London</v>
          </cell>
          <cell r="N3077" t="str">
            <v>NW8 7AL</v>
          </cell>
        </row>
        <row r="3078">
          <cell r="A3078">
            <v>8254058</v>
          </cell>
          <cell r="B3078">
            <v>110494</v>
          </cell>
          <cell r="C3078">
            <v>825</v>
          </cell>
          <cell r="D3078" t="str">
            <v>Buckinghamshire</v>
          </cell>
          <cell r="E3078">
            <v>4058</v>
          </cell>
          <cell r="F3078" t="str">
            <v>Darren Francis</v>
          </cell>
          <cell r="G3078" t="str">
            <v>Aylesbury High School</v>
          </cell>
          <cell r="H3078" t="str">
            <v>South East</v>
          </cell>
          <cell r="I3078" t="str">
            <v>Walton Road</v>
          </cell>
          <cell r="L3078" t="str">
            <v>Aylesbury</v>
          </cell>
          <cell r="M3078" t="str">
            <v>Buckinghamshire</v>
          </cell>
          <cell r="N3078" t="str">
            <v>HP21 7SX</v>
          </cell>
          <cell r="O3078" t="str">
            <v>arosen@ahs.bucks.sch.uk</v>
          </cell>
          <cell r="P3078">
            <v>40557</v>
          </cell>
        </row>
        <row r="3079">
          <cell r="A3079">
            <v>8233010</v>
          </cell>
          <cell r="B3079">
            <v>109602</v>
          </cell>
          <cell r="C3079">
            <v>823</v>
          </cell>
          <cell r="D3079" t="str">
            <v>Central Bedfordshire</v>
          </cell>
          <cell r="E3079">
            <v>3010</v>
          </cell>
          <cell r="F3079" t="str">
            <v>Shreena Patel</v>
          </cell>
          <cell r="G3079" t="str">
            <v>Kensworth VC Lower School</v>
          </cell>
          <cell r="H3079" t="str">
            <v>East of England</v>
          </cell>
          <cell r="I3079" t="str">
            <v>Common Road</v>
          </cell>
          <cell r="J3079" t="str">
            <v>Kensworth</v>
          </cell>
          <cell r="L3079" t="str">
            <v>Dunstable</v>
          </cell>
          <cell r="M3079" t="str">
            <v>Bedfordshire</v>
          </cell>
          <cell r="N3079" t="str">
            <v>LU6 3RH</v>
          </cell>
        </row>
        <row r="3080">
          <cell r="A3080">
            <v>8613487</v>
          </cell>
          <cell r="B3080">
            <v>124378</v>
          </cell>
          <cell r="C3080">
            <v>861</v>
          </cell>
          <cell r="D3080" t="str">
            <v>Stoke-on-Trent</v>
          </cell>
          <cell r="E3080">
            <v>3487</v>
          </cell>
          <cell r="F3080" t="str">
            <v>Frances Blow</v>
          </cell>
          <cell r="G3080" t="str">
            <v>St Wilfrid's Catholic Primary School</v>
          </cell>
          <cell r="H3080" t="str">
            <v>West Midlands</v>
          </cell>
          <cell r="I3080" t="str">
            <v>Queen's Avenue</v>
          </cell>
          <cell r="J3080" t="str">
            <v>Tunstall</v>
          </cell>
          <cell r="L3080" t="str">
            <v>Stoke-on-Trent</v>
          </cell>
          <cell r="M3080" t="str">
            <v>Staffordshire</v>
          </cell>
          <cell r="N3080" t="str">
            <v>ST6 6EE</v>
          </cell>
          <cell r="O3080" t="str">
            <v>dmason@sgfl.org.uk</v>
          </cell>
          <cell r="P3080">
            <v>41199</v>
          </cell>
        </row>
        <row r="3081">
          <cell r="A3081">
            <v>3355404</v>
          </cell>
          <cell r="B3081">
            <v>104262</v>
          </cell>
          <cell r="C3081">
            <v>335</v>
          </cell>
          <cell r="D3081" t="str">
            <v>Walsall</v>
          </cell>
          <cell r="E3081">
            <v>5404</v>
          </cell>
          <cell r="F3081" t="str">
            <v>Beverley Samuel</v>
          </cell>
          <cell r="G3081" t="str">
            <v>Queen Mary's Grammar School</v>
          </cell>
          <cell r="H3081" t="str">
            <v>West Midlands</v>
          </cell>
          <cell r="I3081" t="str">
            <v>Sutton Road</v>
          </cell>
          <cell r="L3081" t="str">
            <v>Walsall</v>
          </cell>
          <cell r="M3081" t="str">
            <v>West Midlands</v>
          </cell>
          <cell r="N3081" t="str">
            <v>WS1 2PG</v>
          </cell>
          <cell r="O3081" t="str">
            <v>tj-swain@qmgs.walsall.sch.uk</v>
          </cell>
          <cell r="P3081">
            <v>40568</v>
          </cell>
        </row>
        <row r="3082">
          <cell r="A3082">
            <v>9373101</v>
          </cell>
          <cell r="B3082">
            <v>125653</v>
          </cell>
          <cell r="C3082">
            <v>937</v>
          </cell>
          <cell r="D3082" t="str">
            <v>Warwickshire</v>
          </cell>
          <cell r="E3082">
            <v>3101</v>
          </cell>
          <cell r="F3082" t="str">
            <v>Julia Waterhouse</v>
          </cell>
          <cell r="G3082" t="str">
            <v>All Saints CofE Primary School and Nursery, Nuneaton</v>
          </cell>
          <cell r="H3082" t="str">
            <v>West Midlands</v>
          </cell>
          <cell r="I3082" t="str">
            <v>Knebley Crescent</v>
          </cell>
          <cell r="L3082" t="str">
            <v>Nuneaton</v>
          </cell>
          <cell r="M3082" t="str">
            <v>Warwickshire</v>
          </cell>
          <cell r="N3082" t="str">
            <v>CV10 7AT</v>
          </cell>
          <cell r="O3082" t="str">
            <v>head3101@we-learn.com</v>
          </cell>
        </row>
        <row r="3083">
          <cell r="A3083">
            <v>8832824</v>
          </cell>
          <cell r="B3083">
            <v>115014</v>
          </cell>
          <cell r="C3083">
            <v>883</v>
          </cell>
          <cell r="D3083" t="str">
            <v>Thurrock</v>
          </cell>
          <cell r="E3083">
            <v>2824</v>
          </cell>
          <cell r="F3083" t="str">
            <v>Bev Mullin</v>
          </cell>
          <cell r="G3083" t="str">
            <v>East Tilbury Infant School</v>
          </cell>
          <cell r="H3083" t="str">
            <v>East of England</v>
          </cell>
          <cell r="I3083" t="str">
            <v>Princess Margaret Road</v>
          </cell>
          <cell r="J3083" t="str">
            <v>East Tilbury</v>
          </cell>
          <cell r="L3083" t="str">
            <v>Tilbury</v>
          </cell>
          <cell r="M3083" t="str">
            <v>Essex</v>
          </cell>
          <cell r="N3083" t="str">
            <v>RM18 8SB</v>
          </cell>
          <cell r="O3083" t="str">
            <v>headteacher@easttilburyinfant.thurrock.sch.uk</v>
          </cell>
          <cell r="P3083">
            <v>40814</v>
          </cell>
        </row>
        <row r="3084">
          <cell r="A3084">
            <v>8863900</v>
          </cell>
          <cell r="B3084">
            <v>121790</v>
          </cell>
          <cell r="C3084">
            <v>886</v>
          </cell>
          <cell r="D3084" t="str">
            <v>Kent</v>
          </cell>
          <cell r="E3084">
            <v>3900</v>
          </cell>
          <cell r="F3084" t="str">
            <v>Tony Dunne</v>
          </cell>
          <cell r="G3084" t="str">
            <v>Whitehill Primary School</v>
          </cell>
          <cell r="H3084" t="str">
            <v>South East</v>
          </cell>
          <cell r="I3084" t="str">
            <v>Sun Lane</v>
          </cell>
          <cell r="L3084" t="str">
            <v>Gravesend</v>
          </cell>
          <cell r="M3084" t="str">
            <v>Kent</v>
          </cell>
          <cell r="N3084" t="str">
            <v>DA12 5HN</v>
          </cell>
          <cell r="O3084" t="str">
            <v>headteacher@whitehillprimary.kent.sch.uk</v>
          </cell>
        </row>
        <row r="3085">
          <cell r="A3085">
            <v>9282127</v>
          </cell>
          <cell r="B3085">
            <v>121888</v>
          </cell>
          <cell r="C3085">
            <v>928</v>
          </cell>
          <cell r="D3085" t="str">
            <v>Northamptonshire</v>
          </cell>
          <cell r="E3085">
            <v>2127</v>
          </cell>
          <cell r="F3085" t="str">
            <v>Stephen Standret</v>
          </cell>
          <cell r="G3085" t="str">
            <v>Corby Kingswood Primary School</v>
          </cell>
          <cell r="H3085" t="str">
            <v>East Midlands</v>
          </cell>
          <cell r="I3085" t="str">
            <v>Southbrook</v>
          </cell>
          <cell r="L3085" t="str">
            <v>Corby</v>
          </cell>
          <cell r="M3085" t="str">
            <v>Northamptonshire</v>
          </cell>
          <cell r="N3085" t="str">
            <v>NN18 9BE</v>
          </cell>
          <cell r="O3085" t="str">
            <v>head@kingswood-pri.northants-ecl.gov.uk</v>
          </cell>
        </row>
        <row r="3086">
          <cell r="A3086">
            <v>8154054</v>
          </cell>
          <cell r="B3086">
            <v>121671</v>
          </cell>
          <cell r="C3086">
            <v>815</v>
          </cell>
          <cell r="D3086" t="str">
            <v>North Yorkshire</v>
          </cell>
          <cell r="E3086">
            <v>4054</v>
          </cell>
          <cell r="F3086" t="str">
            <v>Jane Moore</v>
          </cell>
          <cell r="G3086" t="str">
            <v>Lady Lumley's School</v>
          </cell>
          <cell r="H3086" t="str">
            <v>Yorkshire and the Humber</v>
          </cell>
          <cell r="I3086" t="str">
            <v>Swainsea Lane</v>
          </cell>
          <cell r="L3086" t="str">
            <v>Pickering</v>
          </cell>
          <cell r="M3086" t="str">
            <v>North Yorkshire</v>
          </cell>
          <cell r="N3086" t="str">
            <v>YO18 8NG</v>
          </cell>
        </row>
        <row r="3087">
          <cell r="A3087">
            <v>3732265</v>
          </cell>
          <cell r="B3087">
            <v>107042</v>
          </cell>
          <cell r="C3087">
            <v>373</v>
          </cell>
          <cell r="D3087" t="str">
            <v>Sheffield</v>
          </cell>
          <cell r="E3087">
            <v>2265</v>
          </cell>
          <cell r="F3087" t="str">
            <v>Bev Annables</v>
          </cell>
          <cell r="G3087" t="str">
            <v>Hartley Brook Primary School</v>
          </cell>
          <cell r="H3087" t="str">
            <v>Yorkshire and the Humber</v>
          </cell>
          <cell r="I3087" t="str">
            <v>Hartley Brook Road</v>
          </cell>
          <cell r="L3087" t="str">
            <v>Sheffield</v>
          </cell>
          <cell r="M3087" t="str">
            <v>South Yorkshire</v>
          </cell>
          <cell r="N3087" t="str">
            <v>S5 0JF</v>
          </cell>
          <cell r="O3087" t="str">
            <v>headteacher@hatfield.sheffield.sch.uk</v>
          </cell>
        </row>
        <row r="3088">
          <cell r="A3088">
            <v>2105405</v>
          </cell>
          <cell r="B3088">
            <v>100860</v>
          </cell>
          <cell r="C3088">
            <v>210</v>
          </cell>
          <cell r="D3088" t="str">
            <v>Southwark</v>
          </cell>
          <cell r="E3088">
            <v>5405</v>
          </cell>
          <cell r="F3088" t="str">
            <v>Kiran Teli</v>
          </cell>
          <cell r="G3088" t="str">
            <v>Sacred Heart Roman Catholic Secondary School</v>
          </cell>
          <cell r="H3088" t="str">
            <v>London</v>
          </cell>
          <cell r="I3088" t="str">
            <v>Camberwell New Road</v>
          </cell>
          <cell r="L3088" t="str">
            <v>London</v>
          </cell>
          <cell r="N3088" t="str">
            <v>SE5 0RP</v>
          </cell>
          <cell r="O3088" t="str">
            <v>headteacher@sacredheart.southwark.sch.uk</v>
          </cell>
          <cell r="P3088">
            <v>40771</v>
          </cell>
        </row>
        <row r="3089">
          <cell r="A3089">
            <v>3302034</v>
          </cell>
          <cell r="B3089">
            <v>103175</v>
          </cell>
          <cell r="C3089">
            <v>330</v>
          </cell>
          <cell r="D3089" t="str">
            <v>Birmingham</v>
          </cell>
          <cell r="E3089">
            <v>2034</v>
          </cell>
          <cell r="F3089" t="str">
            <v>Alison Middleton</v>
          </cell>
          <cell r="G3089" t="str">
            <v>Brookfields Primary School</v>
          </cell>
          <cell r="H3089" t="str">
            <v>West Midlands</v>
          </cell>
          <cell r="I3089" t="str">
            <v>2 Hingeston Street</v>
          </cell>
          <cell r="J3089" t="str">
            <v>Hockley</v>
          </cell>
          <cell r="L3089" t="str">
            <v>Birmingham</v>
          </cell>
          <cell r="M3089" t="str">
            <v>West Midlands</v>
          </cell>
          <cell r="N3089" t="str">
            <v>B18 6PU</v>
          </cell>
          <cell r="O3089" t="str">
            <v>j.berrow@brfields.bham.sch.uk</v>
          </cell>
        </row>
        <row r="3090">
          <cell r="A3090">
            <v>9283019</v>
          </cell>
          <cell r="B3090">
            <v>121967</v>
          </cell>
          <cell r="C3090">
            <v>928</v>
          </cell>
          <cell r="D3090" t="str">
            <v>Northamptonshire</v>
          </cell>
          <cell r="E3090">
            <v>3019</v>
          </cell>
          <cell r="G3090" t="str">
            <v>Croughton All Saints C of E Primary</v>
          </cell>
          <cell r="H3090" t="str">
            <v>East Midlands</v>
          </cell>
          <cell r="I3090" t="str">
            <v>High Street</v>
          </cell>
          <cell r="J3090" t="str">
            <v>Croughton</v>
          </cell>
          <cell r="L3090" t="str">
            <v>Brackley</v>
          </cell>
          <cell r="M3090" t="str">
            <v>Northamptonshire</v>
          </cell>
          <cell r="N3090" t="str">
            <v>NN13 5LT</v>
          </cell>
          <cell r="O3090" t="str">
            <v>head@croughton.northants-ecl.gov.uk</v>
          </cell>
        </row>
        <row r="3091">
          <cell r="A3091">
            <v>8684506</v>
          </cell>
          <cell r="B3091">
            <v>110080</v>
          </cell>
          <cell r="C3091">
            <v>868</v>
          </cell>
          <cell r="D3091" t="str">
            <v>Windsor and Maidenhead</v>
          </cell>
          <cell r="E3091">
            <v>4506</v>
          </cell>
          <cell r="F3091" t="str">
            <v>Amanda Barrett</v>
          </cell>
          <cell r="G3091" t="str">
            <v>Altwood Church of England School</v>
          </cell>
          <cell r="H3091" t="str">
            <v>South East</v>
          </cell>
          <cell r="I3091" t="str">
            <v>Altwood Road</v>
          </cell>
          <cell r="L3091" t="str">
            <v>Maidenhead</v>
          </cell>
          <cell r="M3091" t="str">
            <v>Berkshire</v>
          </cell>
          <cell r="N3091" t="str">
            <v>SL6 4PU</v>
          </cell>
          <cell r="O3091" t="str">
            <v>higgk003@rbwm.org</v>
          </cell>
          <cell r="P3091">
            <v>40997</v>
          </cell>
        </row>
        <row r="3092">
          <cell r="A3092">
            <v>8503061</v>
          </cell>
          <cell r="B3092">
            <v>116288</v>
          </cell>
          <cell r="C3092">
            <v>850</v>
          </cell>
          <cell r="D3092" t="str">
            <v>Hampshire</v>
          </cell>
          <cell r="E3092">
            <v>3061</v>
          </cell>
          <cell r="F3092" t="str">
            <v>Gabriela Grimley</v>
          </cell>
          <cell r="G3092" t="str">
            <v>Four Marks Church of England Primary School</v>
          </cell>
          <cell r="H3092" t="str">
            <v>South East</v>
          </cell>
          <cell r="I3092" t="str">
            <v>Five Lanes End</v>
          </cell>
          <cell r="J3092" t="str">
            <v>Four Marks</v>
          </cell>
          <cell r="L3092" t="str">
            <v>Alton</v>
          </cell>
          <cell r="M3092" t="str">
            <v>Hampshire</v>
          </cell>
          <cell r="N3092" t="str">
            <v>GU34 5AS</v>
          </cell>
          <cell r="O3092" t="str">
            <v>lynda.frith@fourmarks.hants.sch.uk</v>
          </cell>
          <cell r="P3092">
            <v>40604</v>
          </cell>
        </row>
        <row r="3093">
          <cell r="A3093">
            <v>8304126</v>
          </cell>
          <cell r="B3093">
            <v>112943</v>
          </cell>
          <cell r="C3093">
            <v>830</v>
          </cell>
          <cell r="D3093" t="str">
            <v>Derbyshire</v>
          </cell>
          <cell r="E3093">
            <v>4126</v>
          </cell>
          <cell r="F3093" t="str">
            <v>Stuart Mepham</v>
          </cell>
          <cell r="G3093" t="str">
            <v>Eckington School</v>
          </cell>
          <cell r="H3093" t="str">
            <v>East Midlands</v>
          </cell>
          <cell r="I3093" t="str">
            <v>Dronfield Road</v>
          </cell>
          <cell r="J3093" t="str">
            <v>Eckington</v>
          </cell>
          <cell r="L3093" t="str">
            <v>Sheffield</v>
          </cell>
          <cell r="M3093" t="str">
            <v>Derbyshire</v>
          </cell>
          <cell r="N3093" t="str">
            <v>S21 4GN</v>
          </cell>
          <cell r="O3093" t="str">
            <v>admin@eckington.derbyshire.sch.uk</v>
          </cell>
          <cell r="P3093">
            <v>41221</v>
          </cell>
        </row>
        <row r="3094">
          <cell r="A3094">
            <v>9283017</v>
          </cell>
          <cell r="B3094">
            <v>121965</v>
          </cell>
          <cell r="C3094">
            <v>928</v>
          </cell>
          <cell r="D3094" t="str">
            <v>Northamptonshire</v>
          </cell>
          <cell r="E3094">
            <v>3017</v>
          </cell>
          <cell r="F3094" t="str">
            <v>Sue Harp</v>
          </cell>
          <cell r="G3094" t="str">
            <v>Cottingham Church of England School</v>
          </cell>
          <cell r="H3094" t="str">
            <v>East Midlands</v>
          </cell>
          <cell r="I3094" t="str">
            <v>Berryfield Road</v>
          </cell>
          <cell r="L3094" t="str">
            <v>Market Harborough</v>
          </cell>
          <cell r="M3094" t="str">
            <v>Leicestershire</v>
          </cell>
          <cell r="N3094" t="str">
            <v>LE16 8XB</v>
          </cell>
          <cell r="O3094" t="str">
            <v>head@cottingham.northants-ecl.gov.uk</v>
          </cell>
        </row>
        <row r="3095">
          <cell r="A3095">
            <v>3152081</v>
          </cell>
          <cell r="B3095">
            <v>102652</v>
          </cell>
          <cell r="C3095">
            <v>315</v>
          </cell>
          <cell r="D3095" t="str">
            <v>Merton</v>
          </cell>
          <cell r="E3095">
            <v>2081</v>
          </cell>
          <cell r="F3095" t="str">
            <v>Khalid Arshad</v>
          </cell>
          <cell r="G3095" t="str">
            <v>West Wimbledon Primary School</v>
          </cell>
          <cell r="H3095" t="str">
            <v>London</v>
          </cell>
          <cell r="I3095" t="str">
            <v>Bodnant Gardens</v>
          </cell>
          <cell r="J3095" t="str">
            <v>West Barnes Lane</v>
          </cell>
          <cell r="K3095" t="str">
            <v>Raynes Park</v>
          </cell>
          <cell r="L3095" t="str">
            <v>London</v>
          </cell>
          <cell r="N3095" t="str">
            <v>SW20 0BZ</v>
          </cell>
          <cell r="O3095" t="str">
            <v>glynn.bailey7@googlemail.com</v>
          </cell>
        </row>
        <row r="3096">
          <cell r="A3096">
            <v>3842001</v>
          </cell>
          <cell r="B3096">
            <v>134278</v>
          </cell>
          <cell r="C3096">
            <v>384</v>
          </cell>
          <cell r="D3096" t="str">
            <v>Wakefield</v>
          </cell>
          <cell r="E3096">
            <v>2001</v>
          </cell>
          <cell r="F3096" t="str">
            <v>Jayne Turner</v>
          </cell>
          <cell r="G3096" t="str">
            <v>Cobblers Lane Primary School</v>
          </cell>
          <cell r="H3096" t="str">
            <v>Yorkshire and the Humber</v>
          </cell>
          <cell r="I3096" t="str">
            <v>Harefield Road</v>
          </cell>
          <cell r="L3096" t="str">
            <v>Pontefract</v>
          </cell>
          <cell r="M3096" t="str">
            <v>West Yorkshire</v>
          </cell>
          <cell r="N3096" t="str">
            <v>WF8 2HN</v>
          </cell>
          <cell r="O3096" t="str">
            <v>headteacher@cobblerslane-pri.wakefield.sch.uk</v>
          </cell>
        </row>
        <row r="3097">
          <cell r="A3097">
            <v>8934385</v>
          </cell>
          <cell r="B3097">
            <v>123565</v>
          </cell>
          <cell r="C3097">
            <v>893</v>
          </cell>
          <cell r="D3097" t="str">
            <v>Shropshire</v>
          </cell>
          <cell r="E3097">
            <v>4385</v>
          </cell>
          <cell r="F3097" t="str">
            <v>Linda Tiley</v>
          </cell>
          <cell r="G3097" t="str">
            <v>Church Stretton School</v>
          </cell>
          <cell r="H3097" t="str">
            <v>West Midlands</v>
          </cell>
          <cell r="I3097" t="str">
            <v>Shrewsbury Road</v>
          </cell>
          <cell r="L3097" t="str">
            <v>Church Stretton</v>
          </cell>
          <cell r="M3097" t="str">
            <v>Shropshire</v>
          </cell>
          <cell r="N3097" t="str">
            <v>SY6 6EX</v>
          </cell>
          <cell r="O3097" t="str">
            <v>steve.lunt@churchstretton.shropshire.sch.uk</v>
          </cell>
          <cell r="P3097">
            <v>41176</v>
          </cell>
        </row>
        <row r="3098">
          <cell r="A3098">
            <v>8953159</v>
          </cell>
          <cell r="B3098">
            <v>111278</v>
          </cell>
          <cell r="C3098">
            <v>895</v>
          </cell>
          <cell r="D3098" t="str">
            <v>Cheshire East</v>
          </cell>
          <cell r="E3098">
            <v>3159</v>
          </cell>
          <cell r="F3098" t="str">
            <v>Jane McCusker</v>
          </cell>
          <cell r="G3098" t="str">
            <v>Peover Superior Endowed Controlled Primary School</v>
          </cell>
          <cell r="H3098" t="str">
            <v>North West</v>
          </cell>
          <cell r="I3098" t="str">
            <v>Stocks Lane</v>
          </cell>
          <cell r="L3098" t="str">
            <v>Over Peover</v>
          </cell>
          <cell r="M3098" t="str">
            <v>Cheshire</v>
          </cell>
          <cell r="N3098" t="str">
            <v>WA16 8TU</v>
          </cell>
          <cell r="O3098" t="str">
            <v>admin@peoversuperior.cheshire.sch.uk</v>
          </cell>
        </row>
        <row r="3099">
          <cell r="A3099">
            <v>9253022</v>
          </cell>
          <cell r="B3099">
            <v>120521</v>
          </cell>
          <cell r="C3099">
            <v>925</v>
          </cell>
          <cell r="D3099" t="str">
            <v>Lincolnshire</v>
          </cell>
          <cell r="E3099">
            <v>3022</v>
          </cell>
          <cell r="F3099" t="str">
            <v>Grant Dyson</v>
          </cell>
          <cell r="G3099" t="str">
            <v>The Edenham Church of England School</v>
          </cell>
          <cell r="H3099" t="str">
            <v>East Midlands</v>
          </cell>
          <cell r="I3099" t="str">
            <v>School Lane</v>
          </cell>
          <cell r="J3099" t="str">
            <v>Edenham</v>
          </cell>
          <cell r="L3099" t="str">
            <v>Bourne</v>
          </cell>
          <cell r="M3099" t="str">
            <v>Lincolnshire</v>
          </cell>
          <cell r="N3099" t="str">
            <v>PE10 0LP</v>
          </cell>
          <cell r="O3099" t="str">
            <v>kris.radford@edenham.lincs.sch.uk</v>
          </cell>
        </row>
        <row r="3100">
          <cell r="A3100">
            <v>8883592</v>
          </cell>
          <cell r="B3100">
            <v>119574</v>
          </cell>
          <cell r="C3100">
            <v>888</v>
          </cell>
          <cell r="D3100" t="str">
            <v>Lancashire</v>
          </cell>
          <cell r="E3100">
            <v>3592</v>
          </cell>
          <cell r="F3100" t="str">
            <v>Viv Clutton</v>
          </cell>
          <cell r="G3100" t="str">
            <v>Tarlenton Mere Brow CE Primary</v>
          </cell>
          <cell r="H3100" t="str">
            <v>North West</v>
          </cell>
          <cell r="I3100" t="str">
            <v>The Gravel</v>
          </cell>
          <cell r="J3100" t="str">
            <v>Mere Brow</v>
          </cell>
          <cell r="K3100" t="str">
            <v>Tarleton</v>
          </cell>
          <cell r="L3100" t="str">
            <v>Preston</v>
          </cell>
          <cell r="M3100" t="str">
            <v>Lancashire</v>
          </cell>
          <cell r="N3100" t="str">
            <v>PR4 6JX</v>
          </cell>
          <cell r="O3100" t="str">
            <v>head@merebrow.lancs.sch.uk</v>
          </cell>
        </row>
        <row r="3101">
          <cell r="A3101">
            <v>8404231</v>
          </cell>
          <cell r="B3101">
            <v>114317</v>
          </cell>
          <cell r="C3101">
            <v>840</v>
          </cell>
          <cell r="D3101" t="str">
            <v>Durham</v>
          </cell>
          <cell r="E3101">
            <v>4231</v>
          </cell>
          <cell r="G3101" t="str">
            <v>Sedgefield Community College</v>
          </cell>
          <cell r="H3101" t="str">
            <v>North East</v>
          </cell>
          <cell r="I3101" t="str">
            <v>Hawthorn Road</v>
          </cell>
          <cell r="J3101" t="str">
            <v>Sedgefield</v>
          </cell>
          <cell r="L3101" t="str">
            <v>Stockton-on-Tees</v>
          </cell>
          <cell r="N3101" t="str">
            <v>TS21 3DD</v>
          </cell>
          <cell r="O3101" t="str">
            <v>d.davies102@durhamlearning.net</v>
          </cell>
        </row>
        <row r="3102">
          <cell r="A3102">
            <v>8924053</v>
          </cell>
          <cell r="B3102">
            <v>122835</v>
          </cell>
          <cell r="C3102">
            <v>892</v>
          </cell>
          <cell r="D3102" t="str">
            <v>Nottingham</v>
          </cell>
          <cell r="E3102">
            <v>4053</v>
          </cell>
          <cell r="F3102" t="str">
            <v>Grant Dyson</v>
          </cell>
          <cell r="G3102" t="str">
            <v>Farnborough School Technology College</v>
          </cell>
          <cell r="H3102" t="str">
            <v>East Midlands</v>
          </cell>
          <cell r="I3102" t="str">
            <v>Farnborough Road</v>
          </cell>
          <cell r="J3102" t="str">
            <v>Clifton</v>
          </cell>
          <cell r="L3102" t="str">
            <v>Nottingham</v>
          </cell>
          <cell r="M3102" t="str">
            <v>Nottinghamshire</v>
          </cell>
          <cell r="N3102" t="str">
            <v>NG11 8JW</v>
          </cell>
          <cell r="P3102">
            <v>40683</v>
          </cell>
        </row>
        <row r="3103">
          <cell r="A3103">
            <v>8552321</v>
          </cell>
          <cell r="B3103">
            <v>120051</v>
          </cell>
          <cell r="C3103">
            <v>855</v>
          </cell>
          <cell r="D3103" t="str">
            <v>Leicestershire</v>
          </cell>
          <cell r="E3103">
            <v>2321</v>
          </cell>
          <cell r="F3103" t="str">
            <v>Stephen Standret</v>
          </cell>
          <cell r="G3103" t="str">
            <v>Ashby Hill Top Primary School</v>
          </cell>
          <cell r="H3103" t="str">
            <v>East Midlands</v>
          </cell>
          <cell r="I3103" t="str">
            <v>Beaumont Avenue</v>
          </cell>
          <cell r="L3103" t="str">
            <v>Ashby-de-la-Zouch</v>
          </cell>
          <cell r="M3103" t="str">
            <v>Leicestershire</v>
          </cell>
          <cell r="N3103" t="str">
            <v>LE65 2NF</v>
          </cell>
          <cell r="O3103" t="str">
            <v>office@ashbyhilltop.leics.sch.uk</v>
          </cell>
          <cell r="P3103">
            <v>41054</v>
          </cell>
        </row>
        <row r="3104">
          <cell r="A3104">
            <v>9163070</v>
          </cell>
          <cell r="B3104">
            <v>115651</v>
          </cell>
          <cell r="C3104">
            <v>916</v>
          </cell>
          <cell r="D3104" t="str">
            <v>Gloucestershire</v>
          </cell>
          <cell r="E3104">
            <v>3070</v>
          </cell>
          <cell r="F3104" t="str">
            <v>Not yet assigned</v>
          </cell>
          <cell r="G3104" t="str">
            <v>Southrop Church of England Primary School</v>
          </cell>
          <cell r="H3104" t="str">
            <v>South West</v>
          </cell>
          <cell r="I3104" t="str">
            <v>Southrop</v>
          </cell>
          <cell r="L3104" t="str">
            <v>Lechlade</v>
          </cell>
          <cell r="M3104" t="str">
            <v>Gloucestershire</v>
          </cell>
          <cell r="N3104" t="str">
            <v>GL7 3NU</v>
          </cell>
          <cell r="O3104" t="str">
            <v>head@southrop.gloucs.sch.uk</v>
          </cell>
        </row>
        <row r="3105">
          <cell r="A3105">
            <v>8064136</v>
          </cell>
          <cell r="B3105">
            <v>111751</v>
          </cell>
          <cell r="C3105">
            <v>806</v>
          </cell>
          <cell r="D3105" t="str">
            <v>Middlesbrough</v>
          </cell>
          <cell r="E3105">
            <v>4136</v>
          </cell>
          <cell r="F3105" t="str">
            <v>Bev Mullin</v>
          </cell>
          <cell r="G3105" t="str">
            <v>Acklam Grange School A Specialist College for Mathematics and Computing</v>
          </cell>
          <cell r="H3105" t="str">
            <v>North East</v>
          </cell>
          <cell r="I3105" t="str">
            <v>Lodore Grove</v>
          </cell>
          <cell r="L3105" t="str">
            <v>Middlesbrough</v>
          </cell>
          <cell r="N3105" t="str">
            <v>TS5 8PB</v>
          </cell>
          <cell r="O3105" t="str">
            <v>andrea_crawshaw@middlesbrough.gov.uk</v>
          </cell>
          <cell r="P3105">
            <v>41220</v>
          </cell>
        </row>
        <row r="3106">
          <cell r="A3106">
            <v>8014801</v>
          </cell>
          <cell r="B3106">
            <v>109331</v>
          </cell>
          <cell r="C3106">
            <v>801</v>
          </cell>
          <cell r="D3106" t="str">
            <v>Bristol City of</v>
          </cell>
          <cell r="E3106">
            <v>4801</v>
          </cell>
          <cell r="F3106" t="str">
            <v>Theresa Oddelm</v>
          </cell>
          <cell r="G3106" t="str">
            <v>St Bernadette Catholic Secondary School</v>
          </cell>
          <cell r="H3106" t="str">
            <v>South West</v>
          </cell>
          <cell r="I3106" t="str">
            <v>Fossedale Avenue</v>
          </cell>
          <cell r="J3106" t="str">
            <v>Whitchurch</v>
          </cell>
          <cell r="L3106" t="str">
            <v>Bristol</v>
          </cell>
          <cell r="N3106" t="str">
            <v>BS14 9LS</v>
          </cell>
          <cell r="O3106" t="str">
            <v>headstbernadettes@bristol.gov.uk</v>
          </cell>
        </row>
        <row r="3107">
          <cell r="A3107">
            <v>3702112</v>
          </cell>
          <cell r="B3107">
            <v>106606</v>
          </cell>
          <cell r="C3107">
            <v>370</v>
          </cell>
          <cell r="D3107" t="str">
            <v>Barnsley</v>
          </cell>
          <cell r="E3107">
            <v>2112</v>
          </cell>
          <cell r="F3107" t="str">
            <v>Lisa Sargeant</v>
          </cell>
          <cell r="G3107" t="str">
            <v>Royston Meadstead Primary School</v>
          </cell>
          <cell r="H3107" t="str">
            <v>Yorkshire and the Humber</v>
          </cell>
          <cell r="I3107" t="str">
            <v>Meadstead Drive</v>
          </cell>
          <cell r="J3107" t="str">
            <v>Royston</v>
          </cell>
          <cell r="L3107" t="str">
            <v>Barnsley</v>
          </cell>
          <cell r="M3107" t="str">
            <v>South Yorkshire</v>
          </cell>
          <cell r="N3107" t="str">
            <v>S71 4JS</v>
          </cell>
        </row>
        <row r="3108">
          <cell r="A3108">
            <v>8822387</v>
          </cell>
          <cell r="B3108">
            <v>114837</v>
          </cell>
          <cell r="C3108">
            <v>882</v>
          </cell>
          <cell r="D3108" t="str">
            <v>Southend-on-Sea</v>
          </cell>
          <cell r="E3108">
            <v>2387</v>
          </cell>
          <cell r="F3108" t="str">
            <v>Joe Farrell</v>
          </cell>
          <cell r="G3108" t="str">
            <v>Blenheim Primary School and Children's Centre</v>
          </cell>
          <cell r="H3108" t="str">
            <v>East of England</v>
          </cell>
          <cell r="I3108" t="str">
            <v>School Way</v>
          </cell>
          <cell r="J3108" t="str">
            <v>Blenheim Chase</v>
          </cell>
          <cell r="L3108" t="str">
            <v>Leigh-on-Sea</v>
          </cell>
          <cell r="M3108" t="str">
            <v>Essex</v>
          </cell>
          <cell r="N3108" t="str">
            <v>SS9 4HX</v>
          </cell>
          <cell r="O3108" t="str">
            <v>marianne.turner1@yahoo.co.uk</v>
          </cell>
        </row>
        <row r="3109">
          <cell r="A3109">
            <v>8234003</v>
          </cell>
          <cell r="B3109">
            <v>109643</v>
          </cell>
          <cell r="C3109">
            <v>823</v>
          </cell>
          <cell r="D3109" t="str">
            <v>Central Bedfordshire</v>
          </cell>
          <cell r="E3109">
            <v>4003</v>
          </cell>
          <cell r="F3109" t="str">
            <v>Michael Cook</v>
          </cell>
          <cell r="G3109" t="str">
            <v>Redborne Upper School</v>
          </cell>
          <cell r="H3109" t="str">
            <v>East of England</v>
          </cell>
          <cell r="I3109" t="str">
            <v>Flitwick Road</v>
          </cell>
          <cell r="J3109" t="str">
            <v>Ampthill</v>
          </cell>
          <cell r="L3109" t="str">
            <v>Bedford</v>
          </cell>
          <cell r="M3109" t="str">
            <v>Bedfordshire</v>
          </cell>
          <cell r="N3109" t="str">
            <v>MK45 2NU</v>
          </cell>
          <cell r="O3109" t="str">
            <v>Head@Redborne.beds.sch.uk</v>
          </cell>
          <cell r="P3109">
            <v>40522</v>
          </cell>
        </row>
        <row r="3110">
          <cell r="A3110">
            <v>8794187</v>
          </cell>
          <cell r="B3110">
            <v>113544</v>
          </cell>
          <cell r="C3110">
            <v>879</v>
          </cell>
          <cell r="D3110" t="str">
            <v>Plymouth</v>
          </cell>
          <cell r="E3110">
            <v>4187</v>
          </cell>
          <cell r="F3110" t="str">
            <v>Ali Bushell</v>
          </cell>
          <cell r="G3110" t="str">
            <v>Lipson Community College</v>
          </cell>
          <cell r="H3110" t="str">
            <v>South West</v>
          </cell>
          <cell r="I3110" t="str">
            <v>Bernice Terrace</v>
          </cell>
          <cell r="J3110" t="str">
            <v>Lipson</v>
          </cell>
          <cell r="L3110" t="str">
            <v>Plymouth</v>
          </cell>
          <cell r="M3110" t="str">
            <v>Devon</v>
          </cell>
          <cell r="N3110" t="str">
            <v>PL4 7PG</v>
          </cell>
          <cell r="O3110" t="str">
            <v>sbaker@lipson.plymouth.sch.uk</v>
          </cell>
          <cell r="P3110">
            <v>40512</v>
          </cell>
        </row>
        <row r="3111">
          <cell r="A3111">
            <v>8952157</v>
          </cell>
          <cell r="B3111">
            <v>111028</v>
          </cell>
          <cell r="C3111">
            <v>895</v>
          </cell>
          <cell r="D3111" t="str">
            <v>Cheshire East</v>
          </cell>
          <cell r="E3111">
            <v>2157</v>
          </cell>
          <cell r="F3111" t="str">
            <v>Felicity Price</v>
          </cell>
          <cell r="G3111" t="str">
            <v>Worth Primary School</v>
          </cell>
          <cell r="H3111" t="str">
            <v>North West</v>
          </cell>
          <cell r="I3111" t="str">
            <v>Birch Road</v>
          </cell>
          <cell r="L3111" t="str">
            <v>Poynton</v>
          </cell>
          <cell r="M3111" t="str">
            <v>Cheshire</v>
          </cell>
          <cell r="N3111" t="str">
            <v>SK12 1QA</v>
          </cell>
          <cell r="O3111" t="str">
            <v>admin@worth.cheshire.sch.uk</v>
          </cell>
          <cell r="P3111">
            <v>41219</v>
          </cell>
        </row>
        <row r="3112">
          <cell r="A3112">
            <v>3024752</v>
          </cell>
          <cell r="B3112">
            <v>101354</v>
          </cell>
          <cell r="C3112">
            <v>302</v>
          </cell>
          <cell r="D3112" t="str">
            <v>Barnet</v>
          </cell>
          <cell r="E3112">
            <v>4752</v>
          </cell>
          <cell r="F3112" t="str">
            <v>Martin Rowley</v>
          </cell>
          <cell r="G3112" t="str">
            <v>The Henrietta Barnett School</v>
          </cell>
          <cell r="H3112" t="str">
            <v>London</v>
          </cell>
          <cell r="I3112" t="str">
            <v>Central Square</v>
          </cell>
          <cell r="J3112" t="str">
            <v>Hampstead Garden Suburb</v>
          </cell>
          <cell r="L3112" t="str">
            <v>London</v>
          </cell>
          <cell r="N3112" t="str">
            <v>NW11 7BN</v>
          </cell>
          <cell r="O3112" t="str">
            <v>oblond@hbschool.org.uk</v>
          </cell>
          <cell r="P3112">
            <v>40493</v>
          </cell>
        </row>
        <row r="3113">
          <cell r="A3113">
            <v>8613402</v>
          </cell>
          <cell r="B3113">
            <v>124315</v>
          </cell>
          <cell r="C3113">
            <v>861</v>
          </cell>
          <cell r="D3113" t="str">
            <v>Stoke-on-Trent</v>
          </cell>
          <cell r="E3113">
            <v>3402</v>
          </cell>
          <cell r="F3113" t="str">
            <v>Frances Blow</v>
          </cell>
          <cell r="G3113" t="str">
            <v>St Peter's Catholic Primary School</v>
          </cell>
          <cell r="H3113" t="str">
            <v>West Midlands</v>
          </cell>
          <cell r="I3113" t="str">
            <v>Waterloo Road</v>
          </cell>
          <cell r="J3113" t="str">
            <v>Cobridge</v>
          </cell>
          <cell r="L3113" t="str">
            <v>Stoke-on-Trent</v>
          </cell>
          <cell r="M3113" t="str">
            <v>Staffordshire</v>
          </cell>
          <cell r="N3113" t="str">
            <v>ST6 3HL</v>
          </cell>
          <cell r="O3113" t="str">
            <v>dmason@sgfl.org.uk</v>
          </cell>
          <cell r="P3113">
            <v>41199</v>
          </cell>
        </row>
        <row r="3114">
          <cell r="A3114">
            <v>3735400</v>
          </cell>
          <cell r="B3114">
            <v>107159</v>
          </cell>
          <cell r="C3114">
            <v>373</v>
          </cell>
          <cell r="D3114" t="str">
            <v>Sheffield</v>
          </cell>
          <cell r="E3114">
            <v>5400</v>
          </cell>
          <cell r="F3114" t="str">
            <v>Michael Corner</v>
          </cell>
          <cell r="G3114" t="str">
            <v>Notre Dame High School</v>
          </cell>
          <cell r="H3114" t="str">
            <v>Yorkshire and the Humber</v>
          </cell>
          <cell r="I3114" t="str">
            <v>Fulwood Road</v>
          </cell>
          <cell r="L3114" t="str">
            <v>Sheffield</v>
          </cell>
          <cell r="M3114" t="str">
            <v>South Yorkshire</v>
          </cell>
          <cell r="N3114" t="str">
            <v>S10 3BT</v>
          </cell>
          <cell r="O3114" t="str">
            <v>jwillis@notredame-high.co.uk</v>
          </cell>
          <cell r="P3114">
            <v>40932</v>
          </cell>
        </row>
        <row r="3115">
          <cell r="A3115">
            <v>9093368</v>
          </cell>
          <cell r="B3115">
            <v>112324</v>
          </cell>
          <cell r="C3115">
            <v>909</v>
          </cell>
          <cell r="D3115" t="str">
            <v>Cumbria</v>
          </cell>
          <cell r="E3115">
            <v>3368</v>
          </cell>
          <cell r="G3115" t="str">
            <v>Morland Area CofE Primary School</v>
          </cell>
          <cell r="H3115" t="str">
            <v>North West</v>
          </cell>
          <cell r="I3115" t="str">
            <v>Morland</v>
          </cell>
          <cell r="L3115" t="str">
            <v>Penrith</v>
          </cell>
          <cell r="M3115" t="str">
            <v>Cumbria</v>
          </cell>
          <cell r="N3115" t="str">
            <v>CA10 3AT</v>
          </cell>
          <cell r="O3115" t="str">
            <v>admin@morlandarea.cumbria.sch.uk</v>
          </cell>
        </row>
        <row r="3116">
          <cell r="A3116">
            <v>8904057</v>
          </cell>
          <cell r="B3116">
            <v>119735</v>
          </cell>
          <cell r="C3116">
            <v>890</v>
          </cell>
          <cell r="D3116" t="str">
            <v>Blackpool</v>
          </cell>
          <cell r="E3116">
            <v>4057</v>
          </cell>
          <cell r="F3116" t="str">
            <v>Felicity Price</v>
          </cell>
          <cell r="G3116" t="str">
            <v>Montgomery High School - A Language College and Full Service School</v>
          </cell>
          <cell r="H3116" t="str">
            <v>North West</v>
          </cell>
          <cell r="I3116" t="str">
            <v>All Hallows Road</v>
          </cell>
          <cell r="J3116" t="str">
            <v>Bispham</v>
          </cell>
          <cell r="L3116" t="str">
            <v>Blackpool</v>
          </cell>
          <cell r="M3116" t="str">
            <v>Lancashire</v>
          </cell>
          <cell r="N3116" t="str">
            <v>FY2 0AZ</v>
          </cell>
          <cell r="O3116" t="str">
            <v>simon.brennand@montgomery.blackpool.sch.uk</v>
          </cell>
          <cell r="P3116">
            <v>40886</v>
          </cell>
        </row>
        <row r="3117">
          <cell r="A3117">
            <v>3304012</v>
          </cell>
          <cell r="B3117">
            <v>103482</v>
          </cell>
          <cell r="C3117">
            <v>330</v>
          </cell>
          <cell r="D3117" t="str">
            <v>Birmingham</v>
          </cell>
          <cell r="E3117">
            <v>4012</v>
          </cell>
          <cell r="F3117" t="str">
            <v>Hannah Copp</v>
          </cell>
          <cell r="G3117" t="str">
            <v>Hillcrest School A Specialist Maths and Computing College and Sixth Form Centre</v>
          </cell>
          <cell r="H3117" t="str">
            <v>West Midlands</v>
          </cell>
          <cell r="I3117" t="str">
            <v>Stonehouse Lane</v>
          </cell>
          <cell r="L3117" t="str">
            <v>Birmingham</v>
          </cell>
          <cell r="M3117" t="str">
            <v>West Midlands</v>
          </cell>
          <cell r="N3117" t="str">
            <v>B32 3AE</v>
          </cell>
          <cell r="O3117" t="str">
            <v>lroan@hillcrest.bham.sch.uk</v>
          </cell>
          <cell r="P3117">
            <v>40606</v>
          </cell>
        </row>
        <row r="3118">
          <cell r="A3118">
            <v>3844504</v>
          </cell>
          <cell r="B3118">
            <v>108295</v>
          </cell>
          <cell r="C3118">
            <v>384</v>
          </cell>
          <cell r="D3118" t="str">
            <v>Wakefield</v>
          </cell>
          <cell r="E3118">
            <v>4504</v>
          </cell>
          <cell r="F3118" t="str">
            <v>Glyn Newton</v>
          </cell>
          <cell r="G3118" t="str">
            <v>The Freeston Business and Enterprise College</v>
          </cell>
          <cell r="H3118" t="str">
            <v>Yorkshire and the Humber</v>
          </cell>
          <cell r="I3118" t="str">
            <v>Favell Avenue</v>
          </cell>
          <cell r="L3118" t="str">
            <v>Normanton</v>
          </cell>
          <cell r="M3118" t="str">
            <v>West Yorkshire</v>
          </cell>
          <cell r="N3118" t="str">
            <v>WF6 1HZ</v>
          </cell>
          <cell r="O3118" t="str">
            <v>gmetcalfe@freestonbec.com</v>
          </cell>
          <cell r="P3118">
            <v>40639</v>
          </cell>
        </row>
        <row r="3119">
          <cell r="A3119">
            <v>8912921</v>
          </cell>
          <cell r="B3119">
            <v>122725</v>
          </cell>
          <cell r="C3119">
            <v>891</v>
          </cell>
          <cell r="D3119" t="str">
            <v>Nottinghamshire</v>
          </cell>
          <cell r="E3119">
            <v>2921</v>
          </cell>
          <cell r="F3119" t="str">
            <v>Paul Hayes</v>
          </cell>
          <cell r="G3119" t="str">
            <v>Barnby Road Primary and Nursery School</v>
          </cell>
          <cell r="H3119" t="str">
            <v>East Midlands</v>
          </cell>
          <cell r="I3119" t="str">
            <v>John Gold Avenue</v>
          </cell>
          <cell r="L3119" t="str">
            <v>Newark</v>
          </cell>
          <cell r="M3119" t="str">
            <v>Nottinghamshire</v>
          </cell>
          <cell r="N3119" t="str">
            <v>NG24 1RU</v>
          </cell>
          <cell r="O3119" t="str">
            <v>head@newarkbarnbyroad.notts.sch.uk</v>
          </cell>
          <cell r="P3119">
            <v>40360</v>
          </cell>
        </row>
        <row r="3120">
          <cell r="A3120">
            <v>9192322</v>
          </cell>
          <cell r="B3120">
            <v>117274</v>
          </cell>
          <cell r="C3120">
            <v>919</v>
          </cell>
          <cell r="D3120" t="str">
            <v>Hertfordshire</v>
          </cell>
          <cell r="E3120">
            <v>2322</v>
          </cell>
          <cell r="F3120" t="str">
            <v>Joe Farrell</v>
          </cell>
          <cell r="G3120" t="str">
            <v>Goldfield Infant &amp; Nursery School</v>
          </cell>
          <cell r="H3120" t="str">
            <v>East of England</v>
          </cell>
          <cell r="I3120" t="str">
            <v>Christchurch Road</v>
          </cell>
          <cell r="L3120" t="str">
            <v>Tring</v>
          </cell>
          <cell r="M3120" t="str">
            <v>Hertfordshire</v>
          </cell>
          <cell r="N3120" t="str">
            <v>HP23 4EE</v>
          </cell>
          <cell r="O3120" t="str">
            <v>longshome@virginmedia.com</v>
          </cell>
        </row>
        <row r="3121">
          <cell r="A3121">
            <v>8694055</v>
          </cell>
          <cell r="B3121">
            <v>131790</v>
          </cell>
          <cell r="C3121">
            <v>869</v>
          </cell>
          <cell r="D3121" t="str">
            <v>West Berkshire</v>
          </cell>
          <cell r="E3121">
            <v>4055</v>
          </cell>
          <cell r="F3121" t="str">
            <v>Bukky Sawyerr</v>
          </cell>
          <cell r="G3121" t="str">
            <v>Trinity School</v>
          </cell>
          <cell r="H3121" t="str">
            <v>South East</v>
          </cell>
          <cell r="I3121" t="str">
            <v>Love Lane</v>
          </cell>
          <cell r="J3121" t="str">
            <v>Shaw</v>
          </cell>
          <cell r="L3121" t="str">
            <v>Newbury</v>
          </cell>
          <cell r="M3121" t="str">
            <v>Berkshire</v>
          </cell>
          <cell r="N3121" t="str">
            <v>RG14 2DU</v>
          </cell>
          <cell r="O3121" t="str">
            <v>headteacher.trinity@westberks.org</v>
          </cell>
          <cell r="P3121">
            <v>41002</v>
          </cell>
        </row>
        <row r="3122">
          <cell r="A3122">
            <v>3072005</v>
          </cell>
          <cell r="B3122">
            <v>101866</v>
          </cell>
          <cell r="C3122">
            <v>307</v>
          </cell>
          <cell r="D3122" t="str">
            <v>Ealing</v>
          </cell>
          <cell r="E3122">
            <v>2005</v>
          </cell>
          <cell r="F3122" t="str">
            <v>Helen Fisher</v>
          </cell>
          <cell r="G3122" t="str">
            <v>Berrymede Junior School</v>
          </cell>
          <cell r="H3122" t="str">
            <v>London</v>
          </cell>
          <cell r="I3122" t="str">
            <v>Osborne Road</v>
          </cell>
          <cell r="J3122" t="str">
            <v>Acton</v>
          </cell>
          <cell r="L3122" t="str">
            <v>London</v>
          </cell>
          <cell r="N3122" t="str">
            <v>W3 8SJ</v>
          </cell>
          <cell r="O3122" t="str">
            <v>head@berrymede-jun.ealing.sch.uk</v>
          </cell>
        </row>
        <row r="3123">
          <cell r="A3123">
            <v>8815448</v>
          </cell>
          <cell r="B3123">
            <v>115364</v>
          </cell>
          <cell r="C3123">
            <v>881</v>
          </cell>
          <cell r="D3123" t="str">
            <v>Essex</v>
          </cell>
          <cell r="E3123">
            <v>5448</v>
          </cell>
          <cell r="F3123" t="str">
            <v>David Rudd</v>
          </cell>
          <cell r="G3123" t="str">
            <v xml:space="preserve">St Helena School </v>
          </cell>
          <cell r="H3123" t="str">
            <v>East of England</v>
          </cell>
          <cell r="I3123" t="str">
            <v>Sheepen Road</v>
          </cell>
          <cell r="L3123" t="str">
            <v>Colchester</v>
          </cell>
          <cell r="M3123" t="str">
            <v>Essex</v>
          </cell>
          <cell r="N3123" t="str">
            <v>CO3 3LE</v>
          </cell>
          <cell r="O3123" t="str">
            <v>kevin.prince@btinternet.com</v>
          </cell>
          <cell r="P3123">
            <v>40864</v>
          </cell>
        </row>
        <row r="3124">
          <cell r="A3124">
            <v>8832987</v>
          </cell>
          <cell r="B3124">
            <v>132181</v>
          </cell>
          <cell r="C3124">
            <v>883</v>
          </cell>
          <cell r="D3124" t="str">
            <v>Thurrock</v>
          </cell>
          <cell r="E3124">
            <v>2987</v>
          </cell>
          <cell r="F3124" t="str">
            <v>David Rudd</v>
          </cell>
          <cell r="G3124" t="str">
            <v>Chafford Hundred Primary School</v>
          </cell>
          <cell r="H3124" t="str">
            <v>East of England</v>
          </cell>
          <cell r="I3124" t="str">
            <v>Mayflower Road</v>
          </cell>
          <cell r="J3124" t="str">
            <v>Chafford Hundred</v>
          </cell>
          <cell r="L3124" t="str">
            <v>Grays</v>
          </cell>
          <cell r="M3124" t="str">
            <v>Essex</v>
          </cell>
          <cell r="N3124" t="str">
            <v>RM16 6SA</v>
          </cell>
          <cell r="O3124" t="str">
            <v>primaryhead@chcprimary.thurrock.sch.uk</v>
          </cell>
          <cell r="P3124">
            <v>40864</v>
          </cell>
        </row>
        <row r="3125">
          <cell r="A3125">
            <v>8307009</v>
          </cell>
          <cell r="B3125">
            <v>113033</v>
          </cell>
          <cell r="C3125">
            <v>830</v>
          </cell>
          <cell r="D3125" t="str">
            <v>Derbyshire</v>
          </cell>
          <cell r="E3125">
            <v>7009</v>
          </cell>
          <cell r="F3125" t="str">
            <v>Stephen Standret</v>
          </cell>
          <cell r="G3125" t="str">
            <v>Swanwick School and Sports College</v>
          </cell>
          <cell r="H3125" t="str">
            <v>East Midlands</v>
          </cell>
          <cell r="I3125" t="str">
            <v>Hayes Lane</v>
          </cell>
          <cell r="J3125" t="str">
            <v>Swanwick</v>
          </cell>
          <cell r="L3125" t="str">
            <v>Alfreton</v>
          </cell>
          <cell r="M3125" t="str">
            <v>Derbyshire</v>
          </cell>
          <cell r="N3125" t="str">
            <v>DE55 1AR</v>
          </cell>
          <cell r="O3125" t="str">
            <v>headteacher@swanwicksportscollege.derbyshire.sch.uk</v>
          </cell>
        </row>
        <row r="3126">
          <cell r="A3126">
            <v>9194005</v>
          </cell>
          <cell r="B3126">
            <v>117500</v>
          </cell>
          <cell r="C3126">
            <v>919</v>
          </cell>
          <cell r="D3126" t="str">
            <v>Hertfordshire</v>
          </cell>
          <cell r="E3126">
            <v>4005</v>
          </cell>
          <cell r="F3126" t="str">
            <v>Joe Farrell</v>
          </cell>
          <cell r="G3126" t="str">
            <v>The Hemel Hempstead School</v>
          </cell>
          <cell r="H3126" t="str">
            <v>East of England</v>
          </cell>
          <cell r="I3126" t="str">
            <v>Heath Lane</v>
          </cell>
          <cell r="L3126" t="str">
            <v>Hemel Hempstead</v>
          </cell>
          <cell r="M3126" t="str">
            <v>Hertfordshire</v>
          </cell>
          <cell r="N3126" t="str">
            <v>HP1 1TX</v>
          </cell>
        </row>
        <row r="3127">
          <cell r="A3127">
            <v>8662151</v>
          </cell>
          <cell r="B3127">
            <v>126242</v>
          </cell>
          <cell r="C3127">
            <v>866</v>
          </cell>
          <cell r="D3127" t="str">
            <v>Swindon</v>
          </cell>
          <cell r="E3127">
            <v>2151</v>
          </cell>
          <cell r="F3127" t="str">
            <v>Nigel Mills</v>
          </cell>
          <cell r="G3127" t="str">
            <v>Seven Fields Primary School</v>
          </cell>
          <cell r="H3127" t="str">
            <v>South West</v>
          </cell>
          <cell r="I3127" t="str">
            <v>Leigh Road</v>
          </cell>
          <cell r="J3127" t="str">
            <v>Penhill</v>
          </cell>
          <cell r="L3127" t="str">
            <v>Swindon</v>
          </cell>
          <cell r="M3127" t="str">
            <v>Wiltshire</v>
          </cell>
          <cell r="N3127" t="str">
            <v>SN2 5DE</v>
          </cell>
          <cell r="O3127" t="str">
            <v>head@sevenfields.swindon.sch.uk</v>
          </cell>
          <cell r="P3127">
            <v>40890</v>
          </cell>
        </row>
        <row r="3128">
          <cell r="A3128">
            <v>3444012</v>
          </cell>
          <cell r="B3128">
            <v>105095</v>
          </cell>
          <cell r="C3128">
            <v>344</v>
          </cell>
          <cell r="D3128" t="str">
            <v>Wirral</v>
          </cell>
          <cell r="E3128">
            <v>4012</v>
          </cell>
          <cell r="F3128" t="str">
            <v>Maria Sabberton</v>
          </cell>
          <cell r="G3128" t="str">
            <v>Woodchurch High School Engineering College</v>
          </cell>
          <cell r="H3128" t="str">
            <v>North West</v>
          </cell>
          <cell r="I3128" t="str">
            <v>Carr Bridge Road</v>
          </cell>
          <cell r="J3128" t="str">
            <v>Woodchurch</v>
          </cell>
          <cell r="L3128" t="str">
            <v>Wirral</v>
          </cell>
          <cell r="M3128" t="str">
            <v>Merseyside</v>
          </cell>
          <cell r="N3128" t="str">
            <v>CH49 7NG</v>
          </cell>
          <cell r="O3128" t="str">
            <v>schooloffice@woodchurch-high.wirral.sch.uk</v>
          </cell>
          <cell r="P3128">
            <v>40563</v>
          </cell>
        </row>
        <row r="3129">
          <cell r="A3129">
            <v>9292220</v>
          </cell>
          <cell r="B3129">
            <v>122220</v>
          </cell>
          <cell r="C3129">
            <v>929</v>
          </cell>
          <cell r="D3129" t="str">
            <v>Northumberland</v>
          </cell>
          <cell r="E3129">
            <v>2220</v>
          </cell>
          <cell r="F3129" t="str">
            <v>Lisa Sargeant</v>
          </cell>
          <cell r="G3129" t="str">
            <v>Prudhoe West First School</v>
          </cell>
          <cell r="H3129" t="str">
            <v>North East</v>
          </cell>
          <cell r="I3129" t="str">
            <v>West Road</v>
          </cell>
          <cell r="L3129" t="str">
            <v>Prudhoe</v>
          </cell>
          <cell r="M3129" t="str">
            <v>Northumberland</v>
          </cell>
          <cell r="N3129" t="str">
            <v>NE42 6HR</v>
          </cell>
          <cell r="O3129" t="str">
            <v>Alan.Keenleyside@northumberland.gov.uk</v>
          </cell>
        </row>
        <row r="3130">
          <cell r="A3130">
            <v>9384606</v>
          </cell>
          <cell r="B3130">
            <v>126098</v>
          </cell>
          <cell r="C3130">
            <v>938</v>
          </cell>
          <cell r="D3130" t="str">
            <v>West Sussex</v>
          </cell>
          <cell r="E3130">
            <v>4606</v>
          </cell>
          <cell r="F3130" t="str">
            <v>Sarah Mitchell</v>
          </cell>
          <cell r="G3130" t="str">
            <v>Holy Trinity CofE Secondary School, Crawley</v>
          </cell>
          <cell r="H3130" t="str">
            <v>South East</v>
          </cell>
          <cell r="I3130" t="str">
            <v>Buckswood Drive</v>
          </cell>
          <cell r="J3130" t="str">
            <v>Gossops Green</v>
          </cell>
          <cell r="L3130" t="str">
            <v>Crawley</v>
          </cell>
          <cell r="M3130" t="str">
            <v>West Sussex</v>
          </cell>
          <cell r="N3130" t="str">
            <v>RH11 8JE</v>
          </cell>
          <cell r="O3130" t="str">
            <v>pkennedy9@wsgfl.org.uk</v>
          </cell>
        </row>
        <row r="3131">
          <cell r="A3131">
            <v>9255420</v>
          </cell>
          <cell r="B3131">
            <v>120716</v>
          </cell>
          <cell r="C3131">
            <v>925</v>
          </cell>
          <cell r="D3131" t="str">
            <v>Lincolnshire</v>
          </cell>
          <cell r="E3131">
            <v>5420</v>
          </cell>
          <cell r="F3131" t="str">
            <v>Grant Dyson</v>
          </cell>
          <cell r="G3131" t="str">
            <v>Sir William Robertson High School</v>
          </cell>
          <cell r="H3131" t="str">
            <v>East Midlands</v>
          </cell>
          <cell r="I3131" t="str">
            <v>Main Road</v>
          </cell>
          <cell r="J3131" t="str">
            <v>Welbourn</v>
          </cell>
          <cell r="L3131" t="str">
            <v>Lincoln</v>
          </cell>
          <cell r="M3131" t="str">
            <v>Lincolnshire</v>
          </cell>
          <cell r="N3131" t="str">
            <v>LN5 0PA</v>
          </cell>
          <cell r="O3131" t="str">
            <v>mark.guest@swrhs.org</v>
          </cell>
          <cell r="P3131">
            <v>41047</v>
          </cell>
        </row>
        <row r="3132">
          <cell r="A3132">
            <v>3103513</v>
          </cell>
          <cell r="B3132">
            <v>135171</v>
          </cell>
          <cell r="C3132">
            <v>310</v>
          </cell>
          <cell r="D3132" t="str">
            <v>Harrow</v>
          </cell>
          <cell r="E3132">
            <v>3513</v>
          </cell>
          <cell r="F3132" t="str">
            <v>Helen Fisher</v>
          </cell>
          <cell r="G3132" t="str">
            <v>Krishna-Avanti Primary School</v>
          </cell>
          <cell r="H3132" t="str">
            <v>London</v>
          </cell>
          <cell r="I3132" t="str">
            <v>Camrose Avenue</v>
          </cell>
          <cell r="L3132" t="str">
            <v>Edgware</v>
          </cell>
          <cell r="M3132" t="str">
            <v>Middlesex</v>
          </cell>
          <cell r="N3132" t="str">
            <v>HA8 6ES</v>
          </cell>
          <cell r="P3132">
            <v>41067</v>
          </cell>
        </row>
        <row r="3133">
          <cell r="A3133">
            <v>9352054</v>
          </cell>
          <cell r="B3133">
            <v>124564</v>
          </cell>
          <cell r="C3133">
            <v>935</v>
          </cell>
          <cell r="D3133" t="str">
            <v>Suffolk</v>
          </cell>
          <cell r="E3133">
            <v>2054</v>
          </cell>
          <cell r="F3133" t="str">
            <v>Beverley Samuel</v>
          </cell>
          <cell r="G3133" t="str">
            <v>Kedington Primary School</v>
          </cell>
          <cell r="H3133" t="str">
            <v>East of England</v>
          </cell>
          <cell r="I3133" t="str">
            <v>Church Walk</v>
          </cell>
          <cell r="J3133" t="str">
            <v>Kedington</v>
          </cell>
          <cell r="L3133" t="str">
            <v>Haverhill</v>
          </cell>
          <cell r="M3133" t="str">
            <v>Suffolk</v>
          </cell>
          <cell r="N3133" t="str">
            <v>CB9 7QZ</v>
          </cell>
          <cell r="O3133" t="str">
            <v>headteacher@kedington.suffolk.sch.uk</v>
          </cell>
          <cell r="P3133">
            <v>41178</v>
          </cell>
        </row>
        <row r="3134">
          <cell r="A3134">
            <v>8554031</v>
          </cell>
          <cell r="B3134">
            <v>120254</v>
          </cell>
          <cell r="C3134">
            <v>855</v>
          </cell>
          <cell r="D3134" t="str">
            <v>Leicestershire</v>
          </cell>
          <cell r="E3134">
            <v>4031</v>
          </cell>
          <cell r="F3134" t="str">
            <v>Grant Dyson</v>
          </cell>
          <cell r="G3134" t="str">
            <v>Castle Donington Community College</v>
          </cell>
          <cell r="H3134" t="str">
            <v>East Midlands</v>
          </cell>
          <cell r="I3134" t="str">
            <v>Mount Pleasant</v>
          </cell>
          <cell r="J3134" t="str">
            <v>Castle Donington</v>
          </cell>
          <cell r="L3134" t="str">
            <v>Derby</v>
          </cell>
          <cell r="M3134" t="str">
            <v>Derbyshire</v>
          </cell>
          <cell r="N3134" t="str">
            <v>DE74 2LN</v>
          </cell>
          <cell r="O3134" t="str">
            <v>kbayliss@castledonington.leics.sch.uk</v>
          </cell>
          <cell r="P3134">
            <v>40998</v>
          </cell>
        </row>
        <row r="3135">
          <cell r="A3135">
            <v>3332045</v>
          </cell>
          <cell r="B3135">
            <v>103907</v>
          </cell>
          <cell r="C3135">
            <v>333</v>
          </cell>
          <cell r="D3135" t="str">
            <v>Sandwell</v>
          </cell>
          <cell r="E3135">
            <v>2045</v>
          </cell>
          <cell r="F3135" t="str">
            <v>Alison Middleton</v>
          </cell>
          <cell r="G3135" t="str">
            <v>Mesty Croft Primary School</v>
          </cell>
          <cell r="H3135" t="str">
            <v>West Midlands</v>
          </cell>
          <cell r="I3135" t="str">
            <v>St Luke's Road</v>
          </cell>
          <cell r="L3135" t="str">
            <v>Wednesbury</v>
          </cell>
          <cell r="M3135" t="str">
            <v>West Midlands</v>
          </cell>
          <cell r="N3135" t="str">
            <v>WS10 0QY</v>
          </cell>
          <cell r="O3135" t="str">
            <v>andrew.kirby@mestycroft.sandwell.sch.uk</v>
          </cell>
          <cell r="P3135">
            <v>40634</v>
          </cell>
        </row>
        <row r="3136">
          <cell r="A3136">
            <v>8102164</v>
          </cell>
          <cell r="B3136">
            <v>117774</v>
          </cell>
          <cell r="C3136">
            <v>810</v>
          </cell>
          <cell r="D3136" t="str">
            <v>Kingston upon Hull City of</v>
          </cell>
          <cell r="E3136">
            <v>2164</v>
          </cell>
          <cell r="F3136" t="str">
            <v>Glyn Newton</v>
          </cell>
          <cell r="G3136" t="str">
            <v>Estcourt Primary School</v>
          </cell>
          <cell r="H3136" t="str">
            <v>Yorkshire and the Humber</v>
          </cell>
          <cell r="I3136" t="str">
            <v>Estcourt Street</v>
          </cell>
          <cell r="L3136" t="str">
            <v>Hull</v>
          </cell>
          <cell r="N3136" t="str">
            <v>HU9 2RP</v>
          </cell>
          <cell r="O3136" t="str">
            <v>head@estcourt.hull.sch.uk</v>
          </cell>
        </row>
        <row r="3137">
          <cell r="A3137">
            <v>9312001</v>
          </cell>
          <cell r="B3137">
            <v>122991</v>
          </cell>
          <cell r="C3137">
            <v>931</v>
          </cell>
          <cell r="D3137" t="str">
            <v>Oxfordshire</v>
          </cell>
          <cell r="E3137">
            <v>2001</v>
          </cell>
          <cell r="F3137" t="str">
            <v>Sarah Nairne</v>
          </cell>
          <cell r="G3137" t="str">
            <v>Hornton Primary School</v>
          </cell>
          <cell r="H3137" t="str">
            <v>South East</v>
          </cell>
          <cell r="I3137" t="str">
            <v>Hornton</v>
          </cell>
          <cell r="L3137" t="str">
            <v>Banbury</v>
          </cell>
          <cell r="M3137" t="str">
            <v>Oxfordshire</v>
          </cell>
          <cell r="N3137" t="str">
            <v>OX15 6BZ</v>
          </cell>
          <cell r="O3137" t="str">
            <v>a.kay@warriner.oxon.sch.uk</v>
          </cell>
          <cell r="P3137">
            <v>41255</v>
          </cell>
        </row>
        <row r="3138">
          <cell r="A3138">
            <v>8655406</v>
          </cell>
          <cell r="B3138">
            <v>126501</v>
          </cell>
          <cell r="C3138">
            <v>865</v>
          </cell>
          <cell r="D3138" t="str">
            <v>Wiltshire</v>
          </cell>
          <cell r="E3138">
            <v>5406</v>
          </cell>
          <cell r="F3138" t="str">
            <v>Niko Thomas</v>
          </cell>
          <cell r="G3138" t="str">
            <v>The John Bentley School</v>
          </cell>
          <cell r="H3138" t="str">
            <v>South West</v>
          </cell>
          <cell r="I3138" t="str">
            <v>White Horse Way</v>
          </cell>
          <cell r="L3138" t="str">
            <v>Calne</v>
          </cell>
          <cell r="M3138" t="str">
            <v>Wiltshire</v>
          </cell>
          <cell r="N3138" t="str">
            <v>SN11 8YH</v>
          </cell>
          <cell r="O3138" t="str">
            <v>gt@johnbentley.wilts.sch.uk</v>
          </cell>
          <cell r="P3138">
            <v>40703</v>
          </cell>
        </row>
        <row r="3139">
          <cell r="A3139">
            <v>2134628</v>
          </cell>
          <cell r="B3139">
            <v>101151</v>
          </cell>
          <cell r="C3139">
            <v>213</v>
          </cell>
          <cell r="D3139" t="str">
            <v>Westminster</v>
          </cell>
          <cell r="E3139">
            <v>4628</v>
          </cell>
          <cell r="F3139" t="str">
            <v>Martin Rowley</v>
          </cell>
          <cell r="G3139" t="str">
            <v>The Grey Coat Hospital</v>
          </cell>
          <cell r="H3139" t="str">
            <v>London</v>
          </cell>
          <cell r="I3139" t="str">
            <v>Greycoat Place</v>
          </cell>
          <cell r="L3139" t="str">
            <v>London</v>
          </cell>
          <cell r="N3139" t="str">
            <v>SW1P 2DY</v>
          </cell>
          <cell r="O3139" t="str">
            <v>rallard@gch.org.uk</v>
          </cell>
          <cell r="P3139">
            <v>40927</v>
          </cell>
        </row>
        <row r="3140">
          <cell r="A3140">
            <v>9195412</v>
          </cell>
          <cell r="B3140">
            <v>117584</v>
          </cell>
          <cell r="C3140">
            <v>919</v>
          </cell>
          <cell r="D3140" t="str">
            <v>Hertfordshire</v>
          </cell>
          <cell r="E3140">
            <v>5412</v>
          </cell>
          <cell r="F3140" t="str">
            <v>David Rudd</v>
          </cell>
          <cell r="G3140" t="str">
            <v>Nicholas Breakspear Catholic School</v>
          </cell>
          <cell r="H3140" t="str">
            <v>East of England</v>
          </cell>
          <cell r="I3140" t="str">
            <v>Colney Heath Lane</v>
          </cell>
          <cell r="L3140" t="str">
            <v>St Albans</v>
          </cell>
          <cell r="M3140" t="str">
            <v>Hertfordshire</v>
          </cell>
          <cell r="N3140" t="str">
            <v>AL4 0TT</v>
          </cell>
        </row>
        <row r="3141">
          <cell r="A3141">
            <v>8402123</v>
          </cell>
          <cell r="B3141">
            <v>114007</v>
          </cell>
          <cell r="C3141">
            <v>840</v>
          </cell>
          <cell r="D3141" t="str">
            <v>Durham</v>
          </cell>
          <cell r="E3141">
            <v>2123</v>
          </cell>
          <cell r="F3141" t="str">
            <v>Jane Moore</v>
          </cell>
          <cell r="G3141" t="str">
            <v>Sacriston Infant School</v>
          </cell>
          <cell r="H3141" t="str">
            <v>North East</v>
          </cell>
          <cell r="I3141" t="str">
            <v>Woodside</v>
          </cell>
          <cell r="J3141" t="str">
            <v>Sacriston</v>
          </cell>
          <cell r="L3141" t="str">
            <v>Durham</v>
          </cell>
          <cell r="N3141" t="str">
            <v>DH7 6LQ</v>
          </cell>
          <cell r="O3141" t="str">
            <v>l.farnaby100@durhamlearning.net</v>
          </cell>
        </row>
        <row r="3142">
          <cell r="A3142">
            <v>8222287</v>
          </cell>
          <cell r="B3142">
            <v>109590</v>
          </cell>
          <cell r="C3142">
            <v>822</v>
          </cell>
          <cell r="D3142" t="str">
            <v>Bedford</v>
          </cell>
          <cell r="E3142">
            <v>2287</v>
          </cell>
          <cell r="F3142" t="str">
            <v>Not yet assigned</v>
          </cell>
          <cell r="G3142" t="str">
            <v>Kymbrook Lower School</v>
          </cell>
          <cell r="H3142" t="str">
            <v>East of England</v>
          </cell>
          <cell r="I3142" t="str">
            <v>Kimbolton Road</v>
          </cell>
          <cell r="J3142" t="str">
            <v>Keysoe</v>
          </cell>
          <cell r="L3142" t="str">
            <v>Bedford</v>
          </cell>
          <cell r="M3142" t="str">
            <v>Bedfordshire</v>
          </cell>
          <cell r="N3142" t="str">
            <v>MK44 2HH</v>
          </cell>
          <cell r="O3142" t="str">
            <v>chair@kymbrook.beds.sch.uk</v>
          </cell>
        </row>
        <row r="3143">
          <cell r="A3143">
            <v>3914480</v>
          </cell>
          <cell r="B3143">
            <v>108526</v>
          </cell>
          <cell r="C3143">
            <v>391</v>
          </cell>
          <cell r="D3143" t="str">
            <v>Newcastle upon Tyne</v>
          </cell>
          <cell r="E3143">
            <v>4480</v>
          </cell>
          <cell r="F3143" t="str">
            <v>Lisa Sargeant</v>
          </cell>
          <cell r="G3143" t="str">
            <v>Benfield School</v>
          </cell>
          <cell r="H3143" t="str">
            <v>North East</v>
          </cell>
          <cell r="I3143" t="str">
            <v>Benfield Road</v>
          </cell>
          <cell r="L3143" t="str">
            <v>Newcastle-upon-Tyne</v>
          </cell>
          <cell r="M3143" t="str">
            <v>Tyne and Wear</v>
          </cell>
          <cell r="N3143" t="str">
            <v>NE6 4NU</v>
          </cell>
          <cell r="O3143" t="str">
            <v>neil.walker@benfield.newcastle.sch.uk</v>
          </cell>
        </row>
        <row r="3144">
          <cell r="A3144">
            <v>8224124</v>
          </cell>
          <cell r="B3144">
            <v>109690</v>
          </cell>
          <cell r="C3144">
            <v>822</v>
          </cell>
          <cell r="D3144" t="str">
            <v>Bedford</v>
          </cell>
          <cell r="E3144">
            <v>4124</v>
          </cell>
          <cell r="F3144" t="str">
            <v>Julie McDowall</v>
          </cell>
          <cell r="G3144" t="str">
            <v>Biddenham Upper School and Sports College</v>
          </cell>
          <cell r="H3144" t="str">
            <v>East of England</v>
          </cell>
          <cell r="I3144" t="str">
            <v>Biddenham Turn</v>
          </cell>
          <cell r="L3144" t="str">
            <v>Bedford</v>
          </cell>
          <cell r="M3144" t="str">
            <v>Bedfordshire</v>
          </cell>
          <cell r="N3144" t="str">
            <v>MK40 4AZ</v>
          </cell>
          <cell r="O3144" t="str">
            <v>david.bailey@biddenham.beds.sch.uk</v>
          </cell>
          <cell r="P3144">
            <v>41074</v>
          </cell>
        </row>
        <row r="3145">
          <cell r="A3145">
            <v>3414787</v>
          </cell>
          <cell r="B3145">
            <v>104709</v>
          </cell>
          <cell r="C3145">
            <v>341</v>
          </cell>
          <cell r="D3145" t="str">
            <v>Liverpool</v>
          </cell>
          <cell r="E3145">
            <v>4787</v>
          </cell>
          <cell r="F3145" t="str">
            <v>Cathy Dudley</v>
          </cell>
          <cell r="G3145" t="str">
            <v>Bellerive FCJ Catholic College</v>
          </cell>
          <cell r="H3145" t="str">
            <v>North West</v>
          </cell>
          <cell r="I3145" t="str">
            <v>Windermere Terrace</v>
          </cell>
          <cell r="J3145" t="str">
            <v>Sefton Park</v>
          </cell>
          <cell r="L3145" t="str">
            <v>Liverpool</v>
          </cell>
          <cell r="M3145" t="str">
            <v>Merseyside</v>
          </cell>
          <cell r="N3145" t="str">
            <v>L8 3SB</v>
          </cell>
          <cell r="O3145" t="str">
            <v>bhalligan@btconnect.com</v>
          </cell>
          <cell r="P3145">
            <v>40955</v>
          </cell>
        </row>
        <row r="3146">
          <cell r="A3146">
            <v>3427005</v>
          </cell>
          <cell r="B3146">
            <v>104843</v>
          </cell>
          <cell r="C3146">
            <v>342</v>
          </cell>
          <cell r="D3146" t="str">
            <v>St. Helens</v>
          </cell>
          <cell r="E3146">
            <v>7005</v>
          </cell>
          <cell r="F3146" t="str">
            <v>Jane McCusker</v>
          </cell>
          <cell r="G3146" t="str">
            <v>Penkford School</v>
          </cell>
          <cell r="H3146" t="str">
            <v>North West</v>
          </cell>
          <cell r="I3146" t="str">
            <v>Wharf Road</v>
          </cell>
          <cell r="L3146" t="str">
            <v>Newton-le-Willows</v>
          </cell>
          <cell r="M3146" t="str">
            <v>Merseyside</v>
          </cell>
          <cell r="N3146" t="str">
            <v>WA12 9XZ</v>
          </cell>
          <cell r="O3146" t="str">
            <v>dave.king@sthelens.org.uk</v>
          </cell>
        </row>
        <row r="3147">
          <cell r="A3147">
            <v>9387015</v>
          </cell>
          <cell r="B3147">
            <v>126164</v>
          </cell>
          <cell r="C3147">
            <v>938</v>
          </cell>
          <cell r="D3147" t="str">
            <v>West Sussex</v>
          </cell>
          <cell r="E3147">
            <v>7015</v>
          </cell>
          <cell r="F3147" t="str">
            <v>Sarah Mitchell</v>
          </cell>
          <cell r="G3147" t="str">
            <v>Newick House School</v>
          </cell>
          <cell r="H3147" t="str">
            <v>South East</v>
          </cell>
          <cell r="I3147" t="str">
            <v>Birchwood Grove Road</v>
          </cell>
          <cell r="L3147" t="str">
            <v>Burgess Hill</v>
          </cell>
          <cell r="M3147" t="str">
            <v>West Sussex</v>
          </cell>
          <cell r="N3147" t="str">
            <v>RH15 0DP</v>
          </cell>
          <cell r="O3147" t="str">
            <v>gperry1@wsgfl.org.uk</v>
          </cell>
        </row>
        <row r="3148">
          <cell r="A3148">
            <v>3302458</v>
          </cell>
          <cell r="B3148">
            <v>103385</v>
          </cell>
          <cell r="C3148">
            <v>330</v>
          </cell>
          <cell r="D3148" t="str">
            <v>Birmingham</v>
          </cell>
          <cell r="E3148">
            <v>2458</v>
          </cell>
          <cell r="F3148" t="str">
            <v>Nicole Felicien</v>
          </cell>
          <cell r="G3148" t="str">
            <v>Parkfield Community School</v>
          </cell>
          <cell r="H3148" t="str">
            <v>West Midlands</v>
          </cell>
          <cell r="I3148" t="str">
            <v>Parkfield Road</v>
          </cell>
          <cell r="J3148" t="str">
            <v>Saltley</v>
          </cell>
          <cell r="L3148" t="str">
            <v>Birmingham</v>
          </cell>
          <cell r="M3148" t="str">
            <v>West Midlands</v>
          </cell>
          <cell r="N3148" t="str">
            <v>B8 3AX</v>
          </cell>
          <cell r="O3148" t="str">
            <v>h.pulley@parkfield.bham.sch.uk</v>
          </cell>
          <cell r="P3148">
            <v>41078</v>
          </cell>
        </row>
        <row r="3149">
          <cell r="A3149">
            <v>8922898</v>
          </cell>
          <cell r="B3149">
            <v>122704</v>
          </cell>
          <cell r="C3149">
            <v>892</v>
          </cell>
          <cell r="D3149" t="str">
            <v>Nottingham</v>
          </cell>
          <cell r="E3149">
            <v>2898</v>
          </cell>
          <cell r="F3149" t="str">
            <v>Linda Brooks</v>
          </cell>
          <cell r="G3149" t="str">
            <v>Warren Primary and Nursery</v>
          </cell>
          <cell r="H3149" t="str">
            <v>East Midlands</v>
          </cell>
          <cell r="I3149" t="str">
            <v>Bewcastle Road</v>
          </cell>
          <cell r="J3149" t="str">
            <v>Top Valley</v>
          </cell>
          <cell r="L3149" t="str">
            <v>Nottingham</v>
          </cell>
          <cell r="M3149" t="str">
            <v>Nottinghamshire</v>
          </cell>
          <cell r="N3149" t="str">
            <v>NG5 9PJ</v>
          </cell>
          <cell r="O3149" t="str">
            <v>headteacher@warren.nottingham.sch.uk</v>
          </cell>
          <cell r="P3149">
            <v>40570</v>
          </cell>
        </row>
        <row r="3150">
          <cell r="A3150">
            <v>3105400</v>
          </cell>
          <cell r="B3150">
            <v>102244</v>
          </cell>
          <cell r="C3150">
            <v>310</v>
          </cell>
          <cell r="D3150" t="str">
            <v>Harrow</v>
          </cell>
          <cell r="E3150">
            <v>5400</v>
          </cell>
          <cell r="F3150" t="str">
            <v>Sheila Longstaff</v>
          </cell>
          <cell r="G3150" t="str">
            <v>Salvatorian Roman Catholic College</v>
          </cell>
          <cell r="H3150" t="str">
            <v>London</v>
          </cell>
          <cell r="I3150" t="str">
            <v>High Road</v>
          </cell>
          <cell r="J3150" t="str">
            <v>Harrow Weald</v>
          </cell>
          <cell r="L3150" t="str">
            <v>Harrow</v>
          </cell>
          <cell r="N3150" t="str">
            <v>HA3 5DY</v>
          </cell>
          <cell r="O3150" t="str">
            <v>grahama@salvatorian.harrow.sch.uk</v>
          </cell>
          <cell r="P3150">
            <v>41026</v>
          </cell>
        </row>
        <row r="3151">
          <cell r="A3151">
            <v>8815442</v>
          </cell>
          <cell r="B3151">
            <v>115358</v>
          </cell>
          <cell r="C3151">
            <v>881</v>
          </cell>
          <cell r="D3151" t="str">
            <v>Essex</v>
          </cell>
          <cell r="E3151">
            <v>5442</v>
          </cell>
          <cell r="F3151" t="str">
            <v>David Rudd</v>
          </cell>
          <cell r="G3151" t="str">
            <v>Anglo European School</v>
          </cell>
          <cell r="H3151" t="str">
            <v>East of England</v>
          </cell>
          <cell r="I3151" t="str">
            <v>Willow Green</v>
          </cell>
          <cell r="L3151" t="str">
            <v>Ingatestone</v>
          </cell>
          <cell r="M3151" t="str">
            <v>Essex</v>
          </cell>
          <cell r="N3151" t="str">
            <v>CM4 0DJ</v>
          </cell>
          <cell r="O3151" t="str">
            <v>martinj@aesessex.co.uk</v>
          </cell>
          <cell r="P3151">
            <v>40749</v>
          </cell>
        </row>
        <row r="3152">
          <cell r="A3152">
            <v>8613403</v>
          </cell>
          <cell r="B3152">
            <v>124316</v>
          </cell>
          <cell r="C3152">
            <v>861</v>
          </cell>
          <cell r="D3152" t="str">
            <v>Stoke-on-Trent</v>
          </cell>
          <cell r="E3152">
            <v>3403</v>
          </cell>
          <cell r="F3152" t="str">
            <v>Frances Blow</v>
          </cell>
          <cell r="G3152" t="str">
            <v>St Marys Catholic Primary School</v>
          </cell>
          <cell r="H3152" t="str">
            <v>West Midlands</v>
          </cell>
          <cell r="I3152" t="str">
            <v>Ford Green Road</v>
          </cell>
          <cell r="J3152" t="str">
            <v>Norton-le-Moors</v>
          </cell>
          <cell r="L3152" t="str">
            <v>Stoke-on-Trent</v>
          </cell>
          <cell r="M3152" t="str">
            <v>Staffordshire</v>
          </cell>
          <cell r="N3152" t="str">
            <v>ST6 8EZ</v>
          </cell>
          <cell r="O3152" t="str">
            <v>ibeardmore@sgfl.org.uk</v>
          </cell>
          <cell r="P3152">
            <v>41199</v>
          </cell>
        </row>
        <row r="3153">
          <cell r="A3153">
            <v>9082509</v>
          </cell>
          <cell r="B3153">
            <v>111916</v>
          </cell>
          <cell r="C3153">
            <v>908</v>
          </cell>
          <cell r="D3153" t="str">
            <v>Cornwall</v>
          </cell>
          <cell r="E3153">
            <v>2509</v>
          </cell>
          <cell r="F3153" t="str">
            <v>Not yet assigned</v>
          </cell>
          <cell r="G3153" t="str">
            <v>Lostwithiel School</v>
          </cell>
          <cell r="H3153" t="str">
            <v>South West</v>
          </cell>
          <cell r="I3153" t="str">
            <v>Bodmin Hill</v>
          </cell>
          <cell r="L3153" t="str">
            <v>Lostwithiel</v>
          </cell>
          <cell r="M3153" t="str">
            <v>Cornwall</v>
          </cell>
          <cell r="N3153" t="str">
            <v>PL22 0AJ</v>
          </cell>
          <cell r="O3153" t="str">
            <v>head@lostwithiel.cornwall.sch.uk</v>
          </cell>
        </row>
        <row r="3154">
          <cell r="A3154">
            <v>9365411</v>
          </cell>
          <cell r="B3154">
            <v>125311</v>
          </cell>
          <cell r="C3154">
            <v>936</v>
          </cell>
          <cell r="D3154" t="str">
            <v>Surrey</v>
          </cell>
          <cell r="E3154">
            <v>5411</v>
          </cell>
          <cell r="F3154" t="str">
            <v>Tony Dunne</v>
          </cell>
          <cell r="G3154" t="str">
            <v>St Paul's Catholic College</v>
          </cell>
          <cell r="H3154" t="str">
            <v>South East</v>
          </cell>
          <cell r="I3154" t="str">
            <v>The Ridings</v>
          </cell>
          <cell r="J3154" t="str">
            <v>Green Street</v>
          </cell>
          <cell r="L3154" t="str">
            <v>Sunbury-on-Thames</v>
          </cell>
          <cell r="M3154" t="str">
            <v>Surrey</v>
          </cell>
          <cell r="N3154" t="str">
            <v>TW16 6NX</v>
          </cell>
          <cell r="O3154" t="str">
            <v>cbacon@st-pauls.surrey.sch.uk</v>
          </cell>
        </row>
        <row r="3155">
          <cell r="A3155">
            <v>8355953</v>
          </cell>
          <cell r="B3155">
            <v>113960</v>
          </cell>
          <cell r="C3155">
            <v>835</v>
          </cell>
          <cell r="D3155" t="str">
            <v>Dorset</v>
          </cell>
          <cell r="E3155">
            <v>5953</v>
          </cell>
          <cell r="F3155" t="str">
            <v>Ed Schuldt</v>
          </cell>
          <cell r="G3155" t="str">
            <v>Westfield Arts College</v>
          </cell>
          <cell r="H3155" t="str">
            <v>South West</v>
          </cell>
          <cell r="I3155" t="str">
            <v>Littlemoor Road</v>
          </cell>
          <cell r="J3155" t="str">
            <v>Preston</v>
          </cell>
          <cell r="L3155" t="str">
            <v>Weymouth</v>
          </cell>
          <cell r="M3155" t="str">
            <v>Dorset</v>
          </cell>
          <cell r="N3155" t="str">
            <v>DT3 6AA</v>
          </cell>
          <cell r="O3155" t="str">
            <v>apenman@westfield.dorset.sch.uk</v>
          </cell>
        </row>
        <row r="3156">
          <cell r="A3156">
            <v>8304500</v>
          </cell>
          <cell r="B3156">
            <v>112967</v>
          </cell>
          <cell r="C3156">
            <v>830</v>
          </cell>
          <cell r="D3156" t="str">
            <v>Derbyshire</v>
          </cell>
          <cell r="E3156">
            <v>4500</v>
          </cell>
          <cell r="F3156" t="str">
            <v>Stephen Standret</v>
          </cell>
          <cell r="G3156" t="str">
            <v>Queen Elizabeth's Grammar School</v>
          </cell>
          <cell r="H3156" t="str">
            <v>East Midlands</v>
          </cell>
          <cell r="I3156" t="str">
            <v>The Green Road</v>
          </cell>
          <cell r="L3156" t="str">
            <v>Ashbourne</v>
          </cell>
          <cell r="M3156" t="str">
            <v>Derbyshire</v>
          </cell>
          <cell r="N3156" t="str">
            <v>DE6 1EP</v>
          </cell>
          <cell r="O3156" t="str">
            <v>wilkes@queenelizabeths.derbyshire.sch.uk</v>
          </cell>
          <cell r="P3156">
            <v>40582</v>
          </cell>
        </row>
        <row r="3157">
          <cell r="A3157">
            <v>8967115</v>
          </cell>
          <cell r="B3157">
            <v>111510</v>
          </cell>
          <cell r="C3157">
            <v>896</v>
          </cell>
          <cell r="D3157" t="str">
            <v>Cheshire West and Chester</v>
          </cell>
          <cell r="E3157">
            <v>7115</v>
          </cell>
          <cell r="F3157" t="str">
            <v>Maria Sabberton</v>
          </cell>
          <cell r="G3157" t="str">
            <v>Hinderton School</v>
          </cell>
          <cell r="H3157" t="str">
            <v>North West</v>
          </cell>
          <cell r="I3157" t="str">
            <v>Capenhurst Lane</v>
          </cell>
          <cell r="J3157" t="str">
            <v>Whitby</v>
          </cell>
          <cell r="L3157" t="str">
            <v>Ellesmere Port</v>
          </cell>
          <cell r="M3157" t="str">
            <v>Cheshire</v>
          </cell>
          <cell r="N3157" t="str">
            <v>CH65 7AQ</v>
          </cell>
          <cell r="O3157" t="str">
            <v>head@hinderton.cheshire.sch.uk</v>
          </cell>
        </row>
        <row r="3158">
          <cell r="A3158">
            <v>9265205</v>
          </cell>
          <cell r="B3158">
            <v>121195</v>
          </cell>
          <cell r="C3158">
            <v>926</v>
          </cell>
          <cell r="D3158" t="str">
            <v>Norfolk</v>
          </cell>
          <cell r="E3158">
            <v>5205</v>
          </cell>
          <cell r="F3158" t="str">
            <v>Michael Cook</v>
          </cell>
          <cell r="G3158" t="str">
            <v>Dereham Church Infant School and Nursery</v>
          </cell>
          <cell r="H3158" t="str">
            <v>East of England</v>
          </cell>
          <cell r="I3158" t="str">
            <v>St Withburga Lane</v>
          </cell>
          <cell r="L3158" t="str">
            <v>Dereham</v>
          </cell>
          <cell r="M3158" t="str">
            <v>Norfolk</v>
          </cell>
          <cell r="N3158" t="str">
            <v>NR19 1ED</v>
          </cell>
          <cell r="O3158" t="str">
            <v>head@dereham.norfolk.sch.uk</v>
          </cell>
        </row>
        <row r="3159">
          <cell r="A3159">
            <v>8014602</v>
          </cell>
          <cell r="B3159">
            <v>109326</v>
          </cell>
          <cell r="C3159">
            <v>801</v>
          </cell>
          <cell r="D3159" t="str">
            <v>Bristol City of</v>
          </cell>
          <cell r="E3159">
            <v>4602</v>
          </cell>
          <cell r="F3159" t="str">
            <v>Dominic Wilson</v>
          </cell>
          <cell r="G3159" t="str">
            <v>St Bede's Catholic College</v>
          </cell>
          <cell r="H3159" t="str">
            <v>South West</v>
          </cell>
          <cell r="I3159" t="str">
            <v>Long Cross</v>
          </cell>
          <cell r="J3159" t="str">
            <v>Lawrence Weston</v>
          </cell>
          <cell r="L3159" t="str">
            <v>Bristol</v>
          </cell>
          <cell r="N3159" t="str">
            <v>BS11 0SU</v>
          </cell>
          <cell r="O3159" t="str">
            <v>headstbedes@bristol.gov.uk</v>
          </cell>
          <cell r="P3159">
            <v>40644</v>
          </cell>
        </row>
        <row r="3160">
          <cell r="A3160">
            <v>9192345</v>
          </cell>
          <cell r="B3160">
            <v>117288</v>
          </cell>
          <cell r="C3160">
            <v>919</v>
          </cell>
          <cell r="D3160" t="str">
            <v>Hertfordshire</v>
          </cell>
          <cell r="E3160">
            <v>2345</v>
          </cell>
          <cell r="F3160" t="str">
            <v>Joe Farrell</v>
          </cell>
          <cell r="G3160" t="str">
            <v>Redbourn Junior School</v>
          </cell>
          <cell r="H3160" t="str">
            <v>East of England</v>
          </cell>
          <cell r="I3160" t="str">
            <v>Long Cutt</v>
          </cell>
          <cell r="J3160" t="str">
            <v>Redbourn</v>
          </cell>
          <cell r="L3160" t="str">
            <v>St Albans</v>
          </cell>
          <cell r="M3160" t="str">
            <v>Hertfordshire</v>
          </cell>
          <cell r="N3160" t="str">
            <v>AL3 7EX</v>
          </cell>
          <cell r="O3160" t="str">
            <v>head@redbournjm.herts.sch.uk</v>
          </cell>
        </row>
        <row r="3161">
          <cell r="A3161">
            <v>3082011</v>
          </cell>
          <cell r="B3161">
            <v>101983</v>
          </cell>
          <cell r="C3161">
            <v>308</v>
          </cell>
          <cell r="D3161" t="str">
            <v>Enfield</v>
          </cell>
          <cell r="E3161">
            <v>2011</v>
          </cell>
          <cell r="F3161" t="str">
            <v>Helen Fisher</v>
          </cell>
          <cell r="G3161" t="str">
            <v>Carterhatch Infant School</v>
          </cell>
          <cell r="H3161" t="str">
            <v>London</v>
          </cell>
          <cell r="I3161" t="str">
            <v>Carterhatch Lane</v>
          </cell>
          <cell r="L3161" t="str">
            <v>Enfield</v>
          </cell>
          <cell r="N3161" t="str">
            <v>EN1 4JY</v>
          </cell>
          <cell r="O3161" t="str">
            <v>aboyes@carterhatch-inf.enfield.sch.uk</v>
          </cell>
        </row>
        <row r="3162">
          <cell r="A3162">
            <v>8304200</v>
          </cell>
          <cell r="B3162">
            <v>112966</v>
          </cell>
          <cell r="C3162">
            <v>830</v>
          </cell>
          <cell r="D3162" t="str">
            <v>Derbyshire</v>
          </cell>
          <cell r="E3162">
            <v>4200</v>
          </cell>
          <cell r="F3162" t="str">
            <v>Stephen Standret</v>
          </cell>
          <cell r="G3162" t="str">
            <v>Springwell Community College</v>
          </cell>
          <cell r="H3162" t="str">
            <v>East Midlands</v>
          </cell>
          <cell r="I3162" t="str">
            <v>Middlecroft Road</v>
          </cell>
          <cell r="J3162" t="str">
            <v>Staveley</v>
          </cell>
          <cell r="L3162" t="str">
            <v>Chesterfield</v>
          </cell>
          <cell r="M3162" t="str">
            <v>Derbyshire</v>
          </cell>
          <cell r="N3162" t="str">
            <v>S43 3NQ</v>
          </cell>
          <cell r="O3162" t="str">
            <v>sgoddard@springwell-online.co.uk</v>
          </cell>
        </row>
        <row r="3163">
          <cell r="A3163">
            <v>8233313</v>
          </cell>
          <cell r="B3163">
            <v>109619</v>
          </cell>
          <cell r="C3163">
            <v>823</v>
          </cell>
          <cell r="D3163" t="str">
            <v>Central Bedfordshire</v>
          </cell>
          <cell r="E3163">
            <v>3313</v>
          </cell>
          <cell r="F3163" t="str">
            <v>Michael Cook</v>
          </cell>
          <cell r="G3163" t="str">
            <v>Pulford CofE VA Lower School</v>
          </cell>
          <cell r="H3163" t="str">
            <v>East of England</v>
          </cell>
          <cell r="I3163" t="str">
            <v>Pulford Road</v>
          </cell>
          <cell r="L3163" t="str">
            <v>Leighton Buzzard</v>
          </cell>
          <cell r="M3163" t="str">
            <v>Bedfordshire</v>
          </cell>
          <cell r="N3163" t="str">
            <v>LU7 1AB</v>
          </cell>
          <cell r="O3163" t="str">
            <v>pulfordlower@schools.bedfordshire.gov.uk</v>
          </cell>
        </row>
        <row r="3164">
          <cell r="A3164">
            <v>9283000</v>
          </cell>
          <cell r="B3164">
            <v>121956</v>
          </cell>
          <cell r="C3164">
            <v>928</v>
          </cell>
          <cell r="D3164" t="str">
            <v>Northamptonshire</v>
          </cell>
          <cell r="E3164">
            <v>3000</v>
          </cell>
          <cell r="F3164" t="str">
            <v>Sue Harp</v>
          </cell>
          <cell r="G3164" t="str">
            <v>Trinity Church of England Lower School, Aldwincle</v>
          </cell>
          <cell r="H3164" t="str">
            <v>East Midlands</v>
          </cell>
          <cell r="I3164" t="str">
            <v>Main Street</v>
          </cell>
          <cell r="J3164" t="str">
            <v>Aldwincle</v>
          </cell>
          <cell r="L3164" t="str">
            <v>Kettering</v>
          </cell>
          <cell r="M3164" t="str">
            <v>Northamptonshire</v>
          </cell>
          <cell r="N3164" t="str">
            <v>NN14 3EL</v>
          </cell>
        </row>
        <row r="3165">
          <cell r="A3165">
            <v>8553325</v>
          </cell>
          <cell r="B3165">
            <v>120203</v>
          </cell>
          <cell r="C3165">
            <v>855</v>
          </cell>
          <cell r="D3165" t="str">
            <v>Leicestershire</v>
          </cell>
          <cell r="E3165">
            <v>3325</v>
          </cell>
          <cell r="F3165" t="str">
            <v>Stephen Standret</v>
          </cell>
          <cell r="G3165" t="str">
            <v>Gilmorton Chandler Church of England Primary School</v>
          </cell>
          <cell r="H3165" t="str">
            <v>East Midlands</v>
          </cell>
          <cell r="I3165" t="str">
            <v>Church Lane</v>
          </cell>
          <cell r="J3165" t="str">
            <v>Gilmorton</v>
          </cell>
          <cell r="L3165" t="str">
            <v>Lutterworth</v>
          </cell>
          <cell r="M3165" t="str">
            <v>Leicestershire</v>
          </cell>
          <cell r="N3165" t="str">
            <v>LE17 5LU</v>
          </cell>
          <cell r="O3165" t="str">
            <v>maries1@gilmortonchandler.leics.sch.uk</v>
          </cell>
          <cell r="P3165">
            <v>40982</v>
          </cell>
        </row>
        <row r="3166">
          <cell r="A3166">
            <v>8654066</v>
          </cell>
          <cell r="B3166">
            <v>126454</v>
          </cell>
          <cell r="C3166">
            <v>865</v>
          </cell>
          <cell r="D3166" t="str">
            <v>Wiltshire</v>
          </cell>
          <cell r="E3166">
            <v>4066</v>
          </cell>
          <cell r="F3166" t="str">
            <v>Nigel Mills</v>
          </cell>
          <cell r="G3166" t="str">
            <v>The Corsham School</v>
          </cell>
          <cell r="H3166" t="str">
            <v>South West</v>
          </cell>
          <cell r="I3166" t="str">
            <v>The Tynings</v>
          </cell>
          <cell r="L3166" t="str">
            <v>Corsham</v>
          </cell>
          <cell r="M3166" t="str">
            <v>Wiltshire</v>
          </cell>
          <cell r="N3166" t="str">
            <v>SN13 9DF</v>
          </cell>
          <cell r="O3166" t="str">
            <v>headteacher@corsham.wilts.sch.uk</v>
          </cell>
          <cell r="P3166">
            <v>40529</v>
          </cell>
        </row>
        <row r="3167">
          <cell r="A3167">
            <v>9252064</v>
          </cell>
          <cell r="B3167">
            <v>120397</v>
          </cell>
          <cell r="C3167">
            <v>925</v>
          </cell>
          <cell r="D3167" t="str">
            <v>Lincolnshire</v>
          </cell>
          <cell r="E3167">
            <v>2064</v>
          </cell>
          <cell r="F3167" t="str">
            <v>Sue Harp</v>
          </cell>
          <cell r="G3167" t="str">
            <v>North Hykeham Ling Moor Primary School</v>
          </cell>
          <cell r="H3167" t="str">
            <v>East Midlands</v>
          </cell>
          <cell r="I3167" t="str">
            <v>Richmond Drive</v>
          </cell>
          <cell r="J3167" t="str">
            <v>North Hykeham</v>
          </cell>
          <cell r="L3167" t="str">
            <v>Lincoln</v>
          </cell>
          <cell r="M3167" t="str">
            <v>Lincolnshire</v>
          </cell>
          <cell r="N3167" t="str">
            <v>LN6 8QZ</v>
          </cell>
          <cell r="O3167" t="str">
            <v>jill.marston@ling-moor.lincs.sch.uk</v>
          </cell>
          <cell r="P3167">
            <v>41017</v>
          </cell>
        </row>
        <row r="3168">
          <cell r="A3168">
            <v>8902209</v>
          </cell>
          <cell r="B3168">
            <v>119247</v>
          </cell>
          <cell r="C3168">
            <v>890</v>
          </cell>
          <cell r="D3168" t="str">
            <v>Blackpool</v>
          </cell>
          <cell r="E3168">
            <v>2209</v>
          </cell>
          <cell r="F3168" t="str">
            <v>Stuart Mepham</v>
          </cell>
          <cell r="G3168" t="str">
            <v>Norbreck Primary School</v>
          </cell>
          <cell r="H3168" t="str">
            <v>North West</v>
          </cell>
          <cell r="I3168" t="str">
            <v>Norbreck Road</v>
          </cell>
          <cell r="L3168" t="str">
            <v>Thornton-Cleveleys</v>
          </cell>
          <cell r="M3168" t="str">
            <v>Lancashire</v>
          </cell>
          <cell r="N3168" t="str">
            <v>FY5 1PD</v>
          </cell>
          <cell r="O3168" t="str">
            <v>karen.mccarter@norbreck.blackpool.sch.uk</v>
          </cell>
          <cell r="P3168">
            <v>40969</v>
          </cell>
        </row>
        <row r="3169">
          <cell r="A3169">
            <v>8732257</v>
          </cell>
          <cell r="B3169">
            <v>110716</v>
          </cell>
          <cell r="C3169">
            <v>873</v>
          </cell>
          <cell r="D3169" t="str">
            <v>Cambridgeshire</v>
          </cell>
          <cell r="E3169">
            <v>2257</v>
          </cell>
          <cell r="F3169" t="str">
            <v>Yvonne Reddington</v>
          </cell>
          <cell r="G3169" t="str">
            <v>Middlefield Community Primary School</v>
          </cell>
          <cell r="H3169" t="str">
            <v>East of England</v>
          </cell>
          <cell r="I3169" t="str">
            <v>Andrew Road</v>
          </cell>
          <cell r="J3169" t="str">
            <v>Eynesbury</v>
          </cell>
          <cell r="L3169" t="str">
            <v>St Neots</v>
          </cell>
          <cell r="M3169" t="str">
            <v>Cambridgeshire</v>
          </cell>
          <cell r="N3169" t="str">
            <v>PE19 2QE</v>
          </cell>
          <cell r="O3169" t="str">
            <v>head@middlefield.cambs.sch.uk</v>
          </cell>
          <cell r="P3169">
            <v>40954</v>
          </cell>
        </row>
        <row r="3170">
          <cell r="A3170">
            <v>9162069</v>
          </cell>
          <cell r="B3170">
            <v>115524</v>
          </cell>
          <cell r="C3170">
            <v>916</v>
          </cell>
          <cell r="D3170" t="str">
            <v>Gloucestershire</v>
          </cell>
          <cell r="E3170">
            <v>2069</v>
          </cell>
          <cell r="F3170" t="str">
            <v>Rosie Line</v>
          </cell>
          <cell r="G3170" t="str">
            <v>Gotherington Primary School</v>
          </cell>
          <cell r="H3170" t="str">
            <v>South West</v>
          </cell>
          <cell r="I3170" t="str">
            <v>The Lawns</v>
          </cell>
          <cell r="J3170" t="str">
            <v>Gotherington</v>
          </cell>
          <cell r="L3170" t="str">
            <v>Cheltenham</v>
          </cell>
          <cell r="M3170" t="str">
            <v>Gloucestershire</v>
          </cell>
          <cell r="N3170" t="str">
            <v>GL52 9QT</v>
          </cell>
          <cell r="O3170" t="str">
            <v>head@gotherington.gloucs.sch.uk</v>
          </cell>
          <cell r="P3170">
            <v>40583</v>
          </cell>
        </row>
        <row r="3171">
          <cell r="A3171">
            <v>3732312</v>
          </cell>
          <cell r="B3171">
            <v>107060</v>
          </cell>
          <cell r="C3171">
            <v>373</v>
          </cell>
          <cell r="D3171" t="str">
            <v>Sheffield</v>
          </cell>
          <cell r="E3171">
            <v>2312</v>
          </cell>
          <cell r="F3171" t="str">
            <v>Nick Monton</v>
          </cell>
          <cell r="G3171" t="str">
            <v>Coit Primary School</v>
          </cell>
          <cell r="H3171" t="str">
            <v>Yorkshire and the Humber</v>
          </cell>
          <cell r="I3171" t="str">
            <v>Park Avenue</v>
          </cell>
          <cell r="J3171" t="str">
            <v>Chapeltown</v>
          </cell>
          <cell r="L3171" t="str">
            <v>Sheffield</v>
          </cell>
          <cell r="M3171" t="str">
            <v>South Yorkshire</v>
          </cell>
          <cell r="N3171" t="str">
            <v>S35 1WH</v>
          </cell>
          <cell r="O3171" t="str">
            <v>headteacher@coit.sheffield.sch.uk</v>
          </cell>
        </row>
        <row r="3172">
          <cell r="A3172">
            <v>9364623</v>
          </cell>
          <cell r="B3172">
            <v>125279</v>
          </cell>
          <cell r="C3172">
            <v>936</v>
          </cell>
          <cell r="D3172" t="str">
            <v>Surrey</v>
          </cell>
          <cell r="E3172">
            <v>4623</v>
          </cell>
          <cell r="F3172" t="str">
            <v>Susan Shakespeare</v>
          </cell>
          <cell r="G3172" t="str">
            <v>Royal Alexandra and Albert School boarding</v>
          </cell>
          <cell r="H3172" t="str">
            <v>South East</v>
          </cell>
          <cell r="I3172" t="str">
            <v>Gatton Park</v>
          </cell>
          <cell r="L3172" t="str">
            <v>Reigate</v>
          </cell>
          <cell r="M3172" t="str">
            <v>Surrey</v>
          </cell>
          <cell r="N3172" t="str">
            <v>RH2 0TD</v>
          </cell>
          <cell r="O3172" t="str">
            <v>Headmaster@gatton-park.org.uk</v>
          </cell>
          <cell r="P3172">
            <v>40704</v>
          </cell>
        </row>
        <row r="3173">
          <cell r="A3173">
            <v>8834394</v>
          </cell>
          <cell r="B3173">
            <v>132083</v>
          </cell>
          <cell r="C3173">
            <v>883</v>
          </cell>
          <cell r="D3173" t="str">
            <v>Thurrock</v>
          </cell>
          <cell r="E3173">
            <v>4394</v>
          </cell>
          <cell r="F3173" t="str">
            <v>Struan Mackenzie</v>
          </cell>
          <cell r="G3173" t="str">
            <v>Chafford Hundred Campus Business and Enterprise College</v>
          </cell>
          <cell r="H3173" t="str">
            <v>East of England</v>
          </cell>
          <cell r="I3173" t="str">
            <v>Chafford Hundred Campus</v>
          </cell>
          <cell r="J3173" t="str">
            <v>Mayflower Road</v>
          </cell>
          <cell r="K3173" t="str">
            <v>Chafford Hundred</v>
          </cell>
          <cell r="L3173" t="str">
            <v>Grays</v>
          </cell>
          <cell r="M3173" t="str">
            <v>Essex</v>
          </cell>
          <cell r="N3173" t="str">
            <v>RM16 6SA</v>
          </cell>
          <cell r="O3173" t="str">
            <v>ctomlinson@thecampus.org.uk</v>
          </cell>
          <cell r="P3173">
            <v>40640</v>
          </cell>
        </row>
        <row r="3174">
          <cell r="A3174">
            <v>2114242</v>
          </cell>
          <cell r="B3174">
            <v>100968</v>
          </cell>
          <cell r="C3174">
            <v>211</v>
          </cell>
          <cell r="D3174" t="str">
            <v>Tower Hamlets</v>
          </cell>
          <cell r="E3174">
            <v>4242</v>
          </cell>
          <cell r="F3174" t="str">
            <v>Sheila Longstaff</v>
          </cell>
          <cell r="G3174" t="str">
            <v>Mulberry School for Girls</v>
          </cell>
          <cell r="H3174" t="str">
            <v>London</v>
          </cell>
          <cell r="I3174" t="str">
            <v>Richard Street</v>
          </cell>
          <cell r="J3174" t="str">
            <v>Commercial Road</v>
          </cell>
          <cell r="L3174" t="str">
            <v>London</v>
          </cell>
          <cell r="N3174" t="str">
            <v>E1 2JP</v>
          </cell>
          <cell r="O3174" t="str">
            <v>head@mulberry.towerhamlets.sch.uk</v>
          </cell>
        </row>
        <row r="3175">
          <cell r="A3175">
            <v>9382136</v>
          </cell>
          <cell r="B3175">
            <v>125890</v>
          </cell>
          <cell r="C3175">
            <v>938</v>
          </cell>
          <cell r="D3175" t="str">
            <v>West Sussex</v>
          </cell>
          <cell r="E3175">
            <v>2136</v>
          </cell>
          <cell r="F3175" t="str">
            <v>Sarah Mitchell</v>
          </cell>
          <cell r="G3175" t="str">
            <v>Southwater Infant School</v>
          </cell>
          <cell r="H3175" t="str">
            <v>South East</v>
          </cell>
          <cell r="I3175" t="str">
            <v>Worthing Road</v>
          </cell>
          <cell r="J3175" t="str">
            <v>Southwater</v>
          </cell>
          <cell r="L3175" t="str">
            <v>Horsham</v>
          </cell>
          <cell r="M3175" t="str">
            <v>West Sussex</v>
          </cell>
          <cell r="N3175" t="str">
            <v>RH13 9JH</v>
          </cell>
          <cell r="O3175" t="str">
            <v>head@southwaterinfants.co.uk</v>
          </cell>
          <cell r="P3175">
            <v>40522</v>
          </cell>
        </row>
        <row r="3176">
          <cell r="A3176">
            <v>8664088</v>
          </cell>
          <cell r="B3176">
            <v>131196</v>
          </cell>
          <cell r="C3176">
            <v>866</v>
          </cell>
          <cell r="D3176" t="str">
            <v>Swindon</v>
          </cell>
          <cell r="E3176">
            <v>4088</v>
          </cell>
          <cell r="F3176" t="str">
            <v>Lilian Da Cunha</v>
          </cell>
          <cell r="G3176" t="str">
            <v>Isambard Community School</v>
          </cell>
          <cell r="H3176" t="str">
            <v>South West</v>
          </cell>
          <cell r="I3176" t="str">
            <v>The Learning Campus</v>
          </cell>
          <cell r="J3176" t="str">
            <v>Redhouse Way</v>
          </cell>
          <cell r="L3176" t="str">
            <v>Swindon</v>
          </cell>
          <cell r="M3176" t="str">
            <v>Wiltshire</v>
          </cell>
          <cell r="N3176" t="str">
            <v>SN25 2ND</v>
          </cell>
          <cell r="P3176">
            <v>40672</v>
          </cell>
        </row>
        <row r="3177">
          <cell r="A3177">
            <v>9083892</v>
          </cell>
          <cell r="B3177">
            <v>112036</v>
          </cell>
          <cell r="C3177">
            <v>908</v>
          </cell>
          <cell r="D3177" t="str">
            <v>Cornwall</v>
          </cell>
          <cell r="E3177">
            <v>3892</v>
          </cell>
          <cell r="F3177" t="str">
            <v>Kate Bosher</v>
          </cell>
          <cell r="G3177" t="str">
            <v>St Petroc's Church of England Voluntary Aided Primary School</v>
          </cell>
          <cell r="H3177" t="str">
            <v>South West</v>
          </cell>
          <cell r="I3177" t="str">
            <v>Athelstan Park</v>
          </cell>
          <cell r="L3177" t="str">
            <v>Bodmin</v>
          </cell>
          <cell r="M3177" t="str">
            <v>Cornwall</v>
          </cell>
          <cell r="N3177" t="str">
            <v>PL31 1DS</v>
          </cell>
          <cell r="O3177" t="str">
            <v>head@st-petrocs.cornwall.sch.uk</v>
          </cell>
          <cell r="P3177">
            <v>41124</v>
          </cell>
        </row>
        <row r="3178">
          <cell r="A3178">
            <v>8864528</v>
          </cell>
          <cell r="B3178">
            <v>118838</v>
          </cell>
          <cell r="C3178">
            <v>886</v>
          </cell>
          <cell r="D3178" t="str">
            <v>Kent</v>
          </cell>
          <cell r="E3178">
            <v>4528</v>
          </cell>
          <cell r="F3178" t="str">
            <v>Bukky Sawyerr</v>
          </cell>
          <cell r="G3178" t="str">
            <v>The Norton Knatchbull School</v>
          </cell>
          <cell r="H3178" t="str">
            <v>South East</v>
          </cell>
          <cell r="I3178" t="str">
            <v>Hythe Road</v>
          </cell>
          <cell r="L3178" t="str">
            <v>Ashford</v>
          </cell>
          <cell r="M3178" t="str">
            <v>Kent</v>
          </cell>
          <cell r="N3178" t="str">
            <v>TN24 0QJ</v>
          </cell>
          <cell r="O3178" t="str">
            <v>sstaab@nks.kent.sch.uk</v>
          </cell>
          <cell r="P3178">
            <v>40816</v>
          </cell>
        </row>
        <row r="3179">
          <cell r="A3179">
            <v>9354029</v>
          </cell>
          <cell r="B3179">
            <v>124806</v>
          </cell>
          <cell r="C3179">
            <v>935</v>
          </cell>
          <cell r="D3179" t="str">
            <v>Suffolk</v>
          </cell>
          <cell r="E3179">
            <v>4029</v>
          </cell>
          <cell r="F3179" t="str">
            <v>Claire Ivie</v>
          </cell>
          <cell r="G3179" t="str">
            <v>Horringer Court Middle School</v>
          </cell>
          <cell r="H3179" t="str">
            <v>East of England</v>
          </cell>
          <cell r="I3179" t="str">
            <v>Glastonbury Road</v>
          </cell>
          <cell r="L3179" t="str">
            <v>Bury St Edmunds</v>
          </cell>
          <cell r="M3179" t="str">
            <v>Suffolk</v>
          </cell>
          <cell r="N3179" t="str">
            <v>IP33 2EX</v>
          </cell>
          <cell r="O3179" t="str">
            <v>head@horringercourtmiddle.suffolk.sch.uk</v>
          </cell>
          <cell r="P3179">
            <v>40526</v>
          </cell>
        </row>
        <row r="3180">
          <cell r="A3180">
            <v>8404047</v>
          </cell>
          <cell r="B3180">
            <v>114288</v>
          </cell>
          <cell r="C3180">
            <v>840</v>
          </cell>
          <cell r="D3180" t="str">
            <v>Durham</v>
          </cell>
          <cell r="E3180">
            <v>4047</v>
          </cell>
          <cell r="F3180" t="str">
            <v>Jane Moore</v>
          </cell>
          <cell r="G3180" t="str">
            <v>Park View Community School</v>
          </cell>
          <cell r="H3180" t="str">
            <v>North East</v>
          </cell>
          <cell r="I3180" t="str">
            <v>Church Chare</v>
          </cell>
          <cell r="L3180" t="str">
            <v>Chester le Street</v>
          </cell>
          <cell r="M3180" t="str">
            <v>County Durham</v>
          </cell>
          <cell r="N3180" t="str">
            <v>DH3 3QA</v>
          </cell>
          <cell r="O3180" t="str">
            <v>i.veitch100@durhamlearning.net</v>
          </cell>
          <cell r="P3180">
            <v>40636</v>
          </cell>
        </row>
        <row r="3181">
          <cell r="A3181">
            <v>9092130</v>
          </cell>
          <cell r="B3181">
            <v>112139</v>
          </cell>
          <cell r="C3181">
            <v>909</v>
          </cell>
          <cell r="D3181" t="str">
            <v>Cumbria</v>
          </cell>
          <cell r="E3181">
            <v>2130</v>
          </cell>
          <cell r="F3181" t="str">
            <v>Steve Bibby</v>
          </cell>
          <cell r="G3181" t="str">
            <v>Seaton Infant School</v>
          </cell>
          <cell r="H3181" t="str">
            <v>North West</v>
          </cell>
          <cell r="I3181" t="str">
            <v>High Seaton</v>
          </cell>
          <cell r="L3181" t="str">
            <v>Workington</v>
          </cell>
          <cell r="M3181" t="str">
            <v>Cumbria</v>
          </cell>
          <cell r="N3181" t="str">
            <v>CA14 1NP</v>
          </cell>
          <cell r="O3181" t="str">
            <v>head@seatoninf.cumbria.sch.uk</v>
          </cell>
          <cell r="P3181">
            <v>40339</v>
          </cell>
        </row>
        <row r="3182">
          <cell r="A3182">
            <v>3303306</v>
          </cell>
          <cell r="B3182">
            <v>103415</v>
          </cell>
          <cell r="C3182">
            <v>330</v>
          </cell>
          <cell r="D3182" t="str">
            <v>Birmingham</v>
          </cell>
          <cell r="E3182">
            <v>3306</v>
          </cell>
          <cell r="F3182" t="str">
            <v>Carol Ions</v>
          </cell>
          <cell r="G3182" t="str">
            <v>St John's CofE Primary School</v>
          </cell>
          <cell r="H3182" t="str">
            <v>West Midlands</v>
          </cell>
          <cell r="I3182" t="str">
            <v>Stratford Road</v>
          </cell>
          <cell r="J3182" t="str">
            <v>Sparkhill</v>
          </cell>
          <cell r="L3182" t="str">
            <v>Birmingham</v>
          </cell>
          <cell r="M3182" t="str">
            <v>West Midlands</v>
          </cell>
          <cell r="N3182" t="str">
            <v>B11 4EA</v>
          </cell>
          <cell r="O3182" t="str">
            <v>d.forth@st-johns-pri.bham.sch.uk</v>
          </cell>
          <cell r="P3182">
            <v>40963</v>
          </cell>
        </row>
        <row r="3183">
          <cell r="A3183">
            <v>8522436</v>
          </cell>
          <cell r="B3183">
            <v>116114</v>
          </cell>
          <cell r="C3183">
            <v>852</v>
          </cell>
          <cell r="D3183" t="str">
            <v>Southampton</v>
          </cell>
          <cell r="E3183">
            <v>2436</v>
          </cell>
          <cell r="F3183" t="str">
            <v>Lindsay Morris</v>
          </cell>
          <cell r="G3183" t="str">
            <v>Tanner's Brook Infant School</v>
          </cell>
          <cell r="H3183" t="str">
            <v>South East</v>
          </cell>
          <cell r="I3183" t="str">
            <v>Elmes Drive</v>
          </cell>
          <cell r="J3183" t="str">
            <v>Millbrook</v>
          </cell>
          <cell r="L3183" t="str">
            <v>Southampton</v>
          </cell>
          <cell r="M3183" t="str">
            <v>Hampshire</v>
          </cell>
          <cell r="N3183" t="str">
            <v>SO15 4PF</v>
          </cell>
          <cell r="O3183" t="str">
            <v>head@tannersbrook-inf.southampton.sch.uk</v>
          </cell>
        </row>
        <row r="3184">
          <cell r="A3184">
            <v>2134673</v>
          </cell>
          <cell r="B3184">
            <v>101152</v>
          </cell>
          <cell r="C3184">
            <v>213</v>
          </cell>
          <cell r="D3184" t="str">
            <v>Westminster</v>
          </cell>
          <cell r="E3184">
            <v>4673</v>
          </cell>
          <cell r="F3184" t="str">
            <v>Sheila Longstaff</v>
          </cell>
          <cell r="G3184" t="str">
            <v>The St Marylebone CofE School</v>
          </cell>
          <cell r="H3184" t="str">
            <v>London</v>
          </cell>
          <cell r="I3184" t="str">
            <v>64 Marylebone High Street</v>
          </cell>
          <cell r="L3184" t="str">
            <v>London</v>
          </cell>
          <cell r="N3184" t="str">
            <v>W1U 5BA</v>
          </cell>
          <cell r="O3184" t="str">
            <v>emkphillips@yahoo.co.uk</v>
          </cell>
          <cell r="P3184">
            <v>40646</v>
          </cell>
        </row>
        <row r="3185">
          <cell r="A3185">
            <v>8267021</v>
          </cell>
          <cell r="B3185">
            <v>110584</v>
          </cell>
          <cell r="C3185">
            <v>826</v>
          </cell>
          <cell r="D3185" t="str">
            <v>Milton Keynes</v>
          </cell>
          <cell r="E3185">
            <v>7021</v>
          </cell>
          <cell r="F3185" t="str">
            <v>Sarah Nairne</v>
          </cell>
          <cell r="G3185" t="str">
            <v>The Walnuts School</v>
          </cell>
          <cell r="H3185" t="str">
            <v>South East</v>
          </cell>
          <cell r="I3185" t="str">
            <v>Admiral Drive</v>
          </cell>
          <cell r="J3185" t="str">
            <v>Hazeley</v>
          </cell>
          <cell r="L3185" t="str">
            <v>Milton Keynes</v>
          </cell>
          <cell r="M3185" t="str">
            <v>Buckinghamshire</v>
          </cell>
          <cell r="N3185" t="str">
            <v>MK8 0PU</v>
          </cell>
          <cell r="O3185" t="str">
            <v>nick.jackman@walnuts.milton-keynes.sch.uk</v>
          </cell>
        </row>
        <row r="3186">
          <cell r="A3186">
            <v>2125204</v>
          </cell>
          <cell r="B3186">
            <v>101011</v>
          </cell>
          <cell r="C3186">
            <v>212</v>
          </cell>
          <cell r="D3186" t="str">
            <v>Wandsworth</v>
          </cell>
          <cell r="E3186">
            <v>5204</v>
          </cell>
          <cell r="F3186" t="str">
            <v>Helena Antoniou</v>
          </cell>
          <cell r="G3186" t="str">
            <v>Honeywell Junior School</v>
          </cell>
          <cell r="H3186" t="str">
            <v>London</v>
          </cell>
          <cell r="I3186" t="str">
            <v>Honeywell Road</v>
          </cell>
          <cell r="J3186" t="str">
            <v>Battersea</v>
          </cell>
          <cell r="L3186" t="str">
            <v>London</v>
          </cell>
          <cell r="N3186" t="str">
            <v>SW11 6EF</v>
          </cell>
          <cell r="O3186" t="str">
            <v>dignantp@aol.com</v>
          </cell>
        </row>
        <row r="3187">
          <cell r="A3187">
            <v>9253096</v>
          </cell>
          <cell r="B3187">
            <v>120554</v>
          </cell>
          <cell r="C3187">
            <v>925</v>
          </cell>
          <cell r="D3187" t="str">
            <v>Lincolnshire</v>
          </cell>
          <cell r="E3187">
            <v>3096</v>
          </cell>
          <cell r="G3187" t="str">
            <v>Weston Hills CofE Primary School</v>
          </cell>
          <cell r="H3187" t="str">
            <v>East Midlands</v>
          </cell>
          <cell r="I3187" t="str">
            <v>Learning Lane</v>
          </cell>
          <cell r="J3187" t="str">
            <v>Weston Hills</v>
          </cell>
          <cell r="L3187" t="str">
            <v>Spalding</v>
          </cell>
          <cell r="M3187" t="str">
            <v>Lincolnshire</v>
          </cell>
          <cell r="N3187" t="str">
            <v>PE12 6DL</v>
          </cell>
          <cell r="O3187" t="str">
            <v>enquiries@westonhills.lincs.sch.uk</v>
          </cell>
        </row>
        <row r="3188">
          <cell r="A3188">
            <v>8662212</v>
          </cell>
          <cell r="B3188">
            <v>126282</v>
          </cell>
          <cell r="C3188">
            <v>866</v>
          </cell>
          <cell r="D3188" t="str">
            <v>Swindon</v>
          </cell>
          <cell r="E3188">
            <v>2212</v>
          </cell>
          <cell r="F3188" t="str">
            <v>Ali Bushell</v>
          </cell>
          <cell r="G3188" t="str">
            <v>Goddard Park Community Primary School</v>
          </cell>
          <cell r="H3188" t="str">
            <v>South West</v>
          </cell>
          <cell r="I3188" t="str">
            <v>Welcombe Avenue</v>
          </cell>
          <cell r="J3188" t="str">
            <v>Park North</v>
          </cell>
          <cell r="L3188" t="str">
            <v>Swindon</v>
          </cell>
          <cell r="M3188" t="str">
            <v>Wiltshire</v>
          </cell>
          <cell r="N3188" t="str">
            <v>SN3 2QN</v>
          </cell>
          <cell r="O3188" t="str">
            <v>mike999welsh@yahoo.co.uk</v>
          </cell>
          <cell r="P3188">
            <v>40351</v>
          </cell>
        </row>
        <row r="3189">
          <cell r="A3189">
            <v>3134029</v>
          </cell>
          <cell r="B3189">
            <v>102540</v>
          </cell>
          <cell r="C3189">
            <v>313</v>
          </cell>
          <cell r="D3189" t="str">
            <v>Hounslow</v>
          </cell>
          <cell r="E3189">
            <v>4029</v>
          </cell>
          <cell r="F3189" t="str">
            <v>Martin Rowley</v>
          </cell>
          <cell r="G3189" t="str">
            <v>Cranford Community College</v>
          </cell>
          <cell r="H3189" t="str">
            <v>London</v>
          </cell>
          <cell r="I3189" t="str">
            <v>High Street</v>
          </cell>
          <cell r="J3189" t="str">
            <v>Cranford</v>
          </cell>
          <cell r="L3189" t="str">
            <v>Hounslow</v>
          </cell>
          <cell r="N3189" t="str">
            <v>TW5 9PD</v>
          </cell>
          <cell r="O3189" t="str">
            <v>kpr@cranford.hounslow.sch.uk</v>
          </cell>
          <cell r="P3189">
            <v>40528</v>
          </cell>
        </row>
        <row r="3190">
          <cell r="A3190">
            <v>8554053</v>
          </cell>
          <cell r="B3190">
            <v>120271</v>
          </cell>
          <cell r="C3190">
            <v>855</v>
          </cell>
          <cell r="D3190" t="str">
            <v>Leicestershire</v>
          </cell>
          <cell r="E3190">
            <v>4053</v>
          </cell>
          <cell r="F3190" t="str">
            <v>Sue Harp</v>
          </cell>
          <cell r="G3190" t="str">
            <v>Redmoor High School</v>
          </cell>
          <cell r="H3190" t="str">
            <v>East Midlands</v>
          </cell>
          <cell r="I3190" t="str">
            <v>Wykin Road</v>
          </cell>
          <cell r="L3190" t="str">
            <v>Hinckley</v>
          </cell>
          <cell r="M3190" t="str">
            <v>Leicestershire</v>
          </cell>
          <cell r="N3190" t="str">
            <v>LE10 0EP</v>
          </cell>
          <cell r="O3190" t="str">
            <v>andy.coombs@redmoor.leics.sch.uk</v>
          </cell>
          <cell r="P3190">
            <v>40862</v>
          </cell>
        </row>
        <row r="3191">
          <cell r="A3191">
            <v>8014037</v>
          </cell>
          <cell r="B3191">
            <v>109283</v>
          </cell>
          <cell r="C3191">
            <v>801</v>
          </cell>
          <cell r="D3191" t="str">
            <v>Bristol City of</v>
          </cell>
          <cell r="E3191">
            <v>4037</v>
          </cell>
          <cell r="F3191" t="str">
            <v>Niko Thomas</v>
          </cell>
          <cell r="G3191" t="str">
            <v>Bedminster Down School</v>
          </cell>
          <cell r="H3191" t="str">
            <v>South West</v>
          </cell>
          <cell r="I3191" t="str">
            <v>Donald Road</v>
          </cell>
          <cell r="J3191" t="str">
            <v>Bedminster Down</v>
          </cell>
          <cell r="L3191" t="str">
            <v>Bristol</v>
          </cell>
          <cell r="N3191" t="str">
            <v>BS13 7DQ</v>
          </cell>
          <cell r="O3191" t="str">
            <v>gary.schlick@bedminsterdown.com</v>
          </cell>
          <cell r="P3191">
            <v>40585</v>
          </cell>
        </row>
        <row r="3192">
          <cell r="A3192">
            <v>3132075</v>
          </cell>
          <cell r="B3192">
            <v>102522</v>
          </cell>
          <cell r="C3192">
            <v>313</v>
          </cell>
          <cell r="D3192" t="str">
            <v>Hounslow</v>
          </cell>
          <cell r="E3192">
            <v>2075</v>
          </cell>
          <cell r="F3192" t="str">
            <v>Martin Rowley</v>
          </cell>
          <cell r="G3192" t="str">
            <v>Berkeley Primary School</v>
          </cell>
          <cell r="H3192" t="str">
            <v>London</v>
          </cell>
          <cell r="I3192" t="str">
            <v>Cranford Lane</v>
          </cell>
          <cell r="J3192" t="str">
            <v>Heston</v>
          </cell>
          <cell r="L3192" t="str">
            <v>Hounslow</v>
          </cell>
          <cell r="N3192" t="str">
            <v>TW5 9HQ</v>
          </cell>
          <cell r="O3192" t="str">
            <v>head@berkeley.hounslow.sch.uk</v>
          </cell>
          <cell r="P3192">
            <v>41247</v>
          </cell>
        </row>
        <row r="3193">
          <cell r="A3193">
            <v>3812048</v>
          </cell>
          <cell r="B3193">
            <v>107503</v>
          </cell>
          <cell r="C3193">
            <v>381</v>
          </cell>
          <cell r="D3193" t="str">
            <v>Calderdale</v>
          </cell>
          <cell r="E3193">
            <v>2048</v>
          </cell>
          <cell r="F3193" t="str">
            <v>Bev Annables</v>
          </cell>
          <cell r="G3193" t="str">
            <v>Bowling Green Primary School</v>
          </cell>
          <cell r="H3193" t="str">
            <v>Yorkshire and the Humber</v>
          </cell>
          <cell r="I3193" t="str">
            <v>Stainland</v>
          </cell>
          <cell r="L3193" t="str">
            <v>Halifax</v>
          </cell>
          <cell r="M3193" t="str">
            <v>West Yorkshire</v>
          </cell>
          <cell r="N3193" t="str">
            <v>HX4 9HU</v>
          </cell>
          <cell r="O3193" t="str">
            <v>head@bowlinggreen.calderdale.sch.uk</v>
          </cell>
        </row>
        <row r="3194">
          <cell r="A3194">
            <v>8812598</v>
          </cell>
          <cell r="B3194">
            <v>114908</v>
          </cell>
          <cell r="C3194">
            <v>881</v>
          </cell>
          <cell r="D3194" t="str">
            <v>Essex</v>
          </cell>
          <cell r="E3194">
            <v>2598</v>
          </cell>
          <cell r="F3194" t="str">
            <v>Beverley Samuel</v>
          </cell>
          <cell r="G3194" t="str">
            <v>Great Berry Primary School</v>
          </cell>
          <cell r="H3194" t="str">
            <v>East of England</v>
          </cell>
          <cell r="I3194" t="str">
            <v>Forest Glade</v>
          </cell>
          <cell r="J3194" t="str">
            <v>Langdon Hills</v>
          </cell>
          <cell r="L3194" t="str">
            <v>Basildon</v>
          </cell>
          <cell r="M3194" t="str">
            <v>Essex</v>
          </cell>
          <cell r="N3194" t="str">
            <v>SS16 6SG</v>
          </cell>
          <cell r="O3194" t="str">
            <v>admin@greatberry.essex.sch.uk</v>
          </cell>
          <cell r="P3194">
            <v>40627</v>
          </cell>
        </row>
        <row r="3195">
          <cell r="A3195">
            <v>8152047</v>
          </cell>
          <cell r="B3195">
            <v>121297</v>
          </cell>
          <cell r="C3195">
            <v>815</v>
          </cell>
          <cell r="D3195" t="str">
            <v>North Yorkshire</v>
          </cell>
          <cell r="E3195">
            <v>2047</v>
          </cell>
          <cell r="F3195" t="str">
            <v>Jane Moore</v>
          </cell>
          <cell r="G3195" t="str">
            <v>Great Smeaton Community Primary</v>
          </cell>
          <cell r="H3195" t="str">
            <v>Yorkshire and the Humber</v>
          </cell>
          <cell r="I3195" t="str">
            <v>Great Smeaton</v>
          </cell>
          <cell r="L3195" t="str">
            <v>Northallerton</v>
          </cell>
          <cell r="M3195" t="str">
            <v>North Yorkshire</v>
          </cell>
          <cell r="N3195" t="str">
            <v>DL6 2EQ</v>
          </cell>
          <cell r="O3195" t="str">
            <v>headteacher@greatsmeaton.n-yorks.sch.uk</v>
          </cell>
          <cell r="P3195">
            <v>40602</v>
          </cell>
        </row>
        <row r="3196">
          <cell r="A3196">
            <v>8853395</v>
          </cell>
          <cell r="B3196">
            <v>134922</v>
          </cell>
          <cell r="C3196">
            <v>885</v>
          </cell>
          <cell r="D3196" t="str">
            <v>Worcestershire</v>
          </cell>
          <cell r="E3196">
            <v>3395</v>
          </cell>
          <cell r="F3196" t="str">
            <v>Ruth Pallister</v>
          </cell>
          <cell r="G3196" t="str">
            <v>Perry Wood Primary and Nursery School</v>
          </cell>
          <cell r="H3196" t="str">
            <v>West Midlands</v>
          </cell>
          <cell r="I3196" t="str">
            <v>St Albans Close</v>
          </cell>
          <cell r="L3196" t="str">
            <v>Worcester</v>
          </cell>
          <cell r="M3196" t="str">
            <v>Worcestershire</v>
          </cell>
          <cell r="N3196" t="str">
            <v>WR5 1PP</v>
          </cell>
          <cell r="O3196" t="str">
            <v>abeddow@perrywood.worcs.sch.uk</v>
          </cell>
        </row>
        <row r="3197">
          <cell r="A3197">
            <v>3327002</v>
          </cell>
          <cell r="B3197">
            <v>103878</v>
          </cell>
          <cell r="C3197">
            <v>332</v>
          </cell>
          <cell r="D3197" t="str">
            <v>Dudley</v>
          </cell>
          <cell r="E3197">
            <v>7002</v>
          </cell>
          <cell r="F3197" t="str">
            <v>Christine West</v>
          </cell>
          <cell r="G3197" t="str">
            <v>The Brier School</v>
          </cell>
          <cell r="H3197" t="str">
            <v>West Midlands</v>
          </cell>
          <cell r="I3197" t="str">
            <v>Bromley Lane</v>
          </cell>
          <cell r="L3197" t="str">
            <v>Kingswinford</v>
          </cell>
          <cell r="M3197" t="str">
            <v>West Midlands</v>
          </cell>
          <cell r="N3197" t="str">
            <v>DY6 8QN</v>
          </cell>
          <cell r="O3197" t="str">
            <v>rhinton@brier.dudley.sch.uk</v>
          </cell>
        </row>
        <row r="3198">
          <cell r="A3198">
            <v>8317021</v>
          </cell>
          <cell r="B3198">
            <v>113042</v>
          </cell>
          <cell r="C3198">
            <v>831</v>
          </cell>
          <cell r="D3198" t="str">
            <v>Derby</v>
          </cell>
          <cell r="E3198">
            <v>7021</v>
          </cell>
          <cell r="F3198" t="str">
            <v>Grant Dyson</v>
          </cell>
          <cell r="G3198" t="str">
            <v>St Martin's School</v>
          </cell>
          <cell r="H3198" t="str">
            <v>East Midlands</v>
          </cell>
          <cell r="I3198" t="str">
            <v>Wisgreaves Road</v>
          </cell>
          <cell r="J3198" t="str">
            <v>Alvaston</v>
          </cell>
          <cell r="L3198" t="str">
            <v>Derby</v>
          </cell>
          <cell r="M3198" t="str">
            <v>Derbyshire</v>
          </cell>
          <cell r="N3198" t="str">
            <v>DE24 8RQ</v>
          </cell>
          <cell r="O3198" t="str">
            <v>G.Dodds@stmartins.derby.sch.uk</v>
          </cell>
        </row>
        <row r="3199">
          <cell r="A3199">
            <v>8815470</v>
          </cell>
          <cell r="B3199">
            <v>115206</v>
          </cell>
          <cell r="C3199">
            <v>881</v>
          </cell>
          <cell r="D3199" t="str">
            <v>Essex</v>
          </cell>
          <cell r="E3199">
            <v>5470</v>
          </cell>
          <cell r="F3199" t="str">
            <v>Claire Ivie</v>
          </cell>
          <cell r="G3199" t="str">
            <v>Manningtree High School</v>
          </cell>
          <cell r="H3199" t="str">
            <v>East of England</v>
          </cell>
          <cell r="I3199" t="str">
            <v>Colchester Road</v>
          </cell>
          <cell r="J3199" t="str">
            <v>Lawford</v>
          </cell>
          <cell r="L3199" t="str">
            <v>Manningtree</v>
          </cell>
          <cell r="M3199" t="str">
            <v>Essex</v>
          </cell>
          <cell r="N3199" t="str">
            <v>CO11 2BW</v>
          </cell>
          <cell r="O3199" t="str">
            <v>school@manningtree.essex.sch.uk</v>
          </cell>
          <cell r="P3199">
            <v>40864</v>
          </cell>
        </row>
        <row r="3200">
          <cell r="A3200">
            <v>8695402</v>
          </cell>
          <cell r="B3200">
            <v>110098</v>
          </cell>
          <cell r="C3200">
            <v>869</v>
          </cell>
          <cell r="D3200" t="str">
            <v>West Berkshire</v>
          </cell>
          <cell r="E3200">
            <v>5402</v>
          </cell>
          <cell r="F3200" t="str">
            <v>Amanda Barrett</v>
          </cell>
          <cell r="G3200" t="str">
            <v>St Bartholomew's</v>
          </cell>
          <cell r="H3200" t="str">
            <v>South East</v>
          </cell>
          <cell r="I3200" t="str">
            <v>Andover Road</v>
          </cell>
          <cell r="L3200" t="str">
            <v>Newbury</v>
          </cell>
          <cell r="M3200" t="str">
            <v>Berkshire</v>
          </cell>
          <cell r="N3200" t="str">
            <v>RG14 6JP</v>
          </cell>
          <cell r="O3200" t="str">
            <v>chaddrell@stbarts.co.uk</v>
          </cell>
          <cell r="P3200">
            <v>40711</v>
          </cell>
        </row>
        <row r="3201">
          <cell r="A3201">
            <v>8103404</v>
          </cell>
          <cell r="B3201">
            <v>118047</v>
          </cell>
          <cell r="C3201">
            <v>810</v>
          </cell>
          <cell r="D3201" t="str">
            <v>Kingston upon Hull City of</v>
          </cell>
          <cell r="E3201">
            <v>3404</v>
          </cell>
          <cell r="F3201" t="str">
            <v>Glyn Newton</v>
          </cell>
          <cell r="G3201" t="str">
            <v>Holy Name RC Primary School</v>
          </cell>
          <cell r="H3201" t="str">
            <v>Yorkshire and the Humber</v>
          </cell>
          <cell r="I3201" t="str">
            <v>Dane Park Road</v>
          </cell>
          <cell r="L3201" t="str">
            <v>Hull</v>
          </cell>
          <cell r="N3201" t="str">
            <v>HU6 9AA</v>
          </cell>
          <cell r="O3201" t="str">
            <v>head@holyname.hull.sch.uk</v>
          </cell>
        </row>
        <row r="3202">
          <cell r="A3202">
            <v>9254004</v>
          </cell>
          <cell r="B3202">
            <v>120632</v>
          </cell>
          <cell r="C3202">
            <v>925</v>
          </cell>
          <cell r="D3202" t="str">
            <v>Lincolnshire</v>
          </cell>
          <cell r="E3202">
            <v>4004</v>
          </cell>
          <cell r="F3202" t="str">
            <v>Helen Whetter</v>
          </cell>
          <cell r="G3202" t="str">
            <v>Kesteven and Grantham Girls' High School</v>
          </cell>
          <cell r="H3202" t="str">
            <v>East Midlands</v>
          </cell>
          <cell r="I3202" t="str">
            <v>Sandon Road</v>
          </cell>
          <cell r="L3202" t="str">
            <v>Grantham</v>
          </cell>
          <cell r="M3202" t="str">
            <v>Lincolnshire</v>
          </cell>
          <cell r="N3202" t="str">
            <v>NG31 9AU</v>
          </cell>
          <cell r="O3202" t="str">
            <v>staffgburks@kestevengrantham.lincs.sch.uk</v>
          </cell>
          <cell r="P3202">
            <v>41018</v>
          </cell>
        </row>
        <row r="3203">
          <cell r="A3203">
            <v>3575401</v>
          </cell>
          <cell r="B3203">
            <v>106274</v>
          </cell>
          <cell r="C3203">
            <v>357</v>
          </cell>
          <cell r="D3203" t="str">
            <v>Tameside</v>
          </cell>
          <cell r="E3203">
            <v>5401</v>
          </cell>
          <cell r="F3203" t="str">
            <v>Linda Tiley</v>
          </cell>
          <cell r="G3203" t="str">
            <v>West Hill School</v>
          </cell>
          <cell r="H3203" t="str">
            <v>North West</v>
          </cell>
          <cell r="I3203" t="str">
            <v>Thompson Cross</v>
          </cell>
          <cell r="J3203" t="str">
            <v>Stamford Street</v>
          </cell>
          <cell r="L3203" t="str">
            <v>Stalybridge</v>
          </cell>
          <cell r="M3203" t="str">
            <v>Cheshire</v>
          </cell>
          <cell r="N3203" t="str">
            <v>SK15 1LX</v>
          </cell>
          <cell r="O3203" t="str">
            <v>hewitt@westhill.tameside.sch.uk</v>
          </cell>
          <cell r="P3203">
            <v>40632</v>
          </cell>
        </row>
        <row r="3204">
          <cell r="A3204">
            <v>8924615</v>
          </cell>
          <cell r="B3204">
            <v>122894</v>
          </cell>
          <cell r="C3204">
            <v>892</v>
          </cell>
          <cell r="D3204" t="str">
            <v>Nottingham</v>
          </cell>
          <cell r="E3204">
            <v>4615</v>
          </cell>
          <cell r="F3204" t="str">
            <v>Helen Whetter</v>
          </cell>
          <cell r="G3204" t="str">
            <v>The Nottingham Bluecoat School and Technology College</v>
          </cell>
          <cell r="H3204" t="str">
            <v>East Midlands</v>
          </cell>
          <cell r="I3204" t="str">
            <v>Aspley Lane</v>
          </cell>
          <cell r="J3204" t="str">
            <v>Aspley</v>
          </cell>
          <cell r="L3204" t="str">
            <v>Nottingham</v>
          </cell>
          <cell r="M3204" t="str">
            <v>Nottinghamshire</v>
          </cell>
          <cell r="N3204" t="str">
            <v>NG8 5GY</v>
          </cell>
          <cell r="O3204" t="str">
            <v>shampton@bluecoat.nottingham.sch.uk</v>
          </cell>
          <cell r="P3204">
            <v>40690</v>
          </cell>
        </row>
        <row r="3205">
          <cell r="A3205">
            <v>9362479</v>
          </cell>
          <cell r="B3205">
            <v>125078</v>
          </cell>
          <cell r="C3205">
            <v>936</v>
          </cell>
          <cell r="D3205" t="str">
            <v>Surrey</v>
          </cell>
          <cell r="E3205">
            <v>2479</v>
          </cell>
          <cell r="F3205" t="str">
            <v>Gabriela Grimley</v>
          </cell>
          <cell r="G3205" t="str">
            <v>South Farnham Community Junior School</v>
          </cell>
          <cell r="H3205" t="str">
            <v>South East</v>
          </cell>
          <cell r="I3205" t="str">
            <v>Menin Way</v>
          </cell>
          <cell r="L3205" t="str">
            <v>Farnham</v>
          </cell>
          <cell r="M3205" t="str">
            <v>Surrey</v>
          </cell>
          <cell r="N3205" t="str">
            <v>GU9 8DY</v>
          </cell>
          <cell r="O3205" t="str">
            <v>head@south-farnham.surrey.sch.uk</v>
          </cell>
          <cell r="P3205">
            <v>40354</v>
          </cell>
        </row>
        <row r="3206">
          <cell r="A3206">
            <v>8404681</v>
          </cell>
          <cell r="B3206">
            <v>114325</v>
          </cell>
          <cell r="C3206">
            <v>840</v>
          </cell>
          <cell r="D3206" t="str">
            <v>Durham</v>
          </cell>
          <cell r="E3206">
            <v>4681</v>
          </cell>
          <cell r="F3206" t="str">
            <v>Carol Ions</v>
          </cell>
          <cell r="G3206" t="str">
            <v>St John's Catholic School &amp; Sixth Form Centre</v>
          </cell>
          <cell r="H3206" t="str">
            <v>North East</v>
          </cell>
          <cell r="I3206" t="str">
            <v>Woodhouse Lane</v>
          </cell>
          <cell r="L3206" t="str">
            <v>Bishop Auckland</v>
          </cell>
          <cell r="M3206" t="str">
            <v>County Durham</v>
          </cell>
          <cell r="N3206" t="str">
            <v>DL14 6JT</v>
          </cell>
          <cell r="O3206" t="str">
            <v>gmoran@stjohnsrc.org.uk</v>
          </cell>
          <cell r="P3206">
            <v>40792</v>
          </cell>
        </row>
        <row r="3207">
          <cell r="A3207">
            <v>3024003</v>
          </cell>
          <cell r="B3207">
            <v>101345</v>
          </cell>
          <cell r="C3207">
            <v>302</v>
          </cell>
          <cell r="D3207" t="str">
            <v>Barnet</v>
          </cell>
          <cell r="E3207">
            <v>4003</v>
          </cell>
          <cell r="F3207" t="str">
            <v>Anita Bihal</v>
          </cell>
          <cell r="G3207" t="str">
            <v>Friern Barnet School</v>
          </cell>
          <cell r="H3207" t="str">
            <v>London</v>
          </cell>
          <cell r="I3207" t="str">
            <v>Hemington Avenue</v>
          </cell>
          <cell r="J3207" t="str">
            <v>Friern Barnet</v>
          </cell>
          <cell r="L3207" t="str">
            <v>London</v>
          </cell>
          <cell r="N3207" t="str">
            <v>N11 3LS</v>
          </cell>
          <cell r="O3207" t="str">
            <v>j.turner@friern.barnet.sch.uk</v>
          </cell>
          <cell r="P3207">
            <v>40914</v>
          </cell>
        </row>
        <row r="3208">
          <cell r="A3208">
            <v>9283304</v>
          </cell>
          <cell r="B3208">
            <v>122017</v>
          </cell>
          <cell r="C3208">
            <v>928</v>
          </cell>
          <cell r="D3208" t="str">
            <v>Northamptonshire</v>
          </cell>
          <cell r="E3208">
            <v>3304</v>
          </cell>
          <cell r="F3208" t="str">
            <v>Not yet assigned</v>
          </cell>
          <cell r="G3208" t="str">
            <v>St Andrew's CofE VA Primary School</v>
          </cell>
          <cell r="H3208" t="str">
            <v>East Midlands</v>
          </cell>
          <cell r="I3208" t="str">
            <v>Ecton Brook Road</v>
          </cell>
          <cell r="J3208" t="str">
            <v>Ecton Brook</v>
          </cell>
          <cell r="L3208" t="str">
            <v>Northampton</v>
          </cell>
          <cell r="M3208" t="str">
            <v>Northamptonshire</v>
          </cell>
          <cell r="N3208" t="str">
            <v>NN3 5EN</v>
          </cell>
        </row>
        <row r="3209">
          <cell r="A3209">
            <v>8012112</v>
          </cell>
          <cell r="B3209">
            <v>108982</v>
          </cell>
          <cell r="C3209">
            <v>801</v>
          </cell>
          <cell r="D3209" t="str">
            <v>Bristol City of</v>
          </cell>
          <cell r="E3209">
            <v>2112</v>
          </cell>
          <cell r="F3209" t="str">
            <v>Ed Schuldt</v>
          </cell>
          <cell r="G3209" t="str">
            <v>Elmlea Junior School</v>
          </cell>
          <cell r="H3209" t="str">
            <v>South West</v>
          </cell>
          <cell r="I3209" t="str">
            <v>The Dell</v>
          </cell>
          <cell r="J3209" t="str">
            <v>Westbury-on-Trym</v>
          </cell>
          <cell r="L3209" t="str">
            <v>Bristol</v>
          </cell>
          <cell r="N3209" t="str">
            <v>BS9 3UF</v>
          </cell>
          <cell r="O3209" t="str">
            <v>headelmleaj@bristol.gov.uk</v>
          </cell>
          <cell r="P3209">
            <v>40528</v>
          </cell>
        </row>
        <row r="3210">
          <cell r="A3210">
            <v>3327005</v>
          </cell>
          <cell r="B3210">
            <v>103881</v>
          </cell>
          <cell r="C3210">
            <v>332</v>
          </cell>
          <cell r="D3210" t="str">
            <v>Dudley</v>
          </cell>
          <cell r="E3210">
            <v>7005</v>
          </cell>
          <cell r="F3210" t="str">
            <v>Tony Bretherick</v>
          </cell>
          <cell r="G3210" t="str">
            <v>Halesbury Special School</v>
          </cell>
          <cell r="H3210" t="str">
            <v>West Midlands</v>
          </cell>
          <cell r="I3210" t="str">
            <v>Feldon Lane</v>
          </cell>
          <cell r="L3210" t="str">
            <v>Halesowen</v>
          </cell>
          <cell r="M3210" t="str">
            <v>West Midlands</v>
          </cell>
          <cell r="N3210" t="str">
            <v>B62 9DR</v>
          </cell>
          <cell r="O3210" t="str">
            <v>mwinstone@halesbury.dudley.sch.uk</v>
          </cell>
        </row>
        <row r="3211">
          <cell r="A3211">
            <v>8862315</v>
          </cell>
          <cell r="B3211">
            <v>118395</v>
          </cell>
          <cell r="C3211">
            <v>886</v>
          </cell>
          <cell r="D3211" t="str">
            <v>Kent</v>
          </cell>
          <cell r="E3211">
            <v>2315</v>
          </cell>
          <cell r="F3211" t="str">
            <v>Darren Francis</v>
          </cell>
          <cell r="G3211" t="str">
            <v>White Cliffs Primary College for the Arts</v>
          </cell>
          <cell r="H3211" t="str">
            <v>South East</v>
          </cell>
          <cell r="I3211" t="str">
            <v>St Radigund's Road</v>
          </cell>
          <cell r="L3211" t="str">
            <v>Dover</v>
          </cell>
          <cell r="M3211" t="str">
            <v>Kent</v>
          </cell>
          <cell r="N3211" t="str">
            <v>CT17 0LB</v>
          </cell>
          <cell r="O3211" t="str">
            <v>chiefexecutive@astorcollege.org.uk</v>
          </cell>
          <cell r="P3211">
            <v>40815</v>
          </cell>
        </row>
        <row r="3212">
          <cell r="A3212">
            <v>3813331</v>
          </cell>
          <cell r="B3212">
            <v>131176</v>
          </cell>
          <cell r="C3212">
            <v>381</v>
          </cell>
          <cell r="D3212" t="str">
            <v>Calderdale</v>
          </cell>
          <cell r="E3212">
            <v>3331</v>
          </cell>
          <cell r="F3212" t="str">
            <v>Lisa Sargeant</v>
          </cell>
          <cell r="G3212" t="str">
            <v>Holy Trinity CofE VA Primary</v>
          </cell>
          <cell r="H3212" t="str">
            <v>Yorkshire and the Humber</v>
          </cell>
          <cell r="I3212" t="str">
            <v>Savile Hall</v>
          </cell>
          <cell r="J3212" t="str">
            <v>Savile Park Road</v>
          </cell>
          <cell r="L3212" t="str">
            <v>Halifax</v>
          </cell>
          <cell r="M3212" t="str">
            <v>West Yorkshire</v>
          </cell>
          <cell r="N3212" t="str">
            <v>HX1 2ES</v>
          </cell>
          <cell r="O3212" t="str">
            <v>head@holytrinitycofe.calderdale.sch.uk</v>
          </cell>
          <cell r="P3212">
            <v>40934</v>
          </cell>
        </row>
        <row r="3213">
          <cell r="A3213">
            <v>9084167</v>
          </cell>
          <cell r="B3213">
            <v>112061</v>
          </cell>
          <cell r="C3213">
            <v>908</v>
          </cell>
          <cell r="D3213" t="str">
            <v>Cornwall</v>
          </cell>
          <cell r="E3213">
            <v>4167</v>
          </cell>
          <cell r="F3213" t="str">
            <v>Kate Bosher</v>
          </cell>
          <cell r="G3213" t="str">
            <v>Liskeard School and Community College</v>
          </cell>
          <cell r="H3213" t="str">
            <v>South West</v>
          </cell>
          <cell r="I3213" t="str">
            <v>Luxstowe</v>
          </cell>
          <cell r="L3213" t="str">
            <v>Liskeard</v>
          </cell>
          <cell r="M3213" t="str">
            <v>Cornwall</v>
          </cell>
          <cell r="N3213" t="str">
            <v>PL14 3EA</v>
          </cell>
          <cell r="O3213" t="str">
            <v>dbryant@liskeard.cornwall.sch.uk</v>
          </cell>
        </row>
        <row r="3214">
          <cell r="A3214">
            <v>3034024</v>
          </cell>
          <cell r="B3214">
            <v>101470</v>
          </cell>
          <cell r="C3214">
            <v>303</v>
          </cell>
          <cell r="D3214" t="str">
            <v>Bexley</v>
          </cell>
          <cell r="E3214">
            <v>4024</v>
          </cell>
          <cell r="F3214" t="str">
            <v>Helen Barry</v>
          </cell>
          <cell r="G3214" t="str">
            <v>Bexleyheath School</v>
          </cell>
          <cell r="H3214" t="str">
            <v>London</v>
          </cell>
          <cell r="I3214" t="str">
            <v>Woolwich Road</v>
          </cell>
          <cell r="L3214" t="str">
            <v>Bexleyheath</v>
          </cell>
          <cell r="M3214" t="str">
            <v>Kent</v>
          </cell>
          <cell r="N3214" t="str">
            <v>DA6 7DA</v>
          </cell>
          <cell r="O3214" t="str">
            <v>rdore@bexleyheath.bexley.sch.uk</v>
          </cell>
        </row>
        <row r="3215">
          <cell r="A3215">
            <v>9255224</v>
          </cell>
          <cell r="B3215">
            <v>120691</v>
          </cell>
          <cell r="C3215">
            <v>925</v>
          </cell>
          <cell r="D3215" t="str">
            <v>Lincolnshire</v>
          </cell>
          <cell r="E3215">
            <v>5224</v>
          </cell>
          <cell r="F3215" t="str">
            <v>Linda Brooks</v>
          </cell>
          <cell r="G3215" t="str">
            <v>Westgate Junior School</v>
          </cell>
          <cell r="H3215" t="str">
            <v>East Midlands</v>
          </cell>
          <cell r="I3215" t="str">
            <v>Westgate</v>
          </cell>
          <cell r="L3215" t="str">
            <v>Lincoln</v>
          </cell>
          <cell r="M3215" t="str">
            <v>Lincolnshire</v>
          </cell>
          <cell r="N3215" t="str">
            <v>LN1 3BQ</v>
          </cell>
          <cell r="O3215" t="str">
            <v>tim.culpin@westgate.lincs.sch.uk</v>
          </cell>
          <cell r="P3215">
            <v>40674</v>
          </cell>
        </row>
        <row r="3216">
          <cell r="A3216">
            <v>3724011</v>
          </cell>
          <cell r="B3216">
            <v>106951</v>
          </cell>
          <cell r="C3216">
            <v>372</v>
          </cell>
          <cell r="D3216" t="str">
            <v>Rotherham</v>
          </cell>
          <cell r="E3216">
            <v>4011</v>
          </cell>
          <cell r="F3216" t="str">
            <v>Jayne Turner</v>
          </cell>
          <cell r="G3216" t="str">
            <v>Wingfield Business and Enterprise College</v>
          </cell>
          <cell r="H3216" t="str">
            <v>Yorkshire and the Humber</v>
          </cell>
          <cell r="I3216" t="str">
            <v>Wingfield Road</v>
          </cell>
          <cell r="L3216" t="str">
            <v>Rotherham</v>
          </cell>
          <cell r="M3216" t="str">
            <v>South Yorkshire</v>
          </cell>
          <cell r="N3216" t="str">
            <v>S61 4AU</v>
          </cell>
          <cell r="O3216" t="str">
            <v>rjh@wingfields.org</v>
          </cell>
          <cell r="P3216">
            <v>41094</v>
          </cell>
        </row>
        <row r="3217">
          <cell r="A3217">
            <v>8713367</v>
          </cell>
          <cell r="B3217">
            <v>135099</v>
          </cell>
          <cell r="C3217">
            <v>871</v>
          </cell>
          <cell r="D3217" t="str">
            <v>Slough</v>
          </cell>
          <cell r="E3217">
            <v>3367</v>
          </cell>
          <cell r="F3217" t="str">
            <v>Lindsay Morris</v>
          </cell>
          <cell r="G3217" t="str">
            <v>Iqra Slough Islamic Primary School</v>
          </cell>
          <cell r="H3217" t="str">
            <v>South East</v>
          </cell>
          <cell r="I3217" t="str">
            <v>Wexham Road</v>
          </cell>
          <cell r="L3217" t="str">
            <v>Slough</v>
          </cell>
          <cell r="M3217" t="str">
            <v>Berkshire</v>
          </cell>
          <cell r="N3217" t="str">
            <v>SL2 5JW</v>
          </cell>
          <cell r="O3217" t="str">
            <v>jjovanova@iqra.slough.sch.uk</v>
          </cell>
        </row>
        <row r="3218">
          <cell r="A3218">
            <v>9081103</v>
          </cell>
          <cell r="B3218">
            <v>134754</v>
          </cell>
          <cell r="C3218">
            <v>908</v>
          </cell>
          <cell r="D3218" t="str">
            <v>Cornwall</v>
          </cell>
          <cell r="E3218">
            <v>1103</v>
          </cell>
          <cell r="F3218" t="str">
            <v>Nigel Mills</v>
          </cell>
          <cell r="G3218" t="str">
            <v>North Cornwall Short Stay School</v>
          </cell>
          <cell r="H3218" t="str">
            <v>South West</v>
          </cell>
          <cell r="I3218" t="str">
            <v>Campus XXI</v>
          </cell>
          <cell r="J3218" t="str">
            <v>The Gaia Building</v>
          </cell>
          <cell r="L3218" t="str">
            <v>Delabole</v>
          </cell>
          <cell r="N3218" t="str">
            <v>PL33 9DA</v>
          </cell>
          <cell r="O3218" t="str">
            <v>rgasson@cornwall.gov.uk</v>
          </cell>
          <cell r="P3218">
            <v>41016</v>
          </cell>
        </row>
        <row r="3219">
          <cell r="A3219">
            <v>3522127</v>
          </cell>
          <cell r="B3219">
            <v>105420</v>
          </cell>
          <cell r="C3219">
            <v>352</v>
          </cell>
          <cell r="D3219" t="str">
            <v>Manchester</v>
          </cell>
          <cell r="E3219">
            <v>2127</v>
          </cell>
          <cell r="F3219" t="str">
            <v>Cathy Dudley</v>
          </cell>
          <cell r="G3219" t="str">
            <v>Haveley Hey Community School</v>
          </cell>
          <cell r="H3219" t="str">
            <v>North West</v>
          </cell>
          <cell r="I3219" t="str">
            <v>Nearbrook Road</v>
          </cell>
          <cell r="J3219" t="str">
            <v>Benchill</v>
          </cell>
          <cell r="L3219" t="str">
            <v>Manchester</v>
          </cell>
          <cell r="N3219" t="str">
            <v>M22 9NS</v>
          </cell>
        </row>
        <row r="3220">
          <cell r="A3220">
            <v>3585901</v>
          </cell>
          <cell r="B3220">
            <v>106378</v>
          </cell>
          <cell r="C3220">
            <v>358</v>
          </cell>
          <cell r="D3220" t="str">
            <v>Trafford</v>
          </cell>
          <cell r="E3220">
            <v>5901</v>
          </cell>
          <cell r="F3220" t="str">
            <v>Jane McCusker</v>
          </cell>
          <cell r="G3220" t="str">
            <v>Loreto Grammar School</v>
          </cell>
          <cell r="H3220" t="str">
            <v>North West</v>
          </cell>
          <cell r="I3220" t="str">
            <v>Dunham Road</v>
          </cell>
          <cell r="L3220" t="str">
            <v>Altrincham</v>
          </cell>
          <cell r="M3220" t="str">
            <v>Cheshire</v>
          </cell>
          <cell r="N3220" t="str">
            <v>WA14 4AH</v>
          </cell>
          <cell r="O3220" t="str">
            <v>jbeever@loretogrammar.co.uk</v>
          </cell>
          <cell r="P3220">
            <v>41023</v>
          </cell>
        </row>
        <row r="3221">
          <cell r="A3221">
            <v>8553348</v>
          </cell>
          <cell r="B3221">
            <v>120220</v>
          </cell>
          <cell r="C3221">
            <v>855</v>
          </cell>
          <cell r="D3221" t="str">
            <v>Leicestershire</v>
          </cell>
          <cell r="E3221">
            <v>3348</v>
          </cell>
          <cell r="F3221" t="str">
            <v>Grant Dyson</v>
          </cell>
          <cell r="G3221" t="str">
            <v>Saint Clare's Catholic Primary School, Coalville, Leicestershire</v>
          </cell>
          <cell r="H3221" t="str">
            <v>East Midlands</v>
          </cell>
          <cell r="I3221" t="str">
            <v>Convent Drive</v>
          </cell>
          <cell r="L3221" t="str">
            <v>Coalville</v>
          </cell>
          <cell r="M3221" t="str">
            <v>Leicestershire</v>
          </cell>
          <cell r="N3221" t="str">
            <v>LE67 3SF</v>
          </cell>
          <cell r="O3221" t="str">
            <v>office@st-clares.leics.sch.uk</v>
          </cell>
          <cell r="P3221">
            <v>40998</v>
          </cell>
        </row>
        <row r="3222">
          <cell r="A3222">
            <v>9377047</v>
          </cell>
          <cell r="B3222">
            <v>131521</v>
          </cell>
          <cell r="C3222">
            <v>937</v>
          </cell>
          <cell r="D3222" t="str">
            <v>Warwickshire</v>
          </cell>
          <cell r="E3222">
            <v>7047</v>
          </cell>
          <cell r="F3222" t="str">
            <v>Carla Spink</v>
          </cell>
          <cell r="G3222" t="str">
            <v>Woodlands</v>
          </cell>
          <cell r="H3222" t="str">
            <v>West Midlands</v>
          </cell>
          <cell r="I3222" t="str">
            <v>Packington Lane</v>
          </cell>
          <cell r="J3222" t="str">
            <v>Coleshill</v>
          </cell>
          <cell r="L3222" t="str">
            <v>Birmingham</v>
          </cell>
          <cell r="M3222" t="str">
            <v>West Midlands</v>
          </cell>
          <cell r="N3222" t="str">
            <v>B46 3JE</v>
          </cell>
          <cell r="O3222" t="str">
            <v>head7047@we-learn.com</v>
          </cell>
        </row>
        <row r="3223">
          <cell r="A3223">
            <v>3942153</v>
          </cell>
          <cell r="B3223">
            <v>108816</v>
          </cell>
          <cell r="C3223">
            <v>394</v>
          </cell>
          <cell r="D3223" t="str">
            <v>Sunderland</v>
          </cell>
          <cell r="E3223">
            <v>2153</v>
          </cell>
          <cell r="F3223" t="str">
            <v>Glyn Newton</v>
          </cell>
          <cell r="G3223" t="str">
            <v>Biddick Primary School</v>
          </cell>
          <cell r="H3223" t="str">
            <v>North East</v>
          </cell>
          <cell r="I3223" t="str">
            <v>Kirkham</v>
          </cell>
          <cell r="J3223" t="str">
            <v>Biddick Village</v>
          </cell>
          <cell r="L3223" t="str">
            <v>Washington</v>
          </cell>
          <cell r="M3223" t="str">
            <v>Tyne and Wear</v>
          </cell>
          <cell r="N3223" t="str">
            <v>NE38 7HQ</v>
          </cell>
          <cell r="O3223" t="str">
            <v>susan.stothard@hotmail.co.uk</v>
          </cell>
        </row>
        <row r="3224">
          <cell r="A3224">
            <v>9373007</v>
          </cell>
          <cell r="B3224">
            <v>125624</v>
          </cell>
          <cell r="C3224">
            <v>937</v>
          </cell>
          <cell r="D3224" t="str">
            <v>Warwickshire</v>
          </cell>
          <cell r="E3224">
            <v>3007</v>
          </cell>
          <cell r="F3224" t="str">
            <v>Liz Robinson</v>
          </cell>
          <cell r="G3224" t="str">
            <v>Austrey CofE Primary School</v>
          </cell>
          <cell r="H3224" t="str">
            <v>West Midlands</v>
          </cell>
          <cell r="I3224" t="str">
            <v>St Nicholas Close</v>
          </cell>
          <cell r="J3224" t="str">
            <v>Austrey</v>
          </cell>
          <cell r="L3224" t="str">
            <v>Atherstone</v>
          </cell>
          <cell r="M3224" t="str">
            <v>Warwickshire</v>
          </cell>
          <cell r="N3224" t="str">
            <v>CV9 3EQ</v>
          </cell>
          <cell r="O3224" t="str">
            <v>head3007@we-learn.com</v>
          </cell>
          <cell r="P3224">
            <v>41199</v>
          </cell>
        </row>
        <row r="3225">
          <cell r="A3225">
            <v>8104004</v>
          </cell>
          <cell r="B3225">
            <v>131918</v>
          </cell>
          <cell r="C3225">
            <v>810</v>
          </cell>
          <cell r="D3225" t="str">
            <v>Kingston upon Hull City of</v>
          </cell>
          <cell r="E3225">
            <v>4004</v>
          </cell>
          <cell r="F3225" t="str">
            <v>Jayne Turner</v>
          </cell>
          <cell r="G3225" t="str">
            <v>Kingswood College of Arts</v>
          </cell>
          <cell r="H3225" t="str">
            <v>Yorkshire and the Humber</v>
          </cell>
          <cell r="I3225" t="str">
            <v>Wawne Road</v>
          </cell>
          <cell r="J3225" t="str">
            <v>Bransholme</v>
          </cell>
          <cell r="L3225" t="str">
            <v>Hull</v>
          </cell>
          <cell r="N3225" t="str">
            <v>HU7 4WR</v>
          </cell>
        </row>
        <row r="3226">
          <cell r="A3226">
            <v>8863284</v>
          </cell>
          <cell r="B3226">
            <v>118706</v>
          </cell>
          <cell r="C3226">
            <v>886</v>
          </cell>
          <cell r="D3226" t="str">
            <v>Kent</v>
          </cell>
          <cell r="E3226">
            <v>3284</v>
          </cell>
          <cell r="F3226" t="str">
            <v>Tony Dunne</v>
          </cell>
          <cell r="G3226" t="str">
            <v>Lady Joanna Thornhill Endowed Primary School</v>
          </cell>
          <cell r="H3226" t="str">
            <v>South East</v>
          </cell>
          <cell r="I3226" t="str">
            <v>Bridge Street</v>
          </cell>
          <cell r="J3226" t="str">
            <v>Wye</v>
          </cell>
          <cell r="L3226" t="str">
            <v>Ashford</v>
          </cell>
          <cell r="M3226" t="str">
            <v>Kent</v>
          </cell>
          <cell r="N3226" t="str">
            <v>TN25 5EA</v>
          </cell>
          <cell r="O3226" t="str">
            <v>headteacher@ladyj.kent.sch.uk</v>
          </cell>
        </row>
        <row r="3227">
          <cell r="A3227">
            <v>3204076</v>
          </cell>
          <cell r="B3227">
            <v>133287</v>
          </cell>
          <cell r="C3227">
            <v>320</v>
          </cell>
          <cell r="D3227" t="str">
            <v>Waltham Forest</v>
          </cell>
          <cell r="E3227">
            <v>4076</v>
          </cell>
          <cell r="F3227" t="str">
            <v>Tahir Shams</v>
          </cell>
          <cell r="G3227" t="str">
            <v>Lammas School and Sports College</v>
          </cell>
          <cell r="H3227" t="str">
            <v>London</v>
          </cell>
          <cell r="I3227" t="str">
            <v>150 Seymour Road</v>
          </cell>
          <cell r="J3227" t="str">
            <v>Leyton</v>
          </cell>
          <cell r="L3227" t="str">
            <v>London</v>
          </cell>
          <cell r="N3227" t="str">
            <v>E10 7LX</v>
          </cell>
          <cell r="O3227" t="str">
            <v>sramsay@thelammas.com</v>
          </cell>
        </row>
        <row r="3228">
          <cell r="A3228">
            <v>8912315</v>
          </cell>
          <cell r="B3228">
            <v>122553</v>
          </cell>
          <cell r="C3228">
            <v>891</v>
          </cell>
          <cell r="D3228" t="str">
            <v>Nottinghamshire</v>
          </cell>
          <cell r="E3228">
            <v>2315</v>
          </cell>
          <cell r="F3228" t="str">
            <v>Helen Whetter</v>
          </cell>
          <cell r="G3228" t="str">
            <v>Chetwynd Road Primary School</v>
          </cell>
          <cell r="H3228" t="str">
            <v>East Midlands</v>
          </cell>
          <cell r="I3228" t="str">
            <v>Chetwynd Road</v>
          </cell>
          <cell r="J3228" t="str">
            <v>Toton</v>
          </cell>
          <cell r="K3228" t="str">
            <v>Beeston</v>
          </cell>
          <cell r="L3228" t="str">
            <v>Nottingham</v>
          </cell>
          <cell r="M3228" t="str">
            <v>Nottinghamshire</v>
          </cell>
          <cell r="N3228" t="str">
            <v>NG9 6FW</v>
          </cell>
          <cell r="O3228" t="str">
            <v>head@chetwyndroad.notts.sch.uk</v>
          </cell>
          <cell r="P3228">
            <v>40735</v>
          </cell>
        </row>
        <row r="3229">
          <cell r="A3229">
            <v>2085403</v>
          </cell>
          <cell r="B3229">
            <v>100640</v>
          </cell>
          <cell r="C3229">
            <v>208</v>
          </cell>
          <cell r="D3229" t="str">
            <v>Lambeth</v>
          </cell>
          <cell r="E3229">
            <v>5403</v>
          </cell>
          <cell r="F3229" t="str">
            <v>Helen Barry</v>
          </cell>
          <cell r="G3229" t="str">
            <v>Archbishop Tenison's School</v>
          </cell>
          <cell r="H3229" t="str">
            <v>London</v>
          </cell>
          <cell r="I3229" t="str">
            <v>55 Kennington Oval</v>
          </cell>
          <cell r="L3229" t="str">
            <v>London</v>
          </cell>
          <cell r="N3229" t="str">
            <v>SE11 5SR</v>
          </cell>
          <cell r="O3229" t="str">
            <v>sims.e1@ats.lambeth.sch.uk</v>
          </cell>
        </row>
        <row r="3230">
          <cell r="A3230">
            <v>9082504</v>
          </cell>
          <cell r="B3230">
            <v>111912</v>
          </cell>
          <cell r="C3230">
            <v>908</v>
          </cell>
          <cell r="D3230" t="str">
            <v>Cornwall</v>
          </cell>
          <cell r="E3230">
            <v>2504</v>
          </cell>
          <cell r="F3230" t="str">
            <v>Kate Bosher</v>
          </cell>
          <cell r="G3230" t="str">
            <v>Port Isaac Community Primary School</v>
          </cell>
          <cell r="H3230" t="str">
            <v>South West</v>
          </cell>
          <cell r="I3230" t="str">
            <v>Mayfield Road</v>
          </cell>
          <cell r="L3230" t="str">
            <v>Port Isaac</v>
          </cell>
          <cell r="M3230" t="str">
            <v>Cornwall</v>
          </cell>
          <cell r="N3230" t="str">
            <v>PL29 3RT</v>
          </cell>
          <cell r="O3230" t="str">
            <v>head@port-isaac.cornwall.sch.uk</v>
          </cell>
        </row>
        <row r="3231">
          <cell r="A3231">
            <v>9195423</v>
          </cell>
          <cell r="B3231">
            <v>117595</v>
          </cell>
          <cell r="C3231">
            <v>919</v>
          </cell>
          <cell r="D3231" t="str">
            <v>Hertfordshire</v>
          </cell>
          <cell r="E3231">
            <v>5423</v>
          </cell>
          <cell r="F3231" t="str">
            <v>Beverley Samuel</v>
          </cell>
          <cell r="G3231" t="str">
            <v>St Mary's CE High School</v>
          </cell>
          <cell r="H3231" t="str">
            <v>East of England</v>
          </cell>
          <cell r="I3231" t="str">
            <v>Lieutenant Ellis Way</v>
          </cell>
          <cell r="J3231" t="str">
            <v>Cheshunt</v>
          </cell>
          <cell r="L3231" t="str">
            <v>Waltham Cross</v>
          </cell>
          <cell r="M3231" t="str">
            <v>Hertfordshire</v>
          </cell>
          <cell r="N3231" t="str">
            <v>EN7 5FB</v>
          </cell>
          <cell r="O3231" t="str">
            <v>stephanie.benbow@st.maryshigh.herts.sch.uk</v>
          </cell>
          <cell r="P3231">
            <v>40896</v>
          </cell>
        </row>
        <row r="3232">
          <cell r="A3232">
            <v>9332314</v>
          </cell>
          <cell r="B3232">
            <v>123726</v>
          </cell>
          <cell r="C3232">
            <v>933</v>
          </cell>
          <cell r="D3232" t="str">
            <v>Somerset</v>
          </cell>
          <cell r="E3232">
            <v>2314</v>
          </cell>
          <cell r="F3232" t="str">
            <v>Theresa Oddelm</v>
          </cell>
          <cell r="G3232" t="str">
            <v>Reckleford Community School and Children's Centre</v>
          </cell>
          <cell r="H3232" t="str">
            <v>South West</v>
          </cell>
          <cell r="I3232" t="str">
            <v>Eastland Road</v>
          </cell>
          <cell r="L3232" t="str">
            <v>Yeovil</v>
          </cell>
          <cell r="M3232" t="str">
            <v>Somerset</v>
          </cell>
          <cell r="N3232" t="str">
            <v>BA21 4ET</v>
          </cell>
          <cell r="O3232" t="str">
            <v>hswainson@educ.somerset.gov.uk</v>
          </cell>
        </row>
        <row r="3233">
          <cell r="A3233">
            <v>3162004</v>
          </cell>
          <cell r="B3233">
            <v>102711</v>
          </cell>
          <cell r="C3233">
            <v>316</v>
          </cell>
          <cell r="D3233" t="str">
            <v>Newham</v>
          </cell>
          <cell r="E3233">
            <v>2004</v>
          </cell>
          <cell r="F3233" t="str">
            <v>Sheila Longstaff</v>
          </cell>
          <cell r="G3233" t="str">
            <v>Brampton Primary School</v>
          </cell>
          <cell r="H3233" t="str">
            <v>London</v>
          </cell>
          <cell r="I3233" t="str">
            <v>Brampton Road</v>
          </cell>
          <cell r="J3233" t="str">
            <v>East Ham</v>
          </cell>
          <cell r="L3233" t="str">
            <v>London</v>
          </cell>
          <cell r="N3233" t="str">
            <v>E6 3LA</v>
          </cell>
          <cell r="O3233" t="str">
            <v>niki.quadling@brampton.newham.sch.uk</v>
          </cell>
        </row>
        <row r="3234">
          <cell r="A3234">
            <v>8782474</v>
          </cell>
          <cell r="B3234">
            <v>113243</v>
          </cell>
          <cell r="C3234">
            <v>878</v>
          </cell>
          <cell r="D3234" t="str">
            <v>Devon</v>
          </cell>
          <cell r="E3234">
            <v>2474</v>
          </cell>
          <cell r="F3234" t="str">
            <v>John Soysa</v>
          </cell>
          <cell r="G3234" t="str">
            <v>Rydon Primary School</v>
          </cell>
          <cell r="H3234" t="str">
            <v>South West</v>
          </cell>
          <cell r="I3234" t="str">
            <v>Rydon Road</v>
          </cell>
          <cell r="J3234" t="str">
            <v>Kingsteignton</v>
          </cell>
          <cell r="L3234" t="str">
            <v>Newton Abbot</v>
          </cell>
          <cell r="M3234" t="str">
            <v>Devon</v>
          </cell>
          <cell r="N3234" t="str">
            <v>TQ12 3LP</v>
          </cell>
          <cell r="O3234" t="str">
            <v>maunder@rydon.devon.sch.uk</v>
          </cell>
          <cell r="P3234">
            <v>40673</v>
          </cell>
        </row>
        <row r="3235">
          <cell r="A3235">
            <v>8133326</v>
          </cell>
          <cell r="B3235">
            <v>118042</v>
          </cell>
          <cell r="C3235">
            <v>813</v>
          </cell>
          <cell r="D3235" t="str">
            <v>North Lincolnshire</v>
          </cell>
          <cell r="E3235">
            <v>3326</v>
          </cell>
          <cell r="F3235" t="str">
            <v>Nick Monton</v>
          </cell>
          <cell r="G3235" t="str">
            <v>Saint Augustine Webster Catholic Primary School</v>
          </cell>
          <cell r="H3235" t="str">
            <v>Yorkshire and the Humber</v>
          </cell>
          <cell r="I3235" t="str">
            <v>Baildon Road</v>
          </cell>
          <cell r="L3235" t="str">
            <v>Scunthorpe</v>
          </cell>
          <cell r="M3235" t="str">
            <v>Lincolnshire</v>
          </cell>
          <cell r="N3235" t="str">
            <v>DN15 8BU</v>
          </cell>
          <cell r="O3235" t="str">
            <v>head.saw@northlincs.gov.uk</v>
          </cell>
          <cell r="P3235">
            <v>40879</v>
          </cell>
        </row>
        <row r="3236">
          <cell r="A3236">
            <v>8012015</v>
          </cell>
          <cell r="B3236">
            <v>131498</v>
          </cell>
          <cell r="C3236">
            <v>801</v>
          </cell>
          <cell r="D3236" t="str">
            <v>Bristol City of</v>
          </cell>
          <cell r="E3236">
            <v>2015</v>
          </cell>
          <cell r="F3236" t="str">
            <v>Lilian Da Cunha</v>
          </cell>
          <cell r="G3236" t="str">
            <v>Hillfields Primary School</v>
          </cell>
          <cell r="H3236" t="str">
            <v>South West</v>
          </cell>
          <cell r="I3236" t="str">
            <v>The Greenway</v>
          </cell>
          <cell r="J3236" t="str">
            <v>Hillfields Park</v>
          </cell>
          <cell r="K3236" t="str">
            <v>Fishponds</v>
          </cell>
          <cell r="L3236" t="str">
            <v>Bristol</v>
          </cell>
          <cell r="N3236" t="str">
            <v>BS16 4HA</v>
          </cell>
          <cell r="O3236" t="str">
            <v>dcarter@cabot.ac.uk</v>
          </cell>
          <cell r="P3236">
            <v>40862</v>
          </cell>
        </row>
        <row r="3237">
          <cell r="A3237">
            <v>8864058</v>
          </cell>
          <cell r="B3237">
            <v>118792</v>
          </cell>
          <cell r="C3237">
            <v>886</v>
          </cell>
          <cell r="D3237" t="str">
            <v>Kent</v>
          </cell>
          <cell r="E3237">
            <v>4058</v>
          </cell>
          <cell r="F3237" t="str">
            <v>Sarah Mitchell</v>
          </cell>
          <cell r="G3237" t="str">
            <v>Invicta Grammar School</v>
          </cell>
          <cell r="H3237" t="str">
            <v>South East</v>
          </cell>
          <cell r="I3237" t="str">
            <v>Huntsman Lane</v>
          </cell>
          <cell r="L3237" t="str">
            <v>Maidstone</v>
          </cell>
          <cell r="M3237" t="str">
            <v>Kent</v>
          </cell>
          <cell r="N3237" t="str">
            <v>ME14 5DR</v>
          </cell>
          <cell r="O3237" t="str">
            <v>p.limbert@invicta.kent.sch.uk</v>
          </cell>
          <cell r="P3237">
            <v>40547</v>
          </cell>
        </row>
        <row r="3238">
          <cell r="A3238">
            <v>8505411</v>
          </cell>
          <cell r="B3238">
            <v>116503</v>
          </cell>
          <cell r="C3238">
            <v>850</v>
          </cell>
          <cell r="D3238" t="str">
            <v>Hampshire</v>
          </cell>
          <cell r="E3238">
            <v>5411</v>
          </cell>
          <cell r="F3238" t="str">
            <v>Sarah Hall</v>
          </cell>
          <cell r="G3238" t="str">
            <v>Oaklands Catholic School</v>
          </cell>
          <cell r="H3238" t="str">
            <v>South East</v>
          </cell>
          <cell r="I3238" t="str">
            <v>Stakes Hill Road</v>
          </cell>
          <cell r="L3238" t="str">
            <v>Waterlooville</v>
          </cell>
          <cell r="M3238" t="str">
            <v>Hampshire</v>
          </cell>
          <cell r="N3238" t="str">
            <v>PO7 7BW</v>
          </cell>
          <cell r="O3238" t="str">
            <v>matthew.quinn@oaklands.hants.sch.uk</v>
          </cell>
          <cell r="P3238">
            <v>40683</v>
          </cell>
        </row>
        <row r="3239">
          <cell r="A3239">
            <v>3712187</v>
          </cell>
          <cell r="B3239">
            <v>106749</v>
          </cell>
          <cell r="C3239">
            <v>371</v>
          </cell>
          <cell r="D3239" t="str">
            <v>Doncaster</v>
          </cell>
          <cell r="E3239">
            <v>2187</v>
          </cell>
          <cell r="F3239" t="str">
            <v>Claire Ryan</v>
          </cell>
          <cell r="G3239" t="str">
            <v>Conisbrough Station Road Primary School</v>
          </cell>
          <cell r="H3239" t="str">
            <v>Yorkshire and the Humber</v>
          </cell>
          <cell r="I3239" t="str">
            <v>Station Road</v>
          </cell>
          <cell r="J3239" t="str">
            <v>Conisbrough</v>
          </cell>
          <cell r="L3239" t="str">
            <v>Doncaster</v>
          </cell>
          <cell r="M3239" t="str">
            <v>South Yorkshire</v>
          </cell>
          <cell r="N3239" t="str">
            <v>DN12 3DB</v>
          </cell>
          <cell r="O3239" t="str">
            <v>head@stationroad.doncaster.sch.uk</v>
          </cell>
          <cell r="P3239">
            <v>40913</v>
          </cell>
        </row>
        <row r="3240">
          <cell r="A3240">
            <v>8764104</v>
          </cell>
          <cell r="B3240">
            <v>111401</v>
          </cell>
          <cell r="C3240">
            <v>876</v>
          </cell>
          <cell r="D3240" t="str">
            <v>Halton</v>
          </cell>
          <cell r="E3240">
            <v>4104</v>
          </cell>
          <cell r="F3240" t="str">
            <v>Maria Sabberton</v>
          </cell>
          <cell r="G3240" t="str">
            <v>Grange Comprehensive School</v>
          </cell>
          <cell r="H3240" t="str">
            <v>North West</v>
          </cell>
          <cell r="I3240" t="str">
            <v>Latham Avenue</v>
          </cell>
          <cell r="L3240" t="str">
            <v>Runcorn</v>
          </cell>
          <cell r="M3240" t="str">
            <v>Cheshire</v>
          </cell>
          <cell r="N3240" t="str">
            <v>WA7 5DX</v>
          </cell>
          <cell r="O3240" t="str">
            <v>david.stanley@thegrange.com</v>
          </cell>
        </row>
        <row r="3241">
          <cell r="A3241">
            <v>8684029</v>
          </cell>
          <cell r="B3241">
            <v>110046</v>
          </cell>
          <cell r="C3241">
            <v>868</v>
          </cell>
          <cell r="D3241" t="str">
            <v>Windsor and Maidenhead</v>
          </cell>
          <cell r="E3241">
            <v>4029</v>
          </cell>
          <cell r="F3241" t="str">
            <v>Darren Francis</v>
          </cell>
          <cell r="G3241" t="str">
            <v>Charters School</v>
          </cell>
          <cell r="H3241" t="str">
            <v>South East</v>
          </cell>
          <cell r="I3241" t="str">
            <v>Charters Road</v>
          </cell>
          <cell r="J3241" t="str">
            <v>Sunningdale</v>
          </cell>
          <cell r="L3241" t="str">
            <v>Ascot</v>
          </cell>
          <cell r="M3241" t="str">
            <v>Berkshire</v>
          </cell>
          <cell r="N3241" t="str">
            <v>SL5 9QY</v>
          </cell>
          <cell r="O3241" t="str">
            <v>parkm001@rbwm.org</v>
          </cell>
          <cell r="P3241">
            <v>40753</v>
          </cell>
        </row>
        <row r="3242">
          <cell r="A3242">
            <v>8164227</v>
          </cell>
          <cell r="B3242">
            <v>121704</v>
          </cell>
          <cell r="C3242">
            <v>816</v>
          </cell>
          <cell r="D3242" t="str">
            <v>York</v>
          </cell>
          <cell r="E3242">
            <v>4227</v>
          </cell>
          <cell r="G3242" t="str">
            <v>Burnholme Community College</v>
          </cell>
          <cell r="H3242" t="str">
            <v>Yorkshire and the Humber</v>
          </cell>
          <cell r="I3242" t="str">
            <v>Bad Bargain Lane</v>
          </cell>
          <cell r="L3242" t="str">
            <v>York</v>
          </cell>
          <cell r="M3242" t="str">
            <v>North Yorkshire</v>
          </cell>
          <cell r="N3242" t="str">
            <v>YO31 0GW</v>
          </cell>
          <cell r="O3242" t="str">
            <v>simon.gumn@burnholme.co.uk</v>
          </cell>
        </row>
        <row r="3243">
          <cell r="A3243">
            <v>8862246</v>
          </cell>
          <cell r="B3243">
            <v>118349</v>
          </cell>
          <cell r="C3243">
            <v>886</v>
          </cell>
          <cell r="D3243" t="str">
            <v>Kent</v>
          </cell>
          <cell r="E3243">
            <v>2246</v>
          </cell>
          <cell r="F3243" t="str">
            <v>Bukky Sawyerr</v>
          </cell>
          <cell r="G3243" t="str">
            <v>Sheldwich Primary School</v>
          </cell>
          <cell r="H3243" t="str">
            <v>South East</v>
          </cell>
          <cell r="I3243" t="str">
            <v>Lees Court Road</v>
          </cell>
          <cell r="J3243" t="str">
            <v>Sheldwich</v>
          </cell>
          <cell r="L3243" t="str">
            <v>Faversham</v>
          </cell>
          <cell r="M3243" t="str">
            <v>Kent</v>
          </cell>
          <cell r="N3243" t="str">
            <v>ME13 0LU</v>
          </cell>
          <cell r="O3243" t="str">
            <v>headteacher@sheldwich.kent.sch.uk</v>
          </cell>
          <cell r="P3243">
            <v>40669</v>
          </cell>
        </row>
        <row r="3244">
          <cell r="A3244">
            <v>9092237</v>
          </cell>
          <cell r="B3244">
            <v>112175</v>
          </cell>
          <cell r="C3244">
            <v>909</v>
          </cell>
          <cell r="D3244" t="str">
            <v>Cumbria</v>
          </cell>
          <cell r="E3244">
            <v>2237</v>
          </cell>
          <cell r="F3244" t="str">
            <v>Linda Tiley</v>
          </cell>
          <cell r="G3244" t="str">
            <v>Jericho Primary School</v>
          </cell>
          <cell r="H3244" t="str">
            <v>North West</v>
          </cell>
          <cell r="I3244" t="str">
            <v>Windsor Court</v>
          </cell>
          <cell r="L3244" t="str">
            <v>Whitehaven</v>
          </cell>
          <cell r="M3244" t="str">
            <v>Cumbria</v>
          </cell>
          <cell r="N3244" t="str">
            <v>CA28 6UX</v>
          </cell>
          <cell r="O3244" t="str">
            <v>head@jericho.cumbria.sch.uk</v>
          </cell>
        </row>
        <row r="3245">
          <cell r="A3245">
            <v>3352118</v>
          </cell>
          <cell r="B3245">
            <v>104190</v>
          </cell>
          <cell r="C3245">
            <v>335</v>
          </cell>
          <cell r="D3245" t="str">
            <v>Walsall</v>
          </cell>
          <cell r="E3245">
            <v>2118</v>
          </cell>
          <cell r="F3245" t="str">
            <v>Hannah Copp</v>
          </cell>
          <cell r="G3245" t="str">
            <v>Woodlands Primary School</v>
          </cell>
          <cell r="H3245" t="str">
            <v>West Midlands</v>
          </cell>
          <cell r="I3245" t="str">
            <v>Bloxwich Road North</v>
          </cell>
          <cell r="J3245" t="str">
            <v>Short Heath</v>
          </cell>
          <cell r="L3245" t="str">
            <v>Willenhall</v>
          </cell>
          <cell r="M3245" t="str">
            <v>West Midlands</v>
          </cell>
          <cell r="N3245" t="str">
            <v>WV12 5PR</v>
          </cell>
          <cell r="O3245" t="str">
            <v>jarnstein@woodlands.walsall.sch.uk</v>
          </cell>
          <cell r="P3245">
            <v>40959</v>
          </cell>
        </row>
        <row r="3246">
          <cell r="A3246">
            <v>8895406</v>
          </cell>
          <cell r="B3246">
            <v>119815</v>
          </cell>
          <cell r="C3246">
            <v>889</v>
          </cell>
          <cell r="D3246" t="str">
            <v>Blackburn with Darwen</v>
          </cell>
          <cell r="E3246">
            <v>5406</v>
          </cell>
          <cell r="F3246" t="str">
            <v>Viv Clutton</v>
          </cell>
          <cell r="G3246" t="str">
            <v>St Wilfrid's Cof E High School and Technology College</v>
          </cell>
          <cell r="H3246" t="str">
            <v>North West</v>
          </cell>
          <cell r="I3246" t="str">
            <v>Duckworth Street</v>
          </cell>
          <cell r="L3246" t="str">
            <v>Blackburn</v>
          </cell>
          <cell r="M3246" t="str">
            <v>Lancashire</v>
          </cell>
          <cell r="N3246" t="str">
            <v>BB2 2JR</v>
          </cell>
          <cell r="O3246" t="str">
            <v>daswhyte@stwilfs.net</v>
          </cell>
          <cell r="P3246">
            <v>40578</v>
          </cell>
        </row>
        <row r="3247">
          <cell r="A3247">
            <v>9314054</v>
          </cell>
          <cell r="B3247">
            <v>123239</v>
          </cell>
          <cell r="C3247">
            <v>931</v>
          </cell>
          <cell r="D3247" t="str">
            <v>Oxfordshire</v>
          </cell>
          <cell r="E3247">
            <v>4054</v>
          </cell>
          <cell r="F3247" t="str">
            <v>Sarah Nairne</v>
          </cell>
          <cell r="G3247" t="str">
            <v>Bartholomew School</v>
          </cell>
          <cell r="H3247" t="str">
            <v>South East</v>
          </cell>
          <cell r="I3247" t="str">
            <v>Witney Road</v>
          </cell>
          <cell r="J3247" t="str">
            <v>Eynsham</v>
          </cell>
          <cell r="L3247" t="str">
            <v>Witney</v>
          </cell>
          <cell r="M3247" t="str">
            <v>Oxfordshire</v>
          </cell>
          <cell r="N3247" t="str">
            <v>OX29 4AP</v>
          </cell>
          <cell r="O3247" t="str">
            <v>ash5930@bartholomew.oxon.sch.uk</v>
          </cell>
          <cell r="P3247">
            <v>40833</v>
          </cell>
        </row>
        <row r="3248">
          <cell r="A3248">
            <v>8962237</v>
          </cell>
          <cell r="B3248">
            <v>111085</v>
          </cell>
          <cell r="C3248">
            <v>896</v>
          </cell>
          <cell r="D3248" t="str">
            <v>Cheshire West and Chester</v>
          </cell>
          <cell r="E3248">
            <v>2237</v>
          </cell>
          <cell r="F3248" t="str">
            <v>Maria Sabberton</v>
          </cell>
          <cell r="G3248" t="str">
            <v>William Stockton Primary</v>
          </cell>
          <cell r="H3248" t="str">
            <v>North West</v>
          </cell>
          <cell r="I3248" t="str">
            <v>Heathfield Road</v>
          </cell>
          <cell r="L3248" t="str">
            <v>Ellesmere Port</v>
          </cell>
          <cell r="M3248" t="str">
            <v>Cheshire</v>
          </cell>
          <cell r="N3248" t="str">
            <v>CH65 8DH</v>
          </cell>
          <cell r="O3248" t="str">
            <v>head@williamstockton.cheshire.sch.uk</v>
          </cell>
        </row>
        <row r="3249">
          <cell r="A3249">
            <v>8852901</v>
          </cell>
          <cell r="B3249">
            <v>116773</v>
          </cell>
          <cell r="C3249">
            <v>885</v>
          </cell>
          <cell r="D3249" t="str">
            <v>Worcestershire</v>
          </cell>
          <cell r="E3249">
            <v>2901</v>
          </cell>
          <cell r="F3249" t="str">
            <v>Nicole Felicien</v>
          </cell>
          <cell r="G3249" t="str">
            <v>Lickey Hills Primary School</v>
          </cell>
          <cell r="H3249" t="str">
            <v>West Midlands</v>
          </cell>
          <cell r="I3249" t="str">
            <v>Old Birmingham Road</v>
          </cell>
          <cell r="J3249" t="str">
            <v>Rednal</v>
          </cell>
          <cell r="L3249" t="str">
            <v>Birmingham</v>
          </cell>
          <cell r="M3249" t="str">
            <v>West Midlands</v>
          </cell>
          <cell r="N3249" t="str">
            <v>B45 8EU</v>
          </cell>
          <cell r="O3249" t="str">
            <v>head@lickeyhills.worcs.sch.uk</v>
          </cell>
          <cell r="P3249">
            <v>41220</v>
          </cell>
        </row>
        <row r="3250">
          <cell r="A3250">
            <v>3562047</v>
          </cell>
          <cell r="B3250">
            <v>106053</v>
          </cell>
          <cell r="C3250">
            <v>356</v>
          </cell>
          <cell r="D3250" t="str">
            <v>Stockport</v>
          </cell>
          <cell r="E3250">
            <v>2047</v>
          </cell>
          <cell r="F3250" t="str">
            <v>Jane McCusker</v>
          </cell>
          <cell r="G3250" t="str">
            <v>Hursthead Junior School</v>
          </cell>
          <cell r="H3250" t="str">
            <v>North West</v>
          </cell>
          <cell r="I3250" t="str">
            <v>Kirkstead Road</v>
          </cell>
          <cell r="J3250" t="str">
            <v>Cheadle Hulme</v>
          </cell>
          <cell r="L3250" t="str">
            <v>Cheadle</v>
          </cell>
          <cell r="M3250" t="str">
            <v>Cheshire</v>
          </cell>
          <cell r="N3250" t="str">
            <v>SK8 7PZ</v>
          </cell>
        </row>
        <row r="3251">
          <cell r="A3251">
            <v>9312609</v>
          </cell>
          <cell r="B3251">
            <v>131904</v>
          </cell>
          <cell r="C3251">
            <v>931</v>
          </cell>
          <cell r="D3251" t="str">
            <v>Oxfordshire</v>
          </cell>
          <cell r="E3251">
            <v>2609</v>
          </cell>
          <cell r="F3251" t="str">
            <v>Bukky Sawyerr</v>
          </cell>
          <cell r="G3251" t="str">
            <v>Ladygrove Park Primary School</v>
          </cell>
          <cell r="H3251" t="str">
            <v>South East</v>
          </cell>
          <cell r="I3251" t="str">
            <v>Avon Way</v>
          </cell>
          <cell r="L3251" t="str">
            <v>Didcot</v>
          </cell>
          <cell r="M3251" t="str">
            <v>Oxfordshire</v>
          </cell>
          <cell r="N3251" t="str">
            <v>OX11 7GB</v>
          </cell>
          <cell r="O3251" t="str">
            <v>Headteacher.2609@ladygrove-park.oxon.sch.uk</v>
          </cell>
          <cell r="P3251">
            <v>41241</v>
          </cell>
        </row>
        <row r="3252">
          <cell r="A3252">
            <v>8512720</v>
          </cell>
          <cell r="B3252">
            <v>116227</v>
          </cell>
          <cell r="C3252">
            <v>851</v>
          </cell>
          <cell r="D3252" t="str">
            <v>Portsmouth</v>
          </cell>
          <cell r="E3252">
            <v>2720</v>
          </cell>
          <cell r="F3252" t="str">
            <v>Eric Mcewen</v>
          </cell>
          <cell r="G3252" t="str">
            <v>Newbridge Junior School</v>
          </cell>
          <cell r="H3252" t="str">
            <v>South East</v>
          </cell>
          <cell r="I3252" t="str">
            <v>New Road</v>
          </cell>
          <cell r="L3252" t="str">
            <v>Portsmouth</v>
          </cell>
          <cell r="M3252" t="str">
            <v>Hampshire</v>
          </cell>
          <cell r="N3252" t="str">
            <v>PO2 7RW</v>
          </cell>
          <cell r="O3252" t="str">
            <v>Cstevens@newbridge.portsmouth.sch.uk</v>
          </cell>
          <cell r="P3252">
            <v>41236</v>
          </cell>
        </row>
        <row r="3253">
          <cell r="A3253">
            <v>8824034</v>
          </cell>
          <cell r="B3253">
            <v>115210</v>
          </cell>
          <cell r="C3253">
            <v>882</v>
          </cell>
          <cell r="D3253" t="str">
            <v>Southend-on-Sea</v>
          </cell>
          <cell r="E3253">
            <v>4034</v>
          </cell>
          <cell r="F3253" t="str">
            <v>Eric Mcewen</v>
          </cell>
          <cell r="G3253" t="str">
            <v>Shoeburyness High School</v>
          </cell>
          <cell r="H3253" t="str">
            <v>East of England</v>
          </cell>
          <cell r="I3253" t="str">
            <v>Caulfield Road</v>
          </cell>
          <cell r="J3253" t="str">
            <v>Shoeburyness</v>
          </cell>
          <cell r="L3253" t="str">
            <v>Southend-on-Sea</v>
          </cell>
          <cell r="M3253" t="str">
            <v>Essex</v>
          </cell>
          <cell r="N3253" t="str">
            <v>SS3 9LL</v>
          </cell>
          <cell r="O3253" t="str">
            <v>markschofield@shoeburyness.southend.sch.uk</v>
          </cell>
          <cell r="P3253">
            <v>40702</v>
          </cell>
        </row>
        <row r="3254">
          <cell r="A3254">
            <v>3052012</v>
          </cell>
          <cell r="B3254">
            <v>101595</v>
          </cell>
          <cell r="C3254">
            <v>305</v>
          </cell>
          <cell r="D3254" t="str">
            <v>Bromley</v>
          </cell>
          <cell r="E3254">
            <v>2012</v>
          </cell>
          <cell r="F3254" t="str">
            <v>Sheila Longstaff</v>
          </cell>
          <cell r="G3254" t="str">
            <v>Wickham Common Primary School</v>
          </cell>
          <cell r="H3254" t="str">
            <v>London</v>
          </cell>
          <cell r="I3254" t="str">
            <v>Gates Green Road</v>
          </cell>
          <cell r="J3254" t="str">
            <v>Coney Hall</v>
          </cell>
          <cell r="L3254" t="str">
            <v>West Wickham</v>
          </cell>
          <cell r="M3254" t="str">
            <v>Kent</v>
          </cell>
          <cell r="N3254" t="str">
            <v>BR4 9DG</v>
          </cell>
          <cell r="O3254" t="str">
            <v>office@wickhamcommon.bromley.sch.uk</v>
          </cell>
        </row>
        <row r="3255">
          <cell r="A3255">
            <v>8122930</v>
          </cell>
          <cell r="B3255">
            <v>117957</v>
          </cell>
          <cell r="C3255">
            <v>812</v>
          </cell>
          <cell r="D3255" t="str">
            <v>North East Lincolnshire</v>
          </cell>
          <cell r="E3255">
            <v>2930</v>
          </cell>
          <cell r="F3255" t="str">
            <v>Bev Annables</v>
          </cell>
          <cell r="G3255" t="str">
            <v>Scartho Junior School</v>
          </cell>
          <cell r="H3255" t="str">
            <v>Yorkshire and the Humber</v>
          </cell>
          <cell r="I3255" t="str">
            <v>Edge Avenue</v>
          </cell>
          <cell r="L3255" t="str">
            <v>Grimsby</v>
          </cell>
          <cell r="M3255" t="str">
            <v>Lincolnshire</v>
          </cell>
          <cell r="N3255" t="str">
            <v>DN33 2DH</v>
          </cell>
          <cell r="O3255" t="str">
            <v>head@sj.tlfe.org</v>
          </cell>
          <cell r="P3255">
            <v>40681</v>
          </cell>
        </row>
        <row r="3256">
          <cell r="A3256">
            <v>3704029</v>
          </cell>
          <cell r="B3256">
            <v>106654</v>
          </cell>
          <cell r="C3256">
            <v>370</v>
          </cell>
          <cell r="D3256" t="str">
            <v>Barnsley</v>
          </cell>
          <cell r="E3256">
            <v>4029</v>
          </cell>
          <cell r="F3256" t="str">
            <v>Glyn Newton</v>
          </cell>
          <cell r="G3256" t="str">
            <v>Kirk Balk School</v>
          </cell>
          <cell r="H3256" t="str">
            <v>Yorkshire and the Humber</v>
          </cell>
          <cell r="I3256" t="str">
            <v>Kirk Balk</v>
          </cell>
          <cell r="J3256" t="str">
            <v>Hoyland</v>
          </cell>
          <cell r="L3256" t="str">
            <v>Barnsley</v>
          </cell>
          <cell r="M3256" t="str">
            <v>South Yorkshire</v>
          </cell>
          <cell r="N3256" t="str">
            <v>S74 9HX</v>
          </cell>
          <cell r="O3256" t="str">
            <v>vmalcolm@barnsley.org</v>
          </cell>
          <cell r="P3256">
            <v>40868</v>
          </cell>
        </row>
        <row r="3257">
          <cell r="A3257">
            <v>9254072</v>
          </cell>
          <cell r="B3257">
            <v>120660</v>
          </cell>
          <cell r="C3257">
            <v>925</v>
          </cell>
          <cell r="D3257" t="str">
            <v>Lincolnshire</v>
          </cell>
          <cell r="E3257">
            <v>4072</v>
          </cell>
          <cell r="F3257" t="str">
            <v>Grant Dyson</v>
          </cell>
          <cell r="G3257" t="str">
            <v>Haven High Technology College</v>
          </cell>
          <cell r="H3257" t="str">
            <v>East Midlands</v>
          </cell>
          <cell r="I3257" t="str">
            <v>Marian Road</v>
          </cell>
          <cell r="L3257" t="str">
            <v>Boston</v>
          </cell>
          <cell r="M3257" t="str">
            <v>Lincolnshire</v>
          </cell>
          <cell r="N3257" t="str">
            <v>PE21 9HB</v>
          </cell>
          <cell r="O3257" t="str">
            <v>adrian.reed@hhtc.org.uk</v>
          </cell>
          <cell r="P3257">
            <v>40890</v>
          </cell>
        </row>
        <row r="3258">
          <cell r="A3258">
            <v>8305401</v>
          </cell>
          <cell r="B3258">
            <v>112986</v>
          </cell>
          <cell r="C3258">
            <v>830</v>
          </cell>
          <cell r="D3258" t="str">
            <v>Derbyshire</v>
          </cell>
          <cell r="E3258">
            <v>5401</v>
          </cell>
          <cell r="F3258" t="str">
            <v>Tahir Shams</v>
          </cell>
          <cell r="G3258" t="str">
            <v>The Ecclesbourne School</v>
          </cell>
          <cell r="H3258" t="str">
            <v>East Midlands</v>
          </cell>
          <cell r="I3258" t="str">
            <v>Wirksworth Road</v>
          </cell>
          <cell r="J3258" t="str">
            <v>Duffield</v>
          </cell>
          <cell r="L3258" t="str">
            <v>Belper</v>
          </cell>
          <cell r="M3258" t="str">
            <v>Derbyshire</v>
          </cell>
          <cell r="N3258" t="str">
            <v>DE56 4GS</v>
          </cell>
          <cell r="O3258" t="str">
            <v>headteacher@ecclesbourne.derbyshire.sch.uk</v>
          </cell>
          <cell r="P3258">
            <v>40486</v>
          </cell>
        </row>
        <row r="3259">
          <cell r="A3259">
            <v>8353053</v>
          </cell>
          <cell r="B3259">
            <v>113779</v>
          </cell>
          <cell r="C3259">
            <v>835</v>
          </cell>
          <cell r="D3259" t="str">
            <v>Dorset</v>
          </cell>
          <cell r="E3259">
            <v>3053</v>
          </cell>
          <cell r="F3259" t="str">
            <v>Tahamina Khan</v>
          </cell>
          <cell r="G3259" t="str">
            <v>Verwood CE First school</v>
          </cell>
          <cell r="H3259" t="str">
            <v>South West</v>
          </cell>
          <cell r="I3259" t="str">
            <v>Howe Lane</v>
          </cell>
          <cell r="L3259" t="str">
            <v>Verwood</v>
          </cell>
          <cell r="M3259" t="str">
            <v>Dorset</v>
          </cell>
          <cell r="N3259" t="str">
            <v>BH31 6JF</v>
          </cell>
          <cell r="O3259" t="str">
            <v>aparsons@verwoodfirst.dorset.sch.uk</v>
          </cell>
        </row>
        <row r="3260">
          <cell r="A3260">
            <v>2103593</v>
          </cell>
          <cell r="B3260">
            <v>100840</v>
          </cell>
          <cell r="C3260">
            <v>210</v>
          </cell>
          <cell r="D3260" t="str">
            <v>Southwark</v>
          </cell>
          <cell r="E3260">
            <v>3593</v>
          </cell>
          <cell r="F3260" t="str">
            <v>Helen Barry</v>
          </cell>
          <cell r="G3260" t="str">
            <v>The Cathedral School of St Saviour and St Mary Overy</v>
          </cell>
          <cell r="H3260" t="str">
            <v>London</v>
          </cell>
          <cell r="I3260" t="str">
            <v>Redcross Way</v>
          </cell>
          <cell r="J3260" t="str">
            <v>Southwark</v>
          </cell>
          <cell r="L3260" t="str">
            <v>London</v>
          </cell>
          <cell r="N3260" t="str">
            <v>SE1 1HG</v>
          </cell>
          <cell r="O3260" t="str">
            <v>sylvia.morris@btconnect.com</v>
          </cell>
        </row>
        <row r="3261">
          <cell r="A3261">
            <v>8865424</v>
          </cell>
          <cell r="B3261">
            <v>118896</v>
          </cell>
          <cell r="C3261">
            <v>886</v>
          </cell>
          <cell r="D3261" t="str">
            <v>Kent</v>
          </cell>
          <cell r="E3261">
            <v>5424</v>
          </cell>
          <cell r="F3261" t="str">
            <v>Sarah Mitchell</v>
          </cell>
          <cell r="G3261" t="str">
            <v>Meopham School</v>
          </cell>
          <cell r="H3261" t="str">
            <v>South East</v>
          </cell>
          <cell r="I3261" t="str">
            <v>Wrotham Road</v>
          </cell>
          <cell r="J3261" t="str">
            <v>Meopham</v>
          </cell>
          <cell r="L3261" t="str">
            <v>Gravesend</v>
          </cell>
          <cell r="M3261" t="str">
            <v>Kent</v>
          </cell>
          <cell r="N3261" t="str">
            <v>DA13 0AH</v>
          </cell>
          <cell r="O3261" t="str">
            <v xml:space="preserve"> ht@meopham.kent.sch.uk</v>
          </cell>
          <cell r="P3261">
            <v>40625</v>
          </cell>
        </row>
        <row r="3262">
          <cell r="A3262">
            <v>8865466</v>
          </cell>
          <cell r="B3262">
            <v>118830</v>
          </cell>
          <cell r="C3262">
            <v>886</v>
          </cell>
          <cell r="D3262" t="str">
            <v>Kent</v>
          </cell>
          <cell r="E3262">
            <v>5466</v>
          </cell>
          <cell r="F3262" t="str">
            <v>Sarah Nairne</v>
          </cell>
          <cell r="G3262" t="str">
            <v>Brockhill Park Performing Arts College</v>
          </cell>
          <cell r="H3262" t="str">
            <v>South East</v>
          </cell>
          <cell r="I3262" t="str">
            <v>Sandling Road</v>
          </cell>
          <cell r="J3262" t="str">
            <v>Saltwood</v>
          </cell>
          <cell r="L3262" t="str">
            <v>Hythe</v>
          </cell>
          <cell r="M3262" t="str">
            <v>Kent</v>
          </cell>
          <cell r="N3262" t="str">
            <v>CT21 4HL</v>
          </cell>
          <cell r="O3262" t="str">
            <v>sschwartz@brockhill.kent.sch.uk</v>
          </cell>
          <cell r="P3262">
            <v>40652</v>
          </cell>
        </row>
        <row r="3263">
          <cell r="A3263">
            <v>8554505</v>
          </cell>
          <cell r="B3263">
            <v>120301</v>
          </cell>
          <cell r="C3263">
            <v>855</v>
          </cell>
          <cell r="D3263" t="str">
            <v>Leicestershire</v>
          </cell>
          <cell r="E3263">
            <v>4505</v>
          </cell>
          <cell r="F3263" t="str">
            <v>Stephen Standret</v>
          </cell>
          <cell r="G3263" t="str">
            <v>Rawlins Community College</v>
          </cell>
          <cell r="H3263" t="str">
            <v>East Midlands</v>
          </cell>
          <cell r="I3263" t="str">
            <v>Loughborough Road</v>
          </cell>
          <cell r="J3263" t="str">
            <v>Quorn</v>
          </cell>
          <cell r="L3263" t="str">
            <v>Loughborough</v>
          </cell>
          <cell r="M3263" t="str">
            <v>Leicestershire</v>
          </cell>
          <cell r="N3263" t="str">
            <v>LE12 8DX</v>
          </cell>
          <cell r="O3263" t="str">
            <v>callumorr@rawlinscollege.org.uk</v>
          </cell>
          <cell r="P3263">
            <v>40704</v>
          </cell>
        </row>
        <row r="3264">
          <cell r="A3264">
            <v>8123514</v>
          </cell>
          <cell r="B3264">
            <v>118058</v>
          </cell>
          <cell r="C3264">
            <v>812</v>
          </cell>
          <cell r="D3264" t="str">
            <v>North East Lincolnshire</v>
          </cell>
          <cell r="E3264">
            <v>3514</v>
          </cell>
          <cell r="F3264" t="str">
            <v>Nick Monton</v>
          </cell>
          <cell r="G3264" t="str">
            <v>St Joseph's RC Primary School</v>
          </cell>
          <cell r="H3264" t="str">
            <v>Yorkshire and the Humber</v>
          </cell>
          <cell r="I3264" t="str">
            <v>Philip Avenue</v>
          </cell>
          <cell r="L3264" t="str">
            <v>Cleethorpes</v>
          </cell>
          <cell r="M3264" t="str">
            <v>Lincolnshire</v>
          </cell>
          <cell r="N3264" t="str">
            <v>DN35 9DL</v>
          </cell>
          <cell r="O3264" t="str">
            <v>head@st-josephs.ne-lincs.sch.uk</v>
          </cell>
          <cell r="P3264">
            <v>40919</v>
          </cell>
        </row>
        <row r="3265">
          <cell r="A3265">
            <v>8603458</v>
          </cell>
          <cell r="B3265">
            <v>124351</v>
          </cell>
          <cell r="C3265">
            <v>860</v>
          </cell>
          <cell r="D3265" t="str">
            <v>Staffordshire</v>
          </cell>
          <cell r="E3265">
            <v>3458</v>
          </cell>
          <cell r="F3265" t="str">
            <v>Stephen Bagnall</v>
          </cell>
          <cell r="G3265" t="str">
            <v>St Joseph and St Theresa Catholic Primary School</v>
          </cell>
          <cell r="H3265" t="str">
            <v>West Midlands</v>
          </cell>
          <cell r="I3265" t="str">
            <v>High Street</v>
          </cell>
          <cell r="J3265" t="str">
            <v>Chasetown</v>
          </cell>
          <cell r="L3265" t="str">
            <v>Burntwood</v>
          </cell>
          <cell r="M3265" t="str">
            <v>Staffordshire</v>
          </cell>
          <cell r="N3265" t="str">
            <v>WS7 3XL</v>
          </cell>
          <cell r="O3265" t="str">
            <v>headteacher@st-joseph-st-theresa.staffs.sch.uk</v>
          </cell>
        </row>
        <row r="3266">
          <cell r="A3266">
            <v>8863348</v>
          </cell>
          <cell r="B3266">
            <v>118742</v>
          </cell>
          <cell r="C3266">
            <v>886</v>
          </cell>
          <cell r="D3266" t="str">
            <v>Kent</v>
          </cell>
          <cell r="E3266">
            <v>3348</v>
          </cell>
          <cell r="F3266" t="str">
            <v>Tony Dunne</v>
          </cell>
          <cell r="G3266" t="str">
            <v xml:space="preserve">St Eanswythe's C of E Aided Primary School </v>
          </cell>
          <cell r="H3266" t="str">
            <v>South East</v>
          </cell>
          <cell r="I3266" t="str">
            <v>Church Street</v>
          </cell>
          <cell r="L3266" t="str">
            <v>Folkestone</v>
          </cell>
          <cell r="M3266" t="str">
            <v>Kent</v>
          </cell>
          <cell r="N3266" t="str">
            <v>CT20 1SE</v>
          </cell>
          <cell r="O3266" t="str">
            <v>headteacher@st-eanswythes.kent.sch.uk</v>
          </cell>
          <cell r="P3266">
            <v>41103</v>
          </cell>
        </row>
        <row r="3267">
          <cell r="A3267">
            <v>8655400</v>
          </cell>
          <cell r="B3267">
            <v>126495</v>
          </cell>
          <cell r="C3267">
            <v>865</v>
          </cell>
          <cell r="D3267" t="str">
            <v>Wiltshire</v>
          </cell>
          <cell r="E3267">
            <v>5400</v>
          </cell>
          <cell r="F3267" t="str">
            <v>Dominic Wilson</v>
          </cell>
          <cell r="G3267" t="str">
            <v>St. Augustine's Catholic College</v>
          </cell>
          <cell r="H3267" t="str">
            <v>South West</v>
          </cell>
          <cell r="I3267" t="str">
            <v>Wingfield Road</v>
          </cell>
          <cell r="L3267" t="str">
            <v>Trowbridge</v>
          </cell>
          <cell r="M3267" t="str">
            <v>Wiltshire</v>
          </cell>
          <cell r="N3267" t="str">
            <v>BA14 9EN</v>
          </cell>
          <cell r="O3267" t="str">
            <v>brw@st-augustines.wilts.sch.uk</v>
          </cell>
          <cell r="P3267">
            <v>40674</v>
          </cell>
        </row>
        <row r="3268">
          <cell r="A3268">
            <v>9382243</v>
          </cell>
          <cell r="B3268">
            <v>125965</v>
          </cell>
          <cell r="C3268">
            <v>938</v>
          </cell>
          <cell r="D3268" t="str">
            <v>West Sussex</v>
          </cell>
          <cell r="E3268">
            <v>2243</v>
          </cell>
          <cell r="F3268" t="str">
            <v>Sarah Mitchell</v>
          </cell>
          <cell r="G3268" t="str">
            <v>Holbrook Primary School</v>
          </cell>
          <cell r="H3268" t="str">
            <v>South East</v>
          </cell>
          <cell r="I3268" t="str">
            <v>Holbrook School Lane</v>
          </cell>
          <cell r="L3268" t="str">
            <v>Horsham</v>
          </cell>
          <cell r="M3268" t="str">
            <v>West Sussex</v>
          </cell>
          <cell r="N3268" t="str">
            <v>RH12 5PP</v>
          </cell>
          <cell r="O3268" t="str">
            <v>head@holbrook.w-sussex.sch.uk</v>
          </cell>
        </row>
        <row r="3269">
          <cell r="A3269">
            <v>9212015</v>
          </cell>
          <cell r="B3269">
            <v>118165</v>
          </cell>
          <cell r="C3269">
            <v>921</v>
          </cell>
          <cell r="D3269" t="str">
            <v>Isle of Wight</v>
          </cell>
          <cell r="E3269">
            <v>2015</v>
          </cell>
          <cell r="F3269" t="str">
            <v>Lindsay Morris</v>
          </cell>
          <cell r="G3269" t="str">
            <v>Lanesend Primary School</v>
          </cell>
          <cell r="H3269" t="str">
            <v>South East</v>
          </cell>
          <cell r="I3269" t="str">
            <v>School Lane</v>
          </cell>
          <cell r="J3269" t="str">
            <v>Niton</v>
          </cell>
          <cell r="L3269" t="str">
            <v>Ventnor</v>
          </cell>
          <cell r="M3269" t="str">
            <v>Isle of Wight</v>
          </cell>
          <cell r="N3269" t="str">
            <v>PO38 2BP</v>
          </cell>
          <cell r="O3269" t="str">
            <v>headteacher@lanesendpri.iow.sch.uk</v>
          </cell>
        </row>
        <row r="3270">
          <cell r="A3270">
            <v>8552115</v>
          </cell>
          <cell r="B3270">
            <v>119956</v>
          </cell>
          <cell r="C3270">
            <v>855</v>
          </cell>
          <cell r="D3270" t="str">
            <v>Leicestershire</v>
          </cell>
          <cell r="E3270">
            <v>2115</v>
          </cell>
          <cell r="F3270" t="str">
            <v>Sue Harp</v>
          </cell>
          <cell r="G3270" t="str">
            <v>Blaby Thistly Meadow Primary School</v>
          </cell>
          <cell r="H3270" t="str">
            <v>East Midlands</v>
          </cell>
          <cell r="I3270" t="str">
            <v>Hospital Lane</v>
          </cell>
          <cell r="J3270" t="str">
            <v>Blaby</v>
          </cell>
          <cell r="L3270" t="str">
            <v>Leicester</v>
          </cell>
          <cell r="M3270" t="str">
            <v>Leicestershire</v>
          </cell>
          <cell r="N3270" t="str">
            <v>LE8 4FE</v>
          </cell>
          <cell r="O3270" t="str">
            <v>c.bowpitt@greenfield.leics.sch.uk</v>
          </cell>
        </row>
        <row r="3271">
          <cell r="A3271">
            <v>8912838</v>
          </cell>
          <cell r="B3271">
            <v>122679</v>
          </cell>
          <cell r="C3271">
            <v>891</v>
          </cell>
          <cell r="D3271" t="str">
            <v>Nottinghamshire</v>
          </cell>
          <cell r="E3271">
            <v>2838</v>
          </cell>
          <cell r="F3271" t="str">
            <v>Sue Harp</v>
          </cell>
          <cell r="G3271" t="str">
            <v>Tuxford Primary School and Early Years Centre</v>
          </cell>
          <cell r="H3271" t="str">
            <v>East Midlands</v>
          </cell>
          <cell r="I3271" t="str">
            <v>Newark Road</v>
          </cell>
          <cell r="J3271" t="str">
            <v>Tuxford</v>
          </cell>
          <cell r="L3271" t="str">
            <v>Newark</v>
          </cell>
          <cell r="M3271" t="str">
            <v>Nottinghamshire</v>
          </cell>
          <cell r="N3271" t="str">
            <v>NG22 0NA</v>
          </cell>
          <cell r="O3271" t="str">
            <v>office@tuxford-pri.notts.sch.uk</v>
          </cell>
          <cell r="P3271">
            <v>41101</v>
          </cell>
        </row>
        <row r="3272">
          <cell r="A3272">
            <v>8225951</v>
          </cell>
          <cell r="B3272">
            <v>109738</v>
          </cell>
          <cell r="C3272">
            <v>822</v>
          </cell>
          <cell r="D3272" t="str">
            <v>Bedford</v>
          </cell>
          <cell r="E3272">
            <v>5951</v>
          </cell>
          <cell r="F3272" t="str">
            <v>Kish Chetty</v>
          </cell>
          <cell r="G3272" t="str">
            <v>St John's School</v>
          </cell>
          <cell r="H3272" t="str">
            <v>East of England</v>
          </cell>
          <cell r="I3272" t="str">
            <v>Austin Canons</v>
          </cell>
          <cell r="J3272" t="str">
            <v>Bedford Road</v>
          </cell>
          <cell r="K3272" t="str">
            <v>Kempston</v>
          </cell>
          <cell r="L3272" t="str">
            <v>Bedford</v>
          </cell>
          <cell r="M3272" t="str">
            <v>Bedfordshire</v>
          </cell>
          <cell r="N3272" t="str">
            <v>MK42 8AA</v>
          </cell>
          <cell r="O3272" t="str">
            <v>stjohnsspecial@schools.bedfordshire.gov.uk</v>
          </cell>
          <cell r="P3272">
            <v>40672</v>
          </cell>
        </row>
        <row r="3273">
          <cell r="A3273">
            <v>9312567</v>
          </cell>
          <cell r="B3273">
            <v>123065</v>
          </cell>
          <cell r="C3273">
            <v>931</v>
          </cell>
          <cell r="D3273" t="str">
            <v>Oxfordshire</v>
          </cell>
          <cell r="E3273">
            <v>2567</v>
          </cell>
          <cell r="F3273" t="str">
            <v>Bukky Sawyerr</v>
          </cell>
          <cell r="G3273" t="str">
            <v>St John's Primary School</v>
          </cell>
          <cell r="H3273" t="str">
            <v>South East</v>
          </cell>
          <cell r="I3273" t="str">
            <v>St John's Road</v>
          </cell>
          <cell r="L3273" t="str">
            <v>Wallingford</v>
          </cell>
          <cell r="M3273" t="str">
            <v>Oxfordshire</v>
          </cell>
          <cell r="N3273" t="str">
            <v>OX10 9AG</v>
          </cell>
          <cell r="O3273" t="str">
            <v>head.2567@st-johns.oxon.sch.uk</v>
          </cell>
          <cell r="P3273">
            <v>41240</v>
          </cell>
        </row>
        <row r="3274">
          <cell r="A3274">
            <v>3735401</v>
          </cell>
          <cell r="B3274">
            <v>107160</v>
          </cell>
          <cell r="C3274">
            <v>373</v>
          </cell>
          <cell r="D3274" t="str">
            <v>Sheffield</v>
          </cell>
          <cell r="E3274">
            <v>5401</v>
          </cell>
          <cell r="F3274" t="str">
            <v>Bev Annables</v>
          </cell>
          <cell r="G3274" t="str">
            <v>All Saints' Catholic High School</v>
          </cell>
          <cell r="H3274" t="str">
            <v>Yorkshire and the Humber</v>
          </cell>
          <cell r="I3274" t="str">
            <v>Granville Road</v>
          </cell>
          <cell r="L3274" t="str">
            <v>Sheffield</v>
          </cell>
          <cell r="M3274" t="str">
            <v>South Yorkshire</v>
          </cell>
          <cell r="N3274" t="str">
            <v>S2 2RJ</v>
          </cell>
          <cell r="O3274" t="str">
            <v>p.sharpe@allsaintslearning.co.uk</v>
          </cell>
          <cell r="P3274">
            <v>40570</v>
          </cell>
        </row>
        <row r="3275">
          <cell r="A3275">
            <v>8012013</v>
          </cell>
          <cell r="B3275">
            <v>108918</v>
          </cell>
          <cell r="C3275">
            <v>801</v>
          </cell>
          <cell r="D3275" t="str">
            <v>Bristol City of</v>
          </cell>
          <cell r="E3275">
            <v>2013</v>
          </cell>
          <cell r="F3275" t="str">
            <v>Lilian Da Cunha</v>
          </cell>
          <cell r="G3275" t="str">
            <v>Begbrook Primary School</v>
          </cell>
          <cell r="H3275" t="str">
            <v>South West</v>
          </cell>
          <cell r="I3275" t="str">
            <v>Begbrook Drive</v>
          </cell>
          <cell r="J3275" t="str">
            <v>Stapleton</v>
          </cell>
          <cell r="L3275" t="str">
            <v>Bristol</v>
          </cell>
          <cell r="N3275" t="str">
            <v>BS16 1HG</v>
          </cell>
          <cell r="O3275" t="str">
            <v>headbegbrookp@bristol.gov.uk</v>
          </cell>
          <cell r="P3275">
            <v>40975</v>
          </cell>
        </row>
        <row r="3276">
          <cell r="A3276">
            <v>9197011</v>
          </cell>
          <cell r="B3276">
            <v>117670</v>
          </cell>
          <cell r="C3276">
            <v>919</v>
          </cell>
          <cell r="D3276" t="str">
            <v>Hertfordshire</v>
          </cell>
          <cell r="E3276">
            <v>7011</v>
          </cell>
          <cell r="F3276" t="str">
            <v>Joe Farrell</v>
          </cell>
          <cell r="G3276" t="str">
            <v>Colnbrook School</v>
          </cell>
          <cell r="H3276" t="str">
            <v>East of England</v>
          </cell>
          <cell r="I3276" t="str">
            <v>Hayling Road</v>
          </cell>
          <cell r="L3276" t="str">
            <v>Watford</v>
          </cell>
          <cell r="M3276" t="str">
            <v>Hertfordshire</v>
          </cell>
          <cell r="N3276" t="str">
            <v>WD19 7UY</v>
          </cell>
          <cell r="O3276" t="str">
            <v>head@colnbrook.herts.sch.uk</v>
          </cell>
        </row>
        <row r="3277">
          <cell r="A3277">
            <v>3714062</v>
          </cell>
          <cell r="B3277">
            <v>106808</v>
          </cell>
          <cell r="C3277">
            <v>371</v>
          </cell>
          <cell r="D3277" t="str">
            <v>Doncaster</v>
          </cell>
          <cell r="E3277">
            <v>4062</v>
          </cell>
          <cell r="F3277" t="str">
            <v>Alan Large</v>
          </cell>
          <cell r="G3277" t="str">
            <v>Hall Cross School</v>
          </cell>
          <cell r="H3277" t="str">
            <v>Yorkshire and the Humber</v>
          </cell>
          <cell r="I3277" t="str">
            <v>Thorne Road</v>
          </cell>
          <cell r="L3277" t="str">
            <v>Doncaster</v>
          </cell>
          <cell r="M3277" t="str">
            <v>South Yorkshire</v>
          </cell>
          <cell r="N3277" t="str">
            <v>DN1 2HY</v>
          </cell>
          <cell r="O3277" t="str">
            <v>pdn@hallcross.doncaster.sch.uk</v>
          </cell>
          <cell r="P3277">
            <v>40679</v>
          </cell>
        </row>
        <row r="3278">
          <cell r="A3278">
            <v>9253347</v>
          </cell>
          <cell r="B3278">
            <v>120618</v>
          </cell>
          <cell r="C3278">
            <v>925</v>
          </cell>
          <cell r="D3278" t="str">
            <v>Lincolnshire</v>
          </cell>
          <cell r="E3278">
            <v>3347</v>
          </cell>
          <cell r="F3278" t="str">
            <v>Sue Harp</v>
          </cell>
          <cell r="G3278" t="str">
            <v>Our Lady of Lincoln Catholic Primary School</v>
          </cell>
          <cell r="H3278" t="str">
            <v>East Midlands</v>
          </cell>
          <cell r="I3278" t="str">
            <v>Laughton Way</v>
          </cell>
          <cell r="L3278" t="str">
            <v>Lincoln</v>
          </cell>
          <cell r="M3278" t="str">
            <v>Lincolnshire</v>
          </cell>
          <cell r="N3278" t="str">
            <v>LN2 2HE</v>
          </cell>
          <cell r="O3278" t="str">
            <v>julia.summers@ourladylincoln.lincs.sch.uk</v>
          </cell>
          <cell r="P3278">
            <v>41254</v>
          </cell>
        </row>
        <row r="3279">
          <cell r="A3279">
            <v>8114053</v>
          </cell>
          <cell r="B3279">
            <v>118074</v>
          </cell>
          <cell r="C3279">
            <v>811</v>
          </cell>
          <cell r="D3279" t="str">
            <v>East Riding of Yorkshire</v>
          </cell>
          <cell r="E3279">
            <v>4053</v>
          </cell>
          <cell r="F3279" t="str">
            <v>Glyn Newton</v>
          </cell>
          <cell r="G3279" t="str">
            <v>The Hessle Federation - Hessle High School and Sixth Form College and Penshurst Primary School</v>
          </cell>
          <cell r="H3279" t="str">
            <v>Yorkshire and the Humber</v>
          </cell>
          <cell r="I3279" t="str">
            <v>Tranby House</v>
          </cell>
          <cell r="J3279" t="str">
            <v>Heads Lane</v>
          </cell>
          <cell r="L3279" t="str">
            <v>Hessle</v>
          </cell>
          <cell r="N3279" t="str">
            <v>HU13 0JQ</v>
          </cell>
          <cell r="O3279" t="str">
            <v>SYoung@hesslefederation.com</v>
          </cell>
          <cell r="P3279">
            <v>40570</v>
          </cell>
        </row>
        <row r="3280">
          <cell r="A3280">
            <v>3524810</v>
          </cell>
          <cell r="B3280">
            <v>105583</v>
          </cell>
          <cell r="C3280">
            <v>352</v>
          </cell>
          <cell r="D3280" t="str">
            <v>Manchester</v>
          </cell>
          <cell r="E3280">
            <v>4810</v>
          </cell>
          <cell r="F3280" t="str">
            <v>Alan Large</v>
          </cell>
          <cell r="G3280" t="str">
            <v>The King David High School</v>
          </cell>
          <cell r="H3280" t="str">
            <v>North West</v>
          </cell>
          <cell r="I3280" t="str">
            <v>Eaton Road</v>
          </cell>
          <cell r="J3280" t="str">
            <v>Crumpsall</v>
          </cell>
          <cell r="L3280" t="str">
            <v>Manchester</v>
          </cell>
          <cell r="N3280" t="str">
            <v>M8 5DY</v>
          </cell>
          <cell r="O3280" t="str">
            <v>L.Finn@kingdavidhigh.manchester.sch.uk</v>
          </cell>
          <cell r="P3280">
            <v>40606</v>
          </cell>
        </row>
        <row r="3281">
          <cell r="A3281">
            <v>9192433</v>
          </cell>
          <cell r="B3281">
            <v>117340</v>
          </cell>
          <cell r="C3281">
            <v>919</v>
          </cell>
          <cell r="D3281" t="str">
            <v>Hertfordshire</v>
          </cell>
          <cell r="E3281">
            <v>2433</v>
          </cell>
          <cell r="F3281" t="str">
            <v>Beverley Samuel</v>
          </cell>
          <cell r="G3281" t="str">
            <v>Coates Way JMI and Nursery School</v>
          </cell>
          <cell r="H3281" t="str">
            <v>East of England</v>
          </cell>
          <cell r="I3281" t="str">
            <v>Coates Way</v>
          </cell>
          <cell r="J3281" t="str">
            <v>Garston</v>
          </cell>
          <cell r="L3281" t="str">
            <v>Watford</v>
          </cell>
          <cell r="M3281" t="str">
            <v>Hertfordshire</v>
          </cell>
          <cell r="N3281" t="str">
            <v>WD25 9NW</v>
          </cell>
          <cell r="O3281" t="str">
            <v>head@coatesway.herts.sch.uk</v>
          </cell>
        </row>
        <row r="3282">
          <cell r="A3282">
            <v>8695404</v>
          </cell>
          <cell r="B3282">
            <v>110100</v>
          </cell>
          <cell r="C3282">
            <v>869</v>
          </cell>
          <cell r="D3282" t="str">
            <v>West Berkshire</v>
          </cell>
          <cell r="E3282">
            <v>5404</v>
          </cell>
          <cell r="F3282" t="str">
            <v>Sarah Nairne</v>
          </cell>
          <cell r="G3282" t="str">
            <v>Denefield School</v>
          </cell>
          <cell r="H3282" t="str">
            <v>South East</v>
          </cell>
          <cell r="I3282" t="str">
            <v>Long Lane</v>
          </cell>
          <cell r="J3282" t="str">
            <v>Tilehurst</v>
          </cell>
          <cell r="L3282" t="str">
            <v>Reading</v>
          </cell>
          <cell r="M3282" t="str">
            <v>Berkshire</v>
          </cell>
          <cell r="N3282" t="str">
            <v>RG31 6XY</v>
          </cell>
          <cell r="O3282" t="str">
            <v>WFD@denefield.org.uk</v>
          </cell>
          <cell r="P3282">
            <v>40801</v>
          </cell>
        </row>
        <row r="3283">
          <cell r="A3283">
            <v>9382073</v>
          </cell>
          <cell r="B3283">
            <v>125860</v>
          </cell>
          <cell r="C3283">
            <v>938</v>
          </cell>
          <cell r="D3283" t="str">
            <v>West Sussex</v>
          </cell>
          <cell r="E3283">
            <v>2073</v>
          </cell>
          <cell r="F3283" t="str">
            <v>Sarah Mitchell</v>
          </cell>
          <cell r="G3283" t="str">
            <v>Wisborough Green Primary School</v>
          </cell>
          <cell r="H3283" t="str">
            <v>South East</v>
          </cell>
          <cell r="I3283" t="str">
            <v>Newpound Lane</v>
          </cell>
          <cell r="J3283" t="str">
            <v>Wisborough Green</v>
          </cell>
          <cell r="L3283" t="str">
            <v>Billingshurst</v>
          </cell>
          <cell r="M3283" t="str">
            <v>West Sussex</v>
          </cell>
          <cell r="N3283" t="str">
            <v>RH14 0EE</v>
          </cell>
          <cell r="O3283" t="str">
            <v>head@wisboroughgreen.w-sussex.sch.uk</v>
          </cell>
        </row>
        <row r="3284">
          <cell r="A3284">
            <v>8912180</v>
          </cell>
          <cell r="B3284">
            <v>122501</v>
          </cell>
          <cell r="C3284">
            <v>891</v>
          </cell>
          <cell r="D3284" t="str">
            <v>Nottinghamshire</v>
          </cell>
          <cell r="E3284">
            <v>2180</v>
          </cell>
          <cell r="F3284" t="str">
            <v>Not yet assigned</v>
          </cell>
          <cell r="G3284" t="str">
            <v>Sherwood Junior School</v>
          </cell>
          <cell r="H3284" t="str">
            <v>East Midlands</v>
          </cell>
          <cell r="I3284" t="str">
            <v>Sherwood Street</v>
          </cell>
          <cell r="J3284" t="str">
            <v>Warsop</v>
          </cell>
          <cell r="L3284" t="str">
            <v>Mansfield</v>
          </cell>
          <cell r="M3284" t="str">
            <v>Nottinghamshire</v>
          </cell>
          <cell r="N3284" t="str">
            <v>NG20 0JT</v>
          </cell>
        </row>
        <row r="3285">
          <cell r="A3285">
            <v>3702061</v>
          </cell>
          <cell r="B3285">
            <v>106581</v>
          </cell>
          <cell r="C3285">
            <v>370</v>
          </cell>
          <cell r="D3285" t="str">
            <v>Barnsley</v>
          </cell>
          <cell r="E3285">
            <v>2061</v>
          </cell>
          <cell r="F3285" t="str">
            <v>Lisa Sargeant</v>
          </cell>
          <cell r="G3285" t="str">
            <v>Dearne Highgate Primary School</v>
          </cell>
          <cell r="H3285" t="str">
            <v>Yorkshire and the Humber</v>
          </cell>
          <cell r="I3285" t="str">
            <v>Nicholas Lane</v>
          </cell>
          <cell r="J3285" t="str">
            <v>Goldthorpe</v>
          </cell>
          <cell r="L3285" t="str">
            <v>Rotherham</v>
          </cell>
          <cell r="M3285" t="str">
            <v>South Yorkshire</v>
          </cell>
          <cell r="N3285" t="str">
            <v>S63 9AS</v>
          </cell>
        </row>
        <row r="3286">
          <cell r="A3286">
            <v>3807036</v>
          </cell>
          <cell r="B3286">
            <v>135861</v>
          </cell>
          <cell r="C3286">
            <v>380</v>
          </cell>
          <cell r="D3286" t="str">
            <v>Bradford</v>
          </cell>
          <cell r="E3286">
            <v>7036</v>
          </cell>
          <cell r="F3286" t="str">
            <v>Glyn Newton</v>
          </cell>
          <cell r="G3286" t="str">
            <v>High Park School</v>
          </cell>
          <cell r="H3286" t="str">
            <v>Yorkshire and the Humber</v>
          </cell>
          <cell r="I3286" t="str">
            <v>Thorn Lane</v>
          </cell>
          <cell r="J3286" t="str">
            <v>Idle</v>
          </cell>
          <cell r="L3286" t="str">
            <v>Bradford</v>
          </cell>
          <cell r="M3286" t="str">
            <v>West Yorkshire</v>
          </cell>
          <cell r="N3286" t="str">
            <v>BD9 6RY</v>
          </cell>
          <cell r="O3286" t="str">
            <v xml:space="preserve"> liz.flavell@highpark.bradford.sch.uk</v>
          </cell>
        </row>
        <row r="3287">
          <cell r="A3287">
            <v>8224064</v>
          </cell>
          <cell r="B3287">
            <v>109665</v>
          </cell>
          <cell r="C3287">
            <v>822</v>
          </cell>
          <cell r="D3287" t="str">
            <v>Bedford</v>
          </cell>
          <cell r="E3287">
            <v>4064</v>
          </cell>
          <cell r="F3287" t="str">
            <v>Beverley Samuel</v>
          </cell>
          <cell r="G3287" t="str">
            <v>Hastingsbury Business &amp; Enterprise College</v>
          </cell>
          <cell r="H3287" t="str">
            <v>East of England</v>
          </cell>
          <cell r="I3287" t="str">
            <v>Hill Rise</v>
          </cell>
          <cell r="J3287" t="str">
            <v>Kempston</v>
          </cell>
          <cell r="L3287" t="str">
            <v>Bedford</v>
          </cell>
          <cell r="M3287" t="str">
            <v>Bedfordshire</v>
          </cell>
          <cell r="N3287" t="str">
            <v>MK42 7EB</v>
          </cell>
          <cell r="O3287" t="str">
            <v>martinfletcher@hastingsbury.beds.sch.uk</v>
          </cell>
        </row>
        <row r="3288">
          <cell r="A3288">
            <v>8012041</v>
          </cell>
          <cell r="B3288">
            <v>108934</v>
          </cell>
          <cell r="C3288">
            <v>801</v>
          </cell>
          <cell r="D3288" t="str">
            <v>Bristol City of</v>
          </cell>
          <cell r="E3288">
            <v>2041</v>
          </cell>
          <cell r="F3288" t="str">
            <v>Theresa Oddelm</v>
          </cell>
          <cell r="G3288" t="str">
            <v>Henleaze Infant School</v>
          </cell>
          <cell r="H3288" t="str">
            <v>South West</v>
          </cell>
          <cell r="I3288" t="str">
            <v>Park Grove</v>
          </cell>
          <cell r="J3288" t="str">
            <v>Henleaze</v>
          </cell>
          <cell r="L3288" t="str">
            <v>Bristol</v>
          </cell>
          <cell r="N3288" t="str">
            <v>BS9 4LG</v>
          </cell>
          <cell r="O3288" t="str">
            <v>head.henleaze.i@bristol.gov.uk</v>
          </cell>
        </row>
        <row r="3289">
          <cell r="A3289">
            <v>2032801</v>
          </cell>
          <cell r="B3289">
            <v>100150</v>
          </cell>
          <cell r="C3289">
            <v>203</v>
          </cell>
          <cell r="D3289" t="str">
            <v>Greenwich</v>
          </cell>
          <cell r="E3289">
            <v>2801</v>
          </cell>
          <cell r="F3289" t="str">
            <v>Helen Barry</v>
          </cell>
          <cell r="G3289" t="str">
            <v>Boxgrove Primary School</v>
          </cell>
          <cell r="H3289" t="str">
            <v>London</v>
          </cell>
          <cell r="I3289" t="str">
            <v>Boxgrove Road</v>
          </cell>
          <cell r="J3289" t="str">
            <v>Abbey Wood</v>
          </cell>
          <cell r="L3289" t="str">
            <v>London</v>
          </cell>
          <cell r="N3289" t="str">
            <v>SE2 9JP</v>
          </cell>
          <cell r="O3289" t="str">
            <v>nprockter@aol.com</v>
          </cell>
        </row>
        <row r="3290">
          <cell r="A3290">
            <v>8734031</v>
          </cell>
          <cell r="B3290">
            <v>110866</v>
          </cell>
          <cell r="C3290">
            <v>873</v>
          </cell>
          <cell r="D3290" t="str">
            <v>Cambridgeshire</v>
          </cell>
          <cell r="E3290">
            <v>4031</v>
          </cell>
          <cell r="F3290" t="str">
            <v>Yvonne Reddington</v>
          </cell>
          <cell r="G3290" t="str">
            <v>Coleridge Community College</v>
          </cell>
          <cell r="H3290" t="str">
            <v>East of England</v>
          </cell>
          <cell r="I3290" t="str">
            <v>Radegund Road</v>
          </cell>
          <cell r="L3290" t="str">
            <v>Cambridge</v>
          </cell>
          <cell r="M3290" t="str">
            <v>Cambridgeshire</v>
          </cell>
          <cell r="N3290" t="str">
            <v>CB1 3RJ</v>
          </cell>
          <cell r="O3290" t="str">
            <v>coleridgeoffice@parksidefederation.org.uk</v>
          </cell>
          <cell r="P3290">
            <v>40456</v>
          </cell>
        </row>
        <row r="3291">
          <cell r="A3291">
            <v>8505416</v>
          </cell>
          <cell r="B3291">
            <v>116508</v>
          </cell>
          <cell r="C3291">
            <v>850</v>
          </cell>
          <cell r="D3291" t="str">
            <v>Hampshire</v>
          </cell>
          <cell r="E3291">
            <v>5416</v>
          </cell>
          <cell r="F3291" t="str">
            <v>Amanda Barrett</v>
          </cell>
          <cell r="G3291" t="str">
            <v>Cams Hill School</v>
          </cell>
          <cell r="H3291" t="str">
            <v>South East</v>
          </cell>
          <cell r="I3291" t="str">
            <v>Shearwater Avenue</v>
          </cell>
          <cell r="L3291" t="str">
            <v>Fareham</v>
          </cell>
          <cell r="M3291" t="str">
            <v>Hampshire</v>
          </cell>
          <cell r="N3291" t="str">
            <v>PO16 8AH</v>
          </cell>
          <cell r="O3291" t="str">
            <v>dwilmot@camshill.com</v>
          </cell>
          <cell r="P3291">
            <v>40723</v>
          </cell>
        </row>
        <row r="3292">
          <cell r="A3292">
            <v>8814025</v>
          </cell>
          <cell r="B3292">
            <v>115208</v>
          </cell>
          <cell r="C3292">
            <v>881</v>
          </cell>
          <cell r="D3292" t="str">
            <v>Essex</v>
          </cell>
          <cell r="E3292">
            <v>4025</v>
          </cell>
          <cell r="F3292" t="str">
            <v>Joe Farrell</v>
          </cell>
          <cell r="G3292" t="str">
            <v>The Ramsey College</v>
          </cell>
          <cell r="H3292" t="str">
            <v>East of England</v>
          </cell>
          <cell r="I3292" t="str">
            <v>Colne Road</v>
          </cell>
          <cell r="L3292" t="str">
            <v>Halstead</v>
          </cell>
          <cell r="M3292" t="str">
            <v>Essex</v>
          </cell>
          <cell r="N3292" t="str">
            <v>CO9 2HR</v>
          </cell>
          <cell r="O3292" t="str">
            <v>murray_m@ramsey.essex.sch.uk</v>
          </cell>
        </row>
        <row r="3293">
          <cell r="A3293">
            <v>9162028</v>
          </cell>
          <cell r="B3293">
            <v>115494</v>
          </cell>
          <cell r="C3293">
            <v>916</v>
          </cell>
          <cell r="D3293" t="str">
            <v>Gloucestershire</v>
          </cell>
          <cell r="E3293">
            <v>2028</v>
          </cell>
          <cell r="F3293" t="str">
            <v>Not yet assigned</v>
          </cell>
          <cell r="G3293" t="str">
            <v>Hillview Primary School</v>
          </cell>
          <cell r="H3293" t="str">
            <v>South West</v>
          </cell>
          <cell r="I3293" t="str">
            <v>Hillview Road</v>
          </cell>
          <cell r="J3293" t="str">
            <v>Hucclecote</v>
          </cell>
          <cell r="L3293" t="str">
            <v>Gloucester</v>
          </cell>
          <cell r="M3293" t="str">
            <v>Gloucestershire</v>
          </cell>
          <cell r="N3293" t="str">
            <v>GL3 3LH</v>
          </cell>
          <cell r="O3293" t="str">
            <v>head@hillview.gloucs.sch.uk</v>
          </cell>
        </row>
        <row r="3294">
          <cell r="A3294">
            <v>9252161</v>
          </cell>
          <cell r="B3294">
            <v>120452</v>
          </cell>
          <cell r="C3294">
            <v>925</v>
          </cell>
          <cell r="D3294" t="str">
            <v>Lincolnshire</v>
          </cell>
          <cell r="E3294">
            <v>2161</v>
          </cell>
          <cell r="F3294" t="str">
            <v>Stella Mascarenhas-Keys</v>
          </cell>
          <cell r="G3294" t="str">
            <v>Hogsthorpe Community Primary School</v>
          </cell>
          <cell r="H3294" t="str">
            <v>East Midlands</v>
          </cell>
          <cell r="I3294" t="str">
            <v>Thames Street</v>
          </cell>
          <cell r="J3294" t="str">
            <v>Hogsthorpe</v>
          </cell>
          <cell r="L3294" t="str">
            <v>Skegness</v>
          </cell>
          <cell r="M3294" t="str">
            <v>Lincolnshire</v>
          </cell>
          <cell r="N3294" t="str">
            <v>PE24 5PT</v>
          </cell>
          <cell r="O3294" t="str">
            <v>karin.nicholls@hogsthorpe.lincs.sch.uk</v>
          </cell>
          <cell r="P3294">
            <v>40746</v>
          </cell>
        </row>
        <row r="3295">
          <cell r="A3295">
            <v>3594615</v>
          </cell>
          <cell r="B3295">
            <v>106538</v>
          </cell>
          <cell r="C3295">
            <v>359</v>
          </cell>
          <cell r="D3295" t="str">
            <v>Wigan</v>
          </cell>
          <cell r="E3295">
            <v>4615</v>
          </cell>
          <cell r="F3295" t="str">
            <v>Viv Clutton</v>
          </cell>
          <cell r="G3295" t="str">
            <v>St Mary's Catholic High School</v>
          </cell>
          <cell r="H3295" t="str">
            <v>North West</v>
          </cell>
          <cell r="I3295" t="str">
            <v>Manchester Road</v>
          </cell>
          <cell r="J3295" t="str">
            <v>Astley</v>
          </cell>
          <cell r="K3295" t="str">
            <v>Tyldesley</v>
          </cell>
          <cell r="L3295" t="str">
            <v>Manchester</v>
          </cell>
          <cell r="N3295" t="str">
            <v>M29 7EE</v>
          </cell>
          <cell r="O3295" t="str">
            <v>d.burnett@admin.st-maryshigh.wigan.sch.uk</v>
          </cell>
        </row>
        <row r="3296">
          <cell r="A3296">
            <v>3331105</v>
          </cell>
          <cell r="B3296">
            <v>133694</v>
          </cell>
          <cell r="C3296">
            <v>333</v>
          </cell>
          <cell r="D3296" t="str">
            <v>Sandwell</v>
          </cell>
          <cell r="E3296">
            <v>1105</v>
          </cell>
          <cell r="F3296" t="str">
            <v>Eric Mcewen</v>
          </cell>
          <cell r="G3296" t="str">
            <v>The Oakham Centre</v>
          </cell>
          <cell r="H3296" t="str">
            <v>West Midlands</v>
          </cell>
          <cell r="I3296" t="str">
            <v>Darby's Hill Road</v>
          </cell>
          <cell r="J3296" t="str">
            <v>Tividale</v>
          </cell>
          <cell r="L3296" t="str">
            <v>Oldbury</v>
          </cell>
          <cell r="M3296" t="str">
            <v>West Midlands</v>
          </cell>
          <cell r="N3296" t="str">
            <v>B69 1SG</v>
          </cell>
          <cell r="O3296" t="str">
            <v>carolyn.hill@oakhamcentre.sandwell.sch.uk</v>
          </cell>
        </row>
        <row r="3297">
          <cell r="A3297">
            <v>8232136</v>
          </cell>
          <cell r="B3297">
            <v>109487</v>
          </cell>
          <cell r="C3297">
            <v>823</v>
          </cell>
          <cell r="D3297" t="str">
            <v>Central Bedfordshire</v>
          </cell>
          <cell r="E3297">
            <v>2136</v>
          </cell>
          <cell r="F3297" t="str">
            <v>Not yet assigned</v>
          </cell>
          <cell r="G3297" t="str">
            <v>Chalton Lower School</v>
          </cell>
          <cell r="H3297" t="str">
            <v>East of England</v>
          </cell>
          <cell r="I3297" t="str">
            <v>Luton Road</v>
          </cell>
          <cell r="J3297" t="str">
            <v>Chalton</v>
          </cell>
          <cell r="L3297" t="str">
            <v>Luton</v>
          </cell>
          <cell r="M3297" t="str">
            <v>Bedfordshire</v>
          </cell>
          <cell r="N3297" t="str">
            <v>LU4 9UJ</v>
          </cell>
          <cell r="O3297" t="str">
            <v>chaltonlower@schools.bedfordshire.gov.uk</v>
          </cell>
        </row>
        <row r="3298">
          <cell r="A3298">
            <v>8354606</v>
          </cell>
          <cell r="B3298">
            <v>113892</v>
          </cell>
          <cell r="C3298">
            <v>835</v>
          </cell>
          <cell r="D3298" t="str">
            <v>Dorset</v>
          </cell>
          <cell r="E3298">
            <v>4606</v>
          </cell>
          <cell r="F3298" t="str">
            <v>Kate Bosher</v>
          </cell>
          <cell r="G3298" t="str">
            <v>St Osmund's Church of England Middle School</v>
          </cell>
          <cell r="H3298" t="str">
            <v>South West</v>
          </cell>
          <cell r="I3298" t="str">
            <v>Barnes Way</v>
          </cell>
          <cell r="J3298" t="str">
            <v>Rothesay Road</v>
          </cell>
          <cell r="L3298" t="str">
            <v>Dorchester</v>
          </cell>
          <cell r="M3298" t="str">
            <v>Dorset</v>
          </cell>
          <cell r="N3298" t="str">
            <v>DT1 2DZ</v>
          </cell>
          <cell r="O3298" t="str">
            <v>rdj@stosmunds.dorset.sch.uk</v>
          </cell>
          <cell r="P3298">
            <v>40948</v>
          </cell>
        </row>
        <row r="3299">
          <cell r="A3299">
            <v>3363311</v>
          </cell>
          <cell r="B3299">
            <v>104380</v>
          </cell>
          <cell r="C3299">
            <v>336</v>
          </cell>
          <cell r="D3299" t="str">
            <v>Wolverhampton</v>
          </cell>
          <cell r="E3299">
            <v>3311</v>
          </cell>
          <cell r="F3299" t="str">
            <v>Hannah Copp</v>
          </cell>
          <cell r="G3299" t="str">
            <v>St Teresa's Catholic Primary School, Parkfield</v>
          </cell>
          <cell r="H3299" t="str">
            <v>West Midlands</v>
          </cell>
          <cell r="I3299" t="str">
            <v>Malins Road</v>
          </cell>
          <cell r="J3299" t="str">
            <v>Parkfields</v>
          </cell>
          <cell r="L3299" t="str">
            <v>Wolverhampton</v>
          </cell>
          <cell r="M3299" t="str">
            <v>West Midlands</v>
          </cell>
          <cell r="N3299" t="str">
            <v>WV4 6AW</v>
          </cell>
          <cell r="O3299" t="str">
            <v>Tamsin.Davis@wolverhamptoncyp.org.uk</v>
          </cell>
        </row>
        <row r="3300">
          <cell r="A3300">
            <v>8253346</v>
          </cell>
          <cell r="B3300">
            <v>110470</v>
          </cell>
          <cell r="C3300">
            <v>825</v>
          </cell>
          <cell r="D3300" t="str">
            <v>Buckinghamshire</v>
          </cell>
          <cell r="E3300">
            <v>3346</v>
          </cell>
          <cell r="F3300" t="str">
            <v>Tony Dunne</v>
          </cell>
          <cell r="G3300" t="str">
            <v>St Nicolas' Church of England Combined School</v>
          </cell>
          <cell r="H3300" t="str">
            <v>South East</v>
          </cell>
          <cell r="I3300" t="str">
            <v>Rectory Road</v>
          </cell>
          <cell r="J3300" t="str">
            <v>Taplow</v>
          </cell>
          <cell r="L3300" t="str">
            <v>Maidenhead</v>
          </cell>
          <cell r="M3300" t="str">
            <v>Berkshire</v>
          </cell>
          <cell r="N3300" t="str">
            <v>SL6 0ET</v>
          </cell>
          <cell r="O3300" t="str">
            <v>lsutherland@bucksgfl.org.uk</v>
          </cell>
          <cell r="P3300">
            <v>40830</v>
          </cell>
        </row>
        <row r="3301">
          <cell r="A3301">
            <v>8782421</v>
          </cell>
          <cell r="B3301">
            <v>113202</v>
          </cell>
          <cell r="C3301">
            <v>878</v>
          </cell>
          <cell r="D3301" t="str">
            <v>Devon</v>
          </cell>
          <cell r="E3301">
            <v>2421</v>
          </cell>
          <cell r="F3301" t="str">
            <v>Theresa Oddelm</v>
          </cell>
          <cell r="G3301" t="str">
            <v>Hennock Community Primary School</v>
          </cell>
          <cell r="H3301" t="str">
            <v>South West</v>
          </cell>
          <cell r="I3301" t="str">
            <v>Hennock</v>
          </cell>
          <cell r="L3301" t="str">
            <v>Newton Abbot</v>
          </cell>
          <cell r="M3301" t="str">
            <v>Devon</v>
          </cell>
          <cell r="N3301" t="str">
            <v>TQ13 9QB</v>
          </cell>
        </row>
        <row r="3302">
          <cell r="A3302">
            <v>9374113</v>
          </cell>
          <cell r="B3302">
            <v>125737</v>
          </cell>
          <cell r="C3302">
            <v>937</v>
          </cell>
          <cell r="D3302" t="str">
            <v>Warwickshire</v>
          </cell>
          <cell r="E3302">
            <v>4113</v>
          </cell>
          <cell r="F3302" t="str">
            <v>Adriarna Goodinson</v>
          </cell>
          <cell r="G3302" t="str">
            <v>Shipston High School - A Specialist Technology College</v>
          </cell>
          <cell r="H3302" t="str">
            <v>West Midlands</v>
          </cell>
          <cell r="I3302" t="str">
            <v>Darlingscote Road</v>
          </cell>
          <cell r="L3302" t="str">
            <v>Shipston-on-Stour</v>
          </cell>
          <cell r="M3302" t="str">
            <v>Warwickshire</v>
          </cell>
          <cell r="N3302" t="str">
            <v>CV36 4DY</v>
          </cell>
          <cell r="O3302" t="str">
            <v>jbaker@shipstonhigh.co.uk</v>
          </cell>
          <cell r="P3302">
            <v>40617</v>
          </cell>
        </row>
        <row r="3303">
          <cell r="A3303">
            <v>9313257</v>
          </cell>
          <cell r="B3303">
            <v>123176</v>
          </cell>
          <cell r="C3303">
            <v>931</v>
          </cell>
          <cell r="D3303" t="str">
            <v>Oxfordshire</v>
          </cell>
          <cell r="E3303">
            <v>3257</v>
          </cell>
          <cell r="F3303" t="str">
            <v>Sarah Nairne</v>
          </cell>
          <cell r="G3303" t="str">
            <v>Wychwood Church of England Primary School</v>
          </cell>
          <cell r="H3303" t="str">
            <v>South East</v>
          </cell>
          <cell r="I3303" t="str">
            <v>Milton Road</v>
          </cell>
          <cell r="J3303" t="str">
            <v>Shipton-under-Wychwood</v>
          </cell>
          <cell r="L3303" t="str">
            <v>Chipping Norton</v>
          </cell>
          <cell r="M3303" t="str">
            <v>Oxfordshire</v>
          </cell>
          <cell r="N3303" t="str">
            <v>OX7 6BD</v>
          </cell>
          <cell r="O3303" t="str">
            <v>office.3257@wychwood-pri.oxon.sch.uk</v>
          </cell>
        </row>
        <row r="3304">
          <cell r="A3304">
            <v>8222014</v>
          </cell>
          <cell r="B3304">
            <v>109437</v>
          </cell>
          <cell r="C3304">
            <v>822</v>
          </cell>
          <cell r="D3304" t="str">
            <v>Bedford</v>
          </cell>
          <cell r="E3304">
            <v>2014</v>
          </cell>
          <cell r="F3304" t="str">
            <v>Michael Cook</v>
          </cell>
          <cell r="G3304" t="str">
            <v>Queen's Park Lower School</v>
          </cell>
          <cell r="H3304" t="str">
            <v>East of England</v>
          </cell>
          <cell r="I3304" t="str">
            <v>Chestnut Avenue</v>
          </cell>
          <cell r="L3304" t="str">
            <v>Bedford</v>
          </cell>
          <cell r="M3304" t="str">
            <v>Bedfordshire</v>
          </cell>
          <cell r="N3304" t="str">
            <v>MK40 4HA</v>
          </cell>
          <cell r="O3304" t="str">
            <v>amccormick@queenspark.beds.sch.uk</v>
          </cell>
          <cell r="P3304">
            <v>40358</v>
          </cell>
        </row>
        <row r="3305">
          <cell r="A3305">
            <v>8913770</v>
          </cell>
          <cell r="B3305">
            <v>122822</v>
          </cell>
          <cell r="C3305">
            <v>891</v>
          </cell>
          <cell r="D3305" t="str">
            <v>Nottinghamshire</v>
          </cell>
          <cell r="E3305">
            <v>3770</v>
          </cell>
          <cell r="F3305" t="str">
            <v>Sue Harp</v>
          </cell>
          <cell r="G3305" t="str">
            <v>St Joseph's Catholic Primary and Nursery School</v>
          </cell>
          <cell r="H3305" t="str">
            <v>East Midlands</v>
          </cell>
          <cell r="I3305" t="str">
            <v>Main Road</v>
          </cell>
          <cell r="J3305" t="str">
            <v>Boughton</v>
          </cell>
          <cell r="L3305" t="str">
            <v>Newark</v>
          </cell>
          <cell r="M3305" t="str">
            <v>Nottinghamshire</v>
          </cell>
          <cell r="N3305" t="str">
            <v>NG22 9JE</v>
          </cell>
          <cell r="O3305" t="str">
            <v>head@st-joseph-pri.notts.sch.uk</v>
          </cell>
        </row>
        <row r="3306">
          <cell r="A3306">
            <v>9367061</v>
          </cell>
          <cell r="B3306">
            <v>125476</v>
          </cell>
          <cell r="C3306">
            <v>936</v>
          </cell>
          <cell r="D3306" t="str">
            <v>Surrey</v>
          </cell>
          <cell r="E3306">
            <v>7061</v>
          </cell>
          <cell r="F3306" t="str">
            <v>Gabriela Grimley</v>
          </cell>
          <cell r="G3306" t="str">
            <v>The Abbey School</v>
          </cell>
          <cell r="H3306" t="str">
            <v>South East</v>
          </cell>
          <cell r="I3306" t="str">
            <v>Menin Way</v>
          </cell>
          <cell r="L3306" t="str">
            <v>Farnham</v>
          </cell>
          <cell r="M3306" t="str">
            <v>Surrey</v>
          </cell>
          <cell r="N3306" t="str">
            <v>GU9 8DY</v>
          </cell>
          <cell r="O3306" t="str">
            <v>head@abbey.surrey.sch.uk</v>
          </cell>
          <cell r="P3306">
            <v>41050</v>
          </cell>
        </row>
        <row r="3307">
          <cell r="A3307">
            <v>8313531</v>
          </cell>
          <cell r="B3307">
            <v>112918</v>
          </cell>
          <cell r="C3307">
            <v>831</v>
          </cell>
          <cell r="D3307" t="str">
            <v>Derby</v>
          </cell>
          <cell r="E3307">
            <v>3531</v>
          </cell>
          <cell r="F3307" t="str">
            <v>Frances Blow</v>
          </cell>
          <cell r="G3307" t="str">
            <v>St George's Catholic Primary School</v>
          </cell>
          <cell r="H3307" t="str">
            <v>East Midlands</v>
          </cell>
          <cell r="I3307" t="str">
            <v>Uplands Avenue</v>
          </cell>
          <cell r="J3307" t="str">
            <v>Littleover</v>
          </cell>
          <cell r="L3307" t="str">
            <v>Derby</v>
          </cell>
          <cell r="M3307" t="str">
            <v>Derbyshire</v>
          </cell>
          <cell r="N3307" t="str">
            <v>DE23 1GG</v>
          </cell>
          <cell r="O3307" t="str">
            <v>head@stgeorges.derby.sch.uk</v>
          </cell>
          <cell r="P3307">
            <v>41031</v>
          </cell>
        </row>
        <row r="3308">
          <cell r="A3308">
            <v>9252183</v>
          </cell>
          <cell r="B3308">
            <v>120470</v>
          </cell>
          <cell r="C3308">
            <v>925</v>
          </cell>
          <cell r="D3308" t="str">
            <v>Lincolnshire</v>
          </cell>
          <cell r="E3308">
            <v>2183</v>
          </cell>
          <cell r="F3308" t="str">
            <v>Grant Dyson</v>
          </cell>
          <cell r="G3308" t="str">
            <v>North Thoresby Primary School</v>
          </cell>
          <cell r="H3308" t="str">
            <v>East Midlands</v>
          </cell>
          <cell r="I3308" t="str">
            <v>High Street</v>
          </cell>
          <cell r="J3308" t="str">
            <v>North Thoresby</v>
          </cell>
          <cell r="L3308" t="str">
            <v>Grimsby</v>
          </cell>
          <cell r="M3308" t="str">
            <v>Lincolnshire</v>
          </cell>
          <cell r="N3308" t="str">
            <v>DN36 5PL</v>
          </cell>
          <cell r="O3308" t="str">
            <v>sarah.hall@utterby.lincs.sch.uk</v>
          </cell>
          <cell r="P3308">
            <v>41068</v>
          </cell>
        </row>
        <row r="3309">
          <cell r="A3309">
            <v>8783058</v>
          </cell>
          <cell r="B3309">
            <v>113374</v>
          </cell>
          <cell r="C3309">
            <v>878</v>
          </cell>
          <cell r="D3309" t="str">
            <v>Devon</v>
          </cell>
          <cell r="E3309">
            <v>3058</v>
          </cell>
          <cell r="F3309" t="str">
            <v>Dominic Wilson</v>
          </cell>
          <cell r="G3309" t="str">
            <v>Burrington Church of England Controlled Primary School</v>
          </cell>
          <cell r="H3309" t="str">
            <v>South West</v>
          </cell>
          <cell r="I3309" t="str">
            <v>Burrington</v>
          </cell>
          <cell r="L3309" t="str">
            <v>Umberleigh</v>
          </cell>
          <cell r="M3309" t="str">
            <v>Devon</v>
          </cell>
          <cell r="N3309" t="str">
            <v>EX37 9JG</v>
          </cell>
          <cell r="O3309" t="str">
            <v>admin@burrington-primary.devon.sch.uk</v>
          </cell>
          <cell r="P3309">
            <v>40670</v>
          </cell>
        </row>
        <row r="3310">
          <cell r="A3310">
            <v>3162043</v>
          </cell>
          <cell r="B3310">
            <v>102732</v>
          </cell>
          <cell r="C3310">
            <v>316</v>
          </cell>
          <cell r="D3310" t="str">
            <v>Newham</v>
          </cell>
          <cell r="E3310">
            <v>2043</v>
          </cell>
          <cell r="F3310" t="str">
            <v>Sheila Longstaff</v>
          </cell>
          <cell r="G3310" t="str">
            <v>Ranelagh Primary School</v>
          </cell>
          <cell r="H3310" t="str">
            <v>London</v>
          </cell>
          <cell r="I3310" t="str">
            <v>Corporation Street</v>
          </cell>
          <cell r="J3310" t="str">
            <v>Stratford</v>
          </cell>
          <cell r="L3310" t="str">
            <v>London</v>
          </cell>
          <cell r="N3310" t="str">
            <v>E15 3DN</v>
          </cell>
          <cell r="O3310" t="str">
            <v>atapscott@ranelagh.newham.sch.uk</v>
          </cell>
        </row>
        <row r="3311">
          <cell r="A3311">
            <v>8554041</v>
          </cell>
          <cell r="B3311">
            <v>120262</v>
          </cell>
          <cell r="C3311">
            <v>855</v>
          </cell>
          <cell r="D3311" t="str">
            <v>Leicestershire</v>
          </cell>
          <cell r="E3311">
            <v>4041</v>
          </cell>
          <cell r="F3311" t="str">
            <v>Stephen Standret</v>
          </cell>
          <cell r="G3311" t="str">
            <v>Gartree High School Oadby</v>
          </cell>
          <cell r="H3311" t="str">
            <v>East Midlands</v>
          </cell>
          <cell r="I3311" t="str">
            <v>Ridge Way</v>
          </cell>
          <cell r="J3311" t="str">
            <v>Oadby</v>
          </cell>
          <cell r="L3311" t="str">
            <v>Leicester</v>
          </cell>
          <cell r="M3311" t="str">
            <v>Leicestershire</v>
          </cell>
          <cell r="N3311" t="str">
            <v>LE2 5TQ</v>
          </cell>
          <cell r="O3311" t="str">
            <v>ssingleton@gartree.leics.sch.uk</v>
          </cell>
          <cell r="P3311">
            <v>40899</v>
          </cell>
        </row>
        <row r="3312">
          <cell r="A3312">
            <v>3112085</v>
          </cell>
          <cell r="B3312">
            <v>102320</v>
          </cell>
          <cell r="C3312">
            <v>311</v>
          </cell>
          <cell r="D3312" t="str">
            <v>Havering</v>
          </cell>
          <cell r="E3312">
            <v>2085</v>
          </cell>
          <cell r="F3312" t="str">
            <v>Kiran Teli</v>
          </cell>
          <cell r="G3312" t="str">
            <v>Pyrgo Priory School</v>
          </cell>
          <cell r="H3312" t="str">
            <v>London</v>
          </cell>
          <cell r="I3312" t="str">
            <v>Settle Road</v>
          </cell>
          <cell r="J3312" t="str">
            <v>Harold Hill</v>
          </cell>
          <cell r="L3312" t="str">
            <v>Romford</v>
          </cell>
          <cell r="M3312" t="str">
            <v>Essex</v>
          </cell>
          <cell r="N3312" t="str">
            <v>RM3 9RT</v>
          </cell>
          <cell r="O3312" t="str">
            <v>lucas@pyrgo.havering.sch.uk</v>
          </cell>
          <cell r="P3312">
            <v>41235</v>
          </cell>
        </row>
        <row r="3313">
          <cell r="A3313">
            <v>8825414</v>
          </cell>
          <cell r="B3313">
            <v>115330</v>
          </cell>
          <cell r="C3313">
            <v>882</v>
          </cell>
          <cell r="D3313" t="str">
            <v>Southend-on-Sea</v>
          </cell>
          <cell r="E3313">
            <v>5414</v>
          </cell>
          <cell r="F3313" t="str">
            <v>Michael Cook</v>
          </cell>
          <cell r="G3313" t="str">
            <v>The Eastwood School</v>
          </cell>
          <cell r="H3313" t="str">
            <v>East of England</v>
          </cell>
          <cell r="I3313" t="str">
            <v>Rayleigh Road</v>
          </cell>
          <cell r="L3313" t="str">
            <v>Leigh-on-Sea</v>
          </cell>
          <cell r="M3313" t="str">
            <v>Essex</v>
          </cell>
          <cell r="N3313" t="str">
            <v>SS9 5UU</v>
          </cell>
          <cell r="O3313" t="str">
            <v>NHouchen@eastwood.southend.sch.uk</v>
          </cell>
          <cell r="P3313">
            <v>40634</v>
          </cell>
        </row>
        <row r="3314">
          <cell r="A3314">
            <v>8783774</v>
          </cell>
          <cell r="B3314">
            <v>133780</v>
          </cell>
          <cell r="C3314">
            <v>878</v>
          </cell>
          <cell r="D3314" t="str">
            <v>Devon</v>
          </cell>
          <cell r="E3314">
            <v>3774</v>
          </cell>
          <cell r="F3314" t="str">
            <v>Ali Bushell</v>
          </cell>
          <cell r="G3314" t="str">
            <v>Inverteign Community Nursery and Primary School</v>
          </cell>
          <cell r="H3314" t="str">
            <v>South West</v>
          </cell>
          <cell r="I3314" t="str">
            <v>Mill Lane</v>
          </cell>
          <cell r="L3314" t="str">
            <v>Teignmouth</v>
          </cell>
          <cell r="M3314" t="str">
            <v>Devon</v>
          </cell>
          <cell r="N3314" t="str">
            <v>TQ14 9BB</v>
          </cell>
          <cell r="P3314">
            <v>40522</v>
          </cell>
        </row>
        <row r="3315">
          <cell r="A3315">
            <v>8712195</v>
          </cell>
          <cell r="B3315">
            <v>136179</v>
          </cell>
          <cell r="C3315">
            <v>871</v>
          </cell>
          <cell r="D3315" t="str">
            <v>Slough</v>
          </cell>
          <cell r="E3315">
            <v>2195</v>
          </cell>
          <cell r="F3315" t="str">
            <v>Lindsay Morris</v>
          </cell>
          <cell r="G3315" t="str">
            <v>Willow Primary School</v>
          </cell>
          <cell r="H3315" t="str">
            <v>South East</v>
          </cell>
          <cell r="I3315" t="str">
            <v>Wexham Road</v>
          </cell>
          <cell r="L3315" t="str">
            <v>Slough</v>
          </cell>
          <cell r="M3315" t="str">
            <v>Berkshire</v>
          </cell>
          <cell r="N3315" t="str">
            <v>SL2 5JD</v>
          </cell>
          <cell r="O3315" t="str">
            <v>head@willow.slough.sch.uk</v>
          </cell>
        </row>
        <row r="3316">
          <cell r="A3316">
            <v>8225406</v>
          </cell>
          <cell r="B3316">
            <v>109710</v>
          </cell>
          <cell r="C3316">
            <v>822</v>
          </cell>
          <cell r="D3316" t="str">
            <v>Bedford</v>
          </cell>
          <cell r="E3316">
            <v>5406</v>
          </cell>
          <cell r="F3316" t="str">
            <v>Kish Chetty</v>
          </cell>
          <cell r="G3316" t="str">
            <v>Wootton Upper School &amp; Arts College</v>
          </cell>
          <cell r="H3316" t="str">
            <v>East of England</v>
          </cell>
          <cell r="I3316" t="str">
            <v>Hall End Road</v>
          </cell>
          <cell r="J3316" t="str">
            <v>Wootton</v>
          </cell>
          <cell r="L3316" t="str">
            <v>Bedford</v>
          </cell>
          <cell r="M3316" t="str">
            <v>Bedfordshire</v>
          </cell>
          <cell r="N3316" t="str">
            <v>MK43 9HT</v>
          </cell>
          <cell r="O3316" t="str">
            <v>wootton@wootton.beds.sch.uk</v>
          </cell>
          <cell r="P3316">
            <v>40625</v>
          </cell>
        </row>
        <row r="3317">
          <cell r="A3317">
            <v>3564036</v>
          </cell>
          <cell r="B3317">
            <v>106137</v>
          </cell>
          <cell r="C3317">
            <v>356</v>
          </cell>
          <cell r="D3317" t="str">
            <v>Stockport</v>
          </cell>
          <cell r="E3317">
            <v>4036</v>
          </cell>
          <cell r="F3317" t="str">
            <v>Pat Murison</v>
          </cell>
          <cell r="G3317" t="str">
            <v>Hazel Grove High School</v>
          </cell>
          <cell r="H3317" t="str">
            <v>North West</v>
          </cell>
          <cell r="I3317" t="str">
            <v>Jacksons Lane</v>
          </cell>
          <cell r="J3317" t="str">
            <v>Hazel Grove</v>
          </cell>
          <cell r="L3317" t="str">
            <v>Stockport</v>
          </cell>
          <cell r="M3317" t="str">
            <v>Cheshire</v>
          </cell>
          <cell r="N3317" t="str">
            <v>SK7 5JX</v>
          </cell>
          <cell r="O3317" t="str">
            <v>nolanj@hazelgrovehigh.stockport.sch.uk</v>
          </cell>
          <cell r="P3317">
            <v>40794</v>
          </cell>
        </row>
        <row r="3318">
          <cell r="A3318">
            <v>8964158</v>
          </cell>
          <cell r="B3318">
            <v>111424</v>
          </cell>
          <cell r="C3318">
            <v>896</v>
          </cell>
          <cell r="D3318" t="str">
            <v>Cheshire West and Chester</v>
          </cell>
          <cell r="E3318">
            <v>4158</v>
          </cell>
          <cell r="F3318" t="str">
            <v>Not yet assigned</v>
          </cell>
          <cell r="G3318" t="str">
            <v>Bishop Heber High School</v>
          </cell>
          <cell r="H3318" t="str">
            <v>North West</v>
          </cell>
          <cell r="I3318" t="str">
            <v>Chester Road</v>
          </cell>
          <cell r="L3318" t="str">
            <v>Malpas</v>
          </cell>
          <cell r="M3318" t="str">
            <v>Cheshire</v>
          </cell>
          <cell r="N3318" t="str">
            <v>SY14 8JD</v>
          </cell>
          <cell r="O3318" t="str">
            <v>dcurry@bishopheber.cheshire.sch.uk</v>
          </cell>
        </row>
        <row r="3319">
          <cell r="A3319">
            <v>9332250</v>
          </cell>
          <cell r="B3319">
            <v>123716</v>
          </cell>
          <cell r="C3319">
            <v>933</v>
          </cell>
          <cell r="D3319" t="str">
            <v>Somerset</v>
          </cell>
          <cell r="E3319">
            <v>2250</v>
          </cell>
          <cell r="F3319" t="str">
            <v>Maria Whiting</v>
          </cell>
          <cell r="G3319" t="str">
            <v>Wedmore First School</v>
          </cell>
          <cell r="H3319" t="str">
            <v>South West</v>
          </cell>
          <cell r="I3319" t="str">
            <v>Blackford Road</v>
          </cell>
          <cell r="L3319" t="str">
            <v>Wedmore</v>
          </cell>
          <cell r="M3319" t="str">
            <v>Somerset</v>
          </cell>
          <cell r="N3319" t="str">
            <v>BS28 4BS</v>
          </cell>
          <cell r="O3319" t="str">
            <v>jhipwell@educ.somerset.gov.uk</v>
          </cell>
          <cell r="P3319">
            <v>40639</v>
          </cell>
        </row>
        <row r="3320">
          <cell r="A3320">
            <v>8737021</v>
          </cell>
          <cell r="B3320">
            <v>110949</v>
          </cell>
          <cell r="C3320">
            <v>873</v>
          </cell>
          <cell r="D3320" t="str">
            <v>Cambridgeshire</v>
          </cell>
          <cell r="E3320">
            <v>7021</v>
          </cell>
          <cell r="F3320" t="str">
            <v>Gabriela Grimley</v>
          </cell>
          <cell r="G3320" t="str">
            <v>Meadowgate School</v>
          </cell>
          <cell r="H3320" t="str">
            <v>East of England</v>
          </cell>
          <cell r="I3320" t="str">
            <v>Meadowgate Lane</v>
          </cell>
          <cell r="L3320" t="str">
            <v>Wisbech</v>
          </cell>
          <cell r="M3320" t="str">
            <v>Cambridgeshire</v>
          </cell>
          <cell r="N3320" t="str">
            <v>PE13 2JH</v>
          </cell>
          <cell r="O3320" t="str">
            <v>jmcpherson@meadowgate.cambs.sch.uk</v>
          </cell>
          <cell r="P3320">
            <v>40983</v>
          </cell>
        </row>
        <row r="3321">
          <cell r="A3321">
            <v>8662001</v>
          </cell>
          <cell r="B3321">
            <v>131572</v>
          </cell>
          <cell r="C3321">
            <v>866</v>
          </cell>
          <cell r="D3321" t="str">
            <v>Swindon</v>
          </cell>
          <cell r="E3321">
            <v>2001</v>
          </cell>
          <cell r="F3321" t="str">
            <v>Theresa Oddelm</v>
          </cell>
          <cell r="G3321" t="str">
            <v>Peatmoor Community Primary School</v>
          </cell>
          <cell r="H3321" t="str">
            <v>South West</v>
          </cell>
          <cell r="I3321" t="str">
            <v>Pepperbox Hill</v>
          </cell>
          <cell r="J3321" t="str">
            <v>Peatmoor</v>
          </cell>
          <cell r="L3321" t="str">
            <v>Swindon</v>
          </cell>
          <cell r="M3321" t="str">
            <v>Wiltshire</v>
          </cell>
          <cell r="N3321" t="str">
            <v>SN5 5DP</v>
          </cell>
          <cell r="O3321" t="str">
            <v>head@peatmoor.swindon.sch.uk</v>
          </cell>
          <cell r="P3321">
            <v>41254</v>
          </cell>
        </row>
        <row r="3322">
          <cell r="A3322">
            <v>3584016</v>
          </cell>
          <cell r="B3322">
            <v>106366</v>
          </cell>
          <cell r="C3322">
            <v>358</v>
          </cell>
          <cell r="D3322" t="str">
            <v>Trafford</v>
          </cell>
          <cell r="E3322">
            <v>4016</v>
          </cell>
          <cell r="F3322" t="str">
            <v>Ruth Pallister</v>
          </cell>
          <cell r="G3322" t="str">
            <v>Wellacre Technology College</v>
          </cell>
          <cell r="H3322" t="str">
            <v>North West</v>
          </cell>
          <cell r="I3322" t="str">
            <v>Irlam Road</v>
          </cell>
          <cell r="J3322" t="str">
            <v>Flixton</v>
          </cell>
          <cell r="K3322" t="str">
            <v>Urmston</v>
          </cell>
          <cell r="L3322" t="str">
            <v>Manchester</v>
          </cell>
          <cell r="N3322" t="str">
            <v>M41 6AP</v>
          </cell>
          <cell r="O3322" t="str">
            <v>r.howell@wellacre.org</v>
          </cell>
          <cell r="P3322">
            <v>40357</v>
          </cell>
        </row>
        <row r="3323">
          <cell r="A3323">
            <v>9354102</v>
          </cell>
          <cell r="B3323">
            <v>124852</v>
          </cell>
          <cell r="C3323">
            <v>935</v>
          </cell>
          <cell r="D3323" t="str">
            <v>Suffolk</v>
          </cell>
          <cell r="E3323">
            <v>4102</v>
          </cell>
          <cell r="F3323" t="str">
            <v>Claire Read</v>
          </cell>
          <cell r="G3323" t="str">
            <v>Samuel Ward Arts and Technology College</v>
          </cell>
          <cell r="H3323" t="str">
            <v>East of England</v>
          </cell>
          <cell r="I3323" t="str">
            <v>Chalkstone Way</v>
          </cell>
          <cell r="L3323" t="str">
            <v>Haverhill</v>
          </cell>
          <cell r="M3323" t="str">
            <v>Suffolk</v>
          </cell>
          <cell r="N3323" t="str">
            <v>CB9 0LD</v>
          </cell>
          <cell r="O3323" t="str">
            <v xml:space="preserve"> hlay@samuelward.suffolk.sch.uk</v>
          </cell>
          <cell r="P3323">
            <v>40359</v>
          </cell>
        </row>
        <row r="3324">
          <cell r="A3324">
            <v>9253121</v>
          </cell>
          <cell r="B3324">
            <v>120569</v>
          </cell>
          <cell r="C3324">
            <v>925</v>
          </cell>
          <cell r="D3324" t="str">
            <v>Lincolnshire</v>
          </cell>
          <cell r="E3324">
            <v>3121</v>
          </cell>
          <cell r="F3324" t="str">
            <v>Sue Harp</v>
          </cell>
          <cell r="G3324" t="str">
            <v>Dunholme St Chad's Church of England Primary School</v>
          </cell>
          <cell r="H3324" t="str">
            <v>East Midlands</v>
          </cell>
          <cell r="I3324" t="str">
            <v>Ryland Road</v>
          </cell>
          <cell r="J3324" t="str">
            <v>Dunholme</v>
          </cell>
          <cell r="L3324" t="str">
            <v>Lincoln</v>
          </cell>
          <cell r="M3324" t="str">
            <v>Lincolnshire</v>
          </cell>
          <cell r="N3324" t="str">
            <v>LN2 3NE</v>
          </cell>
          <cell r="O3324" t="str">
            <v>Mrs Patricia Ruff</v>
          </cell>
        </row>
        <row r="3325">
          <cell r="A3325">
            <v>9194117</v>
          </cell>
          <cell r="B3325">
            <v>117535</v>
          </cell>
          <cell r="C3325">
            <v>919</v>
          </cell>
          <cell r="D3325" t="str">
            <v>Hertfordshire</v>
          </cell>
          <cell r="E3325">
            <v>4117</v>
          </cell>
          <cell r="F3325" t="str">
            <v>Aminat Alli</v>
          </cell>
          <cell r="G3325" t="str">
            <v>The Sele School</v>
          </cell>
          <cell r="H3325" t="str">
            <v>East of England</v>
          </cell>
          <cell r="I3325" t="str">
            <v>Welwyn Road</v>
          </cell>
          <cell r="L3325" t="str">
            <v>Hertford</v>
          </cell>
          <cell r="M3325" t="str">
            <v>Hertfordshire</v>
          </cell>
          <cell r="N3325" t="str">
            <v>SG14 2DG</v>
          </cell>
          <cell r="O3325" t="str">
            <v>head@sele.herts.sch.uk</v>
          </cell>
          <cell r="P3325">
            <v>40707</v>
          </cell>
        </row>
        <row r="3326">
          <cell r="A3326">
            <v>3305414</v>
          </cell>
          <cell r="B3326">
            <v>103561</v>
          </cell>
          <cell r="C3326">
            <v>330</v>
          </cell>
          <cell r="D3326" t="str">
            <v>Birmingham</v>
          </cell>
          <cell r="E3326">
            <v>5414</v>
          </cell>
          <cell r="F3326" t="str">
            <v>Lilian Da Cunha</v>
          </cell>
          <cell r="G3326" t="str">
            <v>Kings Norton Girls' School and Language College</v>
          </cell>
          <cell r="H3326" t="str">
            <v>West Midlands</v>
          </cell>
          <cell r="I3326" t="str">
            <v>Selly Oak Road</v>
          </cell>
          <cell r="L3326" t="str">
            <v>Birmingham</v>
          </cell>
          <cell r="M3326" t="str">
            <v>West Midlands</v>
          </cell>
          <cell r="N3326" t="str">
            <v>B30 1HW</v>
          </cell>
          <cell r="O3326" t="str">
            <v>gfox@kingsnortongirls.bham.sch.uk</v>
          </cell>
          <cell r="P3326">
            <v>40557</v>
          </cell>
        </row>
        <row r="3327">
          <cell r="A3327">
            <v>8784053</v>
          </cell>
          <cell r="B3327">
            <v>113508</v>
          </cell>
          <cell r="C3327">
            <v>878</v>
          </cell>
          <cell r="D3327" t="str">
            <v>Devon</v>
          </cell>
          <cell r="E3327">
            <v>4053</v>
          </cell>
          <cell r="F3327" t="str">
            <v>Kate Bosher</v>
          </cell>
          <cell r="G3327" t="str">
            <v>Braunton School and Community College</v>
          </cell>
          <cell r="H3327" t="str">
            <v>South West</v>
          </cell>
          <cell r="I3327" t="str">
            <v>Barton Lane</v>
          </cell>
          <cell r="L3327" t="str">
            <v>Braunton</v>
          </cell>
          <cell r="M3327" t="str">
            <v>Devon</v>
          </cell>
          <cell r="N3327" t="str">
            <v>EX33 2BP</v>
          </cell>
          <cell r="O3327" t="str">
            <v>dsharratt@braunton.devon.sch.uk</v>
          </cell>
          <cell r="P3327">
            <v>40708</v>
          </cell>
        </row>
        <row r="3328">
          <cell r="A3328">
            <v>9253361</v>
          </cell>
          <cell r="B3328">
            <v>120625</v>
          </cell>
          <cell r="C3328">
            <v>925</v>
          </cell>
          <cell r="D3328" t="str">
            <v>Lincolnshire</v>
          </cell>
          <cell r="E3328">
            <v>3361</v>
          </cell>
          <cell r="F3328" t="str">
            <v>Grant Dyson</v>
          </cell>
          <cell r="G3328" t="str">
            <v>Frances Olive Anderson Church of England (Aided) Primary School</v>
          </cell>
          <cell r="H3328" t="str">
            <v>East Midlands</v>
          </cell>
          <cell r="I3328" t="str">
            <v>The Grove</v>
          </cell>
          <cell r="J3328" t="str">
            <v>Lea</v>
          </cell>
          <cell r="L3328" t="str">
            <v>Gainsborough</v>
          </cell>
          <cell r="M3328" t="str">
            <v>Lincolnshire</v>
          </cell>
          <cell r="N3328" t="str">
            <v>DN21 5EP</v>
          </cell>
          <cell r="O3328" t="str">
            <v>enquiries@olive-anderson.lincs.sch.uk</v>
          </cell>
        </row>
        <row r="3329">
          <cell r="A3329">
            <v>8237010</v>
          </cell>
          <cell r="B3329">
            <v>109740</v>
          </cell>
          <cell r="C3329">
            <v>823</v>
          </cell>
          <cell r="D3329" t="str">
            <v>Central Bedfordshire</v>
          </cell>
          <cell r="E3329">
            <v>7010</v>
          </cell>
          <cell r="F3329" t="str">
            <v>Michael Cook</v>
          </cell>
          <cell r="G3329" t="str">
            <v>Hillcrest School</v>
          </cell>
          <cell r="H3329" t="str">
            <v>East of England</v>
          </cell>
          <cell r="I3329" t="str">
            <v>Regis Education Centre</v>
          </cell>
          <cell r="J3329" t="str">
            <v>Parkside Drive</v>
          </cell>
          <cell r="K3329" t="str">
            <v>Houghton Regis</v>
          </cell>
          <cell r="L3329" t="str">
            <v>Dunstable</v>
          </cell>
          <cell r="M3329" t="str">
            <v>Bedfordshire</v>
          </cell>
          <cell r="N3329" t="str">
            <v>LU5 5PX</v>
          </cell>
          <cell r="O3329" t="str">
            <v>pskingley@hillcrest.beds.sch.uk</v>
          </cell>
        </row>
        <row r="3330">
          <cell r="A3330">
            <v>9284053</v>
          </cell>
          <cell r="B3330">
            <v>122065</v>
          </cell>
          <cell r="C3330">
            <v>928</v>
          </cell>
          <cell r="D3330" t="str">
            <v>Northamptonshire</v>
          </cell>
          <cell r="E3330">
            <v>4053</v>
          </cell>
          <cell r="F3330" t="str">
            <v>Bev Mullin</v>
          </cell>
          <cell r="G3330" t="str">
            <v>Danetre School</v>
          </cell>
          <cell r="H3330" t="str">
            <v>East Midlands</v>
          </cell>
          <cell r="I3330" t="str">
            <v>Hawke Road</v>
          </cell>
          <cell r="J3330" t="str">
            <v>Southbrook</v>
          </cell>
          <cell r="L3330" t="str">
            <v>Daventry</v>
          </cell>
          <cell r="M3330" t="str">
            <v>Northamptonshire</v>
          </cell>
          <cell r="N3330" t="str">
            <v>NN11 4LJ</v>
          </cell>
          <cell r="O3330" t="str">
            <v>d.howell@danetre.northants.sch.uk /  djmhowell@hotmail.com</v>
          </cell>
          <cell r="P3330">
            <v>40704</v>
          </cell>
        </row>
        <row r="3331">
          <cell r="A3331">
            <v>8404192</v>
          </cell>
          <cell r="B3331">
            <v>114311</v>
          </cell>
          <cell r="C3331">
            <v>840</v>
          </cell>
          <cell r="D3331" t="str">
            <v>Durham</v>
          </cell>
          <cell r="E3331">
            <v>4192</v>
          </cell>
          <cell r="F3331" t="str">
            <v>Carol Blain</v>
          </cell>
          <cell r="G3331" t="str">
            <v>Durham Community Business College for Technology and Enterprise</v>
          </cell>
          <cell r="H3331" t="str">
            <v>North East</v>
          </cell>
          <cell r="I3331" t="str">
            <v>Bracken Court</v>
          </cell>
          <cell r="J3331" t="str">
            <v>Ushaw Moor</v>
          </cell>
          <cell r="L3331" t="str">
            <v>Durham</v>
          </cell>
          <cell r="N3331" t="str">
            <v>DH7 7NG</v>
          </cell>
          <cell r="O3331" t="str">
            <v>durhamcbc@durhamlearning.net</v>
          </cell>
        </row>
        <row r="3332">
          <cell r="A3332">
            <v>9351102</v>
          </cell>
          <cell r="B3332">
            <v>124528</v>
          </cell>
          <cell r="C3332">
            <v>935</v>
          </cell>
          <cell r="D3332" t="str">
            <v>Suffolk</v>
          </cell>
          <cell r="E3332">
            <v>1102</v>
          </cell>
          <cell r="F3332" t="str">
            <v>Eric Mcewen</v>
          </cell>
          <cell r="G3332" t="str">
            <v>Westbridge Pupil Referral Unit</v>
          </cell>
          <cell r="H3332" t="str">
            <v>East of England</v>
          </cell>
          <cell r="I3332" t="str">
            <v>London Road</v>
          </cell>
          <cell r="L3332" t="str">
            <v>Ipswich</v>
          </cell>
          <cell r="M3332" t="str">
            <v>Suffolk</v>
          </cell>
          <cell r="N3332" t="str">
            <v>IP1 2HE</v>
          </cell>
          <cell r="O3332" t="str">
            <v>ht.westbridge.pru@talk21.com</v>
          </cell>
        </row>
        <row r="3333">
          <cell r="A3333">
            <v>3834114</v>
          </cell>
          <cell r="B3333">
            <v>108091</v>
          </cell>
          <cell r="C3333">
            <v>383</v>
          </cell>
          <cell r="D3333" t="str">
            <v>Leeds</v>
          </cell>
          <cell r="E3333">
            <v>4114</v>
          </cell>
          <cell r="G3333" t="str">
            <v>Boston Spa School</v>
          </cell>
          <cell r="H3333" t="str">
            <v>Yorkshire and the Humber</v>
          </cell>
          <cell r="I3333" t="str">
            <v>Clifford Moor Road</v>
          </cell>
          <cell r="J3333" t="str">
            <v>Boston Spa</v>
          </cell>
          <cell r="L3333" t="str">
            <v>Wetherby</v>
          </cell>
          <cell r="M3333" t="str">
            <v>West Yorkshire</v>
          </cell>
          <cell r="N3333" t="str">
            <v>LS23 6RW</v>
          </cell>
          <cell r="O3333" t="str">
            <v>harperpm01@leedslearning.net</v>
          </cell>
        </row>
        <row r="3334">
          <cell r="A3334">
            <v>3305407</v>
          </cell>
          <cell r="B3334">
            <v>103554</v>
          </cell>
          <cell r="C3334">
            <v>330</v>
          </cell>
          <cell r="D3334" t="str">
            <v>Birmingham</v>
          </cell>
          <cell r="E3334">
            <v>5407</v>
          </cell>
          <cell r="F3334" t="str">
            <v>Lilian Da Cunha</v>
          </cell>
          <cell r="G3334" t="str">
            <v>King Edward VI Camp Hill School for Boys</v>
          </cell>
          <cell r="H3334" t="str">
            <v>West Midlands</v>
          </cell>
          <cell r="I3334" t="str">
            <v>Vicarage Road</v>
          </cell>
          <cell r="J3334" t="str">
            <v>Kings Heath</v>
          </cell>
          <cell r="L3334" t="str">
            <v>Birmingham</v>
          </cell>
          <cell r="M3334" t="str">
            <v>West Midlands</v>
          </cell>
          <cell r="N3334" t="str">
            <v>B14 7QJ</v>
          </cell>
          <cell r="O3334" t="str">
            <v>headmaster@camphillboys.bham.sch.uk</v>
          </cell>
          <cell r="P3334">
            <v>40511</v>
          </cell>
        </row>
        <row r="3335">
          <cell r="A3335">
            <v>8412001</v>
          </cell>
          <cell r="B3335">
            <v>132207</v>
          </cell>
          <cell r="C3335">
            <v>841</v>
          </cell>
          <cell r="D3335" t="str">
            <v>Darlington</v>
          </cell>
          <cell r="E3335">
            <v>2001</v>
          </cell>
          <cell r="F3335" t="str">
            <v>Alan Large</v>
          </cell>
          <cell r="G3335" t="str">
            <v>Firthmoor Primary School</v>
          </cell>
          <cell r="H3335" t="str">
            <v>North East</v>
          </cell>
          <cell r="I3335" t="str">
            <v>Ingleby Moor Crescent</v>
          </cell>
          <cell r="L3335" t="str">
            <v>Darlington</v>
          </cell>
          <cell r="M3335" t="str">
            <v>County Durham</v>
          </cell>
          <cell r="N3335" t="str">
            <v>DL1 4RW</v>
          </cell>
          <cell r="O3335" t="str">
            <v>headteacher@firthmoor.darlington.sch.uk</v>
          </cell>
          <cell r="P3335">
            <v>40921</v>
          </cell>
        </row>
        <row r="3336">
          <cell r="A3336">
            <v>9382139</v>
          </cell>
          <cell r="B3336">
            <v>125893</v>
          </cell>
          <cell r="C3336">
            <v>938</v>
          </cell>
          <cell r="D3336" t="str">
            <v>West Sussex</v>
          </cell>
          <cell r="E3336">
            <v>2139</v>
          </cell>
          <cell r="F3336" t="str">
            <v>Bukky Sawyerr</v>
          </cell>
          <cell r="G3336" t="str">
            <v>Seymour Primary School</v>
          </cell>
          <cell r="H3336" t="str">
            <v>South East</v>
          </cell>
          <cell r="I3336" t="str">
            <v>Seymour Road</v>
          </cell>
          <cell r="J3336" t="str">
            <v>Broadfield</v>
          </cell>
          <cell r="L3336" t="str">
            <v>Crawley</v>
          </cell>
          <cell r="M3336" t="str">
            <v>West Sussex</v>
          </cell>
          <cell r="N3336" t="str">
            <v>RH11 9ES</v>
          </cell>
          <cell r="O3336" t="str">
            <v>head@seymour.w-sussex.sch.uk</v>
          </cell>
          <cell r="P3336">
            <v>40983</v>
          </cell>
        </row>
        <row r="3337">
          <cell r="A3337">
            <v>3513334</v>
          </cell>
          <cell r="B3337">
            <v>105342</v>
          </cell>
          <cell r="C3337">
            <v>351</v>
          </cell>
          <cell r="D3337" t="str">
            <v>Bury</v>
          </cell>
          <cell r="E3337">
            <v>3334</v>
          </cell>
          <cell r="F3337" t="str">
            <v>Viv Clutton</v>
          </cell>
          <cell r="G3337" t="str">
            <v>St Mary's Church of England Aided Primary School, Prestwich</v>
          </cell>
          <cell r="H3337" t="str">
            <v>North West</v>
          </cell>
          <cell r="I3337" t="str">
            <v>Rectory Lane</v>
          </cell>
          <cell r="J3337" t="str">
            <v>Prestwich</v>
          </cell>
          <cell r="L3337" t="str">
            <v>Manchester</v>
          </cell>
          <cell r="M3337" t="str">
            <v>Lancashire</v>
          </cell>
          <cell r="N3337" t="str">
            <v>M25 1BP</v>
          </cell>
          <cell r="O3337" t="str">
            <v>j.p.fish@bury.gov.uk</v>
          </cell>
        </row>
        <row r="3338">
          <cell r="A3338">
            <v>9377046</v>
          </cell>
          <cell r="B3338">
            <v>123974</v>
          </cell>
          <cell r="C3338">
            <v>937</v>
          </cell>
          <cell r="D3338" t="str">
            <v>Warwickshire</v>
          </cell>
          <cell r="E3338">
            <v>7046</v>
          </cell>
          <cell r="F3338" t="str">
            <v>Sally Gardiner</v>
          </cell>
          <cell r="G3338" t="str">
            <v>Oak Wood Secondary School</v>
          </cell>
          <cell r="H3338" t="str">
            <v>West Midlands</v>
          </cell>
          <cell r="I3338" t="str">
            <v>Morris Drive</v>
          </cell>
          <cell r="L3338" t="str">
            <v>Nuneaton</v>
          </cell>
          <cell r="M3338" t="str">
            <v>Warwickshire</v>
          </cell>
          <cell r="N3338" t="str">
            <v>CV11 4QH</v>
          </cell>
          <cell r="O3338" t="str">
            <v>head7046@we-learn.com</v>
          </cell>
          <cell r="P3338">
            <v>41249</v>
          </cell>
        </row>
        <row r="3339">
          <cell r="A3339">
            <v>8884026</v>
          </cell>
          <cell r="B3339">
            <v>119721</v>
          </cell>
          <cell r="C3339">
            <v>888</v>
          </cell>
          <cell r="D3339" t="str">
            <v>Lancashire</v>
          </cell>
          <cell r="E3339">
            <v>4026</v>
          </cell>
          <cell r="F3339" t="str">
            <v>Viv Clutton</v>
          </cell>
          <cell r="G3339" t="str">
            <v>Rhyddings Business and Enterprise School</v>
          </cell>
          <cell r="H3339" t="str">
            <v>North West</v>
          </cell>
          <cell r="I3339" t="str">
            <v>Haworth Street</v>
          </cell>
          <cell r="J3339" t="str">
            <v>Oswaldtwistle</v>
          </cell>
          <cell r="L3339" t="str">
            <v>Accrington</v>
          </cell>
          <cell r="M3339" t="str">
            <v>Lancashire</v>
          </cell>
          <cell r="N3339" t="str">
            <v>BB5 3EA</v>
          </cell>
          <cell r="O3339" t="str">
            <v>paultrickett@rhyddings.lancs.sch.uk</v>
          </cell>
        </row>
        <row r="3340">
          <cell r="A3340">
            <v>2082332</v>
          </cell>
          <cell r="B3340">
            <v>100573</v>
          </cell>
          <cell r="C3340">
            <v>208</v>
          </cell>
          <cell r="D3340" t="str">
            <v>Lambeth</v>
          </cell>
          <cell r="E3340">
            <v>2332</v>
          </cell>
          <cell r="F3340" t="str">
            <v>Andy West</v>
          </cell>
          <cell r="G3340" t="str">
            <v>Johanna Primary School</v>
          </cell>
          <cell r="H3340" t="str">
            <v>London</v>
          </cell>
          <cell r="I3340" t="str">
            <v>Johanna Street</v>
          </cell>
          <cell r="J3340" t="str">
            <v>Lower Marsh</v>
          </cell>
          <cell r="L3340" t="str">
            <v>London</v>
          </cell>
          <cell r="N3340" t="str">
            <v>SE1 7RH</v>
          </cell>
          <cell r="O3340" t="str">
            <v>sbm@johanna.lambeth.sch.uk</v>
          </cell>
          <cell r="P3340">
            <v>40633</v>
          </cell>
        </row>
        <row r="3341">
          <cell r="A3341">
            <v>8733383</v>
          </cell>
          <cell r="B3341">
            <v>110859</v>
          </cell>
          <cell r="C3341">
            <v>873</v>
          </cell>
          <cell r="D3341" t="str">
            <v>Cambridgeshire</v>
          </cell>
          <cell r="E3341">
            <v>3383</v>
          </cell>
          <cell r="F3341" t="str">
            <v>Yvonne Reddington</v>
          </cell>
          <cell r="G3341" t="str">
            <v>All Saints Interchurch VA Primary School</v>
          </cell>
          <cell r="H3341" t="str">
            <v>East of England</v>
          </cell>
          <cell r="I3341" t="str">
            <v>County Road</v>
          </cell>
          <cell r="L3341" t="str">
            <v>March</v>
          </cell>
          <cell r="M3341" t="str">
            <v>Cambridgeshire</v>
          </cell>
          <cell r="N3341" t="str">
            <v>PE15 8ND</v>
          </cell>
          <cell r="O3341" t="str">
            <v>head@allsaints.cambs.sch.uk</v>
          </cell>
        </row>
        <row r="3342">
          <cell r="A3342">
            <v>8802438</v>
          </cell>
          <cell r="B3342">
            <v>113215</v>
          </cell>
          <cell r="C3342">
            <v>880</v>
          </cell>
          <cell r="D3342" t="str">
            <v>Torbay</v>
          </cell>
          <cell r="E3342">
            <v>2438</v>
          </cell>
          <cell r="F3342" t="str">
            <v>Ali Bushell</v>
          </cell>
          <cell r="G3342" t="str">
            <v>Oldway Primary School</v>
          </cell>
          <cell r="H3342" t="str">
            <v>South West</v>
          </cell>
          <cell r="I3342" t="str">
            <v>Higher Polsham Road</v>
          </cell>
          <cell r="L3342" t="str">
            <v>Paignton</v>
          </cell>
          <cell r="M3342" t="str">
            <v>Devon</v>
          </cell>
          <cell r="N3342" t="str">
            <v>TQ3 2SY</v>
          </cell>
          <cell r="O3342" t="str">
            <v>headteacher@oldwayschool.co.uk</v>
          </cell>
        </row>
        <row r="3343">
          <cell r="A3343">
            <v>9362445</v>
          </cell>
          <cell r="B3343">
            <v>125065</v>
          </cell>
          <cell r="C3343">
            <v>936</v>
          </cell>
          <cell r="D3343" t="str">
            <v>Surrey</v>
          </cell>
          <cell r="E3343">
            <v>2445</v>
          </cell>
          <cell r="F3343" t="str">
            <v>Gabriela Grimley</v>
          </cell>
          <cell r="G3343" t="str">
            <v>Meadowcroft Community Infant School</v>
          </cell>
          <cell r="H3343" t="str">
            <v>South East</v>
          </cell>
          <cell r="I3343" t="str">
            <v>Little Green Lane</v>
          </cell>
          <cell r="L3343" t="str">
            <v>Chertsey</v>
          </cell>
          <cell r="M3343" t="str">
            <v>Surrey</v>
          </cell>
          <cell r="N3343" t="str">
            <v>KT16 9PT</v>
          </cell>
          <cell r="O3343" t="str">
            <v>info@meadowcroft.surrey.sch.uk</v>
          </cell>
        </row>
        <row r="3344">
          <cell r="A3344">
            <v>8114007</v>
          </cell>
          <cell r="B3344">
            <v>118064</v>
          </cell>
          <cell r="C3344">
            <v>811</v>
          </cell>
          <cell r="D3344" t="str">
            <v>East Riding of Yorkshire</v>
          </cell>
          <cell r="E3344">
            <v>4007</v>
          </cell>
          <cell r="F3344" t="str">
            <v>Glyn Newton</v>
          </cell>
          <cell r="G3344" t="str">
            <v>Goole High School</v>
          </cell>
          <cell r="H3344" t="str">
            <v>Yorkshire and the Humber</v>
          </cell>
          <cell r="I3344" t="str">
            <v>Centenary Road</v>
          </cell>
          <cell r="L3344" t="str">
            <v>Goole</v>
          </cell>
          <cell r="N3344" t="str">
            <v>DN14 6AN</v>
          </cell>
          <cell r="O3344" t="str">
            <v>tomaszd@goolehighschool.org</v>
          </cell>
          <cell r="P3344">
            <v>40638</v>
          </cell>
        </row>
        <row r="3345">
          <cell r="A3345">
            <v>8605401</v>
          </cell>
          <cell r="B3345">
            <v>124466</v>
          </cell>
          <cell r="C3345">
            <v>860</v>
          </cell>
          <cell r="D3345" t="str">
            <v>Staffordshire</v>
          </cell>
          <cell r="E3345">
            <v>5401</v>
          </cell>
          <cell r="F3345" t="str">
            <v>Carol Ions</v>
          </cell>
          <cell r="G3345" t="str">
            <v>Cannock Chase High School</v>
          </cell>
          <cell r="H3345" t="str">
            <v>West Midlands</v>
          </cell>
          <cell r="I3345" t="str">
            <v>Hednesford Road</v>
          </cell>
          <cell r="L3345" t="str">
            <v>Cannock</v>
          </cell>
          <cell r="M3345" t="str">
            <v>Staffordshire</v>
          </cell>
          <cell r="N3345" t="str">
            <v>WS11 1JT</v>
          </cell>
          <cell r="O3345" t="str">
            <v>headteacher@cannockchase-high.staffs.sch.uk</v>
          </cell>
          <cell r="P3345">
            <v>40640</v>
          </cell>
        </row>
        <row r="3346">
          <cell r="A3346">
            <v>3062051</v>
          </cell>
          <cell r="B3346">
            <v>101746</v>
          </cell>
          <cell r="C3346">
            <v>306</v>
          </cell>
          <cell r="D3346" t="str">
            <v>Croydon</v>
          </cell>
          <cell r="E3346">
            <v>2051</v>
          </cell>
          <cell r="F3346" t="str">
            <v>Helen Barry</v>
          </cell>
          <cell r="G3346" t="str">
            <v>Winterbourne Nursery and Infants' School</v>
          </cell>
          <cell r="H3346" t="str">
            <v>London</v>
          </cell>
          <cell r="I3346" t="str">
            <v>Winterbourne Road</v>
          </cell>
          <cell r="L3346" t="str">
            <v>Thornton Heath</v>
          </cell>
          <cell r="M3346" t="str">
            <v>Surrey</v>
          </cell>
          <cell r="N3346" t="str">
            <v>CR7 7QT</v>
          </cell>
          <cell r="O3346" t="str">
            <v>tonyahmet@hotmail.com</v>
          </cell>
        </row>
        <row r="3347">
          <cell r="A3347">
            <v>8785400</v>
          </cell>
          <cell r="B3347">
            <v>113555</v>
          </cell>
          <cell r="C3347">
            <v>878</v>
          </cell>
          <cell r="D3347" t="str">
            <v>Devon</v>
          </cell>
          <cell r="E3347">
            <v>5400</v>
          </cell>
          <cell r="F3347" t="str">
            <v>Nigel Hutchins</v>
          </cell>
          <cell r="G3347" t="str">
            <v>Colyton Grammar School</v>
          </cell>
          <cell r="H3347" t="str">
            <v>South West</v>
          </cell>
          <cell r="I3347" t="str">
            <v>Whitwell Lane</v>
          </cell>
          <cell r="J3347" t="str">
            <v>Colyford</v>
          </cell>
          <cell r="L3347" t="str">
            <v>Colyton</v>
          </cell>
          <cell r="M3347" t="str">
            <v>Devon</v>
          </cell>
          <cell r="N3347" t="str">
            <v>EX24 6HN</v>
          </cell>
          <cell r="O3347" t="str">
            <v>pevans@colytongrammar.devon.sch.uk</v>
          </cell>
          <cell r="P3347">
            <v>40459</v>
          </cell>
        </row>
        <row r="3348">
          <cell r="A3348">
            <v>9354075</v>
          </cell>
          <cell r="B3348">
            <v>124835</v>
          </cell>
          <cell r="C3348">
            <v>935</v>
          </cell>
          <cell r="D3348" t="str">
            <v>Suffolk</v>
          </cell>
          <cell r="E3348">
            <v>4075</v>
          </cell>
          <cell r="F3348" t="str">
            <v>William Thursfield</v>
          </cell>
          <cell r="G3348" t="str">
            <v>Bungay High School</v>
          </cell>
          <cell r="H3348" t="str">
            <v>East of England</v>
          </cell>
          <cell r="I3348" t="str">
            <v>Queen's Road</v>
          </cell>
          <cell r="L3348" t="str">
            <v>Bungay</v>
          </cell>
          <cell r="M3348" t="str">
            <v>Suffolk</v>
          </cell>
          <cell r="N3348" t="str">
            <v>NR35 1RW</v>
          </cell>
          <cell r="P3348">
            <v>40640</v>
          </cell>
        </row>
        <row r="3349">
          <cell r="A3349">
            <v>8212230</v>
          </cell>
          <cell r="B3349">
            <v>109539</v>
          </cell>
          <cell r="C3349">
            <v>821</v>
          </cell>
          <cell r="D3349" t="str">
            <v>Luton</v>
          </cell>
          <cell r="E3349">
            <v>2230</v>
          </cell>
          <cell r="F3349" t="str">
            <v>Michael Cook</v>
          </cell>
          <cell r="G3349" t="str">
            <v>Ferrars Infant School</v>
          </cell>
          <cell r="H3349" t="str">
            <v>East of England</v>
          </cell>
          <cell r="I3349" t="str">
            <v>Macaulay Road</v>
          </cell>
          <cell r="L3349" t="str">
            <v>Luton</v>
          </cell>
          <cell r="M3349" t="str">
            <v>Bedfordshire</v>
          </cell>
          <cell r="N3349" t="str">
            <v>LU4 0LL</v>
          </cell>
          <cell r="O3349" t="str">
            <v xml:space="preserve"> ferrars.infants.head@luton.gov.uk</v>
          </cell>
          <cell r="P3349">
            <v>41057</v>
          </cell>
        </row>
        <row r="3350">
          <cell r="A3350">
            <v>3204061</v>
          </cell>
          <cell r="B3350">
            <v>103095</v>
          </cell>
          <cell r="C3350">
            <v>320</v>
          </cell>
          <cell r="D3350" t="str">
            <v>Waltham Forest</v>
          </cell>
          <cell r="E3350">
            <v>4061</v>
          </cell>
          <cell r="F3350" t="str">
            <v>Anita Bihal</v>
          </cell>
          <cell r="G3350" t="str">
            <v>Connaught School for Girls</v>
          </cell>
          <cell r="H3350" t="str">
            <v>London</v>
          </cell>
          <cell r="I3350" t="str">
            <v>Connaught Road</v>
          </cell>
          <cell r="J3350" t="str">
            <v>Leytonstone</v>
          </cell>
          <cell r="L3350" t="str">
            <v>London</v>
          </cell>
          <cell r="N3350" t="str">
            <v>E11 4AB</v>
          </cell>
          <cell r="O3350" t="str">
            <v>ann.betts@connaught.waltham.sch.uk</v>
          </cell>
          <cell r="P3350">
            <v>41108</v>
          </cell>
        </row>
        <row r="3351">
          <cell r="A3351">
            <v>8653366</v>
          </cell>
          <cell r="B3351">
            <v>126406</v>
          </cell>
          <cell r="C3351">
            <v>865</v>
          </cell>
          <cell r="D3351" t="str">
            <v>Wiltshire</v>
          </cell>
          <cell r="E3351">
            <v>3366</v>
          </cell>
          <cell r="F3351" t="str">
            <v>Not yet assigned</v>
          </cell>
          <cell r="G3351" t="str">
            <v>Morgan's Vale and Woodfalls Church of England Voluntary Aided Primary School</v>
          </cell>
          <cell r="H3351" t="str">
            <v>South West</v>
          </cell>
          <cell r="I3351" t="str">
            <v>Morgans Vale Road</v>
          </cell>
          <cell r="J3351" t="str">
            <v>Redlynch</v>
          </cell>
          <cell r="L3351" t="str">
            <v>Salisbury</v>
          </cell>
          <cell r="M3351" t="str">
            <v>Wiltshire</v>
          </cell>
          <cell r="N3351" t="str">
            <v>SP5 2HU</v>
          </cell>
          <cell r="O3351" t="str">
            <v>head@morgansvalewoodfalls.wilts.sch.uk</v>
          </cell>
        </row>
        <row r="3352">
          <cell r="A3352">
            <v>8504511</v>
          </cell>
          <cell r="B3352">
            <v>116477</v>
          </cell>
          <cell r="C3352">
            <v>850</v>
          </cell>
          <cell r="D3352" t="str">
            <v>Hampshire</v>
          </cell>
          <cell r="E3352">
            <v>4511</v>
          </cell>
          <cell r="F3352" t="str">
            <v>Amanda Barrett</v>
          </cell>
          <cell r="G3352" t="str">
            <v>Robert May's School</v>
          </cell>
          <cell r="H3352" t="str">
            <v>South East</v>
          </cell>
          <cell r="I3352" t="str">
            <v>West Street</v>
          </cell>
          <cell r="J3352" t="str">
            <v>Odiham</v>
          </cell>
          <cell r="L3352" t="str">
            <v>Hook</v>
          </cell>
          <cell r="M3352" t="str">
            <v>Hampshire</v>
          </cell>
          <cell r="N3352" t="str">
            <v>RG29 1NA</v>
          </cell>
          <cell r="O3352" t="str">
            <v>susan.rafter@rmays.hants.sch.uk</v>
          </cell>
          <cell r="P3352">
            <v>40681</v>
          </cell>
        </row>
        <row r="3353">
          <cell r="A3353">
            <v>3062063</v>
          </cell>
          <cell r="B3353">
            <v>101757</v>
          </cell>
          <cell r="C3353">
            <v>306</v>
          </cell>
          <cell r="D3353" t="str">
            <v>Croydon</v>
          </cell>
          <cell r="E3353">
            <v>2063</v>
          </cell>
          <cell r="F3353" t="str">
            <v>Helen Barry</v>
          </cell>
          <cell r="G3353" t="str">
            <v>Roke Primary School</v>
          </cell>
          <cell r="H3353" t="str">
            <v>London</v>
          </cell>
          <cell r="I3353" t="str">
            <v>51 Little Roke Road</v>
          </cell>
          <cell r="L3353" t="str">
            <v>Kenley</v>
          </cell>
          <cell r="M3353" t="str">
            <v>Surrey</v>
          </cell>
          <cell r="N3353" t="str">
            <v>CR8 5NF</v>
          </cell>
          <cell r="O3353" t="str">
            <v>cbyers.306@lgflmail.org</v>
          </cell>
        </row>
        <row r="3354">
          <cell r="A3354">
            <v>9364157</v>
          </cell>
          <cell r="B3354">
            <v>125257</v>
          </cell>
          <cell r="C3354">
            <v>936</v>
          </cell>
          <cell r="D3354" t="str">
            <v>Surrey</v>
          </cell>
          <cell r="E3354">
            <v>4157</v>
          </cell>
          <cell r="F3354" t="str">
            <v>Gabriela Grimley</v>
          </cell>
          <cell r="G3354" t="str">
            <v>Reigate School</v>
          </cell>
          <cell r="H3354" t="str">
            <v>South East</v>
          </cell>
          <cell r="I3354" t="str">
            <v>Pendleton Road</v>
          </cell>
          <cell r="L3354" t="str">
            <v>Reigate</v>
          </cell>
          <cell r="M3354" t="str">
            <v>Surrey</v>
          </cell>
          <cell r="N3354" t="str">
            <v>RH2 7NT</v>
          </cell>
          <cell r="O3354" t="str">
            <v>head@reigate-school.surrey.sch.uk</v>
          </cell>
        </row>
        <row r="3355">
          <cell r="A3355">
            <v>8524271</v>
          </cell>
          <cell r="B3355">
            <v>116454</v>
          </cell>
          <cell r="C3355">
            <v>852</v>
          </cell>
          <cell r="D3355" t="str">
            <v>Southampton</v>
          </cell>
          <cell r="E3355">
            <v>4271</v>
          </cell>
          <cell r="F3355" t="str">
            <v>Lindsay Morris</v>
          </cell>
          <cell r="G3355" t="str">
            <v>Chamberlayne College for the Arts</v>
          </cell>
          <cell r="H3355" t="str">
            <v>South East</v>
          </cell>
          <cell r="I3355" t="str">
            <v>Tickleford Drive</v>
          </cell>
          <cell r="J3355" t="str">
            <v>Weston</v>
          </cell>
          <cell r="L3355" t="str">
            <v>Southampton</v>
          </cell>
          <cell r="M3355" t="str">
            <v>Hampshire</v>
          </cell>
          <cell r="N3355" t="str">
            <v>SO19 9QP</v>
          </cell>
          <cell r="O3355" t="str">
            <v>head@chamberlaynepark.lpplus.net</v>
          </cell>
          <cell r="P3355">
            <v>41025</v>
          </cell>
        </row>
        <row r="3356">
          <cell r="A3356">
            <v>8864522</v>
          </cell>
          <cell r="B3356">
            <v>118835</v>
          </cell>
          <cell r="C3356">
            <v>886</v>
          </cell>
          <cell r="D3356" t="str">
            <v>Kent</v>
          </cell>
          <cell r="E3356">
            <v>4522</v>
          </cell>
          <cell r="F3356" t="str">
            <v>Nicky Edwards</v>
          </cell>
          <cell r="G3356" t="str">
            <v>Maidstone Grammar School</v>
          </cell>
          <cell r="H3356" t="str">
            <v>South East</v>
          </cell>
          <cell r="I3356" t="str">
            <v>Barton Road</v>
          </cell>
          <cell r="L3356" t="str">
            <v>Maidstone</v>
          </cell>
          <cell r="M3356" t="str">
            <v>Kent</v>
          </cell>
          <cell r="N3356" t="str">
            <v>ME15 7BT</v>
          </cell>
          <cell r="O3356" t="str">
            <v xml:space="preserve"> school@mgs-kent.org.uk</v>
          </cell>
        </row>
        <row r="3357">
          <cell r="A3357">
            <v>3065201</v>
          </cell>
          <cell r="B3357">
            <v>101816</v>
          </cell>
          <cell r="C3357">
            <v>306</v>
          </cell>
          <cell r="D3357" t="str">
            <v>Croydon</v>
          </cell>
          <cell r="E3357">
            <v>5201</v>
          </cell>
          <cell r="F3357" t="str">
            <v>Martin Rowley</v>
          </cell>
          <cell r="G3357" t="str">
            <v>St James the Great RC Primary and Nursery School</v>
          </cell>
          <cell r="H3357" t="str">
            <v>London</v>
          </cell>
          <cell r="I3357" t="str">
            <v>Windsor Road</v>
          </cell>
          <cell r="L3357" t="str">
            <v>Thornton Heath</v>
          </cell>
          <cell r="M3357" t="str">
            <v>Surrey</v>
          </cell>
          <cell r="N3357" t="str">
            <v>CR7 8HJ</v>
          </cell>
          <cell r="O3357" t="str">
            <v>stephenb@stjamesthegreat.org</v>
          </cell>
          <cell r="P3357">
            <v>40897</v>
          </cell>
        </row>
        <row r="3358">
          <cell r="A3358">
            <v>8862069</v>
          </cell>
          <cell r="B3358">
            <v>118249</v>
          </cell>
          <cell r="C3358">
            <v>886</v>
          </cell>
          <cell r="D3358" t="str">
            <v>Kent</v>
          </cell>
          <cell r="E3358">
            <v>2069</v>
          </cell>
          <cell r="F3358" t="str">
            <v>Tony Dunne</v>
          </cell>
          <cell r="G3358" t="str">
            <v>St Albans Road Infant School</v>
          </cell>
          <cell r="H3358" t="str">
            <v>South East</v>
          </cell>
          <cell r="I3358" t="str">
            <v>St Albans Road</v>
          </cell>
          <cell r="L3358" t="str">
            <v>Dartford</v>
          </cell>
          <cell r="M3358" t="str">
            <v>Kent</v>
          </cell>
          <cell r="N3358" t="str">
            <v>DA1 1TE</v>
          </cell>
          <cell r="O3358" t="str">
            <v>headteacher@st-albans.kent.sch.uk</v>
          </cell>
        </row>
        <row r="3359">
          <cell r="A3359">
            <v>8865448</v>
          </cell>
          <cell r="B3359">
            <v>118920</v>
          </cell>
          <cell r="C3359">
            <v>886</v>
          </cell>
          <cell r="D3359" t="str">
            <v>Kent</v>
          </cell>
          <cell r="E3359">
            <v>5448</v>
          </cell>
          <cell r="F3359" t="str">
            <v>Sarah Mitchell</v>
          </cell>
          <cell r="G3359" t="str">
            <v>Herne Bay High School</v>
          </cell>
          <cell r="H3359" t="str">
            <v>South East</v>
          </cell>
          <cell r="I3359" t="str">
            <v>Bullockstone Road</v>
          </cell>
          <cell r="L3359" t="str">
            <v>Herne Bay</v>
          </cell>
          <cell r="M3359" t="str">
            <v>Kent</v>
          </cell>
          <cell r="N3359" t="str">
            <v>CT6 7NS</v>
          </cell>
          <cell r="O3359" t="str">
            <v>c.owen@hernebayhigh.kent.sch.uk</v>
          </cell>
          <cell r="P3359">
            <v>40456</v>
          </cell>
        </row>
        <row r="3360">
          <cell r="A3360">
            <v>9252155</v>
          </cell>
          <cell r="B3360">
            <v>120448</v>
          </cell>
          <cell r="C3360">
            <v>925</v>
          </cell>
          <cell r="D3360" t="str">
            <v>Lincolnshire</v>
          </cell>
          <cell r="E3360">
            <v>2155</v>
          </cell>
          <cell r="F3360" t="str">
            <v>Not yet assigned</v>
          </cell>
          <cell r="G3360" t="str">
            <v>The North-County Primary School, Gainsborough</v>
          </cell>
          <cell r="H3360" t="str">
            <v>East Midlands</v>
          </cell>
          <cell r="I3360" t="str">
            <v>Ropery Road</v>
          </cell>
          <cell r="L3360" t="str">
            <v>Gainsborough</v>
          </cell>
          <cell r="M3360" t="str">
            <v>Lincolnshire</v>
          </cell>
          <cell r="N3360" t="str">
            <v>DN21 2PD</v>
          </cell>
          <cell r="O3360" t="str">
            <v>julie.james@gainsborough-north.lincs.sch.uk</v>
          </cell>
        </row>
        <row r="3361">
          <cell r="A3361">
            <v>9353331</v>
          </cell>
          <cell r="B3361">
            <v>124776</v>
          </cell>
          <cell r="C3361">
            <v>935</v>
          </cell>
          <cell r="D3361" t="str">
            <v>Suffolk</v>
          </cell>
          <cell r="E3361">
            <v>3331</v>
          </cell>
          <cell r="F3361" t="str">
            <v>Joe Farrell</v>
          </cell>
          <cell r="G3361" t="str">
            <v>All Saints Church of England Voluntary Aided Primary School, Laxfield</v>
          </cell>
          <cell r="H3361" t="str">
            <v>East of England</v>
          </cell>
          <cell r="I3361" t="str">
            <v>Framlingham Road</v>
          </cell>
          <cell r="J3361" t="str">
            <v>Laxfield</v>
          </cell>
          <cell r="L3361" t="str">
            <v>Woodbridge</v>
          </cell>
          <cell r="M3361" t="str">
            <v>Suffolk</v>
          </cell>
          <cell r="N3361" t="str">
            <v>IP13 8HD</v>
          </cell>
          <cell r="O3361" t="str">
            <v>dadee@tiscali.co.uk</v>
          </cell>
        </row>
        <row r="3362">
          <cell r="A3362">
            <v>8225404</v>
          </cell>
          <cell r="B3362">
            <v>109708</v>
          </cell>
          <cell r="C3362">
            <v>822</v>
          </cell>
          <cell r="D3362" t="str">
            <v>Bedford</v>
          </cell>
          <cell r="E3362">
            <v>5404</v>
          </cell>
          <cell r="F3362" t="str">
            <v>Michael Cook</v>
          </cell>
          <cell r="G3362" t="str">
            <v>Lincroft School</v>
          </cell>
          <cell r="H3362" t="str">
            <v>East of England</v>
          </cell>
          <cell r="I3362" t="str">
            <v>Station Road</v>
          </cell>
          <cell r="J3362" t="str">
            <v>Oakley</v>
          </cell>
          <cell r="L3362" t="str">
            <v>Bedford</v>
          </cell>
          <cell r="M3362" t="str">
            <v>Bedfordshire</v>
          </cell>
          <cell r="N3362" t="str">
            <v>MK43 7RE</v>
          </cell>
          <cell r="O3362" t="str">
            <v>pbellamy@sharnbrook.beds.sch.uk</v>
          </cell>
          <cell r="P3362">
            <v>40549</v>
          </cell>
        </row>
        <row r="3363">
          <cell r="A3363">
            <v>8501144</v>
          </cell>
          <cell r="B3363">
            <v>135690</v>
          </cell>
          <cell r="C3363">
            <v>850</v>
          </cell>
          <cell r="D3363" t="str">
            <v>Hampshire</v>
          </cell>
          <cell r="E3363">
            <v>1144</v>
          </cell>
          <cell r="F3363" t="str">
            <v>Tahir Shams</v>
          </cell>
          <cell r="G3363" t="str">
            <v>The Ashwood Centre</v>
          </cell>
          <cell r="H3363" t="str">
            <v>South East</v>
          </cell>
          <cell r="I3363" t="str">
            <v>Ashwood Way</v>
          </cell>
          <cell r="L3363" t="str">
            <v>Basingstoke</v>
          </cell>
          <cell r="M3363" t="str">
            <v>Hampshire</v>
          </cell>
          <cell r="N3363" t="str">
            <v>RG23 8AA</v>
          </cell>
          <cell r="O3363" t="str">
            <v>hilary.jarchow@hants.gov.uk</v>
          </cell>
        </row>
        <row r="3364">
          <cell r="A3364">
            <v>8664074</v>
          </cell>
          <cell r="B3364">
            <v>126461</v>
          </cell>
          <cell r="C3364">
            <v>866</v>
          </cell>
          <cell r="D3364" t="str">
            <v>Swindon</v>
          </cell>
          <cell r="E3364">
            <v>4074</v>
          </cell>
          <cell r="F3364" t="str">
            <v>Kate Bosher</v>
          </cell>
          <cell r="G3364" t="str">
            <v>Highworth Warneford School</v>
          </cell>
          <cell r="H3364" t="str">
            <v>South West</v>
          </cell>
          <cell r="I3364" t="str">
            <v>Shrivenham Road</v>
          </cell>
          <cell r="J3364" t="str">
            <v>Highworth</v>
          </cell>
          <cell r="L3364" t="str">
            <v>Swindon</v>
          </cell>
          <cell r="M3364" t="str">
            <v>Wiltshire</v>
          </cell>
          <cell r="N3364" t="str">
            <v>SN6 7BZ</v>
          </cell>
          <cell r="O3364" t="str">
            <v>jgsaunders@portables2.ngfl.gov.uk</v>
          </cell>
          <cell r="P3364">
            <v>40527</v>
          </cell>
        </row>
        <row r="3365">
          <cell r="A3365">
            <v>8914464</v>
          </cell>
          <cell r="B3365">
            <v>133281</v>
          </cell>
          <cell r="C3365">
            <v>891</v>
          </cell>
          <cell r="D3365" t="str">
            <v>Nottinghamshire</v>
          </cell>
          <cell r="E3365">
            <v>4464</v>
          </cell>
          <cell r="G3365" t="str">
            <v>The Queen Elizabeth's (1561) Endowed School</v>
          </cell>
          <cell r="H3365" t="str">
            <v>East Midlands</v>
          </cell>
          <cell r="I3365" t="str">
            <v>150 Chesterfield Road South</v>
          </cell>
          <cell r="L3365" t="str">
            <v>Mansfield</v>
          </cell>
          <cell r="M3365" t="str">
            <v>Nottinghamshire</v>
          </cell>
          <cell r="N3365" t="str">
            <v>NG19 7AP</v>
          </cell>
          <cell r="O3365" t="str">
            <v>ksanderson@queenelizabeths.notts.sch.uk</v>
          </cell>
        </row>
        <row r="3366">
          <cell r="A3366">
            <v>8817063</v>
          </cell>
          <cell r="B3366">
            <v>115472</v>
          </cell>
          <cell r="C3366">
            <v>881</v>
          </cell>
          <cell r="D3366" t="str">
            <v>Essex</v>
          </cell>
          <cell r="E3366">
            <v>7063</v>
          </cell>
          <cell r="F3366" t="str">
            <v>Susan Shakespeare</v>
          </cell>
          <cell r="G3366" t="str">
            <v>Thriftwood School</v>
          </cell>
          <cell r="H3366" t="str">
            <v>East of England</v>
          </cell>
          <cell r="I3366" t="str">
            <v>Slades Lane</v>
          </cell>
          <cell r="J3366" t="str">
            <v>Galleywood</v>
          </cell>
          <cell r="L3366" t="str">
            <v>Chelmsford</v>
          </cell>
          <cell r="M3366" t="str">
            <v>Essex</v>
          </cell>
          <cell r="N3366" t="str">
            <v>CM2 8RW</v>
          </cell>
          <cell r="O3366" t="str">
            <v>head@thriftwood.essex.sch.uk</v>
          </cell>
          <cell r="P3366">
            <v>40686</v>
          </cell>
        </row>
        <row r="3367">
          <cell r="A3367">
            <v>3114009</v>
          </cell>
          <cell r="B3367">
            <v>102341</v>
          </cell>
          <cell r="C3367">
            <v>311</v>
          </cell>
          <cell r="D3367" t="str">
            <v>Havering</v>
          </cell>
          <cell r="E3367">
            <v>4009</v>
          </cell>
          <cell r="F3367" t="str">
            <v>Helen Fisher</v>
          </cell>
          <cell r="G3367" t="str">
            <v>The Sanders Draper School and Specialist Science College</v>
          </cell>
          <cell r="H3367" t="str">
            <v>London</v>
          </cell>
          <cell r="I3367" t="str">
            <v>Suttons Lane</v>
          </cell>
          <cell r="L3367" t="str">
            <v>Hornchurch</v>
          </cell>
          <cell r="M3367" t="str">
            <v>Essex</v>
          </cell>
          <cell r="N3367" t="str">
            <v>RM12 6RT</v>
          </cell>
          <cell r="O3367" t="str">
            <v>jmceachern@sandersdraper.org.uk</v>
          </cell>
        </row>
        <row r="3368">
          <cell r="A3368">
            <v>8914226</v>
          </cell>
          <cell r="B3368">
            <v>122856</v>
          </cell>
          <cell r="C3368">
            <v>891</v>
          </cell>
          <cell r="D3368" t="str">
            <v>Nottinghamshire</v>
          </cell>
          <cell r="E3368">
            <v>4226</v>
          </cell>
          <cell r="F3368" t="str">
            <v>Jacki Couch</v>
          </cell>
          <cell r="G3368" t="str">
            <v>The Kimberley School</v>
          </cell>
          <cell r="H3368" t="str">
            <v>East Midlands</v>
          </cell>
          <cell r="I3368" t="str">
            <v>Newdigate Street</v>
          </cell>
          <cell r="J3368" t="str">
            <v>Kimberley</v>
          </cell>
          <cell r="L3368" t="str">
            <v>Nottingham</v>
          </cell>
          <cell r="M3368" t="str">
            <v>Nottinghamshire</v>
          </cell>
          <cell r="N3368" t="str">
            <v>NG16 2NJ</v>
          </cell>
          <cell r="O3368" t="str">
            <v>c.teal@kimberleyschool.co.uk</v>
          </cell>
          <cell r="P3368">
            <v>41040</v>
          </cell>
        </row>
        <row r="3369">
          <cell r="A3369">
            <v>9094152</v>
          </cell>
          <cell r="B3369">
            <v>112385</v>
          </cell>
          <cell r="C3369">
            <v>909</v>
          </cell>
          <cell r="D3369" t="str">
            <v>Cumbria</v>
          </cell>
          <cell r="E3369">
            <v>4152</v>
          </cell>
          <cell r="F3369" t="str">
            <v>Linda Tiley</v>
          </cell>
          <cell r="G3369" t="str">
            <v>Ulverston Victoria High School</v>
          </cell>
          <cell r="H3369" t="str">
            <v>North West</v>
          </cell>
          <cell r="I3369" t="str">
            <v>Springfield Road</v>
          </cell>
          <cell r="L3369" t="str">
            <v>Ulverston</v>
          </cell>
          <cell r="M3369" t="str">
            <v>Cumbria</v>
          </cell>
          <cell r="N3369" t="str">
            <v>LA12 0EB</v>
          </cell>
          <cell r="O3369" t="str">
            <v>dfa@ulverstonvictoria.cumbria.sch.uk</v>
          </cell>
        </row>
        <row r="3370">
          <cell r="A3370">
            <v>8213363</v>
          </cell>
          <cell r="B3370">
            <v>134701</v>
          </cell>
          <cell r="C3370">
            <v>821</v>
          </cell>
          <cell r="D3370" t="str">
            <v>Luton</v>
          </cell>
          <cell r="E3370">
            <v>3363</v>
          </cell>
          <cell r="F3370" t="str">
            <v>Yvonne Reddington</v>
          </cell>
          <cell r="G3370" t="str">
            <v>Beechwood Primary School</v>
          </cell>
          <cell r="H3370" t="str">
            <v>East of England</v>
          </cell>
          <cell r="I3370" t="str">
            <v>Linden Road</v>
          </cell>
          <cell r="L3370" t="str">
            <v>Luton</v>
          </cell>
          <cell r="M3370" t="str">
            <v>Bedfordshire</v>
          </cell>
          <cell r="N3370" t="str">
            <v>LU4 9RD</v>
          </cell>
          <cell r="O3370" t="str">
            <v>beechwood.primary.head@luton.gov.uk</v>
          </cell>
        </row>
        <row r="3371">
          <cell r="A3371">
            <v>8814480</v>
          </cell>
          <cell r="B3371">
            <v>115233</v>
          </cell>
          <cell r="C3371">
            <v>881</v>
          </cell>
          <cell r="D3371" t="str">
            <v>Essex</v>
          </cell>
          <cell r="E3371">
            <v>4480</v>
          </cell>
          <cell r="F3371" t="str">
            <v>Claire Ivie</v>
          </cell>
          <cell r="G3371" t="str">
            <v>Moulsham High School and Humanities College</v>
          </cell>
          <cell r="H3371" t="str">
            <v>East of England</v>
          </cell>
          <cell r="I3371" t="str">
            <v>Brian Close</v>
          </cell>
          <cell r="L3371" t="str">
            <v>Chelmsford</v>
          </cell>
          <cell r="M3371" t="str">
            <v>Essex</v>
          </cell>
          <cell r="N3371" t="str">
            <v>CM2 9ES</v>
          </cell>
          <cell r="O3371" t="str">
            <v>admin@moulshamhigh.essex.sch.uk</v>
          </cell>
          <cell r="P3371">
            <v>40571</v>
          </cell>
        </row>
        <row r="3372">
          <cell r="A3372">
            <v>9372619</v>
          </cell>
          <cell r="B3372">
            <v>125621</v>
          </cell>
          <cell r="C3372">
            <v>937</v>
          </cell>
          <cell r="D3372" t="str">
            <v>Warwickshire</v>
          </cell>
          <cell r="E3372">
            <v>2619</v>
          </cell>
          <cell r="F3372" t="str">
            <v>Julia Waterhouse</v>
          </cell>
          <cell r="G3372" t="str">
            <v>Birchwood Primary School</v>
          </cell>
          <cell r="H3372" t="str">
            <v>West Midlands</v>
          </cell>
          <cell r="I3372" t="str">
            <v>Birchwood Avenue</v>
          </cell>
          <cell r="J3372" t="str">
            <v>Dordon</v>
          </cell>
          <cell r="L3372" t="str">
            <v>Tamworth</v>
          </cell>
          <cell r="M3372" t="str">
            <v>Staffordshire</v>
          </cell>
          <cell r="N3372" t="str">
            <v>B78 1QU</v>
          </cell>
          <cell r="O3372" t="str">
            <v>head2619@we-learn.com</v>
          </cell>
          <cell r="P3372">
            <v>41017</v>
          </cell>
        </row>
        <row r="3373">
          <cell r="A3373">
            <v>8815235</v>
          </cell>
          <cell r="B3373">
            <v>115275</v>
          </cell>
          <cell r="C3373">
            <v>881</v>
          </cell>
          <cell r="D3373" t="str">
            <v>Essex</v>
          </cell>
          <cell r="E3373">
            <v>5235</v>
          </cell>
          <cell r="F3373" t="str">
            <v>Claire Ivie</v>
          </cell>
          <cell r="G3373" t="str">
            <v>Ashingdon Primary</v>
          </cell>
          <cell r="H3373" t="str">
            <v>East of England</v>
          </cell>
          <cell r="I3373" t="str">
            <v>Fambridge Road</v>
          </cell>
          <cell r="J3373" t="str">
            <v>Ashingdon</v>
          </cell>
          <cell r="L3373" t="str">
            <v>Rochford</v>
          </cell>
          <cell r="M3373" t="str">
            <v>Essex</v>
          </cell>
          <cell r="N3373" t="str">
            <v>SS4 3LN</v>
          </cell>
          <cell r="O3373" t="str">
            <v>head@ashingdon.essex.sch.uk</v>
          </cell>
          <cell r="P3373">
            <v>40667</v>
          </cell>
        </row>
        <row r="3374">
          <cell r="A3374">
            <v>8454039</v>
          </cell>
          <cell r="B3374">
            <v>114592</v>
          </cell>
          <cell r="C3374">
            <v>845</v>
          </cell>
          <cell r="D3374" t="str">
            <v>East Sussex</v>
          </cell>
          <cell r="E3374">
            <v>4039</v>
          </cell>
          <cell r="F3374" t="str">
            <v>Sarah Mitchell</v>
          </cell>
          <cell r="G3374" t="str">
            <v>Willingdon Community School</v>
          </cell>
          <cell r="H3374" t="str">
            <v>South East</v>
          </cell>
          <cell r="I3374" t="str">
            <v>Broad Road</v>
          </cell>
          <cell r="J3374" t="str">
            <v>Lower Willingdon</v>
          </cell>
          <cell r="L3374" t="str">
            <v>Eastbourne</v>
          </cell>
          <cell r="M3374" t="str">
            <v>East Sussex</v>
          </cell>
          <cell r="N3374" t="str">
            <v>BN20 9QX</v>
          </cell>
          <cell r="O3374" t="str">
            <v>ijungius@willingdon.e-sussex.sch.uk</v>
          </cell>
        </row>
        <row r="3375">
          <cell r="A3375">
            <v>3354057</v>
          </cell>
          <cell r="B3375">
            <v>104248</v>
          </cell>
          <cell r="C3375">
            <v>335</v>
          </cell>
          <cell r="D3375" t="str">
            <v>Walsall</v>
          </cell>
          <cell r="E3375">
            <v>4057</v>
          </cell>
          <cell r="F3375" t="str">
            <v>Hannah Copp</v>
          </cell>
          <cell r="G3375" t="str">
            <v>Brownhills Community Technology College</v>
          </cell>
          <cell r="H3375" t="str">
            <v>West Midlands</v>
          </cell>
          <cell r="I3375" t="str">
            <v>Deakin Avenue</v>
          </cell>
          <cell r="J3375" t="str">
            <v>Brownhills</v>
          </cell>
          <cell r="L3375" t="str">
            <v>Walsall</v>
          </cell>
          <cell r="M3375" t="str">
            <v>West Midlands</v>
          </cell>
          <cell r="N3375" t="str">
            <v>WS8 7QG</v>
          </cell>
          <cell r="O3375" t="str">
            <v>hbkeenan@yahoo.co.uk</v>
          </cell>
          <cell r="P3375">
            <v>41109</v>
          </cell>
        </row>
        <row r="3376">
          <cell r="A3376">
            <v>9312562</v>
          </cell>
          <cell r="B3376">
            <v>123061</v>
          </cell>
          <cell r="C3376">
            <v>931</v>
          </cell>
          <cell r="D3376" t="str">
            <v>Oxfordshire</v>
          </cell>
          <cell r="E3376">
            <v>2562</v>
          </cell>
          <cell r="F3376" t="str">
            <v>Sarah Nairne</v>
          </cell>
          <cell r="G3376" t="str">
            <v>Faringdon Junior School</v>
          </cell>
          <cell r="H3376" t="str">
            <v>South East</v>
          </cell>
          <cell r="I3376" t="str">
            <v>The Elms</v>
          </cell>
          <cell r="J3376" t="str">
            <v>Gloucester Street</v>
          </cell>
          <cell r="L3376" t="str">
            <v>Faringdon</v>
          </cell>
          <cell r="M3376" t="str">
            <v>Oxfordshire</v>
          </cell>
          <cell r="N3376" t="str">
            <v>SN7 7HZ</v>
          </cell>
          <cell r="O3376" t="str">
            <v>head.2562@faringdon-jun.oxon.sch.uk</v>
          </cell>
          <cell r="P3376">
            <v>40883</v>
          </cell>
        </row>
        <row r="3377">
          <cell r="A3377">
            <v>9294122</v>
          </cell>
          <cell r="B3377">
            <v>122327</v>
          </cell>
          <cell r="C3377">
            <v>929</v>
          </cell>
          <cell r="D3377" t="str">
            <v>Northumberland</v>
          </cell>
          <cell r="E3377">
            <v>4122</v>
          </cell>
          <cell r="F3377" t="str">
            <v>Janet Smith</v>
          </cell>
          <cell r="G3377" t="str">
            <v>Haltwhistle Community Campus Upper School</v>
          </cell>
          <cell r="H3377" t="str">
            <v>North East</v>
          </cell>
          <cell r="I3377" t="str">
            <v>Haltwhistle Community Campus</v>
          </cell>
          <cell r="J3377" t="str">
            <v>Park Avenue</v>
          </cell>
          <cell r="L3377" t="str">
            <v>Haltwhistle</v>
          </cell>
          <cell r="M3377" t="str">
            <v>Northumberland</v>
          </cell>
          <cell r="N3377" t="str">
            <v>NE49 9BA</v>
          </cell>
          <cell r="O3377" t="str">
            <v>mike.routledge@northumberland.gov.uk</v>
          </cell>
          <cell r="P3377">
            <v>41246</v>
          </cell>
        </row>
        <row r="3378">
          <cell r="A3378">
            <v>8854435</v>
          </cell>
          <cell r="B3378">
            <v>116980</v>
          </cell>
          <cell r="C3378">
            <v>885</v>
          </cell>
          <cell r="D3378" t="str">
            <v>Worcestershire</v>
          </cell>
          <cell r="E3378">
            <v>4435</v>
          </cell>
          <cell r="F3378" t="str">
            <v>Hannah Copp</v>
          </cell>
          <cell r="G3378" t="str">
            <v>Martley, the Chantry High School</v>
          </cell>
          <cell r="H3378" t="str">
            <v>West Midlands</v>
          </cell>
          <cell r="I3378" t="str">
            <v>Martley</v>
          </cell>
          <cell r="L3378" t="str">
            <v>Worcester</v>
          </cell>
          <cell r="M3378" t="str">
            <v>Worcestershire</v>
          </cell>
          <cell r="N3378" t="str">
            <v>WR6 6QA</v>
          </cell>
          <cell r="O3378" t="str">
            <v>jowste@chantry.worcs.sch.uk</v>
          </cell>
          <cell r="P3378">
            <v>40603</v>
          </cell>
        </row>
        <row r="3379">
          <cell r="A3379">
            <v>8555403</v>
          </cell>
          <cell r="B3379">
            <v>120311</v>
          </cell>
          <cell r="C3379">
            <v>855</v>
          </cell>
          <cell r="D3379" t="str">
            <v>Leicestershire</v>
          </cell>
          <cell r="E3379">
            <v>5403</v>
          </cell>
          <cell r="F3379" t="str">
            <v>Stephen Standret</v>
          </cell>
          <cell r="G3379" t="str">
            <v>Abington High School</v>
          </cell>
          <cell r="H3379" t="str">
            <v>East Midlands</v>
          </cell>
          <cell r="I3379" t="str">
            <v>Station Road</v>
          </cell>
          <cell r="L3379" t="str">
            <v>Wigston</v>
          </cell>
          <cell r="M3379" t="str">
            <v>Leicestershire</v>
          </cell>
          <cell r="N3379" t="str">
            <v>LE18 2DU</v>
          </cell>
          <cell r="O3379" t="str">
            <v>agreen@abingtonacademy.org</v>
          </cell>
          <cell r="P3379">
            <v>40844</v>
          </cell>
        </row>
        <row r="3380">
          <cell r="A3380">
            <v>9194614</v>
          </cell>
          <cell r="B3380">
            <v>117556</v>
          </cell>
          <cell r="C3380">
            <v>919</v>
          </cell>
          <cell r="D3380" t="str">
            <v>Hertfordshire</v>
          </cell>
          <cell r="E3380">
            <v>4614</v>
          </cell>
          <cell r="F3380" t="str">
            <v>Susan Shakespeare</v>
          </cell>
          <cell r="G3380" t="str">
            <v>St George's VA School boarding</v>
          </cell>
          <cell r="H3380" t="str">
            <v>East of England</v>
          </cell>
          <cell r="I3380" t="str">
            <v>Sun Lane</v>
          </cell>
          <cell r="L3380" t="str">
            <v>Harpenden</v>
          </cell>
          <cell r="M3380" t="str">
            <v>Hertfordshire</v>
          </cell>
          <cell r="N3380" t="str">
            <v>AL5 4TD</v>
          </cell>
          <cell r="O3380" t="str">
            <v>krp@orange.net</v>
          </cell>
          <cell r="P3380">
            <v>40644</v>
          </cell>
        </row>
        <row r="3381">
          <cell r="A3381">
            <v>8653117</v>
          </cell>
          <cell r="B3381">
            <v>126338</v>
          </cell>
          <cell r="C3381">
            <v>865</v>
          </cell>
          <cell r="D3381" t="str">
            <v>Wiltshire</v>
          </cell>
          <cell r="E3381">
            <v>3117</v>
          </cell>
          <cell r="F3381" t="str">
            <v>Simon Foster</v>
          </cell>
          <cell r="G3381" t="str">
            <v>Malmesbury Church of England Primary School</v>
          </cell>
          <cell r="H3381" t="str">
            <v>South West</v>
          </cell>
          <cell r="I3381" t="str">
            <v>Tetbury Hill</v>
          </cell>
          <cell r="L3381" t="str">
            <v>Malmesbury</v>
          </cell>
          <cell r="M3381" t="str">
            <v>Wiltshire</v>
          </cell>
          <cell r="N3381" t="str">
            <v>SN16 9JR</v>
          </cell>
          <cell r="O3381" t="str">
            <v>head@malmesbury-pri.wilts.sch.uk</v>
          </cell>
          <cell r="P3381">
            <v>40835</v>
          </cell>
        </row>
        <row r="3382">
          <cell r="A3382">
            <v>8782219</v>
          </cell>
          <cell r="B3382">
            <v>113142</v>
          </cell>
          <cell r="C3382">
            <v>878</v>
          </cell>
          <cell r="D3382" t="str">
            <v>Devon</v>
          </cell>
          <cell r="E3382">
            <v>2219</v>
          </cell>
          <cell r="F3382" t="str">
            <v>Dominic Wilson</v>
          </cell>
          <cell r="G3382" t="str">
            <v>Chulmleigh Primary School</v>
          </cell>
          <cell r="H3382" t="str">
            <v>South West</v>
          </cell>
          <cell r="I3382" t="str">
            <v>Beacon Road</v>
          </cell>
          <cell r="L3382" t="str">
            <v>Chulmleigh</v>
          </cell>
          <cell r="M3382" t="str">
            <v>Devon</v>
          </cell>
          <cell r="N3382" t="str">
            <v>EX18 7AA</v>
          </cell>
          <cell r="O3382" t="str">
            <v>admin@chulmleigh-primary.devon.sch.uk</v>
          </cell>
          <cell r="P3382">
            <v>40641</v>
          </cell>
        </row>
        <row r="3383">
          <cell r="A3383">
            <v>8702031</v>
          </cell>
          <cell r="B3383">
            <v>109797</v>
          </cell>
          <cell r="C3383">
            <v>870</v>
          </cell>
          <cell r="D3383" t="str">
            <v>Reading</v>
          </cell>
          <cell r="E3383">
            <v>2031</v>
          </cell>
          <cell r="F3383" t="str">
            <v>Lindsay Morris</v>
          </cell>
          <cell r="G3383" t="str">
            <v>Churchend Primary School</v>
          </cell>
          <cell r="H3383" t="str">
            <v>South East</v>
          </cell>
          <cell r="I3383" t="str">
            <v>Usk Road</v>
          </cell>
          <cell r="J3383" t="str">
            <v>Tilehurst</v>
          </cell>
          <cell r="L3383" t="str">
            <v>Reading</v>
          </cell>
          <cell r="M3383" t="str">
            <v>Berkshire</v>
          </cell>
          <cell r="N3383" t="str">
            <v>RG30 4HP</v>
          </cell>
          <cell r="O3383" t="str">
            <v>head.churchend@reading.gov.uk</v>
          </cell>
          <cell r="P3383">
            <v>40381</v>
          </cell>
        </row>
        <row r="3384">
          <cell r="A3384">
            <v>8715408</v>
          </cell>
          <cell r="B3384">
            <v>110104</v>
          </cell>
          <cell r="C3384">
            <v>871</v>
          </cell>
          <cell r="D3384" t="str">
            <v>Slough</v>
          </cell>
          <cell r="E3384">
            <v>5408</v>
          </cell>
          <cell r="F3384" t="str">
            <v>Beverley Samuel</v>
          </cell>
          <cell r="G3384" t="str">
            <v>Slough Grammar School</v>
          </cell>
          <cell r="H3384" t="str">
            <v>South East</v>
          </cell>
          <cell r="I3384" t="str">
            <v>Lascelles Road</v>
          </cell>
          <cell r="L3384" t="str">
            <v>Slough</v>
          </cell>
          <cell r="M3384" t="str">
            <v>Berkshire</v>
          </cell>
          <cell r="N3384" t="str">
            <v>SL3 7PR</v>
          </cell>
          <cell r="O3384" t="str">
            <v>MHE@sloughgrammar.berks.sch.uk</v>
          </cell>
          <cell r="P3384">
            <v>40456</v>
          </cell>
        </row>
        <row r="3385">
          <cell r="A3385">
            <v>3122052</v>
          </cell>
          <cell r="B3385">
            <v>102399</v>
          </cell>
          <cell r="C3385">
            <v>312</v>
          </cell>
          <cell r="D3385" t="str">
            <v>Hillingdon</v>
          </cell>
          <cell r="E3385">
            <v>2052</v>
          </cell>
          <cell r="F3385" t="str">
            <v>Martin Rowley</v>
          </cell>
          <cell r="G3385" t="str">
            <v>Whitehall Junior School</v>
          </cell>
          <cell r="H3385" t="str">
            <v>London</v>
          </cell>
          <cell r="I3385" t="str">
            <v>Cowley Road</v>
          </cell>
          <cell r="L3385" t="str">
            <v>Uxbridge</v>
          </cell>
          <cell r="N3385" t="str">
            <v>UB8 2LX</v>
          </cell>
          <cell r="O3385" t="str">
            <v>whitehalljun@hillingdongrid.org</v>
          </cell>
        </row>
        <row r="3386">
          <cell r="A3386">
            <v>3802029</v>
          </cell>
          <cell r="B3386">
            <v>107205</v>
          </cell>
          <cell r="C3386">
            <v>380</v>
          </cell>
          <cell r="D3386" t="str">
            <v>Bradford</v>
          </cell>
          <cell r="E3386">
            <v>2029</v>
          </cell>
          <cell r="F3386" t="str">
            <v>Glyn Newton</v>
          </cell>
          <cell r="G3386" t="str">
            <v>Horton Grange Primary School</v>
          </cell>
          <cell r="H3386" t="str">
            <v>Yorkshire and the Humber</v>
          </cell>
          <cell r="I3386" t="str">
            <v>Spencer Road</v>
          </cell>
          <cell r="J3386" t="str">
            <v>Great Horton</v>
          </cell>
          <cell r="L3386" t="str">
            <v>Bradford</v>
          </cell>
          <cell r="M3386" t="str">
            <v>West Yorkshire</v>
          </cell>
          <cell r="N3386" t="str">
            <v>BD7 2EU</v>
          </cell>
          <cell r="O3386" t="str">
            <v>office@hortongrange.bradford.sch.uk</v>
          </cell>
        </row>
        <row r="3387">
          <cell r="A3387">
            <v>8862141</v>
          </cell>
          <cell r="B3387">
            <v>118281</v>
          </cell>
          <cell r="C3387">
            <v>886</v>
          </cell>
          <cell r="D3387" t="str">
            <v>Kent</v>
          </cell>
          <cell r="E3387">
            <v>2141</v>
          </cell>
          <cell r="F3387" t="str">
            <v>Bukky Sawyerr</v>
          </cell>
          <cell r="G3387" t="str">
            <v>Amherst School</v>
          </cell>
          <cell r="H3387" t="str">
            <v>South East</v>
          </cell>
          <cell r="I3387" t="str">
            <v>Witches Lane</v>
          </cell>
          <cell r="J3387" t="str">
            <v>Riverhead</v>
          </cell>
          <cell r="L3387" t="str">
            <v>Sevenoaks</v>
          </cell>
          <cell r="M3387" t="str">
            <v>Kent</v>
          </cell>
          <cell r="N3387" t="str">
            <v>TN13 2AX</v>
          </cell>
          <cell r="O3387" t="str">
            <v>headteacher@amherst.kent.sch.uk</v>
          </cell>
          <cell r="P3387">
            <v>40520</v>
          </cell>
        </row>
        <row r="3388">
          <cell r="A3388">
            <v>9312463</v>
          </cell>
          <cell r="B3388">
            <v>123034</v>
          </cell>
          <cell r="C3388">
            <v>931</v>
          </cell>
          <cell r="D3388" t="str">
            <v>Oxfordshire</v>
          </cell>
          <cell r="E3388">
            <v>2463</v>
          </cell>
          <cell r="F3388" t="str">
            <v>Darren Francis</v>
          </cell>
          <cell r="G3388" t="str">
            <v>Barley Hill Primary School</v>
          </cell>
          <cell r="H3388" t="str">
            <v>South East</v>
          </cell>
          <cell r="I3388" t="str">
            <v>Ludsden Grove</v>
          </cell>
          <cell r="L3388" t="str">
            <v>Thame</v>
          </cell>
          <cell r="M3388" t="str">
            <v>Oxfordshire</v>
          </cell>
          <cell r="N3388" t="str">
            <v>OX9 3DH</v>
          </cell>
          <cell r="O3388" t="str">
            <v>headteacher.2463@barley-hill.oxon.sch.uk</v>
          </cell>
        </row>
        <row r="3389">
          <cell r="A3389">
            <v>2123444</v>
          </cell>
          <cell r="B3389">
            <v>101044</v>
          </cell>
          <cell r="C3389">
            <v>212</v>
          </cell>
          <cell r="D3389" t="str">
            <v>Wandsworth</v>
          </cell>
          <cell r="E3389">
            <v>3444</v>
          </cell>
          <cell r="F3389" t="str">
            <v>Tahir Shams</v>
          </cell>
          <cell r="G3389" t="str">
            <v>St George's CofE Primary School</v>
          </cell>
          <cell r="H3389" t="str">
            <v>London</v>
          </cell>
          <cell r="I3389" t="str">
            <v>Corunna Road</v>
          </cell>
          <cell r="J3389" t="str">
            <v>Battersea</v>
          </cell>
          <cell r="L3389" t="str">
            <v>London</v>
          </cell>
          <cell r="N3389" t="str">
            <v>SW8 4JS</v>
          </cell>
          <cell r="O3389" t="str">
            <v>janethilary@st-georges.wandsworth.sch.uk</v>
          </cell>
        </row>
        <row r="3390">
          <cell r="A3390">
            <v>3202018</v>
          </cell>
          <cell r="B3390">
            <v>134215</v>
          </cell>
          <cell r="C3390">
            <v>320</v>
          </cell>
          <cell r="D3390" t="str">
            <v>Waltham Forest</v>
          </cell>
          <cell r="E3390">
            <v>2018</v>
          </cell>
          <cell r="F3390" t="str">
            <v>Selina White</v>
          </cell>
          <cell r="G3390" t="str">
            <v>Hillyfield Primary School</v>
          </cell>
          <cell r="H3390" t="str">
            <v>London</v>
          </cell>
          <cell r="I3390" t="str">
            <v>Higham Hill Road</v>
          </cell>
          <cell r="L3390" t="str">
            <v>London</v>
          </cell>
          <cell r="N3390" t="str">
            <v>E17 6ED</v>
          </cell>
          <cell r="O3390" t="str">
            <v>steve.lancashire@hillyfield.waltham.sch.uk</v>
          </cell>
          <cell r="P3390">
            <v>40359</v>
          </cell>
        </row>
        <row r="3391">
          <cell r="A3391">
            <v>9285208</v>
          </cell>
          <cell r="B3391">
            <v>122110</v>
          </cell>
          <cell r="C3391">
            <v>928</v>
          </cell>
          <cell r="D3391" t="str">
            <v>Northamptonshire</v>
          </cell>
          <cell r="E3391">
            <v>5208</v>
          </cell>
          <cell r="F3391" t="str">
            <v>Stephen Standret</v>
          </cell>
          <cell r="G3391" t="str">
            <v>Woodnewton - A Learning Community</v>
          </cell>
          <cell r="H3391" t="str">
            <v>East Midlands</v>
          </cell>
          <cell r="I3391" t="str">
            <v>Rowlett Road</v>
          </cell>
          <cell r="L3391" t="str">
            <v>Corby</v>
          </cell>
          <cell r="M3391" t="str">
            <v>Northamptonshire</v>
          </cell>
          <cell r="N3391" t="str">
            <v>NN17 2NU</v>
          </cell>
          <cell r="O3391" t="str">
            <v>ellenwallace@woodnewton.northants.sch.uk</v>
          </cell>
          <cell r="P3391">
            <v>40840</v>
          </cell>
        </row>
        <row r="3392">
          <cell r="A3392">
            <v>8854003</v>
          </cell>
          <cell r="B3392">
            <v>116929</v>
          </cell>
          <cell r="C3392">
            <v>885</v>
          </cell>
          <cell r="D3392" t="str">
            <v>Worcestershire</v>
          </cell>
          <cell r="E3392">
            <v>4003</v>
          </cell>
          <cell r="F3392" t="str">
            <v>Ruth Pallister</v>
          </cell>
          <cell r="G3392" t="str">
            <v>South Bromsgrove Community High School</v>
          </cell>
          <cell r="H3392" t="str">
            <v>West Midlands</v>
          </cell>
          <cell r="I3392" t="str">
            <v>Charford Road</v>
          </cell>
          <cell r="L3392" t="str">
            <v>Bromsgrove</v>
          </cell>
          <cell r="M3392" t="str">
            <v>Worcestershire</v>
          </cell>
          <cell r="N3392" t="str">
            <v>B60 3NL</v>
          </cell>
          <cell r="O3392" t="str">
            <v>PT@southbromsgrove.worcs.sch.uk</v>
          </cell>
          <cell r="P3392">
            <v>41208</v>
          </cell>
        </row>
        <row r="3393">
          <cell r="A3393">
            <v>3033509</v>
          </cell>
          <cell r="B3393">
            <v>134358</v>
          </cell>
          <cell r="C3393">
            <v>303</v>
          </cell>
          <cell r="D3393" t="str">
            <v>Bexley</v>
          </cell>
          <cell r="E3393">
            <v>3509</v>
          </cell>
          <cell r="F3393" t="str">
            <v>Bola Bakrin</v>
          </cell>
          <cell r="G3393" t="str">
            <v>Christ Church, Erith,CofE VA Primary School</v>
          </cell>
          <cell r="H3393" t="str">
            <v>London</v>
          </cell>
          <cell r="I3393" t="str">
            <v>Lesney Park Road</v>
          </cell>
          <cell r="L3393" t="str">
            <v>Erith</v>
          </cell>
          <cell r="M3393" t="str">
            <v>Kent</v>
          </cell>
          <cell r="N3393" t="str">
            <v>DA8 3DG</v>
          </cell>
          <cell r="O3393" t="str">
            <v>bgardner@christchurch.bexley.sch.uk</v>
          </cell>
        </row>
        <row r="3394">
          <cell r="A3394">
            <v>3944055</v>
          </cell>
          <cell r="B3394">
            <v>108861</v>
          </cell>
          <cell r="C3394">
            <v>394</v>
          </cell>
          <cell r="D3394" t="str">
            <v>Sunderland</v>
          </cell>
          <cell r="E3394">
            <v>4055</v>
          </cell>
          <cell r="F3394" t="str">
            <v>Bev Mullin</v>
          </cell>
          <cell r="G3394" t="str">
            <v>Southmoor Community School, Mathematics and Computing College</v>
          </cell>
          <cell r="H3394" t="str">
            <v>North East</v>
          </cell>
          <cell r="I3394" t="str">
            <v>Ryhope Road</v>
          </cell>
          <cell r="L3394" t="str">
            <v>Sunderland</v>
          </cell>
          <cell r="M3394" t="str">
            <v>Tyne and Wear</v>
          </cell>
          <cell r="N3394" t="str">
            <v>SR2 7TF</v>
          </cell>
          <cell r="O3394" t="str">
            <v>sara.barwick@schools.sunderland.gov.uk</v>
          </cell>
          <cell r="P3394">
            <v>40946</v>
          </cell>
        </row>
        <row r="3395">
          <cell r="A3395">
            <v>8955201</v>
          </cell>
          <cell r="B3395">
            <v>111460</v>
          </cell>
          <cell r="C3395">
            <v>895</v>
          </cell>
          <cell r="D3395" t="str">
            <v>Cheshire East</v>
          </cell>
          <cell r="E3395">
            <v>5201</v>
          </cell>
          <cell r="F3395" t="str">
            <v>Jane McCusker</v>
          </cell>
          <cell r="G3395" t="str">
            <v>Mottram St Andrew Primary School</v>
          </cell>
          <cell r="H3395" t="str">
            <v>North West</v>
          </cell>
          <cell r="I3395" t="str">
            <v>Priest Lane</v>
          </cell>
          <cell r="J3395" t="str">
            <v>Mottram St Andrew</v>
          </cell>
          <cell r="L3395" t="str">
            <v>Macclesfield</v>
          </cell>
          <cell r="M3395" t="str">
            <v>Cheshire</v>
          </cell>
          <cell r="N3395" t="str">
            <v>SK10 4QL</v>
          </cell>
          <cell r="O3395" t="str">
            <v>head@mottram.cheshire.sch.uk</v>
          </cell>
          <cell r="P3395">
            <v>40512</v>
          </cell>
        </row>
        <row r="3396">
          <cell r="A3396">
            <v>8782047</v>
          </cell>
          <cell r="B3396">
            <v>113097</v>
          </cell>
          <cell r="C3396">
            <v>878</v>
          </cell>
          <cell r="D3396" t="str">
            <v>Devon</v>
          </cell>
          <cell r="E3396">
            <v>2047</v>
          </cell>
          <cell r="F3396" t="str">
            <v>Lilian Da Cunha</v>
          </cell>
          <cell r="G3396" t="str">
            <v>Hemyock Primary School</v>
          </cell>
          <cell r="H3396" t="str">
            <v>South West</v>
          </cell>
          <cell r="I3396" t="str">
            <v>Parklands</v>
          </cell>
          <cell r="J3396" t="str">
            <v>Hemyock</v>
          </cell>
          <cell r="L3396" t="str">
            <v>Cullompton</v>
          </cell>
          <cell r="M3396" t="str">
            <v>Devon</v>
          </cell>
          <cell r="N3396" t="str">
            <v>EX15 3RY</v>
          </cell>
          <cell r="O3396" t="str">
            <v>gchown@thecff.org.uk</v>
          </cell>
          <cell r="P3396">
            <v>40672</v>
          </cell>
        </row>
        <row r="3397">
          <cell r="A3397">
            <v>3824040</v>
          </cell>
          <cell r="B3397">
            <v>107764</v>
          </cell>
          <cell r="C3397">
            <v>382</v>
          </cell>
          <cell r="D3397" t="str">
            <v>Kirklees</v>
          </cell>
          <cell r="E3397">
            <v>4040</v>
          </cell>
          <cell r="F3397" t="str">
            <v>Anita Turnbull</v>
          </cell>
          <cell r="G3397" t="str">
            <v>The Mirfield Free Grammar and Sixth Form</v>
          </cell>
          <cell r="H3397" t="str">
            <v>Yorkshire and the Humber</v>
          </cell>
          <cell r="I3397" t="str">
            <v>Kitson Hill Road</v>
          </cell>
          <cell r="L3397" t="str">
            <v>Mirfield</v>
          </cell>
          <cell r="M3397" t="str">
            <v>West Yorkshire</v>
          </cell>
          <cell r="N3397" t="str">
            <v>WF14 9EZ</v>
          </cell>
          <cell r="O3397" t="str">
            <v>JMRyan@btinternet.com</v>
          </cell>
          <cell r="P3397">
            <v>40501</v>
          </cell>
        </row>
        <row r="3398">
          <cell r="A3398">
            <v>3314043</v>
          </cell>
          <cell r="B3398">
            <v>103741</v>
          </cell>
          <cell r="C3398">
            <v>331</v>
          </cell>
          <cell r="D3398" t="str">
            <v>Coventry</v>
          </cell>
          <cell r="E3398">
            <v>4043</v>
          </cell>
          <cell r="F3398" t="str">
            <v>Alison Middleton</v>
          </cell>
          <cell r="G3398" t="str">
            <v>The Westwood School - A Technology College</v>
          </cell>
          <cell r="H3398" t="str">
            <v>West Midlands</v>
          </cell>
          <cell r="I3398" t="str">
            <v>Mitchell Avenue</v>
          </cell>
          <cell r="J3398" t="str">
            <v>Canley</v>
          </cell>
          <cell r="L3398" t="str">
            <v>Coventry</v>
          </cell>
          <cell r="M3398" t="str">
            <v>West Midlands</v>
          </cell>
          <cell r="N3398" t="str">
            <v>CV4 8DY</v>
          </cell>
          <cell r="O3398" t="str">
            <v xml:space="preserve"> rwhittall@westwood.coventry.sch.uk</v>
          </cell>
          <cell r="P3398">
            <v>40626</v>
          </cell>
        </row>
        <row r="3399">
          <cell r="A3399">
            <v>8703000</v>
          </cell>
          <cell r="B3399">
            <v>109945</v>
          </cell>
          <cell r="C3399">
            <v>870</v>
          </cell>
          <cell r="D3399" t="str">
            <v>Reading</v>
          </cell>
          <cell r="E3399">
            <v>3000</v>
          </cell>
          <cell r="F3399" t="str">
            <v>Darren Francis</v>
          </cell>
          <cell r="G3399" t="str">
            <v>All Saints Infants School</v>
          </cell>
          <cell r="H3399" t="str">
            <v>South East</v>
          </cell>
          <cell r="I3399" t="str">
            <v>Brownlow Road</v>
          </cell>
          <cell r="L3399" t="str">
            <v>Reading</v>
          </cell>
          <cell r="M3399" t="str">
            <v>Berkshire</v>
          </cell>
          <cell r="N3399" t="str">
            <v>RG1 6NP</v>
          </cell>
          <cell r="O3399" t="str">
            <v>head@allsaints.reading.sch.uk</v>
          </cell>
        </row>
        <row r="3400">
          <cell r="A3400">
            <v>8784016</v>
          </cell>
          <cell r="B3400">
            <v>113507</v>
          </cell>
          <cell r="C3400">
            <v>878</v>
          </cell>
          <cell r="D3400" t="str">
            <v>Devon</v>
          </cell>
          <cell r="E3400">
            <v>4016</v>
          </cell>
          <cell r="F3400" t="str">
            <v>Maria Whiting</v>
          </cell>
          <cell r="G3400" t="str">
            <v>St James School</v>
          </cell>
          <cell r="H3400" t="str">
            <v>South West</v>
          </cell>
          <cell r="I3400" t="str">
            <v>Summer Lane</v>
          </cell>
          <cell r="L3400" t="str">
            <v>Exeter</v>
          </cell>
          <cell r="M3400" t="str">
            <v>Devon</v>
          </cell>
          <cell r="N3400" t="str">
            <v>EX4 8NN</v>
          </cell>
          <cell r="O3400" t="str">
            <v>mmarder@st-james.devon.sch.uk</v>
          </cell>
        </row>
        <row r="3401">
          <cell r="A3401">
            <v>8812850</v>
          </cell>
          <cell r="B3401">
            <v>115022</v>
          </cell>
          <cell r="C3401">
            <v>881</v>
          </cell>
          <cell r="D3401" t="str">
            <v>Essex</v>
          </cell>
          <cell r="E3401">
            <v>2850</v>
          </cell>
          <cell r="F3401" t="str">
            <v>Claire Ivie</v>
          </cell>
          <cell r="G3401" t="str">
            <v xml:space="preserve">The Tyrrells Primary School </v>
          </cell>
          <cell r="H3401" t="str">
            <v>East of England</v>
          </cell>
          <cell r="I3401" t="str">
            <v>Tavistock Road</v>
          </cell>
          <cell r="J3401" t="str">
            <v>Springfield</v>
          </cell>
          <cell r="L3401" t="str">
            <v>Chelmsford</v>
          </cell>
          <cell r="M3401" t="str">
            <v>Essex</v>
          </cell>
          <cell r="N3401" t="str">
            <v>CM1 6JN</v>
          </cell>
          <cell r="O3401" t="str">
            <v>admin@tyrells.essex.sch.uk</v>
          </cell>
          <cell r="P3401">
            <v>40679</v>
          </cell>
        </row>
        <row r="3402">
          <cell r="A3402">
            <v>8614175</v>
          </cell>
          <cell r="B3402">
            <v>124441</v>
          </cell>
          <cell r="C3402">
            <v>861</v>
          </cell>
          <cell r="D3402" t="str">
            <v>Stoke-on-Trent</v>
          </cell>
          <cell r="E3402">
            <v>4175</v>
          </cell>
          <cell r="F3402" t="str">
            <v>Sally Gardiner</v>
          </cell>
          <cell r="G3402" t="str">
            <v>Thistley Hough High School</v>
          </cell>
          <cell r="H3402" t="str">
            <v>West Midlands</v>
          </cell>
          <cell r="I3402" t="str">
            <v>Newcastle Lane</v>
          </cell>
          <cell r="J3402" t="str">
            <v>Penkhull</v>
          </cell>
          <cell r="L3402" t="str">
            <v>Stoke-on-Trent</v>
          </cell>
          <cell r="M3402" t="str">
            <v>Staffordshire</v>
          </cell>
          <cell r="N3402" t="str">
            <v>ST4 5JJ</v>
          </cell>
          <cell r="O3402" t="str">
            <v>rhaines@sgfl.org.uk</v>
          </cell>
        </row>
        <row r="3403">
          <cell r="A3403">
            <v>8913118</v>
          </cell>
          <cell r="B3403">
            <v>122765</v>
          </cell>
          <cell r="C3403">
            <v>891</v>
          </cell>
          <cell r="D3403" t="str">
            <v>Nottinghamshire</v>
          </cell>
          <cell r="E3403">
            <v>3118</v>
          </cell>
          <cell r="F3403" t="str">
            <v>Grant Dyson</v>
          </cell>
          <cell r="G3403" t="str">
            <v>North Leverton CofE Primary School</v>
          </cell>
          <cell r="H3403" t="str">
            <v>East Midlands</v>
          </cell>
          <cell r="I3403" t="str">
            <v>Main Street</v>
          </cell>
          <cell r="J3403" t="str">
            <v>North Leverton</v>
          </cell>
          <cell r="L3403" t="str">
            <v>Retford</v>
          </cell>
          <cell r="M3403" t="str">
            <v>Nottinghamshire</v>
          </cell>
          <cell r="N3403" t="str">
            <v>DN22 0AD</v>
          </cell>
          <cell r="O3403" t="str">
            <v>kbacon1@northleverton.notts.sch.uk</v>
          </cell>
          <cell r="P3403">
            <v>40673</v>
          </cell>
        </row>
        <row r="3404">
          <cell r="A3404">
            <v>9255212</v>
          </cell>
          <cell r="B3404">
            <v>120679</v>
          </cell>
          <cell r="C3404">
            <v>925</v>
          </cell>
          <cell r="D3404" t="str">
            <v>Lincolnshire</v>
          </cell>
          <cell r="E3404">
            <v>5212</v>
          </cell>
          <cell r="F3404" t="str">
            <v>Grant Dyson</v>
          </cell>
          <cell r="G3404" t="str">
            <v>Washingborough Foundation Primary School</v>
          </cell>
          <cell r="H3404" t="str">
            <v>East Midlands</v>
          </cell>
          <cell r="I3404" t="str">
            <v>School Lane</v>
          </cell>
          <cell r="J3404" t="str">
            <v>Washingborough</v>
          </cell>
          <cell r="L3404" t="str">
            <v>Lincoln</v>
          </cell>
          <cell r="M3404" t="str">
            <v>Lincolnshire</v>
          </cell>
          <cell r="N3404" t="str">
            <v>LN4 1BW</v>
          </cell>
          <cell r="O3404" t="str">
            <v>jason.orourke@washingborough.lincs.sch.uk</v>
          </cell>
          <cell r="P3404">
            <v>40878</v>
          </cell>
        </row>
        <row r="3405">
          <cell r="A3405">
            <v>8232285</v>
          </cell>
          <cell r="B3405">
            <v>109589</v>
          </cell>
          <cell r="C3405">
            <v>823</v>
          </cell>
          <cell r="D3405" t="str">
            <v>Central Bedfordshire</v>
          </cell>
          <cell r="E3405">
            <v>2285</v>
          </cell>
          <cell r="F3405" t="str">
            <v>Stella Aina</v>
          </cell>
          <cell r="G3405" t="str">
            <v>Downside Lower School/St Augustine's Academy</v>
          </cell>
          <cell r="H3405" t="str">
            <v>East of England</v>
          </cell>
          <cell r="I3405" t="str">
            <v>Oakwood Avenue</v>
          </cell>
          <cell r="L3405" t="str">
            <v>Dunstable</v>
          </cell>
          <cell r="M3405" t="str">
            <v>Bedfordshire</v>
          </cell>
          <cell r="N3405" t="str">
            <v>LU5 4AS</v>
          </cell>
          <cell r="O3405" t="str">
            <v>m.ravenor@staugustinesacademy.co.uk</v>
          </cell>
          <cell r="P3405">
            <v>40934</v>
          </cell>
        </row>
        <row r="3406">
          <cell r="A3406">
            <v>3842101</v>
          </cell>
          <cell r="B3406">
            <v>108178</v>
          </cell>
          <cell r="C3406">
            <v>384</v>
          </cell>
          <cell r="D3406" t="str">
            <v>Wakefield</v>
          </cell>
          <cell r="E3406">
            <v>2101</v>
          </cell>
          <cell r="F3406" t="str">
            <v>Adriarna Goodinson</v>
          </cell>
          <cell r="G3406" t="str">
            <v>Knottingley Simpson's Lane Junior and Infant School</v>
          </cell>
          <cell r="H3406" t="str">
            <v>Yorkshire and the Humber</v>
          </cell>
          <cell r="I3406" t="str">
            <v>Sycamore Avenue</v>
          </cell>
          <cell r="L3406" t="str">
            <v>Knottingley</v>
          </cell>
          <cell r="M3406" t="str">
            <v>West Yorkshire</v>
          </cell>
          <cell r="N3406" t="str">
            <v>WF11 0PL</v>
          </cell>
          <cell r="O3406" t="str">
            <v>Headteacher@simpsonslane.wakefield.sch.uk</v>
          </cell>
          <cell r="P3406">
            <v>40976</v>
          </cell>
        </row>
        <row r="3407">
          <cell r="A3407">
            <v>8712196</v>
          </cell>
          <cell r="B3407">
            <v>109903</v>
          </cell>
          <cell r="C3407">
            <v>871</v>
          </cell>
          <cell r="D3407" t="str">
            <v>Slough</v>
          </cell>
          <cell r="E3407">
            <v>2196</v>
          </cell>
          <cell r="F3407" t="str">
            <v>Lindsay Morris</v>
          </cell>
          <cell r="G3407" t="str">
            <v>Godolphin Infant School</v>
          </cell>
          <cell r="H3407" t="str">
            <v>South East</v>
          </cell>
          <cell r="I3407" t="str">
            <v>Warrington Avenue</v>
          </cell>
          <cell r="L3407" t="str">
            <v>Slough</v>
          </cell>
          <cell r="M3407" t="str">
            <v>Berkshire</v>
          </cell>
          <cell r="N3407" t="str">
            <v>SL1 3BQ</v>
          </cell>
          <cell r="O3407" t="str">
            <v>arinahester@godolphin-inf.slough.sch.uk</v>
          </cell>
          <cell r="P3407">
            <v>40981</v>
          </cell>
        </row>
        <row r="3408">
          <cell r="A3408">
            <v>8942033</v>
          </cell>
          <cell r="B3408">
            <v>123358</v>
          </cell>
          <cell r="C3408">
            <v>894</v>
          </cell>
          <cell r="D3408" t="str">
            <v>Telford and Wrekin</v>
          </cell>
          <cell r="E3408">
            <v>2033</v>
          </cell>
          <cell r="F3408" t="str">
            <v>Stephen Bagnall</v>
          </cell>
          <cell r="G3408" t="str">
            <v>Church Aston Infant School</v>
          </cell>
          <cell r="H3408" t="str">
            <v>West Midlands</v>
          </cell>
          <cell r="I3408" t="str">
            <v>Church Aston</v>
          </cell>
          <cell r="L3408" t="str">
            <v>Newport</v>
          </cell>
          <cell r="M3408" t="str">
            <v>Shropshire</v>
          </cell>
          <cell r="N3408" t="str">
            <v>TF10 9JN</v>
          </cell>
          <cell r="O3408" t="str">
            <v>a.garner@blueyonder.co.uk</v>
          </cell>
        </row>
        <row r="3409">
          <cell r="A3409">
            <v>8842098</v>
          </cell>
          <cell r="B3409">
            <v>116702</v>
          </cell>
          <cell r="C3409">
            <v>884</v>
          </cell>
          <cell r="D3409" t="str">
            <v>Herefordshire</v>
          </cell>
          <cell r="E3409">
            <v>2098</v>
          </cell>
          <cell r="F3409" t="str">
            <v>Adriarna Goodinson</v>
          </cell>
          <cell r="G3409" t="str">
            <v>Ledbury Primary School</v>
          </cell>
          <cell r="H3409" t="str">
            <v>West Midlands</v>
          </cell>
          <cell r="I3409" t="str">
            <v>Longacres</v>
          </cell>
          <cell r="L3409" t="str">
            <v>Ledbury</v>
          </cell>
          <cell r="M3409" t="str">
            <v>Herefordshire</v>
          </cell>
          <cell r="N3409" t="str">
            <v>HR8 2BE</v>
          </cell>
          <cell r="O3409" t="str">
            <v>jduckworth@ledbury.hereford.sch.uk</v>
          </cell>
          <cell r="P3409">
            <v>40603</v>
          </cell>
        </row>
        <row r="3410">
          <cell r="A3410">
            <v>9254065</v>
          </cell>
          <cell r="B3410">
            <v>120655</v>
          </cell>
          <cell r="C3410">
            <v>925</v>
          </cell>
          <cell r="D3410" t="str">
            <v>Lincolnshire</v>
          </cell>
          <cell r="E3410">
            <v>4065</v>
          </cell>
          <cell r="F3410" t="str">
            <v>Jacki Couch</v>
          </cell>
          <cell r="G3410" t="str">
            <v>The Queen Elizabeth's High School, Gainsborough</v>
          </cell>
          <cell r="H3410" t="str">
            <v>East Midlands</v>
          </cell>
          <cell r="I3410" t="str">
            <v>Morton Terrace</v>
          </cell>
          <cell r="L3410" t="str">
            <v>Gainsborough</v>
          </cell>
          <cell r="M3410" t="str">
            <v>Lincolnshire</v>
          </cell>
          <cell r="N3410" t="str">
            <v>DN21 2ST</v>
          </cell>
          <cell r="O3410" t="str">
            <v>staffdaa@qehs.lincs.sch.uk</v>
          </cell>
          <cell r="P3410">
            <v>40560</v>
          </cell>
        </row>
        <row r="3411">
          <cell r="A3411">
            <v>9262043</v>
          </cell>
          <cell r="B3411">
            <v>120801</v>
          </cell>
          <cell r="C3411">
            <v>926</v>
          </cell>
          <cell r="D3411" t="str">
            <v>Norfolk</v>
          </cell>
          <cell r="E3411">
            <v>2043</v>
          </cell>
          <cell r="F3411" t="str">
            <v>Janet Smith</v>
          </cell>
          <cell r="G3411" t="str">
            <v>Costessey Junior School</v>
          </cell>
          <cell r="H3411" t="str">
            <v>East of England</v>
          </cell>
          <cell r="I3411" t="str">
            <v>Three Mile Lane</v>
          </cell>
          <cell r="J3411" t="str">
            <v>Costessey</v>
          </cell>
          <cell r="L3411" t="str">
            <v>Norwich</v>
          </cell>
          <cell r="M3411" t="str">
            <v>Norfolk</v>
          </cell>
          <cell r="N3411" t="str">
            <v>NR5 0RR</v>
          </cell>
          <cell r="O3411" t="str">
            <v>head@costessey-jun.norfolk.sch.uk</v>
          </cell>
          <cell r="P3411">
            <v>40862</v>
          </cell>
        </row>
        <row r="3412">
          <cell r="A3412">
            <v>8712216</v>
          </cell>
          <cell r="B3412">
            <v>109913</v>
          </cell>
          <cell r="C3412">
            <v>871</v>
          </cell>
          <cell r="D3412" t="str">
            <v>Slough</v>
          </cell>
          <cell r="E3412">
            <v>2216</v>
          </cell>
          <cell r="F3412" t="str">
            <v>Lindsay Morris</v>
          </cell>
          <cell r="G3412" t="str">
            <v>Foxborough Primary School</v>
          </cell>
          <cell r="H3412" t="str">
            <v>South East</v>
          </cell>
          <cell r="I3412" t="str">
            <v>Common Road</v>
          </cell>
          <cell r="J3412" t="str">
            <v>Langley</v>
          </cell>
          <cell r="L3412" t="str">
            <v>Slough</v>
          </cell>
          <cell r="M3412" t="str">
            <v>Berkshire</v>
          </cell>
          <cell r="N3412" t="str">
            <v>SL3 8TX</v>
          </cell>
          <cell r="O3412" t="str">
            <v>head@foxborough.slough.sch.uk</v>
          </cell>
          <cell r="P3412">
            <v>41239</v>
          </cell>
        </row>
        <row r="3413">
          <cell r="A3413">
            <v>8912634</v>
          </cell>
          <cell r="B3413">
            <v>122610</v>
          </cell>
          <cell r="C3413">
            <v>891</v>
          </cell>
          <cell r="D3413" t="str">
            <v>Nottinghamshire</v>
          </cell>
          <cell r="E3413">
            <v>2634</v>
          </cell>
          <cell r="F3413" t="str">
            <v>Linda Brooks</v>
          </cell>
          <cell r="G3413" t="str">
            <v>Norbridge Primary School</v>
          </cell>
          <cell r="H3413" t="str">
            <v>East Midlands</v>
          </cell>
          <cell r="I3413" t="str">
            <v>Stanley Street</v>
          </cell>
          <cell r="L3413" t="str">
            <v>Worksop</v>
          </cell>
          <cell r="M3413" t="str">
            <v>Nottinghamshire</v>
          </cell>
          <cell r="N3413" t="str">
            <v>S81 7HX</v>
          </cell>
          <cell r="O3413" t="str">
            <v>head@norbridge.notts.sch.uk</v>
          </cell>
          <cell r="P3413">
            <v>40561</v>
          </cell>
        </row>
        <row r="3414">
          <cell r="A3414">
            <v>9163084</v>
          </cell>
          <cell r="B3414">
            <v>115662</v>
          </cell>
          <cell r="C3414">
            <v>916</v>
          </cell>
          <cell r="D3414" t="str">
            <v>Gloucestershire</v>
          </cell>
          <cell r="E3414">
            <v>3084</v>
          </cell>
          <cell r="F3414" t="str">
            <v>Nigel Mills</v>
          </cell>
          <cell r="G3414" t="str">
            <v>Highnam Church of England Primary School</v>
          </cell>
          <cell r="H3414" t="str">
            <v>South West</v>
          </cell>
          <cell r="I3414" t="str">
            <v>Wetherleigh Drive</v>
          </cell>
          <cell r="J3414" t="str">
            <v>Highnam</v>
          </cell>
          <cell r="L3414" t="str">
            <v>Gloucester</v>
          </cell>
          <cell r="M3414" t="str">
            <v>Gloucestershire</v>
          </cell>
          <cell r="N3414" t="str">
            <v>GL2 8LW</v>
          </cell>
          <cell r="O3414" t="str">
            <v>head@highnam.gloucs.sch.uk</v>
          </cell>
          <cell r="P3414">
            <v>40567</v>
          </cell>
        </row>
        <row r="3415">
          <cell r="A3415">
            <v>3584012</v>
          </cell>
          <cell r="B3415">
            <v>106363</v>
          </cell>
          <cell r="C3415">
            <v>358</v>
          </cell>
          <cell r="D3415" t="str">
            <v>Trafford</v>
          </cell>
          <cell r="E3415">
            <v>4012</v>
          </cell>
          <cell r="F3415" t="str">
            <v>Jane McCusker</v>
          </cell>
          <cell r="G3415" t="str">
            <v>Broadoak School</v>
          </cell>
          <cell r="H3415" t="str">
            <v>North West</v>
          </cell>
          <cell r="I3415" t="str">
            <v>Warburton Lane</v>
          </cell>
          <cell r="J3415" t="str">
            <v>Partington</v>
          </cell>
          <cell r="K3415" t="str">
            <v>Urmston</v>
          </cell>
          <cell r="L3415" t="str">
            <v>Manchester</v>
          </cell>
          <cell r="N3415" t="str">
            <v>M31 4BU</v>
          </cell>
          <cell r="O3415" t="str">
            <v>tkapur@aom.trafford.sch.uk</v>
          </cell>
          <cell r="P3415">
            <v>40896</v>
          </cell>
        </row>
        <row r="3416">
          <cell r="A3416">
            <v>3343503</v>
          </cell>
          <cell r="B3416">
            <v>104101</v>
          </cell>
          <cell r="C3416">
            <v>334</v>
          </cell>
          <cell r="D3416" t="str">
            <v>Solihull</v>
          </cell>
          <cell r="E3416">
            <v>3503</v>
          </cell>
          <cell r="F3416" t="str">
            <v>Alison Middleton</v>
          </cell>
          <cell r="G3416" t="str">
            <v>St George and St Teresa Catholic Primary School</v>
          </cell>
          <cell r="H3416" t="str">
            <v>West Midlands</v>
          </cell>
          <cell r="I3416" t="str">
            <v>Mill Lane</v>
          </cell>
          <cell r="J3416" t="str">
            <v>Bentley Heath</v>
          </cell>
          <cell r="L3416" t="str">
            <v>Solihull</v>
          </cell>
          <cell r="M3416" t="str">
            <v>West Midlands</v>
          </cell>
          <cell r="N3416" t="str">
            <v>B93 8PA</v>
          </cell>
          <cell r="O3416" t="str">
            <v>s86dfoxon@stgandt.solihull.sch.uk</v>
          </cell>
        </row>
        <row r="3417">
          <cell r="A3417">
            <v>9314010</v>
          </cell>
          <cell r="B3417">
            <v>123231</v>
          </cell>
          <cell r="C3417">
            <v>931</v>
          </cell>
          <cell r="D3417" t="str">
            <v>Oxfordshire</v>
          </cell>
          <cell r="E3417">
            <v>4010</v>
          </cell>
          <cell r="F3417" t="str">
            <v>Sarah Nairne</v>
          </cell>
          <cell r="G3417" t="str">
            <v>Chipping Norton School</v>
          </cell>
          <cell r="H3417" t="str">
            <v>South East</v>
          </cell>
          <cell r="I3417" t="str">
            <v>Burford Road</v>
          </cell>
          <cell r="L3417" t="str">
            <v>Chipping Norton</v>
          </cell>
          <cell r="M3417" t="str">
            <v>Oxfordshire</v>
          </cell>
          <cell r="N3417" t="str">
            <v>OX7 5DY</v>
          </cell>
          <cell r="O3417" t="str">
            <v>office.4010@chipping-norton.oxon.sch.uk</v>
          </cell>
          <cell r="P3417">
            <v>40869</v>
          </cell>
        </row>
        <row r="3418">
          <cell r="A3418">
            <v>8862569</v>
          </cell>
          <cell r="B3418">
            <v>118520</v>
          </cell>
          <cell r="C3418">
            <v>886</v>
          </cell>
          <cell r="D3418" t="str">
            <v>Kent</v>
          </cell>
          <cell r="E3418">
            <v>2569</v>
          </cell>
          <cell r="F3418" t="str">
            <v>Tony Dunne</v>
          </cell>
          <cell r="G3418" t="str">
            <v>Briary Primary School</v>
          </cell>
          <cell r="H3418" t="str">
            <v>South East</v>
          </cell>
          <cell r="I3418" t="str">
            <v>Greenhill Road</v>
          </cell>
          <cell r="L3418" t="str">
            <v>Herne Bay</v>
          </cell>
          <cell r="M3418" t="str">
            <v>Kent</v>
          </cell>
          <cell r="N3418" t="str">
            <v>CT6 7RS</v>
          </cell>
          <cell r="O3418" t="str">
            <v>ben.cooper@briary.kent.sch.uk</v>
          </cell>
        </row>
        <row r="3419">
          <cell r="A3419">
            <v>3844030</v>
          </cell>
          <cell r="B3419">
            <v>108282</v>
          </cell>
          <cell r="C3419">
            <v>384</v>
          </cell>
          <cell r="D3419" t="str">
            <v>Wakefield</v>
          </cell>
          <cell r="E3419">
            <v>4030</v>
          </cell>
          <cell r="F3419" t="str">
            <v>John Edmunds</v>
          </cell>
          <cell r="G3419" t="str">
            <v>Minsthorpe Community College, A Specialist Science College</v>
          </cell>
          <cell r="H3419" t="str">
            <v>Yorkshire and the Humber</v>
          </cell>
          <cell r="I3419" t="str">
            <v>Minsthorpe Lane</v>
          </cell>
          <cell r="J3419" t="str">
            <v>South Elmsall</v>
          </cell>
          <cell r="L3419" t="str">
            <v>Pontefract</v>
          </cell>
          <cell r="M3419" t="str">
            <v>West Yorkshire</v>
          </cell>
          <cell r="N3419" t="str">
            <v>WF9 2UJ</v>
          </cell>
          <cell r="O3419" t="str">
            <v>enquiries@minsthorpe.wakefield.sch.uk</v>
          </cell>
          <cell r="P3419">
            <v>40562</v>
          </cell>
        </row>
        <row r="3420">
          <cell r="A3420">
            <v>3302435</v>
          </cell>
          <cell r="B3420">
            <v>103362</v>
          </cell>
          <cell r="C3420">
            <v>330</v>
          </cell>
          <cell r="D3420" t="str">
            <v>Birmingham</v>
          </cell>
          <cell r="E3420">
            <v>2435</v>
          </cell>
          <cell r="F3420" t="str">
            <v>Hannah Copp</v>
          </cell>
          <cell r="G3420" t="str">
            <v>Benson Community School</v>
          </cell>
          <cell r="H3420" t="str">
            <v>West Midlands</v>
          </cell>
          <cell r="I3420" t="str">
            <v>Benson Road</v>
          </cell>
          <cell r="J3420" t="str">
            <v>Hockley</v>
          </cell>
          <cell r="L3420" t="str">
            <v>Birmingham</v>
          </cell>
          <cell r="M3420" t="str">
            <v>West Midlands</v>
          </cell>
          <cell r="N3420" t="str">
            <v>B18 5TD</v>
          </cell>
          <cell r="O3420" t="str">
            <v>headteacher@benson.bham.sch.uk</v>
          </cell>
        </row>
        <row r="3421">
          <cell r="A3421">
            <v>8934502</v>
          </cell>
          <cell r="B3421">
            <v>123588</v>
          </cell>
          <cell r="C3421">
            <v>893</v>
          </cell>
          <cell r="D3421" t="str">
            <v>Shropshire</v>
          </cell>
          <cell r="E3421">
            <v>4502</v>
          </cell>
          <cell r="F3421" t="str">
            <v>Julia Waterhouse</v>
          </cell>
          <cell r="G3421" t="str">
            <v>Sir John Talbot's Technology College</v>
          </cell>
          <cell r="H3421" t="str">
            <v>West Midlands</v>
          </cell>
          <cell r="I3421" t="str">
            <v>Tilstock Road</v>
          </cell>
          <cell r="L3421" t="str">
            <v>Whitchurch</v>
          </cell>
          <cell r="M3421" t="str">
            <v>Shropshire</v>
          </cell>
          <cell r="N3421" t="str">
            <v>SY13 2BY</v>
          </cell>
          <cell r="O3421" t="str">
            <v>roddy.m@shropshirelg.net</v>
          </cell>
        </row>
        <row r="3422">
          <cell r="A3422">
            <v>9364151</v>
          </cell>
          <cell r="B3422">
            <v>125254</v>
          </cell>
          <cell r="C3422">
            <v>936</v>
          </cell>
          <cell r="D3422" t="str">
            <v>Surrey</v>
          </cell>
          <cell r="E3422">
            <v>4151</v>
          </cell>
          <cell r="F3422" t="str">
            <v>Gabriela Grimley</v>
          </cell>
          <cell r="G3422" t="str">
            <v>Weydon School</v>
          </cell>
          <cell r="H3422" t="str">
            <v>South East</v>
          </cell>
          <cell r="I3422" t="str">
            <v>Weydon Lane</v>
          </cell>
          <cell r="L3422" t="str">
            <v>Farnham</v>
          </cell>
          <cell r="M3422" t="str">
            <v>Surrey</v>
          </cell>
          <cell r="N3422" t="str">
            <v>GU9 8UG</v>
          </cell>
          <cell r="O3422" t="str">
            <v>jmwinter@weydonschool.surrey.sch.uk</v>
          </cell>
          <cell r="P3422">
            <v>40533</v>
          </cell>
        </row>
        <row r="3423">
          <cell r="A3423">
            <v>3714031</v>
          </cell>
          <cell r="B3423">
            <v>106787</v>
          </cell>
          <cell r="C3423">
            <v>371</v>
          </cell>
          <cell r="D3423" t="str">
            <v>Doncaster</v>
          </cell>
          <cell r="E3423">
            <v>4031</v>
          </cell>
          <cell r="F3423" t="str">
            <v>Adriarna Goodinson</v>
          </cell>
          <cell r="G3423" t="str">
            <v>Sir Thomas Wharton Community College</v>
          </cell>
          <cell r="H3423" t="str">
            <v>Yorkshire and the Humber</v>
          </cell>
          <cell r="I3423" t="str">
            <v>Tait Avenue</v>
          </cell>
          <cell r="J3423" t="str">
            <v>Edlington</v>
          </cell>
          <cell r="L3423" t="str">
            <v>Doncaster</v>
          </cell>
          <cell r="M3423" t="str">
            <v>South Yorkshire</v>
          </cell>
          <cell r="N3423" t="str">
            <v>DN12 1HH</v>
          </cell>
          <cell r="O3423" t="str">
            <v>m.mccorry@sirthomaswharton.doncaster.sch.uk</v>
          </cell>
          <cell r="P3423">
            <v>41032</v>
          </cell>
        </row>
        <row r="3424">
          <cell r="A3424">
            <v>8862230</v>
          </cell>
          <cell r="B3424">
            <v>118340</v>
          </cell>
          <cell r="C3424">
            <v>886</v>
          </cell>
          <cell r="D3424" t="str">
            <v>Kent</v>
          </cell>
          <cell r="E3424">
            <v>2230</v>
          </cell>
          <cell r="F3424" t="str">
            <v>Tony Dunne</v>
          </cell>
          <cell r="G3424" t="str">
            <v>Iwade Community Primary School</v>
          </cell>
          <cell r="H3424" t="str">
            <v>South East</v>
          </cell>
          <cell r="I3424" t="str">
            <v>School Lane</v>
          </cell>
          <cell r="J3424" t="str">
            <v>Iwade</v>
          </cell>
          <cell r="L3424" t="str">
            <v>Sittingbourne</v>
          </cell>
          <cell r="M3424" t="str">
            <v>Kent</v>
          </cell>
          <cell r="N3424" t="str">
            <v>ME9 8RS</v>
          </cell>
          <cell r="O3424" t="str">
            <v>headteacher@bobbing.kent.sch.uk</v>
          </cell>
        </row>
        <row r="3425">
          <cell r="A3425">
            <v>8252229</v>
          </cell>
          <cell r="B3425">
            <v>110321</v>
          </cell>
          <cell r="C3425">
            <v>825</v>
          </cell>
          <cell r="D3425" t="str">
            <v>Buckinghamshire</v>
          </cell>
          <cell r="E3425">
            <v>2229</v>
          </cell>
          <cell r="F3425" t="str">
            <v>Darren Francis</v>
          </cell>
          <cell r="G3425" t="str">
            <v>Chepping View Primary School</v>
          </cell>
          <cell r="H3425" t="str">
            <v>South East</v>
          </cell>
          <cell r="I3425" t="str">
            <v>Cressex Road</v>
          </cell>
          <cell r="L3425" t="str">
            <v>High Wycombe</v>
          </cell>
          <cell r="M3425" t="str">
            <v>Buckinghamshire</v>
          </cell>
          <cell r="N3425" t="str">
            <v>HP12 4PR</v>
          </cell>
          <cell r="O3425" t="str">
            <v>head@cheppingviewpri.bucks.sch.uk</v>
          </cell>
          <cell r="P3425">
            <v>40857</v>
          </cell>
        </row>
        <row r="3426">
          <cell r="A3426">
            <v>8865465</v>
          </cell>
          <cell r="B3426">
            <v>118936</v>
          </cell>
          <cell r="C3426">
            <v>886</v>
          </cell>
          <cell r="D3426" t="str">
            <v>Kent</v>
          </cell>
          <cell r="E3426">
            <v>5465</v>
          </cell>
          <cell r="F3426" t="str">
            <v>Sarah Mitchell</v>
          </cell>
          <cell r="G3426" t="str">
            <v>Gravesend Grammar School</v>
          </cell>
          <cell r="H3426" t="str">
            <v>South East</v>
          </cell>
          <cell r="I3426" t="str">
            <v>Church Walk</v>
          </cell>
          <cell r="L3426" t="str">
            <v>Gravesend</v>
          </cell>
          <cell r="M3426" t="str">
            <v>Kent</v>
          </cell>
          <cell r="N3426" t="str">
            <v>DA12 2PR</v>
          </cell>
          <cell r="O3426" t="str">
            <v>head@gravesendgrammar.eu</v>
          </cell>
          <cell r="P3426">
            <v>40564</v>
          </cell>
        </row>
        <row r="3427">
          <cell r="A3427">
            <v>8402308</v>
          </cell>
          <cell r="B3427">
            <v>114056</v>
          </cell>
          <cell r="C3427">
            <v>840</v>
          </cell>
          <cell r="D3427" t="str">
            <v>Durham</v>
          </cell>
          <cell r="E3427">
            <v>2308</v>
          </cell>
          <cell r="F3427" t="str">
            <v>Jane Moore</v>
          </cell>
          <cell r="G3427" t="str">
            <v>Crook Primary School</v>
          </cell>
          <cell r="H3427" t="str">
            <v>North East</v>
          </cell>
          <cell r="I3427" t="str">
            <v>Croft Avenue</v>
          </cell>
          <cell r="L3427" t="str">
            <v>Crook</v>
          </cell>
          <cell r="M3427" t="str">
            <v>County Durham</v>
          </cell>
          <cell r="N3427" t="str">
            <v>DL15 8QG</v>
          </cell>
          <cell r="O3427" t="str">
            <v>a.lupton100@durhamlearning.net</v>
          </cell>
        </row>
        <row r="3428">
          <cell r="A3428">
            <v>9195200</v>
          </cell>
          <cell r="B3428">
            <v>117560</v>
          </cell>
          <cell r="C3428">
            <v>919</v>
          </cell>
          <cell r="D3428" t="str">
            <v>Hertfordshire</v>
          </cell>
          <cell r="E3428">
            <v>5200</v>
          </cell>
          <cell r="F3428" t="str">
            <v>William Thursfield</v>
          </cell>
          <cell r="G3428" t="str">
            <v>St Mary Roman Catholic Primary School</v>
          </cell>
          <cell r="H3428" t="str">
            <v>East of England</v>
          </cell>
          <cell r="I3428" t="str">
            <v>Melbourn Road</v>
          </cell>
          <cell r="L3428" t="str">
            <v>Royston</v>
          </cell>
          <cell r="M3428" t="str">
            <v>Hertfordshire</v>
          </cell>
          <cell r="N3428" t="str">
            <v>SG8 7DB</v>
          </cell>
          <cell r="O3428" t="str">
            <v>head@st-marys-royston.herts.sch.uk</v>
          </cell>
          <cell r="P3428">
            <v>41026</v>
          </cell>
        </row>
        <row r="3429">
          <cell r="A3429">
            <v>9364459</v>
          </cell>
          <cell r="B3429">
            <v>125267</v>
          </cell>
          <cell r="C3429">
            <v>936</v>
          </cell>
          <cell r="D3429" t="str">
            <v>Surrey</v>
          </cell>
          <cell r="E3429">
            <v>4459</v>
          </cell>
          <cell r="F3429" t="str">
            <v>Gabriela Grimley</v>
          </cell>
          <cell r="G3429" t="str">
            <v>Sunbury Manor School</v>
          </cell>
          <cell r="H3429" t="str">
            <v>South East</v>
          </cell>
          <cell r="I3429" t="str">
            <v>Nursery Road</v>
          </cell>
          <cell r="L3429" t="str">
            <v>Sunbury-on-Thames</v>
          </cell>
          <cell r="M3429" t="str">
            <v>Surrey</v>
          </cell>
          <cell r="N3429" t="str">
            <v>TW16 6LF</v>
          </cell>
          <cell r="O3429" t="str">
            <v>lduncan@sunburymanor.surrey.sch.uk</v>
          </cell>
          <cell r="P3429">
            <v>40522</v>
          </cell>
        </row>
        <row r="3430">
          <cell r="A3430">
            <v>3025404</v>
          </cell>
          <cell r="B3430">
            <v>101361</v>
          </cell>
          <cell r="C3430">
            <v>302</v>
          </cell>
          <cell r="D3430" t="str">
            <v>Barnet</v>
          </cell>
          <cell r="E3430">
            <v>5404</v>
          </cell>
          <cell r="F3430" t="str">
            <v>Kiran Teli</v>
          </cell>
          <cell r="G3430" t="str">
            <v>St Michael's Catholic Grammar School</v>
          </cell>
          <cell r="H3430" t="str">
            <v>London</v>
          </cell>
          <cell r="I3430" t="str">
            <v>Nether Street</v>
          </cell>
          <cell r="J3430" t="str">
            <v>North Finchley</v>
          </cell>
          <cell r="L3430" t="str">
            <v>London</v>
          </cell>
          <cell r="N3430" t="str">
            <v>N12 7NJ</v>
          </cell>
          <cell r="O3430" t="str">
            <v>jward@st-michaels.barnet.sch.uk</v>
          </cell>
          <cell r="P3430">
            <v>40998</v>
          </cell>
        </row>
        <row r="3431">
          <cell r="A3431">
            <v>8553052</v>
          </cell>
          <cell r="B3431">
            <v>120140</v>
          </cell>
          <cell r="C3431">
            <v>855</v>
          </cell>
          <cell r="D3431" t="str">
            <v>Leicestershire</v>
          </cell>
          <cell r="E3431">
            <v>3052</v>
          </cell>
          <cell r="F3431" t="str">
            <v>Sue Harp</v>
          </cell>
          <cell r="G3431" t="str">
            <v>Claybrooke Primary School</v>
          </cell>
          <cell r="H3431" t="str">
            <v>East Midlands</v>
          </cell>
          <cell r="I3431" t="str">
            <v>Main Road</v>
          </cell>
          <cell r="J3431" t="str">
            <v>Claybrooke Parva</v>
          </cell>
          <cell r="L3431" t="str">
            <v>Lutterworth</v>
          </cell>
          <cell r="M3431" t="str">
            <v>Leicestershire</v>
          </cell>
          <cell r="N3431" t="str">
            <v>LE17 5AF</v>
          </cell>
          <cell r="O3431" t="str">
            <v>jblackburn@claybrooke.leics.sch.uk</v>
          </cell>
        </row>
        <row r="3432">
          <cell r="A3432">
            <v>8804117</v>
          </cell>
          <cell r="B3432">
            <v>113526</v>
          </cell>
          <cell r="C3432">
            <v>880</v>
          </cell>
          <cell r="D3432" t="str">
            <v>Torbay</v>
          </cell>
          <cell r="E3432">
            <v>4117</v>
          </cell>
          <cell r="F3432" t="str">
            <v>Nigel Mills</v>
          </cell>
          <cell r="G3432" t="str">
            <v>Westlands School</v>
          </cell>
          <cell r="H3432" t="str">
            <v>South West</v>
          </cell>
          <cell r="I3432" t="str">
            <v>Westlands Lane</v>
          </cell>
          <cell r="L3432" t="str">
            <v>Torquay</v>
          </cell>
          <cell r="M3432" t="str">
            <v>Devon</v>
          </cell>
          <cell r="N3432" t="str">
            <v>TQ1 3PE</v>
          </cell>
          <cell r="O3432" t="str">
            <v>ckirkman@westlands.torbay.sch.uk</v>
          </cell>
          <cell r="P3432">
            <v>40920</v>
          </cell>
        </row>
        <row r="3433">
          <cell r="A3433">
            <v>8734029</v>
          </cell>
          <cell r="B3433">
            <v>110865</v>
          </cell>
          <cell r="C3433">
            <v>873</v>
          </cell>
          <cell r="D3433" t="str">
            <v>Cambridgeshire</v>
          </cell>
          <cell r="E3433">
            <v>4029</v>
          </cell>
          <cell r="F3433" t="str">
            <v>Yvonne Reddington</v>
          </cell>
          <cell r="G3433" t="str">
            <v>Chesterton Community College</v>
          </cell>
          <cell r="H3433" t="str">
            <v>East of England</v>
          </cell>
          <cell r="I3433" t="str">
            <v>Gilbert Road</v>
          </cell>
          <cell r="L3433" t="str">
            <v>Cambridge</v>
          </cell>
          <cell r="M3433" t="str">
            <v>Cambridgeshire</v>
          </cell>
          <cell r="N3433" t="str">
            <v>CB4 3NY</v>
          </cell>
          <cell r="O3433" t="str">
            <v>mpatterson@chesterton.cambs.sch.uk</v>
          </cell>
          <cell r="P3433">
            <v>40591</v>
          </cell>
        </row>
        <row r="3434">
          <cell r="A3434">
            <v>8522416</v>
          </cell>
          <cell r="B3434">
            <v>116096</v>
          </cell>
          <cell r="C3434">
            <v>852</v>
          </cell>
          <cell r="D3434" t="str">
            <v>Southampton</v>
          </cell>
          <cell r="E3434">
            <v>2416</v>
          </cell>
          <cell r="F3434" t="str">
            <v>Lindsay Morris</v>
          </cell>
          <cell r="G3434" t="str">
            <v>Heathfield Junior School</v>
          </cell>
          <cell r="H3434" t="str">
            <v>South East</v>
          </cell>
          <cell r="I3434" t="str">
            <v>Valentine Avenue</v>
          </cell>
          <cell r="L3434" t="str">
            <v>Southampton</v>
          </cell>
          <cell r="M3434" t="str">
            <v>Hampshire</v>
          </cell>
          <cell r="N3434" t="str">
            <v>SO19 0EQ</v>
          </cell>
          <cell r="O3434" t="str">
            <v>head@heathfield-jun.southampton.sch.uk</v>
          </cell>
        </row>
        <row r="3435">
          <cell r="A3435">
            <v>8232174</v>
          </cell>
          <cell r="B3435">
            <v>109507</v>
          </cell>
          <cell r="C3435">
            <v>823</v>
          </cell>
          <cell r="D3435" t="str">
            <v>Central Bedfordshire</v>
          </cell>
          <cell r="E3435">
            <v>2174</v>
          </cell>
          <cell r="F3435" t="str">
            <v>Shreena Patel</v>
          </cell>
          <cell r="G3435" t="str">
            <v>Kingsmoor Lower School</v>
          </cell>
          <cell r="H3435" t="str">
            <v>East of England</v>
          </cell>
          <cell r="I3435" t="str">
            <v>Kingsmoor Close</v>
          </cell>
          <cell r="J3435" t="str">
            <v>Flitwick</v>
          </cell>
          <cell r="L3435" t="str">
            <v>Bedford</v>
          </cell>
          <cell r="M3435" t="str">
            <v>Bedfordshire</v>
          </cell>
          <cell r="N3435" t="str">
            <v>MK45 1EY</v>
          </cell>
          <cell r="O3435" t="str">
            <v>MEANEYMAIL@AOL.COM</v>
          </cell>
          <cell r="P3435">
            <v>40629</v>
          </cell>
        </row>
        <row r="3436">
          <cell r="A3436">
            <v>8603463</v>
          </cell>
          <cell r="B3436">
            <v>124356</v>
          </cell>
          <cell r="C3436">
            <v>860</v>
          </cell>
          <cell r="D3436" t="str">
            <v>Staffordshire</v>
          </cell>
          <cell r="E3436">
            <v>3463</v>
          </cell>
          <cell r="F3436" t="str">
            <v>Hannah Copp</v>
          </cell>
          <cell r="G3436" t="str">
            <v>St Mary's Catholic Primary School</v>
          </cell>
          <cell r="H3436" t="str">
            <v>West Midlands</v>
          </cell>
          <cell r="I3436" t="str">
            <v>Cruso Street</v>
          </cell>
          <cell r="L3436" t="str">
            <v>Leek</v>
          </cell>
          <cell r="M3436" t="str">
            <v>Staffordshire</v>
          </cell>
          <cell r="N3436" t="str">
            <v>ST13 8BW</v>
          </cell>
          <cell r="O3436" t="str">
            <v>headteacher@st-marys-leek.staffs.sch.uk</v>
          </cell>
          <cell r="P3436">
            <v>41057</v>
          </cell>
        </row>
        <row r="3437">
          <cell r="A3437">
            <v>9165407</v>
          </cell>
          <cell r="B3437">
            <v>115758</v>
          </cell>
          <cell r="C3437">
            <v>916</v>
          </cell>
          <cell r="D3437" t="str">
            <v>Gloucestershire</v>
          </cell>
          <cell r="E3437">
            <v>5407</v>
          </cell>
          <cell r="F3437" t="str">
            <v>Not yet assigned</v>
          </cell>
          <cell r="G3437" t="str">
            <v>Rednock School</v>
          </cell>
          <cell r="H3437" t="str">
            <v>South West</v>
          </cell>
          <cell r="I3437" t="str">
            <v>Rednock Drive</v>
          </cell>
          <cell r="L3437" t="str">
            <v>Dursley</v>
          </cell>
          <cell r="M3437" t="str">
            <v>Gloucestershire</v>
          </cell>
          <cell r="N3437" t="str">
            <v>GL11 4BY</v>
          </cell>
          <cell r="O3437" t="str">
            <v>d.alexander@rednock.gloucs.sch.uk</v>
          </cell>
        </row>
        <row r="3438">
          <cell r="A3438">
            <v>8782060</v>
          </cell>
          <cell r="B3438">
            <v>113108</v>
          </cell>
          <cell r="C3438">
            <v>878</v>
          </cell>
          <cell r="D3438" t="str">
            <v>Devon</v>
          </cell>
          <cell r="E3438">
            <v>2060</v>
          </cell>
          <cell r="F3438" t="str">
            <v>Susan Phillips</v>
          </cell>
          <cell r="G3438" t="str">
            <v>Seaton Primary School</v>
          </cell>
          <cell r="H3438" t="str">
            <v>South West</v>
          </cell>
          <cell r="I3438" t="str">
            <v>Valley View</v>
          </cell>
          <cell r="L3438" t="str">
            <v>Seaton</v>
          </cell>
          <cell r="M3438" t="str">
            <v>Devon</v>
          </cell>
          <cell r="N3438" t="str">
            <v>EX12 2HF</v>
          </cell>
          <cell r="O3438" t="str">
            <v>asimpson@seaton-primary.devon.sch.uk</v>
          </cell>
        </row>
        <row r="3439">
          <cell r="A3439">
            <v>3122000</v>
          </cell>
          <cell r="B3439">
            <v>102367</v>
          </cell>
          <cell r="C3439">
            <v>312</v>
          </cell>
          <cell r="D3439" t="str">
            <v>Hillingdon</v>
          </cell>
          <cell r="E3439">
            <v>2000</v>
          </cell>
          <cell r="F3439" t="str">
            <v>Bola Bakrin</v>
          </cell>
          <cell r="G3439" t="str">
            <v>Belmore Children's Centre, Nursery and Primary School</v>
          </cell>
          <cell r="H3439" t="str">
            <v>London</v>
          </cell>
          <cell r="I3439" t="str">
            <v>Owen Road</v>
          </cell>
          <cell r="L3439" t="str">
            <v>Hayes</v>
          </cell>
          <cell r="N3439" t="str">
            <v>UB4 9LF</v>
          </cell>
          <cell r="O3439" t="str">
            <v>pcrowley@hillingdongrid.org</v>
          </cell>
        </row>
        <row r="3440">
          <cell r="A3440">
            <v>8522757</v>
          </cell>
          <cell r="B3440">
            <v>116253</v>
          </cell>
          <cell r="C3440">
            <v>852</v>
          </cell>
          <cell r="D3440" t="str">
            <v>Southampton</v>
          </cell>
          <cell r="E3440">
            <v>2757</v>
          </cell>
          <cell r="F3440" t="str">
            <v>Lindsay Morris</v>
          </cell>
          <cell r="G3440" t="str">
            <v>Fairisle Junior School</v>
          </cell>
          <cell r="H3440" t="str">
            <v>South East</v>
          </cell>
          <cell r="I3440" t="str">
            <v>Fairisle Road</v>
          </cell>
          <cell r="L3440" t="str">
            <v>Southampton</v>
          </cell>
          <cell r="M3440" t="str">
            <v>Hampshire</v>
          </cell>
          <cell r="N3440" t="str">
            <v>SO16 8BY</v>
          </cell>
        </row>
        <row r="3441">
          <cell r="A3441">
            <v>3444060</v>
          </cell>
          <cell r="B3441">
            <v>105102</v>
          </cell>
          <cell r="C3441">
            <v>344</v>
          </cell>
          <cell r="D3441" t="str">
            <v>Wirral</v>
          </cell>
          <cell r="E3441">
            <v>4060</v>
          </cell>
          <cell r="F3441" t="str">
            <v>Maria Sabberton</v>
          </cell>
          <cell r="G3441" t="str">
            <v>Hilbre High School</v>
          </cell>
          <cell r="H3441" t="str">
            <v>North West</v>
          </cell>
          <cell r="I3441" t="str">
            <v>Frankby Road</v>
          </cell>
          <cell r="J3441" t="str">
            <v>West Kirby</v>
          </cell>
          <cell r="L3441" t="str">
            <v>Wirral</v>
          </cell>
          <cell r="M3441" t="str">
            <v>Merseyside</v>
          </cell>
          <cell r="N3441" t="str">
            <v>CH48 6EQ</v>
          </cell>
          <cell r="O3441" t="str">
            <v>mcnamaras@hilbre.wirral.sch.uk</v>
          </cell>
          <cell r="P3441">
            <v>40744</v>
          </cell>
        </row>
        <row r="3442">
          <cell r="A3442">
            <v>3524765</v>
          </cell>
          <cell r="B3442">
            <v>105578</v>
          </cell>
          <cell r="C3442">
            <v>352</v>
          </cell>
          <cell r="D3442" t="str">
            <v>Manchester</v>
          </cell>
          <cell r="E3442">
            <v>4765</v>
          </cell>
          <cell r="F3442" t="str">
            <v>Alan Large</v>
          </cell>
          <cell r="G3442" t="str">
            <v>Trinity CE High School</v>
          </cell>
          <cell r="H3442" t="str">
            <v>North West</v>
          </cell>
          <cell r="I3442" t="str">
            <v>Cambridge Street</v>
          </cell>
          <cell r="J3442" t="str">
            <v>Hulme</v>
          </cell>
          <cell r="L3442" t="str">
            <v>Manchester</v>
          </cell>
          <cell r="N3442" t="str">
            <v>M15 6HP</v>
          </cell>
          <cell r="O3442" t="str">
            <v>d.ainsworth@trinityhigh.com</v>
          </cell>
          <cell r="P3442">
            <v>40683</v>
          </cell>
        </row>
        <row r="3443">
          <cell r="A3443">
            <v>9332172</v>
          </cell>
          <cell r="B3443">
            <v>123687</v>
          </cell>
          <cell r="C3443">
            <v>933</v>
          </cell>
          <cell r="D3443" t="str">
            <v>Somerset</v>
          </cell>
          <cell r="E3443">
            <v>2172</v>
          </cell>
          <cell r="F3443" t="str">
            <v>Kate Bosher</v>
          </cell>
          <cell r="G3443" t="str">
            <v>Middlezoy Primary School</v>
          </cell>
          <cell r="H3443" t="str">
            <v>South West</v>
          </cell>
          <cell r="I3443" t="str">
            <v>Middlezoy</v>
          </cell>
          <cell r="L3443" t="str">
            <v>Bridgwater</v>
          </cell>
          <cell r="M3443" t="str">
            <v>Somerset</v>
          </cell>
          <cell r="N3443" t="str">
            <v>TA7 0NZ</v>
          </cell>
          <cell r="O3443" t="str">
            <v>hormerod@educ.somerset.gov.uk</v>
          </cell>
        </row>
        <row r="3444">
          <cell r="A3444">
            <v>9252247</v>
          </cell>
          <cell r="B3444">
            <v>120510</v>
          </cell>
          <cell r="C3444">
            <v>925</v>
          </cell>
          <cell r="D3444" t="str">
            <v>Lincolnshire</v>
          </cell>
          <cell r="E3444">
            <v>2247</v>
          </cell>
          <cell r="F3444" t="str">
            <v>Pauline Cole</v>
          </cell>
          <cell r="G3444" t="str">
            <v>Benjamin Adlard Community School</v>
          </cell>
          <cell r="H3444" t="str">
            <v>East Midlands</v>
          </cell>
          <cell r="I3444" t="str">
            <v>Sandsfield Lane</v>
          </cell>
          <cell r="L3444" t="str">
            <v>Gainsborough</v>
          </cell>
          <cell r="M3444" t="str">
            <v>Lincolnshire</v>
          </cell>
          <cell r="N3444" t="str">
            <v>DN21 1DB</v>
          </cell>
          <cell r="O3444" t="str">
            <v>bernadette.glabus@benjaminadlard.lincs.sch.uk</v>
          </cell>
          <cell r="P3444">
            <v>40801</v>
          </cell>
        </row>
        <row r="3445">
          <cell r="A3445">
            <v>9264066</v>
          </cell>
          <cell r="B3445">
            <v>121173</v>
          </cell>
          <cell r="C3445">
            <v>926</v>
          </cell>
          <cell r="D3445" t="str">
            <v>Norfolk</v>
          </cell>
          <cell r="E3445">
            <v>4066</v>
          </cell>
          <cell r="F3445" t="str">
            <v>Joe Farrell</v>
          </cell>
          <cell r="G3445" t="str">
            <v>The Hewett School</v>
          </cell>
          <cell r="H3445" t="str">
            <v>East of England</v>
          </cell>
          <cell r="I3445" t="str">
            <v>Cecil Road</v>
          </cell>
          <cell r="L3445" t="str">
            <v>Norwich</v>
          </cell>
          <cell r="M3445" t="str">
            <v>Norfolk</v>
          </cell>
          <cell r="N3445" t="str">
            <v>NR1 2PL</v>
          </cell>
          <cell r="O3445" t="str">
            <v>head@hewett.norfolk.sch.uk</v>
          </cell>
          <cell r="P3445">
            <v>41193</v>
          </cell>
        </row>
        <row r="3446">
          <cell r="A3446">
            <v>8663467</v>
          </cell>
          <cell r="B3446">
            <v>136370</v>
          </cell>
          <cell r="C3446">
            <v>866</v>
          </cell>
          <cell r="D3446" t="str">
            <v>Swindon</v>
          </cell>
          <cell r="E3446">
            <v>3467</v>
          </cell>
          <cell r="F3446" t="str">
            <v>Nigel Mills</v>
          </cell>
          <cell r="G3446" t="str">
            <v>Gorse Hill Primary School</v>
          </cell>
          <cell r="H3446" t="str">
            <v>South West</v>
          </cell>
          <cell r="I3446" t="str">
            <v>Avening Street</v>
          </cell>
          <cell r="J3446" t="str">
            <v>Gorse Hill</v>
          </cell>
          <cell r="L3446" t="str">
            <v>Swindon</v>
          </cell>
          <cell r="M3446" t="str">
            <v>Wiltshire</v>
          </cell>
          <cell r="N3446" t="str">
            <v>SN2 8BZ</v>
          </cell>
          <cell r="O3446" t="str">
            <v>head@gorsehill.swindon.sch.uk</v>
          </cell>
          <cell r="P3446">
            <v>40885</v>
          </cell>
        </row>
        <row r="3447">
          <cell r="A3447">
            <v>8225205</v>
          </cell>
          <cell r="B3447">
            <v>109489</v>
          </cell>
          <cell r="C3447">
            <v>822</v>
          </cell>
          <cell r="D3447" t="str">
            <v>Bedford</v>
          </cell>
          <cell r="E3447">
            <v>5205</v>
          </cell>
          <cell r="F3447" t="str">
            <v>Alan Large</v>
          </cell>
          <cell r="G3447" t="str">
            <v>Turvey Lower School</v>
          </cell>
          <cell r="H3447" t="str">
            <v>East of England</v>
          </cell>
          <cell r="I3447" t="str">
            <v>May Road</v>
          </cell>
          <cell r="J3447" t="str">
            <v>Turvey</v>
          </cell>
          <cell r="L3447" t="str">
            <v>Bedford</v>
          </cell>
          <cell r="M3447" t="str">
            <v>Bedfordshire</v>
          </cell>
          <cell r="N3447" t="str">
            <v>MK43 8DY</v>
          </cell>
          <cell r="O3447" t="str">
            <v>tvht@schools.bedfordshire.gov.uk</v>
          </cell>
          <cell r="P3447">
            <v>40603</v>
          </cell>
        </row>
        <row r="3448">
          <cell r="A3448">
            <v>3583304</v>
          </cell>
          <cell r="B3448">
            <v>106340</v>
          </cell>
          <cell r="C3448">
            <v>358</v>
          </cell>
          <cell r="D3448" t="str">
            <v>Trafford</v>
          </cell>
          <cell r="E3448">
            <v>3304</v>
          </cell>
          <cell r="F3448" t="str">
            <v>Jane McCusker</v>
          </cell>
          <cell r="G3448" t="str">
            <v>St Hugh's Catholic Primary School</v>
          </cell>
          <cell r="H3448" t="str">
            <v>North West</v>
          </cell>
          <cell r="I3448" t="str">
            <v>Park Road</v>
          </cell>
          <cell r="J3448" t="str">
            <v>Timperley</v>
          </cell>
          <cell r="L3448" t="str">
            <v>Altrincham</v>
          </cell>
          <cell r="M3448" t="str">
            <v>Cheshire</v>
          </cell>
          <cell r="N3448" t="str">
            <v>WA15 6TQ</v>
          </cell>
          <cell r="O3448" t="str">
            <v>aengus.mcmorrow@traffordlearning.org</v>
          </cell>
        </row>
        <row r="3449">
          <cell r="A3449">
            <v>8112729</v>
          </cell>
          <cell r="B3449">
            <v>117849</v>
          </cell>
          <cell r="C3449">
            <v>811</v>
          </cell>
          <cell r="D3449" t="str">
            <v>East Riding of Yorkshire</v>
          </cell>
          <cell r="E3449">
            <v>2729</v>
          </cell>
          <cell r="F3449" t="str">
            <v>Glyn Newton</v>
          </cell>
          <cell r="G3449" t="str">
            <v>Hessle Penshurst Primary School</v>
          </cell>
          <cell r="H3449" t="str">
            <v>Yorkshire and the Humber</v>
          </cell>
          <cell r="I3449" t="str">
            <v>Winthorpe Road</v>
          </cell>
          <cell r="J3449" t="str">
            <v>First Lane</v>
          </cell>
          <cell r="L3449" t="str">
            <v>Hessle</v>
          </cell>
          <cell r="N3449" t="str">
            <v>HU13 9EX</v>
          </cell>
          <cell r="O3449" t="str">
            <v>syoung@hesslefederation.com _x000D_
_x000D_
---------------</v>
          </cell>
          <cell r="P3449">
            <v>40570</v>
          </cell>
        </row>
        <row r="3450">
          <cell r="A3450">
            <v>8954163</v>
          </cell>
          <cell r="B3450">
            <v>111427</v>
          </cell>
          <cell r="C3450">
            <v>895</v>
          </cell>
          <cell r="D3450" t="str">
            <v>Cheshire East</v>
          </cell>
          <cell r="E3450">
            <v>4163</v>
          </cell>
          <cell r="F3450" t="str">
            <v>Jane McCusker</v>
          </cell>
          <cell r="G3450" t="str">
            <v>Knutsford High School</v>
          </cell>
          <cell r="H3450" t="str">
            <v>North West</v>
          </cell>
          <cell r="I3450" t="str">
            <v>Bexton Road</v>
          </cell>
          <cell r="L3450" t="str">
            <v>Knutsford</v>
          </cell>
          <cell r="M3450" t="str">
            <v>Cheshire</v>
          </cell>
          <cell r="N3450" t="str">
            <v>WA16 0EA</v>
          </cell>
          <cell r="O3450" t="str">
            <v>khs@knutsfordhs.cheshire.sch.uk</v>
          </cell>
          <cell r="P3450">
            <v>40823</v>
          </cell>
        </row>
        <row r="3451">
          <cell r="A3451">
            <v>9252191</v>
          </cell>
          <cell r="B3451">
            <v>120476</v>
          </cell>
          <cell r="C3451">
            <v>925</v>
          </cell>
          <cell r="D3451" t="str">
            <v>Lincolnshire</v>
          </cell>
          <cell r="E3451">
            <v>2191</v>
          </cell>
          <cell r="F3451" t="str">
            <v>Stella Mascarenhas-Keys</v>
          </cell>
          <cell r="G3451" t="str">
            <v>The Skegness Seathorne Primary School</v>
          </cell>
          <cell r="H3451" t="str">
            <v>East Midlands</v>
          </cell>
          <cell r="I3451" t="str">
            <v>Count Alan Road</v>
          </cell>
          <cell r="L3451" t="str">
            <v>Skegness</v>
          </cell>
          <cell r="M3451" t="str">
            <v>Lincolnshire</v>
          </cell>
          <cell r="N3451" t="str">
            <v>PE25 1HB</v>
          </cell>
        </row>
        <row r="3452">
          <cell r="A3452">
            <v>8373692</v>
          </cell>
          <cell r="B3452">
            <v>113849</v>
          </cell>
          <cell r="C3452">
            <v>837</v>
          </cell>
          <cell r="D3452" t="str">
            <v>Bournemouth</v>
          </cell>
          <cell r="E3452">
            <v>3692</v>
          </cell>
          <cell r="F3452" t="str">
            <v>Ali Bushell</v>
          </cell>
          <cell r="G3452" t="str">
            <v>The Epiphany Church of England Primary School</v>
          </cell>
          <cell r="H3452" t="str">
            <v>South West</v>
          </cell>
          <cell r="I3452" t="str">
            <v>Shillingstone Drive</v>
          </cell>
          <cell r="J3452" t="str">
            <v>Muscliff</v>
          </cell>
          <cell r="L3452" t="str">
            <v>Bournemouth</v>
          </cell>
          <cell r="M3452" t="str">
            <v>Dorset</v>
          </cell>
          <cell r="N3452" t="str">
            <v>BH9 3PE</v>
          </cell>
          <cell r="O3452" t="str">
            <v>dave.simpson@bournemouth.gov.uk</v>
          </cell>
          <cell r="P3452">
            <v>40870</v>
          </cell>
        </row>
        <row r="3453">
          <cell r="A3453">
            <v>8815413</v>
          </cell>
          <cell r="B3453">
            <v>115329</v>
          </cell>
          <cell r="C3453">
            <v>881</v>
          </cell>
          <cell r="D3453" t="str">
            <v>Essex</v>
          </cell>
          <cell r="E3453">
            <v>5413</v>
          </cell>
          <cell r="F3453" t="str">
            <v>Beverley Samuel</v>
          </cell>
          <cell r="G3453" t="str">
            <v>Thurstable School, Sports College &amp; Sixth Form Centre</v>
          </cell>
          <cell r="H3453" t="str">
            <v>East of England</v>
          </cell>
          <cell r="I3453" t="str">
            <v>Maypole Road</v>
          </cell>
          <cell r="J3453" t="str">
            <v>Tiptree</v>
          </cell>
          <cell r="L3453" t="str">
            <v>Colchester</v>
          </cell>
          <cell r="M3453" t="str">
            <v>Essex</v>
          </cell>
          <cell r="N3453" t="str">
            <v>CO5 0EW</v>
          </cell>
          <cell r="O3453" t="str">
            <v>baconm@thurstable.essex.sch.uk</v>
          </cell>
          <cell r="P3453">
            <v>40619</v>
          </cell>
        </row>
        <row r="3454">
          <cell r="A3454">
            <v>9212014</v>
          </cell>
          <cell r="B3454">
            <v>118164</v>
          </cell>
          <cell r="C3454">
            <v>921</v>
          </cell>
          <cell r="D3454" t="str">
            <v>Isle of Wight</v>
          </cell>
          <cell r="E3454">
            <v>2014</v>
          </cell>
          <cell r="F3454" t="str">
            <v>Lindsay Morris</v>
          </cell>
          <cell r="G3454" t="str">
            <v>Nine Acres Community Primary School</v>
          </cell>
          <cell r="H3454" t="str">
            <v>South East</v>
          </cell>
          <cell r="I3454" t="str">
            <v>South View</v>
          </cell>
          <cell r="L3454" t="str">
            <v>Newport</v>
          </cell>
          <cell r="M3454" t="str">
            <v>Isle of Wight</v>
          </cell>
          <cell r="N3454" t="str">
            <v>PO30 1QP</v>
          </cell>
          <cell r="O3454" t="str">
            <v>headsbartlett@yahoo.co.uk</v>
          </cell>
        </row>
        <row r="3455">
          <cell r="A3455">
            <v>9253317</v>
          </cell>
          <cell r="B3455">
            <v>120603</v>
          </cell>
          <cell r="C3455">
            <v>925</v>
          </cell>
          <cell r="D3455" t="str">
            <v>Lincolnshire</v>
          </cell>
          <cell r="E3455">
            <v>3317</v>
          </cell>
          <cell r="F3455" t="str">
            <v>Grant Dyson</v>
          </cell>
          <cell r="G3455" t="str">
            <v>Brown's Church of England Primary School, Horbling</v>
          </cell>
          <cell r="H3455" t="str">
            <v>East Midlands</v>
          </cell>
          <cell r="I3455" t="str">
            <v>Sandygate Lane</v>
          </cell>
          <cell r="J3455" t="str">
            <v>Horbling</v>
          </cell>
          <cell r="L3455" t="str">
            <v>Sleaford</v>
          </cell>
          <cell r="M3455" t="str">
            <v>Lincolnshire</v>
          </cell>
          <cell r="N3455" t="str">
            <v>NG34 0PL</v>
          </cell>
          <cell r="O3455" t="str">
            <v>mandy.wilding@horblingbrowns.lincs.sch.uk</v>
          </cell>
        </row>
        <row r="3456">
          <cell r="A3456">
            <v>3343302</v>
          </cell>
          <cell r="B3456">
            <v>104090</v>
          </cell>
          <cell r="C3456">
            <v>334</v>
          </cell>
          <cell r="D3456" t="str">
            <v>Solihull</v>
          </cell>
          <cell r="E3456">
            <v>3302</v>
          </cell>
          <cell r="F3456" t="str">
            <v>Alison Middleton</v>
          </cell>
          <cell r="G3456" t="str">
            <v>St Alphege Church of England Infant and Nursery School</v>
          </cell>
          <cell r="H3456" t="str">
            <v>West Midlands</v>
          </cell>
          <cell r="I3456" t="str">
            <v>New Road</v>
          </cell>
          <cell r="L3456" t="str">
            <v>Solihull</v>
          </cell>
          <cell r="M3456" t="str">
            <v>West Midlands</v>
          </cell>
          <cell r="N3456" t="str">
            <v>B91 3DW</v>
          </cell>
          <cell r="O3456" t="str">
            <v>s80jslough@st-alphege-inf.solihull.sch.uk</v>
          </cell>
        </row>
        <row r="3457">
          <cell r="A3457">
            <v>8553056</v>
          </cell>
          <cell r="B3457">
            <v>120143</v>
          </cell>
          <cell r="C3457">
            <v>855</v>
          </cell>
          <cell r="D3457" t="str">
            <v>Leicestershire</v>
          </cell>
          <cell r="E3457">
            <v>3056</v>
          </cell>
          <cell r="F3457" t="str">
            <v>Sue Harp</v>
          </cell>
          <cell r="G3457" t="str">
            <v>Lubenham All Saints CofE Primary School</v>
          </cell>
          <cell r="H3457" t="str">
            <v>East Midlands</v>
          </cell>
          <cell r="I3457" t="str">
            <v>School Lane</v>
          </cell>
          <cell r="J3457" t="str">
            <v>Lubenham</v>
          </cell>
          <cell r="L3457" t="str">
            <v>Market Harborough</v>
          </cell>
          <cell r="M3457" t="str">
            <v>Leicestershire</v>
          </cell>
          <cell r="N3457" t="str">
            <v>LE16 9TW</v>
          </cell>
          <cell r="O3457" t="str">
            <v>rheard@lubenham.leics.sch.uk</v>
          </cell>
        </row>
        <row r="3458">
          <cell r="A3458">
            <v>8837072</v>
          </cell>
          <cell r="B3458">
            <v>134767</v>
          </cell>
          <cell r="C3458">
            <v>883</v>
          </cell>
          <cell r="D3458" t="str">
            <v>Thurrock</v>
          </cell>
          <cell r="E3458">
            <v>7072</v>
          </cell>
          <cell r="F3458" t="str">
            <v>David Rudd</v>
          </cell>
          <cell r="G3458" t="str">
            <v>Beacon Hill School</v>
          </cell>
          <cell r="H3458" t="str">
            <v>East of England</v>
          </cell>
          <cell r="I3458" t="str">
            <v>Errif Drive</v>
          </cell>
          <cell r="J3458" t="str">
            <v>South Ockendon</v>
          </cell>
          <cell r="L3458" t="str">
            <v>Romford</v>
          </cell>
          <cell r="M3458" t="str">
            <v>Essex</v>
          </cell>
          <cell r="N3458" t="str">
            <v>RM15 5AY</v>
          </cell>
          <cell r="O3458" t="str">
            <v>headteacher@beaconhill.thurrock.sch.uk</v>
          </cell>
          <cell r="P3458">
            <v>40864</v>
          </cell>
        </row>
        <row r="3459">
          <cell r="A3459">
            <v>9333119</v>
          </cell>
          <cell r="B3459">
            <v>123779</v>
          </cell>
          <cell r="C3459">
            <v>933</v>
          </cell>
          <cell r="D3459" t="str">
            <v>Somerset</v>
          </cell>
          <cell r="E3459">
            <v>3119</v>
          </cell>
          <cell r="F3459" t="str">
            <v>Ali Bushell</v>
          </cell>
          <cell r="G3459" t="str">
            <v>St Lawrence's CofE Primary School</v>
          </cell>
          <cell r="H3459" t="str">
            <v>South West</v>
          </cell>
          <cell r="I3459" t="str">
            <v>School Hill</v>
          </cell>
          <cell r="J3459" t="str">
            <v>Westbury-sub-Mendip</v>
          </cell>
          <cell r="L3459" t="str">
            <v>Wells</v>
          </cell>
          <cell r="M3459" t="str">
            <v>Somerset</v>
          </cell>
          <cell r="N3459" t="str">
            <v>BA5 1HL</v>
          </cell>
          <cell r="O3459" t="str">
            <v>selidgey1@educ.somerset.gov.uk</v>
          </cell>
        </row>
        <row r="3460">
          <cell r="A3460">
            <v>9093212</v>
          </cell>
          <cell r="B3460">
            <v>112299</v>
          </cell>
          <cell r="C3460">
            <v>909</v>
          </cell>
          <cell r="D3460" t="str">
            <v>Cumbria</v>
          </cell>
          <cell r="E3460">
            <v>3212</v>
          </cell>
          <cell r="G3460" t="str">
            <v>Low Furness CofE Primary School</v>
          </cell>
          <cell r="H3460" t="str">
            <v>North West</v>
          </cell>
          <cell r="I3460" t="str">
            <v>Church Road</v>
          </cell>
          <cell r="J3460" t="str">
            <v>Great Urswick</v>
          </cell>
          <cell r="L3460" t="str">
            <v>Ulverston</v>
          </cell>
          <cell r="M3460" t="str">
            <v>Cumbria</v>
          </cell>
          <cell r="N3460" t="str">
            <v>LA12 0TA</v>
          </cell>
          <cell r="O3460" t="str">
            <v>head@low-furness.cumbria.sch.uk</v>
          </cell>
        </row>
        <row r="3461">
          <cell r="A3461">
            <v>9382055</v>
          </cell>
          <cell r="B3461">
            <v>125852</v>
          </cell>
          <cell r="C3461">
            <v>938</v>
          </cell>
          <cell r="D3461" t="str">
            <v>West Sussex</v>
          </cell>
          <cell r="E3461">
            <v>2055</v>
          </cell>
          <cell r="F3461" t="str">
            <v>Amanda Barrett</v>
          </cell>
          <cell r="G3461" t="str">
            <v>Seal Primary School, Selsey</v>
          </cell>
          <cell r="H3461" t="str">
            <v>South East</v>
          </cell>
          <cell r="I3461" t="str">
            <v>East Street</v>
          </cell>
          <cell r="J3461" t="str">
            <v>Selsey</v>
          </cell>
          <cell r="L3461" t="str">
            <v>Chichester</v>
          </cell>
          <cell r="M3461" t="str">
            <v>West Sussex</v>
          </cell>
          <cell r="N3461" t="str">
            <v>PO20 0BN</v>
          </cell>
          <cell r="O3461" t="str">
            <v>head@seal.w-sussex.sch.uk</v>
          </cell>
        </row>
        <row r="3462">
          <cell r="A3462">
            <v>8134083</v>
          </cell>
          <cell r="B3462">
            <v>118094</v>
          </cell>
          <cell r="C3462">
            <v>813</v>
          </cell>
          <cell r="D3462" t="str">
            <v>North Lincolnshire</v>
          </cell>
          <cell r="E3462">
            <v>4083</v>
          </cell>
          <cell r="F3462" t="str">
            <v>Colin McGuffie</v>
          </cell>
          <cell r="G3462" t="str">
            <v>South Axholme Community School</v>
          </cell>
          <cell r="H3462" t="str">
            <v>Yorkshire and the Humber</v>
          </cell>
          <cell r="I3462" t="str">
            <v>Burnham Road</v>
          </cell>
          <cell r="J3462" t="str">
            <v>Epworth</v>
          </cell>
          <cell r="L3462" t="str">
            <v>Doncaster</v>
          </cell>
          <cell r="M3462" t="str">
            <v>South Yorkshire</v>
          </cell>
          <cell r="N3462" t="str">
            <v>DN9 1BY</v>
          </cell>
          <cell r="O3462" t="str">
            <v>mlister@southaxholme.doncaster.sch.uk</v>
          </cell>
          <cell r="P3462">
            <v>40715</v>
          </cell>
        </row>
        <row r="3463">
          <cell r="A3463">
            <v>8153270</v>
          </cell>
          <cell r="B3463">
            <v>121587</v>
          </cell>
          <cell r="C3463">
            <v>815</v>
          </cell>
          <cell r="D3463" t="str">
            <v>North Yorkshire</v>
          </cell>
          <cell r="E3463">
            <v>3270</v>
          </cell>
          <cell r="G3463" t="str">
            <v>Settle CE Primary</v>
          </cell>
          <cell r="H3463" t="str">
            <v>Yorkshire and the Humber</v>
          </cell>
          <cell r="I3463" t="str">
            <v>Bond Lane</v>
          </cell>
          <cell r="L3463" t="str">
            <v>Settle</v>
          </cell>
          <cell r="M3463" t="str">
            <v>North Yorkshire</v>
          </cell>
          <cell r="N3463" t="str">
            <v>BD24 9BW</v>
          </cell>
          <cell r="O3463" t="str">
            <v>HEADTEACHER@SETTLE-PRI.N-YORKS.SCH.UK</v>
          </cell>
        </row>
        <row r="3464">
          <cell r="A3464">
            <v>8825401</v>
          </cell>
          <cell r="B3464">
            <v>115317</v>
          </cell>
          <cell r="C3464">
            <v>882</v>
          </cell>
          <cell r="D3464" t="str">
            <v>Southend-on-Sea</v>
          </cell>
          <cell r="E3464">
            <v>5401</v>
          </cell>
          <cell r="F3464" t="str">
            <v>Mark Wheeler</v>
          </cell>
          <cell r="G3464" t="str">
            <v>Westcliff High School for Boys</v>
          </cell>
          <cell r="H3464" t="str">
            <v>East of England</v>
          </cell>
          <cell r="I3464" t="str">
            <v>Kenilworth Gardens</v>
          </cell>
          <cell r="L3464" t="str">
            <v>Westcliff-on-Sea</v>
          </cell>
          <cell r="M3464" t="str">
            <v>Essex</v>
          </cell>
          <cell r="N3464" t="str">
            <v>SS0 0BP</v>
          </cell>
          <cell r="O3464" t="str">
            <v>office@whsb.essex.sch.uk</v>
          </cell>
          <cell r="P3464">
            <v>40353</v>
          </cell>
        </row>
        <row r="3465">
          <cell r="A3465">
            <v>9363381</v>
          </cell>
          <cell r="B3465">
            <v>125195</v>
          </cell>
          <cell r="C3465">
            <v>936</v>
          </cell>
          <cell r="D3465" t="str">
            <v>Surrey</v>
          </cell>
          <cell r="E3465">
            <v>3381</v>
          </cell>
          <cell r="F3465" t="str">
            <v>Gabriela Grimley</v>
          </cell>
          <cell r="G3465" t="str">
            <v>Puttenham Church of England School</v>
          </cell>
          <cell r="H3465" t="str">
            <v>South East</v>
          </cell>
          <cell r="I3465" t="str">
            <v>School Lane</v>
          </cell>
          <cell r="J3465" t="str">
            <v>Puttenham</v>
          </cell>
          <cell r="L3465" t="str">
            <v>Guildford</v>
          </cell>
          <cell r="M3465" t="str">
            <v>Surrey</v>
          </cell>
          <cell r="N3465" t="str">
            <v>GU3 1AS</v>
          </cell>
          <cell r="O3465" t="str">
            <v>head@puttenham.surrey.sch.uk</v>
          </cell>
        </row>
        <row r="3466">
          <cell r="A3466">
            <v>8812559</v>
          </cell>
          <cell r="B3466">
            <v>114892</v>
          </cell>
          <cell r="C3466">
            <v>881</v>
          </cell>
          <cell r="D3466" t="str">
            <v>Essex</v>
          </cell>
          <cell r="E3466">
            <v>2559</v>
          </cell>
          <cell r="F3466" t="str">
            <v>Joe Farrell</v>
          </cell>
          <cell r="G3466" t="str">
            <v>Mildmay Junior School</v>
          </cell>
          <cell r="H3466" t="str">
            <v>East of England</v>
          </cell>
          <cell r="I3466" t="str">
            <v>Robin Way</v>
          </cell>
          <cell r="L3466" t="str">
            <v>Chelmsford</v>
          </cell>
          <cell r="M3466" t="str">
            <v>Essex</v>
          </cell>
          <cell r="N3466" t="str">
            <v>CM2 8AU</v>
          </cell>
          <cell r="O3466" t="str">
            <v>head@mildmay-jun.essex.sch.uk</v>
          </cell>
        </row>
        <row r="3467">
          <cell r="A3467">
            <v>9362099</v>
          </cell>
          <cell r="B3467">
            <v>124964</v>
          </cell>
          <cell r="C3467">
            <v>936</v>
          </cell>
          <cell r="D3467" t="str">
            <v>Surrey</v>
          </cell>
          <cell r="E3467">
            <v>2099</v>
          </cell>
          <cell r="F3467" t="str">
            <v>Gabriela Grimley</v>
          </cell>
          <cell r="G3467" t="str">
            <v>The Orchard Infant School</v>
          </cell>
          <cell r="H3467" t="str">
            <v>South East</v>
          </cell>
          <cell r="I3467" t="str">
            <v>Bridge Road</v>
          </cell>
          <cell r="L3467" t="str">
            <v>East Molesey</v>
          </cell>
          <cell r="M3467" t="str">
            <v>Surrey</v>
          </cell>
          <cell r="N3467" t="str">
            <v>KT8 9HT</v>
          </cell>
          <cell r="O3467" t="str">
            <v>head@orchard.surrey.sch.uk</v>
          </cell>
        </row>
        <row r="3468">
          <cell r="A3468">
            <v>8557008</v>
          </cell>
          <cell r="B3468">
            <v>120354</v>
          </cell>
          <cell r="C3468">
            <v>855</v>
          </cell>
          <cell r="D3468" t="str">
            <v>Leicestershire</v>
          </cell>
          <cell r="E3468">
            <v>7008</v>
          </cell>
          <cell r="F3468" t="str">
            <v>Helen Whetter</v>
          </cell>
          <cell r="G3468" t="str">
            <v>Forest Way School</v>
          </cell>
          <cell r="H3468" t="str">
            <v>East Midlands</v>
          </cell>
          <cell r="I3468" t="str">
            <v>Warren Hills Road</v>
          </cell>
          <cell r="L3468" t="str">
            <v>Coalville</v>
          </cell>
          <cell r="M3468" t="str">
            <v>Leicestershire</v>
          </cell>
          <cell r="N3468" t="str">
            <v>LE67 4UU</v>
          </cell>
          <cell r="O3468" t="str">
            <v xml:space="preserve"> forestway@forestway.leics.sch.uk</v>
          </cell>
          <cell r="P3468">
            <v>40872</v>
          </cell>
        </row>
        <row r="3469">
          <cell r="A3469">
            <v>8554002</v>
          </cell>
          <cell r="B3469">
            <v>120236</v>
          </cell>
          <cell r="C3469">
            <v>855</v>
          </cell>
          <cell r="D3469" t="str">
            <v>Leicestershire</v>
          </cell>
          <cell r="E3469">
            <v>4002</v>
          </cell>
          <cell r="F3469" t="str">
            <v>Susan Shakespeare</v>
          </cell>
          <cell r="G3469" t="str">
            <v>Burleigh Community College (boarding)</v>
          </cell>
          <cell r="H3469" t="str">
            <v>East Midlands</v>
          </cell>
          <cell r="I3469" t="str">
            <v>Thorpe Hill</v>
          </cell>
          <cell r="L3469" t="str">
            <v>Loughborough</v>
          </cell>
          <cell r="M3469" t="str">
            <v>Leicestershire</v>
          </cell>
          <cell r="N3469" t="str">
            <v>LE11 4SQ</v>
          </cell>
          <cell r="O3469" t="str">
            <v>info@burleigh.leics.sch.uk</v>
          </cell>
        </row>
        <row r="3470">
          <cell r="A3470">
            <v>3712117</v>
          </cell>
          <cell r="B3470">
            <v>106700</v>
          </cell>
          <cell r="C3470">
            <v>371</v>
          </cell>
          <cell r="D3470" t="str">
            <v>Doncaster</v>
          </cell>
          <cell r="E3470">
            <v>2117</v>
          </cell>
          <cell r="F3470" t="str">
            <v>Claire Ryan</v>
          </cell>
          <cell r="G3470" t="str">
            <v>Conisbrough Ivanhoe Junior and Infant School</v>
          </cell>
          <cell r="H3470" t="str">
            <v>Yorkshire and the Humber</v>
          </cell>
          <cell r="I3470" t="str">
            <v>Old Road</v>
          </cell>
          <cell r="J3470" t="str">
            <v>Conisbrough</v>
          </cell>
          <cell r="L3470" t="str">
            <v>Doncaster</v>
          </cell>
          <cell r="M3470" t="str">
            <v>South Yorkshire</v>
          </cell>
          <cell r="N3470" t="str">
            <v>DN12 3LR</v>
          </cell>
          <cell r="O3470" t="str">
            <v>head@ivanhoe.doncaster.sch.uk</v>
          </cell>
          <cell r="P3470">
            <v>40718</v>
          </cell>
        </row>
        <row r="3471">
          <cell r="A3471">
            <v>9163375</v>
          </cell>
          <cell r="B3471">
            <v>135985</v>
          </cell>
          <cell r="C3471">
            <v>916</v>
          </cell>
          <cell r="D3471" t="str">
            <v>Gloucestershire</v>
          </cell>
          <cell r="E3471">
            <v>3375</v>
          </cell>
          <cell r="F3471" t="str">
            <v>Theresa Oddelm</v>
          </cell>
          <cell r="G3471" t="str">
            <v>Cirencester Primary School</v>
          </cell>
          <cell r="H3471" t="str">
            <v>South West</v>
          </cell>
          <cell r="I3471" t="str">
            <v>Victoria Road</v>
          </cell>
          <cell r="L3471" t="str">
            <v>Cirencester</v>
          </cell>
          <cell r="M3471" t="str">
            <v>Gloucestershire</v>
          </cell>
          <cell r="N3471" t="str">
            <v>GL7 1EX</v>
          </cell>
          <cell r="O3471" t="str">
            <v>Head@cirencester-pri.gloucs.sch.uk</v>
          </cell>
        </row>
        <row r="3472">
          <cell r="A3472">
            <v>8505400</v>
          </cell>
          <cell r="B3472">
            <v>116493</v>
          </cell>
          <cell r="C3472">
            <v>850</v>
          </cell>
          <cell r="D3472" t="str">
            <v>Hampshire</v>
          </cell>
          <cell r="E3472">
            <v>5400</v>
          </cell>
          <cell r="F3472" t="str">
            <v>Amanda Barrett</v>
          </cell>
          <cell r="G3472" t="str">
            <v>Hardley School and Sixth Form  (FAST TRACK)</v>
          </cell>
          <cell r="H3472" t="str">
            <v>South East</v>
          </cell>
          <cell r="I3472" t="str">
            <v>Long Lane</v>
          </cell>
          <cell r="J3472" t="str">
            <v>Holbury</v>
          </cell>
          <cell r="L3472" t="str">
            <v>Southampton</v>
          </cell>
          <cell r="M3472" t="str">
            <v>Hampshire</v>
          </cell>
          <cell r="N3472" t="str">
            <v>SO45 2PA</v>
          </cell>
          <cell r="O3472" t="str">
            <v>andy.dyer@hardley.hants.sch.uk</v>
          </cell>
          <cell r="P3472">
            <v>40651</v>
          </cell>
        </row>
        <row r="3473">
          <cell r="A3473">
            <v>8794172</v>
          </cell>
          <cell r="B3473">
            <v>113533</v>
          </cell>
          <cell r="C3473">
            <v>879</v>
          </cell>
          <cell r="D3473" t="str">
            <v>Plymouth</v>
          </cell>
          <cell r="E3473">
            <v>4172</v>
          </cell>
          <cell r="F3473" t="str">
            <v>Simon Foster</v>
          </cell>
          <cell r="G3473" t="str">
            <v>Sir John Hunt Community Sports College</v>
          </cell>
          <cell r="H3473" t="str">
            <v>South West</v>
          </cell>
          <cell r="I3473" t="str">
            <v>Lancaster Gardens</v>
          </cell>
          <cell r="J3473" t="str">
            <v>Whitleigh</v>
          </cell>
          <cell r="L3473" t="str">
            <v>Plymouth</v>
          </cell>
          <cell r="M3473" t="str">
            <v>Devon</v>
          </cell>
          <cell r="N3473" t="str">
            <v>PL5 4AA</v>
          </cell>
          <cell r="O3473" t="str">
            <v>wendy.brett@sirjohnhunt.plymouth.sch.uk</v>
          </cell>
          <cell r="P3473">
            <v>41050</v>
          </cell>
        </row>
        <row r="3474">
          <cell r="A3474">
            <v>8715405</v>
          </cell>
          <cell r="B3474">
            <v>110101</v>
          </cell>
          <cell r="C3474">
            <v>871</v>
          </cell>
          <cell r="D3474" t="str">
            <v>Slough</v>
          </cell>
          <cell r="E3474">
            <v>5405</v>
          </cell>
          <cell r="F3474" t="str">
            <v>Darren Francis</v>
          </cell>
          <cell r="G3474" t="str">
            <v>Langley Grammar School</v>
          </cell>
          <cell r="H3474" t="str">
            <v>South East</v>
          </cell>
          <cell r="I3474" t="str">
            <v>Reddington Drive</v>
          </cell>
          <cell r="J3474" t="str">
            <v>Langley</v>
          </cell>
          <cell r="M3474" t="str">
            <v>Berkshire</v>
          </cell>
          <cell r="N3474" t="str">
            <v>SL3 7QS</v>
          </cell>
          <cell r="O3474" t="str">
            <v>johnconstable@lgs.slough.sch.uk</v>
          </cell>
          <cell r="P3474">
            <v>40529</v>
          </cell>
        </row>
        <row r="3475">
          <cell r="A3475">
            <v>8602242</v>
          </cell>
          <cell r="B3475">
            <v>124107</v>
          </cell>
          <cell r="C3475">
            <v>860</v>
          </cell>
          <cell r="D3475" t="str">
            <v>Staffordshire</v>
          </cell>
          <cell r="E3475">
            <v>2242</v>
          </cell>
          <cell r="F3475" t="str">
            <v>June Laughton</v>
          </cell>
          <cell r="G3475" t="str">
            <v>Bursley Primary School</v>
          </cell>
          <cell r="H3475" t="str">
            <v>West Midlands</v>
          </cell>
          <cell r="I3475" t="str">
            <v>Bursley Way</v>
          </cell>
          <cell r="J3475" t="str">
            <v>Bradwell</v>
          </cell>
          <cell r="L3475" t="str">
            <v>Newcastle</v>
          </cell>
          <cell r="M3475" t="str">
            <v>Staffordshire</v>
          </cell>
          <cell r="N3475" t="str">
            <v>ST5 8JQ</v>
          </cell>
          <cell r="O3475" t="str">
            <v>headteacher@bursley.staffs.sch.uk</v>
          </cell>
          <cell r="P3475">
            <v>40736</v>
          </cell>
        </row>
        <row r="3476">
          <cell r="A3476">
            <v>8912271</v>
          </cell>
          <cell r="B3476">
            <v>122536</v>
          </cell>
          <cell r="C3476">
            <v>891</v>
          </cell>
          <cell r="D3476" t="str">
            <v>Nottinghamshire</v>
          </cell>
          <cell r="E3476">
            <v>2271</v>
          </cell>
          <cell r="F3476" t="str">
            <v>Not yet assigned</v>
          </cell>
          <cell r="G3476" t="str">
            <v>Bramcote Hills Primary School</v>
          </cell>
          <cell r="H3476" t="str">
            <v>East Midlands</v>
          </cell>
          <cell r="I3476" t="str">
            <v>Moor Lane</v>
          </cell>
          <cell r="J3476" t="str">
            <v>Bramcote Hills</v>
          </cell>
          <cell r="K3476" t="str">
            <v>Bramcote</v>
          </cell>
          <cell r="L3476" t="str">
            <v>Nottingham</v>
          </cell>
          <cell r="M3476" t="str">
            <v>Nottinghamshire</v>
          </cell>
          <cell r="N3476" t="str">
            <v>NG9 3GE</v>
          </cell>
          <cell r="O3476" t="str">
            <v>head@bramcotehills-pri.notts.sch.uk</v>
          </cell>
        </row>
        <row r="3477">
          <cell r="A3477">
            <v>9082302</v>
          </cell>
          <cell r="B3477">
            <v>111861</v>
          </cell>
          <cell r="C3477">
            <v>908</v>
          </cell>
          <cell r="D3477" t="str">
            <v>Cornwall</v>
          </cell>
          <cell r="E3477">
            <v>2302</v>
          </cell>
          <cell r="F3477" t="str">
            <v>Kate Bosher</v>
          </cell>
          <cell r="G3477" t="str">
            <v>Kea Community Primary School</v>
          </cell>
          <cell r="H3477" t="str">
            <v>South West</v>
          </cell>
          <cell r="I3477" t="str">
            <v>Kea</v>
          </cell>
          <cell r="L3477" t="str">
            <v>Truro</v>
          </cell>
          <cell r="M3477" t="str">
            <v>Cornwall</v>
          </cell>
          <cell r="N3477" t="str">
            <v>TR3 6AY</v>
          </cell>
          <cell r="O3477" t="str">
            <v>head@kea.cornwall.sch.uk</v>
          </cell>
          <cell r="P3477">
            <v>40746</v>
          </cell>
        </row>
        <row r="3478">
          <cell r="A3478">
            <v>3522009</v>
          </cell>
          <cell r="B3478">
            <v>131882</v>
          </cell>
          <cell r="C3478">
            <v>352</v>
          </cell>
          <cell r="D3478" t="str">
            <v>Manchester</v>
          </cell>
          <cell r="E3478">
            <v>2009</v>
          </cell>
          <cell r="F3478" t="str">
            <v>Cathy Dudley</v>
          </cell>
          <cell r="G3478" t="str">
            <v>The Willows Primary School</v>
          </cell>
          <cell r="H3478" t="str">
            <v>North West</v>
          </cell>
          <cell r="I3478" t="str">
            <v>Tayfield Road</v>
          </cell>
          <cell r="J3478" t="str">
            <v>Woodhouse Park</v>
          </cell>
          <cell r="L3478" t="str">
            <v>Manchester</v>
          </cell>
          <cell r="N3478" t="str">
            <v>M22 1BQ</v>
          </cell>
          <cell r="O3478" t="str">
            <v>head@willows.manchester.sch.uk</v>
          </cell>
        </row>
        <row r="3479">
          <cell r="A3479">
            <v>9365217</v>
          </cell>
          <cell r="B3479">
            <v>125299</v>
          </cell>
          <cell r="C3479">
            <v>936</v>
          </cell>
          <cell r="D3479" t="str">
            <v>Surrey</v>
          </cell>
          <cell r="E3479">
            <v>5217</v>
          </cell>
          <cell r="F3479" t="str">
            <v>Gabriela Grimley</v>
          </cell>
          <cell r="G3479" t="str">
            <v>Burpham Foundation Primary School</v>
          </cell>
          <cell r="H3479" t="str">
            <v>South East</v>
          </cell>
          <cell r="I3479" t="str">
            <v>Burpham Lane</v>
          </cell>
          <cell r="J3479" t="str">
            <v>Burpham</v>
          </cell>
          <cell r="L3479" t="str">
            <v>Guildford</v>
          </cell>
          <cell r="M3479" t="str">
            <v>Surrey</v>
          </cell>
          <cell r="N3479" t="str">
            <v>GU4 7LZ</v>
          </cell>
          <cell r="O3479" t="str">
            <v>paul@burpham.surrey.sch.uk</v>
          </cell>
        </row>
        <row r="3480">
          <cell r="A3480">
            <v>9284089</v>
          </cell>
          <cell r="B3480">
            <v>122087</v>
          </cell>
          <cell r="C3480">
            <v>928</v>
          </cell>
          <cell r="D3480" t="str">
            <v>Northamptonshire</v>
          </cell>
          <cell r="E3480">
            <v>4089</v>
          </cell>
          <cell r="F3480" t="str">
            <v>Stephen Standret</v>
          </cell>
          <cell r="G3480" t="str">
            <v>Chenderit School</v>
          </cell>
          <cell r="H3480" t="str">
            <v>East Midlands</v>
          </cell>
          <cell r="I3480" t="str">
            <v>Archery Road</v>
          </cell>
          <cell r="J3480" t="str">
            <v>Middleton Cheney</v>
          </cell>
          <cell r="L3480" t="str">
            <v>Banbury</v>
          </cell>
          <cell r="M3480" t="str">
            <v>Oxfordshire</v>
          </cell>
          <cell r="N3480" t="str">
            <v>OX17 2QR</v>
          </cell>
          <cell r="O3480" t="str">
            <v>gtyrer@chenderit.northants.sch.uk</v>
          </cell>
          <cell r="P3480">
            <v>40798</v>
          </cell>
        </row>
        <row r="3481">
          <cell r="A3481">
            <v>8302344</v>
          </cell>
          <cell r="B3481">
            <v>112690</v>
          </cell>
          <cell r="C3481">
            <v>830</v>
          </cell>
          <cell r="D3481" t="str">
            <v>Derbyshire</v>
          </cell>
          <cell r="E3481">
            <v>2344</v>
          </cell>
          <cell r="F3481" t="str">
            <v>Stephen Standret</v>
          </cell>
          <cell r="G3481" t="str">
            <v>Duffield the Meadows Primary School</v>
          </cell>
          <cell r="H3481" t="str">
            <v>East Midlands</v>
          </cell>
          <cell r="I3481" t="str">
            <v>Park Road</v>
          </cell>
          <cell r="J3481" t="str">
            <v>Duffield</v>
          </cell>
          <cell r="L3481" t="str">
            <v>Belper</v>
          </cell>
          <cell r="M3481" t="str">
            <v>Derbyshire</v>
          </cell>
          <cell r="N3481" t="str">
            <v>DE56 4GT</v>
          </cell>
          <cell r="O3481" t="str">
            <v>headteacher@duffieldmeadows.derbyshire.sch.uk</v>
          </cell>
        </row>
        <row r="3482">
          <cell r="A3482">
            <v>3322109</v>
          </cell>
          <cell r="B3482">
            <v>103799</v>
          </cell>
          <cell r="C3482">
            <v>332</v>
          </cell>
          <cell r="D3482" t="str">
            <v>Dudley</v>
          </cell>
          <cell r="E3482">
            <v>2109</v>
          </cell>
          <cell r="F3482" t="str">
            <v>Stephen Bagnall</v>
          </cell>
          <cell r="G3482" t="str">
            <v>Greenfield Primary School</v>
          </cell>
          <cell r="H3482" t="str">
            <v>West Midlands</v>
          </cell>
          <cell r="I3482" t="str">
            <v>Hill Street</v>
          </cell>
          <cell r="L3482" t="str">
            <v>Stourbridge</v>
          </cell>
          <cell r="M3482" t="str">
            <v>West Midlands</v>
          </cell>
          <cell r="N3482" t="str">
            <v>DY8 1AL</v>
          </cell>
          <cell r="O3482" t="str">
            <v>pbravo@greenfield.dudley.sch.uk</v>
          </cell>
        </row>
        <row r="3483">
          <cell r="A3483">
            <v>3552090</v>
          </cell>
          <cell r="B3483">
            <v>105923</v>
          </cell>
          <cell r="C3483">
            <v>355</v>
          </cell>
          <cell r="D3483" t="str">
            <v>Salford</v>
          </cell>
          <cell r="E3483">
            <v>2090</v>
          </cell>
          <cell r="F3483" t="str">
            <v>Jane McCusker</v>
          </cell>
          <cell r="G3483" t="str">
            <v>Broadoak Primary School</v>
          </cell>
          <cell r="H3483" t="str">
            <v>North West</v>
          </cell>
          <cell r="I3483" t="str">
            <v>Fairmount Road</v>
          </cell>
          <cell r="J3483" t="str">
            <v>Swinton</v>
          </cell>
          <cell r="L3483" t="str">
            <v>Manchester</v>
          </cell>
          <cell r="N3483" t="str">
            <v>M27 0EP</v>
          </cell>
          <cell r="O3483" t="str">
            <v>colleen.taylor@salford.gov.uk</v>
          </cell>
          <cell r="P3483">
            <v>40638</v>
          </cell>
        </row>
        <row r="3484">
          <cell r="A3484">
            <v>3504806</v>
          </cell>
          <cell r="B3484">
            <v>135096</v>
          </cell>
          <cell r="C3484">
            <v>350</v>
          </cell>
          <cell r="D3484" t="str">
            <v>Bolton</v>
          </cell>
          <cell r="E3484">
            <v>4806</v>
          </cell>
          <cell r="F3484" t="str">
            <v>Elaine Howard</v>
          </cell>
          <cell r="G3484" t="str">
            <v>Bolton Muslim Girls School</v>
          </cell>
          <cell r="H3484" t="str">
            <v>North West</v>
          </cell>
          <cell r="I3484" t="str">
            <v>Swan Lane</v>
          </cell>
          <cell r="L3484" t="str">
            <v>Bolton</v>
          </cell>
          <cell r="M3484" t="str">
            <v>Lancashire</v>
          </cell>
          <cell r="N3484" t="str">
            <v>BL3 6TQ</v>
          </cell>
          <cell r="O3484" t="str">
            <v>Ibrahimm@bmgs.Bolton.sch.uk</v>
          </cell>
        </row>
        <row r="3485">
          <cell r="A3485">
            <v>3055400</v>
          </cell>
          <cell r="B3485">
            <v>101666</v>
          </cell>
          <cell r="C3485">
            <v>305</v>
          </cell>
          <cell r="D3485" t="str">
            <v>Bromley</v>
          </cell>
          <cell r="E3485">
            <v>5400</v>
          </cell>
          <cell r="F3485" t="str">
            <v>Tahir Shams</v>
          </cell>
          <cell r="G3485" t="str">
            <v>Bullers Wood School</v>
          </cell>
          <cell r="H3485" t="str">
            <v>London</v>
          </cell>
          <cell r="I3485" t="str">
            <v>St Nicolas Lane</v>
          </cell>
          <cell r="J3485" t="str">
            <v>Logs Hill</v>
          </cell>
          <cell r="L3485" t="str">
            <v>Chislehurst</v>
          </cell>
          <cell r="M3485" t="str">
            <v>Kent</v>
          </cell>
          <cell r="N3485" t="str">
            <v>BR7 5LJ</v>
          </cell>
          <cell r="O3485" t="str">
            <v>nickcross@bullerswood.bromley.sch.uk</v>
          </cell>
          <cell r="P3485">
            <v>40585</v>
          </cell>
        </row>
        <row r="3486">
          <cell r="A3486">
            <v>8414285</v>
          </cell>
          <cell r="B3486">
            <v>114320</v>
          </cell>
          <cell r="C3486">
            <v>841</v>
          </cell>
          <cell r="D3486" t="str">
            <v>Darlington</v>
          </cell>
          <cell r="E3486">
            <v>4285</v>
          </cell>
          <cell r="F3486" t="str">
            <v>Jamie Kelly</v>
          </cell>
          <cell r="G3486" t="str">
            <v>Haughton Community School</v>
          </cell>
          <cell r="H3486" t="str">
            <v>North East</v>
          </cell>
          <cell r="I3486" t="str">
            <v>Salters Lane South</v>
          </cell>
          <cell r="L3486" t="str">
            <v>Darlington</v>
          </cell>
          <cell r="M3486" t="str">
            <v>County Durham</v>
          </cell>
          <cell r="N3486" t="str">
            <v>DL1 2AN</v>
          </cell>
          <cell r="O3486" t="str">
            <v>dsmith@educationvillage.org.uk</v>
          </cell>
          <cell r="P3486">
            <v>40562</v>
          </cell>
        </row>
        <row r="3487">
          <cell r="A3487">
            <v>9252167</v>
          </cell>
          <cell r="B3487">
            <v>120455</v>
          </cell>
          <cell r="C3487">
            <v>925</v>
          </cell>
          <cell r="D3487" t="str">
            <v>Lincolnshire</v>
          </cell>
          <cell r="E3487">
            <v>2167</v>
          </cell>
          <cell r="F3487" t="str">
            <v>Stella Mascarenhas-Keys</v>
          </cell>
          <cell r="G3487" t="str">
            <v>Ingoldmells Primary School (Fast Track)</v>
          </cell>
          <cell r="H3487" t="str">
            <v>East Midlands</v>
          </cell>
          <cell r="I3487" t="str">
            <v>Simpson Court</v>
          </cell>
          <cell r="J3487" t="str">
            <v>Ingoldmells</v>
          </cell>
          <cell r="L3487" t="str">
            <v>Skegness</v>
          </cell>
          <cell r="M3487" t="str">
            <v>Lincolnshire</v>
          </cell>
          <cell r="N3487" t="str">
            <v>PE25 1PS</v>
          </cell>
          <cell r="O3487" t="str">
            <v>emma.hadley@ingoldmells.lincs.sch.uk</v>
          </cell>
          <cell r="P3487">
            <v>40746</v>
          </cell>
        </row>
        <row r="3488">
          <cell r="A3488">
            <v>8655208</v>
          </cell>
          <cell r="B3488">
            <v>126482</v>
          </cell>
          <cell r="C3488">
            <v>865</v>
          </cell>
          <cell r="D3488" t="str">
            <v>Wiltshire</v>
          </cell>
          <cell r="E3488">
            <v>5208</v>
          </cell>
          <cell r="F3488" t="str">
            <v>Theresa Oddelm</v>
          </cell>
          <cell r="G3488" t="str">
            <v>St Mary's RC Primary School</v>
          </cell>
          <cell r="H3488" t="str">
            <v>South West</v>
          </cell>
          <cell r="I3488" t="str">
            <v>Rowden Hill</v>
          </cell>
          <cell r="L3488" t="str">
            <v>Chippenham</v>
          </cell>
          <cell r="M3488" t="str">
            <v>Wiltshire</v>
          </cell>
          <cell r="N3488" t="str">
            <v>SN15 2AH</v>
          </cell>
          <cell r="O3488" t="str">
            <v>head@st-marys-pri.wilts.sch.uk</v>
          </cell>
        </row>
        <row r="3489">
          <cell r="A3489">
            <v>8852134</v>
          </cell>
          <cell r="B3489">
            <v>116727</v>
          </cell>
          <cell r="C3489">
            <v>885</v>
          </cell>
          <cell r="D3489" t="str">
            <v>Worcestershire</v>
          </cell>
          <cell r="E3489">
            <v>2134</v>
          </cell>
          <cell r="F3489" t="str">
            <v>Sally Gardiner</v>
          </cell>
          <cell r="G3489" t="str">
            <v>The Vaynor First School</v>
          </cell>
          <cell r="H3489" t="str">
            <v>West Midlands</v>
          </cell>
          <cell r="I3489" t="str">
            <v>Tennyson Road</v>
          </cell>
          <cell r="J3489" t="str">
            <v>Headless Cross</v>
          </cell>
          <cell r="L3489" t="str">
            <v>Redditch</v>
          </cell>
          <cell r="M3489" t="str">
            <v>Worcestershire</v>
          </cell>
          <cell r="N3489" t="str">
            <v>B97 5BL</v>
          </cell>
          <cell r="O3489" t="str">
            <v>head@thevaynor.worcs.sch.uk</v>
          </cell>
          <cell r="P3489">
            <v>40855</v>
          </cell>
        </row>
        <row r="3490">
          <cell r="A3490">
            <v>3414306</v>
          </cell>
          <cell r="B3490">
            <v>104687</v>
          </cell>
          <cell r="C3490">
            <v>341</v>
          </cell>
          <cell r="D3490" t="str">
            <v>Liverpool</v>
          </cell>
          <cell r="E3490">
            <v>4306</v>
          </cell>
          <cell r="F3490" t="str">
            <v>Maria Sabberton</v>
          </cell>
          <cell r="G3490" t="str">
            <v>West Derby School</v>
          </cell>
          <cell r="H3490" t="str">
            <v>North West</v>
          </cell>
          <cell r="I3490" t="str">
            <v>Quarry Wing</v>
          </cell>
          <cell r="J3490" t="str">
            <v>Quarry Road</v>
          </cell>
          <cell r="L3490" t="str">
            <v>Liverpool</v>
          </cell>
          <cell r="M3490" t="str">
            <v>Merseyside</v>
          </cell>
          <cell r="N3490" t="str">
            <v>L13 7DB</v>
          </cell>
          <cell r="O3490" t="str">
            <v>m.rannard@westderby.liverpool.sch.uk</v>
          </cell>
          <cell r="P3490">
            <v>41047</v>
          </cell>
        </row>
        <row r="3491">
          <cell r="A3491">
            <v>8893193</v>
          </cell>
          <cell r="B3491">
            <v>119412</v>
          </cell>
          <cell r="C3491">
            <v>889</v>
          </cell>
          <cell r="D3491" t="str">
            <v>Blackburn with Darwen</v>
          </cell>
          <cell r="E3491">
            <v>3193</v>
          </cell>
          <cell r="F3491" t="str">
            <v>Viv Clutton</v>
          </cell>
          <cell r="G3491" t="str">
            <v>Wensley Fold (VC) Church of England Primary School</v>
          </cell>
          <cell r="H3491" t="str">
            <v>North West</v>
          </cell>
          <cell r="I3491" t="str">
            <v>Manor Road</v>
          </cell>
          <cell r="L3491" t="str">
            <v>Blackburn</v>
          </cell>
          <cell r="M3491" t="str">
            <v>Lancashire</v>
          </cell>
          <cell r="N3491" t="str">
            <v>BB2 6LX</v>
          </cell>
          <cell r="O3491" t="str">
            <v>g.stubbs@blackburn.gov.uk</v>
          </cell>
          <cell r="P3491">
            <v>41026</v>
          </cell>
        </row>
        <row r="3492">
          <cell r="A3492">
            <v>3023515</v>
          </cell>
          <cell r="B3492">
            <v>101343</v>
          </cell>
          <cell r="C3492">
            <v>302</v>
          </cell>
          <cell r="D3492" t="str">
            <v>Barnet</v>
          </cell>
          <cell r="E3492">
            <v>3515</v>
          </cell>
          <cell r="F3492" t="str">
            <v>Tahir Shams</v>
          </cell>
          <cell r="G3492" t="str">
            <v>Independent Jewish Day School</v>
          </cell>
          <cell r="H3492" t="str">
            <v>London</v>
          </cell>
          <cell r="I3492" t="str">
            <v>46 Green Lane</v>
          </cell>
          <cell r="J3492" t="str">
            <v>Hendon</v>
          </cell>
          <cell r="L3492" t="str">
            <v>London</v>
          </cell>
          <cell r="N3492" t="str">
            <v>NW4 2AH</v>
          </cell>
          <cell r="O3492" t="str">
            <v>mtapnack@ijds.barnetmail.net</v>
          </cell>
          <cell r="P3492">
            <v>40553</v>
          </cell>
        </row>
        <row r="3493">
          <cell r="A3493">
            <v>9287031</v>
          </cell>
          <cell r="B3493">
            <v>131079</v>
          </cell>
          <cell r="C3493">
            <v>928</v>
          </cell>
          <cell r="D3493" t="str">
            <v>Northamptonshire</v>
          </cell>
          <cell r="E3493">
            <v>7031</v>
          </cell>
          <cell r="F3493" t="str">
            <v>Sue Harp</v>
          </cell>
          <cell r="G3493" t="str">
            <v>Rowan Gate Primary School</v>
          </cell>
          <cell r="H3493" t="str">
            <v>East Midlands</v>
          </cell>
          <cell r="I3493" t="str">
            <v>Finedon Road</v>
          </cell>
          <cell r="L3493" t="str">
            <v>Wellingborough</v>
          </cell>
          <cell r="M3493" t="str">
            <v>Northamptonshire</v>
          </cell>
          <cell r="N3493" t="str">
            <v>NN8 4NS</v>
          </cell>
          <cell r="O3493" t="str">
            <v>head@rowangate.northants-ecl.gov.uk</v>
          </cell>
        </row>
        <row r="3494">
          <cell r="A3494">
            <v>2085401</v>
          </cell>
          <cell r="B3494">
            <v>100638</v>
          </cell>
          <cell r="C3494">
            <v>208</v>
          </cell>
          <cell r="D3494" t="str">
            <v>Lambeth</v>
          </cell>
          <cell r="E3494">
            <v>5401</v>
          </cell>
          <cell r="F3494" t="str">
            <v>Helen Barry</v>
          </cell>
          <cell r="G3494" t="str">
            <v>Bishop Thoms Grant School</v>
          </cell>
          <cell r="H3494" t="str">
            <v>London</v>
          </cell>
          <cell r="I3494" t="str">
            <v>Belltrees Grove</v>
          </cell>
          <cell r="L3494" t="str">
            <v>London</v>
          </cell>
          <cell r="N3494" t="str">
            <v>SW16 2HY</v>
          </cell>
          <cell r="O3494" t="str">
            <v>headteacher@btg-secondary.lambeth.sch.uk</v>
          </cell>
        </row>
        <row r="3495">
          <cell r="A3495">
            <v>9254501</v>
          </cell>
          <cell r="B3495">
            <v>120661</v>
          </cell>
          <cell r="C3495">
            <v>925</v>
          </cell>
          <cell r="D3495" t="str">
            <v>Lincolnshire</v>
          </cell>
          <cell r="E3495">
            <v>4501</v>
          </cell>
          <cell r="F3495" t="str">
            <v>Grant Dyson</v>
          </cell>
          <cell r="G3495" t="str">
            <v>Bourne Grammar School</v>
          </cell>
          <cell r="H3495" t="str">
            <v>East Midlands</v>
          </cell>
          <cell r="I3495" t="str">
            <v>South Road</v>
          </cell>
          <cell r="L3495" t="str">
            <v>Bourne</v>
          </cell>
          <cell r="M3495" t="str">
            <v>Lincolnshire</v>
          </cell>
          <cell r="N3495" t="str">
            <v>PE10 9JE</v>
          </cell>
          <cell r="O3495" t="str">
            <v>Jonathan.Maddox@bourne-grammar.lincs.sch.uk</v>
          </cell>
          <cell r="P3495">
            <v>40711</v>
          </cell>
        </row>
        <row r="3496">
          <cell r="A3496">
            <v>8662166</v>
          </cell>
          <cell r="B3496">
            <v>126252</v>
          </cell>
          <cell r="C3496">
            <v>866</v>
          </cell>
          <cell r="D3496" t="str">
            <v>Swindon</v>
          </cell>
          <cell r="E3496">
            <v>2166</v>
          </cell>
          <cell r="F3496" t="str">
            <v>Not yet assigned</v>
          </cell>
          <cell r="G3496" t="str">
            <v>Colebrook Junior School</v>
          </cell>
          <cell r="H3496" t="str">
            <v>South West</v>
          </cell>
          <cell r="I3496" t="str">
            <v>Towcester Road</v>
          </cell>
          <cell r="J3496" t="str">
            <v>Stratton St Margaret</v>
          </cell>
          <cell r="L3496" t="str">
            <v>Swindon</v>
          </cell>
          <cell r="M3496" t="str">
            <v>Wiltshire</v>
          </cell>
          <cell r="N3496" t="str">
            <v>SN3 4AS</v>
          </cell>
          <cell r="O3496" t="str">
            <v>head@colebrook-jun.swindon.sch.uk</v>
          </cell>
        </row>
        <row r="3497">
          <cell r="A3497">
            <v>8507070</v>
          </cell>
          <cell r="B3497">
            <v>116637</v>
          </cell>
          <cell r="C3497">
            <v>850</v>
          </cell>
          <cell r="D3497" t="str">
            <v>Hampshire</v>
          </cell>
          <cell r="E3497">
            <v>7070</v>
          </cell>
          <cell r="F3497" t="str">
            <v>Amanda Barrett</v>
          </cell>
          <cell r="G3497" t="str">
            <v>Oak Lodge School</v>
          </cell>
          <cell r="H3497" t="str">
            <v>South East</v>
          </cell>
          <cell r="I3497" t="str">
            <v>Roman Road</v>
          </cell>
          <cell r="J3497" t="str">
            <v>Dibden Purlieu</v>
          </cell>
          <cell r="L3497" t="str">
            <v>Southampton</v>
          </cell>
          <cell r="M3497" t="str">
            <v>Hampshire</v>
          </cell>
          <cell r="N3497" t="str">
            <v>SO45 4RQ</v>
          </cell>
          <cell r="O3497" t="str">
            <v>headteacher@oaklodge.hants.sch.uk</v>
          </cell>
        </row>
        <row r="3498">
          <cell r="A3498">
            <v>3802193</v>
          </cell>
          <cell r="B3498">
            <v>107300</v>
          </cell>
          <cell r="C3498">
            <v>380</v>
          </cell>
          <cell r="D3498" t="str">
            <v>Bradford</v>
          </cell>
          <cell r="E3498">
            <v>2193</v>
          </cell>
          <cell r="F3498" t="str">
            <v>Glyn Newton</v>
          </cell>
          <cell r="G3498" t="str">
            <v>Westbourne Primary School</v>
          </cell>
          <cell r="H3498" t="str">
            <v>Yorkshire and the Humber</v>
          </cell>
          <cell r="I3498" t="str">
            <v>Skinner Lane</v>
          </cell>
          <cell r="L3498" t="str">
            <v>Bradford</v>
          </cell>
          <cell r="M3498" t="str">
            <v>West Yorkshire</v>
          </cell>
          <cell r="N3498" t="str">
            <v>BD8 7PL</v>
          </cell>
          <cell r="O3498" t="str">
            <v>belinda@westbourne.bradford.sch.uk</v>
          </cell>
        </row>
        <row r="3499">
          <cell r="A3499">
            <v>8854004</v>
          </cell>
          <cell r="B3499">
            <v>135039</v>
          </cell>
          <cell r="C3499">
            <v>885</v>
          </cell>
          <cell r="D3499" t="str">
            <v>Worcestershire</v>
          </cell>
          <cell r="E3499">
            <v>4004</v>
          </cell>
          <cell r="F3499" t="str">
            <v>Carla Spink</v>
          </cell>
          <cell r="G3499" t="str">
            <v>The Stourport High School and Sixth Form Centre</v>
          </cell>
          <cell r="H3499" t="str">
            <v>West Midlands</v>
          </cell>
          <cell r="I3499" t="str">
            <v>Minster Road</v>
          </cell>
          <cell r="L3499" t="str">
            <v>Stourport-on-Severn</v>
          </cell>
          <cell r="M3499" t="str">
            <v>Worcestershire</v>
          </cell>
          <cell r="N3499" t="str">
            <v>DY13 8AX</v>
          </cell>
          <cell r="O3499" t="str">
            <v>head@shs.worcs.sch.uk</v>
          </cell>
          <cell r="P3499">
            <v>40627</v>
          </cell>
        </row>
        <row r="3500">
          <cell r="A3500">
            <v>9333114</v>
          </cell>
          <cell r="B3500">
            <v>123777</v>
          </cell>
          <cell r="C3500">
            <v>933</v>
          </cell>
          <cell r="D3500" t="str">
            <v>Somerset</v>
          </cell>
          <cell r="E3500">
            <v>3114</v>
          </cell>
          <cell r="F3500" t="str">
            <v>Not yet assigned</v>
          </cell>
          <cell r="G3500" t="str">
            <v>Wells Central CofE Junior School</v>
          </cell>
          <cell r="H3500" t="str">
            <v>South West</v>
          </cell>
          <cell r="I3500" t="str">
            <v>Keward Avenue</v>
          </cell>
          <cell r="L3500" t="str">
            <v>Wells</v>
          </cell>
          <cell r="M3500" t="str">
            <v>Somerset</v>
          </cell>
          <cell r="N3500" t="str">
            <v>BA5 1TS</v>
          </cell>
          <cell r="O3500" t="str">
            <v>sgturner@educ.somerset.gov.uk</v>
          </cell>
        </row>
        <row r="3501">
          <cell r="A3501">
            <v>8653110</v>
          </cell>
          <cell r="B3501">
            <v>126337</v>
          </cell>
          <cell r="C3501">
            <v>865</v>
          </cell>
          <cell r="D3501" t="str">
            <v>Wiltshire</v>
          </cell>
          <cell r="E3501">
            <v>3110</v>
          </cell>
          <cell r="F3501" t="str">
            <v>Simon Foster</v>
          </cell>
          <cell r="G3501" t="str">
            <v>Lydiard Millicent Church of England Primary School</v>
          </cell>
          <cell r="H3501" t="str">
            <v>South West</v>
          </cell>
          <cell r="I3501" t="str">
            <v>The Butts</v>
          </cell>
          <cell r="J3501" t="str">
            <v>Lydiard Millicent</v>
          </cell>
          <cell r="L3501" t="str">
            <v>Swindon</v>
          </cell>
          <cell r="M3501" t="str">
            <v>Wiltshire</v>
          </cell>
          <cell r="N3501" t="str">
            <v>SN5 3LR</v>
          </cell>
          <cell r="O3501" t="str">
            <v>head@lydiardmillicentcofe.wilts.sch.uk</v>
          </cell>
          <cell r="P3501">
            <v>41032</v>
          </cell>
        </row>
        <row r="3502">
          <cell r="A3502">
            <v>8862170</v>
          </cell>
          <cell r="B3502">
            <v>118296</v>
          </cell>
          <cell r="C3502">
            <v>886</v>
          </cell>
          <cell r="D3502" t="str">
            <v>Kent</v>
          </cell>
          <cell r="E3502">
            <v>2170</v>
          </cell>
          <cell r="F3502" t="str">
            <v>Nicky Edwards</v>
          </cell>
          <cell r="G3502" t="str">
            <v>Loose Junior School</v>
          </cell>
          <cell r="H3502" t="str">
            <v>South East</v>
          </cell>
          <cell r="I3502" t="str">
            <v>Loose Road</v>
          </cell>
          <cell r="L3502" t="str">
            <v>Maidstone</v>
          </cell>
          <cell r="M3502" t="str">
            <v>Kent</v>
          </cell>
          <cell r="N3502" t="str">
            <v>ME15 9UW</v>
          </cell>
          <cell r="O3502" t="str">
            <v>headteacher@loose-junior.kent.sch.uk</v>
          </cell>
        </row>
        <row r="3503">
          <cell r="A3503">
            <v>3195402</v>
          </cell>
          <cell r="B3503">
            <v>103009</v>
          </cell>
          <cell r="C3503">
            <v>319</v>
          </cell>
          <cell r="D3503" t="str">
            <v>Sutton</v>
          </cell>
          <cell r="E3503">
            <v>5402</v>
          </cell>
          <cell r="F3503" t="str">
            <v>Bola Bakrin</v>
          </cell>
          <cell r="G3503" t="str">
            <v>The John Fisher School</v>
          </cell>
          <cell r="H3503" t="str">
            <v>London</v>
          </cell>
          <cell r="I3503" t="str">
            <v>Peaks Hill</v>
          </cell>
          <cell r="L3503" t="str">
            <v>Purley</v>
          </cell>
          <cell r="M3503" t="str">
            <v>Surrey</v>
          </cell>
          <cell r="N3503" t="str">
            <v>CR8 3YP</v>
          </cell>
          <cell r="O3503" t="str">
            <v>mscully@suttonlea.org</v>
          </cell>
        </row>
        <row r="3504">
          <cell r="A3504">
            <v>8844022</v>
          </cell>
          <cell r="B3504">
            <v>116940</v>
          </cell>
          <cell r="C3504">
            <v>884</v>
          </cell>
          <cell r="D3504" t="str">
            <v>Herefordshire</v>
          </cell>
          <cell r="E3504">
            <v>4022</v>
          </cell>
          <cell r="F3504" t="str">
            <v>Carol Ions</v>
          </cell>
          <cell r="G3504" t="str">
            <v>Lady Hawkins High School</v>
          </cell>
          <cell r="H3504" t="str">
            <v>West Midlands</v>
          </cell>
          <cell r="I3504" t="str">
            <v>Park View</v>
          </cell>
          <cell r="L3504" t="str">
            <v>Kington</v>
          </cell>
          <cell r="M3504" t="str">
            <v>Herefordshire</v>
          </cell>
          <cell r="N3504" t="str">
            <v>HR5 3AR</v>
          </cell>
          <cell r="O3504" t="str">
            <v>ghouse@lhs.hereford.sch.uk</v>
          </cell>
          <cell r="P3504">
            <v>40648</v>
          </cell>
        </row>
        <row r="3505">
          <cell r="A3505">
            <v>3532052</v>
          </cell>
          <cell r="B3505">
            <v>105648</v>
          </cell>
          <cell r="C3505">
            <v>353</v>
          </cell>
          <cell r="D3505" t="str">
            <v>Oldham</v>
          </cell>
          <cell r="E3505">
            <v>2052</v>
          </cell>
          <cell r="F3505" t="str">
            <v>Linda Tiley</v>
          </cell>
          <cell r="G3505" t="str">
            <v>Mills Hill Primary School</v>
          </cell>
          <cell r="H3505" t="str">
            <v>North West</v>
          </cell>
          <cell r="I3505" t="str">
            <v>Baytree Avenue</v>
          </cell>
          <cell r="J3505" t="str">
            <v>Chadderton</v>
          </cell>
          <cell r="L3505" t="str">
            <v>Oldham</v>
          </cell>
          <cell r="M3505" t="str">
            <v>Greater Manchester</v>
          </cell>
          <cell r="N3505" t="str">
            <v>OL9 0NH</v>
          </cell>
          <cell r="O3505" t="str">
            <v>dcl@millshill.oldham.sch.uk</v>
          </cell>
        </row>
        <row r="3506">
          <cell r="A3506">
            <v>8954123</v>
          </cell>
          <cell r="B3506">
            <v>111406</v>
          </cell>
          <cell r="C3506">
            <v>895</v>
          </cell>
          <cell r="D3506" t="str">
            <v>Cheshire East</v>
          </cell>
          <cell r="E3506">
            <v>4123</v>
          </cell>
          <cell r="F3506" t="str">
            <v>Kris Nursiah</v>
          </cell>
          <cell r="G3506" t="str">
            <v>Sandbach High School and Sixth Form College</v>
          </cell>
          <cell r="H3506" t="str">
            <v>North West</v>
          </cell>
          <cell r="I3506" t="str">
            <v>Middlewich Road</v>
          </cell>
          <cell r="L3506" t="str">
            <v>Sandbach</v>
          </cell>
          <cell r="M3506" t="str">
            <v>Cheshire</v>
          </cell>
          <cell r="N3506" t="str">
            <v>CW11 3NT</v>
          </cell>
          <cell r="O3506" t="str">
            <v>jmleigh@sandhigh.cheshire.sch.uk</v>
          </cell>
          <cell r="P3506">
            <v>40345</v>
          </cell>
        </row>
        <row r="3507">
          <cell r="A3507">
            <v>8865407</v>
          </cell>
          <cell r="B3507">
            <v>118879</v>
          </cell>
          <cell r="C3507">
            <v>886</v>
          </cell>
          <cell r="D3507" t="str">
            <v>Kent</v>
          </cell>
          <cell r="E3507">
            <v>5407</v>
          </cell>
          <cell r="F3507" t="str">
            <v>Nicky Edwards</v>
          </cell>
          <cell r="G3507" t="str">
            <v>Thamesview School</v>
          </cell>
          <cell r="H3507" t="str">
            <v>South East</v>
          </cell>
          <cell r="I3507" t="str">
            <v>Thong Lane</v>
          </cell>
          <cell r="L3507" t="str">
            <v>Gravesend</v>
          </cell>
          <cell r="M3507" t="str">
            <v>Kent</v>
          </cell>
          <cell r="N3507" t="str">
            <v>DA12 4LF</v>
          </cell>
          <cell r="O3507" t="str">
            <v xml:space="preserve"> r.hughes@thamesview.kent.sch.uk</v>
          </cell>
        </row>
        <row r="3508">
          <cell r="A3508">
            <v>8733386</v>
          </cell>
          <cell r="B3508">
            <v>133930</v>
          </cell>
          <cell r="C3508">
            <v>873</v>
          </cell>
          <cell r="D3508" t="str">
            <v>Cambridgeshire</v>
          </cell>
          <cell r="E3508">
            <v>3386</v>
          </cell>
          <cell r="F3508" t="str">
            <v>Claire Ivie</v>
          </cell>
          <cell r="G3508" t="str">
            <v>Milton Road Primary School</v>
          </cell>
          <cell r="H3508" t="str">
            <v>East of England</v>
          </cell>
          <cell r="I3508" t="str">
            <v>Ascham Road</v>
          </cell>
          <cell r="L3508" t="str">
            <v>Cambridge</v>
          </cell>
          <cell r="M3508" t="str">
            <v>Cambridgeshire</v>
          </cell>
          <cell r="N3508" t="str">
            <v>CB4 2BD</v>
          </cell>
          <cell r="O3508" t="str">
            <v>office@miltonroad.cambs.sch.uk</v>
          </cell>
        </row>
        <row r="3509">
          <cell r="A3509">
            <v>8923330</v>
          </cell>
          <cell r="B3509">
            <v>135443</v>
          </cell>
          <cell r="C3509">
            <v>892</v>
          </cell>
          <cell r="D3509" t="str">
            <v>Nottingham</v>
          </cell>
          <cell r="E3509">
            <v>3330</v>
          </cell>
          <cell r="F3509" t="str">
            <v>Grant Dyson</v>
          </cell>
          <cell r="G3509" t="str">
            <v>Sycamore Primary School</v>
          </cell>
          <cell r="H3509" t="str">
            <v>East Midlands</v>
          </cell>
          <cell r="I3509" t="str">
            <v>Abbotsford Drive</v>
          </cell>
          <cell r="J3509" t="str">
            <v>St Ann's</v>
          </cell>
          <cell r="L3509" t="str">
            <v>Nottingham</v>
          </cell>
          <cell r="M3509" t="str">
            <v>Nottinghamshire</v>
          </cell>
          <cell r="N3509" t="str">
            <v>NG3 4QP</v>
          </cell>
          <cell r="O3509" t="str">
            <v>headteacher@sycamore.nottingham.sch.uk</v>
          </cell>
          <cell r="P3509">
            <v>40772</v>
          </cell>
        </row>
        <row r="3510">
          <cell r="A3510">
            <v>2102500</v>
          </cell>
          <cell r="B3510">
            <v>100807</v>
          </cell>
          <cell r="C3510">
            <v>210</v>
          </cell>
          <cell r="D3510" t="str">
            <v>Southwark</v>
          </cell>
          <cell r="E3510">
            <v>2500</v>
          </cell>
          <cell r="F3510" t="str">
            <v>Anita Bihal</v>
          </cell>
          <cell r="G3510" t="str">
            <v>Redriff Primary School</v>
          </cell>
          <cell r="H3510" t="str">
            <v>London</v>
          </cell>
          <cell r="I3510" t="str">
            <v>Salter Road</v>
          </cell>
          <cell r="J3510" t="str">
            <v>Rotherhithe</v>
          </cell>
          <cell r="L3510" t="str">
            <v>London</v>
          </cell>
          <cell r="N3510" t="str">
            <v>SE16 5LQ</v>
          </cell>
          <cell r="O3510" t="str">
            <v>headteacher@redriff.southwark.sch.uk</v>
          </cell>
          <cell r="P3510">
            <v>40634</v>
          </cell>
        </row>
        <row r="3511">
          <cell r="A3511">
            <v>8553058</v>
          </cell>
          <cell r="B3511">
            <v>120144</v>
          </cell>
          <cell r="C3511">
            <v>855</v>
          </cell>
          <cell r="D3511" t="str">
            <v>Leicestershire</v>
          </cell>
          <cell r="E3511">
            <v>3058</v>
          </cell>
          <cell r="F3511" t="str">
            <v>Sue Harp</v>
          </cell>
          <cell r="G3511" t="str">
            <v>Market Harborough Church of England Primary School</v>
          </cell>
          <cell r="H3511" t="str">
            <v>East Midlands</v>
          </cell>
          <cell r="I3511" t="str">
            <v>Fairfield Road</v>
          </cell>
          <cell r="L3511" t="str">
            <v>Market Harborough</v>
          </cell>
          <cell r="M3511" t="str">
            <v>Leicestershire</v>
          </cell>
          <cell r="N3511" t="str">
            <v>LE16 9QH</v>
          </cell>
          <cell r="O3511" t="str">
            <v>sbovill@marketharborough.leics.sch.uk</v>
          </cell>
        </row>
        <row r="3512">
          <cell r="A3512">
            <v>3812049</v>
          </cell>
          <cell r="B3512">
            <v>107504</v>
          </cell>
          <cell r="C3512">
            <v>381</v>
          </cell>
          <cell r="D3512" t="str">
            <v>Calderdale</v>
          </cell>
          <cell r="E3512">
            <v>2049</v>
          </cell>
          <cell r="F3512" t="str">
            <v>Colin Knights</v>
          </cell>
          <cell r="G3512" t="str">
            <v>Greetland Primary School</v>
          </cell>
          <cell r="H3512" t="str">
            <v>Yorkshire and the Humber</v>
          </cell>
          <cell r="I3512" t="str">
            <v>School Street</v>
          </cell>
          <cell r="J3512" t="str">
            <v>Greetland</v>
          </cell>
          <cell r="L3512" t="str">
            <v>Halifax</v>
          </cell>
          <cell r="M3512" t="str">
            <v>West Yorkshire</v>
          </cell>
          <cell r="N3512" t="str">
            <v>HX4 8JB</v>
          </cell>
          <cell r="O3512" t="str">
            <v>head@greetland.calderdale.sch.uk</v>
          </cell>
          <cell r="P3512">
            <v>40354</v>
          </cell>
        </row>
        <row r="3513">
          <cell r="A3513">
            <v>3332062</v>
          </cell>
          <cell r="B3513">
            <v>103921</v>
          </cell>
          <cell r="C3513">
            <v>333</v>
          </cell>
          <cell r="D3513" t="str">
            <v>Sandwell</v>
          </cell>
          <cell r="E3513">
            <v>2062</v>
          </cell>
          <cell r="F3513" t="str">
            <v>Hannah Copp</v>
          </cell>
          <cell r="G3513" t="str">
            <v>Victoria Infant School</v>
          </cell>
          <cell r="H3513" t="str">
            <v>West Midlands</v>
          </cell>
          <cell r="I3513" t="str">
            <v>Silvertrees Road</v>
          </cell>
          <cell r="L3513" t="str">
            <v>Tipton</v>
          </cell>
          <cell r="M3513" t="str">
            <v>West Midlands</v>
          </cell>
          <cell r="N3513" t="str">
            <v>DY4 8NH</v>
          </cell>
          <cell r="O3513" t="str">
            <v>rose.dicks@victoria.sandwell.sch.uk</v>
          </cell>
          <cell r="P3513">
            <v>41247</v>
          </cell>
        </row>
        <row r="3514">
          <cell r="A3514">
            <v>8914032</v>
          </cell>
          <cell r="B3514">
            <v>122829</v>
          </cell>
          <cell r="C3514">
            <v>891</v>
          </cell>
          <cell r="D3514" t="str">
            <v>Nottinghamshire</v>
          </cell>
          <cell r="E3514">
            <v>4032</v>
          </cell>
          <cell r="F3514" t="str">
            <v>Grant Dyson</v>
          </cell>
          <cell r="G3514" t="str">
            <v>The Manor School</v>
          </cell>
          <cell r="H3514" t="str">
            <v>East Midlands</v>
          </cell>
          <cell r="I3514" t="str">
            <v>Park Hall Road</v>
          </cell>
          <cell r="J3514" t="str">
            <v>Mansfield Woodhouse</v>
          </cell>
          <cell r="L3514" t="str">
            <v>Mansfield</v>
          </cell>
          <cell r="M3514" t="str">
            <v>Nottinghamshire</v>
          </cell>
          <cell r="N3514" t="str">
            <v>NG19 8QA</v>
          </cell>
          <cell r="O3514" t="str">
            <v>Jonathon@themanor.notts.sch.uk</v>
          </cell>
          <cell r="P3514">
            <v>40606</v>
          </cell>
        </row>
        <row r="3515">
          <cell r="A3515">
            <v>8234099</v>
          </cell>
          <cell r="B3515">
            <v>109680</v>
          </cell>
          <cell r="C3515">
            <v>823</v>
          </cell>
          <cell r="D3515" t="str">
            <v>Central Bedfordshire</v>
          </cell>
          <cell r="E3515">
            <v>4099</v>
          </cell>
          <cell r="F3515" t="str">
            <v>Louise Green</v>
          </cell>
          <cell r="G3515" t="str">
            <v>Alameda Middle School</v>
          </cell>
          <cell r="H3515" t="str">
            <v>East of England</v>
          </cell>
          <cell r="I3515" t="str">
            <v>Station Road</v>
          </cell>
          <cell r="J3515" t="str">
            <v>Ampthill</v>
          </cell>
          <cell r="L3515" t="str">
            <v>Bedford</v>
          </cell>
          <cell r="M3515" t="str">
            <v>Bedfordshire</v>
          </cell>
          <cell r="N3515" t="str">
            <v>MK45 2QR</v>
          </cell>
          <cell r="O3515" t="str">
            <v>stslourensz@alameda.beds.sch.uk</v>
          </cell>
          <cell r="P3515">
            <v>40549</v>
          </cell>
        </row>
        <row r="3516">
          <cell r="A3516">
            <v>3734225</v>
          </cell>
          <cell r="B3516">
            <v>107126</v>
          </cell>
          <cell r="C3516">
            <v>373</v>
          </cell>
          <cell r="D3516" t="str">
            <v>Sheffield</v>
          </cell>
          <cell r="E3516">
            <v>4225</v>
          </cell>
          <cell r="F3516" t="str">
            <v>Bev Annables</v>
          </cell>
          <cell r="G3516" t="str">
            <v>Hinde House 3-16 School</v>
          </cell>
          <cell r="H3516" t="str">
            <v>Yorkshire and the Humber</v>
          </cell>
          <cell r="I3516" t="str">
            <v>Shiregreen Lane</v>
          </cell>
          <cell r="L3516" t="str">
            <v>Sheffield</v>
          </cell>
          <cell r="M3516" t="str">
            <v>South Yorkshire</v>
          </cell>
          <cell r="N3516" t="str">
            <v>S5 6AG</v>
          </cell>
          <cell r="O3516" t="str">
            <v>headteacher@hindehouse.net</v>
          </cell>
        </row>
        <row r="3517">
          <cell r="A3517">
            <v>3302446</v>
          </cell>
          <cell r="B3517">
            <v>103373</v>
          </cell>
          <cell r="C3517">
            <v>330</v>
          </cell>
          <cell r="D3517" t="str">
            <v>Birmingham</v>
          </cell>
          <cell r="E3517">
            <v>2446</v>
          </cell>
          <cell r="F3517" t="str">
            <v>Alison Middleton</v>
          </cell>
          <cell r="G3517" t="str">
            <v>Ridpool Primary and Nursery School</v>
          </cell>
          <cell r="H3517" t="str">
            <v>West Midlands</v>
          </cell>
          <cell r="I3517" t="str">
            <v>Hurstcroft Road</v>
          </cell>
          <cell r="J3517" t="str">
            <v>Kitts Green</v>
          </cell>
          <cell r="L3517" t="str">
            <v>Birmingham</v>
          </cell>
          <cell r="M3517" t="str">
            <v>West Midlands</v>
          </cell>
          <cell r="N3517" t="str">
            <v>B33 9RD</v>
          </cell>
        </row>
        <row r="3518">
          <cell r="A3518">
            <v>3585400</v>
          </cell>
          <cell r="B3518">
            <v>106373</v>
          </cell>
          <cell r="C3518">
            <v>358</v>
          </cell>
          <cell r="D3518" t="str">
            <v>Trafford</v>
          </cell>
          <cell r="E3518">
            <v>5400</v>
          </cell>
          <cell r="F3518" t="str">
            <v>Ruth Pallister</v>
          </cell>
          <cell r="G3518" t="str">
            <v>Wellington School</v>
          </cell>
          <cell r="H3518" t="str">
            <v>North West</v>
          </cell>
          <cell r="I3518" t="str">
            <v>Wellington Road</v>
          </cell>
          <cell r="J3518" t="str">
            <v>Timperley</v>
          </cell>
          <cell r="L3518" t="str">
            <v>Altrincham</v>
          </cell>
          <cell r="M3518" t="str">
            <v>Cheshire</v>
          </cell>
          <cell r="N3518" t="str">
            <v>WA15 7RH</v>
          </cell>
          <cell r="O3518" t="str">
            <v>jempson@wellington.trafford.sch.uk</v>
          </cell>
          <cell r="P3518">
            <v>40361</v>
          </cell>
        </row>
        <row r="3519">
          <cell r="A3519">
            <v>8913778</v>
          </cell>
          <cell r="B3519">
            <v>133275</v>
          </cell>
          <cell r="C3519">
            <v>891</v>
          </cell>
          <cell r="D3519" t="str">
            <v>Nottinghamshire</v>
          </cell>
          <cell r="E3519">
            <v>3778</v>
          </cell>
          <cell r="F3519" t="str">
            <v>Grant Dyson</v>
          </cell>
          <cell r="G3519" t="str">
            <v>Newgate Lane Primary School</v>
          </cell>
          <cell r="H3519" t="str">
            <v>East Midlands</v>
          </cell>
          <cell r="I3519" t="str">
            <v>Newgate Lane</v>
          </cell>
          <cell r="L3519" t="str">
            <v>Mansfield</v>
          </cell>
          <cell r="M3519" t="str">
            <v>Nottinghamshire</v>
          </cell>
          <cell r="N3519" t="str">
            <v>NG18 2LB</v>
          </cell>
          <cell r="O3519" t="str">
            <v>office@newgate.notts.sch.uk</v>
          </cell>
        </row>
        <row r="3520">
          <cell r="A3520">
            <v>8554007</v>
          </cell>
          <cell r="B3520">
            <v>120239</v>
          </cell>
          <cell r="C3520">
            <v>855</v>
          </cell>
          <cell r="D3520" t="str">
            <v>Leicestershire</v>
          </cell>
          <cell r="E3520">
            <v>4007</v>
          </cell>
          <cell r="F3520" t="str">
            <v>Stella Mascarenhas-Keys</v>
          </cell>
          <cell r="G3520" t="str">
            <v>Newbridge High School</v>
          </cell>
          <cell r="H3520" t="str">
            <v>East Midlands</v>
          </cell>
          <cell r="I3520" t="str">
            <v>Forest Road</v>
          </cell>
          <cell r="L3520" t="str">
            <v>Coalville</v>
          </cell>
          <cell r="M3520" t="str">
            <v>Leicestershire</v>
          </cell>
          <cell r="N3520" t="str">
            <v>LE67 3SJ</v>
          </cell>
          <cell r="P3520">
            <v>40949</v>
          </cell>
        </row>
        <row r="3521">
          <cell r="A3521">
            <v>3842182</v>
          </cell>
          <cell r="B3521">
            <v>108238</v>
          </cell>
          <cell r="C3521">
            <v>384</v>
          </cell>
          <cell r="D3521" t="str">
            <v>Wakefield</v>
          </cell>
          <cell r="E3521">
            <v>2182</v>
          </cell>
          <cell r="F3521" t="str">
            <v>Jayne Turner</v>
          </cell>
          <cell r="G3521" t="str">
            <v>Castleford Half Acres Junior and Infant School</v>
          </cell>
          <cell r="H3521" t="str">
            <v>Yorkshire and the Humber</v>
          </cell>
          <cell r="I3521" t="str">
            <v>Temple Street</v>
          </cell>
          <cell r="L3521" t="str">
            <v>Castleford</v>
          </cell>
          <cell r="M3521" t="str">
            <v>West Yorkshire</v>
          </cell>
          <cell r="N3521" t="str">
            <v>WF10 5RE</v>
          </cell>
        </row>
        <row r="3522">
          <cell r="A3522">
            <v>8782476</v>
          </cell>
          <cell r="B3522">
            <v>113245</v>
          </cell>
          <cell r="C3522">
            <v>878</v>
          </cell>
          <cell r="D3522" t="str">
            <v>Devon</v>
          </cell>
          <cell r="E3522">
            <v>2476</v>
          </cell>
          <cell r="F3522" t="str">
            <v>Not yet assigned</v>
          </cell>
          <cell r="G3522" t="str">
            <v>Canada Hill Community Primary School</v>
          </cell>
          <cell r="H3522" t="str">
            <v>South West</v>
          </cell>
          <cell r="I3522" t="str">
            <v>Abbotsridge Drive</v>
          </cell>
          <cell r="J3522" t="str">
            <v>East Ogwell</v>
          </cell>
          <cell r="L3522" t="str">
            <v>Newton Abbot</v>
          </cell>
          <cell r="M3522" t="str">
            <v>Devon</v>
          </cell>
          <cell r="N3522" t="str">
            <v>TQ12 6YS</v>
          </cell>
          <cell r="O3522" t="str">
            <v>delphine@canadahill.devon.sch.uk</v>
          </cell>
        </row>
        <row r="3523">
          <cell r="A3523">
            <v>8232047</v>
          </cell>
          <cell r="B3523">
            <v>109450</v>
          </cell>
          <cell r="C3523">
            <v>823</v>
          </cell>
          <cell r="D3523" t="str">
            <v>Central Bedfordshire</v>
          </cell>
          <cell r="E3523">
            <v>2047</v>
          </cell>
          <cell r="F3523" t="str">
            <v>Julie McDowall</v>
          </cell>
          <cell r="G3523" t="str">
            <v>Everton Lower School</v>
          </cell>
          <cell r="H3523" t="str">
            <v>East of England</v>
          </cell>
          <cell r="I3523" t="str">
            <v>Potton Road</v>
          </cell>
          <cell r="J3523" t="str">
            <v>Everton</v>
          </cell>
          <cell r="L3523" t="str">
            <v>Sandy</v>
          </cell>
          <cell r="M3523" t="str">
            <v>Bedfordshire</v>
          </cell>
          <cell r="N3523" t="str">
            <v>SG19 2LE</v>
          </cell>
          <cell r="O3523" t="str">
            <v>julieashwell@btinternet.com</v>
          </cell>
          <cell r="P3523">
            <v>40948</v>
          </cell>
        </row>
        <row r="3524">
          <cell r="A3524">
            <v>3304207</v>
          </cell>
          <cell r="B3524">
            <v>103505</v>
          </cell>
          <cell r="C3524">
            <v>330</v>
          </cell>
          <cell r="D3524" t="str">
            <v>Birmingham</v>
          </cell>
          <cell r="E3524">
            <v>4207</v>
          </cell>
          <cell r="F3524" t="str">
            <v>Ruth Pallister</v>
          </cell>
          <cell r="G3524" t="str">
            <v>Handsworth Wood Girls' School</v>
          </cell>
          <cell r="H3524" t="str">
            <v>West Midlands</v>
          </cell>
          <cell r="I3524" t="str">
            <v>Church Lane</v>
          </cell>
          <cell r="J3524" t="str">
            <v>Handsworth</v>
          </cell>
          <cell r="L3524" t="str">
            <v>Birmingham</v>
          </cell>
          <cell r="M3524" t="str">
            <v>West Midlands</v>
          </cell>
          <cell r="N3524" t="str">
            <v>B20 2HL</v>
          </cell>
          <cell r="O3524" t="str">
            <v>nicola.walters@hworthwg.bham.sch.uk</v>
          </cell>
          <cell r="P3524">
            <v>41170</v>
          </cell>
        </row>
        <row r="3525">
          <cell r="A3525">
            <v>9353124</v>
          </cell>
          <cell r="B3525">
            <v>124757</v>
          </cell>
          <cell r="C3525">
            <v>935</v>
          </cell>
          <cell r="D3525" t="str">
            <v>Suffolk</v>
          </cell>
          <cell r="E3525">
            <v>3124</v>
          </cell>
          <cell r="G3525" t="str">
            <v>St Gregory Church of England Voluntary Controlled Primary School</v>
          </cell>
          <cell r="H3525" t="str">
            <v>East of England</v>
          </cell>
          <cell r="I3525" t="str">
            <v>Church Street</v>
          </cell>
          <cell r="L3525" t="str">
            <v>Sudbury</v>
          </cell>
          <cell r="M3525" t="str">
            <v>Suffolk</v>
          </cell>
          <cell r="N3525" t="str">
            <v>CO10 2BJ</v>
          </cell>
          <cell r="O3525" t="str">
            <v>ht.stgregorysp@yahoo.co.uk</v>
          </cell>
        </row>
        <row r="3526">
          <cell r="A3526">
            <v>8252226</v>
          </cell>
          <cell r="B3526">
            <v>110319</v>
          </cell>
          <cell r="C3526">
            <v>825</v>
          </cell>
          <cell r="D3526" t="str">
            <v>Buckinghamshire</v>
          </cell>
          <cell r="E3526">
            <v>2226</v>
          </cell>
          <cell r="F3526" t="str">
            <v>Darren Francis</v>
          </cell>
          <cell r="G3526" t="str">
            <v>Lent Rise Primary School</v>
          </cell>
          <cell r="H3526" t="str">
            <v>South East</v>
          </cell>
          <cell r="I3526" t="str">
            <v>Coulson Way</v>
          </cell>
          <cell r="J3526" t="str">
            <v>Burnham</v>
          </cell>
          <cell r="L3526" t="str">
            <v>Slough</v>
          </cell>
          <cell r="M3526" t="str">
            <v>Berkshire</v>
          </cell>
          <cell r="N3526" t="str">
            <v>SL1 7NP</v>
          </cell>
          <cell r="O3526" t="str">
            <v>office@lentrise.bucks.sch.uk</v>
          </cell>
        </row>
        <row r="3527">
          <cell r="A3527">
            <v>8452136</v>
          </cell>
          <cell r="B3527">
            <v>114460</v>
          </cell>
          <cell r="C3527">
            <v>845</v>
          </cell>
          <cell r="D3527" t="str">
            <v>East Sussex</v>
          </cell>
          <cell r="E3527">
            <v>2136</v>
          </cell>
          <cell r="F3527" t="str">
            <v>Sarah Mitchell</v>
          </cell>
          <cell r="G3527" t="str">
            <v>Motcombe Community Infant School</v>
          </cell>
          <cell r="H3527" t="str">
            <v>South East</v>
          </cell>
          <cell r="I3527" t="str">
            <v>Macmillan Drive</v>
          </cell>
          <cell r="L3527" t="str">
            <v>Eastbourne</v>
          </cell>
          <cell r="M3527" t="str">
            <v>East Sussex</v>
          </cell>
          <cell r="N3527" t="str">
            <v>BN21 1SN</v>
          </cell>
          <cell r="O3527" t="str">
            <v>janem@motcombe.e-sussex.sch.uk</v>
          </cell>
        </row>
        <row r="3528">
          <cell r="A3528">
            <v>8782072</v>
          </cell>
          <cell r="B3528">
            <v>113111</v>
          </cell>
          <cell r="C3528">
            <v>878</v>
          </cell>
          <cell r="D3528" t="str">
            <v>Devon</v>
          </cell>
          <cell r="E3528">
            <v>2072</v>
          </cell>
          <cell r="F3528" t="str">
            <v>Theresa Oddelm</v>
          </cell>
          <cell r="G3528" t="str">
            <v>Uffculme Primary School</v>
          </cell>
          <cell r="H3528" t="str">
            <v>South West</v>
          </cell>
          <cell r="I3528" t="str">
            <v>Ashley Road</v>
          </cell>
          <cell r="J3528" t="str">
            <v>Uffculme</v>
          </cell>
          <cell r="L3528" t="str">
            <v>Cullompton</v>
          </cell>
          <cell r="M3528" t="str">
            <v>Devon</v>
          </cell>
          <cell r="N3528" t="str">
            <v>EX15 3AY</v>
          </cell>
        </row>
        <row r="3529">
          <cell r="A3529">
            <v>3055419</v>
          </cell>
          <cell r="B3529">
            <v>101659</v>
          </cell>
          <cell r="C3529">
            <v>305</v>
          </cell>
          <cell r="D3529" t="str">
            <v>Bromley</v>
          </cell>
          <cell r="E3529">
            <v>5419</v>
          </cell>
          <cell r="F3529" t="str">
            <v>Sheila Longstaff</v>
          </cell>
          <cell r="G3529" t="str">
            <v>The Priory School</v>
          </cell>
          <cell r="H3529" t="str">
            <v>London</v>
          </cell>
          <cell r="I3529" t="str">
            <v>Tintagel Road</v>
          </cell>
          <cell r="L3529" t="str">
            <v>Orpington</v>
          </cell>
          <cell r="M3529" t="str">
            <v>Kent</v>
          </cell>
          <cell r="N3529" t="str">
            <v>BR5 4LG</v>
          </cell>
          <cell r="O3529" t="str">
            <v>nick.ware@staffpriory.co.uk</v>
          </cell>
          <cell r="P3529">
            <v>40889</v>
          </cell>
        </row>
        <row r="3530">
          <cell r="A3530">
            <v>8812901</v>
          </cell>
          <cell r="B3530">
            <v>115037</v>
          </cell>
          <cell r="C3530">
            <v>881</v>
          </cell>
          <cell r="D3530" t="str">
            <v>Essex</v>
          </cell>
          <cell r="E3530">
            <v>2901</v>
          </cell>
          <cell r="F3530" t="str">
            <v>Tony Bretherick</v>
          </cell>
          <cell r="G3530" t="str">
            <v>Runwell Community Primary School</v>
          </cell>
          <cell r="H3530" t="str">
            <v>East of England</v>
          </cell>
          <cell r="I3530" t="str">
            <v>Canewdon Gardens</v>
          </cell>
          <cell r="J3530" t="str">
            <v>Runwell</v>
          </cell>
          <cell r="L3530" t="str">
            <v>Wickford</v>
          </cell>
          <cell r="M3530" t="str">
            <v>Essex</v>
          </cell>
          <cell r="N3530" t="str">
            <v>SS11 7BJ</v>
          </cell>
          <cell r="O3530" t="str">
            <v>jcrook@runwell.essex.sch.uk</v>
          </cell>
          <cell r="P3530">
            <v>40609</v>
          </cell>
        </row>
        <row r="3531">
          <cell r="A3531">
            <v>9282054</v>
          </cell>
          <cell r="B3531">
            <v>121832</v>
          </cell>
          <cell r="C3531">
            <v>928</v>
          </cell>
          <cell r="D3531" t="str">
            <v>Northamptonshire</v>
          </cell>
          <cell r="E3531">
            <v>2054</v>
          </cell>
          <cell r="F3531" t="str">
            <v>Sue Harp</v>
          </cell>
          <cell r="G3531" t="str">
            <v>Irthlingborough Infant School and Nursery</v>
          </cell>
          <cell r="H3531" t="str">
            <v>East Midlands</v>
          </cell>
          <cell r="I3531" t="str">
            <v>Scarborough Street</v>
          </cell>
          <cell r="J3531" t="str">
            <v>Irthlingborough</v>
          </cell>
          <cell r="L3531" t="str">
            <v>Wellingborough</v>
          </cell>
          <cell r="M3531" t="str">
            <v>Northamptonshire</v>
          </cell>
          <cell r="N3531" t="str">
            <v>NN9 5TT</v>
          </cell>
          <cell r="O3531" t="str">
            <v>head@irthlingborough-inf.northants-ecl.gov.uk</v>
          </cell>
        </row>
        <row r="3532">
          <cell r="A3532">
            <v>3434113</v>
          </cell>
          <cell r="B3532">
            <v>104958</v>
          </cell>
          <cell r="C3532">
            <v>343</v>
          </cell>
          <cell r="D3532" t="str">
            <v>Sefton</v>
          </cell>
          <cell r="E3532">
            <v>4113</v>
          </cell>
          <cell r="F3532" t="str">
            <v>Bev Mullin</v>
          </cell>
          <cell r="G3532" t="str">
            <v>Maghull High School</v>
          </cell>
          <cell r="H3532" t="str">
            <v>North West</v>
          </cell>
          <cell r="I3532" t="str">
            <v>Ormonde Drive</v>
          </cell>
          <cell r="J3532" t="str">
            <v>Maghull</v>
          </cell>
          <cell r="L3532" t="str">
            <v>Liverpool</v>
          </cell>
          <cell r="M3532" t="str">
            <v>Merseyside</v>
          </cell>
          <cell r="N3532" t="str">
            <v>L31 7AW</v>
          </cell>
          <cell r="O3532" t="str">
            <v>mra1962@btinternet.com</v>
          </cell>
          <cell r="P3532">
            <v>40583</v>
          </cell>
        </row>
        <row r="3533">
          <cell r="A3533">
            <v>8862608</v>
          </cell>
          <cell r="B3533">
            <v>118537</v>
          </cell>
          <cell r="C3533">
            <v>886</v>
          </cell>
          <cell r="D3533" t="str">
            <v>Kent</v>
          </cell>
          <cell r="E3533">
            <v>2608</v>
          </cell>
          <cell r="F3533" t="str">
            <v>Sarah Mitchell</v>
          </cell>
          <cell r="G3533" t="str">
            <v>St Stephen's Junior School</v>
          </cell>
          <cell r="H3533" t="str">
            <v>South East</v>
          </cell>
          <cell r="I3533" t="str">
            <v>Hales Drive</v>
          </cell>
          <cell r="J3533" t="str">
            <v>St Stephens</v>
          </cell>
          <cell r="L3533" t="str">
            <v>Canterbury</v>
          </cell>
          <cell r="M3533" t="str">
            <v>Kent</v>
          </cell>
          <cell r="N3533" t="str">
            <v>CT2 7AD</v>
          </cell>
          <cell r="O3533" t="str">
            <v>admin@ststephensjuniorschool.co.uk</v>
          </cell>
          <cell r="P3533">
            <v>40435</v>
          </cell>
        </row>
        <row r="3534">
          <cell r="A3534">
            <v>8704020</v>
          </cell>
          <cell r="B3534">
            <v>110044</v>
          </cell>
          <cell r="C3534">
            <v>870</v>
          </cell>
          <cell r="D3534" t="str">
            <v>Reading</v>
          </cell>
          <cell r="E3534">
            <v>4020</v>
          </cell>
          <cell r="F3534" t="str">
            <v>Kate Jarrett</v>
          </cell>
          <cell r="G3534" t="str">
            <v>Highdown School and Sixth Form Centre</v>
          </cell>
          <cell r="H3534" t="str">
            <v>South East</v>
          </cell>
          <cell r="I3534" t="str">
            <v>Surley Row</v>
          </cell>
          <cell r="J3534" t="str">
            <v>Emmer Green</v>
          </cell>
          <cell r="L3534" t="str">
            <v>Reading</v>
          </cell>
          <cell r="M3534" t="str">
            <v>Berkshire</v>
          </cell>
          <cell r="N3534" t="str">
            <v>RG4 8LR</v>
          </cell>
          <cell r="O3534" t="str">
            <v>tim.royle@halesworth.com</v>
          </cell>
          <cell r="P3534">
            <v>40358</v>
          </cell>
        </row>
        <row r="3535">
          <cell r="A3535">
            <v>8782445</v>
          </cell>
          <cell r="B3535">
            <v>113222</v>
          </cell>
          <cell r="C3535">
            <v>878</v>
          </cell>
          <cell r="D3535" t="str">
            <v>Devon</v>
          </cell>
          <cell r="E3535">
            <v>2445</v>
          </cell>
          <cell r="F3535" t="str">
            <v>Kate Bosher</v>
          </cell>
          <cell r="G3535" t="str">
            <v>Stokeinteignhead School</v>
          </cell>
          <cell r="H3535" t="str">
            <v>South West</v>
          </cell>
          <cell r="I3535" t="str">
            <v>School Road</v>
          </cell>
          <cell r="J3535" t="str">
            <v>Stokeinteignhead</v>
          </cell>
          <cell r="L3535" t="str">
            <v>Newton Abbot</v>
          </cell>
          <cell r="M3535" t="str">
            <v>Devon</v>
          </cell>
          <cell r="N3535" t="str">
            <v>TQ12 4QE</v>
          </cell>
          <cell r="O3535" t="str">
            <v>head@stokeinteignhead.devon.sch.uk</v>
          </cell>
          <cell r="P3535">
            <v>40528</v>
          </cell>
        </row>
        <row r="3536">
          <cell r="A3536">
            <v>3814026</v>
          </cell>
          <cell r="B3536">
            <v>107564</v>
          </cell>
          <cell r="C3536">
            <v>381</v>
          </cell>
          <cell r="D3536" t="str">
            <v>Calderdale</v>
          </cell>
          <cell r="E3536">
            <v>4026</v>
          </cell>
          <cell r="F3536" t="str">
            <v>Bev Annables</v>
          </cell>
          <cell r="G3536" t="str">
            <v>Todmorden High School</v>
          </cell>
          <cell r="H3536" t="str">
            <v>Yorkshire and the Humber</v>
          </cell>
          <cell r="I3536" t="str">
            <v>Ewood Lane</v>
          </cell>
          <cell r="L3536" t="str">
            <v>Todmorden</v>
          </cell>
          <cell r="M3536" t="str">
            <v>West Yorkshire</v>
          </cell>
          <cell r="N3536" t="str">
            <v>OL14 7DG</v>
          </cell>
          <cell r="O3536" t="str">
            <v>plaiceh@todmordenhigh.calderdale.sch.uk</v>
          </cell>
        </row>
        <row r="3537">
          <cell r="A3537">
            <v>3032012</v>
          </cell>
          <cell r="B3537">
            <v>101410</v>
          </cell>
          <cell r="C3537">
            <v>303</v>
          </cell>
          <cell r="D3537" t="str">
            <v>Bexley</v>
          </cell>
          <cell r="E3537">
            <v>2012</v>
          </cell>
          <cell r="F3537" t="str">
            <v>Kiran Teli</v>
          </cell>
          <cell r="G3537" t="str">
            <v>Pelham Primary School</v>
          </cell>
          <cell r="H3537" t="str">
            <v>London</v>
          </cell>
          <cell r="I3537" t="str">
            <v>Pelham Road</v>
          </cell>
          <cell r="L3537" t="str">
            <v>Bexleyheath</v>
          </cell>
          <cell r="M3537" t="str">
            <v>Kent</v>
          </cell>
          <cell r="N3537" t="str">
            <v>DA7 4HL</v>
          </cell>
          <cell r="O3537" t="str">
            <v>ahogarth@pelham.bexley.sch.uk</v>
          </cell>
          <cell r="P3537">
            <v>41236</v>
          </cell>
        </row>
        <row r="3538">
          <cell r="A3538">
            <v>3302293</v>
          </cell>
          <cell r="B3538">
            <v>103317</v>
          </cell>
          <cell r="C3538">
            <v>330</v>
          </cell>
          <cell r="D3538" t="str">
            <v>Birmingham</v>
          </cell>
          <cell r="E3538">
            <v>2293</v>
          </cell>
          <cell r="F3538" t="str">
            <v>Nicole Felicien</v>
          </cell>
          <cell r="G3538" t="str">
            <v>Wilkes Green Junior School</v>
          </cell>
          <cell r="H3538" t="str">
            <v>West Midlands</v>
          </cell>
          <cell r="I3538" t="str">
            <v>Antrobus Road</v>
          </cell>
          <cell r="L3538" t="str">
            <v>Birmingham</v>
          </cell>
          <cell r="M3538" t="str">
            <v>West Midlands</v>
          </cell>
          <cell r="N3538" t="str">
            <v>B21 9NT</v>
          </cell>
          <cell r="O3538" t="str">
            <v>m.singh@wilkgrnj.bham.sch.uk</v>
          </cell>
          <cell r="P3538">
            <v>41110</v>
          </cell>
        </row>
        <row r="3539">
          <cell r="A3539">
            <v>3917033</v>
          </cell>
          <cell r="B3539">
            <v>131766</v>
          </cell>
          <cell r="C3539">
            <v>391</v>
          </cell>
          <cell r="D3539" t="str">
            <v>Newcastle upon Tyne</v>
          </cell>
          <cell r="E3539">
            <v>7033</v>
          </cell>
          <cell r="F3539" t="str">
            <v>June Laughton</v>
          </cell>
          <cell r="G3539" t="str">
            <v>Trinity School</v>
          </cell>
          <cell r="H3539" t="str">
            <v>North East</v>
          </cell>
          <cell r="I3539" t="str">
            <v>Condercum Road</v>
          </cell>
          <cell r="L3539" t="str">
            <v>Newcastle-upon-Tyne</v>
          </cell>
          <cell r="M3539" t="str">
            <v>Tyne and Wear</v>
          </cell>
          <cell r="N3539" t="str">
            <v>NE4 8XJ</v>
          </cell>
          <cell r="O3539" t="str">
            <v>bill.curley@trinity.newcastle.sch.uk</v>
          </cell>
          <cell r="P3539">
            <v>41193</v>
          </cell>
        </row>
        <row r="3540">
          <cell r="A3540">
            <v>8454064</v>
          </cell>
          <cell r="B3540">
            <v>114605</v>
          </cell>
          <cell r="C3540">
            <v>845</v>
          </cell>
          <cell r="D3540" t="str">
            <v>East Sussex</v>
          </cell>
          <cell r="E3540">
            <v>4064</v>
          </cell>
          <cell r="F3540" t="str">
            <v>Sarah Mitchell</v>
          </cell>
          <cell r="G3540" t="str">
            <v>The Cavendish School</v>
          </cell>
          <cell r="H3540" t="str">
            <v>South East</v>
          </cell>
          <cell r="I3540" t="str">
            <v>Eldon Road</v>
          </cell>
          <cell r="L3540" t="str">
            <v>Eastbourne</v>
          </cell>
          <cell r="M3540" t="str">
            <v>East Sussex</v>
          </cell>
          <cell r="N3540" t="str">
            <v>BN21 1UE</v>
          </cell>
          <cell r="O3540" t="str">
            <v>kfitzpatrick@cavendish.e-sussex.sch.uk</v>
          </cell>
          <cell r="P3540">
            <v>40974</v>
          </cell>
        </row>
        <row r="3541">
          <cell r="A3541">
            <v>8573429</v>
          </cell>
          <cell r="B3541">
            <v>120228</v>
          </cell>
          <cell r="C3541">
            <v>857</v>
          </cell>
          <cell r="D3541" t="str">
            <v>Rutland</v>
          </cell>
          <cell r="E3541">
            <v>3429</v>
          </cell>
          <cell r="F3541" t="str">
            <v>Sue Harp</v>
          </cell>
          <cell r="G3541" t="str">
            <v>English Martyrs' Catholic Primary School</v>
          </cell>
          <cell r="H3541" t="str">
            <v>East Midlands</v>
          </cell>
          <cell r="I3541" t="str">
            <v>Willow Crescent</v>
          </cell>
          <cell r="L3541" t="str">
            <v>Oakham</v>
          </cell>
          <cell r="M3541" t="str">
            <v>Rutland</v>
          </cell>
          <cell r="N3541" t="str">
            <v>LE15 6EH</v>
          </cell>
          <cell r="O3541" t="str">
            <v>shooley@englishmartyrs.rutland.sch.uk</v>
          </cell>
          <cell r="P3541">
            <v>41254</v>
          </cell>
        </row>
        <row r="3542">
          <cell r="A3542">
            <v>8122895</v>
          </cell>
          <cell r="B3542">
            <v>117922</v>
          </cell>
          <cell r="C3542">
            <v>812</v>
          </cell>
          <cell r="D3542" t="str">
            <v>North East Lincolnshire</v>
          </cell>
          <cell r="E3542">
            <v>2895</v>
          </cell>
          <cell r="F3542" t="str">
            <v>Nick Monton</v>
          </cell>
          <cell r="G3542" t="str">
            <v>Edward Heneage Primary School</v>
          </cell>
          <cell r="H3542" t="str">
            <v>Yorkshire and the Humber</v>
          </cell>
          <cell r="I3542" t="str">
            <v>Edward Street</v>
          </cell>
          <cell r="L3542" t="str">
            <v>Grimsby</v>
          </cell>
          <cell r="M3542" t="str">
            <v>Lincolnshire</v>
          </cell>
          <cell r="N3542" t="str">
            <v>DN32 9HL</v>
          </cell>
          <cell r="O3542" t="str">
            <v>head@ehp.tlfe.org</v>
          </cell>
        </row>
        <row r="3543">
          <cell r="A3543">
            <v>9282219</v>
          </cell>
          <cell r="B3543">
            <v>121953</v>
          </cell>
          <cell r="C3543">
            <v>928</v>
          </cell>
          <cell r="D3543" t="str">
            <v>Northamptonshire</v>
          </cell>
          <cell r="E3543">
            <v>2219</v>
          </cell>
          <cell r="F3543" t="str">
            <v>Sue Harp</v>
          </cell>
          <cell r="G3543" t="str">
            <v>East Hunsbury Primary School</v>
          </cell>
          <cell r="H3543" t="str">
            <v>East Midlands</v>
          </cell>
          <cell r="I3543" t="str">
            <v>Penvale Road</v>
          </cell>
          <cell r="L3543" t="str">
            <v>Northampton</v>
          </cell>
          <cell r="M3543" t="str">
            <v>Northamptonshire</v>
          </cell>
          <cell r="N3543" t="str">
            <v>NN4 0QW</v>
          </cell>
          <cell r="O3543" t="str">
            <v>head@ehps.northants-ecl.gov.uk</v>
          </cell>
        </row>
        <row r="3544">
          <cell r="A3544">
            <v>9382007</v>
          </cell>
          <cell r="B3544">
            <v>125817</v>
          </cell>
          <cell r="C3544">
            <v>938</v>
          </cell>
          <cell r="D3544" t="str">
            <v>West Sussex</v>
          </cell>
          <cell r="E3544">
            <v>2007</v>
          </cell>
          <cell r="F3544" t="str">
            <v>Sarah Mitchell</v>
          </cell>
          <cell r="G3544" t="str">
            <v>Edward Bryant Primary School</v>
          </cell>
          <cell r="H3544" t="str">
            <v>South East</v>
          </cell>
          <cell r="I3544" t="str">
            <v>London Road</v>
          </cell>
          <cell r="L3544" t="str">
            <v>Bognor Regis</v>
          </cell>
          <cell r="M3544" t="str">
            <v>West Sussex</v>
          </cell>
          <cell r="N3544" t="str">
            <v>PO21 1BG</v>
          </cell>
          <cell r="O3544" t="str">
            <v>head@edwardbryant.w-sussex.sch.uk</v>
          </cell>
          <cell r="P3544">
            <v>40837</v>
          </cell>
        </row>
        <row r="3545">
          <cell r="A3545">
            <v>9364190</v>
          </cell>
          <cell r="B3545">
            <v>125261</v>
          </cell>
          <cell r="C3545">
            <v>936</v>
          </cell>
          <cell r="D3545" t="str">
            <v>Surrey</v>
          </cell>
          <cell r="E3545">
            <v>4190</v>
          </cell>
          <cell r="F3545" t="str">
            <v>Gabriela Grimley</v>
          </cell>
          <cell r="G3545" t="str">
            <v>Tomlinscote School and Sixth Form College</v>
          </cell>
          <cell r="H3545" t="str">
            <v>South East</v>
          </cell>
          <cell r="I3545" t="str">
            <v>Tomlinscote Way</v>
          </cell>
          <cell r="J3545" t="str">
            <v>Frimley</v>
          </cell>
          <cell r="L3545" t="str">
            <v>Camberley</v>
          </cell>
          <cell r="M3545" t="str">
            <v>Surrey</v>
          </cell>
          <cell r="N3545" t="str">
            <v>GU16 8PY</v>
          </cell>
          <cell r="O3545" t="str">
            <v>principal@tomlinscote.surrey.sch.uk</v>
          </cell>
        </row>
        <row r="3546">
          <cell r="A3546">
            <v>8073372</v>
          </cell>
          <cell r="B3546">
            <v>111709</v>
          </cell>
          <cell r="C3546">
            <v>807</v>
          </cell>
          <cell r="D3546" t="str">
            <v>Redcar and Cleveland</v>
          </cell>
          <cell r="E3546">
            <v>3372</v>
          </cell>
          <cell r="F3546" t="str">
            <v>Carol Blain</v>
          </cell>
          <cell r="G3546" t="str">
            <v>Saint Peter's Roman Catholic Voluntary Aided Primary School</v>
          </cell>
          <cell r="H3546" t="str">
            <v>North East</v>
          </cell>
          <cell r="I3546" t="str">
            <v>St Margaret's Grove</v>
          </cell>
          <cell r="J3546" t="str">
            <v>South Bank</v>
          </cell>
          <cell r="L3546" t="str">
            <v>Middlesbrough</v>
          </cell>
          <cell r="N3546" t="str">
            <v>TS6 6TA</v>
          </cell>
          <cell r="O3546" t="str">
            <v>njamalizadeh@smc.rac.sch.uk</v>
          </cell>
        </row>
        <row r="3547">
          <cell r="A3547">
            <v>8033049</v>
          </cell>
          <cell r="B3547">
            <v>109164</v>
          </cell>
          <cell r="C3547">
            <v>803</v>
          </cell>
          <cell r="D3547" t="str">
            <v>South Gloucestershire</v>
          </cell>
          <cell r="E3547">
            <v>3049</v>
          </cell>
          <cell r="F3547" t="str">
            <v>Not yet assigned</v>
          </cell>
          <cell r="G3547" t="str">
            <v>Mangotsfield Church of England Voluntary Controlled Primary School</v>
          </cell>
          <cell r="H3547" t="str">
            <v>South West</v>
          </cell>
          <cell r="I3547" t="str">
            <v>Church Farm Road</v>
          </cell>
          <cell r="J3547" t="str">
            <v>Emersons Green</v>
          </cell>
          <cell r="L3547" t="str">
            <v>Bristol</v>
          </cell>
          <cell r="N3547" t="str">
            <v>BS16 7EY</v>
          </cell>
        </row>
        <row r="3548">
          <cell r="A3548">
            <v>8923331</v>
          </cell>
          <cell r="B3548">
            <v>135444</v>
          </cell>
          <cell r="C3548">
            <v>892</v>
          </cell>
          <cell r="D3548" t="str">
            <v>Nottingham</v>
          </cell>
          <cell r="E3548">
            <v>3331</v>
          </cell>
          <cell r="F3548" t="str">
            <v>Sue Harp</v>
          </cell>
          <cell r="G3548" t="str">
            <v>St Anns Well Primary School</v>
          </cell>
          <cell r="H3548" t="str">
            <v>East Midlands</v>
          </cell>
          <cell r="I3548" t="str">
            <v>Hungerhill Road</v>
          </cell>
          <cell r="J3548" t="str">
            <v>St Ann's</v>
          </cell>
          <cell r="L3548" t="str">
            <v>Nottingham</v>
          </cell>
          <cell r="M3548" t="str">
            <v>Nottinghamshire</v>
          </cell>
          <cell r="N3548" t="str">
            <v>NG3 3PQ</v>
          </cell>
          <cell r="O3548" t="str">
            <v>headteacher@st-anns.nottingham.sch.uk</v>
          </cell>
          <cell r="P3548">
            <v>40669</v>
          </cell>
        </row>
        <row r="3549">
          <cell r="A3549">
            <v>8604153</v>
          </cell>
          <cell r="B3549">
            <v>124431</v>
          </cell>
          <cell r="C3549">
            <v>860</v>
          </cell>
          <cell r="D3549" t="str">
            <v>Staffordshire</v>
          </cell>
          <cell r="E3549">
            <v>4153</v>
          </cell>
          <cell r="F3549" t="str">
            <v>Stephen Bagnall</v>
          </cell>
          <cell r="G3549" t="str">
            <v>Cheadle High School</v>
          </cell>
          <cell r="H3549" t="str">
            <v>West Midlands</v>
          </cell>
          <cell r="I3549" t="str">
            <v>Station Road</v>
          </cell>
          <cell r="J3549" t="str">
            <v>Cheadle</v>
          </cell>
          <cell r="L3549" t="str">
            <v>Stoke-on-Trent</v>
          </cell>
          <cell r="M3549" t="str">
            <v>Staffordshire</v>
          </cell>
          <cell r="N3549" t="str">
            <v>ST10 1LH</v>
          </cell>
          <cell r="O3549" t="str">
            <v>exechead@cheadlehigh.co.uk</v>
          </cell>
          <cell r="P3549">
            <v>40623</v>
          </cell>
        </row>
        <row r="3550">
          <cell r="A3550">
            <v>8233302</v>
          </cell>
          <cell r="B3550">
            <v>109615</v>
          </cell>
          <cell r="C3550">
            <v>823</v>
          </cell>
          <cell r="D3550" t="str">
            <v>Central Bedfordshire</v>
          </cell>
          <cell r="E3550">
            <v>3302</v>
          </cell>
          <cell r="F3550" t="str">
            <v>Michael Cook</v>
          </cell>
          <cell r="G3550" t="str">
            <v>John Donne CofE Lower School</v>
          </cell>
          <cell r="H3550" t="str">
            <v>East of England</v>
          </cell>
          <cell r="I3550" t="str">
            <v>High Street</v>
          </cell>
          <cell r="J3550" t="str">
            <v>Blunham</v>
          </cell>
          <cell r="L3550" t="str">
            <v>Bedford</v>
          </cell>
          <cell r="M3550" t="str">
            <v>Bedfordshire</v>
          </cell>
          <cell r="N3550" t="str">
            <v>MK44 3NL</v>
          </cell>
          <cell r="O3550" t="str">
            <v>johndonne@cbc.beds.sch.uk</v>
          </cell>
          <cell r="P3550">
            <v>41110</v>
          </cell>
        </row>
        <row r="3551">
          <cell r="A3551">
            <v>8234033</v>
          </cell>
          <cell r="B3551">
            <v>109651</v>
          </cell>
          <cell r="C3551">
            <v>823</v>
          </cell>
          <cell r="D3551" t="str">
            <v>Central Bedfordshire</v>
          </cell>
          <cell r="E3551">
            <v>4033</v>
          </cell>
          <cell r="F3551" t="str">
            <v>Michael Cook</v>
          </cell>
          <cell r="G3551" t="str">
            <v>Sandye Place Middle School</v>
          </cell>
          <cell r="H3551" t="str">
            <v>East of England</v>
          </cell>
          <cell r="I3551" t="str">
            <v>Park Road</v>
          </cell>
          <cell r="L3551" t="str">
            <v>Sandy</v>
          </cell>
          <cell r="M3551" t="str">
            <v>Bedfordshire</v>
          </cell>
          <cell r="N3551" t="str">
            <v>SG19 1JD</v>
          </cell>
          <cell r="O3551" t="str">
            <v>spht@schools.bedfordshire.gov.uk</v>
          </cell>
          <cell r="P3551">
            <v>40445</v>
          </cell>
        </row>
        <row r="3552">
          <cell r="A3552">
            <v>8815436</v>
          </cell>
          <cell r="B3552">
            <v>115352</v>
          </cell>
          <cell r="C3552">
            <v>881</v>
          </cell>
          <cell r="D3552" t="str">
            <v>Essex</v>
          </cell>
          <cell r="E3552">
            <v>5436</v>
          </cell>
          <cell r="F3552" t="str">
            <v>Claire Ivie</v>
          </cell>
          <cell r="G3552" t="str">
            <v>Newport Free Grammar School</v>
          </cell>
          <cell r="H3552" t="str">
            <v>East of England</v>
          </cell>
          <cell r="I3552" t="str">
            <v>Bury Water Lane</v>
          </cell>
          <cell r="J3552" t="str">
            <v>Newport</v>
          </cell>
          <cell r="L3552" t="str">
            <v>Saffron Walden</v>
          </cell>
          <cell r="M3552" t="str">
            <v>Essex</v>
          </cell>
          <cell r="N3552" t="str">
            <v>CB11 3TR</v>
          </cell>
          <cell r="O3552" t="str">
            <v>sohagan@nfgs.essex.sch.uk</v>
          </cell>
          <cell r="P3552">
            <v>40960</v>
          </cell>
        </row>
        <row r="3553">
          <cell r="A3553">
            <v>8865228</v>
          </cell>
          <cell r="B3553">
            <v>118844</v>
          </cell>
          <cell r="C3553">
            <v>886</v>
          </cell>
          <cell r="D3553" t="str">
            <v>Kent</v>
          </cell>
          <cell r="E3553">
            <v>5228</v>
          </cell>
          <cell r="F3553" t="str">
            <v>Nicky Edwards</v>
          </cell>
          <cell r="G3553" t="str">
            <v>St Georges CofE (Aided) Primary School</v>
          </cell>
          <cell r="H3553" t="str">
            <v>South East</v>
          </cell>
          <cell r="I3553" t="str">
            <v>Chequers Road</v>
          </cell>
          <cell r="L3553" t="str">
            <v>Sheerness</v>
          </cell>
          <cell r="M3553" t="str">
            <v>Kent</v>
          </cell>
          <cell r="N3553" t="str">
            <v>ME12 3QU</v>
          </cell>
          <cell r="O3553" t="str">
            <v>hfisher@st-georges-sheppey.kent.sch.uk</v>
          </cell>
        </row>
        <row r="3554">
          <cell r="A3554">
            <v>3074030</v>
          </cell>
          <cell r="B3554">
            <v>101930</v>
          </cell>
          <cell r="C3554">
            <v>307</v>
          </cell>
          <cell r="D3554" t="str">
            <v>Ealing</v>
          </cell>
          <cell r="E3554">
            <v>4030</v>
          </cell>
          <cell r="F3554" t="str">
            <v>Helen Fisher</v>
          </cell>
          <cell r="G3554" t="str">
            <v>Dormers Wells High School</v>
          </cell>
          <cell r="H3554" t="str">
            <v>London</v>
          </cell>
          <cell r="I3554" t="str">
            <v>Dormers Wells Lane</v>
          </cell>
          <cell r="L3554" t="str">
            <v>Southall</v>
          </cell>
          <cell r="M3554" t="str">
            <v>Middlesex</v>
          </cell>
          <cell r="N3554" t="str">
            <v>UB1 3HZ</v>
          </cell>
        </row>
        <row r="3555">
          <cell r="A3555">
            <v>8234073</v>
          </cell>
          <cell r="B3555">
            <v>109667</v>
          </cell>
          <cell r="C3555">
            <v>823</v>
          </cell>
          <cell r="D3555" t="str">
            <v>Central Bedfordshire</v>
          </cell>
          <cell r="E3555">
            <v>4073</v>
          </cell>
          <cell r="F3555" t="str">
            <v>William Thursfield</v>
          </cell>
          <cell r="G3555" t="str">
            <v>Gilbert Inglefield Middle School</v>
          </cell>
          <cell r="H3555" t="str">
            <v>East of England</v>
          </cell>
          <cell r="I3555" t="str">
            <v>Vandyke Road</v>
          </cell>
          <cell r="L3555" t="str">
            <v>Leighton Buzzard</v>
          </cell>
          <cell r="M3555" t="str">
            <v>Bedfordshire</v>
          </cell>
          <cell r="N3555" t="str">
            <v>LU7 3FU</v>
          </cell>
          <cell r="O3555" t="str">
            <v>dneeves@hotmail.co.uk</v>
          </cell>
          <cell r="P3555">
            <v>40738</v>
          </cell>
        </row>
        <row r="3556">
          <cell r="A3556">
            <v>3514031</v>
          </cell>
          <cell r="B3556">
            <v>105363</v>
          </cell>
          <cell r="C3556">
            <v>351</v>
          </cell>
          <cell r="D3556" t="str">
            <v>Bury</v>
          </cell>
          <cell r="E3556">
            <v>4031</v>
          </cell>
          <cell r="F3556" t="str">
            <v>Viv Clutton</v>
          </cell>
          <cell r="G3556" t="str">
            <v>Castlebrook High School</v>
          </cell>
          <cell r="H3556" t="str">
            <v>North West</v>
          </cell>
          <cell r="I3556" t="str">
            <v>Parr Lane</v>
          </cell>
          <cell r="L3556" t="str">
            <v>Bury</v>
          </cell>
          <cell r="M3556" t="str">
            <v>Lancashire</v>
          </cell>
          <cell r="N3556" t="str">
            <v>BL9 8LP</v>
          </cell>
          <cell r="O3556" t="str">
            <v>a.roberts@bury.gov.uk</v>
          </cell>
        </row>
        <row r="3557">
          <cell r="A3557">
            <v>3344650</v>
          </cell>
          <cell r="B3557">
            <v>104119</v>
          </cell>
          <cell r="C3557">
            <v>334</v>
          </cell>
          <cell r="D3557" t="str">
            <v>Solihull</v>
          </cell>
          <cell r="E3557">
            <v>4650</v>
          </cell>
          <cell r="F3557" t="str">
            <v>Alison Middleton</v>
          </cell>
          <cell r="G3557" t="str">
            <v>St Peter's Catholic School and Specialist Science College</v>
          </cell>
          <cell r="H3557" t="str">
            <v>West Midlands</v>
          </cell>
          <cell r="I3557" t="str">
            <v>Whitefields Road</v>
          </cell>
          <cell r="L3557" t="str">
            <v>Solihull</v>
          </cell>
          <cell r="M3557" t="str">
            <v>West Midlands</v>
          </cell>
          <cell r="N3557" t="str">
            <v>B91 3NZ</v>
          </cell>
          <cell r="O3557" t="str">
            <v>McGarryf@st-peters.solihull.sch.uk</v>
          </cell>
        </row>
        <row r="3558">
          <cell r="A3558">
            <v>9192454</v>
          </cell>
          <cell r="B3558">
            <v>117355</v>
          </cell>
          <cell r="C3558">
            <v>919</v>
          </cell>
          <cell r="D3558" t="str">
            <v>Hertfordshire</v>
          </cell>
          <cell r="E3558">
            <v>2454</v>
          </cell>
          <cell r="F3558" t="str">
            <v>Beverley Samuel</v>
          </cell>
          <cell r="G3558" t="str">
            <v>Applecroft School</v>
          </cell>
          <cell r="H3558" t="str">
            <v>East of England</v>
          </cell>
          <cell r="I3558" t="str">
            <v>Applecroft Road</v>
          </cell>
          <cell r="L3558" t="str">
            <v>Welwyn Garden City</v>
          </cell>
          <cell r="M3558" t="str">
            <v>Hertfordshire</v>
          </cell>
          <cell r="N3558" t="str">
            <v>AL8 6JZ</v>
          </cell>
          <cell r="O3558" t="str">
            <v>head@applecroft.herts.sch.uk</v>
          </cell>
          <cell r="P3558">
            <v>40739</v>
          </cell>
        </row>
        <row r="3559">
          <cell r="A3559">
            <v>9353097</v>
          </cell>
          <cell r="B3559">
            <v>124738</v>
          </cell>
          <cell r="C3559">
            <v>935</v>
          </cell>
          <cell r="D3559" t="str">
            <v>Suffolk</v>
          </cell>
          <cell r="E3559">
            <v>3097</v>
          </cell>
          <cell r="F3559" t="str">
            <v>Joe Farrell</v>
          </cell>
          <cell r="G3559" t="str">
            <v>Nacton Church of England Voluntary Controlled Primary School</v>
          </cell>
          <cell r="H3559" t="str">
            <v>East of England</v>
          </cell>
          <cell r="I3559" t="str">
            <v>Nacton Village</v>
          </cell>
          <cell r="L3559" t="str">
            <v>Ipswich</v>
          </cell>
          <cell r="M3559" t="str">
            <v>Suffolk</v>
          </cell>
          <cell r="N3559" t="str">
            <v>IP10 0EU</v>
          </cell>
          <cell r="O3559" t="str">
            <v xml:space="preserve"> ht.nacton.p@talk21.com</v>
          </cell>
        </row>
        <row r="3560">
          <cell r="A3560">
            <v>9351108</v>
          </cell>
          <cell r="B3560">
            <v>134617</v>
          </cell>
          <cell r="C3560">
            <v>935</v>
          </cell>
          <cell r="D3560" t="str">
            <v>Suffolk</v>
          </cell>
          <cell r="E3560">
            <v>1108</v>
          </cell>
          <cell r="F3560" t="str">
            <v>Eric Mcewen</v>
          </cell>
          <cell r="G3560" t="str">
            <v>First Base Bury St Edmunds</v>
          </cell>
          <cell r="H3560" t="str">
            <v>East of England</v>
          </cell>
          <cell r="I3560" t="str">
            <v>School Lane</v>
          </cell>
          <cell r="L3560" t="str">
            <v>Brandon</v>
          </cell>
          <cell r="M3560" t="str">
            <v>Suffolk</v>
          </cell>
          <cell r="N3560" t="str">
            <v>IP27 0AD</v>
          </cell>
          <cell r="O3560" t="str">
            <v>judi@firstbase.org.uk</v>
          </cell>
        </row>
        <row r="3561">
          <cell r="A3561">
            <v>8664060</v>
          </cell>
          <cell r="B3561">
            <v>126450</v>
          </cell>
          <cell r="C3561">
            <v>866</v>
          </cell>
          <cell r="D3561" t="str">
            <v>Swindon</v>
          </cell>
          <cell r="E3561">
            <v>4060</v>
          </cell>
          <cell r="F3561" t="str">
            <v>Nigel Mills</v>
          </cell>
          <cell r="G3561" t="str">
            <v>Dorcan Technology College</v>
          </cell>
          <cell r="H3561" t="str">
            <v>South West</v>
          </cell>
          <cell r="I3561" t="str">
            <v>St Paul's Drive</v>
          </cell>
          <cell r="J3561" t="str">
            <v>Covingham</v>
          </cell>
          <cell r="L3561" t="str">
            <v>Swindon</v>
          </cell>
          <cell r="M3561" t="str">
            <v>Wiltshire</v>
          </cell>
          <cell r="N3561" t="str">
            <v>SN3 5DA</v>
          </cell>
          <cell r="O3561" t="str">
            <v>ssissons@dorcan.swindon.sch.uk</v>
          </cell>
          <cell r="P3561">
            <v>40716</v>
          </cell>
        </row>
        <row r="3562">
          <cell r="A3562">
            <v>3302468</v>
          </cell>
          <cell r="B3562">
            <v>103394</v>
          </cell>
          <cell r="C3562">
            <v>330</v>
          </cell>
          <cell r="D3562" t="str">
            <v>Birmingham</v>
          </cell>
          <cell r="E3562">
            <v>2468</v>
          </cell>
          <cell r="F3562" t="str">
            <v>Hannah Copp</v>
          </cell>
          <cell r="G3562" t="str">
            <v>Reaside Junior School</v>
          </cell>
          <cell r="H3562" t="str">
            <v>West Midlands</v>
          </cell>
          <cell r="I3562" t="str">
            <v>Tresco Close</v>
          </cell>
          <cell r="J3562" t="str">
            <v>Frankley</v>
          </cell>
          <cell r="K3562" t="str">
            <v>Rubery</v>
          </cell>
          <cell r="L3562" t="str">
            <v>Birmingham</v>
          </cell>
          <cell r="M3562" t="str">
            <v>West Midlands</v>
          </cell>
          <cell r="N3562" t="str">
            <v>B45 0HY</v>
          </cell>
          <cell r="O3562" t="str">
            <v>enquiry@reasidej.bham.sch.uk</v>
          </cell>
        </row>
        <row r="3563">
          <cell r="A3563">
            <v>8505403</v>
          </cell>
          <cell r="B3563">
            <v>116496</v>
          </cell>
          <cell r="C3563">
            <v>850</v>
          </cell>
          <cell r="D3563" t="str">
            <v>Hampshire</v>
          </cell>
          <cell r="E3563">
            <v>5403</v>
          </cell>
          <cell r="F3563" t="str">
            <v>Jacki Couch</v>
          </cell>
          <cell r="G3563" t="str">
            <v>Ringwood School</v>
          </cell>
          <cell r="H3563" t="str">
            <v>South East</v>
          </cell>
          <cell r="I3563" t="str">
            <v>Parsonage Barn Lane</v>
          </cell>
          <cell r="L3563" t="str">
            <v>Ringwood</v>
          </cell>
          <cell r="M3563" t="str">
            <v>Hampshire</v>
          </cell>
          <cell r="N3563" t="str">
            <v>BH24 1SE</v>
          </cell>
          <cell r="O3563" t="str">
            <v>chris.edwards@ringwood.hants.sch.uk</v>
          </cell>
          <cell r="P3563">
            <v>40505</v>
          </cell>
        </row>
        <row r="3564">
          <cell r="A3564">
            <v>8652040</v>
          </cell>
          <cell r="B3564">
            <v>126192</v>
          </cell>
          <cell r="C3564">
            <v>865</v>
          </cell>
          <cell r="D3564" t="str">
            <v>Wiltshire</v>
          </cell>
          <cell r="E3564">
            <v>2040</v>
          </cell>
          <cell r="F3564" t="str">
            <v>Kate Bosher</v>
          </cell>
          <cell r="G3564" t="str">
            <v>Easton Royal Primary School</v>
          </cell>
          <cell r="H3564" t="str">
            <v>South West</v>
          </cell>
          <cell r="I3564" t="str">
            <v>The Street</v>
          </cell>
          <cell r="J3564" t="str">
            <v>Easton Royal</v>
          </cell>
          <cell r="L3564" t="str">
            <v>Pewsey</v>
          </cell>
          <cell r="M3564" t="str">
            <v>Wiltshire</v>
          </cell>
          <cell r="N3564" t="str">
            <v>SN9 5LZ</v>
          </cell>
          <cell r="O3564" t="str">
            <v>head@eroyal.wilts.sch.uk</v>
          </cell>
          <cell r="P3564">
            <v>40557</v>
          </cell>
        </row>
        <row r="3565">
          <cell r="A3565">
            <v>9255415</v>
          </cell>
          <cell r="B3565">
            <v>120711</v>
          </cell>
          <cell r="C3565">
            <v>925</v>
          </cell>
          <cell r="D3565" t="str">
            <v>Lincolnshire</v>
          </cell>
          <cell r="E3565">
            <v>5415</v>
          </cell>
          <cell r="F3565" t="str">
            <v>Servet Bicer</v>
          </cell>
          <cell r="G3565" t="str">
            <v>William Farr Church of England Comprehensive School</v>
          </cell>
          <cell r="H3565" t="str">
            <v>East Midlands</v>
          </cell>
          <cell r="I3565" t="str">
            <v>Lincoln Road</v>
          </cell>
          <cell r="J3565" t="str">
            <v>Welton</v>
          </cell>
          <cell r="L3565" t="str">
            <v>Lincoln</v>
          </cell>
          <cell r="M3565" t="str">
            <v>Lincolnshire</v>
          </cell>
          <cell r="N3565" t="str">
            <v>LN2 3JB</v>
          </cell>
          <cell r="O3565" t="str">
            <v>p.strong@williamfarr.lincs.sch.uk</v>
          </cell>
          <cell r="P3565">
            <v>40368</v>
          </cell>
        </row>
        <row r="3566">
          <cell r="A3566">
            <v>8964134</v>
          </cell>
          <cell r="B3566">
            <v>111415</v>
          </cell>
          <cell r="C3566">
            <v>896</v>
          </cell>
          <cell r="D3566" t="str">
            <v>Cheshire West and Chester</v>
          </cell>
          <cell r="E3566">
            <v>4134</v>
          </cell>
          <cell r="F3566" t="str">
            <v>Cathy Dudley</v>
          </cell>
          <cell r="G3566" t="str">
            <v>The County High School Leftwich</v>
          </cell>
          <cell r="H3566" t="str">
            <v>North West</v>
          </cell>
          <cell r="I3566" t="str">
            <v>Granville Road</v>
          </cell>
          <cell r="L3566" t="str">
            <v>Northwich</v>
          </cell>
          <cell r="M3566" t="str">
            <v>Cheshire</v>
          </cell>
          <cell r="N3566" t="str">
            <v>CW9 8EZ</v>
          </cell>
          <cell r="O3566" t="str">
            <v>jbrandreth@leftwichhigh.com</v>
          </cell>
          <cell r="P3566">
            <v>40938</v>
          </cell>
        </row>
        <row r="3567">
          <cell r="A3567">
            <v>9165215</v>
          </cell>
          <cell r="B3567">
            <v>115745</v>
          </cell>
          <cell r="C3567">
            <v>916</v>
          </cell>
          <cell r="D3567" t="str">
            <v>Gloucestershire</v>
          </cell>
          <cell r="E3567">
            <v>5215</v>
          </cell>
          <cell r="F3567" t="str">
            <v>Lilian Da Cunha</v>
          </cell>
          <cell r="G3567" t="str">
            <v>Christ Church CofE Primary School</v>
          </cell>
          <cell r="H3567" t="str">
            <v>South West</v>
          </cell>
          <cell r="I3567" t="str">
            <v>Malvern Road</v>
          </cell>
          <cell r="L3567" t="str">
            <v>Cheltenham</v>
          </cell>
          <cell r="M3567" t="str">
            <v>Gloucestershire</v>
          </cell>
          <cell r="N3567" t="str">
            <v>GL50 2NR</v>
          </cell>
          <cell r="O3567" t="str">
            <v>head@christchurch-chelt.gloucs.sch.uk</v>
          </cell>
          <cell r="P3567">
            <v>41022</v>
          </cell>
        </row>
        <row r="3568">
          <cell r="A3568">
            <v>9312255</v>
          </cell>
          <cell r="B3568">
            <v>123017</v>
          </cell>
          <cell r="C3568">
            <v>931</v>
          </cell>
          <cell r="D3568" t="str">
            <v>Oxfordshire</v>
          </cell>
          <cell r="E3568">
            <v>2255</v>
          </cell>
          <cell r="F3568" t="str">
            <v>Sarah Nairne</v>
          </cell>
          <cell r="G3568" t="str">
            <v>Edith Moorhouse Primary School</v>
          </cell>
          <cell r="H3568" t="str">
            <v>South East</v>
          </cell>
          <cell r="I3568" t="str">
            <v>Lawton Avenue</v>
          </cell>
          <cell r="L3568" t="str">
            <v>Carterton</v>
          </cell>
          <cell r="M3568" t="str">
            <v>Oxfordshire</v>
          </cell>
          <cell r="N3568" t="str">
            <v>OX18 3HP</v>
          </cell>
          <cell r="O3568" t="str">
            <v>head.2255@edith-moorhouse.oxon.sch.uk</v>
          </cell>
        </row>
        <row r="3569">
          <cell r="A3569">
            <v>8154219</v>
          </cell>
          <cell r="B3569">
            <v>121697</v>
          </cell>
          <cell r="C3569">
            <v>815</v>
          </cell>
          <cell r="D3569" t="str">
            <v>North Yorkshire</v>
          </cell>
          <cell r="E3569">
            <v>4219</v>
          </cell>
          <cell r="F3569" t="str">
            <v>Alan Large</v>
          </cell>
          <cell r="G3569" t="str">
            <v>Harrogate High School</v>
          </cell>
          <cell r="H3569" t="str">
            <v>Yorkshire and the Humber</v>
          </cell>
          <cell r="I3569" t="str">
            <v>Ainsty Road</v>
          </cell>
          <cell r="L3569" t="str">
            <v>Harrogate</v>
          </cell>
          <cell r="M3569" t="str">
            <v>North Yorkshire</v>
          </cell>
          <cell r="N3569" t="str">
            <v>HG1 4AP</v>
          </cell>
          <cell r="O3569" t="str">
            <v>abayston@harrogatehigh.co.uk</v>
          </cell>
          <cell r="P3569">
            <v>40554</v>
          </cell>
        </row>
        <row r="3570">
          <cell r="A3570">
            <v>8012040</v>
          </cell>
          <cell r="B3570">
            <v>108933</v>
          </cell>
          <cell r="C3570">
            <v>801</v>
          </cell>
          <cell r="D3570" t="str">
            <v>Bristol City of</v>
          </cell>
          <cell r="E3570">
            <v>2040</v>
          </cell>
          <cell r="F3570" t="str">
            <v>Colin McGuffie</v>
          </cell>
          <cell r="G3570" t="str">
            <v>Henleaze Junior School</v>
          </cell>
          <cell r="H3570" t="str">
            <v>South West</v>
          </cell>
          <cell r="I3570" t="str">
            <v>Park Grove</v>
          </cell>
          <cell r="J3570" t="str">
            <v>Henleaze</v>
          </cell>
          <cell r="L3570" t="str">
            <v>Bristol</v>
          </cell>
          <cell r="N3570" t="str">
            <v>BS9 4LG</v>
          </cell>
          <cell r="O3570" t="str">
            <v>headhenleazej@bristol.gov.uk</v>
          </cell>
          <cell r="P3570">
            <v>40640</v>
          </cell>
        </row>
        <row r="3571">
          <cell r="A3571">
            <v>8797063</v>
          </cell>
          <cell r="B3571">
            <v>113645</v>
          </cell>
          <cell r="C3571">
            <v>879</v>
          </cell>
          <cell r="D3571" t="str">
            <v>Plymouth</v>
          </cell>
          <cell r="E3571">
            <v>7063</v>
          </cell>
          <cell r="F3571" t="str">
            <v>Ed Schuldt</v>
          </cell>
          <cell r="G3571" t="str">
            <v>Downham Special School</v>
          </cell>
          <cell r="H3571" t="str">
            <v>South West</v>
          </cell>
          <cell r="I3571" t="str">
            <v>Horn Lane</v>
          </cell>
          <cell r="J3571" t="str">
            <v>Plymstock</v>
          </cell>
          <cell r="L3571" t="str">
            <v>Plymouth</v>
          </cell>
          <cell r="M3571" t="str">
            <v>Devon</v>
          </cell>
          <cell r="N3571" t="str">
            <v>PL9 9BR</v>
          </cell>
          <cell r="O3571" t="str">
            <v>m.loveman@downham.plymouth.sch.uk</v>
          </cell>
        </row>
        <row r="3572">
          <cell r="A3572">
            <v>8614711</v>
          </cell>
          <cell r="B3572">
            <v>124460</v>
          </cell>
          <cell r="C3572">
            <v>861</v>
          </cell>
          <cell r="D3572" t="str">
            <v>Stoke-on-Trent</v>
          </cell>
          <cell r="E3572">
            <v>4711</v>
          </cell>
          <cell r="F3572" t="str">
            <v>Frances Blow</v>
          </cell>
          <cell r="G3572" t="str">
            <v>St Margaret Ward Catholic School and Arts College</v>
          </cell>
          <cell r="H3572" t="str">
            <v>West Midlands</v>
          </cell>
          <cell r="I3572" t="str">
            <v>Little Chell Lane</v>
          </cell>
          <cell r="J3572" t="str">
            <v>Tunstall</v>
          </cell>
          <cell r="L3572" t="str">
            <v>Stoke-on-Trent</v>
          </cell>
          <cell r="M3572" t="str">
            <v>Staffordshire</v>
          </cell>
          <cell r="N3572" t="str">
            <v>ST6 6LZ</v>
          </cell>
          <cell r="O3572" t="str">
            <v>csmith1@sgfl.org.uk</v>
          </cell>
          <cell r="P3572">
            <v>41201</v>
          </cell>
        </row>
        <row r="3573">
          <cell r="A3573">
            <v>8602316</v>
          </cell>
          <cell r="B3573">
            <v>124142</v>
          </cell>
          <cell r="C3573">
            <v>860</v>
          </cell>
          <cell r="D3573" t="str">
            <v>Staffordshire</v>
          </cell>
          <cell r="E3573">
            <v>2316</v>
          </cell>
          <cell r="F3573" t="str">
            <v>Stephen Bagnall</v>
          </cell>
          <cell r="G3573" t="str">
            <v>Picknalls First School</v>
          </cell>
          <cell r="H3573" t="str">
            <v>West Midlands</v>
          </cell>
          <cell r="I3573" t="str">
            <v>Oldfields Road</v>
          </cell>
          <cell r="L3573" t="str">
            <v>Uttoxeter</v>
          </cell>
          <cell r="M3573" t="str">
            <v>Staffordshire</v>
          </cell>
          <cell r="N3573" t="str">
            <v>ST14 7QL</v>
          </cell>
          <cell r="O3573" t="str">
            <v>headteacher@picknalls.staffs.sch.uk</v>
          </cell>
        </row>
        <row r="3574">
          <cell r="A3574">
            <v>2027205</v>
          </cell>
          <cell r="B3574">
            <v>100096</v>
          </cell>
          <cell r="C3574">
            <v>202</v>
          </cell>
          <cell r="D3574" t="str">
            <v>Camden</v>
          </cell>
          <cell r="E3574">
            <v>7205</v>
          </cell>
          <cell r="F3574" t="str">
            <v>Martin Rowley</v>
          </cell>
          <cell r="G3574" t="str">
            <v>Swiss Cottage Specialist SEN School</v>
          </cell>
          <cell r="H3574" t="str">
            <v>London</v>
          </cell>
          <cell r="I3574" t="str">
            <v>Avenue Road</v>
          </cell>
          <cell r="L3574" t="str">
            <v>London</v>
          </cell>
          <cell r="N3574" t="str">
            <v>NW8 6HX</v>
          </cell>
          <cell r="O3574" t="str">
            <v>head@swisscottage.camden.sch.uk</v>
          </cell>
        </row>
        <row r="3575">
          <cell r="A3575">
            <v>9282156</v>
          </cell>
          <cell r="B3575">
            <v>121910</v>
          </cell>
          <cell r="C3575">
            <v>928</v>
          </cell>
          <cell r="D3575" t="str">
            <v>Northamptonshire</v>
          </cell>
          <cell r="E3575">
            <v>2156</v>
          </cell>
          <cell r="F3575" t="str">
            <v>Sue Harp</v>
          </cell>
          <cell r="G3575" t="str">
            <v>Loatlands Primary School</v>
          </cell>
          <cell r="H3575" t="str">
            <v>East Midlands</v>
          </cell>
          <cell r="I3575" t="str">
            <v>Harrington Road</v>
          </cell>
          <cell r="J3575" t="str">
            <v>Desborough</v>
          </cell>
          <cell r="L3575" t="str">
            <v>Kettering</v>
          </cell>
          <cell r="M3575" t="str">
            <v>Northamptonshire</v>
          </cell>
          <cell r="N3575" t="str">
            <v>NN14 2NJ</v>
          </cell>
          <cell r="O3575" t="str">
            <v>head@loatlands.northants-ecl.gov.uk</v>
          </cell>
        </row>
        <row r="3576">
          <cell r="A3576">
            <v>8813422</v>
          </cell>
          <cell r="B3576">
            <v>115154</v>
          </cell>
          <cell r="C3576">
            <v>881</v>
          </cell>
          <cell r="D3576" t="str">
            <v>Essex</v>
          </cell>
          <cell r="E3576">
            <v>3422</v>
          </cell>
          <cell r="F3576" t="str">
            <v>Claire Ivie</v>
          </cell>
          <cell r="G3576" t="str">
            <v>Ingrave Johnstone Church of England Voluntary Aided Primary School</v>
          </cell>
          <cell r="H3576" t="str">
            <v>East of England</v>
          </cell>
          <cell r="I3576" t="str">
            <v>Brentwood Road</v>
          </cell>
          <cell r="J3576" t="str">
            <v>Ingrave</v>
          </cell>
          <cell r="L3576" t="str">
            <v>Brentwood</v>
          </cell>
          <cell r="M3576" t="str">
            <v>Essex</v>
          </cell>
          <cell r="N3576" t="str">
            <v>CM13 3NU</v>
          </cell>
          <cell r="O3576" t="str">
            <v>headteacher@ingravejohnstone.essex.sch.uk</v>
          </cell>
        </row>
        <row r="3577">
          <cell r="A3577">
            <v>9094056</v>
          </cell>
          <cell r="B3577">
            <v>112379</v>
          </cell>
          <cell r="C3577">
            <v>909</v>
          </cell>
          <cell r="D3577" t="str">
            <v>Cumbria</v>
          </cell>
          <cell r="E3577">
            <v>4056</v>
          </cell>
          <cell r="F3577" t="str">
            <v>Linda Tiley</v>
          </cell>
          <cell r="G3577" t="str">
            <v>The Lakes School</v>
          </cell>
          <cell r="H3577" t="str">
            <v>North West</v>
          </cell>
          <cell r="I3577" t="str">
            <v>Troutbeck Bridge</v>
          </cell>
          <cell r="L3577" t="str">
            <v>Windermere</v>
          </cell>
          <cell r="M3577" t="str">
            <v>Cumbria</v>
          </cell>
          <cell r="N3577" t="str">
            <v>LA23 1HW</v>
          </cell>
          <cell r="O3577" t="str">
            <v>admin@lakes.cumbria.sch.uk</v>
          </cell>
          <cell r="P3577">
            <v>40865</v>
          </cell>
        </row>
        <row r="3578">
          <cell r="A3578">
            <v>8913765</v>
          </cell>
          <cell r="B3578">
            <v>122817</v>
          </cell>
          <cell r="C3578">
            <v>891</v>
          </cell>
          <cell r="D3578" t="str">
            <v>Nottinghamshire</v>
          </cell>
          <cell r="E3578">
            <v>3765</v>
          </cell>
          <cell r="F3578" t="str">
            <v>Helen Whetter</v>
          </cell>
          <cell r="G3578" t="str">
            <v>St Edmund Campion Catholic Primary School</v>
          </cell>
          <cell r="H3578" t="str">
            <v>East Midlands</v>
          </cell>
          <cell r="I3578" t="str">
            <v>Tewkesbury Close</v>
          </cell>
          <cell r="J3578" t="str">
            <v>Burleigh Road</v>
          </cell>
          <cell r="K3578" t="str">
            <v>West Bridgford</v>
          </cell>
          <cell r="L3578" t="str">
            <v>Nottingham</v>
          </cell>
          <cell r="M3578" t="str">
            <v>Nottinghamshire</v>
          </cell>
          <cell r="N3578" t="str">
            <v>NG2 5ND</v>
          </cell>
          <cell r="O3578" t="str">
            <v>head@st-edmundcampion.notts.sch.uk</v>
          </cell>
          <cell r="P3578">
            <v>40702</v>
          </cell>
        </row>
        <row r="3579">
          <cell r="A3579">
            <v>9385200</v>
          </cell>
          <cell r="B3579">
            <v>126103</v>
          </cell>
          <cell r="C3579">
            <v>938</v>
          </cell>
          <cell r="D3579" t="str">
            <v>West Sussex</v>
          </cell>
          <cell r="E3579">
            <v>5200</v>
          </cell>
          <cell r="F3579" t="str">
            <v>Sarah Mitchell</v>
          </cell>
          <cell r="G3579" t="str">
            <v>Greenway School</v>
          </cell>
          <cell r="H3579" t="str">
            <v>South East</v>
          </cell>
          <cell r="I3579" t="str">
            <v>Greenway</v>
          </cell>
          <cell r="L3579" t="str">
            <v>Horsham</v>
          </cell>
          <cell r="M3579" t="str">
            <v>West Sussex</v>
          </cell>
          <cell r="N3579" t="str">
            <v>RH12 2JS</v>
          </cell>
          <cell r="O3579" t="str">
            <v>grwaykat@aol.com</v>
          </cell>
          <cell r="P3579">
            <v>40982</v>
          </cell>
        </row>
        <row r="3580">
          <cell r="A3580">
            <v>8114058</v>
          </cell>
          <cell r="B3580">
            <v>118079</v>
          </cell>
          <cell r="C3580">
            <v>811</v>
          </cell>
          <cell r="D3580" t="str">
            <v>East Riding of Yorkshire</v>
          </cell>
          <cell r="E3580">
            <v>4058</v>
          </cell>
          <cell r="F3580" t="str">
            <v>Glyn Newton</v>
          </cell>
          <cell r="G3580" t="str">
            <v>Cottingham High School</v>
          </cell>
          <cell r="H3580" t="str">
            <v>Yorkshire and the Humber</v>
          </cell>
          <cell r="I3580" t="str">
            <v>Harland Way</v>
          </cell>
          <cell r="L3580" t="str">
            <v>Cottingham</v>
          </cell>
          <cell r="N3580" t="str">
            <v>HU16 5PX</v>
          </cell>
          <cell r="O3580" t="str">
            <v>logan.e@cottinghamhigh.net</v>
          </cell>
          <cell r="P3580">
            <v>40553</v>
          </cell>
        </row>
        <row r="3581">
          <cell r="A3581">
            <v>3914715</v>
          </cell>
          <cell r="B3581">
            <v>108535</v>
          </cell>
          <cell r="C3581">
            <v>391</v>
          </cell>
          <cell r="D3581" t="str">
            <v>Newcastle upon Tyne</v>
          </cell>
          <cell r="E3581">
            <v>4715</v>
          </cell>
          <cell r="F3581" t="str">
            <v>Lisa Sargeant</v>
          </cell>
          <cell r="G3581" t="str">
            <v>St Cuthbert's High School</v>
          </cell>
          <cell r="H3581" t="str">
            <v>North East</v>
          </cell>
          <cell r="I3581" t="str">
            <v>Gretna Road</v>
          </cell>
          <cell r="L3581" t="str">
            <v>Newcastle-upon-Tyne</v>
          </cell>
          <cell r="M3581" t="str">
            <v>Tyne and Wear</v>
          </cell>
          <cell r="N3581" t="str">
            <v>NE15 7PX</v>
          </cell>
          <cell r="O3581" t="str">
            <v>gerard.murphy@st-cuthbertshigh.newcastle.sch.uk</v>
          </cell>
          <cell r="P3581">
            <v>40819</v>
          </cell>
        </row>
        <row r="3582">
          <cell r="A3582">
            <v>8522435</v>
          </cell>
          <cell r="B3582">
            <v>116113</v>
          </cell>
          <cell r="C3582">
            <v>852</v>
          </cell>
          <cell r="D3582" t="str">
            <v>Southampton</v>
          </cell>
          <cell r="E3582">
            <v>2435</v>
          </cell>
          <cell r="F3582" t="str">
            <v>Lindsay Morris</v>
          </cell>
          <cell r="G3582" t="str">
            <v>Tanners Brook Junior School</v>
          </cell>
          <cell r="H3582" t="str">
            <v>South East</v>
          </cell>
          <cell r="I3582" t="str">
            <v>Elmes Drive</v>
          </cell>
          <cell r="J3582" t="str">
            <v>Millbrook</v>
          </cell>
          <cell r="L3582" t="str">
            <v>Southampton</v>
          </cell>
          <cell r="M3582" t="str">
            <v>Hampshire</v>
          </cell>
          <cell r="N3582" t="str">
            <v>SO15 4PF</v>
          </cell>
          <cell r="O3582" t="str">
            <v>head@tannersbrook.net</v>
          </cell>
        </row>
        <row r="3583">
          <cell r="A3583">
            <v>2034717</v>
          </cell>
          <cell r="B3583">
            <v>133313</v>
          </cell>
          <cell r="C3583">
            <v>203</v>
          </cell>
          <cell r="D3583" t="str">
            <v>Greenwich</v>
          </cell>
          <cell r="E3583">
            <v>4717</v>
          </cell>
          <cell r="F3583" t="str">
            <v>Tahir Shams</v>
          </cell>
          <cell r="G3583" t="str">
            <v>Shooters Hill Post-16 Campus</v>
          </cell>
          <cell r="H3583" t="str">
            <v>London</v>
          </cell>
          <cell r="I3583" t="str">
            <v>Red Lion Lane</v>
          </cell>
          <cell r="K3583" t="str">
            <v>Shooters Hill</v>
          </cell>
          <cell r="L3583" t="str">
            <v>London</v>
          </cell>
          <cell r="N3583" t="str">
            <v>SE18 4LD</v>
          </cell>
          <cell r="O3583" t="str">
            <v>stephen.greenman@shootershill.ac.uk</v>
          </cell>
          <cell r="P3583">
            <v>41025</v>
          </cell>
        </row>
        <row r="3584">
          <cell r="A3584">
            <v>8865435</v>
          </cell>
          <cell r="B3584">
            <v>118907</v>
          </cell>
          <cell r="C3584">
            <v>886</v>
          </cell>
          <cell r="D3584" t="str">
            <v>Kent</v>
          </cell>
          <cell r="E3584">
            <v>5435</v>
          </cell>
          <cell r="F3584" t="str">
            <v>Tony Dunne</v>
          </cell>
          <cell r="G3584" t="str">
            <v>St Gregory's Catholic Comprehensive School</v>
          </cell>
          <cell r="H3584" t="str">
            <v>South East</v>
          </cell>
          <cell r="I3584" t="str">
            <v>Reynolds Lane</v>
          </cell>
          <cell r="L3584" t="str">
            <v>Tunbridge Wells</v>
          </cell>
          <cell r="M3584" t="str">
            <v>Kent</v>
          </cell>
          <cell r="N3584" t="str">
            <v>TN4 9XL</v>
          </cell>
          <cell r="O3584" t="str">
            <v>sadamson@sgschool.org.uk</v>
          </cell>
          <cell r="P3584">
            <v>41194</v>
          </cell>
        </row>
        <row r="3585">
          <cell r="A3585">
            <v>9093100</v>
          </cell>
          <cell r="B3585">
            <v>112270</v>
          </cell>
          <cell r="C3585">
            <v>909</v>
          </cell>
          <cell r="D3585" t="str">
            <v>Cumbria</v>
          </cell>
          <cell r="E3585">
            <v>3100</v>
          </cell>
          <cell r="G3585" t="str">
            <v>Bridekirk Dovenby CofE Primary School</v>
          </cell>
          <cell r="H3585" t="str">
            <v>North West</v>
          </cell>
          <cell r="I3585" t="str">
            <v>Dovenby</v>
          </cell>
          <cell r="L3585" t="str">
            <v>Cockermouth</v>
          </cell>
          <cell r="M3585" t="str">
            <v>Cumbria</v>
          </cell>
          <cell r="N3585" t="str">
            <v>CA13 0PG</v>
          </cell>
          <cell r="O3585" t="str">
            <v>admin@bridekirkdovenby.cumbria.sch.uk</v>
          </cell>
        </row>
        <row r="3586">
          <cell r="A3586">
            <v>8613405</v>
          </cell>
          <cell r="B3586">
            <v>124317</v>
          </cell>
          <cell r="C3586">
            <v>861</v>
          </cell>
          <cell r="D3586" t="str">
            <v>Stoke-on-Trent</v>
          </cell>
          <cell r="E3586">
            <v>3405</v>
          </cell>
          <cell r="F3586" t="str">
            <v>Frances Blow</v>
          </cell>
          <cell r="G3586" t="str">
            <v>Our Lady and St Benedict Catholic Primary School</v>
          </cell>
          <cell r="H3586" t="str">
            <v>West Midlands</v>
          </cell>
          <cell r="I3586" t="str">
            <v>Abbey Lane</v>
          </cell>
          <cell r="J3586" t="str">
            <v>Abbey Hulton</v>
          </cell>
          <cell r="L3586" t="str">
            <v>Stoke-on-Trent</v>
          </cell>
          <cell r="M3586" t="str">
            <v>Staffordshire</v>
          </cell>
          <cell r="N3586" t="str">
            <v>ST2 8AU</v>
          </cell>
          <cell r="O3586" t="str">
            <v>dsims@olsbprimary.org.uk</v>
          </cell>
          <cell r="P3586">
            <v>41203</v>
          </cell>
        </row>
        <row r="3587">
          <cell r="A3587">
            <v>9384010</v>
          </cell>
          <cell r="B3587">
            <v>126066</v>
          </cell>
          <cell r="C3587">
            <v>938</v>
          </cell>
          <cell r="D3587" t="str">
            <v>West Sussex</v>
          </cell>
          <cell r="E3587">
            <v>4010</v>
          </cell>
          <cell r="F3587" t="str">
            <v>Sarah Mitchell</v>
          </cell>
          <cell r="G3587" t="str">
            <v>Millais School</v>
          </cell>
          <cell r="H3587" t="str">
            <v>South East</v>
          </cell>
          <cell r="I3587" t="str">
            <v>Depot Road</v>
          </cell>
          <cell r="L3587" t="str">
            <v>Horsham</v>
          </cell>
          <cell r="M3587" t="str">
            <v>West Sussex</v>
          </cell>
          <cell r="N3587" t="str">
            <v>RH13 5HR</v>
          </cell>
          <cell r="O3587" t="str">
            <v>head@millais.w-sussex.sch.uk</v>
          </cell>
        </row>
        <row r="3588">
          <cell r="A3588">
            <v>8404693</v>
          </cell>
          <cell r="B3588">
            <v>114327</v>
          </cell>
          <cell r="C3588">
            <v>840</v>
          </cell>
          <cell r="D3588" t="str">
            <v>Durham</v>
          </cell>
          <cell r="E3588">
            <v>4693</v>
          </cell>
          <cell r="F3588" t="str">
            <v>Carol Ions</v>
          </cell>
          <cell r="G3588" t="str">
            <v>St Bede's Catholic Comprehensive School and Byron College</v>
          </cell>
          <cell r="H3588" t="str">
            <v>North East</v>
          </cell>
          <cell r="I3588" t="str">
            <v>Westway</v>
          </cell>
          <cell r="L3588" t="str">
            <v>Peterlee</v>
          </cell>
          <cell r="M3588" t="str">
            <v>County Durham</v>
          </cell>
          <cell r="N3588" t="str">
            <v>SR8 1DE</v>
          </cell>
        </row>
        <row r="3589">
          <cell r="A3589">
            <v>3112080</v>
          </cell>
          <cell r="B3589">
            <v>102316</v>
          </cell>
          <cell r="C3589">
            <v>311</v>
          </cell>
          <cell r="D3589" t="str">
            <v>Havering</v>
          </cell>
          <cell r="E3589">
            <v>2080</v>
          </cell>
          <cell r="F3589" t="str">
            <v>Helen Fisher</v>
          </cell>
          <cell r="G3589" t="str">
            <v>Scotts Primary School</v>
          </cell>
          <cell r="H3589" t="str">
            <v>London</v>
          </cell>
          <cell r="I3589" t="str">
            <v>Bonington Road</v>
          </cell>
          <cell r="L3589" t="str">
            <v>Hornchurch</v>
          </cell>
          <cell r="M3589" t="str">
            <v>Essex</v>
          </cell>
          <cell r="N3589" t="str">
            <v>RM12 6TH</v>
          </cell>
          <cell r="O3589" t="str">
            <v>head@scotts.havering.sch.uk</v>
          </cell>
        </row>
        <row r="3590">
          <cell r="A3590">
            <v>9265412</v>
          </cell>
          <cell r="B3590">
            <v>121220</v>
          </cell>
          <cell r="C3590">
            <v>926</v>
          </cell>
          <cell r="D3590" t="str">
            <v>Norfolk</v>
          </cell>
          <cell r="E3590">
            <v>5412</v>
          </cell>
          <cell r="F3590" t="str">
            <v>June Laughton</v>
          </cell>
          <cell r="G3590" t="str">
            <v>Caister High School</v>
          </cell>
          <cell r="H3590" t="str">
            <v>East of England</v>
          </cell>
          <cell r="I3590" t="str">
            <v>Windsor Road</v>
          </cell>
          <cell r="J3590" t="str">
            <v>Caister-on-Sea</v>
          </cell>
          <cell r="L3590" t="str">
            <v>Great Yarmouth</v>
          </cell>
          <cell r="M3590" t="str">
            <v>Norfolk</v>
          </cell>
          <cell r="N3590" t="str">
            <v>NR30 5LS</v>
          </cell>
          <cell r="O3590" t="str">
            <v>head@caisterhigh.norfolk.sch.uk</v>
          </cell>
          <cell r="P3590">
            <v>40935</v>
          </cell>
        </row>
        <row r="3591">
          <cell r="A3591">
            <v>8452152</v>
          </cell>
          <cell r="B3591">
            <v>114474</v>
          </cell>
          <cell r="C3591">
            <v>845</v>
          </cell>
          <cell r="D3591" t="str">
            <v>East Sussex</v>
          </cell>
          <cell r="E3591">
            <v>2152</v>
          </cell>
          <cell r="F3591" t="str">
            <v>Sarah Mitchell</v>
          </cell>
          <cell r="G3591" t="str">
            <v>Castledown Community Primary and Nursery School</v>
          </cell>
          <cell r="H3591" t="str">
            <v>South East</v>
          </cell>
          <cell r="I3591" t="str">
            <v>Priory Road</v>
          </cell>
          <cell r="L3591" t="str">
            <v>Hastings</v>
          </cell>
          <cell r="M3591" t="str">
            <v>East Sussex</v>
          </cell>
          <cell r="N3591" t="str">
            <v>TN34 3QT</v>
          </cell>
          <cell r="O3591" t="str">
            <v>head@castledown.e-sussex.sch.uk</v>
          </cell>
        </row>
        <row r="3592">
          <cell r="A3592">
            <v>9083301</v>
          </cell>
          <cell r="B3592">
            <v>111997</v>
          </cell>
          <cell r="C3592">
            <v>908</v>
          </cell>
          <cell r="D3592" t="str">
            <v>Cornwall</v>
          </cell>
          <cell r="E3592">
            <v>3301</v>
          </cell>
          <cell r="F3592" t="str">
            <v>Kate Bosher</v>
          </cell>
          <cell r="G3592" t="str">
            <v>St Uny CofE School</v>
          </cell>
          <cell r="H3592" t="str">
            <v>South West</v>
          </cell>
          <cell r="I3592" t="str">
            <v>Polmenor Drive</v>
          </cell>
          <cell r="J3592" t="str">
            <v>Carbis Bay</v>
          </cell>
          <cell r="L3592" t="str">
            <v>St Ives</v>
          </cell>
          <cell r="M3592" t="str">
            <v>Cornwall</v>
          </cell>
          <cell r="N3592" t="str">
            <v>TR26 2SQ</v>
          </cell>
          <cell r="O3592" t="str">
            <v>head@st-uny.cornwall.sch.uk</v>
          </cell>
        </row>
        <row r="3593">
          <cell r="A3593">
            <v>8812971</v>
          </cell>
          <cell r="B3593">
            <v>115050</v>
          </cell>
          <cell r="C3593">
            <v>881</v>
          </cell>
          <cell r="D3593" t="str">
            <v>Essex</v>
          </cell>
          <cell r="E3593">
            <v>2971</v>
          </cell>
          <cell r="F3593" t="str">
            <v>Beverley Samuel</v>
          </cell>
          <cell r="G3593" t="str">
            <v>Kents Hill Infant School</v>
          </cell>
          <cell r="H3593" t="str">
            <v>East of England</v>
          </cell>
          <cell r="I3593" t="str">
            <v>Kents Hill Road</v>
          </cell>
          <cell r="L3593" t="str">
            <v>Benfleet</v>
          </cell>
          <cell r="M3593" t="str">
            <v>Essex</v>
          </cell>
          <cell r="N3593" t="str">
            <v>SS7 5PS</v>
          </cell>
          <cell r="O3593" t="str">
            <v>head@kentshill-inf.essex.sch.uk</v>
          </cell>
          <cell r="P3593">
            <v>40612</v>
          </cell>
        </row>
        <row r="3594">
          <cell r="A3594">
            <v>8657015</v>
          </cell>
          <cell r="B3594">
            <v>126557</v>
          </cell>
          <cell r="C3594">
            <v>865</v>
          </cell>
          <cell r="D3594" t="str">
            <v>Wiltshire</v>
          </cell>
          <cell r="E3594">
            <v>7015</v>
          </cell>
          <cell r="F3594" t="str">
            <v>Irene Nambi</v>
          </cell>
          <cell r="G3594" t="str">
            <v>Springfields School</v>
          </cell>
          <cell r="H3594" t="str">
            <v>South West</v>
          </cell>
          <cell r="I3594" t="str">
            <v>Curzon Street</v>
          </cell>
          <cell r="L3594" t="str">
            <v>Calne</v>
          </cell>
          <cell r="M3594" t="str">
            <v>Wiltshire</v>
          </cell>
          <cell r="N3594" t="str">
            <v>SN11 0DS</v>
          </cell>
          <cell r="O3594" t="str">
            <v>head@springfields.wilts.sch.uk</v>
          </cell>
          <cell r="P3594">
            <v>40394</v>
          </cell>
        </row>
        <row r="3595">
          <cell r="A3595">
            <v>9384044</v>
          </cell>
          <cell r="B3595">
            <v>126075</v>
          </cell>
          <cell r="C3595">
            <v>938</v>
          </cell>
          <cell r="D3595" t="str">
            <v>West Sussex</v>
          </cell>
          <cell r="E3595">
            <v>4044</v>
          </cell>
          <cell r="F3595" t="str">
            <v>Kevin Hall</v>
          </cell>
          <cell r="G3595" t="str">
            <v>Thomas Bennett Community College</v>
          </cell>
          <cell r="H3595" t="str">
            <v>South East</v>
          </cell>
          <cell r="I3595" t="str">
            <v>Ashdown Drive</v>
          </cell>
          <cell r="J3595" t="str">
            <v>Tilgate</v>
          </cell>
          <cell r="L3595" t="str">
            <v>Crawley</v>
          </cell>
          <cell r="M3595" t="str">
            <v>West Sussex</v>
          </cell>
          <cell r="N3595" t="str">
            <v>RH10 5AD</v>
          </cell>
          <cell r="O3595" t="str">
            <v>ymaskatiya@wsgfl.org.uk</v>
          </cell>
          <cell r="P3595">
            <v>40823</v>
          </cell>
        </row>
        <row r="3596">
          <cell r="A3596">
            <v>8863904</v>
          </cell>
          <cell r="B3596">
            <v>133177</v>
          </cell>
          <cell r="C3596">
            <v>886</v>
          </cell>
          <cell r="D3596" t="str">
            <v>Kent</v>
          </cell>
          <cell r="E3596">
            <v>3904</v>
          </cell>
          <cell r="F3596" t="str">
            <v>Tony Dunne</v>
          </cell>
          <cell r="G3596" t="str">
            <v>Castle Hill Community Primary School</v>
          </cell>
          <cell r="H3596" t="str">
            <v>South East</v>
          </cell>
          <cell r="I3596" t="str">
            <v>Sidney Street</v>
          </cell>
          <cell r="L3596" t="str">
            <v>Folkestone</v>
          </cell>
          <cell r="M3596" t="str">
            <v>Kent</v>
          </cell>
          <cell r="N3596" t="str">
            <v>CT19 6HG</v>
          </cell>
          <cell r="O3596" t="str">
            <v>headteacher@castlehill.kent.sch.uk</v>
          </cell>
        </row>
        <row r="3597">
          <cell r="A3597">
            <v>3053301</v>
          </cell>
          <cell r="B3597">
            <v>101649</v>
          </cell>
          <cell r="C3597">
            <v>305</v>
          </cell>
          <cell r="D3597" t="str">
            <v>Bromley</v>
          </cell>
          <cell r="E3597">
            <v>3301</v>
          </cell>
          <cell r="F3597" t="str">
            <v>Sheila Longstaff</v>
          </cell>
          <cell r="G3597" t="str">
            <v>Chislehurst (St Nicholas) Church of England Voluntary Aided Primary School</v>
          </cell>
          <cell r="H3597" t="str">
            <v>London</v>
          </cell>
          <cell r="I3597" t="str">
            <v>School Road</v>
          </cell>
          <cell r="J3597" t="str">
            <v>The Common</v>
          </cell>
          <cell r="L3597" t="str">
            <v>Chislehurst</v>
          </cell>
          <cell r="M3597" t="str">
            <v>Kent</v>
          </cell>
          <cell r="N3597" t="str">
            <v>BR7 5PQ</v>
          </cell>
          <cell r="O3597" t="str">
            <v>john.paddington@chislehurst-cofe.bromley.sch.uk</v>
          </cell>
        </row>
        <row r="3598">
          <cell r="A3598">
            <v>3404611</v>
          </cell>
          <cell r="B3598">
            <v>135475</v>
          </cell>
          <cell r="C3598">
            <v>340</v>
          </cell>
          <cell r="D3598" t="str">
            <v>Knowsley</v>
          </cell>
          <cell r="E3598">
            <v>4611</v>
          </cell>
          <cell r="F3598" t="str">
            <v>Maria Sabberton</v>
          </cell>
          <cell r="G3598" t="str">
            <v>Halewood Centre for Learning (Community)</v>
          </cell>
          <cell r="H3598" t="str">
            <v>North West</v>
          </cell>
          <cell r="I3598" t="str">
            <v>The Avenue</v>
          </cell>
          <cell r="J3598" t="str">
            <v>Wood Road</v>
          </cell>
          <cell r="K3598" t="str">
            <v>Halewood</v>
          </cell>
          <cell r="L3598" t="str">
            <v>Knowsley</v>
          </cell>
          <cell r="M3598" t="str">
            <v>Merseyside</v>
          </cell>
          <cell r="N3598" t="str">
            <v>L26 1UU</v>
          </cell>
          <cell r="O3598" t="str">
            <v>abehan@klear.org.uk</v>
          </cell>
          <cell r="P3598">
            <v>40799</v>
          </cell>
        </row>
        <row r="3599">
          <cell r="A3599">
            <v>9331103</v>
          </cell>
          <cell r="B3599">
            <v>132100</v>
          </cell>
          <cell r="C3599">
            <v>933</v>
          </cell>
          <cell r="D3599" t="str">
            <v>Somerset</v>
          </cell>
          <cell r="E3599">
            <v>1103</v>
          </cell>
          <cell r="F3599" t="str">
            <v>Tahir Shams</v>
          </cell>
          <cell r="G3599" t="str">
            <v>Taunton Centre</v>
          </cell>
          <cell r="H3599" t="str">
            <v>South West</v>
          </cell>
          <cell r="I3599" t="str">
            <v>Co Somerset College, Wellington Road</v>
          </cell>
          <cell r="L3599" t="str">
            <v>Taunton</v>
          </cell>
          <cell r="M3599" t="str">
            <v>Somerset</v>
          </cell>
          <cell r="N3599" t="str">
            <v>TA1 5AX</v>
          </cell>
          <cell r="O3599" t="str">
            <v xml:space="preserve"> jcastle2@educ.somerset.gov.uk</v>
          </cell>
        </row>
        <row r="3600">
          <cell r="A3600">
            <v>3844016</v>
          </cell>
          <cell r="B3600">
            <v>108274</v>
          </cell>
          <cell r="C3600">
            <v>384</v>
          </cell>
          <cell r="D3600" t="str">
            <v>Wakefield</v>
          </cell>
          <cell r="E3600">
            <v>4016</v>
          </cell>
          <cell r="F3600" t="str">
            <v>Lisa Sargeant</v>
          </cell>
          <cell r="G3600" t="str">
            <v>Hemsworth Arts and Community College</v>
          </cell>
          <cell r="H3600" t="str">
            <v>Yorkshire and the Humber</v>
          </cell>
          <cell r="I3600" t="str">
            <v>Station Road</v>
          </cell>
          <cell r="J3600" t="str">
            <v>Hemsworth</v>
          </cell>
          <cell r="L3600" t="str">
            <v>Pontefract</v>
          </cell>
          <cell r="M3600" t="str">
            <v>West Yorkshire</v>
          </cell>
          <cell r="N3600" t="str">
            <v>WF9 4HW</v>
          </cell>
          <cell r="O3600" t="str">
            <v>reception@hemsworth.wakefield.sch.uk</v>
          </cell>
        </row>
        <row r="3601">
          <cell r="A3601">
            <v>8233013</v>
          </cell>
          <cell r="B3601">
            <v>109605</v>
          </cell>
          <cell r="C3601">
            <v>823</v>
          </cell>
          <cell r="D3601" t="str">
            <v>Central Bedfordshire</v>
          </cell>
          <cell r="E3601">
            <v>3013</v>
          </cell>
          <cell r="F3601" t="str">
            <v>Michael Cook</v>
          </cell>
          <cell r="G3601" t="str">
            <v>Silsoe CofE VC Lower School</v>
          </cell>
          <cell r="H3601" t="str">
            <v>East of England</v>
          </cell>
          <cell r="I3601" t="str">
            <v>High Street</v>
          </cell>
          <cell r="J3601" t="str">
            <v>Silsoe</v>
          </cell>
          <cell r="L3601" t="str">
            <v>Bedford</v>
          </cell>
          <cell r="M3601" t="str">
            <v>Bedfordshire</v>
          </cell>
          <cell r="N3601" t="str">
            <v>MK45 4ES</v>
          </cell>
          <cell r="O3601" t="str">
            <v>silsoe@deal.bedfordshire.gov.uk</v>
          </cell>
        </row>
        <row r="3602">
          <cell r="A3602">
            <v>8222178</v>
          </cell>
          <cell r="B3602">
            <v>109510</v>
          </cell>
          <cell r="C3602">
            <v>822</v>
          </cell>
          <cell r="D3602" t="str">
            <v>Bedford</v>
          </cell>
          <cell r="E3602">
            <v>2178</v>
          </cell>
          <cell r="F3602" t="str">
            <v>Pam Osborne</v>
          </cell>
          <cell r="G3602" t="str">
            <v>The Hills Lower School</v>
          </cell>
          <cell r="H3602" t="str">
            <v>East of England</v>
          </cell>
          <cell r="I3602" t="str">
            <v>Stancliffe Road</v>
          </cell>
          <cell r="L3602" t="str">
            <v>Bedford</v>
          </cell>
          <cell r="M3602" t="str">
            <v>Bedfordshire</v>
          </cell>
          <cell r="N3602" t="str">
            <v>MK41 9AT</v>
          </cell>
          <cell r="O3602" t="str">
            <v>mwhitehead@thehills.beds.sch.uk</v>
          </cell>
          <cell r="P3602">
            <v>41193</v>
          </cell>
        </row>
        <row r="3603">
          <cell r="A3603">
            <v>8653453</v>
          </cell>
          <cell r="B3603">
            <v>126438</v>
          </cell>
          <cell r="C3603">
            <v>865</v>
          </cell>
          <cell r="D3603" t="str">
            <v>Wiltshire</v>
          </cell>
          <cell r="E3603">
            <v>3453</v>
          </cell>
          <cell r="F3603" t="str">
            <v>Not yet assigned</v>
          </cell>
          <cell r="G3603" t="str">
            <v>Chilmark and Fonthill Bishop Church of England Aided Primary School</v>
          </cell>
          <cell r="H3603" t="str">
            <v>South West</v>
          </cell>
          <cell r="I3603" t="str">
            <v>The Street</v>
          </cell>
          <cell r="J3603" t="str">
            <v>Chilmark</v>
          </cell>
          <cell r="L3603" t="str">
            <v>Salisbury</v>
          </cell>
          <cell r="M3603" t="str">
            <v>Wiltshire</v>
          </cell>
          <cell r="N3603" t="str">
            <v>SP3 5AR</v>
          </cell>
          <cell r="O3603" t="str">
            <v>head@chilmarkfonthillbishop.wilts.sch.uk</v>
          </cell>
        </row>
        <row r="3604">
          <cell r="A3604">
            <v>8813028</v>
          </cell>
          <cell r="B3604">
            <v>115082</v>
          </cell>
          <cell r="C3604">
            <v>881</v>
          </cell>
          <cell r="D3604" t="str">
            <v>Essex</v>
          </cell>
          <cell r="E3604">
            <v>3028</v>
          </cell>
          <cell r="F3604" t="str">
            <v>Claire Ivie</v>
          </cell>
          <cell r="G3604" t="str">
            <v>St Luke's Church of England Controlled Primary School</v>
          </cell>
          <cell r="H3604" t="str">
            <v>East of England</v>
          </cell>
          <cell r="I3604" t="str">
            <v>Church Road</v>
          </cell>
          <cell r="J3604" t="str">
            <v>Tiptree</v>
          </cell>
          <cell r="L3604" t="str">
            <v>Colchester</v>
          </cell>
          <cell r="M3604" t="str">
            <v>Essex</v>
          </cell>
          <cell r="N3604" t="str">
            <v>CO5 0SU</v>
          </cell>
          <cell r="O3604" t="str">
            <v>wendy.enguell@stlukeschurch-cp.essex.sch.uk</v>
          </cell>
        </row>
        <row r="3605">
          <cell r="A3605">
            <v>8817036</v>
          </cell>
          <cell r="B3605">
            <v>115457</v>
          </cell>
          <cell r="C3605">
            <v>881</v>
          </cell>
          <cell r="D3605" t="str">
            <v>Essex</v>
          </cell>
          <cell r="E3605">
            <v>7036</v>
          </cell>
          <cell r="F3605" t="str">
            <v>Joe Farrell</v>
          </cell>
          <cell r="G3605" t="str">
            <v>Cedar Hall School</v>
          </cell>
          <cell r="H3605" t="str">
            <v>East of England</v>
          </cell>
          <cell r="I3605" t="str">
            <v>Hart Road</v>
          </cell>
          <cell r="J3605" t="str">
            <v>Thundersley</v>
          </cell>
          <cell r="L3605" t="str">
            <v>Benfleet</v>
          </cell>
          <cell r="M3605" t="str">
            <v>Essex</v>
          </cell>
          <cell r="N3605" t="str">
            <v>SS7 3UQ</v>
          </cell>
          <cell r="O3605" t="str">
            <v>head@cedarhall.essex.sch.uk</v>
          </cell>
        </row>
        <row r="3606">
          <cell r="A3606">
            <v>8212004</v>
          </cell>
          <cell r="B3606">
            <v>132246</v>
          </cell>
          <cell r="C3606">
            <v>821</v>
          </cell>
          <cell r="D3606" t="str">
            <v>Luton</v>
          </cell>
          <cell r="E3606">
            <v>2004</v>
          </cell>
          <cell r="F3606" t="str">
            <v>Yvonne Reddington</v>
          </cell>
          <cell r="G3606" t="str">
            <v>Bushmead Primary school</v>
          </cell>
          <cell r="H3606" t="str">
            <v>East of England</v>
          </cell>
          <cell r="I3606" t="str">
            <v>Bushmead Road</v>
          </cell>
          <cell r="L3606" t="str">
            <v>Luton</v>
          </cell>
          <cell r="M3606" t="str">
            <v>Bedfordshire</v>
          </cell>
          <cell r="N3606" t="str">
            <v>LU2 7EU</v>
          </cell>
          <cell r="O3606" t="str">
            <v>bushmead.primary.head@luton.gov.uk</v>
          </cell>
        </row>
        <row r="3607">
          <cell r="A3607">
            <v>8854007</v>
          </cell>
          <cell r="B3607">
            <v>135062</v>
          </cell>
          <cell r="C3607">
            <v>885</v>
          </cell>
          <cell r="D3607" t="str">
            <v>Worcestershire</v>
          </cell>
          <cell r="E3607">
            <v>4007</v>
          </cell>
          <cell r="F3607" t="str">
            <v>Adriarna Goodinson</v>
          </cell>
          <cell r="G3607" t="str">
            <v>Baxter College</v>
          </cell>
          <cell r="H3607" t="str">
            <v>West Midlands</v>
          </cell>
          <cell r="I3607" t="str">
            <v>Habberley Road</v>
          </cell>
          <cell r="L3607" t="str">
            <v>Kidderminster</v>
          </cell>
          <cell r="M3607" t="str">
            <v>Worcestershire</v>
          </cell>
          <cell r="N3607" t="str">
            <v>DY11 5PQ</v>
          </cell>
          <cell r="O3607" t="str">
            <v>seddond@baxtercollege.worcs.sch.uk</v>
          </cell>
          <cell r="P3607">
            <v>40962</v>
          </cell>
        </row>
        <row r="3608">
          <cell r="A3608">
            <v>8082355</v>
          </cell>
          <cell r="B3608">
            <v>111653</v>
          </cell>
          <cell r="C3608">
            <v>808</v>
          </cell>
          <cell r="D3608" t="str">
            <v>Stockton-on-Tees</v>
          </cell>
          <cell r="E3608">
            <v>2355</v>
          </cell>
          <cell r="F3608" t="str">
            <v>Carol Blain</v>
          </cell>
          <cell r="G3608" t="str">
            <v>Frederick Nattrass Primary School</v>
          </cell>
          <cell r="H3608" t="str">
            <v>North East</v>
          </cell>
          <cell r="I3608" t="str">
            <v>Darlington Lane</v>
          </cell>
          <cell r="J3608" t="str">
            <v>Norton</v>
          </cell>
          <cell r="L3608" t="str">
            <v>Stockton-on-Tees</v>
          </cell>
          <cell r="N3608" t="str">
            <v>TS20 1BZ</v>
          </cell>
          <cell r="O3608" t="str">
            <v>caroline.reed@sbcschools.org.uk</v>
          </cell>
        </row>
        <row r="3609">
          <cell r="A3609">
            <v>9254010</v>
          </cell>
          <cell r="B3609">
            <v>120635</v>
          </cell>
          <cell r="C3609">
            <v>925</v>
          </cell>
          <cell r="D3609" t="str">
            <v>Lincolnshire</v>
          </cell>
          <cell r="E3609">
            <v>4010</v>
          </cell>
          <cell r="F3609" t="str">
            <v>Frances Blow</v>
          </cell>
          <cell r="G3609" t="str">
            <v>The Deepings School</v>
          </cell>
          <cell r="H3609" t="str">
            <v>East Midlands</v>
          </cell>
          <cell r="I3609" t="str">
            <v>Park Road</v>
          </cell>
          <cell r="J3609" t="str">
            <v>Deeping St James</v>
          </cell>
          <cell r="L3609" t="str">
            <v>Peterborough</v>
          </cell>
          <cell r="M3609" t="str">
            <v>Cambridgeshire</v>
          </cell>
          <cell r="N3609" t="str">
            <v>PE6 8NF</v>
          </cell>
          <cell r="O3609" t="str">
            <v>cbeckett@deepingschool.org.uk</v>
          </cell>
          <cell r="P3609">
            <v>40686</v>
          </cell>
        </row>
        <row r="3610">
          <cell r="A3610">
            <v>8234083</v>
          </cell>
          <cell r="B3610">
            <v>109673</v>
          </cell>
          <cell r="C3610">
            <v>823</v>
          </cell>
          <cell r="D3610" t="str">
            <v>Central Bedfordshire</v>
          </cell>
          <cell r="E3610">
            <v>4083</v>
          </cell>
          <cell r="F3610" t="str">
            <v>Joe Farrell</v>
          </cell>
          <cell r="G3610" t="str">
            <v>Harlington Upper School</v>
          </cell>
          <cell r="H3610" t="str">
            <v>East of England</v>
          </cell>
          <cell r="I3610" t="str">
            <v>Goswell End Road</v>
          </cell>
          <cell r="J3610" t="str">
            <v>Harlington</v>
          </cell>
          <cell r="L3610" t="str">
            <v>Dunstable</v>
          </cell>
          <cell r="M3610" t="str">
            <v>Bedfordshire</v>
          </cell>
          <cell r="N3610" t="str">
            <v>LU5 6NX</v>
          </cell>
          <cell r="O3610" t="str">
            <v>enquiries@harlington.org</v>
          </cell>
          <cell r="P3610">
            <v>40520</v>
          </cell>
        </row>
        <row r="3611">
          <cell r="A3611">
            <v>9313839</v>
          </cell>
          <cell r="B3611">
            <v>123217</v>
          </cell>
          <cell r="C3611">
            <v>931</v>
          </cell>
          <cell r="D3611" t="str">
            <v>Oxfordshire</v>
          </cell>
          <cell r="E3611">
            <v>3839</v>
          </cell>
          <cell r="F3611" t="str">
            <v>Sarah Nairne</v>
          </cell>
          <cell r="G3611" t="str">
            <v>St John Fisher Catholic Primary School, Littlemore</v>
          </cell>
          <cell r="H3611" t="str">
            <v>South East</v>
          </cell>
          <cell r="I3611" t="str">
            <v>Sandy Lane West</v>
          </cell>
          <cell r="J3611" t="str">
            <v>Littlemore</v>
          </cell>
          <cell r="L3611" t="str">
            <v>Oxford</v>
          </cell>
          <cell r="M3611" t="str">
            <v>Oxfordshire</v>
          </cell>
          <cell r="N3611" t="str">
            <v>OX4 6LD</v>
          </cell>
          <cell r="O3611" t="str">
            <v>head.3839@ocnmail.net</v>
          </cell>
          <cell r="P3611">
            <v>41218</v>
          </cell>
        </row>
        <row r="3612">
          <cell r="A3612">
            <v>8013434</v>
          </cell>
          <cell r="B3612">
            <v>134915</v>
          </cell>
          <cell r="C3612">
            <v>801</v>
          </cell>
          <cell r="D3612" t="str">
            <v>Bristol City of</v>
          </cell>
          <cell r="E3612">
            <v>3434</v>
          </cell>
          <cell r="F3612" t="str">
            <v>Lilian Da Cunha</v>
          </cell>
          <cell r="G3612" t="str">
            <v>New Oak Primary</v>
          </cell>
          <cell r="H3612" t="str">
            <v>South West</v>
          </cell>
          <cell r="I3612" t="str">
            <v>Walsh Avenue</v>
          </cell>
          <cell r="J3612" t="str">
            <v>Hengrove</v>
          </cell>
          <cell r="L3612" t="str">
            <v>Bristol</v>
          </cell>
          <cell r="N3612" t="str">
            <v>BS14 9SN</v>
          </cell>
          <cell r="O3612" t="str">
            <v>head.oak.p@bristol.gov.uk</v>
          </cell>
          <cell r="P3612">
            <v>40891</v>
          </cell>
        </row>
        <row r="3613">
          <cell r="A3613">
            <v>8865459</v>
          </cell>
          <cell r="B3613">
            <v>118931</v>
          </cell>
          <cell r="C3613">
            <v>886</v>
          </cell>
          <cell r="D3613" t="str">
            <v>Kent</v>
          </cell>
          <cell r="E3613">
            <v>5459</v>
          </cell>
          <cell r="F3613" t="str">
            <v>Nicky Edwards</v>
          </cell>
          <cell r="G3613" t="str">
            <v>Dover Grammar School for Boys</v>
          </cell>
          <cell r="H3613" t="str">
            <v>South East</v>
          </cell>
          <cell r="I3613" t="str">
            <v>Astor Avenue</v>
          </cell>
          <cell r="L3613" t="str">
            <v>Dover</v>
          </cell>
          <cell r="M3613" t="str">
            <v>Kent</v>
          </cell>
          <cell r="N3613" t="str">
            <v>CT17 0DQ</v>
          </cell>
          <cell r="O3613" t="str">
            <v>hsimmonds@dovergramboys.kent.sch.uk</v>
          </cell>
        </row>
        <row r="3614">
          <cell r="A3614">
            <v>9354099</v>
          </cell>
          <cell r="B3614">
            <v>124849</v>
          </cell>
          <cell r="C3614">
            <v>935</v>
          </cell>
          <cell r="D3614" t="str">
            <v>Suffolk</v>
          </cell>
          <cell r="E3614">
            <v>4099</v>
          </cell>
          <cell r="F3614" t="str">
            <v>Joe Farrell</v>
          </cell>
          <cell r="G3614" t="str">
            <v>Kesgrave High School</v>
          </cell>
          <cell r="H3614" t="str">
            <v>East of England</v>
          </cell>
          <cell r="I3614" t="str">
            <v>Main Road</v>
          </cell>
          <cell r="J3614" t="str">
            <v>Kesgrave</v>
          </cell>
          <cell r="L3614" t="str">
            <v>Ipswich</v>
          </cell>
          <cell r="M3614" t="str">
            <v>Suffolk</v>
          </cell>
          <cell r="N3614" t="str">
            <v>IP5 2PB</v>
          </cell>
          <cell r="O3614" t="str">
            <v xml:space="preserve"> nburgoyne@kesgrave.suffolk.sch.uk</v>
          </cell>
          <cell r="P3614">
            <v>40639</v>
          </cell>
        </row>
        <row r="3615">
          <cell r="A3615">
            <v>8103400</v>
          </cell>
          <cell r="B3615">
            <v>118046</v>
          </cell>
          <cell r="C3615">
            <v>810</v>
          </cell>
          <cell r="D3615" t="str">
            <v>Kingston upon Hull City of</v>
          </cell>
          <cell r="E3615">
            <v>3400</v>
          </cell>
          <cell r="F3615" t="str">
            <v>Glyn Newton</v>
          </cell>
          <cell r="G3615" t="str">
            <v>Endsleigh Holy Child RC Primary School</v>
          </cell>
          <cell r="H3615" t="str">
            <v>Yorkshire and the Humber</v>
          </cell>
          <cell r="I3615" t="str">
            <v>Inglemire Avenue</v>
          </cell>
          <cell r="L3615" t="str">
            <v>Hull</v>
          </cell>
          <cell r="N3615" t="str">
            <v>HU6 7TE</v>
          </cell>
          <cell r="O3615" t="str">
            <v>head@endsleigh.hull.sch.uk</v>
          </cell>
        </row>
        <row r="3616">
          <cell r="A3616">
            <v>3052001</v>
          </cell>
          <cell r="B3616">
            <v>101586</v>
          </cell>
          <cell r="C3616">
            <v>305</v>
          </cell>
          <cell r="D3616" t="str">
            <v>Bromley</v>
          </cell>
          <cell r="E3616">
            <v>2001</v>
          </cell>
          <cell r="F3616" t="str">
            <v>Helen Fisher</v>
          </cell>
          <cell r="G3616" t="str">
            <v>Alexandra Infant School</v>
          </cell>
          <cell r="H3616" t="str">
            <v>London</v>
          </cell>
          <cell r="I3616" t="str">
            <v>Kent House Road</v>
          </cell>
          <cell r="L3616" t="str">
            <v>Beckenham</v>
          </cell>
          <cell r="M3616" t="str">
            <v>Kent</v>
          </cell>
          <cell r="N3616" t="str">
            <v>BR3 1JG</v>
          </cell>
          <cell r="O3616" t="str">
            <v>michelle.lewis@alexandra-inf.bromley.sch.uk</v>
          </cell>
        </row>
        <row r="3617">
          <cell r="A3617">
            <v>3823011</v>
          </cell>
          <cell r="B3617">
            <v>107708</v>
          </cell>
          <cell r="C3617">
            <v>382</v>
          </cell>
          <cell r="D3617" t="str">
            <v>Kirklees</v>
          </cell>
          <cell r="E3617">
            <v>3011</v>
          </cell>
          <cell r="F3617" t="str">
            <v>Lisa Sargeant</v>
          </cell>
          <cell r="G3617" t="str">
            <v>Overthorpe Church of England Voluntary Controlled Junior, Infant and Nursery School</v>
          </cell>
          <cell r="H3617" t="str">
            <v>Yorkshire and the Humber</v>
          </cell>
          <cell r="I3617" t="str">
            <v>Edge Top Road</v>
          </cell>
          <cell r="J3617" t="str">
            <v>Thornhill</v>
          </cell>
          <cell r="L3617" t="str">
            <v>Dewsbury</v>
          </cell>
          <cell r="M3617" t="str">
            <v>West Yorkshire</v>
          </cell>
          <cell r="N3617" t="str">
            <v>WF12 0BH</v>
          </cell>
        </row>
        <row r="3618">
          <cell r="A3618">
            <v>3805200</v>
          </cell>
          <cell r="B3618">
            <v>107431</v>
          </cell>
          <cell r="C3618">
            <v>380</v>
          </cell>
          <cell r="D3618" t="str">
            <v>Bradford</v>
          </cell>
          <cell r="E3618">
            <v>5200</v>
          </cell>
          <cell r="F3618" t="str">
            <v>Glyn Newton</v>
          </cell>
          <cell r="G3618" t="str">
            <v>Killinghall Primary School</v>
          </cell>
          <cell r="H3618" t="str">
            <v>Yorkshire and the Humber</v>
          </cell>
          <cell r="I3618" t="str">
            <v>Killinghall Road</v>
          </cell>
          <cell r="L3618" t="str">
            <v>Bradford</v>
          </cell>
          <cell r="M3618" t="str">
            <v>West Yorkshire</v>
          </cell>
          <cell r="N3618" t="str">
            <v>BD3 7JF</v>
          </cell>
          <cell r="O3618" t="str">
            <v>g.edge@killinghall.bradford.sch.uk</v>
          </cell>
        </row>
        <row r="3619">
          <cell r="A3619">
            <v>8102863</v>
          </cell>
          <cell r="B3619">
            <v>117902</v>
          </cell>
          <cell r="C3619">
            <v>810</v>
          </cell>
          <cell r="D3619" t="str">
            <v>Kingston upon Hull City of</v>
          </cell>
          <cell r="E3619">
            <v>2863</v>
          </cell>
          <cell r="F3619" t="str">
            <v>Adriarna Goodinson</v>
          </cell>
          <cell r="G3619" t="str">
            <v>Dorchester Primary School</v>
          </cell>
          <cell r="H3619" t="str">
            <v>Yorkshire and the Humber</v>
          </cell>
          <cell r="I3619" t="str">
            <v>Dorchester Road</v>
          </cell>
          <cell r="J3619" t="str">
            <v>Bransholme</v>
          </cell>
          <cell r="L3619" t="str">
            <v>Hull</v>
          </cell>
          <cell r="N3619" t="str">
            <v>HU7 6AH</v>
          </cell>
          <cell r="O3619" t="str">
            <v>head@dorchester.hull.sch.uk</v>
          </cell>
          <cell r="P3619">
            <v>41253</v>
          </cell>
        </row>
        <row r="3620">
          <cell r="A3620">
            <v>9194008</v>
          </cell>
          <cell r="B3620">
            <v>117502</v>
          </cell>
          <cell r="C3620">
            <v>919</v>
          </cell>
          <cell r="D3620" t="str">
            <v>Hertfordshire</v>
          </cell>
          <cell r="E3620">
            <v>4008</v>
          </cell>
          <cell r="F3620" t="str">
            <v>Julie McDowall</v>
          </cell>
          <cell r="G3620" t="str">
            <v>Hitchin Boys' School</v>
          </cell>
          <cell r="H3620" t="str">
            <v>East of England</v>
          </cell>
          <cell r="I3620" t="str">
            <v>Grammar School Walk</v>
          </cell>
          <cell r="L3620" t="str">
            <v>Hitchin</v>
          </cell>
          <cell r="M3620" t="str">
            <v>Hertfordshire</v>
          </cell>
          <cell r="N3620" t="str">
            <v>SG5 1JB</v>
          </cell>
          <cell r="O3620" t="str">
            <v>head@hbs.herts.sch.uk</v>
          </cell>
          <cell r="P3620">
            <v>41039</v>
          </cell>
        </row>
        <row r="3621">
          <cell r="A3621">
            <v>8562299</v>
          </cell>
          <cell r="B3621">
            <v>120036</v>
          </cell>
          <cell r="C3621">
            <v>856</v>
          </cell>
          <cell r="D3621" t="str">
            <v>Leicester</v>
          </cell>
          <cell r="E3621">
            <v>2299</v>
          </cell>
          <cell r="F3621" t="str">
            <v>Mike Couzens</v>
          </cell>
          <cell r="G3621" t="str">
            <v>Uplands Infant School</v>
          </cell>
          <cell r="H3621" t="str">
            <v>East Midlands</v>
          </cell>
          <cell r="I3621" t="str">
            <v>Melbourne Road</v>
          </cell>
          <cell r="J3621" t="str">
            <v>Highfields</v>
          </cell>
          <cell r="L3621" t="str">
            <v>Leicester</v>
          </cell>
          <cell r="M3621" t="str">
            <v>Leicestershire</v>
          </cell>
          <cell r="N3621" t="str">
            <v>LE2 0DR</v>
          </cell>
          <cell r="O3621" t="str">
            <v>mingham@uplands-inf.leicester.sch.uk</v>
          </cell>
        </row>
        <row r="3622">
          <cell r="A3622">
            <v>9367003</v>
          </cell>
          <cell r="B3622">
            <v>125452</v>
          </cell>
          <cell r="C3622">
            <v>936</v>
          </cell>
          <cell r="D3622" t="str">
            <v>Surrey</v>
          </cell>
          <cell r="E3622">
            <v>7003</v>
          </cell>
          <cell r="F3622" t="str">
            <v>Gabriela Grimley</v>
          </cell>
          <cell r="G3622" t="str">
            <v>Gosden house school</v>
          </cell>
          <cell r="H3622" t="str">
            <v>South East</v>
          </cell>
          <cell r="I3622" t="str">
            <v>Horsham Road</v>
          </cell>
          <cell r="J3622" t="str">
            <v>Bramley</v>
          </cell>
          <cell r="L3622" t="str">
            <v>Guildford</v>
          </cell>
          <cell r="M3622" t="str">
            <v>Surrey</v>
          </cell>
          <cell r="N3622" t="str">
            <v>GU5 0AH</v>
          </cell>
          <cell r="O3622" t="str">
            <v>stevek@gosden-house.surrey.sch.uk</v>
          </cell>
          <cell r="P3622">
            <v>40624</v>
          </cell>
        </row>
        <row r="3623">
          <cell r="A3623">
            <v>2054315</v>
          </cell>
          <cell r="B3623">
            <v>100360</v>
          </cell>
          <cell r="C3623">
            <v>205</v>
          </cell>
          <cell r="D3623" t="str">
            <v>Hammersmith and Fulham</v>
          </cell>
          <cell r="E3623">
            <v>4315</v>
          </cell>
          <cell r="F3623" t="str">
            <v>Bola Bakrin</v>
          </cell>
          <cell r="G3623" t="str">
            <v>Fulham Cross Girls' School and Language College</v>
          </cell>
          <cell r="H3623" t="str">
            <v>London</v>
          </cell>
          <cell r="I3623" t="str">
            <v>Munster Road</v>
          </cell>
          <cell r="L3623" t="str">
            <v>London</v>
          </cell>
          <cell r="N3623" t="str">
            <v>SW6 6BP</v>
          </cell>
          <cell r="O3623" t="str">
            <v>berniepeploefcgs@hotmail.com</v>
          </cell>
          <cell r="P3623">
            <v>41184</v>
          </cell>
        </row>
        <row r="3624">
          <cell r="A3624">
            <v>9255421</v>
          </cell>
          <cell r="B3624">
            <v>120717</v>
          </cell>
          <cell r="C3624">
            <v>925</v>
          </cell>
          <cell r="D3624" t="str">
            <v>Lincolnshire</v>
          </cell>
          <cell r="E3624">
            <v>5421</v>
          </cell>
          <cell r="F3624" t="str">
            <v>Annabel Vernon</v>
          </cell>
          <cell r="G3624" t="str">
            <v>St Peter and St Paul, Lincoln's Catholic High School, A Science College</v>
          </cell>
          <cell r="H3624" t="str">
            <v>East Midlands</v>
          </cell>
          <cell r="I3624" t="str">
            <v>Western Avenue</v>
          </cell>
          <cell r="L3624" t="str">
            <v>Lincoln</v>
          </cell>
          <cell r="M3624" t="str">
            <v>Lincolnshire</v>
          </cell>
          <cell r="N3624" t="str">
            <v>LN6 7SX</v>
          </cell>
          <cell r="O3624" t="str">
            <v>a.jepson@sspp.lincs.sch.uk</v>
          </cell>
          <cell r="P3624">
            <v>41254</v>
          </cell>
        </row>
        <row r="3625">
          <cell r="A3625">
            <v>9282043</v>
          </cell>
          <cell r="B3625">
            <v>121823</v>
          </cell>
          <cell r="C3625">
            <v>928</v>
          </cell>
          <cell r="D3625" t="str">
            <v>Northamptonshire</v>
          </cell>
          <cell r="E3625">
            <v>2043</v>
          </cell>
          <cell r="F3625" t="str">
            <v>Jamie Kelly</v>
          </cell>
          <cell r="G3625" t="str">
            <v>Gretton Primary School</v>
          </cell>
          <cell r="H3625" t="str">
            <v>East Midlands</v>
          </cell>
          <cell r="I3625" t="str">
            <v>Kirby Road</v>
          </cell>
          <cell r="J3625" t="str">
            <v>Gretton</v>
          </cell>
          <cell r="L3625" t="str">
            <v>Corby</v>
          </cell>
          <cell r="M3625" t="str">
            <v>Northamptonshire</v>
          </cell>
          <cell r="N3625" t="str">
            <v>NN17 3DB</v>
          </cell>
          <cell r="O3625" t="str">
            <v>head@gretton.northants-ecl.gov.uk</v>
          </cell>
          <cell r="P3625">
            <v>41046</v>
          </cell>
        </row>
        <row r="3626">
          <cell r="A3626">
            <v>3815408</v>
          </cell>
          <cell r="B3626">
            <v>107565</v>
          </cell>
          <cell r="C3626">
            <v>381</v>
          </cell>
          <cell r="D3626" t="str">
            <v>Calderdale</v>
          </cell>
          <cell r="E3626">
            <v>5408</v>
          </cell>
          <cell r="F3626" t="str">
            <v>Carol Ions</v>
          </cell>
          <cell r="G3626" t="str">
            <v>Ryburn Valley High School</v>
          </cell>
          <cell r="H3626" t="str">
            <v>Yorkshire and the Humber</v>
          </cell>
          <cell r="I3626" t="str">
            <v>St Peter's Avenue</v>
          </cell>
          <cell r="J3626" t="str">
            <v>Sowerby</v>
          </cell>
          <cell r="L3626" t="str">
            <v>Sowerby Bridge</v>
          </cell>
          <cell r="M3626" t="str">
            <v>West Yorkshire</v>
          </cell>
          <cell r="N3626" t="str">
            <v>HX6 1DF</v>
          </cell>
          <cell r="O3626" t="str">
            <v>J.Kendall@ryburn.calderdale.sch.uk</v>
          </cell>
          <cell r="P3626">
            <v>40648</v>
          </cell>
        </row>
        <row r="3627">
          <cell r="A3627">
            <v>9084169</v>
          </cell>
          <cell r="B3627">
            <v>112063</v>
          </cell>
          <cell r="C3627">
            <v>908</v>
          </cell>
          <cell r="D3627" t="str">
            <v>Cornwall</v>
          </cell>
          <cell r="E3627">
            <v>4169</v>
          </cell>
          <cell r="F3627" t="str">
            <v>Tahamina Khan</v>
          </cell>
          <cell r="G3627" t="str">
            <v>Cape Cornwall School</v>
          </cell>
          <cell r="H3627" t="str">
            <v>South West</v>
          </cell>
          <cell r="I3627" t="str">
            <v>Cape Cornwall Road</v>
          </cell>
          <cell r="J3627" t="str">
            <v>St Just</v>
          </cell>
          <cell r="L3627" t="str">
            <v>Penzance</v>
          </cell>
          <cell r="M3627" t="str">
            <v>Cornwall</v>
          </cell>
          <cell r="N3627" t="str">
            <v>TR19 7JX</v>
          </cell>
          <cell r="O3627" t="str">
            <v>head@cape.cornwall.sch.uk</v>
          </cell>
        </row>
        <row r="3628">
          <cell r="A3628">
            <v>3114006</v>
          </cell>
          <cell r="B3628">
            <v>102340</v>
          </cell>
          <cell r="C3628">
            <v>311</v>
          </cell>
          <cell r="D3628" t="str">
            <v>Havering</v>
          </cell>
          <cell r="E3628">
            <v>4006</v>
          </cell>
          <cell r="F3628" t="str">
            <v>Martin Rowley</v>
          </cell>
          <cell r="G3628" t="str">
            <v>Emerson Park School</v>
          </cell>
          <cell r="H3628" t="str">
            <v>London</v>
          </cell>
          <cell r="I3628" t="str">
            <v>Wych Elm Road</v>
          </cell>
          <cell r="L3628" t="str">
            <v>Hornchurch</v>
          </cell>
          <cell r="M3628" t="str">
            <v>Essex</v>
          </cell>
          <cell r="N3628" t="str">
            <v>RM11 3AD</v>
          </cell>
          <cell r="O3628" t="str">
            <v>kwalsh@emersonparkschool.org</v>
          </cell>
          <cell r="P3628">
            <v>40342</v>
          </cell>
        </row>
        <row r="3629">
          <cell r="A3629">
            <v>8844015</v>
          </cell>
          <cell r="B3629">
            <v>116936</v>
          </cell>
          <cell r="C3629">
            <v>884</v>
          </cell>
          <cell r="D3629" t="str">
            <v>Herefordshire</v>
          </cell>
          <cell r="E3629">
            <v>4015</v>
          </cell>
          <cell r="F3629" t="str">
            <v>Christine West</v>
          </cell>
          <cell r="G3629" t="str">
            <v>Aylestone Business and Enterprise College</v>
          </cell>
          <cell r="H3629" t="str">
            <v>West Midlands</v>
          </cell>
          <cell r="I3629" t="str">
            <v>Broadlands House</v>
          </cell>
          <cell r="J3629" t="str">
            <v>Broadlands Lane</v>
          </cell>
          <cell r="L3629" t="str">
            <v>Hereford</v>
          </cell>
          <cell r="M3629" t="str">
            <v>Herefordshire</v>
          </cell>
          <cell r="N3629" t="str">
            <v>HR1 1HY</v>
          </cell>
          <cell r="O3629" t="str">
            <v>swoodrow@aylestone.hereford.sch.uk</v>
          </cell>
          <cell r="P3629">
            <v>41074</v>
          </cell>
        </row>
        <row r="3630">
          <cell r="A3630">
            <v>8815232</v>
          </cell>
          <cell r="B3630">
            <v>115272</v>
          </cell>
          <cell r="C3630">
            <v>881</v>
          </cell>
          <cell r="D3630" t="str">
            <v>Essex</v>
          </cell>
          <cell r="E3630">
            <v>5232</v>
          </cell>
          <cell r="F3630" t="str">
            <v>Claire Ivie</v>
          </cell>
          <cell r="G3630" t="str">
            <v>The Westerings Primary School</v>
          </cell>
          <cell r="H3630" t="str">
            <v>East of England</v>
          </cell>
          <cell r="I3630" t="str">
            <v>Sunny Road</v>
          </cell>
          <cell r="J3630" t="str">
            <v>Hawkwell</v>
          </cell>
          <cell r="L3630" t="str">
            <v>Hockley</v>
          </cell>
          <cell r="M3630" t="str">
            <v>Essex</v>
          </cell>
          <cell r="N3630" t="str">
            <v>SS5 4NZ</v>
          </cell>
          <cell r="O3630" t="str">
            <v>head@westerings.essex.sch.uk</v>
          </cell>
          <cell r="P3630">
            <v>40667</v>
          </cell>
        </row>
        <row r="3631">
          <cell r="A3631">
            <v>9194029</v>
          </cell>
          <cell r="B3631">
            <v>117512</v>
          </cell>
          <cell r="C3631">
            <v>919</v>
          </cell>
          <cell r="D3631" t="str">
            <v>Hertfordshire</v>
          </cell>
          <cell r="E3631">
            <v>4029</v>
          </cell>
          <cell r="F3631" t="str">
            <v>Aminat Alli</v>
          </cell>
          <cell r="G3631" t="str">
            <v>Adeyfield School</v>
          </cell>
          <cell r="H3631" t="str">
            <v>East of England</v>
          </cell>
          <cell r="I3631" t="str">
            <v>Longlands</v>
          </cell>
          <cell r="L3631" t="str">
            <v>Hemel Hempstead</v>
          </cell>
          <cell r="M3631" t="str">
            <v>Hertfordshire</v>
          </cell>
          <cell r="N3631" t="str">
            <v>HP2 4DE</v>
          </cell>
          <cell r="O3631" t="str">
            <v>head@adeyfield.herts.sch.uk</v>
          </cell>
        </row>
        <row r="3632">
          <cell r="A3632">
            <v>3144009</v>
          </cell>
          <cell r="B3632">
            <v>102601</v>
          </cell>
          <cell r="C3632">
            <v>314</v>
          </cell>
          <cell r="D3632" t="str">
            <v>Kingston upon Thames</v>
          </cell>
          <cell r="E3632">
            <v>4009</v>
          </cell>
          <cell r="F3632" t="str">
            <v>Sheila Longstaff</v>
          </cell>
          <cell r="G3632" t="str">
            <v>Southborough High School</v>
          </cell>
          <cell r="H3632" t="str">
            <v>London</v>
          </cell>
          <cell r="I3632" t="str">
            <v>Hook Road</v>
          </cell>
          <cell r="L3632" t="str">
            <v>Surbiton</v>
          </cell>
          <cell r="M3632" t="str">
            <v>Surrey</v>
          </cell>
          <cell r="N3632" t="str">
            <v>KT6 5AS</v>
          </cell>
          <cell r="O3632" t="str">
            <v>niall.smith@shs.rbksch.org</v>
          </cell>
          <cell r="P3632">
            <v>40686</v>
          </cell>
        </row>
        <row r="3633">
          <cell r="A3633">
            <v>9284094</v>
          </cell>
          <cell r="B3633">
            <v>122090</v>
          </cell>
          <cell r="C3633">
            <v>928</v>
          </cell>
          <cell r="D3633" t="str">
            <v>Northamptonshire</v>
          </cell>
          <cell r="E3633">
            <v>4094</v>
          </cell>
          <cell r="F3633" t="str">
            <v>Stephen Standret</v>
          </cell>
          <cell r="G3633" t="str">
            <v>The Ferrers Specialist Arts College</v>
          </cell>
          <cell r="H3633" t="str">
            <v>East Midlands</v>
          </cell>
          <cell r="I3633" t="str">
            <v>Queensway</v>
          </cell>
          <cell r="J3633" t="str">
            <v>Higham Ferrers</v>
          </cell>
          <cell r="L3633" t="str">
            <v>Rushden</v>
          </cell>
          <cell r="M3633" t="str">
            <v>Northamptonshire</v>
          </cell>
          <cell r="N3633" t="str">
            <v>NN10 8LF</v>
          </cell>
          <cell r="O3633" t="str">
            <v>head@theferrers.northants-ecl.gov.uk</v>
          </cell>
        </row>
        <row r="3634">
          <cell r="A3634">
            <v>9282206</v>
          </cell>
          <cell r="B3634">
            <v>121942</v>
          </cell>
          <cell r="C3634">
            <v>928</v>
          </cell>
          <cell r="D3634" t="str">
            <v>Northamptonshire</v>
          </cell>
          <cell r="E3634">
            <v>2206</v>
          </cell>
          <cell r="F3634" t="str">
            <v>Sue Harp</v>
          </cell>
          <cell r="G3634" t="str">
            <v>Denfield Park Primary School</v>
          </cell>
          <cell r="H3634" t="str">
            <v>East Midlands</v>
          </cell>
          <cell r="I3634" t="str">
            <v>Victoria Road</v>
          </cell>
          <cell r="L3634" t="str">
            <v>Rushden</v>
          </cell>
          <cell r="M3634" t="str">
            <v>Northamptonshire</v>
          </cell>
          <cell r="N3634" t="str">
            <v>NN10 0DA</v>
          </cell>
          <cell r="O3634" t="str">
            <v>head@denfieldpark.northants-ecl.gov.uk</v>
          </cell>
        </row>
        <row r="3635">
          <cell r="A3635">
            <v>8153287</v>
          </cell>
          <cell r="B3635">
            <v>121600</v>
          </cell>
          <cell r="C3635">
            <v>815</v>
          </cell>
          <cell r="D3635" t="str">
            <v>North Yorkshire</v>
          </cell>
          <cell r="E3635">
            <v>3287</v>
          </cell>
          <cell r="F3635" t="str">
            <v>Jane Moore</v>
          </cell>
          <cell r="G3635" t="str">
            <v>Kildwick CE VC Primary School</v>
          </cell>
          <cell r="H3635" t="str">
            <v>Yorkshire and the Humber</v>
          </cell>
          <cell r="I3635" t="str">
            <v>Priest Bank Road</v>
          </cell>
          <cell r="J3635" t="str">
            <v>Kildwick</v>
          </cell>
          <cell r="L3635" t="str">
            <v>Keighley</v>
          </cell>
          <cell r="M3635" t="str">
            <v>West Yorkshire</v>
          </cell>
          <cell r="N3635" t="str">
            <v>BD20 9BH</v>
          </cell>
          <cell r="O3635" t="str">
            <v xml:space="preserve"> headteacher@kildwick.n-yorks.sch.uk</v>
          </cell>
        </row>
        <row r="3636">
          <cell r="A3636">
            <v>9287033</v>
          </cell>
          <cell r="B3636">
            <v>131186</v>
          </cell>
          <cell r="C3636">
            <v>928</v>
          </cell>
          <cell r="D3636" t="str">
            <v>Northamptonshire</v>
          </cell>
          <cell r="E3636">
            <v>7033</v>
          </cell>
          <cell r="F3636" t="str">
            <v>Michael Corner</v>
          </cell>
          <cell r="G3636" t="str">
            <v>Maplefields School</v>
          </cell>
          <cell r="H3636" t="str">
            <v>East Midlands</v>
          </cell>
          <cell r="I3636" t="str">
            <v>School Place</v>
          </cell>
          <cell r="L3636" t="str">
            <v>Corby</v>
          </cell>
          <cell r="M3636" t="str">
            <v>Northamptonshire</v>
          </cell>
          <cell r="N3636" t="str">
            <v>NN18 0QP</v>
          </cell>
          <cell r="O3636" t="str">
            <v>head@maplefields.northants-ecl.gov.uk</v>
          </cell>
          <cell r="P3636">
            <v>40723</v>
          </cell>
        </row>
        <row r="3637">
          <cell r="A3637">
            <v>8452124</v>
          </cell>
          <cell r="B3637">
            <v>114451</v>
          </cell>
          <cell r="C3637">
            <v>845</v>
          </cell>
          <cell r="D3637" t="str">
            <v>East Sussex</v>
          </cell>
          <cell r="E3637">
            <v>2124</v>
          </cell>
          <cell r="F3637" t="str">
            <v>Sarah Mitchell</v>
          </cell>
          <cell r="G3637" t="str">
            <v>West St Leonards Primary School</v>
          </cell>
          <cell r="H3637" t="str">
            <v>South East</v>
          </cell>
          <cell r="I3637" t="str">
            <v>Harley Shute Road</v>
          </cell>
          <cell r="L3637" t="str">
            <v>St Leonards-on-Sea</v>
          </cell>
          <cell r="M3637" t="str">
            <v>East Sussex</v>
          </cell>
          <cell r="N3637" t="str">
            <v>TN38 8BX</v>
          </cell>
          <cell r="O3637" t="str">
            <v>head@west-st-leonards.e-sussex.sch.uk</v>
          </cell>
        </row>
        <row r="3638">
          <cell r="A3638">
            <v>8923321</v>
          </cell>
          <cell r="B3638">
            <v>122785</v>
          </cell>
          <cell r="C3638">
            <v>892</v>
          </cell>
          <cell r="D3638" t="str">
            <v>Nottingham</v>
          </cell>
          <cell r="E3638">
            <v>3321</v>
          </cell>
          <cell r="F3638" t="str">
            <v>Pauline Cole</v>
          </cell>
          <cell r="G3638" t="str">
            <v>St Margaret Clitherow Catholic Primary School</v>
          </cell>
          <cell r="H3638" t="str">
            <v>East Midlands</v>
          </cell>
          <cell r="I3638" t="str">
            <v>Mildenhall Crescent</v>
          </cell>
          <cell r="J3638" t="str">
            <v>Bestwood Park</v>
          </cell>
          <cell r="L3638" t="str">
            <v>Nottingham</v>
          </cell>
          <cell r="M3638" t="str">
            <v>Nottinghamshire</v>
          </cell>
          <cell r="N3638" t="str">
            <v>NG5 5RS</v>
          </cell>
          <cell r="O3638" t="str">
            <v>headteacher@st-margaretclitherow.nottingham.sch.uk</v>
          </cell>
          <cell r="P3638">
            <v>40862</v>
          </cell>
        </row>
        <row r="3639">
          <cell r="A3639">
            <v>8732093</v>
          </cell>
          <cell r="B3639">
            <v>110651</v>
          </cell>
          <cell r="C3639">
            <v>873</v>
          </cell>
          <cell r="D3639" t="str">
            <v>Cambridgeshire</v>
          </cell>
          <cell r="E3639">
            <v>2093</v>
          </cell>
          <cell r="F3639" t="str">
            <v>Joe Farrell</v>
          </cell>
          <cell r="G3639" t="str">
            <v>The Nene Infant School</v>
          </cell>
          <cell r="H3639" t="str">
            <v>East of England</v>
          </cell>
          <cell r="I3639" t="str">
            <v>Norwich Road</v>
          </cell>
          <cell r="L3639" t="str">
            <v>Wisbech</v>
          </cell>
          <cell r="M3639" t="str">
            <v>Cambridgeshire</v>
          </cell>
          <cell r="N3639" t="str">
            <v>PE13 2AP</v>
          </cell>
          <cell r="O3639" t="str">
            <v>head@nene.cambs.sch.uk</v>
          </cell>
          <cell r="P3639">
            <v>41254</v>
          </cell>
        </row>
        <row r="3640">
          <cell r="A3640">
            <v>8074141</v>
          </cell>
          <cell r="B3640">
            <v>111755</v>
          </cell>
          <cell r="C3640">
            <v>807</v>
          </cell>
          <cell r="D3640" t="str">
            <v>Redcar and Cleveland</v>
          </cell>
          <cell r="E3640">
            <v>4141</v>
          </cell>
          <cell r="F3640" t="str">
            <v>Pat Murison</v>
          </cell>
          <cell r="G3640" t="str">
            <v>Redcar Community College A Specialist Visual and Performing Arts Centre</v>
          </cell>
          <cell r="H3640" t="str">
            <v>North East</v>
          </cell>
          <cell r="I3640" t="str">
            <v>Kirkleatham Lane</v>
          </cell>
          <cell r="L3640" t="str">
            <v>Redcar</v>
          </cell>
          <cell r="M3640" t="str">
            <v>North Yorkshire</v>
          </cell>
          <cell r="N3640" t="str">
            <v>TS10 4AB</v>
          </cell>
          <cell r="O3640" t="str">
            <v>carolebrown@redcarcc.com</v>
          </cell>
          <cell r="P3640">
            <v>41072</v>
          </cell>
        </row>
        <row r="3641">
          <cell r="A3641">
            <v>9334307</v>
          </cell>
          <cell r="B3641">
            <v>123880</v>
          </cell>
          <cell r="C3641">
            <v>933</v>
          </cell>
          <cell r="D3641" t="str">
            <v>Somerset</v>
          </cell>
          <cell r="E3641">
            <v>4307</v>
          </cell>
          <cell r="F3641" t="str">
            <v>Not yet assigned</v>
          </cell>
          <cell r="G3641" t="str">
            <v>East Bridgwater Community School</v>
          </cell>
          <cell r="H3641" t="str">
            <v>South West</v>
          </cell>
          <cell r="I3641" t="str">
            <v>Parkway</v>
          </cell>
          <cell r="L3641" t="str">
            <v>Bridgwater</v>
          </cell>
          <cell r="M3641" t="str">
            <v>Somerset</v>
          </cell>
          <cell r="N3641" t="str">
            <v>TA6 4QY</v>
          </cell>
          <cell r="O3641" t="str">
            <v>ptelliott@educ.somerset.gov.uk</v>
          </cell>
        </row>
        <row r="3642">
          <cell r="A3642">
            <v>8887028</v>
          </cell>
          <cell r="B3642">
            <v>119873</v>
          </cell>
          <cell r="C3642">
            <v>888</v>
          </cell>
          <cell r="D3642" t="str">
            <v>Lancashire</v>
          </cell>
          <cell r="E3642">
            <v>7028</v>
          </cell>
          <cell r="F3642" t="str">
            <v>Viv Clutton</v>
          </cell>
          <cell r="G3642" t="str">
            <v>Wennington Hall School</v>
          </cell>
          <cell r="H3642" t="str">
            <v>North West</v>
          </cell>
          <cell r="I3642" t="str">
            <v>Lodge Lane</v>
          </cell>
          <cell r="J3642" t="str">
            <v>Wennington</v>
          </cell>
          <cell r="L3642" t="str">
            <v>Lancaster</v>
          </cell>
          <cell r="M3642" t="str">
            <v>Lancashire</v>
          </cell>
          <cell r="N3642" t="str">
            <v>LA2 8NS</v>
          </cell>
          <cell r="O3642" t="str">
            <v>head@wenningtonhall.lancs.sch.uk</v>
          </cell>
        </row>
        <row r="3643">
          <cell r="A3643">
            <v>3822060</v>
          </cell>
          <cell r="B3643">
            <v>107635</v>
          </cell>
          <cell r="C3643">
            <v>382</v>
          </cell>
          <cell r="D3643" t="str">
            <v>Kirklees</v>
          </cell>
          <cell r="E3643">
            <v>2060</v>
          </cell>
          <cell r="F3643" t="str">
            <v>Nick Monton</v>
          </cell>
          <cell r="G3643" t="str">
            <v>Birstall Community Primary School</v>
          </cell>
          <cell r="H3643" t="str">
            <v>Yorkshire and the Humber</v>
          </cell>
          <cell r="I3643" t="str">
            <v>Chapel Lane</v>
          </cell>
          <cell r="J3643" t="str">
            <v>Birstall</v>
          </cell>
          <cell r="L3643" t="str">
            <v>Batley</v>
          </cell>
          <cell r="M3643" t="str">
            <v>West Yorkshire</v>
          </cell>
          <cell r="N3643" t="str">
            <v>WF17 9EE</v>
          </cell>
          <cell r="O3643" t="str">
            <v>kyrstie.joslin@edukirklees.net</v>
          </cell>
          <cell r="P3643">
            <v>41170</v>
          </cell>
        </row>
        <row r="3644">
          <cell r="A3644">
            <v>3721103</v>
          </cell>
          <cell r="B3644">
            <v>133696</v>
          </cell>
          <cell r="C3644">
            <v>372</v>
          </cell>
          <cell r="D3644" t="str">
            <v>Rotherham</v>
          </cell>
          <cell r="E3644">
            <v>1103</v>
          </cell>
          <cell r="F3644" t="str">
            <v>Not yet assigned</v>
          </cell>
          <cell r="G3644" t="str">
            <v>Hospital Teaching and Home Tuition Service</v>
          </cell>
          <cell r="H3644" t="str">
            <v>Yorkshire and the Humber</v>
          </cell>
          <cell r="I3644" t="str">
            <v>Childrens Wards 1,2 &amp; 3</v>
          </cell>
          <cell r="J3644" t="str">
            <v>District General Hospital</v>
          </cell>
          <cell r="K3644" t="str">
            <v>Moorgate</v>
          </cell>
          <cell r="L3644" t="str">
            <v>Rotherham</v>
          </cell>
          <cell r="M3644" t="str">
            <v>South Yorkshire</v>
          </cell>
          <cell r="N3644" t="str">
            <v>S60 2UD</v>
          </cell>
          <cell r="O3644" t="str">
            <v>tamara.hazlehurst@rotherham.gov.uk</v>
          </cell>
        </row>
        <row r="3645">
          <cell r="A3645">
            <v>8815403</v>
          </cell>
          <cell r="B3645">
            <v>115319</v>
          </cell>
          <cell r="C3645">
            <v>881</v>
          </cell>
          <cell r="D3645" t="str">
            <v>Essex</v>
          </cell>
          <cell r="E3645">
            <v>5403</v>
          </cell>
          <cell r="F3645" t="str">
            <v>Claire Ivie</v>
          </cell>
          <cell r="G3645" t="str">
            <v>The King John School</v>
          </cell>
          <cell r="H3645" t="str">
            <v>East of England</v>
          </cell>
          <cell r="I3645" t="str">
            <v>Shipwrights Drive</v>
          </cell>
          <cell r="J3645" t="str">
            <v>Thundersley</v>
          </cell>
          <cell r="L3645" t="str">
            <v>Benfleet</v>
          </cell>
          <cell r="M3645" t="str">
            <v>Essex</v>
          </cell>
          <cell r="N3645" t="str">
            <v>SS7 1RQ</v>
          </cell>
          <cell r="O3645" t="str">
            <v>margaretw@thekjs.demon.co.uk</v>
          </cell>
          <cell r="P3645">
            <v>40528</v>
          </cell>
        </row>
        <row r="3646">
          <cell r="A3646">
            <v>3584024</v>
          </cell>
          <cell r="B3646">
            <v>106367</v>
          </cell>
          <cell r="C3646">
            <v>358</v>
          </cell>
          <cell r="D3646" t="str">
            <v>Trafford</v>
          </cell>
          <cell r="E3646">
            <v>4024</v>
          </cell>
          <cell r="F3646" t="str">
            <v>Linda Quinn</v>
          </cell>
          <cell r="G3646" t="str">
            <v>Altrincham College of Arts</v>
          </cell>
          <cell r="H3646" t="str">
            <v>North West</v>
          </cell>
          <cell r="I3646" t="str">
            <v>Green Lane</v>
          </cell>
          <cell r="J3646" t="str">
            <v>Timperley</v>
          </cell>
          <cell r="L3646" t="str">
            <v>Altrincham</v>
          </cell>
          <cell r="M3646" t="str">
            <v>Cheshire</v>
          </cell>
          <cell r="N3646" t="str">
            <v>WA15 8QW</v>
          </cell>
          <cell r="O3646" t="str">
            <v>headteacher@mail.altrinchamcollege.com</v>
          </cell>
          <cell r="P3646">
            <v>40962</v>
          </cell>
        </row>
        <row r="3647">
          <cell r="A3647">
            <v>8865421</v>
          </cell>
          <cell r="B3647">
            <v>118893</v>
          </cell>
          <cell r="C3647">
            <v>886</v>
          </cell>
          <cell r="D3647" t="str">
            <v>Kent</v>
          </cell>
          <cell r="E3647">
            <v>5421</v>
          </cell>
          <cell r="F3647" t="str">
            <v>Nicky Edwards</v>
          </cell>
          <cell r="G3647" t="str">
            <v>The Canterbury High School (in federation with The Canterbury Primary School)</v>
          </cell>
          <cell r="H3647" t="str">
            <v>South East</v>
          </cell>
          <cell r="I3647" t="str">
            <v>Knight Avenue</v>
          </cell>
          <cell r="L3647" t="str">
            <v>Canterbury</v>
          </cell>
          <cell r="M3647" t="str">
            <v>Kent</v>
          </cell>
          <cell r="N3647" t="str">
            <v>CT2 8QA</v>
          </cell>
          <cell r="O3647" t="str">
            <v>pkarnavas@canterbury.kent.sch.uk</v>
          </cell>
          <cell r="P3647">
            <v>40358</v>
          </cell>
        </row>
        <row r="3648">
          <cell r="A3648">
            <v>9374004</v>
          </cell>
          <cell r="B3648">
            <v>125731</v>
          </cell>
          <cell r="C3648">
            <v>937</v>
          </cell>
          <cell r="D3648" t="str">
            <v>Warwickshire</v>
          </cell>
          <cell r="E3648">
            <v>4004</v>
          </cell>
          <cell r="F3648" t="str">
            <v>Frances Blow</v>
          </cell>
          <cell r="G3648" t="str">
            <v>Etone Technology Language Vocational College</v>
          </cell>
          <cell r="H3648" t="str">
            <v>West Midlands</v>
          </cell>
          <cell r="I3648" t="str">
            <v>Leicester Road</v>
          </cell>
          <cell r="L3648" t="str">
            <v>Nuneaton</v>
          </cell>
          <cell r="M3648" t="str">
            <v>Warwickshire</v>
          </cell>
          <cell r="N3648" t="str">
            <v>CV11 6AA</v>
          </cell>
          <cell r="O3648" t="str">
            <v>colin_turner@live.co.uk</v>
          </cell>
          <cell r="P3648">
            <v>40648</v>
          </cell>
        </row>
        <row r="3649">
          <cell r="A3649">
            <v>9255209</v>
          </cell>
          <cell r="B3649">
            <v>120676</v>
          </cell>
          <cell r="C3649">
            <v>925</v>
          </cell>
          <cell r="D3649" t="str">
            <v>Lincolnshire</v>
          </cell>
          <cell r="E3649">
            <v>5209</v>
          </cell>
          <cell r="F3649" t="str">
            <v>Pauline Cole</v>
          </cell>
          <cell r="G3649" t="str">
            <v>Huttoft Primary School</v>
          </cell>
          <cell r="H3649" t="str">
            <v>East Midlands</v>
          </cell>
          <cell r="I3649" t="str">
            <v>Church Lane</v>
          </cell>
          <cell r="J3649" t="str">
            <v>Huttoft</v>
          </cell>
          <cell r="L3649" t="str">
            <v>Alford</v>
          </cell>
          <cell r="M3649" t="str">
            <v>Lincolnshire</v>
          </cell>
          <cell r="N3649" t="str">
            <v>LN13 9RE</v>
          </cell>
          <cell r="O3649" t="str">
            <v>Sarah.White@huttoft.lincs.sch.uk</v>
          </cell>
          <cell r="P3649">
            <v>41073</v>
          </cell>
        </row>
        <row r="3650">
          <cell r="A3650">
            <v>8502255</v>
          </cell>
          <cell r="B3650">
            <v>115992</v>
          </cell>
          <cell r="C3650">
            <v>850</v>
          </cell>
          <cell r="D3650" t="str">
            <v>Hampshire</v>
          </cell>
          <cell r="E3650">
            <v>2255</v>
          </cell>
          <cell r="F3650" t="str">
            <v>Amanda Barrett</v>
          </cell>
          <cell r="G3650" t="str">
            <v>Sun Hill Infant School</v>
          </cell>
          <cell r="H3650" t="str">
            <v>South East</v>
          </cell>
          <cell r="I3650" t="str">
            <v>Sun Lane</v>
          </cell>
          <cell r="L3650" t="str">
            <v>Alresford</v>
          </cell>
          <cell r="M3650" t="str">
            <v>Hampshire</v>
          </cell>
          <cell r="N3650" t="str">
            <v>SO24 9NB</v>
          </cell>
          <cell r="O3650" t="str">
            <v>kim.owenjones@sunhill-inf.hants.sch.uk</v>
          </cell>
          <cell r="P3650">
            <v>40637</v>
          </cell>
        </row>
        <row r="3651">
          <cell r="A3651">
            <v>8844046</v>
          </cell>
          <cell r="B3651">
            <v>116953</v>
          </cell>
          <cell r="C3651">
            <v>884</v>
          </cell>
          <cell r="D3651" t="str">
            <v>Herefordshire</v>
          </cell>
          <cell r="E3651">
            <v>4046</v>
          </cell>
          <cell r="F3651" t="str">
            <v>Pamela Stenson</v>
          </cell>
          <cell r="G3651" t="str">
            <v>Wigmore High School</v>
          </cell>
          <cell r="H3651" t="str">
            <v>West Midlands</v>
          </cell>
          <cell r="I3651" t="str">
            <v>Ford Street</v>
          </cell>
          <cell r="J3651" t="str">
            <v>Wigmore</v>
          </cell>
          <cell r="L3651" t="str">
            <v>Leominster</v>
          </cell>
          <cell r="M3651" t="str">
            <v>Herefordshire</v>
          </cell>
          <cell r="N3651" t="str">
            <v>HR6 9UW</v>
          </cell>
          <cell r="O3651" t="str">
            <v>head@wigmore.hereford.sch.uk</v>
          </cell>
          <cell r="P3651">
            <v>40445</v>
          </cell>
        </row>
        <row r="3652">
          <cell r="A3652">
            <v>9282162</v>
          </cell>
          <cell r="B3652">
            <v>121913</v>
          </cell>
          <cell r="C3652">
            <v>928</v>
          </cell>
          <cell r="D3652" t="str">
            <v>Northamptonshire</v>
          </cell>
          <cell r="E3652">
            <v>2162</v>
          </cell>
          <cell r="F3652" t="str">
            <v>Grant Dyson</v>
          </cell>
          <cell r="G3652" t="str">
            <v>Headlands Primary School</v>
          </cell>
          <cell r="H3652" t="str">
            <v>East Midlands</v>
          </cell>
          <cell r="I3652" t="str">
            <v>Bushland Road</v>
          </cell>
          <cell r="L3652" t="str">
            <v>Northampton</v>
          </cell>
          <cell r="M3652" t="str">
            <v>Northamptonshire</v>
          </cell>
          <cell r="N3652" t="str">
            <v>NN3 2NS</v>
          </cell>
          <cell r="O3652" t="str">
            <v>head@headlands.northants-ecl.gov.uk</v>
          </cell>
          <cell r="P3652">
            <v>40889</v>
          </cell>
        </row>
        <row r="3653">
          <cell r="A3653">
            <v>3944610</v>
          </cell>
          <cell r="B3653">
            <v>108871</v>
          </cell>
          <cell r="C3653">
            <v>394</v>
          </cell>
          <cell r="D3653" t="str">
            <v>Sunderland</v>
          </cell>
          <cell r="E3653">
            <v>4610</v>
          </cell>
          <cell r="F3653" t="str">
            <v>Alan Large</v>
          </cell>
          <cell r="G3653" t="str">
            <v>St Anthony's Catholic Girls' School</v>
          </cell>
          <cell r="H3653" t="str">
            <v>North East</v>
          </cell>
          <cell r="I3653" t="str">
            <v>Thornhill Terrace</v>
          </cell>
          <cell r="L3653" t="str">
            <v>Sunderland</v>
          </cell>
          <cell r="M3653" t="str">
            <v>Tyne and Wear</v>
          </cell>
          <cell r="N3653" t="str">
            <v>SR2 7JN</v>
          </cell>
          <cell r="O3653" t="str">
            <v>monica.shepherd@me.com</v>
          </cell>
          <cell r="P3653">
            <v>40861</v>
          </cell>
        </row>
        <row r="3654">
          <cell r="A3654">
            <v>8872570</v>
          </cell>
          <cell r="B3654">
            <v>118521</v>
          </cell>
          <cell r="C3654">
            <v>887</v>
          </cell>
          <cell r="D3654" t="str">
            <v>Medway</v>
          </cell>
          <cell r="E3654">
            <v>2570</v>
          </cell>
          <cell r="F3654" t="str">
            <v>Sarah Mitchell</v>
          </cell>
          <cell r="G3654" t="str">
            <v>Allhallows Primary School</v>
          </cell>
          <cell r="H3654" t="str">
            <v>South East</v>
          </cell>
          <cell r="I3654" t="str">
            <v>Avery Way</v>
          </cell>
          <cell r="J3654" t="str">
            <v>Allhallows</v>
          </cell>
          <cell r="L3654" t="str">
            <v>Rochester</v>
          </cell>
          <cell r="M3654" t="str">
            <v>Kent</v>
          </cell>
          <cell r="N3654" t="str">
            <v>ME3 9HR</v>
          </cell>
          <cell r="O3654" t="str">
            <v>james012@medway.org.uk</v>
          </cell>
        </row>
        <row r="3655">
          <cell r="A3655">
            <v>8123524</v>
          </cell>
          <cell r="B3655">
            <v>131345</v>
          </cell>
          <cell r="C3655">
            <v>812</v>
          </cell>
          <cell r="D3655" t="str">
            <v>North East Lincolnshire</v>
          </cell>
          <cell r="E3655">
            <v>3524</v>
          </cell>
          <cell r="F3655" t="str">
            <v>Bev Annables</v>
          </cell>
          <cell r="G3655" t="str">
            <v>Wybers Wood Primary School</v>
          </cell>
          <cell r="H3655" t="str">
            <v>Yorkshire and the Humber</v>
          </cell>
          <cell r="I3655" t="str">
            <v>Timberley Drive</v>
          </cell>
          <cell r="L3655" t="str">
            <v>Grimsby</v>
          </cell>
          <cell r="M3655" t="str">
            <v>Lincolnshire</v>
          </cell>
          <cell r="N3655" t="str">
            <v>DN37 9QZ</v>
          </cell>
          <cell r="O3655" t="str">
            <v>s.green@wybersprimary.com</v>
          </cell>
        </row>
        <row r="3656">
          <cell r="A3656">
            <v>8815243</v>
          </cell>
          <cell r="B3656">
            <v>115283</v>
          </cell>
          <cell r="C3656">
            <v>881</v>
          </cell>
          <cell r="D3656" t="str">
            <v>Essex</v>
          </cell>
          <cell r="E3656">
            <v>5243</v>
          </cell>
          <cell r="F3656" t="str">
            <v>Tony Bretherick</v>
          </cell>
          <cell r="G3656" t="str">
            <v>The Robert Drake Primary School</v>
          </cell>
          <cell r="H3656" t="str">
            <v>East of England</v>
          </cell>
          <cell r="I3656" t="str">
            <v>Church Road</v>
          </cell>
          <cell r="J3656" t="str">
            <v>New Thundersley</v>
          </cell>
          <cell r="L3656" t="str">
            <v>Benfleet</v>
          </cell>
          <cell r="M3656" t="str">
            <v>Essex</v>
          </cell>
          <cell r="N3656" t="str">
            <v>SS7 3HT</v>
          </cell>
          <cell r="O3656" t="str">
            <v>head@robertdrake.org.uk</v>
          </cell>
          <cell r="P3656">
            <v>40630</v>
          </cell>
        </row>
        <row r="3657">
          <cell r="A3657">
            <v>9362058</v>
          </cell>
          <cell r="B3657">
            <v>124947</v>
          </cell>
          <cell r="C3657">
            <v>936</v>
          </cell>
          <cell r="D3657" t="str">
            <v>Surrey</v>
          </cell>
          <cell r="E3657">
            <v>2058</v>
          </cell>
          <cell r="F3657" t="str">
            <v>Gabriela Grimley</v>
          </cell>
          <cell r="G3657" t="str">
            <v>New Haw Community Junior School</v>
          </cell>
          <cell r="H3657" t="str">
            <v>South East</v>
          </cell>
          <cell r="I3657" t="str">
            <v>The Avenue</v>
          </cell>
          <cell r="J3657" t="str">
            <v>New Haw</v>
          </cell>
          <cell r="L3657" t="str">
            <v>Addlestone</v>
          </cell>
          <cell r="M3657" t="str">
            <v>Surrey</v>
          </cell>
          <cell r="N3657" t="str">
            <v>KT15 3RL</v>
          </cell>
          <cell r="O3657" t="str">
            <v>head@new-haw.surrey.sch.uk</v>
          </cell>
        </row>
        <row r="3658">
          <cell r="A3658">
            <v>8732440</v>
          </cell>
          <cell r="B3658">
            <v>110770</v>
          </cell>
          <cell r="C3658">
            <v>873</v>
          </cell>
          <cell r="D3658" t="str">
            <v>Cambridgeshire</v>
          </cell>
          <cell r="E3658">
            <v>2440</v>
          </cell>
          <cell r="F3658" t="str">
            <v>Yvonne Reddington</v>
          </cell>
          <cell r="G3658" t="str">
            <v>Winhills Primary School</v>
          </cell>
          <cell r="H3658" t="str">
            <v>East of England</v>
          </cell>
          <cell r="I3658" t="str">
            <v>Off Duck Lane</v>
          </cell>
          <cell r="L3658" t="str">
            <v>St Neots</v>
          </cell>
          <cell r="M3658" t="str">
            <v>Cambridgeshire</v>
          </cell>
          <cell r="N3658" t="str">
            <v>PE19 2DX</v>
          </cell>
          <cell r="P3658">
            <v>40954</v>
          </cell>
        </row>
        <row r="3659">
          <cell r="A3659">
            <v>9095412</v>
          </cell>
          <cell r="B3659">
            <v>112439</v>
          </cell>
          <cell r="C3659">
            <v>909</v>
          </cell>
          <cell r="D3659" t="str">
            <v>Cumbria</v>
          </cell>
          <cell r="E3659">
            <v>5412</v>
          </cell>
          <cell r="F3659" t="str">
            <v>Linda Tiley</v>
          </cell>
          <cell r="G3659" t="str">
            <v>William Howard School</v>
          </cell>
          <cell r="H3659" t="str">
            <v>North West</v>
          </cell>
          <cell r="I3659" t="str">
            <v>Longtown Road</v>
          </cell>
          <cell r="L3659" t="str">
            <v>Brampton</v>
          </cell>
          <cell r="M3659" t="str">
            <v>Cumbria</v>
          </cell>
          <cell r="N3659" t="str">
            <v>CA8 1AR</v>
          </cell>
          <cell r="O3659" t="str">
            <v>pa@williamhoward.cumbria.sch.uk</v>
          </cell>
          <cell r="P3659">
            <v>40667</v>
          </cell>
        </row>
        <row r="3660">
          <cell r="A3660">
            <v>8134091</v>
          </cell>
          <cell r="B3660">
            <v>118100</v>
          </cell>
          <cell r="C3660">
            <v>813</v>
          </cell>
          <cell r="D3660" t="str">
            <v>North Lincolnshire</v>
          </cell>
          <cell r="E3660">
            <v>4091</v>
          </cell>
          <cell r="F3660" t="str">
            <v>Lisa Sargeant</v>
          </cell>
          <cell r="G3660" t="str">
            <v>Vale of Ancholme Technology &amp; Music College</v>
          </cell>
          <cell r="H3660" t="str">
            <v>Yorkshire and the Humber</v>
          </cell>
          <cell r="I3660" t="str">
            <v>Westmoor House</v>
          </cell>
          <cell r="J3660" t="str">
            <v>Grammar School Road</v>
          </cell>
          <cell r="L3660" t="str">
            <v>Brigg</v>
          </cell>
          <cell r="M3660" t="str">
            <v>Lincolnshire</v>
          </cell>
          <cell r="N3660" t="str">
            <v>DN20 8BA</v>
          </cell>
          <cell r="O3660" t="str">
            <v xml:space="preserve"> youngg@valeofancholme.n-lincs.sch.uk</v>
          </cell>
          <cell r="P3660">
            <v>40610</v>
          </cell>
        </row>
        <row r="3661">
          <cell r="A3661">
            <v>8553043</v>
          </cell>
          <cell r="B3661">
            <v>120135</v>
          </cell>
          <cell r="C3661">
            <v>855</v>
          </cell>
          <cell r="D3661" t="str">
            <v>Leicestershire</v>
          </cell>
          <cell r="E3661">
            <v>3043</v>
          </cell>
          <cell r="F3661" t="str">
            <v>Sue Harp</v>
          </cell>
          <cell r="G3661" t="str">
            <v>Hose Church of England Primary School</v>
          </cell>
          <cell r="H3661" t="str">
            <v>East Midlands</v>
          </cell>
          <cell r="I3661" t="str">
            <v>Bolton Lane</v>
          </cell>
          <cell r="J3661" t="str">
            <v>Hose</v>
          </cell>
          <cell r="L3661" t="str">
            <v>Melton Mowbray</v>
          </cell>
          <cell r="M3661" t="str">
            <v>Leicestershire</v>
          </cell>
          <cell r="N3661" t="str">
            <v>LE14 4JE</v>
          </cell>
          <cell r="O3661" t="str">
            <v>margaret.cox@hose.leics.sch.uk</v>
          </cell>
        </row>
        <row r="3662">
          <cell r="A3662">
            <v>3302068</v>
          </cell>
          <cell r="B3662">
            <v>103197</v>
          </cell>
          <cell r="C3662">
            <v>330</v>
          </cell>
          <cell r="D3662" t="str">
            <v>Birmingham</v>
          </cell>
          <cell r="E3662">
            <v>2068</v>
          </cell>
          <cell r="F3662" t="str">
            <v>Nicole Felicien</v>
          </cell>
          <cell r="G3662" t="str">
            <v>Warren Farm Primary School</v>
          </cell>
          <cell r="H3662" t="str">
            <v>West Midlands</v>
          </cell>
          <cell r="I3662" t="str">
            <v>Aylesbury Crescent</v>
          </cell>
          <cell r="J3662" t="str">
            <v>Kingstanding</v>
          </cell>
          <cell r="L3662" t="str">
            <v>Birmingham</v>
          </cell>
          <cell r="M3662" t="str">
            <v>West Midlands</v>
          </cell>
          <cell r="N3662" t="str">
            <v>B44 0DT</v>
          </cell>
          <cell r="P3662">
            <v>40949</v>
          </cell>
        </row>
        <row r="3663">
          <cell r="A3663">
            <v>8232066</v>
          </cell>
          <cell r="B3663">
            <v>109465</v>
          </cell>
          <cell r="C3663">
            <v>823</v>
          </cell>
          <cell r="D3663" t="str">
            <v>Central Bedfordshire</v>
          </cell>
          <cell r="E3663">
            <v>2066</v>
          </cell>
          <cell r="G3663" t="str">
            <v>Langford Lower School</v>
          </cell>
          <cell r="H3663" t="str">
            <v>East of England</v>
          </cell>
          <cell r="I3663" t="str">
            <v>Church Street</v>
          </cell>
          <cell r="J3663" t="str">
            <v>Langford</v>
          </cell>
          <cell r="L3663" t="str">
            <v>Biggleswade</v>
          </cell>
          <cell r="M3663" t="str">
            <v>Bedfordshire</v>
          </cell>
          <cell r="N3663" t="str">
            <v>SG18 9QA</v>
          </cell>
          <cell r="O3663" t="str">
            <v>best@swcc.beds.sch.uk</v>
          </cell>
        </row>
        <row r="3664">
          <cell r="A3664">
            <v>8552158</v>
          </cell>
          <cell r="B3664">
            <v>119969</v>
          </cell>
          <cell r="C3664">
            <v>855</v>
          </cell>
          <cell r="D3664" t="str">
            <v>Leicestershire</v>
          </cell>
          <cell r="E3664">
            <v>2158</v>
          </cell>
          <cell r="F3664" t="str">
            <v>Stephen Standret</v>
          </cell>
          <cell r="G3664" t="str">
            <v>Fairfield Community Primary School</v>
          </cell>
          <cell r="H3664" t="str">
            <v>East Midlands</v>
          </cell>
          <cell r="I3664" t="str">
            <v>Cheshire Drive</v>
          </cell>
          <cell r="J3664" t="str">
            <v>South Wigston</v>
          </cell>
          <cell r="L3664" t="str">
            <v>Wigston</v>
          </cell>
          <cell r="M3664" t="str">
            <v>Leicestershire</v>
          </cell>
          <cell r="N3664" t="str">
            <v>LE18 4WA</v>
          </cell>
          <cell r="O3664" t="str">
            <v>headsoffice@fairfd.leics.sch.uk</v>
          </cell>
          <cell r="P3664">
            <v>40870</v>
          </cell>
        </row>
        <row r="3665">
          <cell r="A3665">
            <v>3737026</v>
          </cell>
          <cell r="B3665">
            <v>107180</v>
          </cell>
          <cell r="C3665">
            <v>373</v>
          </cell>
          <cell r="D3665" t="str">
            <v>Sheffield</v>
          </cell>
          <cell r="E3665">
            <v>7026</v>
          </cell>
          <cell r="F3665" t="str">
            <v>Bev Annables</v>
          </cell>
          <cell r="G3665" t="str">
            <v>Woolley Wood School</v>
          </cell>
          <cell r="H3665" t="str">
            <v>Yorkshire and the Humber</v>
          </cell>
          <cell r="I3665" t="str">
            <v>Oaks Fold Road</v>
          </cell>
          <cell r="L3665" t="str">
            <v>Sheffield</v>
          </cell>
          <cell r="M3665" t="str">
            <v>South Yorkshire</v>
          </cell>
          <cell r="N3665" t="str">
            <v>S5 0TG</v>
          </cell>
          <cell r="O3665" t="str">
            <v>headteacher@woolleywood.sheffield.sch.uk</v>
          </cell>
        </row>
        <row r="3666">
          <cell r="A3666">
            <v>8005400</v>
          </cell>
          <cell r="B3666">
            <v>109332</v>
          </cell>
          <cell r="C3666">
            <v>800</v>
          </cell>
          <cell r="D3666" t="str">
            <v>Bath and North East Somerset</v>
          </cell>
          <cell r="E3666">
            <v>5400</v>
          </cell>
          <cell r="F3666" t="str">
            <v>Ed Schuldt</v>
          </cell>
          <cell r="G3666" t="str">
            <v>Beechen Cliff School</v>
          </cell>
          <cell r="H3666" t="str">
            <v>South West</v>
          </cell>
          <cell r="I3666" t="str">
            <v>Alexandra Park</v>
          </cell>
          <cell r="L3666" t="str">
            <v>Bath</v>
          </cell>
          <cell r="M3666" t="str">
            <v>Somerset</v>
          </cell>
          <cell r="N3666" t="str">
            <v>BA2 4RE</v>
          </cell>
          <cell r="O3666" t="str">
            <v>headmaster@beechencliff.org.uk</v>
          </cell>
          <cell r="P3666">
            <v>40452</v>
          </cell>
        </row>
        <row r="3667">
          <cell r="A3667">
            <v>3802097</v>
          </cell>
          <cell r="B3667">
            <v>107245</v>
          </cell>
          <cell r="C3667">
            <v>380</v>
          </cell>
          <cell r="D3667" t="str">
            <v>Bradford</v>
          </cell>
          <cell r="E3667">
            <v>2097</v>
          </cell>
          <cell r="F3667" t="str">
            <v>Nick Monton</v>
          </cell>
          <cell r="G3667" t="str">
            <v>Ryecroft Primary School</v>
          </cell>
          <cell r="H3667" t="str">
            <v>Yorkshire and the Humber</v>
          </cell>
          <cell r="I3667" t="str">
            <v>Kesteven Close</v>
          </cell>
          <cell r="J3667" t="str">
            <v>Holmewood</v>
          </cell>
          <cell r="L3667" t="str">
            <v>Bradford</v>
          </cell>
          <cell r="M3667" t="str">
            <v>West Yorkshire</v>
          </cell>
          <cell r="N3667" t="str">
            <v>BD4 0LS</v>
          </cell>
          <cell r="O3667" t="str">
            <v xml:space="preserve"> j.clarke@ryecroft.bradford.sch.uk</v>
          </cell>
        </row>
        <row r="3668">
          <cell r="A3668">
            <v>9255401</v>
          </cell>
          <cell r="B3668">
            <v>120697</v>
          </cell>
          <cell r="C3668">
            <v>925</v>
          </cell>
          <cell r="D3668" t="str">
            <v>Lincolnshire</v>
          </cell>
          <cell r="E3668">
            <v>5401</v>
          </cell>
          <cell r="F3668" t="str">
            <v>Servet Bicer</v>
          </cell>
          <cell r="G3668" t="str">
            <v>Queen Elizabeth's Grammar School</v>
          </cell>
          <cell r="H3668" t="str">
            <v>East Midlands</v>
          </cell>
          <cell r="I3668" t="str">
            <v>Station Road</v>
          </cell>
          <cell r="L3668" t="str">
            <v>Alford</v>
          </cell>
          <cell r="M3668" t="str">
            <v>Lincolnshire</v>
          </cell>
          <cell r="N3668" t="str">
            <v>LN13 9HY</v>
          </cell>
          <cell r="O3668" t="str">
            <v>francisa@qegs.co.uk</v>
          </cell>
          <cell r="P3668">
            <v>40361</v>
          </cell>
        </row>
        <row r="3669">
          <cell r="A3669">
            <v>9255408</v>
          </cell>
          <cell r="B3669">
            <v>120704</v>
          </cell>
          <cell r="C3669">
            <v>925</v>
          </cell>
          <cell r="D3669" t="str">
            <v>Lincolnshire</v>
          </cell>
          <cell r="E3669">
            <v>5408</v>
          </cell>
          <cell r="F3669" t="str">
            <v>Jacki Couch</v>
          </cell>
          <cell r="G3669" t="str">
            <v>Lincoln Christ's Hospital School</v>
          </cell>
          <cell r="H3669" t="str">
            <v>East Midlands</v>
          </cell>
          <cell r="I3669" t="str">
            <v>Wragby Road</v>
          </cell>
          <cell r="L3669" t="str">
            <v>Lincoln</v>
          </cell>
          <cell r="M3669" t="str">
            <v>Lincolnshire</v>
          </cell>
          <cell r="N3669" t="str">
            <v>LN2 4PN</v>
          </cell>
          <cell r="O3669" t="str">
            <v>awright@christs-hospital.lincs.sch.uk</v>
          </cell>
          <cell r="P3669">
            <v>40550</v>
          </cell>
        </row>
        <row r="3670">
          <cell r="A3670">
            <v>8234046</v>
          </cell>
          <cell r="B3670">
            <v>109659</v>
          </cell>
          <cell r="C3670">
            <v>823</v>
          </cell>
          <cell r="D3670" t="str">
            <v>Central Bedfordshire</v>
          </cell>
          <cell r="E3670">
            <v>4046</v>
          </cell>
          <cell r="F3670" t="str">
            <v>Beverley Samuel</v>
          </cell>
          <cell r="G3670" t="str">
            <v>Brewers Hill Middle School</v>
          </cell>
          <cell r="H3670" t="str">
            <v>East of England</v>
          </cell>
          <cell r="I3670" t="str">
            <v>Aldbanks</v>
          </cell>
          <cell r="L3670" t="str">
            <v>Dunstable</v>
          </cell>
          <cell r="M3670" t="str">
            <v>Bedfordshire</v>
          </cell>
          <cell r="N3670" t="str">
            <v>LU6 1AJ</v>
          </cell>
          <cell r="O3670" t="str">
            <v>brewershillmiddle@schools.bedfordshire.gov.uk</v>
          </cell>
          <cell r="P3670">
            <v>40864</v>
          </cell>
        </row>
        <row r="3671">
          <cell r="A3671">
            <v>8552123</v>
          </cell>
          <cell r="B3671">
            <v>119959</v>
          </cell>
          <cell r="C3671">
            <v>855</v>
          </cell>
          <cell r="D3671" t="str">
            <v>Leicestershire</v>
          </cell>
          <cell r="E3671">
            <v>2123</v>
          </cell>
          <cell r="F3671" t="str">
            <v>Sue Harp</v>
          </cell>
          <cell r="G3671" t="str">
            <v>Elizabeth Woodville Primary School</v>
          </cell>
          <cell r="H3671" t="str">
            <v>East Midlands</v>
          </cell>
          <cell r="I3671" t="str">
            <v>Glebe Road</v>
          </cell>
          <cell r="J3671" t="str">
            <v>Groby</v>
          </cell>
          <cell r="L3671" t="str">
            <v>Leicester</v>
          </cell>
          <cell r="M3671" t="str">
            <v>Leicestershire</v>
          </cell>
          <cell r="N3671" t="str">
            <v>LE6 0GT</v>
          </cell>
          <cell r="O3671" t="str">
            <v>head@ewoodville.leics.sch.uk</v>
          </cell>
        </row>
        <row r="3672">
          <cell r="A3672">
            <v>8553209</v>
          </cell>
          <cell r="B3672">
            <v>120188</v>
          </cell>
          <cell r="C3672">
            <v>855</v>
          </cell>
          <cell r="D3672" t="str">
            <v>Leicestershire</v>
          </cell>
          <cell r="E3672">
            <v>3209</v>
          </cell>
          <cell r="F3672" t="str">
            <v>Sue Harp</v>
          </cell>
          <cell r="G3672" t="str">
            <v>Sherrier Church of England Primary School</v>
          </cell>
          <cell r="H3672" t="str">
            <v>East Midlands</v>
          </cell>
          <cell r="I3672" t="str">
            <v>Bitteswell Road</v>
          </cell>
          <cell r="L3672" t="str">
            <v>Lutterworth</v>
          </cell>
          <cell r="M3672" t="str">
            <v>Leicestershire</v>
          </cell>
          <cell r="N3672" t="str">
            <v>LE17 4EX</v>
          </cell>
          <cell r="O3672" t="str">
            <v>lyndseyb2@sherrier.leics.sch.uk</v>
          </cell>
        </row>
        <row r="3673">
          <cell r="A3673">
            <v>9194504</v>
          </cell>
          <cell r="B3673">
            <v>117553</v>
          </cell>
          <cell r="C3673">
            <v>919</v>
          </cell>
          <cell r="D3673" t="str">
            <v>Hertfordshire</v>
          </cell>
          <cell r="E3673">
            <v>4504</v>
          </cell>
          <cell r="F3673" t="str">
            <v>David Rudd</v>
          </cell>
          <cell r="G3673" t="str">
            <v>Tring School</v>
          </cell>
          <cell r="H3673" t="str">
            <v>East of England</v>
          </cell>
          <cell r="I3673" t="str">
            <v>Mortimer Hill</v>
          </cell>
          <cell r="L3673" t="str">
            <v>Tring</v>
          </cell>
          <cell r="M3673" t="str">
            <v>Hertfordshire</v>
          </cell>
          <cell r="N3673" t="str">
            <v>HP23 5JD</v>
          </cell>
          <cell r="P3673">
            <v>40980</v>
          </cell>
        </row>
        <row r="3674">
          <cell r="A3674">
            <v>9253098</v>
          </cell>
          <cell r="B3674">
            <v>120556</v>
          </cell>
          <cell r="C3674">
            <v>925</v>
          </cell>
          <cell r="D3674" t="str">
            <v>Lincolnshire</v>
          </cell>
          <cell r="E3674">
            <v>3098</v>
          </cell>
          <cell r="F3674" t="str">
            <v>Grant Dyson</v>
          </cell>
          <cell r="G3674" t="str">
            <v>The Donington Cowley Endowed Primary School</v>
          </cell>
          <cell r="H3674" t="str">
            <v>East Midlands</v>
          </cell>
          <cell r="I3674" t="str">
            <v>Towndam Lane</v>
          </cell>
          <cell r="J3674" t="str">
            <v>Donington</v>
          </cell>
          <cell r="L3674" t="str">
            <v>Spalding</v>
          </cell>
          <cell r="M3674" t="str">
            <v>Lincolnshire</v>
          </cell>
          <cell r="N3674" t="str">
            <v>PE11 4TR</v>
          </cell>
          <cell r="O3674" t="str">
            <v>john.such@cowley.lincs.sch.uk</v>
          </cell>
        </row>
        <row r="3675">
          <cell r="A3675">
            <v>9095400</v>
          </cell>
          <cell r="B3675">
            <v>112427</v>
          </cell>
          <cell r="C3675">
            <v>909</v>
          </cell>
          <cell r="D3675" t="str">
            <v>Cumbria</v>
          </cell>
          <cell r="E3675">
            <v>5400</v>
          </cell>
          <cell r="F3675" t="str">
            <v>John Edmunds</v>
          </cell>
          <cell r="G3675" t="str">
            <v>Kirkbie Kendal School</v>
          </cell>
          <cell r="H3675" t="str">
            <v>North West</v>
          </cell>
          <cell r="I3675" t="str">
            <v>Lound Road</v>
          </cell>
          <cell r="L3675" t="str">
            <v>Kendal</v>
          </cell>
          <cell r="M3675" t="str">
            <v>Cumbria</v>
          </cell>
          <cell r="N3675" t="str">
            <v>LA9 7EQ</v>
          </cell>
          <cell r="O3675" t="str">
            <v>p.hyman@kirkbiekendal.cumbria.sch.uk</v>
          </cell>
          <cell r="P3675">
            <v>40522</v>
          </cell>
        </row>
        <row r="3676">
          <cell r="A3676">
            <v>8815458</v>
          </cell>
          <cell r="B3676">
            <v>115374</v>
          </cell>
          <cell r="C3676">
            <v>881</v>
          </cell>
          <cell r="D3676" t="str">
            <v>Essex</v>
          </cell>
          <cell r="E3676">
            <v>5458</v>
          </cell>
          <cell r="F3676" t="str">
            <v>Claire Ivie</v>
          </cell>
          <cell r="G3676" t="str">
            <v>St Mark's West Essex Catholic School</v>
          </cell>
          <cell r="H3676" t="str">
            <v>East of England</v>
          </cell>
          <cell r="I3676" t="str">
            <v>Tripton Road</v>
          </cell>
          <cell r="L3676" t="str">
            <v>Harlow</v>
          </cell>
          <cell r="M3676" t="str">
            <v>Essex</v>
          </cell>
          <cell r="N3676" t="str">
            <v>CM18 6AA</v>
          </cell>
          <cell r="O3676" t="str">
            <v>davidbrunwin@st-marks.essex.sch.uk</v>
          </cell>
          <cell r="P3676">
            <v>40673</v>
          </cell>
        </row>
        <row r="3677">
          <cell r="A3677">
            <v>3364134</v>
          </cell>
          <cell r="B3677">
            <v>104396</v>
          </cell>
          <cell r="C3677">
            <v>336</v>
          </cell>
          <cell r="D3677" t="str">
            <v>Wolverhampton</v>
          </cell>
          <cell r="E3677">
            <v>4134</v>
          </cell>
          <cell r="F3677" t="str">
            <v>Elizabeth Rouse</v>
          </cell>
          <cell r="G3677" t="str">
            <v>Heath Park Business and Enterprise College</v>
          </cell>
          <cell r="H3677" t="str">
            <v>West Midlands</v>
          </cell>
          <cell r="I3677" t="str">
            <v>Prestwood Road</v>
          </cell>
          <cell r="L3677" t="str">
            <v>Wolverhampton</v>
          </cell>
          <cell r="M3677" t="str">
            <v>West Midlands</v>
          </cell>
          <cell r="N3677" t="str">
            <v>WV11 1RD</v>
          </cell>
          <cell r="O3677" t="str">
            <v>georgetta71@hotmail.com</v>
          </cell>
          <cell r="P3677">
            <v>40690</v>
          </cell>
        </row>
        <row r="3678">
          <cell r="A3678">
            <v>8782446</v>
          </cell>
          <cell r="B3678">
            <v>113223</v>
          </cell>
          <cell r="C3678">
            <v>878</v>
          </cell>
          <cell r="D3678" t="str">
            <v>Devon</v>
          </cell>
          <cell r="E3678">
            <v>2446</v>
          </cell>
          <cell r="F3678" t="str">
            <v>Not yet assigned</v>
          </cell>
          <cell r="G3678" t="str">
            <v>Stokenham Area Primary School</v>
          </cell>
          <cell r="H3678" t="str">
            <v>South West</v>
          </cell>
          <cell r="I3678" t="str">
            <v>Stokenham</v>
          </cell>
          <cell r="L3678" t="str">
            <v>Kingsbridge</v>
          </cell>
          <cell r="M3678" t="str">
            <v>Devon</v>
          </cell>
          <cell r="N3678" t="str">
            <v>TQ7 2SJ</v>
          </cell>
          <cell r="O3678" t="str">
            <v>admin@stokenham.devon.sch.uk</v>
          </cell>
        </row>
        <row r="3679">
          <cell r="A3679">
            <v>2114284</v>
          </cell>
          <cell r="B3679">
            <v>100971</v>
          </cell>
          <cell r="C3679">
            <v>211</v>
          </cell>
          <cell r="D3679" t="str">
            <v>Tower Hamlets</v>
          </cell>
          <cell r="E3679">
            <v>4284</v>
          </cell>
          <cell r="F3679" t="str">
            <v>Helen Fisher</v>
          </cell>
          <cell r="G3679" t="str">
            <v>Bethnal Green Technology College</v>
          </cell>
          <cell r="H3679" t="str">
            <v>London</v>
          </cell>
          <cell r="I3679" t="str">
            <v>Gosset Street</v>
          </cell>
          <cell r="J3679" t="str">
            <v>Bethnal Green</v>
          </cell>
          <cell r="L3679" t="str">
            <v>London</v>
          </cell>
          <cell r="N3679" t="str">
            <v>E2 6NW</v>
          </cell>
          <cell r="O3679" t="str">
            <v>mark_keary@btinternet.com</v>
          </cell>
          <cell r="P3679">
            <v>40744</v>
          </cell>
        </row>
        <row r="3680">
          <cell r="A3680">
            <v>3444010</v>
          </cell>
          <cell r="B3680">
            <v>105093</v>
          </cell>
          <cell r="C3680">
            <v>344</v>
          </cell>
          <cell r="D3680" t="str">
            <v>Wirral</v>
          </cell>
          <cell r="E3680">
            <v>4010</v>
          </cell>
          <cell r="F3680" t="str">
            <v>Elaine Howard</v>
          </cell>
          <cell r="G3680" t="str">
            <v>Prenton High School for Girls</v>
          </cell>
          <cell r="H3680" t="str">
            <v>North West</v>
          </cell>
          <cell r="I3680" t="str">
            <v>Hesketh Avenue</v>
          </cell>
          <cell r="J3680" t="str">
            <v>Rock Ferry</v>
          </cell>
          <cell r="L3680" t="str">
            <v>Birkenhead</v>
          </cell>
          <cell r="M3680" t="str">
            <v>Merseyside</v>
          </cell>
          <cell r="N3680" t="str">
            <v>CH42 6RR</v>
          </cell>
          <cell r="O3680" t="str">
            <v>dixonp@prentonhighschool.co.uk</v>
          </cell>
          <cell r="P3680">
            <v>40378</v>
          </cell>
        </row>
        <row r="3681">
          <cell r="A3681">
            <v>3122065</v>
          </cell>
          <cell r="B3681">
            <v>102409</v>
          </cell>
          <cell r="C3681">
            <v>312</v>
          </cell>
          <cell r="D3681" t="str">
            <v>Hillingdon</v>
          </cell>
          <cell r="E3681">
            <v>2065</v>
          </cell>
          <cell r="F3681" t="str">
            <v>Martin Rowley</v>
          </cell>
          <cell r="G3681" t="str">
            <v>Warrender Primary School</v>
          </cell>
          <cell r="H3681" t="str">
            <v>London</v>
          </cell>
          <cell r="I3681" t="str">
            <v>Old Hatch Manor</v>
          </cell>
          <cell r="L3681" t="str">
            <v>Ruislip</v>
          </cell>
          <cell r="N3681" t="str">
            <v>HA4 8QG</v>
          </cell>
          <cell r="O3681" t="str">
            <v>plake@hillingdongrid.org</v>
          </cell>
        </row>
        <row r="3682">
          <cell r="A3682">
            <v>8932067</v>
          </cell>
          <cell r="B3682">
            <v>123381</v>
          </cell>
          <cell r="C3682">
            <v>893</v>
          </cell>
          <cell r="D3682" t="str">
            <v>Shropshire</v>
          </cell>
          <cell r="E3682">
            <v>2067</v>
          </cell>
          <cell r="F3682" t="str">
            <v>Julia Waterhouse</v>
          </cell>
          <cell r="G3682" t="str">
            <v>Maesbury Primary School</v>
          </cell>
          <cell r="H3682" t="str">
            <v>West Midlands</v>
          </cell>
          <cell r="I3682" t="str">
            <v>Maesbury</v>
          </cell>
          <cell r="L3682" t="str">
            <v>Oswestry</v>
          </cell>
          <cell r="M3682" t="str">
            <v>Shropshire</v>
          </cell>
          <cell r="N3682" t="str">
            <v>SY10 8HD</v>
          </cell>
          <cell r="O3682" t="str">
            <v>head.maesbury@shropshirelg.net</v>
          </cell>
          <cell r="P3682">
            <v>40690</v>
          </cell>
        </row>
        <row r="3683">
          <cell r="A3683">
            <v>8232192</v>
          </cell>
          <cell r="B3683">
            <v>109517</v>
          </cell>
          <cell r="C3683">
            <v>823</v>
          </cell>
          <cell r="D3683" t="str">
            <v>Central Bedfordshire</v>
          </cell>
          <cell r="E3683">
            <v>2192</v>
          </cell>
          <cell r="F3683" t="str">
            <v>Claire Ivie</v>
          </cell>
          <cell r="G3683" t="str">
            <v>Ardley Hill Lower School</v>
          </cell>
          <cell r="H3683" t="str">
            <v>East of England</v>
          </cell>
          <cell r="I3683" t="str">
            <v>Lowther Road</v>
          </cell>
          <cell r="L3683" t="str">
            <v>Dunstable</v>
          </cell>
          <cell r="M3683" t="str">
            <v>Bedfordshire</v>
          </cell>
          <cell r="N3683" t="str">
            <v>LU6 3NZ</v>
          </cell>
          <cell r="O3683" t="str">
            <v>jsmith.ardley@gmail.com</v>
          </cell>
          <cell r="P3683">
            <v>40875</v>
          </cell>
        </row>
        <row r="3684">
          <cell r="A3684">
            <v>8934500</v>
          </cell>
          <cell r="B3684">
            <v>123586</v>
          </cell>
          <cell r="C3684">
            <v>893</v>
          </cell>
          <cell r="D3684" t="str">
            <v>Shropshire</v>
          </cell>
          <cell r="E3684">
            <v>4500</v>
          </cell>
          <cell r="F3684" t="str">
            <v>Sally Gardiner</v>
          </cell>
          <cell r="G3684" t="str">
            <v>Bridgnorth Endowed School</v>
          </cell>
          <cell r="H3684" t="str">
            <v>West Midlands</v>
          </cell>
          <cell r="I3684" t="str">
            <v>Northgate</v>
          </cell>
          <cell r="L3684" t="str">
            <v>Bridgnorth</v>
          </cell>
          <cell r="M3684" t="str">
            <v>Shropshire</v>
          </cell>
          <cell r="N3684" t="str">
            <v>WV16 4ER</v>
          </cell>
          <cell r="O3684" t="str">
            <v>loveday.p@shropshirelg.net</v>
          </cell>
          <cell r="P3684">
            <v>41066</v>
          </cell>
        </row>
        <row r="3685">
          <cell r="A3685">
            <v>8862166</v>
          </cell>
          <cell r="B3685">
            <v>118292</v>
          </cell>
          <cell r="C3685">
            <v>886</v>
          </cell>
          <cell r="D3685" t="str">
            <v>Kent</v>
          </cell>
          <cell r="E3685">
            <v>2166</v>
          </cell>
          <cell r="F3685" t="str">
            <v>Nicky Edwards</v>
          </cell>
          <cell r="G3685" t="str">
            <v>Hollingbourne Primary School</v>
          </cell>
          <cell r="H3685" t="str">
            <v>South East</v>
          </cell>
          <cell r="I3685" t="str">
            <v>Eyhorne Street</v>
          </cell>
          <cell r="J3685" t="str">
            <v>Hollingbourne</v>
          </cell>
          <cell r="L3685" t="str">
            <v>Maidstone</v>
          </cell>
          <cell r="M3685" t="str">
            <v>Kent</v>
          </cell>
          <cell r="N3685" t="str">
            <v>ME17 1UA</v>
          </cell>
          <cell r="O3685" t="str">
            <v>head@colebrook-jun.swindon.sch.uk</v>
          </cell>
        </row>
        <row r="3686">
          <cell r="A3686">
            <v>3833359</v>
          </cell>
          <cell r="B3686">
            <v>108013</v>
          </cell>
          <cell r="C3686">
            <v>383</v>
          </cell>
          <cell r="D3686" t="str">
            <v>Leeds</v>
          </cell>
          <cell r="E3686">
            <v>3359</v>
          </cell>
          <cell r="F3686" t="str">
            <v>Tony Bretherick</v>
          </cell>
          <cell r="G3686" t="str">
            <v>St Mary's Catholic Primary School, Horsforth</v>
          </cell>
          <cell r="H3686" t="str">
            <v>Yorkshire and the Humber</v>
          </cell>
          <cell r="I3686" t="str">
            <v>Broadgate Lane</v>
          </cell>
          <cell r="J3686" t="str">
            <v>Horsforth</v>
          </cell>
          <cell r="L3686" t="str">
            <v>Leeds</v>
          </cell>
          <cell r="M3686" t="str">
            <v>West Yorkshire</v>
          </cell>
          <cell r="N3686" t="str">
            <v>LS18 5AB</v>
          </cell>
          <cell r="O3686" t="str">
            <v>hughesp02@leedslearning.net</v>
          </cell>
          <cell r="P3686">
            <v>41214</v>
          </cell>
        </row>
        <row r="3687">
          <cell r="A3687">
            <v>8922122</v>
          </cell>
          <cell r="B3687">
            <v>122460</v>
          </cell>
          <cell r="C3687">
            <v>892</v>
          </cell>
          <cell r="D3687" t="str">
            <v>Nottingham</v>
          </cell>
          <cell r="E3687">
            <v>2122</v>
          </cell>
          <cell r="F3687" t="str">
            <v>Frances Blow</v>
          </cell>
          <cell r="G3687" t="str">
            <v>Ambleside Primary School</v>
          </cell>
          <cell r="H3687" t="str">
            <v>East Midlands</v>
          </cell>
          <cell r="I3687" t="str">
            <v>Minver Crescent</v>
          </cell>
          <cell r="J3687" t="str">
            <v>Aspley</v>
          </cell>
          <cell r="L3687" t="str">
            <v>Nottingham</v>
          </cell>
          <cell r="M3687" t="str">
            <v>Nottinghamshire</v>
          </cell>
          <cell r="N3687" t="str">
            <v>NG8 5PN</v>
          </cell>
          <cell r="O3687" t="str">
            <v>k.hannon@ambleside.nottingham.sch.uk</v>
          </cell>
        </row>
        <row r="3688">
          <cell r="A3688">
            <v>9354019</v>
          </cell>
          <cell r="B3688">
            <v>124797</v>
          </cell>
          <cell r="C3688">
            <v>935</v>
          </cell>
          <cell r="D3688" t="str">
            <v>Suffolk</v>
          </cell>
          <cell r="E3688">
            <v>4019</v>
          </cell>
          <cell r="G3688" t="str">
            <v>Great Cornard Upper School and Technology College</v>
          </cell>
          <cell r="H3688" t="str">
            <v>East of England</v>
          </cell>
          <cell r="I3688" t="str">
            <v>Head Lane</v>
          </cell>
          <cell r="J3688" t="str">
            <v>Great Cornard</v>
          </cell>
          <cell r="L3688" t="str">
            <v>Sudbury</v>
          </cell>
          <cell r="M3688" t="str">
            <v>Suffolk</v>
          </cell>
          <cell r="N3688" t="str">
            <v>CO10 0JU</v>
          </cell>
          <cell r="O3688" t="str">
            <v>mfoley@gcus.net</v>
          </cell>
        </row>
        <row r="3689">
          <cell r="A3689">
            <v>2051106</v>
          </cell>
          <cell r="B3689">
            <v>131555</v>
          </cell>
          <cell r="C3689">
            <v>205</v>
          </cell>
          <cell r="D3689" t="str">
            <v>Hammersmith and Fulham</v>
          </cell>
          <cell r="E3689">
            <v>1106</v>
          </cell>
          <cell r="F3689" t="str">
            <v>Tahir Shams</v>
          </cell>
          <cell r="G3689" t="str">
            <v>Primary Pupil Referral Unit</v>
          </cell>
          <cell r="H3689" t="str">
            <v>London</v>
          </cell>
          <cell r="I3689" t="str">
            <v>Mund Street</v>
          </cell>
          <cell r="L3689" t="str">
            <v>London</v>
          </cell>
          <cell r="N3689" t="str">
            <v>W14 9LY</v>
          </cell>
          <cell r="O3689" t="str">
            <v>head@bridge.lbhf.sch.uk</v>
          </cell>
        </row>
        <row r="3690">
          <cell r="A3690">
            <v>9333313</v>
          </cell>
          <cell r="B3690">
            <v>123830</v>
          </cell>
          <cell r="C3690">
            <v>933</v>
          </cell>
          <cell r="D3690" t="str">
            <v>Somerset</v>
          </cell>
          <cell r="E3690">
            <v>3313</v>
          </cell>
          <cell r="F3690" t="str">
            <v>Theresa Oddelm</v>
          </cell>
          <cell r="G3690" t="str">
            <v>Crowcombe CofE VA Primary School</v>
          </cell>
          <cell r="H3690" t="str">
            <v>South West</v>
          </cell>
          <cell r="I3690" t="str">
            <v>Crowcombe</v>
          </cell>
          <cell r="L3690" t="str">
            <v>Taunton</v>
          </cell>
          <cell r="M3690" t="str">
            <v>Somerset</v>
          </cell>
          <cell r="N3690" t="str">
            <v>TA4 4AA</v>
          </cell>
        </row>
        <row r="3691">
          <cell r="A3691">
            <v>8114060</v>
          </cell>
          <cell r="B3691">
            <v>118081</v>
          </cell>
          <cell r="C3691">
            <v>811</v>
          </cell>
          <cell r="D3691" t="str">
            <v>East Riding of Yorkshire</v>
          </cell>
          <cell r="E3691">
            <v>4060</v>
          </cell>
          <cell r="F3691" t="str">
            <v>Lisa Sargeant</v>
          </cell>
          <cell r="G3691" t="str">
            <v>Woldgate College</v>
          </cell>
          <cell r="H3691" t="str">
            <v>Yorkshire and the Humber</v>
          </cell>
          <cell r="I3691" t="str">
            <v>92 Kilnwick Road</v>
          </cell>
          <cell r="J3691" t="str">
            <v>Pocklington</v>
          </cell>
          <cell r="L3691" t="str">
            <v>York</v>
          </cell>
          <cell r="M3691" t="str">
            <v>North Yorkshire</v>
          </cell>
          <cell r="N3691" t="str">
            <v>YO42 2LL</v>
          </cell>
          <cell r="O3691" t="str">
            <v>jeff.bower@woldgate.eriding.net</v>
          </cell>
          <cell r="P3691">
            <v>40724</v>
          </cell>
        </row>
        <row r="3692">
          <cell r="A3692">
            <v>9162157</v>
          </cell>
          <cell r="B3692">
            <v>115591</v>
          </cell>
          <cell r="C3692">
            <v>916</v>
          </cell>
          <cell r="D3692" t="str">
            <v>Gloucestershire</v>
          </cell>
          <cell r="E3692">
            <v>2157</v>
          </cell>
          <cell r="F3692" t="str">
            <v>Kate Bosher</v>
          </cell>
          <cell r="G3692" t="str">
            <v>Rowanfield Junior School</v>
          </cell>
          <cell r="H3692" t="str">
            <v>South West</v>
          </cell>
          <cell r="I3692" t="str">
            <v>Alstone Lane</v>
          </cell>
          <cell r="L3692" t="str">
            <v>Cheltenham</v>
          </cell>
          <cell r="M3692" t="str">
            <v>Gloucestershire</v>
          </cell>
          <cell r="N3692" t="str">
            <v>GL51 8HY</v>
          </cell>
          <cell r="O3692" t="str">
            <v>head@rowanfield-junior.gloucs.sch.uk</v>
          </cell>
          <cell r="P3692">
            <v>40591</v>
          </cell>
        </row>
        <row r="3693">
          <cell r="A3693">
            <v>8523656</v>
          </cell>
          <cell r="B3693">
            <v>116396</v>
          </cell>
          <cell r="C3693">
            <v>852</v>
          </cell>
          <cell r="D3693" t="str">
            <v>Southampton</v>
          </cell>
          <cell r="E3693">
            <v>3656</v>
          </cell>
          <cell r="F3693" t="str">
            <v>Matthew Gleaves</v>
          </cell>
          <cell r="G3693" t="str">
            <v>Springhill Catholic Primary School</v>
          </cell>
          <cell r="H3693" t="str">
            <v>South East</v>
          </cell>
          <cell r="I3693" t="str">
            <v>Milton Road</v>
          </cell>
          <cell r="L3693" t="str">
            <v>Southampton</v>
          </cell>
          <cell r="M3693" t="str">
            <v>Hampshire</v>
          </cell>
          <cell r="N3693" t="str">
            <v>SO15 2HW</v>
          </cell>
          <cell r="O3693" t="str">
            <v>head@springhillcatholic.southampton.sch.uk</v>
          </cell>
          <cell r="P3693">
            <v>40674</v>
          </cell>
        </row>
        <row r="3694">
          <cell r="A3694">
            <v>9382250</v>
          </cell>
          <cell r="B3694">
            <v>131169</v>
          </cell>
          <cell r="C3694">
            <v>938</v>
          </cell>
          <cell r="D3694" t="str">
            <v>West Sussex</v>
          </cell>
          <cell r="E3694">
            <v>2250</v>
          </cell>
          <cell r="F3694" t="str">
            <v>Bukky Sawyerr</v>
          </cell>
          <cell r="G3694" t="str">
            <v>The Oaks Primary School</v>
          </cell>
          <cell r="H3694" t="str">
            <v>South East</v>
          </cell>
          <cell r="I3694" t="str">
            <v>Loppets Road</v>
          </cell>
          <cell r="J3694" t="str">
            <v>Tilgate</v>
          </cell>
          <cell r="L3694" t="str">
            <v>Crawley</v>
          </cell>
          <cell r="M3694" t="str">
            <v>West Sussex</v>
          </cell>
          <cell r="N3694" t="str">
            <v>RH10 5DP</v>
          </cell>
          <cell r="O3694" t="str">
            <v>head@oaks.w-sussex.sch.uk</v>
          </cell>
          <cell r="P3694">
            <v>40983</v>
          </cell>
        </row>
        <row r="3695">
          <cell r="A3695">
            <v>8862172</v>
          </cell>
          <cell r="B3695">
            <v>118298</v>
          </cell>
          <cell r="C3695">
            <v>886</v>
          </cell>
          <cell r="D3695" t="str">
            <v>Kent</v>
          </cell>
          <cell r="E3695">
            <v>2172</v>
          </cell>
          <cell r="F3695" t="str">
            <v>Tony Dunne</v>
          </cell>
          <cell r="G3695" t="str">
            <v>East Borough Primary School</v>
          </cell>
          <cell r="H3695" t="str">
            <v>South East</v>
          </cell>
          <cell r="I3695" t="str">
            <v>Vinters Road</v>
          </cell>
          <cell r="L3695" t="str">
            <v>Maidstone</v>
          </cell>
          <cell r="M3695" t="str">
            <v>Kent</v>
          </cell>
          <cell r="N3695" t="str">
            <v>ME14 5DX</v>
          </cell>
          <cell r="O3695" t="str">
            <v>janet.herbert@east-borough.kent.sch.uk</v>
          </cell>
        </row>
        <row r="3696">
          <cell r="A3696">
            <v>3804064</v>
          </cell>
          <cell r="B3696">
            <v>107386</v>
          </cell>
          <cell r="C3696">
            <v>380</v>
          </cell>
          <cell r="D3696" t="str">
            <v>Bradford</v>
          </cell>
          <cell r="E3696">
            <v>4064</v>
          </cell>
          <cell r="F3696" t="str">
            <v>Bev Mullin</v>
          </cell>
          <cell r="G3696" t="str">
            <v>Beckfoot School</v>
          </cell>
          <cell r="H3696" t="str">
            <v>Yorkshire and the Humber</v>
          </cell>
          <cell r="I3696" t="str">
            <v>Wagon Lane</v>
          </cell>
          <cell r="L3696" t="str">
            <v>Bingley</v>
          </cell>
          <cell r="M3696" t="str">
            <v>West Yorkshire</v>
          </cell>
          <cell r="N3696" t="str">
            <v>BD16 1EE</v>
          </cell>
          <cell r="O3696" t="str">
            <v>decdjh@bec.bradford.sch.uk</v>
          </cell>
          <cell r="P3696">
            <v>40644</v>
          </cell>
        </row>
        <row r="3697">
          <cell r="A3697">
            <v>8367005</v>
          </cell>
          <cell r="B3697">
            <v>113955</v>
          </cell>
          <cell r="C3697">
            <v>836</v>
          </cell>
          <cell r="D3697" t="str">
            <v>Poole</v>
          </cell>
          <cell r="E3697">
            <v>7005</v>
          </cell>
          <cell r="F3697" t="str">
            <v>Ed Schuldt</v>
          </cell>
          <cell r="G3697" t="str">
            <v>Winchelsea Special School</v>
          </cell>
          <cell r="H3697" t="str">
            <v>South West</v>
          </cell>
          <cell r="I3697" t="str">
            <v>Guernsey Road</v>
          </cell>
          <cell r="J3697" t="str">
            <v>Parkstone</v>
          </cell>
          <cell r="L3697" t="str">
            <v>Poole</v>
          </cell>
          <cell r="M3697" t="str">
            <v>Dorset</v>
          </cell>
          <cell r="N3697" t="str">
            <v>BH12 4LL</v>
          </cell>
          <cell r="O3697" t="str">
            <v>sean.pavitt@poole.gov.uk</v>
          </cell>
        </row>
        <row r="3698">
          <cell r="A3698">
            <v>8354802</v>
          </cell>
          <cell r="B3698">
            <v>113897</v>
          </cell>
          <cell r="C3698">
            <v>835</v>
          </cell>
          <cell r="D3698" t="str">
            <v>Dorset</v>
          </cell>
          <cell r="E3698">
            <v>4802</v>
          </cell>
          <cell r="F3698" t="str">
            <v>Kate Bosher</v>
          </cell>
          <cell r="G3698" t="str">
            <v>St Mary's Church of England Middle School, Puddletown</v>
          </cell>
          <cell r="H3698" t="str">
            <v>South West</v>
          </cell>
          <cell r="I3698" t="str">
            <v>Puddletown</v>
          </cell>
          <cell r="L3698" t="str">
            <v>Dorchester</v>
          </cell>
          <cell r="M3698" t="str">
            <v>Dorset</v>
          </cell>
          <cell r="N3698" t="str">
            <v>DT2 8SA</v>
          </cell>
          <cell r="O3698" t="str">
            <v>cwinch@stmaryspudd.dorset.sch.uk</v>
          </cell>
          <cell r="P3698">
            <v>40949</v>
          </cell>
        </row>
        <row r="3699">
          <cell r="A3699">
            <v>9163038</v>
          </cell>
          <cell r="B3699">
            <v>115625</v>
          </cell>
          <cell r="C3699">
            <v>916</v>
          </cell>
          <cell r="D3699" t="str">
            <v>Gloucestershire</v>
          </cell>
          <cell r="E3699">
            <v>3038</v>
          </cell>
          <cell r="F3699" t="str">
            <v>Theresa Oddelm</v>
          </cell>
          <cell r="G3699" t="str">
            <v>Stone with Woodford Church of England Primary School</v>
          </cell>
          <cell r="H3699" t="str">
            <v>South West</v>
          </cell>
          <cell r="I3699" t="str">
            <v>Stone</v>
          </cell>
          <cell r="L3699" t="str">
            <v>Berkeley</v>
          </cell>
          <cell r="M3699" t="str">
            <v>Gloucestershire</v>
          </cell>
          <cell r="N3699" t="str">
            <v>GL13 9JX</v>
          </cell>
        </row>
        <row r="3700">
          <cell r="A3700">
            <v>2032900</v>
          </cell>
          <cell r="B3700">
            <v>100158</v>
          </cell>
          <cell r="C3700">
            <v>203</v>
          </cell>
          <cell r="D3700" t="str">
            <v>Greenwich</v>
          </cell>
          <cell r="E3700">
            <v>2900</v>
          </cell>
          <cell r="F3700" t="str">
            <v>Cheryl Davies</v>
          </cell>
          <cell r="G3700" t="str">
            <v>Heronsgate Primary School</v>
          </cell>
          <cell r="H3700" t="str">
            <v>London</v>
          </cell>
          <cell r="I3700" t="str">
            <v>Whinchat Road</v>
          </cell>
          <cell r="L3700" t="str">
            <v>London</v>
          </cell>
          <cell r="N3700" t="str">
            <v>SE28 0EA</v>
          </cell>
          <cell r="O3700" t="str">
            <v>nprockter@aol.com</v>
          </cell>
        </row>
        <row r="3701">
          <cell r="A3701">
            <v>8012080</v>
          </cell>
          <cell r="B3701">
            <v>108965</v>
          </cell>
          <cell r="C3701">
            <v>801</v>
          </cell>
          <cell r="D3701" t="str">
            <v>Bristol City of</v>
          </cell>
          <cell r="E3701">
            <v>2080</v>
          </cell>
          <cell r="F3701" t="str">
            <v>Lilian Da Cunha</v>
          </cell>
          <cell r="G3701" t="str">
            <v>Summerhill Junior School</v>
          </cell>
          <cell r="H3701" t="str">
            <v>South West</v>
          </cell>
          <cell r="I3701" t="str">
            <v>Plummers Hill</v>
          </cell>
          <cell r="J3701" t="str">
            <v>St George</v>
          </cell>
          <cell r="L3701" t="str">
            <v>Bristol</v>
          </cell>
          <cell r="N3701" t="str">
            <v>BS5 7JU</v>
          </cell>
          <cell r="O3701" t="str">
            <v>head.summerhill.j@bristol.gov.uk</v>
          </cell>
          <cell r="P3701">
            <v>40968</v>
          </cell>
        </row>
        <row r="3702">
          <cell r="A3702">
            <v>3045405</v>
          </cell>
          <cell r="B3702">
            <v>101562</v>
          </cell>
          <cell r="C3702">
            <v>304</v>
          </cell>
          <cell r="D3702" t="str">
            <v>Brent</v>
          </cell>
          <cell r="E3702">
            <v>5405</v>
          </cell>
          <cell r="F3702" t="str">
            <v>Sheila Longstaff</v>
          </cell>
          <cell r="G3702" t="str">
            <v>Alperton Community School</v>
          </cell>
          <cell r="H3702" t="str">
            <v>London</v>
          </cell>
          <cell r="I3702" t="str">
            <v>Stanley Avenue</v>
          </cell>
          <cell r="L3702" t="str">
            <v>Wembley</v>
          </cell>
          <cell r="M3702" t="str">
            <v>Middlesex</v>
          </cell>
          <cell r="N3702" t="str">
            <v>HA0 4JE</v>
          </cell>
          <cell r="O3702" t="str">
            <v>m.rafee@alperton.brent.sch.uk</v>
          </cell>
          <cell r="P3702">
            <v>41011</v>
          </cell>
        </row>
        <row r="3703">
          <cell r="A3703">
            <v>8913767</v>
          </cell>
          <cell r="B3703">
            <v>122819</v>
          </cell>
          <cell r="C3703">
            <v>891</v>
          </cell>
          <cell r="D3703" t="str">
            <v>Nottinghamshire</v>
          </cell>
          <cell r="E3703">
            <v>3767</v>
          </cell>
          <cell r="F3703" t="str">
            <v>Sue Harp</v>
          </cell>
          <cell r="G3703" t="str">
            <v>St Patrick's Catholic Primary and Nursery School</v>
          </cell>
          <cell r="H3703" t="str">
            <v>East Midlands</v>
          </cell>
          <cell r="I3703" t="str">
            <v>Ling Forest Road</v>
          </cell>
          <cell r="L3703" t="str">
            <v>Mansfield</v>
          </cell>
          <cell r="M3703" t="str">
            <v>Nottinghamshire</v>
          </cell>
          <cell r="N3703" t="str">
            <v>NG18 3NJ</v>
          </cell>
          <cell r="O3703" t="str">
            <v>head7@st-patricksrc.notts.sch.uk</v>
          </cell>
        </row>
        <row r="3704">
          <cell r="A3704">
            <v>8933010</v>
          </cell>
          <cell r="B3704">
            <v>123460</v>
          </cell>
          <cell r="C3704">
            <v>893</v>
          </cell>
          <cell r="D3704" t="str">
            <v>Shropshire</v>
          </cell>
          <cell r="E3704">
            <v>3010</v>
          </cell>
          <cell r="F3704" t="str">
            <v>Julia Waterhouse</v>
          </cell>
          <cell r="G3704" t="str">
            <v>Beckbury CofE Primary School</v>
          </cell>
          <cell r="H3704" t="str">
            <v>West Midlands</v>
          </cell>
          <cell r="I3704" t="str">
            <v>Beckbury</v>
          </cell>
          <cell r="L3704" t="str">
            <v>Shifnal</v>
          </cell>
          <cell r="M3704" t="str">
            <v>Shropshire</v>
          </cell>
          <cell r="N3704" t="str">
            <v>TF11 9DQ</v>
          </cell>
          <cell r="O3704" t="str">
            <v xml:space="preserve"> head.beckbury@shropshirelg.net</v>
          </cell>
        </row>
        <row r="3705">
          <cell r="A3705">
            <v>9265402</v>
          </cell>
          <cell r="B3705">
            <v>121210</v>
          </cell>
          <cell r="C3705">
            <v>926</v>
          </cell>
          <cell r="D3705" t="str">
            <v>Norfolk</v>
          </cell>
          <cell r="E3705">
            <v>5402</v>
          </cell>
          <cell r="F3705" t="str">
            <v>Selina White</v>
          </cell>
          <cell r="G3705" t="str">
            <v>Downham Market High School</v>
          </cell>
          <cell r="H3705" t="str">
            <v>East of England</v>
          </cell>
          <cell r="I3705" t="str">
            <v>Bexwell Road</v>
          </cell>
          <cell r="L3705" t="str">
            <v>Downham Market</v>
          </cell>
          <cell r="M3705" t="str">
            <v>Norfolk</v>
          </cell>
          <cell r="N3705" t="str">
            <v>PE38 9LL</v>
          </cell>
          <cell r="O3705" t="str">
            <v>head@downhamhigh.norfolk.sch.uk</v>
          </cell>
        </row>
        <row r="3706">
          <cell r="A3706">
            <v>8865444</v>
          </cell>
          <cell r="B3706">
            <v>118916</v>
          </cell>
          <cell r="C3706">
            <v>886</v>
          </cell>
          <cell r="D3706" t="str">
            <v>Kent</v>
          </cell>
          <cell r="E3706">
            <v>5444</v>
          </cell>
          <cell r="F3706" t="str">
            <v>Sarah Nairne</v>
          </cell>
          <cell r="G3706" t="str">
            <v>Barton Court Grammar School</v>
          </cell>
          <cell r="H3706" t="str">
            <v>South East</v>
          </cell>
          <cell r="I3706" t="str">
            <v>Longport</v>
          </cell>
          <cell r="L3706" t="str">
            <v>Canterbury</v>
          </cell>
          <cell r="M3706" t="str">
            <v>Kent</v>
          </cell>
          <cell r="N3706" t="str">
            <v>CT1 1PH</v>
          </cell>
          <cell r="O3706" t="str">
            <v>kcardus@bartoncourt.org</v>
          </cell>
          <cell r="P3706">
            <v>40644</v>
          </cell>
        </row>
        <row r="3707">
          <cell r="A3707">
            <v>8802468</v>
          </cell>
          <cell r="B3707">
            <v>113239</v>
          </cell>
          <cell r="C3707">
            <v>880</v>
          </cell>
          <cell r="D3707" t="str">
            <v>Torbay</v>
          </cell>
          <cell r="E3707">
            <v>2468</v>
          </cell>
          <cell r="F3707" t="str">
            <v>Ali Bushell</v>
          </cell>
          <cell r="G3707" t="str">
            <v>Shiphay School and Orchard Nursery</v>
          </cell>
          <cell r="H3707" t="str">
            <v>South West</v>
          </cell>
          <cell r="I3707" t="str">
            <v>Exe Hill</v>
          </cell>
          <cell r="J3707" t="str">
            <v>Shiphay</v>
          </cell>
          <cell r="L3707" t="str">
            <v>Torquay</v>
          </cell>
          <cell r="M3707" t="str">
            <v>Devon</v>
          </cell>
          <cell r="N3707" t="str">
            <v>TQ2 7NF</v>
          </cell>
          <cell r="O3707" t="str">
            <v>efgill@portables1.ngfl.gov.uk</v>
          </cell>
          <cell r="P3707">
            <v>40528</v>
          </cell>
        </row>
        <row r="3708">
          <cell r="A3708">
            <v>8957209</v>
          </cell>
          <cell r="B3708">
            <v>131558</v>
          </cell>
          <cell r="C3708">
            <v>895</v>
          </cell>
          <cell r="D3708" t="str">
            <v>Cheshire East</v>
          </cell>
          <cell r="E3708">
            <v>7209</v>
          </cell>
          <cell r="F3708" t="str">
            <v>Jane McCusker</v>
          </cell>
          <cell r="G3708" t="str">
            <v>Adelaide School</v>
          </cell>
          <cell r="H3708" t="str">
            <v>North West</v>
          </cell>
          <cell r="I3708" t="str">
            <v>Adelaide Street</v>
          </cell>
          <cell r="L3708" t="str">
            <v>Crewe</v>
          </cell>
          <cell r="M3708" t="str">
            <v>Cheshire</v>
          </cell>
          <cell r="N3708" t="str">
            <v>CW1 3DT</v>
          </cell>
          <cell r="O3708" t="str">
            <v>head@adelaide.cheshire.sch.uk</v>
          </cell>
        </row>
        <row r="3709">
          <cell r="A3709">
            <v>8374168</v>
          </cell>
          <cell r="B3709">
            <v>113869</v>
          </cell>
          <cell r="C3709">
            <v>837</v>
          </cell>
          <cell r="D3709" t="str">
            <v>Bournemouth</v>
          </cell>
          <cell r="E3709">
            <v>4168</v>
          </cell>
          <cell r="F3709" t="str">
            <v>Kate Bosher</v>
          </cell>
          <cell r="G3709" t="str">
            <v>Portchester School</v>
          </cell>
          <cell r="H3709" t="str">
            <v>South West</v>
          </cell>
          <cell r="I3709" t="str">
            <v>Harewood Avenue</v>
          </cell>
          <cell r="L3709" t="str">
            <v>Bournemouth</v>
          </cell>
          <cell r="M3709" t="str">
            <v>Dorset</v>
          </cell>
          <cell r="N3709" t="str">
            <v>BH7 6NZ</v>
          </cell>
          <cell r="O3709" t="str">
            <v>debbie.godfreyphaure@avonbourne.org</v>
          </cell>
          <cell r="P3709">
            <v>40932</v>
          </cell>
        </row>
        <row r="3710">
          <cell r="A3710">
            <v>8785404</v>
          </cell>
          <cell r="B3710">
            <v>113559</v>
          </cell>
          <cell r="C3710">
            <v>878</v>
          </cell>
          <cell r="D3710" t="str">
            <v>Devon</v>
          </cell>
          <cell r="E3710">
            <v>5404</v>
          </cell>
          <cell r="F3710" t="str">
            <v>Niko Thomas</v>
          </cell>
          <cell r="G3710" t="str">
            <v>Newton Abbot College</v>
          </cell>
          <cell r="H3710" t="str">
            <v>South West</v>
          </cell>
          <cell r="I3710" t="str">
            <v>Old Exeter Road</v>
          </cell>
          <cell r="L3710" t="str">
            <v>Newton Abbot</v>
          </cell>
          <cell r="M3710" t="str">
            <v>Devon</v>
          </cell>
          <cell r="N3710" t="str">
            <v>TQ12 2NF</v>
          </cell>
          <cell r="O3710" t="str">
            <v>gdavies@nacollege.devon.sch.uk</v>
          </cell>
          <cell r="P3710">
            <v>40639</v>
          </cell>
        </row>
        <row r="3711">
          <cell r="A3711">
            <v>8862110</v>
          </cell>
          <cell r="B3711">
            <v>118263</v>
          </cell>
          <cell r="C3711">
            <v>886</v>
          </cell>
          <cell r="D3711" t="str">
            <v>Kent</v>
          </cell>
          <cell r="E3711">
            <v>2110</v>
          </cell>
          <cell r="F3711" t="str">
            <v>Nicky Edwards</v>
          </cell>
          <cell r="G3711" t="str">
            <v>Culverstone Green Primary School</v>
          </cell>
          <cell r="H3711" t="str">
            <v>South East</v>
          </cell>
          <cell r="I3711" t="str">
            <v>Wrotham Road</v>
          </cell>
          <cell r="J3711" t="str">
            <v>Meopham</v>
          </cell>
          <cell r="L3711" t="str">
            <v>Gravesend</v>
          </cell>
          <cell r="M3711" t="str">
            <v>Kent</v>
          </cell>
          <cell r="N3711" t="str">
            <v>DA13 0RF</v>
          </cell>
          <cell r="O3711" t="str">
            <v>headteacher@culverstone-green.kent.sch.uk</v>
          </cell>
        </row>
        <row r="3712">
          <cell r="A3712">
            <v>8514000</v>
          </cell>
          <cell r="B3712">
            <v>131951</v>
          </cell>
          <cell r="C3712">
            <v>851</v>
          </cell>
          <cell r="D3712" t="str">
            <v>Portsmouth</v>
          </cell>
          <cell r="E3712">
            <v>4000</v>
          </cell>
          <cell r="F3712" t="str">
            <v>Lindsay Morris</v>
          </cell>
          <cell r="G3712" t="str">
            <v>Miltoncross School</v>
          </cell>
          <cell r="H3712" t="str">
            <v>South East</v>
          </cell>
          <cell r="I3712" t="str">
            <v>Milton Road</v>
          </cell>
          <cell r="J3712" t="str">
            <v>Fratton</v>
          </cell>
          <cell r="L3712" t="str">
            <v>Portsmouth</v>
          </cell>
          <cell r="M3712" t="str">
            <v>Hampshire</v>
          </cell>
          <cell r="N3712" t="str">
            <v>PO3 6RB</v>
          </cell>
          <cell r="O3712" t="str">
            <v>f.calderbank@miltoncross.portsmouth.sch.uk</v>
          </cell>
          <cell r="P3712">
            <v>40690</v>
          </cell>
        </row>
        <row r="3713">
          <cell r="A3713">
            <v>8404178</v>
          </cell>
          <cell r="B3713">
            <v>114306</v>
          </cell>
          <cell r="C3713">
            <v>840</v>
          </cell>
          <cell r="D3713" t="str">
            <v>Durham</v>
          </cell>
          <cell r="E3713">
            <v>4178</v>
          </cell>
          <cell r="F3713" t="str">
            <v>John Edmunds</v>
          </cell>
          <cell r="G3713" t="str">
            <v>King James I Community Arts College</v>
          </cell>
          <cell r="H3713" t="str">
            <v>North East</v>
          </cell>
          <cell r="I3713" t="str">
            <v>South Church Road</v>
          </cell>
          <cell r="L3713" t="str">
            <v>Bishop Auckland</v>
          </cell>
          <cell r="M3713" t="str">
            <v>County Durham</v>
          </cell>
          <cell r="N3713" t="str">
            <v>DL14 7JZ</v>
          </cell>
          <cell r="O3713" t="str">
            <v>s4178.admin@durhamlearning.net</v>
          </cell>
          <cell r="P3713">
            <v>40528</v>
          </cell>
        </row>
        <row r="3714">
          <cell r="A3714">
            <v>3352249</v>
          </cell>
          <cell r="B3714">
            <v>132073</v>
          </cell>
          <cell r="C3714">
            <v>335</v>
          </cell>
          <cell r="D3714" t="str">
            <v>Walsall</v>
          </cell>
          <cell r="E3714">
            <v>2249</v>
          </cell>
          <cell r="F3714" t="str">
            <v>Ruth Pallister</v>
          </cell>
          <cell r="G3714" t="str">
            <v>Cooper and Jordan Church of England Primary School</v>
          </cell>
          <cell r="H3714" t="str">
            <v>West Midlands</v>
          </cell>
          <cell r="I3714" t="str">
            <v>The Green</v>
          </cell>
          <cell r="J3714" t="str">
            <v>Aldridge</v>
          </cell>
          <cell r="L3714" t="str">
            <v>Walsall</v>
          </cell>
          <cell r="M3714" t="str">
            <v>West Midlands</v>
          </cell>
          <cell r="N3714" t="str">
            <v>WS9 8NH</v>
          </cell>
          <cell r="O3714" t="str">
            <v>rtrawford@cooperjordan.walsall.sch.uk</v>
          </cell>
          <cell r="P3714">
            <v>40802</v>
          </cell>
        </row>
        <row r="3715">
          <cell r="A3715">
            <v>3312101</v>
          </cell>
          <cell r="B3715">
            <v>103666</v>
          </cell>
          <cell r="C3715">
            <v>331</v>
          </cell>
          <cell r="D3715" t="str">
            <v>Coventry</v>
          </cell>
          <cell r="E3715">
            <v>2101</v>
          </cell>
          <cell r="F3715" t="str">
            <v>Alison Middleton</v>
          </cell>
          <cell r="G3715" t="str">
            <v>Park Hill Primary School</v>
          </cell>
          <cell r="H3715" t="str">
            <v>West Midlands</v>
          </cell>
          <cell r="I3715" t="str">
            <v>Lower Eastern Green Lane</v>
          </cell>
          <cell r="L3715" t="str">
            <v>Coventry</v>
          </cell>
          <cell r="M3715" t="str">
            <v>West Midlands</v>
          </cell>
          <cell r="N3715" t="str">
            <v>CV5 7LR</v>
          </cell>
          <cell r="O3715" t="str">
            <v>headteacher@parkhill.coventry.sch.uk</v>
          </cell>
        </row>
        <row r="3716">
          <cell r="A3716">
            <v>8912310</v>
          </cell>
          <cell r="B3716">
            <v>122552</v>
          </cell>
          <cell r="C3716">
            <v>891</v>
          </cell>
          <cell r="D3716" t="str">
            <v>Nottinghamshire</v>
          </cell>
          <cell r="E3716">
            <v>2310</v>
          </cell>
          <cell r="F3716" t="str">
            <v>Pauline Cole</v>
          </cell>
          <cell r="G3716" t="str">
            <v>Fairfield Primary School</v>
          </cell>
          <cell r="H3716" t="str">
            <v>East Midlands</v>
          </cell>
          <cell r="I3716" t="str">
            <v>Toton Lane</v>
          </cell>
          <cell r="J3716" t="str">
            <v>Stapleford</v>
          </cell>
          <cell r="L3716" t="str">
            <v>Nottingham</v>
          </cell>
          <cell r="M3716" t="str">
            <v>Nottinghamshire</v>
          </cell>
          <cell r="N3716" t="str">
            <v>NG9 7HB</v>
          </cell>
          <cell r="O3716" t="str">
            <v>headteacher@fairfield.notts.sch.uk</v>
          </cell>
          <cell r="P3716">
            <v>41198</v>
          </cell>
        </row>
        <row r="3717">
          <cell r="A3717">
            <v>3134020</v>
          </cell>
          <cell r="B3717">
            <v>102532</v>
          </cell>
          <cell r="C3717">
            <v>313</v>
          </cell>
          <cell r="D3717" t="str">
            <v>Hounslow</v>
          </cell>
          <cell r="E3717">
            <v>4020</v>
          </cell>
          <cell r="F3717" t="str">
            <v>Anita Bihal</v>
          </cell>
          <cell r="G3717" t="str">
            <v>Chiswick Community School</v>
          </cell>
          <cell r="H3717" t="str">
            <v>London</v>
          </cell>
          <cell r="I3717" t="str">
            <v>Burlington Lane</v>
          </cell>
          <cell r="J3717" t="str">
            <v>Chiswick</v>
          </cell>
          <cell r="L3717" t="str">
            <v>London</v>
          </cell>
          <cell r="N3717" t="str">
            <v>W4 3UN</v>
          </cell>
          <cell r="O3717" t="str">
            <v>ary@chiswick.hounslow.sch.uk</v>
          </cell>
          <cell r="P3717">
            <v>40779</v>
          </cell>
        </row>
        <row r="3718">
          <cell r="A3718">
            <v>8703301</v>
          </cell>
          <cell r="B3718">
            <v>110002</v>
          </cell>
          <cell r="C3718">
            <v>870</v>
          </cell>
          <cell r="D3718" t="str">
            <v>Reading</v>
          </cell>
          <cell r="E3718">
            <v>3301</v>
          </cell>
          <cell r="F3718" t="str">
            <v>Darren Francis</v>
          </cell>
          <cell r="G3718" t="str">
            <v>St Mary and All Saints Church of England Voluntary Aided Primary School</v>
          </cell>
          <cell r="H3718" t="str">
            <v>South East</v>
          </cell>
          <cell r="I3718" t="str">
            <v>Wensley Road</v>
          </cell>
          <cell r="J3718" t="str">
            <v>Coley Park</v>
          </cell>
          <cell r="L3718" t="str">
            <v>Reading</v>
          </cell>
          <cell r="M3718" t="str">
            <v>Berkshire</v>
          </cell>
          <cell r="N3718" t="str">
            <v>RG1 6DU</v>
          </cell>
          <cell r="O3718" t="str">
            <v>rhowell@st-maryallsaints.reading.sch.uk</v>
          </cell>
        </row>
        <row r="3719">
          <cell r="A3719">
            <v>3414419</v>
          </cell>
          <cell r="B3719">
            <v>104691</v>
          </cell>
          <cell r="C3719">
            <v>341</v>
          </cell>
          <cell r="D3719" t="str">
            <v>Liverpool</v>
          </cell>
          <cell r="E3719">
            <v>4419</v>
          </cell>
          <cell r="F3719" t="str">
            <v>Christine Kane</v>
          </cell>
          <cell r="G3719" t="str">
            <v>Shorefields School</v>
          </cell>
          <cell r="H3719" t="str">
            <v>North West</v>
          </cell>
          <cell r="I3719" t="str">
            <v>Dingle Vale</v>
          </cell>
          <cell r="L3719" t="str">
            <v>Liverpool</v>
          </cell>
          <cell r="M3719" t="str">
            <v>Merseyside</v>
          </cell>
          <cell r="N3719" t="str">
            <v>L8 9SJ</v>
          </cell>
          <cell r="O3719" t="str">
            <v xml:space="preserve"> l.wilson@shorefields.com</v>
          </cell>
        </row>
        <row r="3720">
          <cell r="A3720">
            <v>9373595</v>
          </cell>
          <cell r="B3720">
            <v>134611</v>
          </cell>
          <cell r="C3720">
            <v>937</v>
          </cell>
          <cell r="D3720" t="str">
            <v>Warwickshire</v>
          </cell>
          <cell r="E3720">
            <v>3595</v>
          </cell>
          <cell r="F3720" t="str">
            <v>Sally Gardiner</v>
          </cell>
          <cell r="G3720" t="str">
            <v>St Nicholas' CofE Primary</v>
          </cell>
          <cell r="H3720" t="str">
            <v>West Midlands</v>
          </cell>
          <cell r="I3720" t="str">
            <v>St Faith's Road</v>
          </cell>
          <cell r="L3720" t="str">
            <v>Alcester</v>
          </cell>
          <cell r="M3720" t="str">
            <v>Warwickshire</v>
          </cell>
          <cell r="N3720" t="str">
            <v>B49 6AG</v>
          </cell>
          <cell r="O3720" t="str">
            <v>head3595@we-learn.com</v>
          </cell>
          <cell r="P3720">
            <v>41003</v>
          </cell>
        </row>
        <row r="3721">
          <cell r="A3721">
            <v>8862438</v>
          </cell>
          <cell r="B3721">
            <v>118441</v>
          </cell>
          <cell r="C3721">
            <v>886</v>
          </cell>
          <cell r="D3721" t="str">
            <v>Kent</v>
          </cell>
          <cell r="E3721">
            <v>2438</v>
          </cell>
          <cell r="F3721" t="str">
            <v>Maryam Jabbari</v>
          </cell>
          <cell r="G3721" t="str">
            <v>Joydens Wood Junior School</v>
          </cell>
          <cell r="H3721" t="str">
            <v>South East</v>
          </cell>
          <cell r="I3721" t="str">
            <v>Birchwood Drive</v>
          </cell>
          <cell r="J3721" t="str">
            <v>Wilmington</v>
          </cell>
          <cell r="L3721" t="str">
            <v>Dartford</v>
          </cell>
          <cell r="M3721" t="str">
            <v>Kent</v>
          </cell>
          <cell r="N3721" t="str">
            <v>DA2 7NE</v>
          </cell>
          <cell r="O3721" t="str">
            <v>headteacher@joydens-wood-junior.kent.sch.uk</v>
          </cell>
          <cell r="P3721">
            <v>40700</v>
          </cell>
        </row>
        <row r="3722">
          <cell r="A3722">
            <v>8224042</v>
          </cell>
          <cell r="B3722">
            <v>109657</v>
          </cell>
          <cell r="C3722">
            <v>822</v>
          </cell>
          <cell r="D3722" t="str">
            <v>Bedford</v>
          </cell>
          <cell r="E3722">
            <v>4042</v>
          </cell>
          <cell r="F3722" t="str">
            <v>Michael Cook</v>
          </cell>
          <cell r="G3722" t="str">
            <v>Margaret Beaufort Middle School and Arts College</v>
          </cell>
          <cell r="H3722" t="str">
            <v>East of England</v>
          </cell>
          <cell r="I3722" t="str">
            <v>High Street</v>
          </cell>
          <cell r="J3722" t="str">
            <v>Riseley</v>
          </cell>
          <cell r="L3722" t="str">
            <v>Bedford</v>
          </cell>
          <cell r="M3722" t="str">
            <v>Bedfordshire</v>
          </cell>
          <cell r="N3722" t="str">
            <v>MK44 1DR</v>
          </cell>
          <cell r="P3722">
            <v>40527</v>
          </cell>
        </row>
        <row r="3723">
          <cell r="A3723">
            <v>3434109</v>
          </cell>
          <cell r="B3723">
            <v>104955</v>
          </cell>
          <cell r="C3723">
            <v>343</v>
          </cell>
          <cell r="D3723" t="str">
            <v>Sefton</v>
          </cell>
          <cell r="E3723">
            <v>4109</v>
          </cell>
          <cell r="F3723" t="str">
            <v>Pat Murison</v>
          </cell>
          <cell r="G3723" t="str">
            <v>Greenbank High School</v>
          </cell>
          <cell r="H3723" t="str">
            <v>North West</v>
          </cell>
          <cell r="I3723" t="str">
            <v>Hastings Road</v>
          </cell>
          <cell r="L3723" t="str">
            <v>Southport</v>
          </cell>
          <cell r="M3723" t="str">
            <v>Merseyside</v>
          </cell>
          <cell r="N3723" t="str">
            <v>PR8 2LT</v>
          </cell>
          <cell r="O3723" t="str">
            <v>mcquap.gk@greenbank.sefton.sch.uk</v>
          </cell>
          <cell r="P3723">
            <v>40602</v>
          </cell>
        </row>
        <row r="3724">
          <cell r="A3724">
            <v>8554268</v>
          </cell>
          <cell r="B3724">
            <v>120293</v>
          </cell>
          <cell r="C3724">
            <v>855</v>
          </cell>
          <cell r="D3724" t="str">
            <v>Leicestershire</v>
          </cell>
          <cell r="E3724">
            <v>4268</v>
          </cell>
          <cell r="F3724" t="str">
            <v>Sue Harp</v>
          </cell>
          <cell r="G3724" t="str">
            <v>Woodbrook Vale High School</v>
          </cell>
          <cell r="H3724" t="str">
            <v>East Midlands</v>
          </cell>
          <cell r="I3724" t="str">
            <v>Grasmere Road</v>
          </cell>
          <cell r="L3724" t="str">
            <v>Loughborough</v>
          </cell>
          <cell r="M3724" t="str">
            <v>Leicestershire</v>
          </cell>
          <cell r="N3724" t="str">
            <v>LE11 2ST</v>
          </cell>
          <cell r="O3724" t="str">
            <v>grahambett@woodbrookvale.leics.sch.uk</v>
          </cell>
          <cell r="P3724">
            <v>40672</v>
          </cell>
        </row>
        <row r="3725">
          <cell r="A3725">
            <v>2117171</v>
          </cell>
          <cell r="B3725">
            <v>131598</v>
          </cell>
          <cell r="C3725">
            <v>211</v>
          </cell>
          <cell r="D3725" t="str">
            <v>Tower Hamlets</v>
          </cell>
          <cell r="E3725">
            <v>7171</v>
          </cell>
          <cell r="F3725" t="str">
            <v>Martin Rowley</v>
          </cell>
          <cell r="G3725" t="str">
            <v>Ian Mikardo School</v>
          </cell>
          <cell r="H3725" t="str">
            <v>London</v>
          </cell>
          <cell r="I3725" t="str">
            <v>Woodstock Terrace</v>
          </cell>
          <cell r="J3725" t="str">
            <v>117 Poplar High Street</v>
          </cell>
          <cell r="L3725" t="str">
            <v>London</v>
          </cell>
          <cell r="N3725" t="str">
            <v>E14 0AE</v>
          </cell>
          <cell r="O3725" t="str">
            <v>head@ianmikardo.towerhamlets.sch.uk</v>
          </cell>
          <cell r="P3725">
            <v>40681</v>
          </cell>
        </row>
        <row r="3726">
          <cell r="A3726">
            <v>9382234</v>
          </cell>
          <cell r="B3726">
            <v>125957</v>
          </cell>
          <cell r="C3726">
            <v>938</v>
          </cell>
          <cell r="D3726" t="str">
            <v>West Sussex</v>
          </cell>
          <cell r="E3726">
            <v>2234</v>
          </cell>
          <cell r="F3726" t="str">
            <v>Amanda Barrett</v>
          </cell>
          <cell r="G3726" t="str">
            <v>Broadfield East Junior School   (FAST TRACK)</v>
          </cell>
          <cell r="H3726" t="str">
            <v>South East</v>
          </cell>
          <cell r="I3726" t="str">
            <v>Vulcan Close</v>
          </cell>
          <cell r="J3726" t="str">
            <v>Broadfield</v>
          </cell>
          <cell r="L3726" t="str">
            <v>Crawley</v>
          </cell>
          <cell r="M3726" t="str">
            <v>West Sussex</v>
          </cell>
          <cell r="N3726" t="str">
            <v>RH11 9PD</v>
          </cell>
          <cell r="O3726" t="str">
            <v>office@broadfieldeastjunior.w-sussex.sch.uk</v>
          </cell>
        </row>
        <row r="3727">
          <cell r="A3727">
            <v>3184021</v>
          </cell>
          <cell r="B3727">
            <v>102928</v>
          </cell>
          <cell r="C3727">
            <v>318</v>
          </cell>
          <cell r="D3727" t="str">
            <v>Richmond upon Thames</v>
          </cell>
          <cell r="E3727">
            <v>4021</v>
          </cell>
          <cell r="F3727" t="str">
            <v>Anita Bihal</v>
          </cell>
          <cell r="G3727" t="str">
            <v>Waldegrave School</v>
          </cell>
          <cell r="H3727" t="str">
            <v>London</v>
          </cell>
          <cell r="I3727" t="str">
            <v>Fifth Cross Road</v>
          </cell>
          <cell r="L3727" t="str">
            <v>Twickenham</v>
          </cell>
          <cell r="N3727" t="str">
            <v>TW2 5LH</v>
          </cell>
          <cell r="O3727" t="str">
            <v>p.nunn@waldegrave.org.uk;</v>
          </cell>
          <cell r="P3727">
            <v>40757</v>
          </cell>
        </row>
        <row r="3728">
          <cell r="A3728">
            <v>8863714</v>
          </cell>
          <cell r="B3728">
            <v>118758</v>
          </cell>
          <cell r="C3728">
            <v>886</v>
          </cell>
          <cell r="D3728" t="str">
            <v>Kent</v>
          </cell>
          <cell r="E3728">
            <v>3714</v>
          </cell>
          <cell r="F3728" t="str">
            <v>Nicky Edwards</v>
          </cell>
          <cell r="G3728" t="str">
            <v>St Peter's Catholic Primary School</v>
          </cell>
          <cell r="H3728" t="str">
            <v>South East</v>
          </cell>
          <cell r="I3728" t="str">
            <v>West Ridge</v>
          </cell>
          <cell r="L3728" t="str">
            <v>Sittingbourne</v>
          </cell>
          <cell r="M3728" t="str">
            <v>Kent</v>
          </cell>
          <cell r="N3728" t="str">
            <v>ME10 1UJ</v>
          </cell>
          <cell r="O3728" t="str">
            <v>headteacher@st-peters-sittingbourne.kent.sch.uk</v>
          </cell>
        </row>
        <row r="3729">
          <cell r="A3729">
            <v>9194154</v>
          </cell>
          <cell r="B3729">
            <v>117547</v>
          </cell>
          <cell r="C3729">
            <v>919</v>
          </cell>
          <cell r="D3729" t="str">
            <v>Hertfordshire</v>
          </cell>
          <cell r="E3729">
            <v>4154</v>
          </cell>
          <cell r="F3729" t="str">
            <v>Beverley Samuel</v>
          </cell>
          <cell r="G3729" t="str">
            <v>Onslow St Audrey's School</v>
          </cell>
          <cell r="H3729" t="str">
            <v>East of England</v>
          </cell>
          <cell r="I3729" t="str">
            <v>Old Rectory Drive</v>
          </cell>
          <cell r="L3729" t="str">
            <v>Hatfield</v>
          </cell>
          <cell r="M3729" t="str">
            <v>Hertfordshire</v>
          </cell>
          <cell r="N3729" t="str">
            <v>AL10 8AB</v>
          </cell>
          <cell r="O3729" t="str">
            <v>head@onslow.herts.sch.uk</v>
          </cell>
          <cell r="P3729">
            <v>40729</v>
          </cell>
        </row>
        <row r="3730">
          <cell r="A3730">
            <v>8853089</v>
          </cell>
          <cell r="B3730">
            <v>116841</v>
          </cell>
          <cell r="C3730">
            <v>885</v>
          </cell>
          <cell r="D3730" t="str">
            <v>Worcestershire</v>
          </cell>
          <cell r="E3730">
            <v>3089</v>
          </cell>
          <cell r="F3730" t="str">
            <v>Carla Spink</v>
          </cell>
          <cell r="G3730" t="str">
            <v>Powick CofE Primary School</v>
          </cell>
          <cell r="H3730" t="str">
            <v>West Midlands</v>
          </cell>
          <cell r="I3730" t="str">
            <v>42 Malvern Road</v>
          </cell>
          <cell r="J3730" t="str">
            <v>Powick</v>
          </cell>
          <cell r="L3730" t="str">
            <v>Worcester</v>
          </cell>
          <cell r="M3730" t="str">
            <v>Worcestershire</v>
          </cell>
          <cell r="N3730" t="str">
            <v>WR2 4RT</v>
          </cell>
          <cell r="O3730" t="str">
            <v>head@powick.worcs.sch.uk</v>
          </cell>
        </row>
        <row r="3731">
          <cell r="A3731">
            <v>9362463</v>
          </cell>
          <cell r="B3731">
            <v>125071</v>
          </cell>
          <cell r="C3731">
            <v>936</v>
          </cell>
          <cell r="D3731" t="str">
            <v>Surrey</v>
          </cell>
          <cell r="E3731">
            <v>2463</v>
          </cell>
          <cell r="F3731" t="str">
            <v>Gabriela Grimley</v>
          </cell>
          <cell r="G3731" t="str">
            <v>The Echelford Primary School</v>
          </cell>
          <cell r="H3731" t="str">
            <v>South East</v>
          </cell>
          <cell r="I3731" t="str">
            <v>Park Road</v>
          </cell>
          <cell r="L3731" t="str">
            <v>Ashford</v>
          </cell>
          <cell r="M3731" t="str">
            <v>Surrey</v>
          </cell>
          <cell r="N3731" t="str">
            <v>TW15 1EX</v>
          </cell>
          <cell r="O3731" t="str">
            <v>office@echelford.surrey.sch.uk</v>
          </cell>
        </row>
        <row r="3732">
          <cell r="A3732">
            <v>8705411</v>
          </cell>
          <cell r="B3732">
            <v>110107</v>
          </cell>
          <cell r="C3732">
            <v>870</v>
          </cell>
          <cell r="D3732" t="str">
            <v>Reading</v>
          </cell>
          <cell r="E3732">
            <v>5411</v>
          </cell>
          <cell r="F3732" t="str">
            <v>Darren Francis</v>
          </cell>
          <cell r="G3732" t="str">
            <v>Blessed Hugh Faringdon Catholic School</v>
          </cell>
          <cell r="H3732" t="str">
            <v>South East</v>
          </cell>
          <cell r="I3732" t="str">
            <v>Fawley Road</v>
          </cell>
          <cell r="J3732" t="str">
            <v>Southcote</v>
          </cell>
          <cell r="L3732" t="str">
            <v>Reading</v>
          </cell>
          <cell r="M3732" t="str">
            <v>Berkshire</v>
          </cell>
          <cell r="N3732" t="str">
            <v>RG30 3EP</v>
          </cell>
          <cell r="O3732" t="str">
            <v>caseyj@hughfaringdon.reading.sch.uk</v>
          </cell>
          <cell r="P3732">
            <v>40632</v>
          </cell>
        </row>
        <row r="3733">
          <cell r="A3733">
            <v>9375403</v>
          </cell>
          <cell r="B3733">
            <v>125767</v>
          </cell>
          <cell r="C3733">
            <v>937</v>
          </cell>
          <cell r="D3733" t="str">
            <v>Warwickshire</v>
          </cell>
          <cell r="E3733">
            <v>5403</v>
          </cell>
          <cell r="F3733" t="str">
            <v>Carla Spink</v>
          </cell>
          <cell r="G3733" t="str">
            <v>Myton School</v>
          </cell>
          <cell r="H3733" t="str">
            <v>West Midlands</v>
          </cell>
          <cell r="I3733" t="str">
            <v>Myton Road</v>
          </cell>
          <cell r="L3733" t="str">
            <v>Warwick</v>
          </cell>
          <cell r="M3733" t="str">
            <v>Warwickshire</v>
          </cell>
          <cell r="N3733" t="str">
            <v>CV34 6PJ</v>
          </cell>
          <cell r="P3733">
            <v>40576</v>
          </cell>
        </row>
        <row r="3734">
          <cell r="A3734">
            <v>8553039</v>
          </cell>
          <cell r="B3734">
            <v>120132</v>
          </cell>
          <cell r="C3734">
            <v>855</v>
          </cell>
          <cell r="D3734" t="str">
            <v>Leicestershire</v>
          </cell>
          <cell r="E3734">
            <v>3039</v>
          </cell>
          <cell r="F3734" t="str">
            <v>Sue Harp</v>
          </cell>
          <cell r="G3734" t="str">
            <v>Harby Church of England Primary School</v>
          </cell>
          <cell r="H3734" t="str">
            <v>East Midlands</v>
          </cell>
          <cell r="I3734" t="str">
            <v>School Lane</v>
          </cell>
          <cell r="J3734" t="str">
            <v>Harby</v>
          </cell>
          <cell r="L3734" t="str">
            <v>Melton Mowbray</v>
          </cell>
          <cell r="M3734" t="str">
            <v>Leicestershire</v>
          </cell>
          <cell r="N3734" t="str">
            <v>LE14 4BZ</v>
          </cell>
          <cell r="O3734" t="str">
            <v>office.school@harby.leics.sch.uk</v>
          </cell>
        </row>
        <row r="3735">
          <cell r="A3735">
            <v>8812811</v>
          </cell>
          <cell r="B3735">
            <v>115008</v>
          </cell>
          <cell r="C3735">
            <v>881</v>
          </cell>
          <cell r="D3735" t="str">
            <v>Essex</v>
          </cell>
          <cell r="E3735">
            <v>2811</v>
          </cell>
          <cell r="F3735" t="str">
            <v>Claire Ivie</v>
          </cell>
          <cell r="G3735" t="str">
            <v>Kents Hill Junior School</v>
          </cell>
          <cell r="H3735" t="str">
            <v>East of England</v>
          </cell>
          <cell r="I3735" t="str">
            <v>Kents Hill Road</v>
          </cell>
          <cell r="L3735" t="str">
            <v>Benfleet</v>
          </cell>
          <cell r="M3735" t="str">
            <v>Essex</v>
          </cell>
          <cell r="N3735" t="str">
            <v>SS7 5PS</v>
          </cell>
          <cell r="O3735" t="str">
            <v>headteacher@kentshill-jun.essex.sch.uk</v>
          </cell>
          <cell r="P3735">
            <v>40666</v>
          </cell>
        </row>
        <row r="3736">
          <cell r="A3736">
            <v>9162031</v>
          </cell>
          <cell r="B3736">
            <v>115496</v>
          </cell>
          <cell r="C3736">
            <v>916</v>
          </cell>
          <cell r="D3736" t="str">
            <v>Gloucestershire</v>
          </cell>
          <cell r="E3736">
            <v>2031</v>
          </cell>
          <cell r="F3736" t="str">
            <v>Nigel Mills</v>
          </cell>
          <cell r="G3736" t="str">
            <v>Longlevens Junior School</v>
          </cell>
          <cell r="H3736" t="str">
            <v>South West</v>
          </cell>
          <cell r="I3736" t="str">
            <v>Church Road</v>
          </cell>
          <cell r="J3736" t="str">
            <v>Longlevens</v>
          </cell>
          <cell r="L3736" t="str">
            <v>Gloucester</v>
          </cell>
          <cell r="M3736" t="str">
            <v>Gloucestershire</v>
          </cell>
          <cell r="N3736" t="str">
            <v>GL2 0AL</v>
          </cell>
          <cell r="O3736" t="str">
            <v>head@longlevens-jun.gloucs.sch.uk</v>
          </cell>
          <cell r="P3736">
            <v>40722</v>
          </cell>
        </row>
        <row r="3737">
          <cell r="A3737">
            <v>8794190</v>
          </cell>
          <cell r="B3737">
            <v>113547</v>
          </cell>
          <cell r="C3737">
            <v>879</v>
          </cell>
          <cell r="D3737" t="str">
            <v>Plymouth</v>
          </cell>
          <cell r="E3737">
            <v>4190</v>
          </cell>
          <cell r="F3737" t="str">
            <v>Ali Bushell</v>
          </cell>
          <cell r="G3737" t="str">
            <v>Stoke Damerel Community College</v>
          </cell>
          <cell r="H3737" t="str">
            <v>South West</v>
          </cell>
          <cell r="I3737" t="str">
            <v>Somerset Place</v>
          </cell>
          <cell r="J3737" t="str">
            <v>Stoke</v>
          </cell>
          <cell r="L3737" t="str">
            <v>Plymouth</v>
          </cell>
          <cell r="M3737" t="str">
            <v>Devon</v>
          </cell>
          <cell r="N3737" t="str">
            <v>PL3 4BD</v>
          </cell>
          <cell r="O3737" t="str">
            <v>info@sdcc.net</v>
          </cell>
          <cell r="P3737">
            <v>40555</v>
          </cell>
        </row>
        <row r="3738">
          <cell r="A3738">
            <v>8412656</v>
          </cell>
          <cell r="B3738">
            <v>114172</v>
          </cell>
          <cell r="C3738">
            <v>841</v>
          </cell>
          <cell r="D3738" t="str">
            <v>Darlington</v>
          </cell>
          <cell r="E3738">
            <v>2656</v>
          </cell>
          <cell r="F3738" t="str">
            <v>Janet Smith</v>
          </cell>
          <cell r="G3738" t="str">
            <v>Gurney Pease Primary School</v>
          </cell>
          <cell r="H3738" t="str">
            <v>North East</v>
          </cell>
          <cell r="I3738" t="str">
            <v>Dodsworth Street</v>
          </cell>
          <cell r="L3738" t="str">
            <v>Darlington</v>
          </cell>
          <cell r="M3738" t="str">
            <v>County Durham</v>
          </cell>
          <cell r="N3738" t="str">
            <v>DL1 2NG</v>
          </cell>
          <cell r="O3738" t="str">
            <v>sbattensby@gurneypease.darlington.sch.uk</v>
          </cell>
          <cell r="P3738">
            <v>40646</v>
          </cell>
        </row>
        <row r="3739">
          <cell r="A3739">
            <v>3303026</v>
          </cell>
          <cell r="B3739">
            <v>103411</v>
          </cell>
          <cell r="C3739">
            <v>330</v>
          </cell>
          <cell r="D3739" t="str">
            <v>Birmingham</v>
          </cell>
          <cell r="E3739">
            <v>3026</v>
          </cell>
          <cell r="F3739" t="str">
            <v>Carol Ions</v>
          </cell>
          <cell r="G3739" t="str">
            <v>St George's CofE Junior and  Infant School</v>
          </cell>
          <cell r="H3739" t="str">
            <v>West Midlands</v>
          </cell>
          <cell r="I3739" t="str">
            <v>St George's Street</v>
          </cell>
          <cell r="L3739" t="str">
            <v>Birmingham</v>
          </cell>
          <cell r="M3739" t="str">
            <v>West Midlands</v>
          </cell>
          <cell r="N3739" t="str">
            <v>B19 3QY</v>
          </cell>
          <cell r="O3739" t="str">
            <v>enquiry@stgrgb19.bham.sch.uk</v>
          </cell>
        </row>
        <row r="3740">
          <cell r="A3740">
            <v>3824021</v>
          </cell>
          <cell r="B3740">
            <v>107760</v>
          </cell>
          <cell r="C3740">
            <v>382</v>
          </cell>
          <cell r="D3740" t="str">
            <v>Kirklees</v>
          </cell>
          <cell r="E3740">
            <v>4021</v>
          </cell>
          <cell r="F3740" t="str">
            <v>Glyn Newton</v>
          </cell>
          <cell r="G3740" t="str">
            <v>Moor End Technology College</v>
          </cell>
          <cell r="H3740" t="str">
            <v>Yorkshire and the Humber</v>
          </cell>
          <cell r="I3740" t="str">
            <v>Dryclough Road</v>
          </cell>
          <cell r="J3740" t="str">
            <v>Crosland Moor</v>
          </cell>
          <cell r="L3740" t="str">
            <v>Huddersfield</v>
          </cell>
          <cell r="M3740" t="str">
            <v>West Yorkshire</v>
          </cell>
          <cell r="N3740" t="str">
            <v>HD4 5JA</v>
          </cell>
          <cell r="O3740" t="str">
            <v>jacklam@moorendtc.org.uk</v>
          </cell>
          <cell r="P3740">
            <v>40571</v>
          </cell>
        </row>
        <row r="3741">
          <cell r="A3741">
            <v>3115401</v>
          </cell>
          <cell r="B3741">
            <v>102352</v>
          </cell>
          <cell r="C3741">
            <v>311</v>
          </cell>
          <cell r="D3741" t="str">
            <v>Havering</v>
          </cell>
          <cell r="E3741">
            <v>5401</v>
          </cell>
          <cell r="F3741" t="str">
            <v>Lara Shepherd</v>
          </cell>
          <cell r="G3741" t="str">
            <v>Abbs Cross School and Arts College</v>
          </cell>
          <cell r="H3741" t="str">
            <v>London</v>
          </cell>
          <cell r="I3741" t="str">
            <v>Abbs Cross Lane</v>
          </cell>
          <cell r="L3741" t="str">
            <v>Hornchurch</v>
          </cell>
          <cell r="M3741" t="str">
            <v>Essex</v>
          </cell>
          <cell r="N3741" t="str">
            <v>RM12 4YB</v>
          </cell>
          <cell r="O3741" t="str">
            <v>gmayoh.311@lgflmail.org</v>
          </cell>
          <cell r="P3741">
            <v>40527</v>
          </cell>
        </row>
        <row r="3742">
          <cell r="A3742">
            <v>8232217</v>
          </cell>
          <cell r="B3742">
            <v>109528</v>
          </cell>
          <cell r="C3742">
            <v>823</v>
          </cell>
          <cell r="D3742" t="str">
            <v>Central Bedfordshire</v>
          </cell>
          <cell r="E3742">
            <v>2217</v>
          </cell>
          <cell r="F3742" t="str">
            <v>Louise Green</v>
          </cell>
          <cell r="G3742" t="str">
            <v xml:space="preserve">Lark Rise Lower School </v>
          </cell>
          <cell r="H3742" t="str">
            <v>East of England</v>
          </cell>
          <cell r="I3742" t="str">
            <v>Cartmel Drive</v>
          </cell>
          <cell r="L3742" t="str">
            <v>Dunstable</v>
          </cell>
          <cell r="M3742" t="str">
            <v>Bedfordshire</v>
          </cell>
          <cell r="N3742" t="str">
            <v>LU6 3PT</v>
          </cell>
          <cell r="O3742" t="str">
            <v>sueattard@larkrise.com</v>
          </cell>
          <cell r="P3742">
            <v>40359</v>
          </cell>
        </row>
        <row r="3743">
          <cell r="A3743">
            <v>3712183</v>
          </cell>
          <cell r="B3743">
            <v>106745</v>
          </cell>
          <cell r="C3743">
            <v>371</v>
          </cell>
          <cell r="D3743" t="str">
            <v>Doncaster</v>
          </cell>
          <cell r="E3743">
            <v>2183</v>
          </cell>
          <cell r="F3743" t="str">
            <v>June Laughton</v>
          </cell>
          <cell r="G3743" t="str">
            <v>Willow Primary School</v>
          </cell>
          <cell r="H3743" t="str">
            <v>Yorkshire and the Humber</v>
          </cell>
          <cell r="I3743" t="str">
            <v>Alston Road</v>
          </cell>
          <cell r="J3743" t="str">
            <v>Bessacarr</v>
          </cell>
          <cell r="L3743" t="str">
            <v>Doncaster</v>
          </cell>
          <cell r="M3743" t="str">
            <v>South Yorkshire</v>
          </cell>
          <cell r="N3743" t="str">
            <v>DN4 7EZ</v>
          </cell>
          <cell r="O3743" t="str">
            <v>head@willow.doncaster.sch.uk</v>
          </cell>
          <cell r="P3743">
            <v>40640</v>
          </cell>
        </row>
        <row r="3744">
          <cell r="A3744">
            <v>9384107</v>
          </cell>
          <cell r="B3744">
            <v>126089</v>
          </cell>
          <cell r="C3744">
            <v>938</v>
          </cell>
          <cell r="D3744" t="str">
            <v>West Sussex</v>
          </cell>
          <cell r="E3744">
            <v>4107</v>
          </cell>
          <cell r="F3744" t="str">
            <v>Sarah Mitchell</v>
          </cell>
          <cell r="G3744" t="str">
            <v>Sackville School</v>
          </cell>
          <cell r="H3744" t="str">
            <v>South East</v>
          </cell>
          <cell r="I3744" t="str">
            <v>Lewes Road</v>
          </cell>
          <cell r="L3744" t="str">
            <v>East Grinstead</v>
          </cell>
          <cell r="M3744" t="str">
            <v>West Sussex</v>
          </cell>
          <cell r="N3744" t="str">
            <v>RH19 3TY</v>
          </cell>
          <cell r="O3744" t="str">
            <v xml:space="preserve"> mrobson@wsgfl.org.uk</v>
          </cell>
        </row>
        <row r="3745">
          <cell r="A3745">
            <v>9262248</v>
          </cell>
          <cell r="B3745">
            <v>120902</v>
          </cell>
          <cell r="C3745">
            <v>926</v>
          </cell>
          <cell r="D3745" t="str">
            <v>Norfolk</v>
          </cell>
          <cell r="E3745">
            <v>2248</v>
          </cell>
          <cell r="F3745" t="str">
            <v>Joe Farrell</v>
          </cell>
          <cell r="G3745" t="str">
            <v>Thetford Queensway Community Junior School</v>
          </cell>
          <cell r="H3745" t="str">
            <v>East of England</v>
          </cell>
          <cell r="I3745" t="str">
            <v>Hillary Road</v>
          </cell>
          <cell r="L3745" t="str">
            <v>Thetford</v>
          </cell>
          <cell r="M3745" t="str">
            <v>Norfolk</v>
          </cell>
          <cell r="N3745" t="str">
            <v>IP24 3DP</v>
          </cell>
          <cell r="O3745" t="str">
            <v>head@queensway-jun.norfolk.sch.uk</v>
          </cell>
        </row>
        <row r="3746">
          <cell r="A3746">
            <v>9373592</v>
          </cell>
          <cell r="B3746">
            <v>130975</v>
          </cell>
          <cell r="C3746">
            <v>937</v>
          </cell>
          <cell r="D3746" t="str">
            <v>Warwickshire</v>
          </cell>
          <cell r="E3746">
            <v>3592</v>
          </cell>
          <cell r="F3746" t="str">
            <v>Sally Gardiner</v>
          </cell>
          <cell r="G3746" t="str">
            <v>St Nicolas CofE (Voluntary Aided) Primary School</v>
          </cell>
          <cell r="H3746" t="str">
            <v>West Midlands</v>
          </cell>
          <cell r="I3746" t="str">
            <v>Windermere Avenue</v>
          </cell>
          <cell r="L3746" t="str">
            <v>Nuneaton</v>
          </cell>
          <cell r="M3746" t="str">
            <v>Warwickshire</v>
          </cell>
          <cell r="N3746" t="str">
            <v>CV11 6HJ</v>
          </cell>
          <cell r="O3746" t="str">
            <v>head3592@we-learn.com</v>
          </cell>
          <cell r="P3746">
            <v>41157</v>
          </cell>
        </row>
        <row r="3747">
          <cell r="A3747">
            <v>8864045</v>
          </cell>
          <cell r="B3747">
            <v>118790</v>
          </cell>
          <cell r="C3747">
            <v>886</v>
          </cell>
          <cell r="D3747" t="str">
            <v>Kent</v>
          </cell>
          <cell r="E3747">
            <v>4045</v>
          </cell>
          <cell r="F3747" t="str">
            <v>Sarah Mitchell</v>
          </cell>
          <cell r="G3747" t="str">
            <v>Tunbridge Wells Grammar School for Boys</v>
          </cell>
          <cell r="H3747" t="str">
            <v>South East</v>
          </cell>
          <cell r="I3747" t="str">
            <v>St John's Road</v>
          </cell>
          <cell r="L3747" t="str">
            <v>Tunbridge Wells</v>
          </cell>
          <cell r="M3747" t="str">
            <v>Kent</v>
          </cell>
          <cell r="N3747" t="str">
            <v>TN4 9XB</v>
          </cell>
          <cell r="O3747" t="str">
            <v>jharrison@twgsboys.kent.sch.uk</v>
          </cell>
        </row>
        <row r="3748">
          <cell r="A3748">
            <v>8355406</v>
          </cell>
          <cell r="B3748">
            <v>113906</v>
          </cell>
          <cell r="C3748">
            <v>835</v>
          </cell>
          <cell r="D3748" t="str">
            <v>Dorset</v>
          </cell>
          <cell r="E3748">
            <v>5406</v>
          </cell>
          <cell r="F3748" t="str">
            <v>Kate Bosher</v>
          </cell>
          <cell r="G3748" t="str">
            <v>Highcliffe School</v>
          </cell>
          <cell r="H3748" t="str">
            <v>South West</v>
          </cell>
          <cell r="I3748" t="str">
            <v>Parkside</v>
          </cell>
          <cell r="J3748" t="str">
            <v>Highcliffe</v>
          </cell>
          <cell r="L3748" t="str">
            <v>Christchurch</v>
          </cell>
          <cell r="M3748" t="str">
            <v>Dorset</v>
          </cell>
          <cell r="N3748" t="str">
            <v>BH23 4QD</v>
          </cell>
          <cell r="O3748" t="str">
            <v>jcoleman@highcliffe.dorset.sch.uk</v>
          </cell>
          <cell r="P3748">
            <v>40606</v>
          </cell>
        </row>
        <row r="3749">
          <cell r="A3749">
            <v>2083329</v>
          </cell>
          <cell r="B3749">
            <v>100611</v>
          </cell>
          <cell r="C3749">
            <v>208</v>
          </cell>
          <cell r="D3749" t="str">
            <v>Lambeth</v>
          </cell>
          <cell r="E3749">
            <v>3329</v>
          </cell>
          <cell r="F3749" t="str">
            <v>Bola Bakrin</v>
          </cell>
          <cell r="G3749" t="str">
            <v>Christ Church Primary School</v>
          </cell>
          <cell r="H3749" t="str">
            <v>London</v>
          </cell>
          <cell r="I3749" t="str">
            <v>Cotherstone Road</v>
          </cell>
          <cell r="J3749" t="str">
            <v>Streatham</v>
          </cell>
          <cell r="L3749" t="str">
            <v>London</v>
          </cell>
          <cell r="N3749" t="str">
            <v>SW2 3NF</v>
          </cell>
          <cell r="O3749" t="str">
            <v>headteacher@christchurchstreatham.lambeth.sch.uk</v>
          </cell>
        </row>
        <row r="3750">
          <cell r="A3750">
            <v>3055402</v>
          </cell>
          <cell r="B3750">
            <v>101668</v>
          </cell>
          <cell r="C3750">
            <v>305</v>
          </cell>
          <cell r="D3750" t="str">
            <v>Bromley</v>
          </cell>
          <cell r="E3750">
            <v>5402</v>
          </cell>
          <cell r="F3750" t="str">
            <v>Tahir Shams</v>
          </cell>
          <cell r="G3750" t="str">
            <v>Langley Park School for Boys</v>
          </cell>
          <cell r="H3750" t="str">
            <v>London</v>
          </cell>
          <cell r="I3750" t="str">
            <v>Hawksbrook Lane</v>
          </cell>
          <cell r="J3750" t="str">
            <v>South Eden Park Road</v>
          </cell>
          <cell r="L3750" t="str">
            <v>Beckenham</v>
          </cell>
          <cell r="M3750" t="str">
            <v>Kent</v>
          </cell>
          <cell r="N3750" t="str">
            <v>BR3 3BP</v>
          </cell>
          <cell r="O3750" t="str">
            <v>northcottr@lpbs.org.uk</v>
          </cell>
          <cell r="P3750">
            <v>40522</v>
          </cell>
        </row>
        <row r="3751">
          <cell r="A3751">
            <v>8773603</v>
          </cell>
          <cell r="B3751">
            <v>111365</v>
          </cell>
          <cell r="C3751">
            <v>877</v>
          </cell>
          <cell r="D3751" t="str">
            <v>Warrington</v>
          </cell>
          <cell r="E3751">
            <v>3603</v>
          </cell>
          <cell r="F3751" t="str">
            <v>Maria Sabberton</v>
          </cell>
          <cell r="G3751" t="str">
            <v>Winwick C.E. Primary School</v>
          </cell>
          <cell r="H3751" t="str">
            <v>North West</v>
          </cell>
          <cell r="I3751" t="str">
            <v>Myddleton Lane</v>
          </cell>
          <cell r="J3751" t="str">
            <v>Winwick</v>
          </cell>
          <cell r="L3751" t="str">
            <v>Warrington</v>
          </cell>
          <cell r="M3751" t="str">
            <v>Cheshire</v>
          </cell>
          <cell r="N3751" t="str">
            <v>WA2 8LQ</v>
          </cell>
          <cell r="O3751" t="str">
            <v>Winwick_Primary_Head@warrington.gov.uk</v>
          </cell>
        </row>
        <row r="3752">
          <cell r="A3752">
            <v>3337017</v>
          </cell>
          <cell r="B3752">
            <v>132231</v>
          </cell>
          <cell r="C3752">
            <v>333</v>
          </cell>
          <cell r="D3752" t="str">
            <v>Sandwell</v>
          </cell>
          <cell r="E3752">
            <v>7017</v>
          </cell>
          <cell r="F3752" t="str">
            <v>Hannah Copp</v>
          </cell>
          <cell r="G3752" t="str">
            <v>The Meadows Sports College</v>
          </cell>
          <cell r="H3752" t="str">
            <v>West Midlands</v>
          </cell>
          <cell r="I3752" t="str">
            <v>Dudley Road East</v>
          </cell>
          <cell r="L3752" t="str">
            <v>Oldbury</v>
          </cell>
          <cell r="M3752" t="str">
            <v>West Midlands</v>
          </cell>
          <cell r="N3752" t="str">
            <v>B69 3BU</v>
          </cell>
        </row>
        <row r="3753">
          <cell r="A3753">
            <v>3734234</v>
          </cell>
          <cell r="B3753">
            <v>107131</v>
          </cell>
          <cell r="C3753">
            <v>373</v>
          </cell>
          <cell r="D3753" t="str">
            <v>Sheffield</v>
          </cell>
          <cell r="E3753">
            <v>4234</v>
          </cell>
          <cell r="F3753" t="str">
            <v>Alison Biddulph</v>
          </cell>
          <cell r="G3753" t="str">
            <v>Tapton School</v>
          </cell>
          <cell r="H3753" t="str">
            <v>Yorkshire and the Humber</v>
          </cell>
          <cell r="I3753" t="str">
            <v>Darwin Lane</v>
          </cell>
          <cell r="L3753" t="str">
            <v>Sheffield</v>
          </cell>
          <cell r="M3753" t="str">
            <v>South Yorkshire</v>
          </cell>
          <cell r="N3753" t="str">
            <v>S10 5RG</v>
          </cell>
          <cell r="O3753" t="str">
            <v>dkirkham@taptonschool.co.uk</v>
          </cell>
          <cell r="P3753">
            <v>40612</v>
          </cell>
        </row>
        <row r="3754">
          <cell r="A3754">
            <v>8003447</v>
          </cell>
          <cell r="B3754">
            <v>134239</v>
          </cell>
          <cell r="C3754">
            <v>800</v>
          </cell>
          <cell r="D3754" t="str">
            <v>Bath and North East Somerset</v>
          </cell>
          <cell r="E3754">
            <v>3447</v>
          </cell>
          <cell r="F3754" t="str">
            <v>Sean Cox</v>
          </cell>
          <cell r="G3754" t="str">
            <v>Trinity CofE VC Primary School</v>
          </cell>
          <cell r="H3754" t="str">
            <v>South West</v>
          </cell>
          <cell r="I3754" t="str">
            <v>Woodborough Lane</v>
          </cell>
          <cell r="J3754" t="str">
            <v>Radstock</v>
          </cell>
          <cell r="L3754" t="str">
            <v>Bath</v>
          </cell>
          <cell r="M3754" t="str">
            <v>Somerset</v>
          </cell>
          <cell r="N3754" t="str">
            <v>BA3 3JF</v>
          </cell>
          <cell r="O3754" t="str">
            <v>trinity_pri@bathnes.gov.uk</v>
          </cell>
          <cell r="P3754">
            <v>40359</v>
          </cell>
        </row>
        <row r="3755">
          <cell r="A3755">
            <v>8604090</v>
          </cell>
          <cell r="B3755">
            <v>124410</v>
          </cell>
          <cell r="C3755">
            <v>860</v>
          </cell>
          <cell r="D3755" t="str">
            <v>Staffordshire</v>
          </cell>
          <cell r="E3755">
            <v>4090</v>
          </cell>
          <cell r="F3755" t="str">
            <v>Hannah Copp</v>
          </cell>
          <cell r="G3755" t="str">
            <v>Madeley High School</v>
          </cell>
          <cell r="H3755" t="str">
            <v>West Midlands</v>
          </cell>
          <cell r="I3755" t="str">
            <v>Newcastle Road</v>
          </cell>
          <cell r="J3755" t="str">
            <v>Madeley</v>
          </cell>
          <cell r="L3755" t="str">
            <v>Crewe</v>
          </cell>
          <cell r="M3755" t="str">
            <v>Cheshire</v>
          </cell>
          <cell r="N3755" t="str">
            <v>CW3 9JJ</v>
          </cell>
          <cell r="O3755" t="str">
            <v>headteacher@madeley.staffs.sch.uk</v>
          </cell>
        </row>
        <row r="3756">
          <cell r="A3756">
            <v>9364153</v>
          </cell>
          <cell r="B3756">
            <v>125255</v>
          </cell>
          <cell r="C3756">
            <v>936</v>
          </cell>
          <cell r="D3756" t="str">
            <v>Surrey</v>
          </cell>
          <cell r="E3756">
            <v>4153</v>
          </cell>
          <cell r="F3756" t="str">
            <v>Eric Mcewen</v>
          </cell>
          <cell r="G3756" t="str">
            <v>Warlingham School</v>
          </cell>
          <cell r="H3756" t="str">
            <v>South East</v>
          </cell>
          <cell r="I3756" t="str">
            <v>Tithe Pit Shaw Lane</v>
          </cell>
          <cell r="L3756" t="str">
            <v>Warlingham</v>
          </cell>
          <cell r="M3756" t="str">
            <v>Surrey</v>
          </cell>
          <cell r="N3756" t="str">
            <v>CR6 9YB</v>
          </cell>
          <cell r="O3756" t="str">
            <v>woodhousea@warlingham.surrey.sch.uk</v>
          </cell>
          <cell r="P3756">
            <v>41024</v>
          </cell>
        </row>
        <row r="3757">
          <cell r="A3757">
            <v>3582018</v>
          </cell>
          <cell r="B3757">
            <v>106297</v>
          </cell>
          <cell r="C3757">
            <v>358</v>
          </cell>
          <cell r="D3757" t="str">
            <v>Trafford</v>
          </cell>
          <cell r="E3757">
            <v>2018</v>
          </cell>
          <cell r="F3757" t="str">
            <v>Jane McCusker</v>
          </cell>
          <cell r="G3757" t="str">
            <v>Park Road Primary School Sale</v>
          </cell>
          <cell r="H3757" t="str">
            <v>North West</v>
          </cell>
          <cell r="I3757" t="str">
            <v>Abbey Road</v>
          </cell>
          <cell r="L3757" t="str">
            <v>Sale</v>
          </cell>
          <cell r="M3757" t="str">
            <v>Cheshire</v>
          </cell>
          <cell r="N3757" t="str">
            <v>M33 6HT</v>
          </cell>
          <cell r="O3757" t="str">
            <v>pete.martin@tesco.net</v>
          </cell>
        </row>
        <row r="3758">
          <cell r="A3758">
            <v>8912769</v>
          </cell>
          <cell r="B3758">
            <v>122651</v>
          </cell>
          <cell r="C3758">
            <v>891</v>
          </cell>
          <cell r="D3758" t="str">
            <v>Nottinghamshire</v>
          </cell>
          <cell r="E3758">
            <v>2769</v>
          </cell>
          <cell r="F3758" t="str">
            <v>Paul Hayes</v>
          </cell>
          <cell r="G3758" t="str">
            <v>Kinoulton Primary School</v>
          </cell>
          <cell r="H3758" t="str">
            <v>East Midlands</v>
          </cell>
          <cell r="I3758" t="str">
            <v>Main Street</v>
          </cell>
          <cell r="J3758" t="str">
            <v>Kinoulton</v>
          </cell>
          <cell r="L3758" t="str">
            <v>Nottingham</v>
          </cell>
          <cell r="M3758" t="str">
            <v>Nottinghamshire</v>
          </cell>
          <cell r="N3758" t="str">
            <v>NG12 3EL</v>
          </cell>
          <cell r="O3758" t="str">
            <v>head@kinoulton.notts.sch.uk</v>
          </cell>
        </row>
        <row r="3759">
          <cell r="A3759">
            <v>8854010</v>
          </cell>
          <cell r="B3759">
            <v>116933</v>
          </cell>
          <cell r="C3759">
            <v>885</v>
          </cell>
          <cell r="D3759" t="str">
            <v>Worcestershire</v>
          </cell>
          <cell r="E3759">
            <v>4010</v>
          </cell>
          <cell r="F3759" t="str">
            <v>Hannah Copp</v>
          </cell>
          <cell r="G3759" t="str">
            <v>Haybridge High School and Sixth Form</v>
          </cell>
          <cell r="H3759" t="str">
            <v>West Midlands</v>
          </cell>
          <cell r="I3759" t="str">
            <v>Brake Lane</v>
          </cell>
          <cell r="J3759" t="str">
            <v>Hagley</v>
          </cell>
          <cell r="L3759" t="str">
            <v>Stourbridge</v>
          </cell>
          <cell r="M3759" t="str">
            <v>West Midlands</v>
          </cell>
          <cell r="N3759" t="str">
            <v>DY8 2XS</v>
          </cell>
          <cell r="O3759" t="str">
            <v>choddinott@haybridge.worcs.sch.uk</v>
          </cell>
          <cell r="P3759">
            <v>40605</v>
          </cell>
        </row>
        <row r="3760">
          <cell r="A3760">
            <v>9094151</v>
          </cell>
          <cell r="B3760">
            <v>112384</v>
          </cell>
          <cell r="C3760">
            <v>909</v>
          </cell>
          <cell r="D3760" t="str">
            <v>Cumbria</v>
          </cell>
          <cell r="E3760">
            <v>4151</v>
          </cell>
          <cell r="F3760" t="str">
            <v>Cathy Dudley</v>
          </cell>
          <cell r="G3760" t="str">
            <v>John Ruskin School</v>
          </cell>
          <cell r="H3760" t="str">
            <v>North West</v>
          </cell>
          <cell r="I3760" t="str">
            <v>Lake Road</v>
          </cell>
          <cell r="L3760" t="str">
            <v>Coniston</v>
          </cell>
          <cell r="M3760" t="str">
            <v>Cumbria</v>
          </cell>
          <cell r="N3760" t="str">
            <v>LA21 8EW</v>
          </cell>
          <cell r="O3760" t="str">
            <v>m.b@jrs.org.uk</v>
          </cell>
          <cell r="P3760">
            <v>40738</v>
          </cell>
        </row>
        <row r="3761">
          <cell r="A3761">
            <v>9282177</v>
          </cell>
          <cell r="B3761">
            <v>121923</v>
          </cell>
          <cell r="C3761">
            <v>928</v>
          </cell>
          <cell r="D3761" t="str">
            <v>Northamptonshire</v>
          </cell>
          <cell r="E3761">
            <v>2177</v>
          </cell>
          <cell r="F3761" t="str">
            <v>Grant Dyson</v>
          </cell>
          <cell r="G3761" t="str">
            <v>Abington Vale Primary School</v>
          </cell>
          <cell r="H3761" t="str">
            <v>East Midlands</v>
          </cell>
          <cell r="I3761" t="str">
            <v>Ashford Close</v>
          </cell>
          <cell r="J3761" t="str">
            <v>Abington Vale</v>
          </cell>
          <cell r="L3761" t="str">
            <v>Northampton</v>
          </cell>
          <cell r="M3761" t="str">
            <v>Northamptonshire</v>
          </cell>
          <cell r="N3761" t="str">
            <v>NN3 3NQ</v>
          </cell>
          <cell r="O3761" t="str">
            <v>head@avp.northants-ecl.gov.uk</v>
          </cell>
          <cell r="P3761">
            <v>40889</v>
          </cell>
        </row>
        <row r="3762">
          <cell r="A3762">
            <v>3365402</v>
          </cell>
          <cell r="B3762">
            <v>104404</v>
          </cell>
          <cell r="C3762">
            <v>336</v>
          </cell>
          <cell r="D3762" t="str">
            <v>Wolverhampton</v>
          </cell>
          <cell r="E3762">
            <v>5402</v>
          </cell>
          <cell r="F3762" t="str">
            <v>Liz Robinson</v>
          </cell>
          <cell r="G3762" t="str">
            <v>Aldersley High School</v>
          </cell>
          <cell r="H3762" t="str">
            <v>West Midlands</v>
          </cell>
          <cell r="I3762" t="str">
            <v>Barnhurst Lane</v>
          </cell>
          <cell r="J3762" t="str">
            <v>Codsall</v>
          </cell>
          <cell r="L3762" t="str">
            <v>Wolverhampton</v>
          </cell>
          <cell r="M3762" t="str">
            <v>West Midlands</v>
          </cell>
          <cell r="N3762" t="str">
            <v>WV8 1RT</v>
          </cell>
          <cell r="O3762" t="str">
            <v>NDavis@wolverhamptoncyp.org.uk</v>
          </cell>
          <cell r="P3762">
            <v>41103</v>
          </cell>
        </row>
        <row r="3763">
          <cell r="A3763">
            <v>9362381</v>
          </cell>
          <cell r="B3763">
            <v>125036</v>
          </cell>
          <cell r="C3763">
            <v>936</v>
          </cell>
          <cell r="D3763" t="str">
            <v>Surrey</v>
          </cell>
          <cell r="E3763">
            <v>2381</v>
          </cell>
          <cell r="F3763" t="str">
            <v>Gabriela Grimley</v>
          </cell>
          <cell r="G3763" t="str">
            <v>Wallace Fields Infant School</v>
          </cell>
          <cell r="H3763" t="str">
            <v>South East</v>
          </cell>
          <cell r="I3763" t="str">
            <v>Wallace Fields</v>
          </cell>
          <cell r="J3763" t="str">
            <v>Ewell</v>
          </cell>
          <cell r="L3763" t="str">
            <v>Epsom</v>
          </cell>
          <cell r="M3763" t="str">
            <v>Surrey</v>
          </cell>
          <cell r="N3763" t="str">
            <v>KT17 3AS</v>
          </cell>
          <cell r="O3763" t="str">
            <v>head@wallace-fields-infant.surrey.sch.uk</v>
          </cell>
        </row>
        <row r="3764">
          <cell r="A3764">
            <v>9255230</v>
          </cell>
          <cell r="B3764">
            <v>120378</v>
          </cell>
          <cell r="C3764">
            <v>925</v>
          </cell>
          <cell r="D3764" t="str">
            <v>Lincolnshire</v>
          </cell>
          <cell r="E3764">
            <v>5230</v>
          </cell>
          <cell r="F3764" t="str">
            <v>Servet Bicer</v>
          </cell>
          <cell r="G3764" t="str">
            <v>Earl of Dysart Primary School</v>
          </cell>
          <cell r="H3764" t="str">
            <v>East Midlands</v>
          </cell>
          <cell r="I3764" t="str">
            <v>Dysart Road</v>
          </cell>
          <cell r="L3764" t="str">
            <v>Grantham</v>
          </cell>
          <cell r="M3764" t="str">
            <v>Lincolnshire</v>
          </cell>
          <cell r="N3764" t="str">
            <v>NG31 7LP</v>
          </cell>
          <cell r="O3764" t="str">
            <v>trudy.brothwell@wgfederation.com</v>
          </cell>
          <cell r="P3764">
            <v>40357</v>
          </cell>
        </row>
        <row r="3765">
          <cell r="A3765">
            <v>8614185</v>
          </cell>
          <cell r="B3765">
            <v>124448</v>
          </cell>
          <cell r="C3765">
            <v>861</v>
          </cell>
          <cell r="D3765" t="str">
            <v>Stoke-on-Trent</v>
          </cell>
          <cell r="E3765">
            <v>4185</v>
          </cell>
          <cell r="F3765" t="str">
            <v>Susan Shakespeare</v>
          </cell>
          <cell r="G3765" t="str">
            <v>Mitchell High School Business &amp; Enterprise College</v>
          </cell>
          <cell r="H3765" t="str">
            <v>West Midlands</v>
          </cell>
          <cell r="I3765" t="str">
            <v>Corneville Road</v>
          </cell>
          <cell r="J3765" t="str">
            <v>Bucknall</v>
          </cell>
          <cell r="L3765" t="str">
            <v>Stoke-on-Trent</v>
          </cell>
          <cell r="M3765" t="str">
            <v>Staffordshire</v>
          </cell>
          <cell r="N3765" t="str">
            <v>ST2 9EY</v>
          </cell>
          <cell r="O3765" t="str">
            <v>pliddle@sgfl.org.uk</v>
          </cell>
        </row>
        <row r="3766">
          <cell r="A3766">
            <v>9263349</v>
          </cell>
          <cell r="B3766">
            <v>121123</v>
          </cell>
          <cell r="C3766">
            <v>926</v>
          </cell>
          <cell r="D3766" t="str">
            <v>Norfolk</v>
          </cell>
          <cell r="E3766">
            <v>3349</v>
          </cell>
          <cell r="G3766" t="str">
            <v>Overstrand, The Belfry CE VA Primary School</v>
          </cell>
          <cell r="H3766" t="str">
            <v>East of England</v>
          </cell>
          <cell r="I3766" t="str">
            <v>23 Cromer Road</v>
          </cell>
          <cell r="J3766" t="str">
            <v>Overstrand</v>
          </cell>
          <cell r="L3766" t="str">
            <v>Cromer</v>
          </cell>
          <cell r="M3766" t="str">
            <v>Norfolk</v>
          </cell>
          <cell r="N3766" t="str">
            <v>NR27 0NT</v>
          </cell>
          <cell r="O3766" t="str">
            <v>head@overstrand.norfolk.sch.uk</v>
          </cell>
        </row>
        <row r="3767">
          <cell r="A3767">
            <v>9334258</v>
          </cell>
          <cell r="B3767">
            <v>123867</v>
          </cell>
          <cell r="C3767">
            <v>933</v>
          </cell>
          <cell r="D3767" t="str">
            <v>Somerset</v>
          </cell>
          <cell r="E3767">
            <v>4258</v>
          </cell>
          <cell r="F3767" t="str">
            <v>Niko Thomas</v>
          </cell>
          <cell r="G3767" t="str">
            <v>St Dunstan's Community School</v>
          </cell>
          <cell r="H3767" t="str">
            <v>South West</v>
          </cell>
          <cell r="I3767" t="str">
            <v>Wells Road</v>
          </cell>
          <cell r="L3767" t="str">
            <v>Glastonbury</v>
          </cell>
          <cell r="M3767" t="str">
            <v>Somerset</v>
          </cell>
          <cell r="N3767" t="str">
            <v>BA6 9BY</v>
          </cell>
          <cell r="O3767" t="str">
            <v>jstevenson@educ.somerset.gov.uk</v>
          </cell>
          <cell r="P3767">
            <v>40639</v>
          </cell>
        </row>
        <row r="3768">
          <cell r="A3768">
            <v>8782063</v>
          </cell>
          <cell r="B3768">
            <v>113110</v>
          </cell>
          <cell r="C3768">
            <v>878</v>
          </cell>
          <cell r="D3768" t="str">
            <v>Devon</v>
          </cell>
          <cell r="E3768">
            <v>2063</v>
          </cell>
          <cell r="G3768" t="str">
            <v>Sidmouth Infants' School</v>
          </cell>
          <cell r="H3768" t="str">
            <v>South West</v>
          </cell>
          <cell r="I3768" t="str">
            <v>Manstone Avenue</v>
          </cell>
          <cell r="L3768" t="str">
            <v>Sidmouth</v>
          </cell>
          <cell r="M3768" t="str">
            <v>Devon</v>
          </cell>
          <cell r="N3768" t="str">
            <v>EX10 9TJ</v>
          </cell>
          <cell r="O3768" t="str">
            <v>admin@sidmouth-infants.devon.sch.uk</v>
          </cell>
        </row>
        <row r="3769">
          <cell r="A3769">
            <v>9375206</v>
          </cell>
          <cell r="B3769">
            <v>125520</v>
          </cell>
          <cell r="C3769">
            <v>937</v>
          </cell>
          <cell r="D3769" t="str">
            <v>Warwickshire</v>
          </cell>
          <cell r="E3769">
            <v>5206</v>
          </cell>
          <cell r="F3769" t="str">
            <v>Sally Gardiner</v>
          </cell>
          <cell r="G3769" t="str">
            <v>Shipston-on-Stour Primary School</v>
          </cell>
          <cell r="H3769" t="str">
            <v>West Midlands</v>
          </cell>
          <cell r="I3769" t="str">
            <v>Station Road</v>
          </cell>
          <cell r="L3769" t="str">
            <v>Shipston-on-Stour</v>
          </cell>
          <cell r="M3769" t="str">
            <v>Warwickshire</v>
          </cell>
          <cell r="N3769" t="str">
            <v>CV36 4BT</v>
          </cell>
          <cell r="O3769" t="str">
            <v>christianhilton@me.com</v>
          </cell>
          <cell r="P3769">
            <v>41182</v>
          </cell>
        </row>
        <row r="3770">
          <cell r="A3770">
            <v>9367012</v>
          </cell>
          <cell r="B3770">
            <v>125457</v>
          </cell>
          <cell r="C3770">
            <v>936</v>
          </cell>
          <cell r="D3770" t="str">
            <v>Surrey</v>
          </cell>
          <cell r="E3770">
            <v>7012</v>
          </cell>
          <cell r="F3770" t="str">
            <v>Gabriela Grimley</v>
          </cell>
          <cell r="G3770" t="str">
            <v>St Nicholas School</v>
          </cell>
          <cell r="H3770" t="str">
            <v>South East</v>
          </cell>
          <cell r="I3770" t="str">
            <v>Taynton Drive</v>
          </cell>
          <cell r="J3770" t="str">
            <v>Merstham</v>
          </cell>
          <cell r="L3770" t="str">
            <v>Redhill</v>
          </cell>
          <cell r="M3770" t="str">
            <v>Surrey</v>
          </cell>
          <cell r="N3770" t="str">
            <v>RH1 3PU</v>
          </cell>
          <cell r="O3770" t="str">
            <v>head@st-nicholas-merstham.surrey.sch.uk</v>
          </cell>
          <cell r="P3770">
            <v>41164</v>
          </cell>
        </row>
        <row r="3771">
          <cell r="A3771">
            <v>3332118</v>
          </cell>
          <cell r="B3771">
            <v>103939</v>
          </cell>
          <cell r="C3771">
            <v>333</v>
          </cell>
          <cell r="D3771" t="str">
            <v>Sandwell</v>
          </cell>
          <cell r="E3771">
            <v>2118</v>
          </cell>
          <cell r="F3771" t="str">
            <v>Hannah Copp</v>
          </cell>
          <cell r="G3771" t="str">
            <v>Corngreaves Primary School</v>
          </cell>
          <cell r="H3771" t="str">
            <v>West Midlands</v>
          </cell>
          <cell r="I3771" t="str">
            <v>Plant Street</v>
          </cell>
          <cell r="L3771" t="str">
            <v>Cradley Heath</v>
          </cell>
          <cell r="M3771" t="str">
            <v>West Midlands</v>
          </cell>
          <cell r="N3771" t="str">
            <v>B64 6EZ</v>
          </cell>
          <cell r="O3771" t="str">
            <v>tracy.ruddle@corngreaves.sandwell.sch.uk</v>
          </cell>
          <cell r="P3771">
            <v>41101</v>
          </cell>
        </row>
        <row r="3772">
          <cell r="A3772">
            <v>8887117</v>
          </cell>
          <cell r="B3772">
            <v>131259</v>
          </cell>
          <cell r="C3772">
            <v>888</v>
          </cell>
          <cell r="D3772" t="str">
            <v>Lancashire</v>
          </cell>
          <cell r="E3772">
            <v>7117</v>
          </cell>
          <cell r="F3772" t="str">
            <v>Viv Clutton</v>
          </cell>
          <cell r="G3772" t="str">
            <v>Kingsbury Primary Special School</v>
          </cell>
          <cell r="H3772" t="str">
            <v>North West</v>
          </cell>
          <cell r="I3772" t="str">
            <v>School Lane</v>
          </cell>
          <cell r="J3772" t="str">
            <v>Chapel House</v>
          </cell>
          <cell r="L3772" t="str">
            <v>Skelmersdale</v>
          </cell>
          <cell r="M3772" t="str">
            <v>Lancashire</v>
          </cell>
          <cell r="N3772" t="str">
            <v>WN8 8EH</v>
          </cell>
          <cell r="O3772" t="str">
            <v>head@kingsbury.lancs.sch.uk</v>
          </cell>
        </row>
        <row r="3773">
          <cell r="A3773">
            <v>3302151</v>
          </cell>
          <cell r="B3773">
            <v>103242</v>
          </cell>
          <cell r="C3773">
            <v>330</v>
          </cell>
          <cell r="D3773" t="str">
            <v>Birmingham</v>
          </cell>
          <cell r="E3773">
            <v>2151</v>
          </cell>
          <cell r="F3773" t="str">
            <v>Ruth Pallister</v>
          </cell>
          <cell r="G3773" t="str">
            <v>Kings Rise Community Primary School</v>
          </cell>
          <cell r="H3773" t="str">
            <v>West Midlands</v>
          </cell>
          <cell r="I3773" t="str">
            <v>Hornsey Road</v>
          </cell>
          <cell r="L3773" t="str">
            <v>Birmingham</v>
          </cell>
          <cell r="M3773" t="str">
            <v>West Midlands</v>
          </cell>
          <cell r="N3773" t="str">
            <v>B44 0JL</v>
          </cell>
          <cell r="O3773" t="str">
            <v>enquiry@kingrise.bham.sch.uk</v>
          </cell>
        </row>
        <row r="3774">
          <cell r="A3774">
            <v>9373311</v>
          </cell>
          <cell r="B3774">
            <v>125695</v>
          </cell>
          <cell r="C3774">
            <v>937</v>
          </cell>
          <cell r="D3774" t="str">
            <v>Warwickshire</v>
          </cell>
          <cell r="E3774">
            <v>3311</v>
          </cell>
          <cell r="F3774" t="str">
            <v>Julia Waterhouse</v>
          </cell>
          <cell r="G3774" t="str">
            <v>Tanworth-in-Arden CofE Primary School</v>
          </cell>
          <cell r="H3774" t="str">
            <v>West Midlands</v>
          </cell>
          <cell r="I3774" t="str">
            <v>The Green</v>
          </cell>
          <cell r="J3774" t="str">
            <v>Tanworth-in-Arden</v>
          </cell>
          <cell r="L3774" t="str">
            <v>Solihull</v>
          </cell>
          <cell r="M3774" t="str">
            <v>West Midlands</v>
          </cell>
          <cell r="N3774" t="str">
            <v>B94 5AJ</v>
          </cell>
          <cell r="O3774" t="str">
            <v>hartigan.b@we-learn.com</v>
          </cell>
          <cell r="P3774">
            <v>40983</v>
          </cell>
        </row>
        <row r="3775">
          <cell r="A3775">
            <v>8934501</v>
          </cell>
          <cell r="B3775">
            <v>123587</v>
          </cell>
          <cell r="C3775">
            <v>893</v>
          </cell>
          <cell r="D3775" t="str">
            <v>Shropshire</v>
          </cell>
          <cell r="E3775">
            <v>4501</v>
          </cell>
          <cell r="F3775" t="str">
            <v>Julia Waterhouse</v>
          </cell>
          <cell r="G3775" t="str">
            <v>Ludlow Church of England School</v>
          </cell>
          <cell r="H3775" t="str">
            <v>West Midlands</v>
          </cell>
          <cell r="I3775" t="str">
            <v>Bromfield Road</v>
          </cell>
          <cell r="J3775" t="str">
            <v>Burway</v>
          </cell>
          <cell r="L3775" t="str">
            <v>Ludlow</v>
          </cell>
          <cell r="M3775" t="str">
            <v>Shropshire</v>
          </cell>
          <cell r="N3775" t="str">
            <v>SY8 1GJ</v>
          </cell>
        </row>
        <row r="3776">
          <cell r="A3776">
            <v>3055203</v>
          </cell>
          <cell r="B3776">
            <v>101663</v>
          </cell>
          <cell r="C3776">
            <v>305</v>
          </cell>
          <cell r="D3776" t="str">
            <v>Bromley</v>
          </cell>
          <cell r="E3776">
            <v>5203</v>
          </cell>
          <cell r="F3776" t="str">
            <v>Sheila Longstaff</v>
          </cell>
          <cell r="G3776" t="str">
            <v>Highfield Infants' School</v>
          </cell>
          <cell r="H3776" t="str">
            <v>London</v>
          </cell>
          <cell r="I3776" t="str">
            <v>Highfield Drive</v>
          </cell>
          <cell r="J3776" t="str">
            <v>Shortlands</v>
          </cell>
          <cell r="L3776" t="str">
            <v>Bromley</v>
          </cell>
          <cell r="M3776" t="str">
            <v>Kent</v>
          </cell>
          <cell r="N3776" t="str">
            <v>BR2 0RX</v>
          </cell>
          <cell r="O3776" t="str">
            <v>ann.golding@highfield-inf.bromley.sch.uk</v>
          </cell>
        </row>
        <row r="3777">
          <cell r="A3777">
            <v>9163067</v>
          </cell>
          <cell r="B3777">
            <v>115648</v>
          </cell>
          <cell r="C3777">
            <v>916</v>
          </cell>
          <cell r="D3777" t="str">
            <v>Gloucestershire</v>
          </cell>
          <cell r="E3777">
            <v>3067</v>
          </cell>
          <cell r="F3777" t="str">
            <v>Not yet assigned</v>
          </cell>
          <cell r="G3777" t="str">
            <v>Sherborne Church of England Primary School</v>
          </cell>
          <cell r="H3777" t="str">
            <v>South West</v>
          </cell>
          <cell r="I3777" t="str">
            <v>Sherborne</v>
          </cell>
          <cell r="L3777" t="str">
            <v>Cheltenham</v>
          </cell>
          <cell r="M3777" t="str">
            <v>Gloucestershire</v>
          </cell>
          <cell r="N3777" t="str">
            <v>GL54 3DH</v>
          </cell>
          <cell r="O3777" t="str">
            <v>head@sherborne.gloucs.sch.uk</v>
          </cell>
        </row>
        <row r="3778">
          <cell r="A3778">
            <v>8023451</v>
          </cell>
          <cell r="B3778">
            <v>133985</v>
          </cell>
          <cell r="C3778">
            <v>802</v>
          </cell>
          <cell r="D3778" t="str">
            <v>North Somerset</v>
          </cell>
          <cell r="E3778">
            <v>3451</v>
          </cell>
          <cell r="F3778" t="str">
            <v>Simon Foster</v>
          </cell>
          <cell r="G3778" t="str">
            <v>Herons Moor Community Primary School</v>
          </cell>
          <cell r="H3778" t="str">
            <v>South West</v>
          </cell>
          <cell r="I3778" t="str">
            <v>Highlands Lane</v>
          </cell>
          <cell r="J3778" t="str">
            <v>Locking Castle</v>
          </cell>
          <cell r="L3778" t="str">
            <v>Weston-super-Mare</v>
          </cell>
          <cell r="M3778" t="str">
            <v>Somerset</v>
          </cell>
          <cell r="N3778" t="str">
            <v>BS24 7DX</v>
          </cell>
          <cell r="O3778" t="str">
            <v>heronsmoor.pri@n-somerset.gov.uk</v>
          </cell>
          <cell r="P3778">
            <v>41029</v>
          </cell>
        </row>
        <row r="3779">
          <cell r="A3779">
            <v>3444058</v>
          </cell>
          <cell r="B3779">
            <v>105101</v>
          </cell>
          <cell r="C3779">
            <v>344</v>
          </cell>
          <cell r="D3779" t="str">
            <v>Wirral</v>
          </cell>
          <cell r="E3779">
            <v>4058</v>
          </cell>
          <cell r="F3779" t="str">
            <v>Maria Sabberton</v>
          </cell>
          <cell r="G3779" t="str">
            <v>Pensby High School for Girls</v>
          </cell>
          <cell r="H3779" t="str">
            <v>North West</v>
          </cell>
          <cell r="I3779" t="str">
            <v>Irby Road</v>
          </cell>
          <cell r="J3779" t="str">
            <v>Heswall</v>
          </cell>
          <cell r="L3779" t="str">
            <v>Wirral</v>
          </cell>
          <cell r="M3779" t="str">
            <v>Merseyside</v>
          </cell>
          <cell r="N3779" t="str">
            <v>CH61 6XN</v>
          </cell>
          <cell r="O3779" t="str">
            <v>schooloffice@psf.wirral.sch.uk</v>
          </cell>
        </row>
        <row r="3780">
          <cell r="A3780">
            <v>3302015</v>
          </cell>
          <cell r="B3780">
            <v>134102</v>
          </cell>
          <cell r="C3780">
            <v>330</v>
          </cell>
          <cell r="D3780" t="str">
            <v>Birmingham</v>
          </cell>
          <cell r="E3780">
            <v>2015</v>
          </cell>
          <cell r="F3780" t="str">
            <v>Alison Middleton</v>
          </cell>
          <cell r="G3780" t="str">
            <v>James Watt Primary School</v>
          </cell>
          <cell r="H3780" t="str">
            <v>West Midlands</v>
          </cell>
          <cell r="I3780" t="str">
            <v>Boulton Road</v>
          </cell>
          <cell r="J3780" t="str">
            <v>Soho</v>
          </cell>
          <cell r="L3780" t="str">
            <v>Birmingham</v>
          </cell>
          <cell r="M3780" t="str">
            <v>West Midlands</v>
          </cell>
          <cell r="N3780" t="str">
            <v>B21 0RE</v>
          </cell>
          <cell r="O3780" t="str">
            <v>enquiry@jameswattp.bham.sch.uk</v>
          </cell>
        </row>
        <row r="3781">
          <cell r="A3781">
            <v>3305204</v>
          </cell>
          <cell r="B3781">
            <v>103545</v>
          </cell>
          <cell r="C3781">
            <v>330</v>
          </cell>
          <cell r="D3781" t="str">
            <v>Birmingham</v>
          </cell>
          <cell r="E3781">
            <v>5204</v>
          </cell>
          <cell r="F3781" t="str">
            <v>Alison Middleton</v>
          </cell>
          <cell r="G3781" t="str">
            <v>Manor Park Primary School</v>
          </cell>
          <cell r="H3781" t="str">
            <v>West Midlands</v>
          </cell>
          <cell r="I3781" t="str">
            <v>Church Lane</v>
          </cell>
          <cell r="J3781" t="str">
            <v>Aston</v>
          </cell>
          <cell r="L3781" t="str">
            <v>Birmingham</v>
          </cell>
          <cell r="M3781" t="str">
            <v>West Midlands</v>
          </cell>
          <cell r="N3781" t="str">
            <v>B6 5UQ</v>
          </cell>
          <cell r="O3781" t="str">
            <v>jason@manorpark.bham.sch.uk</v>
          </cell>
        </row>
        <row r="3782">
          <cell r="A3782">
            <v>9312587</v>
          </cell>
          <cell r="B3782">
            <v>123073</v>
          </cell>
          <cell r="C3782">
            <v>931</v>
          </cell>
          <cell r="D3782" t="str">
            <v>Oxfordshire</v>
          </cell>
          <cell r="E3782">
            <v>2587</v>
          </cell>
          <cell r="F3782" t="str">
            <v>Sarah Nairne</v>
          </cell>
          <cell r="G3782" t="str">
            <v>Thomas Reade Primary School</v>
          </cell>
          <cell r="H3782" t="str">
            <v>South East</v>
          </cell>
          <cell r="I3782" t="str">
            <v>Radley Road</v>
          </cell>
          <cell r="L3782" t="str">
            <v>Abingdon</v>
          </cell>
          <cell r="M3782" t="str">
            <v>Oxfordshire</v>
          </cell>
          <cell r="N3782" t="str">
            <v>OX14 3RR</v>
          </cell>
          <cell r="O3782" t="str">
            <v>head.2587@thomas-reade.oxon.sch.uk</v>
          </cell>
        </row>
        <row r="3783">
          <cell r="A3783">
            <v>8133058</v>
          </cell>
          <cell r="B3783">
            <v>118007</v>
          </cell>
          <cell r="C3783">
            <v>813</v>
          </cell>
          <cell r="D3783" t="str">
            <v>North Lincolnshire</v>
          </cell>
          <cell r="E3783">
            <v>3058</v>
          </cell>
          <cell r="F3783" t="str">
            <v>Bev Annables</v>
          </cell>
          <cell r="G3783" t="str">
            <v>Belton All Saints CofE Primary School</v>
          </cell>
          <cell r="H3783" t="str">
            <v>Yorkshire and the Humber</v>
          </cell>
          <cell r="I3783" t="str">
            <v>High Street</v>
          </cell>
          <cell r="J3783" t="str">
            <v>Belton</v>
          </cell>
          <cell r="L3783" t="str">
            <v>Doncaster</v>
          </cell>
          <cell r="M3783" t="str">
            <v>South Yorkshire</v>
          </cell>
          <cell r="N3783" t="str">
            <v>DN9 1LR</v>
          </cell>
          <cell r="O3783" t="str">
            <v>head.beltonceprimary@northlincs.gov.uk</v>
          </cell>
        </row>
        <row r="3784">
          <cell r="A3784">
            <v>9294150</v>
          </cell>
          <cell r="B3784">
            <v>122329</v>
          </cell>
          <cell r="C3784">
            <v>929</v>
          </cell>
          <cell r="D3784" t="str">
            <v>Northumberland</v>
          </cell>
          <cell r="E3784">
            <v>4150</v>
          </cell>
          <cell r="F3784" t="str">
            <v>Carol Ions</v>
          </cell>
          <cell r="G3784" t="str">
            <v>Ponteland Middle School</v>
          </cell>
          <cell r="H3784" t="str">
            <v>North East</v>
          </cell>
          <cell r="I3784" t="str">
            <v>Callerton Lane</v>
          </cell>
          <cell r="J3784" t="str">
            <v>Ponteland</v>
          </cell>
          <cell r="L3784" t="str">
            <v>Newcastle-upon-Tyne</v>
          </cell>
          <cell r="M3784" t="str">
            <v>Tyne and Wear</v>
          </cell>
          <cell r="N3784" t="str">
            <v>NE20 9EY</v>
          </cell>
          <cell r="O3784" t="str">
            <v>caroline.pryer@northumberland.gov.uk</v>
          </cell>
        </row>
        <row r="3785">
          <cell r="A3785">
            <v>3594612</v>
          </cell>
          <cell r="B3785">
            <v>106536</v>
          </cell>
          <cell r="C3785">
            <v>359</v>
          </cell>
          <cell r="D3785" t="str">
            <v>Wigan</v>
          </cell>
          <cell r="E3785">
            <v>4612</v>
          </cell>
          <cell r="F3785" t="str">
            <v>Viv Clutton</v>
          </cell>
          <cell r="G3785" t="str">
            <v>Hesketh Fletcher Church of England High School</v>
          </cell>
          <cell r="H3785" t="str">
            <v>North West</v>
          </cell>
          <cell r="I3785" t="str">
            <v>Hamilton Street</v>
          </cell>
          <cell r="J3785" t="str">
            <v>Atherton</v>
          </cell>
          <cell r="L3785" t="str">
            <v>Manchester</v>
          </cell>
          <cell r="N3785" t="str">
            <v>M46 0AY</v>
          </cell>
          <cell r="O3785" t="str">
            <v xml:space="preserve"> j.rowlands@heskethfletcher.wigan.sch.uk</v>
          </cell>
        </row>
        <row r="3786">
          <cell r="A3786">
            <v>8522004</v>
          </cell>
          <cell r="B3786">
            <v>133943</v>
          </cell>
          <cell r="C3786">
            <v>852</v>
          </cell>
          <cell r="D3786" t="str">
            <v>Southampton</v>
          </cell>
          <cell r="E3786">
            <v>2004</v>
          </cell>
          <cell r="F3786" t="str">
            <v>Lindsay Morris</v>
          </cell>
          <cell r="G3786" t="str">
            <v>Sinclair Primary and Nursery School</v>
          </cell>
          <cell r="H3786" t="str">
            <v>South East</v>
          </cell>
          <cell r="I3786" t="str">
            <v>Sinclair Road</v>
          </cell>
          <cell r="J3786" t="str">
            <v>Lordshill</v>
          </cell>
          <cell r="L3786" t="str">
            <v>Southampton</v>
          </cell>
          <cell r="M3786" t="str">
            <v>Hampshire</v>
          </cell>
          <cell r="N3786" t="str">
            <v>SO16 8GF</v>
          </cell>
          <cell r="O3786" t="str">
            <v>head@holyfamily.southampton.sch.uk</v>
          </cell>
        </row>
        <row r="3787">
          <cell r="A3787">
            <v>8522426</v>
          </cell>
          <cell r="B3787">
            <v>116105</v>
          </cell>
          <cell r="C3787">
            <v>852</v>
          </cell>
          <cell r="D3787" t="str">
            <v>Southampton</v>
          </cell>
          <cell r="E3787">
            <v>2426</v>
          </cell>
          <cell r="F3787" t="str">
            <v>Bukky Sawyerr</v>
          </cell>
          <cell r="G3787" t="str">
            <v>Shirley Infant School</v>
          </cell>
          <cell r="H3787" t="str">
            <v>South East</v>
          </cell>
          <cell r="I3787" t="str">
            <v>Bellemoor Road</v>
          </cell>
          <cell r="L3787" t="str">
            <v>Southampton</v>
          </cell>
          <cell r="M3787" t="str">
            <v>Hampshire</v>
          </cell>
          <cell r="N3787" t="str">
            <v>SO15 5XE</v>
          </cell>
          <cell r="O3787" t="str">
            <v>head@shirley-inf.southampton.sch.uk</v>
          </cell>
          <cell r="P3787">
            <v>40984</v>
          </cell>
        </row>
        <row r="3788">
          <cell r="A3788">
            <v>8782410</v>
          </cell>
          <cell r="B3788">
            <v>113193</v>
          </cell>
          <cell r="C3788">
            <v>878</v>
          </cell>
          <cell r="D3788" t="str">
            <v>Devon</v>
          </cell>
          <cell r="E3788">
            <v>2410</v>
          </cell>
          <cell r="F3788" t="str">
            <v>Kate Bosher</v>
          </cell>
          <cell r="G3788" t="str">
            <v>Christow Community School</v>
          </cell>
          <cell r="H3788" t="str">
            <v>South West</v>
          </cell>
          <cell r="I3788" t="str">
            <v>Dry Lane</v>
          </cell>
          <cell r="J3788" t="str">
            <v>Christow</v>
          </cell>
          <cell r="L3788" t="str">
            <v>Exeter</v>
          </cell>
          <cell r="M3788" t="str">
            <v>Devon</v>
          </cell>
          <cell r="N3788" t="str">
            <v>EX6 7PE</v>
          </cell>
          <cell r="O3788" t="str">
            <v>dlamoon@christow.devon.sch.uk</v>
          </cell>
          <cell r="P3788">
            <v>40813</v>
          </cell>
        </row>
        <row r="3789">
          <cell r="A3789">
            <v>9351111</v>
          </cell>
          <cell r="B3789">
            <v>134918</v>
          </cell>
          <cell r="C3789">
            <v>935</v>
          </cell>
          <cell r="D3789" t="str">
            <v>Suffolk</v>
          </cell>
          <cell r="E3789">
            <v>1111</v>
          </cell>
          <cell r="F3789" t="str">
            <v>Eric Mcewen</v>
          </cell>
          <cell r="G3789" t="str">
            <v>Alderwood</v>
          </cell>
          <cell r="H3789" t="str">
            <v>East of England</v>
          </cell>
          <cell r="I3789" t="str">
            <v>Raeburn Road</v>
          </cell>
          <cell r="L3789" t="str">
            <v>Ipswich</v>
          </cell>
          <cell r="M3789" t="str">
            <v>Suffolk</v>
          </cell>
          <cell r="N3789" t="str">
            <v>IP3 0EW</v>
          </cell>
          <cell r="O3789" t="str">
            <v>lindsay.last@alderwood.suffok.sch.uk</v>
          </cell>
        </row>
        <row r="3790">
          <cell r="A3790">
            <v>2125402</v>
          </cell>
          <cell r="B3790">
            <v>101060</v>
          </cell>
          <cell r="C3790">
            <v>212</v>
          </cell>
          <cell r="D3790" t="str">
            <v>Wandsworth</v>
          </cell>
          <cell r="E3790">
            <v>5402</v>
          </cell>
          <cell r="F3790" t="str">
            <v>Gemma Bauxer</v>
          </cell>
          <cell r="G3790" t="str">
            <v>Elliott School</v>
          </cell>
          <cell r="H3790" t="str">
            <v>London</v>
          </cell>
          <cell r="I3790" t="str">
            <v>Pullman Gardens</v>
          </cell>
          <cell r="J3790" t="str">
            <v>Putney</v>
          </cell>
          <cell r="L3790" t="str">
            <v>London</v>
          </cell>
          <cell r="N3790" t="str">
            <v>SW15 3DG</v>
          </cell>
          <cell r="O3790" t="str">
            <v>mphillips@elliott-school.org.uk</v>
          </cell>
          <cell r="P3790">
            <v>40837</v>
          </cell>
        </row>
        <row r="3791">
          <cell r="A3791">
            <v>8782409</v>
          </cell>
          <cell r="B3791">
            <v>113192</v>
          </cell>
          <cell r="C3791">
            <v>878</v>
          </cell>
          <cell r="D3791" t="str">
            <v>Devon</v>
          </cell>
          <cell r="E3791">
            <v>2409</v>
          </cell>
          <cell r="F3791" t="str">
            <v>Susan Phillips</v>
          </cell>
          <cell r="G3791" t="str">
            <v>Buckfastleigh Primary School</v>
          </cell>
          <cell r="H3791" t="str">
            <v>South West</v>
          </cell>
          <cell r="I3791" t="str">
            <v>Bossell Road</v>
          </cell>
          <cell r="L3791" t="str">
            <v>Buckfastleigh</v>
          </cell>
          <cell r="M3791" t="str">
            <v>Devon</v>
          </cell>
          <cell r="N3791" t="str">
            <v>TQ11 0DD</v>
          </cell>
          <cell r="O3791" t="str">
            <v>nbanwell@buckfastleigh.devon.sch.uk</v>
          </cell>
          <cell r="P3791">
            <v>40578</v>
          </cell>
        </row>
        <row r="3792">
          <cell r="A3792">
            <v>9264605</v>
          </cell>
          <cell r="B3792">
            <v>121189</v>
          </cell>
          <cell r="C3792">
            <v>926</v>
          </cell>
          <cell r="D3792" t="str">
            <v>Norfolk</v>
          </cell>
          <cell r="E3792">
            <v>4605</v>
          </cell>
          <cell r="F3792" t="str">
            <v>Michael Cook</v>
          </cell>
          <cell r="G3792" t="str">
            <v>Notre Dame High School, Norwich</v>
          </cell>
          <cell r="H3792" t="str">
            <v>East of England</v>
          </cell>
          <cell r="I3792" t="str">
            <v>Surrey Street</v>
          </cell>
          <cell r="L3792" t="str">
            <v>Norwich</v>
          </cell>
          <cell r="M3792" t="str">
            <v>Norfolk</v>
          </cell>
          <cell r="N3792" t="str">
            <v>NR1 3PB</v>
          </cell>
          <cell r="O3792" t="str">
            <v>bconway@notredamehigh.norfolk.sch.uk</v>
          </cell>
          <cell r="P3792">
            <v>40870</v>
          </cell>
        </row>
        <row r="3793">
          <cell r="A3793">
            <v>8942181</v>
          </cell>
          <cell r="B3793">
            <v>123449</v>
          </cell>
          <cell r="C3793">
            <v>894</v>
          </cell>
          <cell r="D3793" t="str">
            <v>Telford and Wrekin</v>
          </cell>
          <cell r="E3793">
            <v>2181</v>
          </cell>
          <cell r="F3793" t="str">
            <v>Beverley Samuel</v>
          </cell>
          <cell r="G3793" t="str">
            <v>Priorslee Primary School</v>
          </cell>
          <cell r="H3793" t="str">
            <v>West Midlands</v>
          </cell>
          <cell r="I3793" t="str">
            <v>Priorslee Avenue</v>
          </cell>
          <cell r="J3793" t="str">
            <v>Priorslee</v>
          </cell>
          <cell r="L3793" t="str">
            <v>Telford</v>
          </cell>
          <cell r="M3793" t="str">
            <v>Shropshire</v>
          </cell>
          <cell r="N3793" t="str">
            <v>TF2 9RS</v>
          </cell>
          <cell r="O3793" t="str">
            <v>wendy.moore@taw.org.uk</v>
          </cell>
          <cell r="P3793">
            <v>40382</v>
          </cell>
        </row>
        <row r="3794">
          <cell r="A3794">
            <v>9377000</v>
          </cell>
          <cell r="B3794">
            <v>125794</v>
          </cell>
          <cell r="C3794">
            <v>937</v>
          </cell>
          <cell r="D3794" t="str">
            <v>Warwickshire</v>
          </cell>
          <cell r="E3794">
            <v>7000</v>
          </cell>
          <cell r="F3794" t="str">
            <v>Tony Bretherick</v>
          </cell>
          <cell r="G3794" t="str">
            <v>Exhall Grange School and Science College</v>
          </cell>
          <cell r="H3794" t="str">
            <v>West Midlands</v>
          </cell>
          <cell r="I3794" t="str">
            <v>Easter Way</v>
          </cell>
          <cell r="J3794" t="str">
            <v>Ash Green</v>
          </cell>
          <cell r="L3794" t="str">
            <v>Coventry</v>
          </cell>
          <cell r="M3794" t="str">
            <v>Warwickshire</v>
          </cell>
          <cell r="N3794" t="str">
            <v>CV7 9HP</v>
          </cell>
          <cell r="O3794" t="str">
            <v>christine.c1@we-learn.com</v>
          </cell>
        </row>
        <row r="3795">
          <cell r="A3795">
            <v>9082405</v>
          </cell>
          <cell r="B3795">
            <v>111884</v>
          </cell>
          <cell r="C3795">
            <v>908</v>
          </cell>
          <cell r="D3795" t="str">
            <v>Cornwall</v>
          </cell>
          <cell r="E3795">
            <v>2405</v>
          </cell>
          <cell r="F3795" t="str">
            <v>Kate Bosher</v>
          </cell>
          <cell r="G3795" t="str">
            <v>Mawgan-in-Pydar Community Primary School</v>
          </cell>
          <cell r="H3795" t="str">
            <v>South West</v>
          </cell>
          <cell r="I3795" t="str">
            <v>St Mawgan Village</v>
          </cell>
          <cell r="L3795" t="str">
            <v>Newquay</v>
          </cell>
          <cell r="M3795" t="str">
            <v>Cornwall</v>
          </cell>
          <cell r="N3795" t="str">
            <v>TR8 4EP</v>
          </cell>
          <cell r="O3795" t="str">
            <v>head@mawgan-in-pydar.cornwall.sch.uk</v>
          </cell>
        </row>
        <row r="3796">
          <cell r="A3796">
            <v>9252207</v>
          </cell>
          <cell r="B3796">
            <v>120489</v>
          </cell>
          <cell r="C3796">
            <v>925</v>
          </cell>
          <cell r="D3796" t="str">
            <v>Lincolnshire</v>
          </cell>
          <cell r="E3796">
            <v>2207</v>
          </cell>
          <cell r="F3796" t="str">
            <v>Grant Dyson</v>
          </cell>
          <cell r="G3796" t="str">
            <v>The White's Wood Lane Community Junior School, Gainsborough</v>
          </cell>
          <cell r="H3796" t="str">
            <v>East Midlands</v>
          </cell>
          <cell r="I3796" t="str">
            <v>Whites Wood Lane</v>
          </cell>
          <cell r="L3796" t="str">
            <v>Gainsborough</v>
          </cell>
          <cell r="M3796" t="str">
            <v>Lincolnshire</v>
          </cell>
          <cell r="N3796" t="str">
            <v>DN21 1TJ</v>
          </cell>
          <cell r="O3796" t="str">
            <v>sharron.close@whiteswoodlane.lincs.sch.uk</v>
          </cell>
          <cell r="P3796">
            <v>41205</v>
          </cell>
        </row>
        <row r="3797">
          <cell r="A3797">
            <v>9282028</v>
          </cell>
          <cell r="B3797">
            <v>121816</v>
          </cell>
          <cell r="C3797">
            <v>928</v>
          </cell>
          <cell r="D3797" t="str">
            <v>Northamptonshire</v>
          </cell>
          <cell r="E3797">
            <v>2028</v>
          </cell>
          <cell r="F3797" t="str">
            <v>Sue Harp</v>
          </cell>
          <cell r="G3797" t="str">
            <v>Havelock Infant School</v>
          </cell>
          <cell r="H3797" t="str">
            <v>East Midlands</v>
          </cell>
          <cell r="I3797" t="str">
            <v>Havelock Street</v>
          </cell>
          <cell r="J3797" t="str">
            <v>Desborough</v>
          </cell>
          <cell r="L3797" t="str">
            <v>Kettering</v>
          </cell>
          <cell r="M3797" t="str">
            <v>Northamptonshire</v>
          </cell>
          <cell r="N3797" t="str">
            <v>NN14 2LU</v>
          </cell>
          <cell r="O3797" t="str">
            <v>head@havelock-inf.northants-ecl.gov.uk</v>
          </cell>
        </row>
        <row r="3798">
          <cell r="A3798">
            <v>9213012</v>
          </cell>
          <cell r="B3798">
            <v>118189</v>
          </cell>
          <cell r="C3798">
            <v>921</v>
          </cell>
          <cell r="D3798" t="str">
            <v>Isle of Wight</v>
          </cell>
          <cell r="E3798">
            <v>3012</v>
          </cell>
          <cell r="F3798" t="str">
            <v>Lindsay Morris</v>
          </cell>
          <cell r="G3798" t="str">
            <v>Shanklin Church of England Primary School</v>
          </cell>
          <cell r="H3798" t="str">
            <v>South East</v>
          </cell>
          <cell r="I3798" t="str">
            <v>Albert Road</v>
          </cell>
          <cell r="L3798" t="str">
            <v>Shanklin</v>
          </cell>
          <cell r="M3798" t="str">
            <v>Isle of Wight</v>
          </cell>
          <cell r="N3798" t="str">
            <v>PO37 7LY</v>
          </cell>
        </row>
        <row r="3799">
          <cell r="A3799">
            <v>8922110</v>
          </cell>
          <cell r="B3799">
            <v>122454</v>
          </cell>
          <cell r="C3799">
            <v>892</v>
          </cell>
          <cell r="D3799" t="str">
            <v>Nottingham</v>
          </cell>
          <cell r="E3799">
            <v>2110</v>
          </cell>
          <cell r="F3799" t="str">
            <v>Linda Brooks</v>
          </cell>
          <cell r="G3799" t="str">
            <v>Southwark Primary School</v>
          </cell>
          <cell r="H3799" t="str">
            <v>East Midlands</v>
          </cell>
          <cell r="I3799" t="str">
            <v>Bulwell Lane</v>
          </cell>
          <cell r="J3799" t="str">
            <v>Old Basford</v>
          </cell>
          <cell r="L3799" t="str">
            <v>Nottingham</v>
          </cell>
          <cell r="M3799" t="str">
            <v>Nottinghamshire</v>
          </cell>
          <cell r="N3799" t="str">
            <v>NG6 0BS</v>
          </cell>
          <cell r="O3799" t="str">
            <v>headteacher@southwark.nottingham.sch.uk</v>
          </cell>
          <cell r="P3799">
            <v>40676</v>
          </cell>
        </row>
        <row r="3800">
          <cell r="A3800">
            <v>9284098</v>
          </cell>
          <cell r="B3800">
            <v>122092</v>
          </cell>
          <cell r="C3800">
            <v>928</v>
          </cell>
          <cell r="D3800" t="str">
            <v>Northamptonshire</v>
          </cell>
          <cell r="E3800">
            <v>4098</v>
          </cell>
          <cell r="F3800" t="str">
            <v>Stephen Standret</v>
          </cell>
          <cell r="G3800" t="str">
            <v>The Rushden Community College Specialising in Mathematics and Computing</v>
          </cell>
          <cell r="H3800" t="str">
            <v>East Midlands</v>
          </cell>
          <cell r="I3800" t="str">
            <v>Hayway</v>
          </cell>
          <cell r="L3800" t="str">
            <v>Rushden</v>
          </cell>
          <cell r="M3800" t="str">
            <v>Northamptonshire</v>
          </cell>
          <cell r="N3800" t="str">
            <v>NN10 6AG</v>
          </cell>
          <cell r="O3800" t="str">
            <v>head@rushden.northants-ecl.gov.uk</v>
          </cell>
        </row>
        <row r="3801">
          <cell r="A3801">
            <v>3712123</v>
          </cell>
          <cell r="B3801">
            <v>106704</v>
          </cell>
          <cell r="C3801">
            <v>371</v>
          </cell>
          <cell r="D3801" t="str">
            <v>Doncaster</v>
          </cell>
          <cell r="E3801">
            <v>2123</v>
          </cell>
          <cell r="F3801" t="str">
            <v>Claire Ryan</v>
          </cell>
          <cell r="G3801" t="str">
            <v>Kirk Sandall Infant School</v>
          </cell>
          <cell r="H3801" t="str">
            <v>Yorkshire and the Humber</v>
          </cell>
          <cell r="I3801" t="str">
            <v>Queen Mary Crescent</v>
          </cell>
          <cell r="J3801" t="str">
            <v>Kirk Sandall</v>
          </cell>
          <cell r="L3801" t="str">
            <v>Doncaster</v>
          </cell>
          <cell r="M3801" t="str">
            <v>South Yorkshire</v>
          </cell>
          <cell r="N3801" t="str">
            <v>DN3 1JT</v>
          </cell>
          <cell r="O3801" t="str">
            <v>head@ksinfantschool.co.uk</v>
          </cell>
          <cell r="P3801">
            <v>41046</v>
          </cell>
        </row>
        <row r="3802">
          <cell r="A3802">
            <v>8114051</v>
          </cell>
          <cell r="B3802">
            <v>118073</v>
          </cell>
          <cell r="C3802">
            <v>811</v>
          </cell>
          <cell r="D3802" t="str">
            <v>East Riding of Yorkshire</v>
          </cell>
          <cell r="E3802">
            <v>4051</v>
          </cell>
          <cell r="G3802" t="str">
            <v>Longcroft School</v>
          </cell>
          <cell r="H3802" t="str">
            <v>Yorkshire and the Humber</v>
          </cell>
          <cell r="I3802" t="str">
            <v>Burton Road</v>
          </cell>
          <cell r="L3802" t="str">
            <v>Beverley</v>
          </cell>
          <cell r="N3802" t="str">
            <v>HU17 7EJ</v>
          </cell>
          <cell r="O3802" t="str">
            <v>lesley.hughes@longcroft.eriding.net</v>
          </cell>
        </row>
        <row r="3803">
          <cell r="A3803">
            <v>3094036</v>
          </cell>
          <cell r="B3803">
            <v>131758</v>
          </cell>
          <cell r="C3803">
            <v>309</v>
          </cell>
          <cell r="D3803" t="str">
            <v>Haringey</v>
          </cell>
          <cell r="E3803">
            <v>4036</v>
          </cell>
          <cell r="F3803" t="str">
            <v>Sheila Longstaff</v>
          </cell>
          <cell r="G3803" t="str">
            <v>Alexandra Park School</v>
          </cell>
          <cell r="H3803" t="str">
            <v>London</v>
          </cell>
          <cell r="I3803" t="str">
            <v>Bidwell Gardens</v>
          </cell>
          <cell r="L3803" t="str">
            <v>London</v>
          </cell>
          <cell r="N3803" t="str">
            <v>N11 2AZ</v>
          </cell>
          <cell r="O3803" t="str">
            <v>mmckenzie@apsch.org.uk</v>
          </cell>
          <cell r="P3803">
            <v>40596</v>
          </cell>
        </row>
        <row r="3804">
          <cell r="A3804">
            <v>9283510</v>
          </cell>
          <cell r="B3804">
            <v>134900</v>
          </cell>
          <cell r="C3804">
            <v>928</v>
          </cell>
          <cell r="D3804" t="str">
            <v>Northamptonshire</v>
          </cell>
          <cell r="E3804">
            <v>3510</v>
          </cell>
          <cell r="F3804" t="str">
            <v>Jamie Kelly</v>
          </cell>
          <cell r="G3804" t="str">
            <v>Beanfield Primary School</v>
          </cell>
          <cell r="H3804" t="str">
            <v>East Midlands</v>
          </cell>
          <cell r="I3804" t="str">
            <v>Farmstead Road</v>
          </cell>
          <cell r="L3804" t="str">
            <v>Corby</v>
          </cell>
          <cell r="M3804" t="str">
            <v>Northamptonshire</v>
          </cell>
          <cell r="N3804" t="str">
            <v>NN18 0LJ</v>
          </cell>
          <cell r="O3804" t="str">
            <v>Head@beanfield-pri.northants-ecl.gov.uk</v>
          </cell>
        </row>
        <row r="3805">
          <cell r="A3805">
            <v>9165415</v>
          </cell>
          <cell r="B3805">
            <v>115766</v>
          </cell>
          <cell r="C3805">
            <v>916</v>
          </cell>
          <cell r="D3805" t="str">
            <v>Gloucestershire</v>
          </cell>
          <cell r="E3805">
            <v>5415</v>
          </cell>
          <cell r="F3805" t="str">
            <v>Dominic Wilson</v>
          </cell>
          <cell r="G3805" t="str">
            <v>Wyedean School and 6th Form Centre</v>
          </cell>
          <cell r="H3805" t="str">
            <v>South West</v>
          </cell>
          <cell r="I3805" t="str">
            <v>Beachley Road</v>
          </cell>
          <cell r="J3805" t="str">
            <v>Sedbury</v>
          </cell>
          <cell r="L3805" t="str">
            <v>Chepstow</v>
          </cell>
          <cell r="M3805" t="str">
            <v>Gloucestershire</v>
          </cell>
          <cell r="N3805" t="str">
            <v>NP16 7AA</v>
          </cell>
          <cell r="O3805" t="str">
            <v>clivepemberton@wyedean.gloucs.sch.uk</v>
          </cell>
          <cell r="P3805">
            <v>40674</v>
          </cell>
        </row>
        <row r="3806">
          <cell r="A3806">
            <v>8733373</v>
          </cell>
          <cell r="B3806">
            <v>110850</v>
          </cell>
          <cell r="C3806">
            <v>873</v>
          </cell>
          <cell r="D3806" t="str">
            <v>Cambridgeshire</v>
          </cell>
          <cell r="E3806">
            <v>3373</v>
          </cell>
          <cell r="F3806" t="str">
            <v>Yvonne Reddington</v>
          </cell>
          <cell r="G3806" t="str">
            <v>Abbots Ripton CofE Primary School</v>
          </cell>
          <cell r="H3806" t="str">
            <v>East of England</v>
          </cell>
          <cell r="I3806" t="str">
            <v>Wennington Road</v>
          </cell>
          <cell r="J3806" t="str">
            <v>Abbots Ripton</v>
          </cell>
          <cell r="L3806" t="str">
            <v>Huntingdon</v>
          </cell>
          <cell r="M3806" t="str">
            <v>Cambridgeshire</v>
          </cell>
          <cell r="N3806" t="str">
            <v>PE28 2LT</v>
          </cell>
          <cell r="O3806" t="str">
            <v>head@abbotsripton.cambs.sch.uk</v>
          </cell>
        </row>
        <row r="3807">
          <cell r="A3807">
            <v>8874174</v>
          </cell>
          <cell r="B3807">
            <v>118817</v>
          </cell>
          <cell r="C3807">
            <v>887</v>
          </cell>
          <cell r="D3807" t="str">
            <v>Medway</v>
          </cell>
          <cell r="E3807">
            <v>4174</v>
          </cell>
          <cell r="F3807" t="str">
            <v>Sarah Mitchell</v>
          </cell>
          <cell r="G3807" t="str">
            <v>Greenacre School</v>
          </cell>
          <cell r="H3807" t="str">
            <v>South East</v>
          </cell>
          <cell r="I3807" t="str">
            <v>157 Walderslade Road</v>
          </cell>
          <cell r="J3807" t="str">
            <v>Walderslade</v>
          </cell>
          <cell r="L3807" t="str">
            <v>Chatham</v>
          </cell>
          <cell r="M3807" t="str">
            <v>Kent</v>
          </cell>
          <cell r="N3807" t="str">
            <v>ME5 0LP</v>
          </cell>
          <cell r="O3807" t="str">
            <v>reesa002@medway.org.uk</v>
          </cell>
          <cell r="P3807">
            <v>40639</v>
          </cell>
        </row>
        <row r="3808">
          <cell r="A3808">
            <v>9294426</v>
          </cell>
          <cell r="B3808">
            <v>122358</v>
          </cell>
          <cell r="C3808">
            <v>929</v>
          </cell>
          <cell r="D3808" t="str">
            <v>Northumberland</v>
          </cell>
          <cell r="E3808">
            <v>4426</v>
          </cell>
          <cell r="F3808" t="str">
            <v>Lisa Sargeant</v>
          </cell>
          <cell r="G3808" t="str">
            <v>Ponteland High School</v>
          </cell>
          <cell r="H3808" t="str">
            <v>North East</v>
          </cell>
          <cell r="I3808" t="str">
            <v>Callerton Lane</v>
          </cell>
          <cell r="J3808" t="str">
            <v>Ponteland</v>
          </cell>
          <cell r="L3808" t="str">
            <v>Newcastle-upon-Tyne</v>
          </cell>
          <cell r="M3808" t="str">
            <v>Tyne and Wear</v>
          </cell>
          <cell r="N3808" t="str">
            <v>NE20 9EY</v>
          </cell>
          <cell r="O3808" t="str">
            <v>sjp@pchs.northumberland.sch.uk</v>
          </cell>
        </row>
        <row r="3809">
          <cell r="A3809">
            <v>3355401</v>
          </cell>
          <cell r="B3809">
            <v>104259</v>
          </cell>
          <cell r="C3809">
            <v>335</v>
          </cell>
          <cell r="D3809" t="str">
            <v>Walsall</v>
          </cell>
          <cell r="E3809">
            <v>5401</v>
          </cell>
          <cell r="G3809" t="str">
            <v>St Thomas More Catholic School, Willenhall</v>
          </cell>
          <cell r="H3809" t="str">
            <v>West Midlands</v>
          </cell>
          <cell r="I3809" t="str">
            <v>Darlaston Lane</v>
          </cell>
          <cell r="L3809" t="str">
            <v>Bilston</v>
          </cell>
          <cell r="M3809" t="str">
            <v>West Midlands</v>
          </cell>
          <cell r="N3809" t="str">
            <v>WV14 7BL</v>
          </cell>
          <cell r="O3809" t="str">
            <v>flynn_stm@yahoo.co.uk</v>
          </cell>
        </row>
        <row r="3810">
          <cell r="A3810">
            <v>8914413</v>
          </cell>
          <cell r="B3810">
            <v>122868</v>
          </cell>
          <cell r="C3810">
            <v>891</v>
          </cell>
          <cell r="D3810" t="str">
            <v>Nottinghamshire</v>
          </cell>
          <cell r="E3810">
            <v>4413</v>
          </cell>
          <cell r="F3810" t="str">
            <v>Jacki Couch</v>
          </cell>
          <cell r="G3810" t="str">
            <v>Harry Carlton Comprehensive School</v>
          </cell>
          <cell r="H3810" t="str">
            <v>East Midlands</v>
          </cell>
          <cell r="I3810" t="str">
            <v>Lantern Lane</v>
          </cell>
          <cell r="J3810" t="str">
            <v>East Leake</v>
          </cell>
          <cell r="L3810" t="str">
            <v>Loughborough</v>
          </cell>
          <cell r="M3810" t="str">
            <v>Leicestershire</v>
          </cell>
          <cell r="N3810" t="str">
            <v>LE12 6QN</v>
          </cell>
          <cell r="O3810" t="str">
            <v>glegg@harrycarlton.co.uk</v>
          </cell>
          <cell r="P3810">
            <v>40813</v>
          </cell>
        </row>
        <row r="3811">
          <cell r="A3811">
            <v>3065407</v>
          </cell>
          <cell r="B3811">
            <v>101825</v>
          </cell>
          <cell r="C3811">
            <v>306</v>
          </cell>
          <cell r="D3811" t="str">
            <v>Croydon</v>
          </cell>
          <cell r="E3811">
            <v>5407</v>
          </cell>
          <cell r="F3811" t="str">
            <v>Helen Barry</v>
          </cell>
          <cell r="G3811" t="str">
            <v>Shirley High School Performing Arts College</v>
          </cell>
          <cell r="H3811" t="str">
            <v>London</v>
          </cell>
          <cell r="I3811" t="str">
            <v>Shirley Church Road</v>
          </cell>
          <cell r="L3811" t="str">
            <v>Croydon</v>
          </cell>
          <cell r="M3811" t="str">
            <v>Surrey</v>
          </cell>
          <cell r="N3811" t="str">
            <v>CR0 5EF</v>
          </cell>
          <cell r="O3811" t="str">
            <v>headteacher@shirley.croydon.sch.uk</v>
          </cell>
          <cell r="P3811">
            <v>40716</v>
          </cell>
        </row>
        <row r="3812">
          <cell r="A3812">
            <v>8913089</v>
          </cell>
          <cell r="B3812">
            <v>122759</v>
          </cell>
          <cell r="C3812">
            <v>891</v>
          </cell>
          <cell r="D3812" t="str">
            <v>Nottinghamshire</v>
          </cell>
          <cell r="E3812">
            <v>3089</v>
          </cell>
          <cell r="F3812" t="str">
            <v>Sue Harp</v>
          </cell>
          <cell r="G3812" t="str">
            <v xml:space="preserve">St. Peter's Church of England </v>
          </cell>
          <cell r="H3812" t="str">
            <v>East Midlands</v>
          </cell>
          <cell r="I3812" t="str">
            <v>Kneeton Road</v>
          </cell>
          <cell r="J3812" t="str">
            <v>East Bridgeford</v>
          </cell>
          <cell r="L3812" t="str">
            <v>Nottingham</v>
          </cell>
          <cell r="M3812" t="str">
            <v>Nottinghamshire</v>
          </cell>
          <cell r="N3812" t="str">
            <v>NG13 8PG</v>
          </cell>
          <cell r="O3812" t="str">
            <v>david.maddison@st-peters.notts.sch.uk</v>
          </cell>
        </row>
        <row r="3813">
          <cell r="A3813">
            <v>3824038</v>
          </cell>
          <cell r="B3813">
            <v>107763</v>
          </cell>
          <cell r="C3813">
            <v>382</v>
          </cell>
          <cell r="D3813" t="str">
            <v>Kirklees</v>
          </cell>
          <cell r="E3813">
            <v>4038</v>
          </cell>
          <cell r="F3813" t="str">
            <v>Bev Annables</v>
          </cell>
          <cell r="G3813" t="str">
            <v>Honley High School</v>
          </cell>
          <cell r="H3813" t="str">
            <v>Yorkshire and the Humber</v>
          </cell>
          <cell r="I3813" t="str">
            <v>Station Road</v>
          </cell>
          <cell r="J3813" t="str">
            <v>Honley</v>
          </cell>
          <cell r="L3813" t="str">
            <v>Holmfirth</v>
          </cell>
          <cell r="M3813" t="str">
            <v>West Yorkshire</v>
          </cell>
          <cell r="N3813" t="str">
            <v>HD9 6QJ</v>
          </cell>
        </row>
        <row r="3814">
          <cell r="A3814">
            <v>9194096</v>
          </cell>
          <cell r="B3814">
            <v>117526</v>
          </cell>
          <cell r="C3814">
            <v>919</v>
          </cell>
          <cell r="D3814" t="str">
            <v>Hertfordshire</v>
          </cell>
          <cell r="E3814">
            <v>4096</v>
          </cell>
          <cell r="F3814" t="str">
            <v>Pam Osborne</v>
          </cell>
          <cell r="G3814" t="str">
            <v>Kings Langley School</v>
          </cell>
          <cell r="H3814" t="str">
            <v>East of England</v>
          </cell>
          <cell r="I3814" t="str">
            <v>Love Lane</v>
          </cell>
          <cell r="L3814" t="str">
            <v>Kings Langley</v>
          </cell>
          <cell r="M3814" t="str">
            <v>Hertfordshire</v>
          </cell>
          <cell r="N3814" t="str">
            <v>WD4 9HN</v>
          </cell>
          <cell r="O3814" t="str">
            <v>lewisg05@kingslangley.herts.sch.uk</v>
          </cell>
          <cell r="P3814">
            <v>41172</v>
          </cell>
        </row>
        <row r="3815">
          <cell r="A3815">
            <v>3114038</v>
          </cell>
          <cell r="B3815">
            <v>102346</v>
          </cell>
          <cell r="C3815">
            <v>311</v>
          </cell>
          <cell r="D3815" t="str">
            <v>Havering</v>
          </cell>
          <cell r="E3815">
            <v>4038</v>
          </cell>
          <cell r="F3815" t="str">
            <v>Tahir Shams</v>
          </cell>
          <cell r="G3815" t="str">
            <v>The Albany, A Business and Enterprise College</v>
          </cell>
          <cell r="H3815" t="str">
            <v>London</v>
          </cell>
          <cell r="I3815" t="str">
            <v>Broadstone Road</v>
          </cell>
          <cell r="J3815" t="str">
            <v>Off Albany Road</v>
          </cell>
          <cell r="L3815" t="str">
            <v>Hornchurch</v>
          </cell>
          <cell r="M3815" t="str">
            <v>Essex</v>
          </cell>
          <cell r="N3815" t="str">
            <v>RM12 4AJ</v>
          </cell>
          <cell r="O3815" t="str">
            <v>pahr@thealbany.biz</v>
          </cell>
          <cell r="P3815">
            <v>40683</v>
          </cell>
        </row>
        <row r="3816">
          <cell r="A3816">
            <v>8132126</v>
          </cell>
          <cell r="B3816">
            <v>117744</v>
          </cell>
          <cell r="C3816">
            <v>813</v>
          </cell>
          <cell r="D3816" t="str">
            <v>North Lincolnshire</v>
          </cell>
          <cell r="E3816">
            <v>2126</v>
          </cell>
          <cell r="F3816" t="str">
            <v>Claire Ryan</v>
          </cell>
          <cell r="G3816" t="str">
            <v>Scawby Primary School</v>
          </cell>
          <cell r="H3816" t="str">
            <v>Yorkshire and the Humber</v>
          </cell>
          <cell r="I3816" t="str">
            <v>West Street</v>
          </cell>
          <cell r="J3816" t="str">
            <v>Scawby</v>
          </cell>
          <cell r="L3816" t="str">
            <v>Brigg</v>
          </cell>
          <cell r="M3816" t="str">
            <v>Lincolnshire</v>
          </cell>
          <cell r="N3816" t="str">
            <v>DN20 9AN</v>
          </cell>
          <cell r="O3816" t="str">
            <v>head.scawby@northlincs.gov.uk</v>
          </cell>
          <cell r="P3816">
            <v>40856</v>
          </cell>
        </row>
        <row r="3817">
          <cell r="A3817">
            <v>3024210</v>
          </cell>
          <cell r="B3817">
            <v>101349</v>
          </cell>
          <cell r="C3817">
            <v>302</v>
          </cell>
          <cell r="D3817" t="str">
            <v>Barnet</v>
          </cell>
          <cell r="E3817">
            <v>4210</v>
          </cell>
          <cell r="F3817" t="str">
            <v>Kiran Teli</v>
          </cell>
          <cell r="G3817" t="str">
            <v>Copthall School</v>
          </cell>
          <cell r="H3817" t="str">
            <v>London</v>
          </cell>
          <cell r="I3817" t="str">
            <v>Pursley Road</v>
          </cell>
          <cell r="J3817" t="str">
            <v>Mill Hill</v>
          </cell>
          <cell r="L3817" t="str">
            <v>London</v>
          </cell>
          <cell r="N3817" t="str">
            <v>NW7 2EP</v>
          </cell>
          <cell r="O3817" t="str">
            <v>jlb@copthall.barnet.sch.uk</v>
          </cell>
          <cell r="P3817">
            <v>40735</v>
          </cell>
        </row>
        <row r="3818">
          <cell r="A3818">
            <v>3707010</v>
          </cell>
          <cell r="B3818">
            <v>135275</v>
          </cell>
          <cell r="C3818">
            <v>370</v>
          </cell>
          <cell r="D3818" t="str">
            <v>Barnsley</v>
          </cell>
          <cell r="E3818">
            <v>7010</v>
          </cell>
          <cell r="F3818" t="str">
            <v>John Edmunds</v>
          </cell>
          <cell r="G3818" t="str">
            <v>Springwell Community Special School</v>
          </cell>
          <cell r="H3818" t="str">
            <v>Yorkshire and the Humber</v>
          </cell>
          <cell r="I3818" t="str">
            <v>St Helen's Boulevard</v>
          </cell>
          <cell r="L3818" t="str">
            <v>Barnsley</v>
          </cell>
          <cell r="M3818" t="str">
            <v>South Yorkshire</v>
          </cell>
          <cell r="N3818" t="str">
            <v>S71 2AY</v>
          </cell>
          <cell r="O3818" t="str">
            <v>jthirkell@barnsley.org</v>
          </cell>
          <cell r="P3818">
            <v>40890</v>
          </cell>
        </row>
        <row r="3819">
          <cell r="A3819">
            <v>3093303</v>
          </cell>
          <cell r="B3819">
            <v>102136</v>
          </cell>
          <cell r="C3819">
            <v>309</v>
          </cell>
          <cell r="D3819" t="str">
            <v>Haringey</v>
          </cell>
          <cell r="E3819">
            <v>3303</v>
          </cell>
          <cell r="F3819" t="str">
            <v>Helen Fisher</v>
          </cell>
          <cell r="G3819" t="str">
            <v>St. James C.E. Primary School</v>
          </cell>
          <cell r="H3819" t="str">
            <v>London</v>
          </cell>
          <cell r="I3819" t="str">
            <v>Woodside Avenue</v>
          </cell>
          <cell r="J3819" t="str">
            <v>Muswell Hill</v>
          </cell>
          <cell r="L3819" t="str">
            <v>London</v>
          </cell>
          <cell r="N3819" t="str">
            <v>N10 3JA</v>
          </cell>
          <cell r="O3819" t="str">
            <v>office@stjamesprimaryschool.co.uk</v>
          </cell>
        </row>
        <row r="3820">
          <cell r="A3820">
            <v>8253061</v>
          </cell>
          <cell r="B3820">
            <v>110440</v>
          </cell>
          <cell r="C3820">
            <v>825</v>
          </cell>
          <cell r="D3820" t="str">
            <v>Buckinghamshire</v>
          </cell>
          <cell r="E3820">
            <v>3061</v>
          </cell>
          <cell r="F3820" t="str">
            <v>Maryam Jabbari</v>
          </cell>
          <cell r="G3820" t="str">
            <v>Newton Longville Church of England Combined School</v>
          </cell>
          <cell r="H3820" t="str">
            <v>South East</v>
          </cell>
          <cell r="I3820" t="str">
            <v>School Drive</v>
          </cell>
          <cell r="L3820" t="str">
            <v>Newton Longville</v>
          </cell>
          <cell r="M3820" t="str">
            <v>Buckinghamshire</v>
          </cell>
          <cell r="N3820" t="str">
            <v>MK17 0BZ</v>
          </cell>
          <cell r="O3820" t="str">
            <v>kkuzminska@bucksgfl.org.uk</v>
          </cell>
          <cell r="P3820">
            <v>40758</v>
          </cell>
        </row>
        <row r="3821">
          <cell r="A3821">
            <v>8854418</v>
          </cell>
          <cell r="B3821">
            <v>116967</v>
          </cell>
          <cell r="C3821">
            <v>885</v>
          </cell>
          <cell r="D3821" t="str">
            <v>Worcestershire</v>
          </cell>
          <cell r="E3821">
            <v>4418</v>
          </cell>
          <cell r="F3821" t="str">
            <v>Alison Middleton</v>
          </cell>
          <cell r="G3821" t="str">
            <v>Birchensale Middle School</v>
          </cell>
          <cell r="H3821" t="str">
            <v>West Midlands</v>
          </cell>
          <cell r="I3821" t="str">
            <v>Bridley Moor Road</v>
          </cell>
          <cell r="L3821" t="str">
            <v>Redditch</v>
          </cell>
          <cell r="M3821" t="str">
            <v>Worcestershire</v>
          </cell>
          <cell r="N3821" t="str">
            <v>B97 6HT</v>
          </cell>
          <cell r="O3821" t="str">
            <v>head@birchensale.worcs.sch.uk</v>
          </cell>
          <cell r="P3821">
            <v>41256</v>
          </cell>
        </row>
        <row r="3822">
          <cell r="A3822">
            <v>3552097</v>
          </cell>
          <cell r="B3822">
            <v>130396</v>
          </cell>
          <cell r="C3822">
            <v>355</v>
          </cell>
          <cell r="D3822" t="str">
            <v>Salford</v>
          </cell>
          <cell r="E3822">
            <v>2097</v>
          </cell>
          <cell r="F3822" t="str">
            <v>Jane McCusker</v>
          </cell>
          <cell r="G3822" t="str">
            <v>Ellenbrook Community Primary School</v>
          </cell>
          <cell r="H3822" t="str">
            <v>North West</v>
          </cell>
          <cell r="I3822" t="str">
            <v>Longwall Avenue</v>
          </cell>
          <cell r="J3822" t="str">
            <v>Ellenbrook</v>
          </cell>
          <cell r="K3822" t="str">
            <v>Worsley</v>
          </cell>
          <cell r="L3822" t="str">
            <v>Manchester</v>
          </cell>
          <cell r="N3822" t="str">
            <v>M28 7PS</v>
          </cell>
          <cell r="O3822" t="str">
            <v>john.mcnulty@salford.gov.uk</v>
          </cell>
        </row>
        <row r="3823">
          <cell r="A3823">
            <v>3342081</v>
          </cell>
          <cell r="B3823">
            <v>104073</v>
          </cell>
          <cell r="C3823">
            <v>334</v>
          </cell>
          <cell r="D3823" t="str">
            <v>Solihull</v>
          </cell>
          <cell r="E3823">
            <v>2081</v>
          </cell>
          <cell r="F3823" t="str">
            <v>Alison Middleton</v>
          </cell>
          <cell r="G3823" t="str">
            <v>Marston Green Infant School</v>
          </cell>
          <cell r="H3823" t="str">
            <v>West Midlands</v>
          </cell>
          <cell r="I3823" t="str">
            <v>Elm Farm Avenue</v>
          </cell>
          <cell r="J3823" t="str">
            <v>Marston Green</v>
          </cell>
          <cell r="L3823" t="str">
            <v>Birmingham</v>
          </cell>
          <cell r="M3823" t="str">
            <v>West Midlands</v>
          </cell>
          <cell r="N3823" t="str">
            <v>B37 7AA</v>
          </cell>
          <cell r="O3823" t="str">
            <v>office@marstongreen-inf.solihull.sch.uk</v>
          </cell>
        </row>
        <row r="3824">
          <cell r="A3824">
            <v>3803368</v>
          </cell>
          <cell r="B3824">
            <v>107343</v>
          </cell>
          <cell r="C3824">
            <v>380</v>
          </cell>
          <cell r="D3824" t="str">
            <v>Bradford</v>
          </cell>
          <cell r="E3824">
            <v>3368</v>
          </cell>
          <cell r="F3824" t="str">
            <v>Tony Bretherick</v>
          </cell>
          <cell r="G3824" t="str">
            <v>The Sacred Heart Catholic Primary School</v>
          </cell>
          <cell r="H3824" t="str">
            <v>Yorkshire and the Humber</v>
          </cell>
          <cell r="I3824" t="str">
            <v>Valley Drive</v>
          </cell>
          <cell r="J3824" t="str">
            <v>Ben Rhydding</v>
          </cell>
          <cell r="L3824" t="str">
            <v>Ilkley</v>
          </cell>
          <cell r="M3824" t="str">
            <v>West Yorkshire</v>
          </cell>
          <cell r="N3824" t="str">
            <v>LS29 8NL</v>
          </cell>
          <cell r="O3824" t="str">
            <v>a.lubomski@sacredheart.bradford.sch.uk</v>
          </cell>
          <cell r="P3824">
            <v>41225</v>
          </cell>
        </row>
        <row r="3825">
          <cell r="A3825">
            <v>8665409</v>
          </cell>
          <cell r="B3825">
            <v>126504</v>
          </cell>
          <cell r="C3825">
            <v>866</v>
          </cell>
          <cell r="D3825" t="str">
            <v>Swindon</v>
          </cell>
          <cell r="E3825">
            <v>5409</v>
          </cell>
          <cell r="F3825" t="str">
            <v>Susan Phillips</v>
          </cell>
          <cell r="G3825" t="str">
            <v>St Joseph's Catholic College</v>
          </cell>
          <cell r="H3825" t="str">
            <v>South West</v>
          </cell>
          <cell r="I3825" t="str">
            <v>Ocotal Way</v>
          </cell>
          <cell r="L3825" t="str">
            <v>Swindon</v>
          </cell>
          <cell r="M3825" t="str">
            <v>Wiltshire</v>
          </cell>
          <cell r="N3825" t="str">
            <v>SN3 3LR</v>
          </cell>
          <cell r="O3825" t="str">
            <v>hpeace@stjosephs.swindon.sch.uk</v>
          </cell>
          <cell r="P3825">
            <v>40638</v>
          </cell>
        </row>
        <row r="3826">
          <cell r="A3826">
            <v>9194122</v>
          </cell>
          <cell r="B3826">
            <v>117537</v>
          </cell>
          <cell r="C3826">
            <v>919</v>
          </cell>
          <cell r="D3826" t="str">
            <v>Hertfordshire</v>
          </cell>
          <cell r="E3826">
            <v>4122</v>
          </cell>
          <cell r="F3826" t="str">
            <v>Kish Chetty</v>
          </cell>
          <cell r="G3826" t="str">
            <v>The Highfield School</v>
          </cell>
          <cell r="H3826" t="str">
            <v>East of England</v>
          </cell>
          <cell r="I3826" t="str">
            <v>Highfield</v>
          </cell>
          <cell r="L3826" t="str">
            <v>Letchworth Garden City</v>
          </cell>
          <cell r="M3826" t="str">
            <v>Hertfordshire</v>
          </cell>
          <cell r="N3826" t="str">
            <v>SG6 3QA</v>
          </cell>
          <cell r="O3826" t="str">
            <v>ianmorris@highfield.herts.sch.uk</v>
          </cell>
        </row>
        <row r="3827">
          <cell r="A3827">
            <v>8362176</v>
          </cell>
          <cell r="B3827">
            <v>113704</v>
          </cell>
          <cell r="C3827">
            <v>836</v>
          </cell>
          <cell r="D3827" t="str">
            <v>Poole</v>
          </cell>
          <cell r="E3827">
            <v>2176</v>
          </cell>
          <cell r="F3827" t="str">
            <v>Theresa Oddelm</v>
          </cell>
          <cell r="G3827" t="str">
            <v>Hamworthy Middle School</v>
          </cell>
          <cell r="H3827" t="str">
            <v>South West</v>
          </cell>
          <cell r="I3827" t="str">
            <v>Ashmore Crescent</v>
          </cell>
          <cell r="J3827" t="str">
            <v>Hamworthy</v>
          </cell>
          <cell r="L3827" t="str">
            <v>Poole</v>
          </cell>
          <cell r="M3827" t="str">
            <v>Dorset</v>
          </cell>
          <cell r="N3827" t="str">
            <v>BH15 4DG</v>
          </cell>
          <cell r="O3827" t="str">
            <v>k.davies@poole.gov.uk</v>
          </cell>
        </row>
        <row r="3828">
          <cell r="A3828">
            <v>8782431</v>
          </cell>
          <cell r="B3828">
            <v>113209</v>
          </cell>
          <cell r="C3828">
            <v>878</v>
          </cell>
          <cell r="D3828" t="str">
            <v>Devon</v>
          </cell>
          <cell r="E3828">
            <v>2431</v>
          </cell>
          <cell r="F3828" t="str">
            <v>Susan Phillips</v>
          </cell>
          <cell r="G3828" t="str">
            <v>Decoy Primary School</v>
          </cell>
          <cell r="H3828" t="str">
            <v>South West</v>
          </cell>
          <cell r="I3828" t="str">
            <v>Deer Park Road</v>
          </cell>
          <cell r="L3828" t="str">
            <v>Newton Abbot</v>
          </cell>
          <cell r="M3828" t="str">
            <v>Devon</v>
          </cell>
          <cell r="N3828" t="str">
            <v>TQ12 1DH</v>
          </cell>
          <cell r="O3828" t="str">
            <v>goneill@decoy.devon.sch.uk</v>
          </cell>
        </row>
        <row r="3829">
          <cell r="A3829">
            <v>8603462</v>
          </cell>
          <cell r="B3829">
            <v>124355</v>
          </cell>
          <cell r="C3829">
            <v>860</v>
          </cell>
          <cell r="D3829" t="str">
            <v>Staffordshire</v>
          </cell>
          <cell r="E3829">
            <v>3462</v>
          </cell>
          <cell r="F3829" t="str">
            <v>Frances Blow</v>
          </cell>
          <cell r="G3829" t="str">
            <v>St John the Evangelist Catholic Primary</v>
          </cell>
          <cell r="H3829" t="str">
            <v>West Midlands</v>
          </cell>
          <cell r="I3829" t="str">
            <v>The Avenue</v>
          </cell>
          <cell r="J3829" t="str">
            <v>Kidsgrove</v>
          </cell>
          <cell r="L3829" t="str">
            <v>Stoke-on-Trent</v>
          </cell>
          <cell r="M3829" t="str">
            <v>Staffordshire</v>
          </cell>
          <cell r="N3829" t="str">
            <v>ST7 1AE</v>
          </cell>
          <cell r="O3829" t="str">
            <v>office@st-johns-kidsgrove.staffs.sch.uk</v>
          </cell>
          <cell r="P3829">
            <v>41205</v>
          </cell>
        </row>
        <row r="3830">
          <cell r="A3830">
            <v>8454038</v>
          </cell>
          <cell r="B3830">
            <v>114591</v>
          </cell>
          <cell r="C3830">
            <v>845</v>
          </cell>
          <cell r="D3830" t="str">
            <v>East Sussex</v>
          </cell>
          <cell r="E3830">
            <v>4038</v>
          </cell>
          <cell r="F3830" t="str">
            <v>Sarah Mitchell</v>
          </cell>
          <cell r="G3830" t="str">
            <v>Uplands Community College</v>
          </cell>
          <cell r="H3830" t="str">
            <v>South East</v>
          </cell>
          <cell r="I3830" t="str">
            <v>Lower High Street</v>
          </cell>
          <cell r="L3830" t="str">
            <v>Wadhurst</v>
          </cell>
          <cell r="M3830" t="str">
            <v>East Sussex</v>
          </cell>
          <cell r="N3830" t="str">
            <v>TN5 6AZ</v>
          </cell>
          <cell r="O3830" t="str">
            <v>head@uplandscc.com</v>
          </cell>
        </row>
        <row r="3831">
          <cell r="A3831">
            <v>8254004</v>
          </cell>
          <cell r="B3831">
            <v>110484</v>
          </cell>
          <cell r="C3831">
            <v>825</v>
          </cell>
          <cell r="D3831" t="str">
            <v>Buckinghamshire</v>
          </cell>
          <cell r="E3831">
            <v>4004</v>
          </cell>
          <cell r="F3831" t="str">
            <v>Darren Francis</v>
          </cell>
          <cell r="G3831" t="str">
            <v>The Buckingham School</v>
          </cell>
          <cell r="H3831" t="str">
            <v>South East</v>
          </cell>
          <cell r="I3831" t="str">
            <v>London Road</v>
          </cell>
          <cell r="L3831" t="str">
            <v>Buckingham</v>
          </cell>
          <cell r="M3831" t="str">
            <v>Buckinghamshire</v>
          </cell>
          <cell r="N3831" t="str">
            <v>MK18 1AT</v>
          </cell>
          <cell r="O3831" t="str">
            <v>awells@bucksgfl.org.uk</v>
          </cell>
        </row>
        <row r="3832">
          <cell r="A3832">
            <v>3444066</v>
          </cell>
          <cell r="B3832">
            <v>105103</v>
          </cell>
          <cell r="C3832">
            <v>344</v>
          </cell>
          <cell r="D3832" t="str">
            <v>Wirral</v>
          </cell>
          <cell r="E3832">
            <v>4066</v>
          </cell>
          <cell r="F3832" t="str">
            <v>Maria Sabberton</v>
          </cell>
          <cell r="G3832" t="str">
            <v>The Mosslands School</v>
          </cell>
          <cell r="H3832" t="str">
            <v>North West</v>
          </cell>
          <cell r="I3832" t="str">
            <v>Mosslands Drive</v>
          </cell>
          <cell r="L3832" t="str">
            <v>Wallasey</v>
          </cell>
          <cell r="M3832" t="str">
            <v>Merseyside</v>
          </cell>
          <cell r="N3832" t="str">
            <v>CH45 8PJ</v>
          </cell>
          <cell r="O3832" t="str">
            <v>adrianwhiteley@mosslands.wirral.sch.uk</v>
          </cell>
        </row>
        <row r="3833">
          <cell r="A3833">
            <v>9255411</v>
          </cell>
          <cell r="B3833">
            <v>120707</v>
          </cell>
          <cell r="C3833">
            <v>925</v>
          </cell>
          <cell r="D3833" t="str">
            <v>Lincolnshire</v>
          </cell>
          <cell r="E3833">
            <v>5411</v>
          </cell>
          <cell r="F3833" t="str">
            <v>Stella Mascarenhas-Keys</v>
          </cell>
          <cell r="G3833" t="str">
            <v>Queen Elizabeth's Grammar School</v>
          </cell>
          <cell r="H3833" t="str">
            <v>East Midlands</v>
          </cell>
          <cell r="I3833" t="str">
            <v>West Street</v>
          </cell>
          <cell r="L3833" t="str">
            <v>Horncastle</v>
          </cell>
          <cell r="M3833" t="str">
            <v>Lincolnshire</v>
          </cell>
          <cell r="N3833" t="str">
            <v>LN9 5AD</v>
          </cell>
          <cell r="O3833" t="str">
            <v>spayneh@qegs.lincs.sch.uk</v>
          </cell>
          <cell r="P3833">
            <v>41054</v>
          </cell>
        </row>
        <row r="3834">
          <cell r="A3834">
            <v>9362932</v>
          </cell>
          <cell r="B3834">
            <v>125111</v>
          </cell>
          <cell r="C3834">
            <v>936</v>
          </cell>
          <cell r="D3834" t="str">
            <v>Surrey</v>
          </cell>
          <cell r="E3834">
            <v>2932</v>
          </cell>
          <cell r="F3834" t="str">
            <v>Eric Mcewen</v>
          </cell>
          <cell r="G3834" t="str">
            <v>Saxon Primary School</v>
          </cell>
          <cell r="H3834" t="str">
            <v>South East</v>
          </cell>
          <cell r="I3834" t="str">
            <v>Briar Road</v>
          </cell>
          <cell r="L3834" t="str">
            <v>Shepperton</v>
          </cell>
          <cell r="M3834" t="str">
            <v>Surrey</v>
          </cell>
          <cell r="N3834" t="str">
            <v>TW17 0JB</v>
          </cell>
          <cell r="O3834" t="str">
            <v>head@saxon.surrey.sch.uk</v>
          </cell>
        </row>
        <row r="3835">
          <cell r="A3835">
            <v>8865404</v>
          </cell>
          <cell r="B3835">
            <v>118876</v>
          </cell>
          <cell r="C3835">
            <v>886</v>
          </cell>
          <cell r="D3835" t="str">
            <v>Kent</v>
          </cell>
          <cell r="E3835">
            <v>5404</v>
          </cell>
          <cell r="F3835" t="str">
            <v>Sarah Mitchell</v>
          </cell>
          <cell r="G3835" t="str">
            <v>Saint George's Church of England School</v>
          </cell>
          <cell r="H3835" t="str">
            <v>South East</v>
          </cell>
          <cell r="I3835" t="str">
            <v>Meadow Road</v>
          </cell>
          <cell r="L3835" t="str">
            <v>Gravesend</v>
          </cell>
          <cell r="M3835" t="str">
            <v>Kent</v>
          </cell>
          <cell r="N3835" t="str">
            <v>DA11 7LS</v>
          </cell>
          <cell r="O3835" t="str">
            <v>southgan@saintgeorgescofe.kent.sch.uk</v>
          </cell>
          <cell r="P3835">
            <v>40717</v>
          </cell>
        </row>
        <row r="3836">
          <cell r="A3836">
            <v>8034120</v>
          </cell>
          <cell r="B3836">
            <v>109297</v>
          </cell>
          <cell r="C3836">
            <v>803</v>
          </cell>
          <cell r="D3836" t="str">
            <v>South Gloucestershire</v>
          </cell>
          <cell r="E3836">
            <v>4120</v>
          </cell>
          <cell r="F3836" t="str">
            <v>Nigel Mills</v>
          </cell>
          <cell r="G3836" t="str">
            <v>The Castle School</v>
          </cell>
          <cell r="H3836" t="str">
            <v>South West</v>
          </cell>
          <cell r="I3836" t="str">
            <v>Park Road</v>
          </cell>
          <cell r="J3836" t="str">
            <v>Thornbury</v>
          </cell>
          <cell r="L3836" t="str">
            <v>Bristol</v>
          </cell>
          <cell r="M3836" t="str">
            <v>Gloucestershire</v>
          </cell>
          <cell r="N3836" t="str">
            <v>BS35 1HT</v>
          </cell>
          <cell r="O3836" t="str">
            <v>joy.irwin@thecastleschool.org.uk</v>
          </cell>
          <cell r="P3836">
            <v>41102</v>
          </cell>
        </row>
        <row r="3837">
          <cell r="A3837">
            <v>9332329</v>
          </cell>
          <cell r="B3837">
            <v>123736</v>
          </cell>
          <cell r="C3837">
            <v>933</v>
          </cell>
          <cell r="D3837" t="str">
            <v>Somerset</v>
          </cell>
          <cell r="E3837">
            <v>2329</v>
          </cell>
          <cell r="F3837" t="str">
            <v>Maria Whiting</v>
          </cell>
          <cell r="G3837" t="str">
            <v>The Redstart Primary School</v>
          </cell>
          <cell r="H3837" t="str">
            <v>South West</v>
          </cell>
          <cell r="I3837" t="str">
            <v>Redstart Road</v>
          </cell>
          <cell r="L3837" t="str">
            <v>Chard</v>
          </cell>
          <cell r="M3837" t="str">
            <v>Somerset</v>
          </cell>
          <cell r="N3837" t="str">
            <v>TA20 1SD</v>
          </cell>
          <cell r="O3837" t="str">
            <v>SFlack2@educ.somerset.gov.uk</v>
          </cell>
          <cell r="P3837">
            <v>40633</v>
          </cell>
        </row>
        <row r="3838">
          <cell r="A3838">
            <v>3032081</v>
          </cell>
          <cell r="B3838">
            <v>101447</v>
          </cell>
          <cell r="C3838">
            <v>303</v>
          </cell>
          <cell r="D3838" t="str">
            <v>Bexley</v>
          </cell>
          <cell r="E3838">
            <v>2081</v>
          </cell>
          <cell r="F3838" t="str">
            <v>Helen Barry</v>
          </cell>
          <cell r="G3838" t="str">
            <v>Northumberland Heath Primary School</v>
          </cell>
          <cell r="H3838" t="str">
            <v>London</v>
          </cell>
          <cell r="I3838" t="str">
            <v>Wheelock Close</v>
          </cell>
          <cell r="J3838" t="str">
            <v>Northumberland Heath</v>
          </cell>
          <cell r="L3838" t="str">
            <v>Erith</v>
          </cell>
          <cell r="M3838" t="str">
            <v>Kent</v>
          </cell>
          <cell r="N3838" t="str">
            <v>DA8 1JE</v>
          </cell>
          <cell r="O3838" t="str">
            <v>abarry@nhp.bexley.sch.uk</v>
          </cell>
          <cell r="P3838">
            <v>40634</v>
          </cell>
        </row>
        <row r="3839">
          <cell r="A3839">
            <v>9354036</v>
          </cell>
          <cell r="B3839">
            <v>124810</v>
          </cell>
          <cell r="C3839">
            <v>935</v>
          </cell>
          <cell r="D3839" t="str">
            <v>Suffolk</v>
          </cell>
          <cell r="E3839">
            <v>4036</v>
          </cell>
          <cell r="F3839" t="str">
            <v>Razeeb Ahasan</v>
          </cell>
          <cell r="G3839" t="str">
            <v>Hartismere School</v>
          </cell>
          <cell r="H3839" t="str">
            <v>East of England</v>
          </cell>
          <cell r="I3839" t="str">
            <v>Castleton Way</v>
          </cell>
          <cell r="L3839" t="str">
            <v>Eye</v>
          </cell>
          <cell r="M3839" t="str">
            <v>Suffolk</v>
          </cell>
          <cell r="N3839" t="str">
            <v>IP23 7BL</v>
          </cell>
          <cell r="O3839" t="str">
            <v xml:space="preserve">jmc@hartismere.com </v>
          </cell>
          <cell r="P3839">
            <v>40359</v>
          </cell>
        </row>
        <row r="3840">
          <cell r="A3840">
            <v>3164031</v>
          </cell>
          <cell r="B3840">
            <v>102781</v>
          </cell>
          <cell r="C3840">
            <v>316</v>
          </cell>
          <cell r="D3840" t="str">
            <v>Newham</v>
          </cell>
          <cell r="E3840">
            <v>4031</v>
          </cell>
          <cell r="F3840" t="str">
            <v>Dervise Ali-Riza</v>
          </cell>
          <cell r="G3840" t="str">
            <v>Brampton Manor School</v>
          </cell>
          <cell r="H3840" t="str">
            <v>London</v>
          </cell>
          <cell r="I3840" t="str">
            <v>Roman Road</v>
          </cell>
          <cell r="L3840" t="str">
            <v>London</v>
          </cell>
          <cell r="N3840" t="str">
            <v>E6 3SQ</v>
          </cell>
          <cell r="O3840" t="str">
            <v>dayoo@bramptonmanor.newham.sch.uk</v>
          </cell>
          <cell r="P3840">
            <v>40522</v>
          </cell>
        </row>
        <row r="3841">
          <cell r="A3841">
            <v>9194013</v>
          </cell>
          <cell r="B3841">
            <v>117506</v>
          </cell>
          <cell r="C3841">
            <v>919</v>
          </cell>
          <cell r="D3841" t="str">
            <v>Hertfordshire</v>
          </cell>
          <cell r="E3841">
            <v>4013</v>
          </cell>
          <cell r="F3841" t="str">
            <v>Bev Mullin</v>
          </cell>
          <cell r="G3841" t="str">
            <v>Presdales School</v>
          </cell>
          <cell r="H3841" t="str">
            <v>East of England</v>
          </cell>
          <cell r="I3841" t="str">
            <v>Hoe Lane</v>
          </cell>
          <cell r="L3841" t="str">
            <v>Ware</v>
          </cell>
          <cell r="M3841" t="str">
            <v>Hertfordshire</v>
          </cell>
          <cell r="N3841" t="str">
            <v>SG12 9NX</v>
          </cell>
          <cell r="O3841" t="str">
            <v xml:space="preserve">admin@presdales.herts.sch.uk
</v>
          </cell>
          <cell r="P3841">
            <v>40879</v>
          </cell>
        </row>
        <row r="3842">
          <cell r="A3842">
            <v>8714085</v>
          </cell>
          <cell r="B3842">
            <v>110076</v>
          </cell>
          <cell r="C3842">
            <v>871</v>
          </cell>
          <cell r="D3842" t="str">
            <v>Slough</v>
          </cell>
          <cell r="E3842">
            <v>4085</v>
          </cell>
          <cell r="F3842" t="str">
            <v>Tony Dunne</v>
          </cell>
          <cell r="G3842" t="str">
            <v>Beechwood School</v>
          </cell>
          <cell r="H3842" t="str">
            <v>South East</v>
          </cell>
          <cell r="I3842" t="str">
            <v>Long Readings Lane</v>
          </cell>
          <cell r="L3842" t="str">
            <v>Slough</v>
          </cell>
          <cell r="M3842" t="str">
            <v>Berkshire</v>
          </cell>
          <cell r="N3842" t="str">
            <v>SL2 1QE</v>
          </cell>
          <cell r="O3842" t="str">
            <v>julia.shepard@beechwood.slough.sch.uk</v>
          </cell>
          <cell r="P3842">
            <v>40885</v>
          </cell>
        </row>
        <row r="3843">
          <cell r="A3843">
            <v>3332057</v>
          </cell>
          <cell r="B3843">
            <v>103916</v>
          </cell>
          <cell r="C3843">
            <v>333</v>
          </cell>
          <cell r="D3843" t="str">
            <v>Sandwell</v>
          </cell>
          <cell r="E3843">
            <v>2057</v>
          </cell>
          <cell r="F3843" t="str">
            <v>Hannah Copp</v>
          </cell>
          <cell r="G3843" t="str">
            <v>Jubilee Park Primary School</v>
          </cell>
          <cell r="H3843" t="str">
            <v>West Midlands</v>
          </cell>
          <cell r="I3843" t="str">
            <v>Highfield Road</v>
          </cell>
          <cell r="L3843" t="str">
            <v>Tipton</v>
          </cell>
          <cell r="M3843" t="str">
            <v>West Midlands</v>
          </cell>
          <cell r="N3843" t="str">
            <v>DY4 0QS</v>
          </cell>
          <cell r="O3843" t="str">
            <v>heidi.conner@jubileepark.sandwell.sch.uk</v>
          </cell>
          <cell r="P3843">
            <v>41248</v>
          </cell>
        </row>
        <row r="3844">
          <cell r="A3844">
            <v>8882656</v>
          </cell>
          <cell r="B3844">
            <v>119323</v>
          </cell>
          <cell r="C3844">
            <v>888</v>
          </cell>
          <cell r="D3844" t="str">
            <v>Lancashire</v>
          </cell>
          <cell r="E3844">
            <v>2656</v>
          </cell>
          <cell r="F3844" t="str">
            <v>Viv Clutton</v>
          </cell>
          <cell r="G3844" t="str">
            <v>Holland Moor Primary School</v>
          </cell>
          <cell r="H3844" t="str">
            <v>North West</v>
          </cell>
          <cell r="I3844" t="str">
            <v>Cornbrook</v>
          </cell>
          <cell r="L3844" t="str">
            <v>Skelmersdale</v>
          </cell>
          <cell r="M3844" t="str">
            <v>Lancashire</v>
          </cell>
          <cell r="N3844" t="str">
            <v>WN8 9AG</v>
          </cell>
          <cell r="O3844" t="str">
            <v>head@hollandmoor.lancs.sch.uk</v>
          </cell>
        </row>
        <row r="3845">
          <cell r="A3845">
            <v>3055207</v>
          </cell>
          <cell r="B3845">
            <v>135899</v>
          </cell>
          <cell r="C3845">
            <v>305</v>
          </cell>
          <cell r="D3845" t="str">
            <v>Bromley</v>
          </cell>
          <cell r="E3845">
            <v>5207</v>
          </cell>
          <cell r="F3845" t="str">
            <v>Helen Fisher</v>
          </cell>
          <cell r="G3845" t="str">
            <v>Tubbenden Primary School</v>
          </cell>
          <cell r="H3845" t="str">
            <v>London</v>
          </cell>
          <cell r="I3845" t="str">
            <v>Sandybury</v>
          </cell>
          <cell r="L3845" t="str">
            <v>Orpington</v>
          </cell>
          <cell r="N3845" t="str">
            <v>BR6 9SD</v>
          </cell>
          <cell r="O3845" t="str">
            <v>michael.youlton@tubbenden.bromley.sch.uk</v>
          </cell>
          <cell r="P3845">
            <v>40793</v>
          </cell>
        </row>
        <row r="3846">
          <cell r="A3846">
            <v>3052084</v>
          </cell>
          <cell r="B3846">
            <v>132063</v>
          </cell>
          <cell r="C3846">
            <v>305</v>
          </cell>
          <cell r="D3846" t="str">
            <v>Bromley</v>
          </cell>
          <cell r="E3846">
            <v>2084</v>
          </cell>
          <cell r="F3846" t="str">
            <v>Sheila Longstaff</v>
          </cell>
          <cell r="G3846" t="str">
            <v>Manor Oak Primary School</v>
          </cell>
          <cell r="H3846" t="str">
            <v>London</v>
          </cell>
          <cell r="I3846" t="str">
            <v>Sweeps Lane</v>
          </cell>
          <cell r="J3846" t="str">
            <v>St Mary Cray</v>
          </cell>
          <cell r="L3846" t="str">
            <v>Orpington</v>
          </cell>
          <cell r="M3846" t="str">
            <v>Kent</v>
          </cell>
          <cell r="N3846" t="str">
            <v>BR5 3PE</v>
          </cell>
        </row>
        <row r="3847">
          <cell r="A3847">
            <v>8132134</v>
          </cell>
          <cell r="B3847">
            <v>117749</v>
          </cell>
          <cell r="C3847">
            <v>813</v>
          </cell>
          <cell r="D3847" t="str">
            <v>North Lincolnshire</v>
          </cell>
          <cell r="E3847">
            <v>2134</v>
          </cell>
          <cell r="F3847" t="str">
            <v>Bev Annables</v>
          </cell>
          <cell r="G3847" t="str">
            <v>Henderson Avenue Primary School</v>
          </cell>
          <cell r="H3847" t="str">
            <v>Yorkshire and the Humber</v>
          </cell>
          <cell r="I3847" t="str">
            <v>Henderson Avenue</v>
          </cell>
          <cell r="L3847" t="str">
            <v>Scunthorpe</v>
          </cell>
          <cell r="M3847" t="str">
            <v>Lincolnshire</v>
          </cell>
          <cell r="N3847" t="str">
            <v>DN15 7RW</v>
          </cell>
          <cell r="O3847" t="str">
            <v>admin.hendersonavenue@northlincs.gov.uk</v>
          </cell>
        </row>
        <row r="3848">
          <cell r="A3848">
            <v>8655213</v>
          </cell>
          <cell r="B3848">
            <v>126487</v>
          </cell>
          <cell r="C3848">
            <v>865</v>
          </cell>
          <cell r="D3848" t="str">
            <v>Wiltshire</v>
          </cell>
          <cell r="E3848">
            <v>5213</v>
          </cell>
          <cell r="F3848" t="str">
            <v>Maria Whiting</v>
          </cell>
          <cell r="G3848" t="str">
            <v>Holy Trinity Church of England School, Calne</v>
          </cell>
          <cell r="H3848" t="str">
            <v>South West</v>
          </cell>
          <cell r="I3848" t="str">
            <v>Quemerford</v>
          </cell>
          <cell r="L3848" t="str">
            <v>Calne</v>
          </cell>
          <cell r="M3848" t="str">
            <v>Wiltshire</v>
          </cell>
          <cell r="N3848" t="str">
            <v>SN11 0AR</v>
          </cell>
          <cell r="O3848" t="str">
            <v>head@holytrinitycalne.wilts.sch.uk</v>
          </cell>
          <cell r="P3848">
            <v>40891</v>
          </cell>
        </row>
        <row r="3849">
          <cell r="A3849">
            <v>8413211</v>
          </cell>
          <cell r="B3849">
            <v>114233</v>
          </cell>
          <cell r="C3849">
            <v>841</v>
          </cell>
          <cell r="D3849" t="str">
            <v>Darlington</v>
          </cell>
          <cell r="E3849">
            <v>3211</v>
          </cell>
          <cell r="F3849" t="str">
            <v>Lisa Sargeant</v>
          </cell>
          <cell r="G3849" t="str">
            <v>Bishopton Redmarshall CofE Primary School</v>
          </cell>
          <cell r="H3849" t="str">
            <v>North East</v>
          </cell>
          <cell r="I3849" t="str">
            <v>Cobby Castle Lane</v>
          </cell>
          <cell r="J3849" t="str">
            <v>Bishopton</v>
          </cell>
          <cell r="L3849" t="str">
            <v>Stockton-on-Tees</v>
          </cell>
          <cell r="N3849" t="str">
            <v>TS21 1HD</v>
          </cell>
          <cell r="O3849" t="str">
            <v>headteacher@brandh.darlington.sch.uk</v>
          </cell>
          <cell r="P3849">
            <v>40606</v>
          </cell>
        </row>
        <row r="3850">
          <cell r="A3850">
            <v>3082055</v>
          </cell>
          <cell r="B3850">
            <v>102003</v>
          </cell>
          <cell r="C3850">
            <v>308</v>
          </cell>
          <cell r="D3850" t="str">
            <v>Enfield</v>
          </cell>
          <cell r="E3850">
            <v>2055</v>
          </cell>
          <cell r="F3850" t="str">
            <v>Helen Fisher</v>
          </cell>
          <cell r="G3850" t="str">
            <v>The Raglan Junior School</v>
          </cell>
          <cell r="H3850" t="str">
            <v>London</v>
          </cell>
          <cell r="I3850" t="str">
            <v>Raglan Road</v>
          </cell>
          <cell r="J3850" t="str">
            <v>Bush Hill Park</v>
          </cell>
          <cell r="L3850" t="str">
            <v>Enfield</v>
          </cell>
          <cell r="M3850" t="str">
            <v>Middlesex</v>
          </cell>
          <cell r="N3850" t="str">
            <v>EN1 2RG</v>
          </cell>
          <cell r="O3850" t="str">
            <v>headmaster@raglanjunior.org</v>
          </cell>
        </row>
        <row r="3851">
          <cell r="A3851">
            <v>8224085</v>
          </cell>
          <cell r="B3851">
            <v>109674</v>
          </cell>
          <cell r="C3851">
            <v>822</v>
          </cell>
          <cell r="D3851" t="str">
            <v>Bedford</v>
          </cell>
          <cell r="E3851">
            <v>4085</v>
          </cell>
          <cell r="F3851" t="str">
            <v>Michael Cook</v>
          </cell>
          <cell r="G3851" t="str">
            <v>Mark Rutherford Upper School and Community College</v>
          </cell>
          <cell r="H3851" t="str">
            <v>East of England</v>
          </cell>
          <cell r="I3851" t="str">
            <v>Wentworth Drive</v>
          </cell>
          <cell r="L3851" t="str">
            <v>Bedford</v>
          </cell>
          <cell r="M3851" t="str">
            <v>Bedfordshire</v>
          </cell>
          <cell r="N3851" t="str">
            <v>MK41 8PX</v>
          </cell>
          <cell r="O3851" t="str">
            <v>steve.peacey@mrus.co.uk</v>
          </cell>
          <cell r="P3851">
            <v>41078</v>
          </cell>
        </row>
        <row r="3852">
          <cell r="A3852">
            <v>8154211</v>
          </cell>
          <cell r="B3852">
            <v>121693</v>
          </cell>
          <cell r="C3852">
            <v>815</v>
          </cell>
          <cell r="D3852" t="str">
            <v>North Yorkshire</v>
          </cell>
          <cell r="E3852">
            <v>4211</v>
          </cell>
          <cell r="F3852" t="str">
            <v>Jane Moore</v>
          </cell>
          <cell r="G3852" t="str">
            <v>Tadcaster Grammar School</v>
          </cell>
          <cell r="H3852" t="str">
            <v>Yorkshire and the Humber</v>
          </cell>
          <cell r="I3852" t="str">
            <v>Toulston</v>
          </cell>
          <cell r="L3852" t="str">
            <v>Tadcaster</v>
          </cell>
          <cell r="M3852" t="str">
            <v>North Yorkshire</v>
          </cell>
          <cell r="N3852" t="str">
            <v>LS24 9NB</v>
          </cell>
          <cell r="O3852" t="str">
            <v>g.mitchell@tadcaster.n-yorks.sch.uk</v>
          </cell>
        </row>
        <row r="3853">
          <cell r="A3853">
            <v>9084158</v>
          </cell>
          <cell r="B3853">
            <v>112053</v>
          </cell>
          <cell r="C3853">
            <v>908</v>
          </cell>
          <cell r="D3853" t="str">
            <v>Cornwall</v>
          </cell>
          <cell r="E3853">
            <v>4158</v>
          </cell>
          <cell r="F3853" t="str">
            <v>Tahamina Khan</v>
          </cell>
          <cell r="G3853" t="str">
            <v>Camborne Science and Community College</v>
          </cell>
          <cell r="H3853" t="str">
            <v>South West</v>
          </cell>
          <cell r="I3853" t="str">
            <v>Cranberry Road</v>
          </cell>
          <cell r="L3853" t="str">
            <v>Camborne</v>
          </cell>
          <cell r="M3853" t="str">
            <v>Cornwall</v>
          </cell>
          <cell r="N3853" t="str">
            <v>TR14 7PP</v>
          </cell>
          <cell r="O3853" t="str">
            <v>kenworthy@cambornescience.co.uk</v>
          </cell>
          <cell r="P3853">
            <v>40529</v>
          </cell>
        </row>
        <row r="3854">
          <cell r="A3854">
            <v>9255413</v>
          </cell>
          <cell r="B3854">
            <v>120709</v>
          </cell>
          <cell r="C3854">
            <v>925</v>
          </cell>
          <cell r="D3854" t="str">
            <v>Lincolnshire</v>
          </cell>
          <cell r="E3854">
            <v>5413</v>
          </cell>
          <cell r="F3854" t="str">
            <v>Grant Dyson</v>
          </cell>
          <cell r="G3854" t="str">
            <v>Robert Pattinson School</v>
          </cell>
          <cell r="H3854" t="str">
            <v>East Midlands</v>
          </cell>
          <cell r="I3854" t="str">
            <v>Moor Lane</v>
          </cell>
          <cell r="J3854" t="str">
            <v>North Hykeham</v>
          </cell>
          <cell r="L3854" t="str">
            <v>Lincoln</v>
          </cell>
          <cell r="M3854" t="str">
            <v>Lincolnshire</v>
          </cell>
          <cell r="N3854" t="str">
            <v>LN6 9AF</v>
          </cell>
          <cell r="O3854" t="str">
            <v>mjb.rps@ntlworld.com</v>
          </cell>
          <cell r="P3854">
            <v>40633</v>
          </cell>
        </row>
        <row r="3855">
          <cell r="A3855">
            <v>9352154</v>
          </cell>
          <cell r="B3855">
            <v>124643</v>
          </cell>
          <cell r="C3855">
            <v>935</v>
          </cell>
          <cell r="D3855" t="str">
            <v>Suffolk</v>
          </cell>
          <cell r="E3855">
            <v>2154</v>
          </cell>
          <cell r="F3855" t="str">
            <v>Joe Farrell</v>
          </cell>
          <cell r="G3855" t="str">
            <v>Handford Hall Primary School</v>
          </cell>
          <cell r="H3855" t="str">
            <v>East of England</v>
          </cell>
          <cell r="I3855" t="str">
            <v>Gatacre Road</v>
          </cell>
          <cell r="L3855" t="str">
            <v>Ipswich</v>
          </cell>
          <cell r="M3855" t="str">
            <v>Suffolk</v>
          </cell>
          <cell r="N3855" t="str">
            <v>IP1 2LQ</v>
          </cell>
          <cell r="O3855" t="str">
            <v>ht.handford.p@btinternet.com</v>
          </cell>
        </row>
        <row r="3856">
          <cell r="A3856">
            <v>9083891</v>
          </cell>
          <cell r="B3856">
            <v>112035</v>
          </cell>
          <cell r="C3856">
            <v>908</v>
          </cell>
          <cell r="D3856" t="str">
            <v>Cornwall</v>
          </cell>
          <cell r="E3856">
            <v>3891</v>
          </cell>
          <cell r="F3856" t="str">
            <v>Tahamina Khan</v>
          </cell>
          <cell r="G3856" t="str">
            <v>St Francis Church of England Primary School</v>
          </cell>
          <cell r="H3856" t="str">
            <v>South West</v>
          </cell>
          <cell r="I3856" t="str">
            <v>Longfield</v>
          </cell>
          <cell r="L3856" t="str">
            <v>Falmouth</v>
          </cell>
          <cell r="M3856" t="str">
            <v>Cornwall</v>
          </cell>
          <cell r="N3856" t="str">
            <v>TR11 4SU</v>
          </cell>
          <cell r="O3856" t="str">
            <v>head@st-francis.cornwall.sch.uk</v>
          </cell>
        </row>
        <row r="3857">
          <cell r="A3857">
            <v>9255400</v>
          </cell>
          <cell r="B3857">
            <v>120696</v>
          </cell>
          <cell r="C3857">
            <v>925</v>
          </cell>
          <cell r="D3857" t="str">
            <v>Lincolnshire</v>
          </cell>
          <cell r="E3857">
            <v>5400</v>
          </cell>
          <cell r="F3857" t="str">
            <v>Susan Shakespeare</v>
          </cell>
          <cell r="G3857" t="str">
            <v>The Skegness Grammar School (Boarding)</v>
          </cell>
          <cell r="H3857" t="str">
            <v>East Midlands</v>
          </cell>
          <cell r="I3857" t="str">
            <v>Vernon Road</v>
          </cell>
          <cell r="L3857" t="str">
            <v>Skegness</v>
          </cell>
          <cell r="M3857" t="str">
            <v>Lincolnshire</v>
          </cell>
          <cell r="N3857" t="str">
            <v>PE25 2QS</v>
          </cell>
          <cell r="O3857" t="str">
            <v>d.ward@skegnessgrammar.lincs.sch.uk</v>
          </cell>
          <cell r="P3857">
            <v>40857</v>
          </cell>
        </row>
        <row r="3858">
          <cell r="A3858">
            <v>8863364</v>
          </cell>
          <cell r="B3858">
            <v>118751</v>
          </cell>
          <cell r="C3858">
            <v>886</v>
          </cell>
          <cell r="D3858" t="str">
            <v>Kent</v>
          </cell>
          <cell r="E3858">
            <v>3364</v>
          </cell>
          <cell r="F3858" t="str">
            <v>Nicky Edwards</v>
          </cell>
          <cell r="G3858" t="str">
            <v>Ramsgate Holy Trinity C.E. (Aided) Primary School</v>
          </cell>
          <cell r="H3858" t="str">
            <v>South East</v>
          </cell>
          <cell r="I3858" t="str">
            <v>Dumpton Park Drive</v>
          </cell>
          <cell r="L3858" t="str">
            <v>Broadstairs</v>
          </cell>
          <cell r="M3858" t="str">
            <v>Kent</v>
          </cell>
          <cell r="N3858" t="str">
            <v>CT10 1RR</v>
          </cell>
          <cell r="O3858" t="str">
            <v>headteacher@holy-trinity-broadstairs.kent.sch.uk</v>
          </cell>
        </row>
        <row r="3859">
          <cell r="A3859">
            <v>8554003</v>
          </cell>
          <cell r="B3859">
            <v>120237</v>
          </cell>
          <cell r="C3859">
            <v>855</v>
          </cell>
          <cell r="D3859" t="str">
            <v>Leicestershire</v>
          </cell>
          <cell r="E3859">
            <v>4003</v>
          </cell>
          <cell r="F3859" t="str">
            <v>Jacki Couch</v>
          </cell>
          <cell r="G3859" t="str">
            <v>The Robert Smyth School</v>
          </cell>
          <cell r="H3859" t="str">
            <v>East Midlands</v>
          </cell>
          <cell r="I3859" t="str">
            <v>Burnmill Road</v>
          </cell>
          <cell r="L3859" t="str">
            <v>Market Harborough</v>
          </cell>
          <cell r="M3859" t="str">
            <v>Leicestershire</v>
          </cell>
          <cell r="N3859" t="str">
            <v>LE16 7JG</v>
          </cell>
          <cell r="O3859" t="str">
            <v>cdean@robertsmyth.leics.sch.uk</v>
          </cell>
          <cell r="P3859">
            <v>40627</v>
          </cell>
        </row>
        <row r="3860">
          <cell r="A3860">
            <v>9162138</v>
          </cell>
          <cell r="B3860">
            <v>115574</v>
          </cell>
          <cell r="C3860">
            <v>916</v>
          </cell>
          <cell r="D3860" t="str">
            <v>Gloucestershire</v>
          </cell>
          <cell r="E3860">
            <v>2138</v>
          </cell>
          <cell r="F3860" t="str">
            <v>Not yet assigned</v>
          </cell>
          <cell r="G3860" t="str">
            <v>Cam Woodfield Infant School</v>
          </cell>
          <cell r="H3860" t="str">
            <v>South West</v>
          </cell>
          <cell r="I3860" t="str">
            <v>Elstub Lane</v>
          </cell>
          <cell r="J3860" t="str">
            <v>Woodfield</v>
          </cell>
          <cell r="L3860" t="str">
            <v>Dursley</v>
          </cell>
          <cell r="M3860" t="str">
            <v>Gloucestershire</v>
          </cell>
          <cell r="N3860" t="str">
            <v>GL11 6JJ</v>
          </cell>
          <cell r="O3860" t="str">
            <v>head@woodfield.gloucs.sch.uk</v>
          </cell>
        </row>
        <row r="3861">
          <cell r="A3861">
            <v>3432078</v>
          </cell>
          <cell r="B3861">
            <v>104883</v>
          </cell>
          <cell r="C3861">
            <v>343</v>
          </cell>
          <cell r="D3861" t="str">
            <v>Sefton</v>
          </cell>
          <cell r="E3861">
            <v>2078</v>
          </cell>
          <cell r="F3861" t="str">
            <v>Maria Sabberton</v>
          </cell>
          <cell r="G3861" t="str">
            <v>Freshfield Primary School</v>
          </cell>
          <cell r="H3861" t="str">
            <v>North West</v>
          </cell>
          <cell r="I3861" t="str">
            <v>Watchyard Lane</v>
          </cell>
          <cell r="J3861" t="str">
            <v>Formby</v>
          </cell>
          <cell r="L3861" t="str">
            <v>Liverpool</v>
          </cell>
          <cell r="M3861" t="str">
            <v>Merseyside</v>
          </cell>
          <cell r="N3861" t="str">
            <v>L37 3JT</v>
          </cell>
        </row>
        <row r="3862">
          <cell r="A3862">
            <v>3195202</v>
          </cell>
          <cell r="B3862">
            <v>103006</v>
          </cell>
          <cell r="C3862">
            <v>319</v>
          </cell>
          <cell r="D3862" t="str">
            <v>Sutton</v>
          </cell>
          <cell r="E3862">
            <v>5202</v>
          </cell>
          <cell r="F3862" t="str">
            <v>Tahir Shams</v>
          </cell>
          <cell r="G3862" t="str">
            <v>Stanley Park Infants' School</v>
          </cell>
          <cell r="H3862" t="str">
            <v>London</v>
          </cell>
          <cell r="I3862" t="str">
            <v>Stanley Park Road</v>
          </cell>
          <cell r="L3862" t="str">
            <v>Carshalton</v>
          </cell>
          <cell r="M3862" t="str">
            <v>Surrey</v>
          </cell>
          <cell r="N3862" t="str">
            <v>SM5 3JL</v>
          </cell>
          <cell r="O3862" t="str">
            <v>sroberts3@suttonlea.org</v>
          </cell>
          <cell r="P3862">
            <v>40813</v>
          </cell>
        </row>
        <row r="3863">
          <cell r="A3863">
            <v>2102858</v>
          </cell>
          <cell r="B3863">
            <v>131843</v>
          </cell>
          <cell r="C3863">
            <v>210</v>
          </cell>
          <cell r="D3863" t="str">
            <v>Southwark</v>
          </cell>
          <cell r="E3863">
            <v>2858</v>
          </cell>
          <cell r="F3863" t="str">
            <v>Helen Barry</v>
          </cell>
          <cell r="G3863" t="str">
            <v>Brunswick Park Primary School</v>
          </cell>
          <cell r="H3863" t="str">
            <v>London</v>
          </cell>
          <cell r="I3863" t="str">
            <v>Picton Street</v>
          </cell>
          <cell r="L3863" t="str">
            <v>London</v>
          </cell>
          <cell r="N3863" t="str">
            <v>SE5 7QH</v>
          </cell>
          <cell r="O3863" t="str">
            <v>headteacher@brunswickpark.southhwark.sch.uk</v>
          </cell>
        </row>
        <row r="3864">
          <cell r="A3864">
            <v>8232168</v>
          </cell>
          <cell r="B3864">
            <v>109505</v>
          </cell>
          <cell r="C3864">
            <v>823</v>
          </cell>
          <cell r="D3864" t="str">
            <v>Central Bedfordshire</v>
          </cell>
          <cell r="E3864">
            <v>2168</v>
          </cell>
          <cell r="F3864" t="str">
            <v>Beverley Samuel</v>
          </cell>
          <cell r="G3864" t="str">
            <v>Hadrian Lower School</v>
          </cell>
          <cell r="H3864" t="str">
            <v>East of England</v>
          </cell>
          <cell r="I3864" t="str">
            <v>Hadrian Avenue</v>
          </cell>
          <cell r="L3864" t="str">
            <v>Dunstable</v>
          </cell>
          <cell r="M3864" t="str">
            <v>Bedfordshire</v>
          </cell>
          <cell r="N3864" t="str">
            <v>LU5 4SR</v>
          </cell>
          <cell r="O3864" t="str">
            <v>s.ingham@cbc.beds.sch.uk</v>
          </cell>
          <cell r="P3864">
            <v>40730</v>
          </cell>
        </row>
        <row r="3865">
          <cell r="A3865">
            <v>8843333</v>
          </cell>
          <cell r="B3865">
            <v>116886</v>
          </cell>
          <cell r="C3865">
            <v>884</v>
          </cell>
          <cell r="D3865" t="str">
            <v>Herefordshire</v>
          </cell>
          <cell r="E3865">
            <v>3333</v>
          </cell>
          <cell r="F3865" t="str">
            <v>Julia Waterhouse</v>
          </cell>
          <cell r="G3865" t="str">
            <v>St Paul's CofE Primary School</v>
          </cell>
          <cell r="H3865" t="str">
            <v>West Midlands</v>
          </cell>
          <cell r="I3865" t="str">
            <v>Hampton Dene Road</v>
          </cell>
          <cell r="J3865" t="str">
            <v>Tupsley</v>
          </cell>
          <cell r="L3865" t="str">
            <v>Hereford</v>
          </cell>
          <cell r="M3865" t="str">
            <v>Herefordshire</v>
          </cell>
          <cell r="N3865" t="str">
            <v>HR1 1UX</v>
          </cell>
          <cell r="O3865" t="str">
            <v>ateale@st-pauls.hereford.sch.uk</v>
          </cell>
          <cell r="P3865">
            <v>40872</v>
          </cell>
        </row>
        <row r="3866">
          <cell r="A3866">
            <v>8842057</v>
          </cell>
          <cell r="B3866">
            <v>116680</v>
          </cell>
          <cell r="C3866">
            <v>884</v>
          </cell>
          <cell r="D3866" t="str">
            <v>Herefordshire</v>
          </cell>
          <cell r="E3866">
            <v>2057</v>
          </cell>
          <cell r="F3866" t="str">
            <v>Carla Spink</v>
          </cell>
          <cell r="G3866" t="str">
            <v>Hampton Dene Primary</v>
          </cell>
          <cell r="H3866" t="str">
            <v>West Midlands</v>
          </cell>
          <cell r="I3866" t="str">
            <v>Church Road</v>
          </cell>
          <cell r="J3866" t="str">
            <v>Tupsley</v>
          </cell>
          <cell r="L3866" t="str">
            <v>Hereford</v>
          </cell>
          <cell r="M3866" t="str">
            <v>Herefordshire</v>
          </cell>
          <cell r="N3866" t="str">
            <v>HR1 1RT</v>
          </cell>
          <cell r="O3866" t="str">
            <v>spugh@hamptondene.hereford.sch.uk</v>
          </cell>
        </row>
        <row r="3867">
          <cell r="A3867">
            <v>9364456</v>
          </cell>
          <cell r="B3867">
            <v>125265</v>
          </cell>
          <cell r="C3867">
            <v>936</v>
          </cell>
          <cell r="D3867" t="str">
            <v>Surrey</v>
          </cell>
          <cell r="E3867">
            <v>4456</v>
          </cell>
          <cell r="F3867" t="str">
            <v>Gabriela Grimley</v>
          </cell>
          <cell r="G3867" t="str">
            <v>George Abbot School</v>
          </cell>
          <cell r="H3867" t="str">
            <v>South East</v>
          </cell>
          <cell r="I3867" t="str">
            <v>Woodruff Avenue</v>
          </cell>
          <cell r="L3867" t="str">
            <v>Guildford</v>
          </cell>
          <cell r="M3867" t="str">
            <v>Surrey</v>
          </cell>
          <cell r="N3867" t="str">
            <v>GU1 1XX</v>
          </cell>
          <cell r="O3867" t="str">
            <v>dclough@georgeabbot.surrey.sch.uk</v>
          </cell>
          <cell r="P3867">
            <v>40527</v>
          </cell>
        </row>
        <row r="3868">
          <cell r="A3868">
            <v>9352013</v>
          </cell>
          <cell r="B3868">
            <v>124539</v>
          </cell>
          <cell r="C3868">
            <v>935</v>
          </cell>
          <cell r="D3868" t="str">
            <v>Suffolk</v>
          </cell>
          <cell r="E3868">
            <v>2013</v>
          </cell>
          <cell r="F3868" t="str">
            <v>Joe Farrell</v>
          </cell>
          <cell r="G3868" t="str">
            <v>Lakenheath Community Primary School</v>
          </cell>
          <cell r="H3868" t="str">
            <v>East of England</v>
          </cell>
          <cell r="I3868" t="str">
            <v>Mill Road</v>
          </cell>
          <cell r="J3868" t="str">
            <v>Lakenheath</v>
          </cell>
          <cell r="L3868" t="str">
            <v>Brandon</v>
          </cell>
          <cell r="M3868" t="str">
            <v>Suffolk</v>
          </cell>
          <cell r="N3868" t="str">
            <v>IP27 9DU</v>
          </cell>
          <cell r="O3868" t="str">
            <v>head@lakenheath.suffolk.sch.uk</v>
          </cell>
        </row>
        <row r="3869">
          <cell r="A3869">
            <v>3444052</v>
          </cell>
          <cell r="B3869">
            <v>105098</v>
          </cell>
          <cell r="C3869">
            <v>344</v>
          </cell>
          <cell r="D3869" t="str">
            <v>Wirral</v>
          </cell>
          <cell r="E3869">
            <v>4052</v>
          </cell>
          <cell r="F3869" t="str">
            <v>Maria Sabberton</v>
          </cell>
          <cell r="G3869" t="str">
            <v>Wirral Grammar School for Girls</v>
          </cell>
          <cell r="H3869" t="str">
            <v>North West</v>
          </cell>
          <cell r="I3869" t="str">
            <v>Heath Road</v>
          </cell>
          <cell r="J3869" t="str">
            <v>Bebington</v>
          </cell>
          <cell r="L3869" t="str">
            <v>Wirral</v>
          </cell>
          <cell r="M3869" t="str">
            <v>Merseyside</v>
          </cell>
          <cell r="N3869" t="str">
            <v>CH63 3AF</v>
          </cell>
          <cell r="O3869" t="str">
            <v>headteacher@wirralgrammar-girls.wirral.sch.uk</v>
          </cell>
          <cell r="P3869">
            <v>40525</v>
          </cell>
        </row>
        <row r="3870">
          <cell r="A3870">
            <v>8122001</v>
          </cell>
          <cell r="B3870">
            <v>131540</v>
          </cell>
          <cell r="C3870">
            <v>812</v>
          </cell>
          <cell r="D3870" t="str">
            <v>North East Lincolnshire</v>
          </cell>
          <cell r="E3870">
            <v>2001</v>
          </cell>
          <cell r="F3870" t="str">
            <v>Bev Annables</v>
          </cell>
          <cell r="G3870" t="str">
            <v>Yarborough Primary School</v>
          </cell>
          <cell r="H3870" t="str">
            <v>Yorkshire and the Humber</v>
          </cell>
          <cell r="I3870" t="str">
            <v>Yarrow Road</v>
          </cell>
          <cell r="L3870" t="str">
            <v>Grimsby</v>
          </cell>
          <cell r="M3870" t="str">
            <v>Lincolnshire</v>
          </cell>
          <cell r="N3870" t="str">
            <v>DN34 4JU</v>
          </cell>
          <cell r="O3870" t="str">
            <v>head@yp.nelcmail.co.uk</v>
          </cell>
          <cell r="P3870">
            <v>40911</v>
          </cell>
        </row>
        <row r="3871">
          <cell r="A3871">
            <v>8552141</v>
          </cell>
          <cell r="B3871">
            <v>119963</v>
          </cell>
          <cell r="C3871">
            <v>855</v>
          </cell>
          <cell r="D3871" t="str">
            <v>Leicestershire</v>
          </cell>
          <cell r="E3871">
            <v>2141</v>
          </cell>
          <cell r="F3871" t="str">
            <v>Sue Harp</v>
          </cell>
          <cell r="G3871" t="str">
            <v>Enderby Danemill Primary School</v>
          </cell>
          <cell r="H3871" t="str">
            <v>East Midlands</v>
          </cell>
          <cell r="I3871" t="str">
            <v>Mill Lane</v>
          </cell>
          <cell r="J3871" t="str">
            <v>Enderby</v>
          </cell>
          <cell r="L3871" t="str">
            <v>Leicester</v>
          </cell>
          <cell r="M3871" t="str">
            <v>Leicestershire</v>
          </cell>
          <cell r="N3871" t="str">
            <v>LE19 4LH</v>
          </cell>
          <cell r="O3871" t="str">
            <v>pvipond@danemill.leics.sch.uk</v>
          </cell>
        </row>
        <row r="3872">
          <cell r="A3872">
            <v>9287008</v>
          </cell>
          <cell r="B3872">
            <v>122157</v>
          </cell>
          <cell r="C3872">
            <v>928</v>
          </cell>
          <cell r="D3872" t="str">
            <v>Northamptonshire</v>
          </cell>
          <cell r="E3872">
            <v>7008</v>
          </cell>
          <cell r="F3872" t="str">
            <v>Stephen Standret</v>
          </cell>
          <cell r="G3872" t="str">
            <v>Isebrook School</v>
          </cell>
          <cell r="H3872" t="str">
            <v>East Midlands</v>
          </cell>
          <cell r="I3872" t="str">
            <v>Eastleigh Road</v>
          </cell>
          <cell r="L3872" t="str">
            <v>Kettering</v>
          </cell>
          <cell r="M3872" t="str">
            <v>Northamptonshire</v>
          </cell>
          <cell r="N3872" t="str">
            <v>NN15 6PT</v>
          </cell>
          <cell r="O3872" t="str">
            <v>head@isebrook.northants-ecl.gov.uk</v>
          </cell>
        </row>
        <row r="3873">
          <cell r="A3873">
            <v>9255220</v>
          </cell>
          <cell r="B3873">
            <v>120687</v>
          </cell>
          <cell r="C3873">
            <v>925</v>
          </cell>
          <cell r="D3873" t="str">
            <v>Lincolnshire</v>
          </cell>
          <cell r="E3873">
            <v>5220</v>
          </cell>
          <cell r="F3873" t="str">
            <v>Sue Harp</v>
          </cell>
          <cell r="G3873" t="str">
            <v>Hartsholme Primary School</v>
          </cell>
          <cell r="H3873" t="str">
            <v>East Midlands</v>
          </cell>
          <cell r="I3873" t="str">
            <v>Carrington Drive</v>
          </cell>
          <cell r="L3873" t="str">
            <v>Lincoln</v>
          </cell>
          <cell r="M3873" t="str">
            <v>Lincolnshire</v>
          </cell>
          <cell r="N3873" t="str">
            <v>LN6 0DE</v>
          </cell>
          <cell r="O3873" t="str">
            <v>carl.jarvis@hartsholme.lincs.sch.uk</v>
          </cell>
          <cell r="P3873">
            <v>40812</v>
          </cell>
        </row>
        <row r="3874">
          <cell r="A3874">
            <v>8604610</v>
          </cell>
          <cell r="B3874">
            <v>124456</v>
          </cell>
          <cell r="C3874">
            <v>860</v>
          </cell>
          <cell r="D3874" t="str">
            <v>Staffordshire</v>
          </cell>
          <cell r="E3874">
            <v>4610</v>
          </cell>
          <cell r="F3874" t="str">
            <v>Hannah Copp</v>
          </cell>
          <cell r="G3874" t="str">
            <v>Painsley Catholic College</v>
          </cell>
          <cell r="H3874" t="str">
            <v>West Midlands</v>
          </cell>
          <cell r="I3874" t="str">
            <v>Station Road</v>
          </cell>
          <cell r="J3874" t="str">
            <v>Cheadle</v>
          </cell>
          <cell r="L3874" t="str">
            <v>Stoke-on-Trent</v>
          </cell>
          <cell r="M3874" t="str">
            <v>Staffordshire</v>
          </cell>
          <cell r="N3874" t="str">
            <v>ST10 1LH</v>
          </cell>
          <cell r="O3874" t="str">
            <v>stephenbell@painsley.staffs.sch.uk</v>
          </cell>
          <cell r="P3874">
            <v>41057</v>
          </cell>
        </row>
        <row r="3875">
          <cell r="A3875">
            <v>3302166</v>
          </cell>
          <cell r="B3875">
            <v>103251</v>
          </cell>
          <cell r="C3875">
            <v>330</v>
          </cell>
          <cell r="D3875" t="str">
            <v>Birmingham</v>
          </cell>
          <cell r="E3875">
            <v>2166</v>
          </cell>
          <cell r="F3875" t="str">
            <v>Alison Middleton</v>
          </cell>
          <cell r="G3875" t="str">
            <v>Erdington Hall Primary School</v>
          </cell>
          <cell r="H3875" t="str">
            <v>West Midlands</v>
          </cell>
          <cell r="I3875" t="str">
            <v>Ryland Road</v>
          </cell>
          <cell r="J3875" t="str">
            <v>Erdington</v>
          </cell>
          <cell r="L3875" t="str">
            <v>Birmingham</v>
          </cell>
          <cell r="M3875" t="str">
            <v>West Midlands</v>
          </cell>
          <cell r="N3875" t="str">
            <v>B24 8JJ</v>
          </cell>
          <cell r="O3875" t="str">
            <v>enquiry@erdhall.bham.sch.uk</v>
          </cell>
        </row>
        <row r="3876">
          <cell r="A3876">
            <v>9383360</v>
          </cell>
          <cell r="B3876">
            <v>133969</v>
          </cell>
          <cell r="C3876">
            <v>938</v>
          </cell>
          <cell r="D3876" t="str">
            <v>West Sussex</v>
          </cell>
          <cell r="E3876">
            <v>3360</v>
          </cell>
          <cell r="F3876" t="str">
            <v>Amanda Barrett</v>
          </cell>
          <cell r="G3876" t="str">
            <v>Bewbush Community Primary</v>
          </cell>
          <cell r="H3876" t="str">
            <v>South East</v>
          </cell>
          <cell r="I3876" t="str">
            <v>Dorsten Square</v>
          </cell>
          <cell r="J3876" t="str">
            <v>Bewbush</v>
          </cell>
          <cell r="L3876" t="str">
            <v>Crawley</v>
          </cell>
          <cell r="M3876" t="str">
            <v>West Sussex</v>
          </cell>
          <cell r="N3876" t="str">
            <v>RH11 8XW</v>
          </cell>
        </row>
        <row r="3877">
          <cell r="A3877">
            <v>9261111</v>
          </cell>
          <cell r="B3877">
            <v>137490</v>
          </cell>
          <cell r="C3877">
            <v>926</v>
          </cell>
          <cell r="D3877" t="str">
            <v>Norfolk</v>
          </cell>
          <cell r="E3877">
            <v>1111</v>
          </cell>
          <cell r="F3877" t="str">
            <v>Tahir Shams</v>
          </cell>
          <cell r="G3877" t="str">
            <v>Short Stay School for Norfolk</v>
          </cell>
          <cell r="H3877" t="str">
            <v>East of England</v>
          </cell>
          <cell r="I3877" t="str">
            <v>The Locksley School</v>
          </cell>
          <cell r="J3877" t="str">
            <v>Locksley Road</v>
          </cell>
          <cell r="L3877" t="str">
            <v>Norwich</v>
          </cell>
          <cell r="M3877" t="str">
            <v>Norfolk</v>
          </cell>
          <cell r="N3877" t="str">
            <v>NR4 6LG</v>
          </cell>
          <cell r="O3877" t="str">
            <v>head@locksley.norfolk.sch.uk</v>
          </cell>
        </row>
        <row r="3878">
          <cell r="A3878">
            <v>3833365</v>
          </cell>
          <cell r="B3878">
            <v>108019</v>
          </cell>
          <cell r="C3878">
            <v>383</v>
          </cell>
          <cell r="D3878" t="str">
            <v>Leeds</v>
          </cell>
          <cell r="E3878">
            <v>3365</v>
          </cell>
          <cell r="F3878" t="str">
            <v>Tony Bretherick</v>
          </cell>
          <cell r="G3878" t="str">
            <v>St Benedict's Catholic Primary School</v>
          </cell>
          <cell r="H3878" t="str">
            <v>Yorkshire and the Humber</v>
          </cell>
          <cell r="I3878" t="str">
            <v>Station Fields</v>
          </cell>
          <cell r="J3878" t="str">
            <v>Garforth</v>
          </cell>
          <cell r="L3878" t="str">
            <v>Leeds</v>
          </cell>
          <cell r="M3878" t="str">
            <v>West Yorkshire</v>
          </cell>
          <cell r="N3878" t="str">
            <v>LS25 1PS</v>
          </cell>
          <cell r="O3878" t="str">
            <v>floodk02@leedslearning.net</v>
          </cell>
          <cell r="P3878">
            <v>41017</v>
          </cell>
        </row>
        <row r="3879">
          <cell r="A3879">
            <v>8792691</v>
          </cell>
          <cell r="B3879">
            <v>113313</v>
          </cell>
          <cell r="C3879">
            <v>879</v>
          </cell>
          <cell r="D3879" t="str">
            <v>Plymouth</v>
          </cell>
          <cell r="E3879">
            <v>2691</v>
          </cell>
          <cell r="F3879" t="str">
            <v>Simon Foster</v>
          </cell>
          <cell r="G3879" t="str">
            <v>Hooe Primary School</v>
          </cell>
          <cell r="H3879" t="str">
            <v>South West</v>
          </cell>
          <cell r="I3879" t="str">
            <v>Hooe Road</v>
          </cell>
          <cell r="J3879" t="str">
            <v>Hooe</v>
          </cell>
          <cell r="K3879" t="str">
            <v>Plymstock</v>
          </cell>
          <cell r="L3879" t="str">
            <v>Plymouth</v>
          </cell>
          <cell r="M3879" t="str">
            <v>Devon</v>
          </cell>
          <cell r="N3879" t="str">
            <v>PL9 9RG</v>
          </cell>
          <cell r="O3879" t="str">
            <v>jakedaykin@hooe.plymouth.sch.uk</v>
          </cell>
          <cell r="P3879">
            <v>41054</v>
          </cell>
        </row>
        <row r="3880">
          <cell r="A3880">
            <v>3842210</v>
          </cell>
          <cell r="B3880">
            <v>136048</v>
          </cell>
          <cell r="C3880">
            <v>384</v>
          </cell>
          <cell r="D3880" t="str">
            <v>Wakefield</v>
          </cell>
          <cell r="E3880">
            <v>2210</v>
          </cell>
          <cell r="F3880" t="str">
            <v>Claire Ryan</v>
          </cell>
          <cell r="G3880" t="str">
            <v>Knottingley Ferrybridge Roundhill Primary School</v>
          </cell>
          <cell r="H3880" t="str">
            <v>Yorkshire and the Humber</v>
          </cell>
          <cell r="I3880" t="str">
            <v>Hampden Close</v>
          </cell>
          <cell r="J3880" t="str">
            <v>Ferrybridge</v>
          </cell>
          <cell r="L3880" t="str">
            <v>Knottingley</v>
          </cell>
          <cell r="M3880" t="str">
            <v>West Yorkshire</v>
          </cell>
          <cell r="N3880" t="str">
            <v>WF11 8PT</v>
          </cell>
          <cell r="O3880" t="str">
            <v>headteacher@ferrybridge.wakefield.sch.uk</v>
          </cell>
          <cell r="P3880">
            <v>40963</v>
          </cell>
        </row>
        <row r="3881">
          <cell r="A3881">
            <v>9255422</v>
          </cell>
          <cell r="B3881">
            <v>120718</v>
          </cell>
          <cell r="C3881">
            <v>925</v>
          </cell>
          <cell r="D3881" t="str">
            <v>Lincolnshire</v>
          </cell>
          <cell r="E3881">
            <v>5422</v>
          </cell>
          <cell r="F3881" t="str">
            <v>Servet Bicer</v>
          </cell>
          <cell r="G3881" t="str">
            <v>St Hugh's CofE Mathematics and Computing College (in federation with The Earl of Dysart Primary School, Grantham Spitalgate Primary School and Charles Read High School)</v>
          </cell>
          <cell r="H3881" t="str">
            <v>East Midlands</v>
          </cell>
          <cell r="I3881" t="str">
            <v>The Avenue</v>
          </cell>
          <cell r="J3881" t="str">
            <v>Dysart Road</v>
          </cell>
          <cell r="L3881" t="str">
            <v>Grantham</v>
          </cell>
          <cell r="M3881" t="str">
            <v>Lincolnshire</v>
          </cell>
          <cell r="N3881" t="str">
            <v>NG31 7PX</v>
          </cell>
          <cell r="O3881" t="str">
            <v>trudy.brothwell@wgfederation.com</v>
          </cell>
          <cell r="P3881">
            <v>40357</v>
          </cell>
        </row>
        <row r="3882">
          <cell r="A3882">
            <v>8687009</v>
          </cell>
          <cell r="B3882">
            <v>110183</v>
          </cell>
          <cell r="C3882">
            <v>868</v>
          </cell>
          <cell r="D3882" t="str">
            <v>Windsor and Maidenhead</v>
          </cell>
          <cell r="E3882">
            <v>7009</v>
          </cell>
          <cell r="F3882" t="str">
            <v>Darren Francis</v>
          </cell>
          <cell r="G3882" t="str">
            <v>Manor Green School (formerly Holyport Manor Special School)</v>
          </cell>
          <cell r="H3882" t="str">
            <v>South East</v>
          </cell>
          <cell r="I3882" t="str">
            <v>Elizabeth Hawkes Way</v>
          </cell>
          <cell r="L3882" t="str">
            <v>Maidenhead</v>
          </cell>
          <cell r="M3882" t="str">
            <v>Berkshire</v>
          </cell>
          <cell r="N3882" t="str">
            <v>SL6 3EQ</v>
          </cell>
          <cell r="O3882" t="str">
            <v>hilda006@rbwm.org</v>
          </cell>
        </row>
        <row r="3883">
          <cell r="A3883">
            <v>8815416</v>
          </cell>
          <cell r="B3883">
            <v>115332</v>
          </cell>
          <cell r="C3883">
            <v>881</v>
          </cell>
          <cell r="D3883" t="str">
            <v>Essex</v>
          </cell>
          <cell r="E3883">
            <v>5416</v>
          </cell>
          <cell r="F3883" t="str">
            <v>David Rudd</v>
          </cell>
          <cell r="G3883" t="str">
            <v>The Boswells School</v>
          </cell>
          <cell r="H3883" t="str">
            <v>East of England</v>
          </cell>
          <cell r="I3883" t="str">
            <v>Burnham Road</v>
          </cell>
          <cell r="L3883" t="str">
            <v>Chelmsford</v>
          </cell>
          <cell r="M3883" t="str">
            <v>Essex</v>
          </cell>
          <cell r="N3883" t="str">
            <v>CM1 6LY</v>
          </cell>
          <cell r="P3883">
            <v>40830</v>
          </cell>
        </row>
        <row r="3884">
          <cell r="A3884">
            <v>8953122</v>
          </cell>
          <cell r="B3884">
            <v>111257</v>
          </cell>
          <cell r="C3884">
            <v>895</v>
          </cell>
          <cell r="D3884" t="str">
            <v>Cheshire East</v>
          </cell>
          <cell r="E3884">
            <v>3122</v>
          </cell>
          <cell r="F3884" t="str">
            <v>Kris Nursiah</v>
          </cell>
          <cell r="G3884" t="str">
            <v>Smallwood CE Primary School</v>
          </cell>
          <cell r="H3884" t="str">
            <v>North West</v>
          </cell>
          <cell r="I3884" t="str">
            <v>Smallwood</v>
          </cell>
          <cell r="L3884" t="str">
            <v>Sandbach</v>
          </cell>
          <cell r="M3884" t="str">
            <v>Cheshire</v>
          </cell>
          <cell r="N3884" t="str">
            <v>CW11 2UR</v>
          </cell>
          <cell r="O3884" t="str">
            <v>head@smallwood.cheshire.sch.uk</v>
          </cell>
        </row>
        <row r="3885">
          <cell r="A3885">
            <v>9314055</v>
          </cell>
          <cell r="B3885">
            <v>123240</v>
          </cell>
          <cell r="C3885">
            <v>931</v>
          </cell>
          <cell r="D3885" t="str">
            <v>Oxfordshire</v>
          </cell>
          <cell r="E3885">
            <v>4055</v>
          </cell>
          <cell r="F3885" t="str">
            <v>Sarah Nairne</v>
          </cell>
          <cell r="G3885" t="str">
            <v>Gillotts School</v>
          </cell>
          <cell r="H3885" t="str">
            <v>South East</v>
          </cell>
          <cell r="I3885" t="str">
            <v>Gillotts Lane</v>
          </cell>
          <cell r="L3885" t="str">
            <v>Henley-on-Thames</v>
          </cell>
          <cell r="M3885" t="str">
            <v>Oxfordshire</v>
          </cell>
          <cell r="N3885" t="str">
            <v>RG9 1PS</v>
          </cell>
          <cell r="O3885" t="str">
            <v>C.Darnton@gillotts.oxon.sch.uk</v>
          </cell>
          <cell r="P3885">
            <v>40751</v>
          </cell>
        </row>
        <row r="3886">
          <cell r="A3886">
            <v>3065202</v>
          </cell>
          <cell r="B3886">
            <v>101817</v>
          </cell>
          <cell r="C3886">
            <v>306</v>
          </cell>
          <cell r="D3886" t="str">
            <v>Croydon</v>
          </cell>
          <cell r="E3886">
            <v>5202</v>
          </cell>
          <cell r="F3886" t="str">
            <v>Helen Barry</v>
          </cell>
          <cell r="G3886" t="str">
            <v>Atwood Primary School</v>
          </cell>
          <cell r="H3886" t="str">
            <v>London</v>
          </cell>
          <cell r="I3886" t="str">
            <v>Limpsfield Road</v>
          </cell>
          <cell r="L3886" t="str">
            <v>South Croydon</v>
          </cell>
          <cell r="M3886" t="str">
            <v>Surrey</v>
          </cell>
          <cell r="N3886" t="str">
            <v>CR2 9EE</v>
          </cell>
          <cell r="O3886" t="str">
            <v>head@atwood.croydon.sch.uk</v>
          </cell>
        </row>
        <row r="3887">
          <cell r="A3887">
            <v>9165414</v>
          </cell>
          <cell r="B3887">
            <v>115765</v>
          </cell>
          <cell r="C3887">
            <v>916</v>
          </cell>
          <cell r="D3887" t="str">
            <v>Gloucestershire</v>
          </cell>
          <cell r="E3887">
            <v>5414</v>
          </cell>
          <cell r="F3887" t="str">
            <v>Nigel Mills</v>
          </cell>
          <cell r="G3887" t="str">
            <v>Chipping Campden School</v>
          </cell>
          <cell r="H3887" t="str">
            <v>South West</v>
          </cell>
          <cell r="I3887" t="str">
            <v>Cider Mill Lane</v>
          </cell>
          <cell r="L3887" t="str">
            <v>Chipping Campden</v>
          </cell>
          <cell r="M3887" t="str">
            <v>Gloucestershire</v>
          </cell>
          <cell r="N3887" t="str">
            <v>GL55 6HU</v>
          </cell>
          <cell r="O3887" t="str">
            <v>af@chippingcampden.gloucs.sch.uk</v>
          </cell>
          <cell r="P3887">
            <v>40634</v>
          </cell>
        </row>
        <row r="3888">
          <cell r="A3888">
            <v>8553434</v>
          </cell>
          <cell r="B3888">
            <v>120233</v>
          </cell>
          <cell r="C3888">
            <v>855</v>
          </cell>
          <cell r="D3888" t="str">
            <v>Leicestershire</v>
          </cell>
          <cell r="E3888">
            <v>3434</v>
          </cell>
          <cell r="F3888" t="str">
            <v>Sue Harp</v>
          </cell>
          <cell r="G3888" t="str">
            <v>Loughborough Church of England Primary School</v>
          </cell>
          <cell r="H3888" t="str">
            <v>East Midlands</v>
          </cell>
          <cell r="I3888" t="str">
            <v>William Street</v>
          </cell>
          <cell r="L3888" t="str">
            <v>Loughborough</v>
          </cell>
          <cell r="M3888" t="str">
            <v>Leicestershire</v>
          </cell>
          <cell r="N3888" t="str">
            <v>LE11 3BY</v>
          </cell>
          <cell r="O3888" t="str">
            <v>head@loughborough-pri.leics.sch.uk</v>
          </cell>
        </row>
        <row r="3889">
          <cell r="A3889">
            <v>8232146</v>
          </cell>
          <cell r="B3889">
            <v>109495</v>
          </cell>
          <cell r="C3889">
            <v>823</v>
          </cell>
          <cell r="D3889" t="str">
            <v>Central Bedfordshire</v>
          </cell>
          <cell r="E3889">
            <v>2146</v>
          </cell>
          <cell r="F3889" t="str">
            <v>Kish Chetty</v>
          </cell>
          <cell r="G3889" t="str">
            <v>Russell Lower School</v>
          </cell>
          <cell r="H3889" t="str">
            <v>East of England</v>
          </cell>
          <cell r="I3889" t="str">
            <v>Queens Road</v>
          </cell>
          <cell r="L3889" t="str">
            <v>Ampthill</v>
          </cell>
          <cell r="M3889" t="str">
            <v>Bedfordshire</v>
          </cell>
          <cell r="N3889" t="str">
            <v>MK45 2TD</v>
          </cell>
          <cell r="O3889" t="str">
            <v>jane.sealey@ntlworld.com</v>
          </cell>
          <cell r="P3889">
            <v>40603</v>
          </cell>
        </row>
        <row r="3890">
          <cell r="A3890">
            <v>9312593</v>
          </cell>
          <cell r="B3890">
            <v>123078</v>
          </cell>
          <cell r="C3890">
            <v>931</v>
          </cell>
          <cell r="D3890" t="str">
            <v>Oxfordshire</v>
          </cell>
          <cell r="E3890">
            <v>2593</v>
          </cell>
          <cell r="F3890" t="str">
            <v>Sarah Nairne</v>
          </cell>
          <cell r="G3890" t="str">
            <v>Pegasus School</v>
          </cell>
          <cell r="H3890" t="str">
            <v>South East</v>
          </cell>
          <cell r="I3890" t="str">
            <v>Field Avenue</v>
          </cell>
          <cell r="J3890" t="str">
            <v>Blackbird Leys</v>
          </cell>
          <cell r="L3890" t="str">
            <v>Oxford</v>
          </cell>
          <cell r="M3890" t="str">
            <v>Oxfordshire</v>
          </cell>
          <cell r="N3890" t="str">
            <v>OX4 6RQ</v>
          </cell>
          <cell r="O3890" t="str">
            <v>head.2593@pegasus-pri.oxon.sch.uk</v>
          </cell>
          <cell r="P3890">
            <v>41131</v>
          </cell>
        </row>
        <row r="3891">
          <cell r="A3891">
            <v>3542063</v>
          </cell>
          <cell r="B3891">
            <v>105798</v>
          </cell>
          <cell r="C3891">
            <v>354</v>
          </cell>
          <cell r="D3891" t="str">
            <v>Rochdale</v>
          </cell>
          <cell r="E3891">
            <v>2063</v>
          </cell>
          <cell r="F3891" t="str">
            <v>Jane McCusker</v>
          </cell>
          <cell r="G3891" t="str">
            <v>Hopwood Community Primary School</v>
          </cell>
          <cell r="H3891" t="str">
            <v>North West</v>
          </cell>
          <cell r="I3891" t="str">
            <v>Magdala Street</v>
          </cell>
          <cell r="L3891" t="str">
            <v>Heywood</v>
          </cell>
          <cell r="M3891" t="str">
            <v>Lancashire</v>
          </cell>
          <cell r="N3891" t="str">
            <v>OL10 2HN</v>
          </cell>
          <cell r="O3891" t="str">
            <v>head@hopwood.rochdale.sch.uk</v>
          </cell>
        </row>
        <row r="3892">
          <cell r="A3892">
            <v>3913662</v>
          </cell>
          <cell r="B3892">
            <v>108504</v>
          </cell>
          <cell r="C3892">
            <v>391</v>
          </cell>
          <cell r="D3892" t="str">
            <v>Newcastle upon Tyne</v>
          </cell>
          <cell r="E3892">
            <v>3662</v>
          </cell>
          <cell r="F3892" t="str">
            <v>Lisa Sargeant</v>
          </cell>
          <cell r="G3892" t="str">
            <v>Sacred Heart Primary School</v>
          </cell>
          <cell r="H3892" t="str">
            <v>North East</v>
          </cell>
          <cell r="I3892" t="str">
            <v>Convent Road</v>
          </cell>
          <cell r="J3892" t="str">
            <v>Fenham</v>
          </cell>
          <cell r="L3892" t="str">
            <v>Newcastle-upon-Tyne</v>
          </cell>
          <cell r="M3892" t="str">
            <v>Tyne and Wear</v>
          </cell>
          <cell r="N3892" t="str">
            <v>NE4 9XZ</v>
          </cell>
          <cell r="O3892" t="str">
            <v>kevin.foster@sacredhprim.newcastle.sch.uk</v>
          </cell>
          <cell r="P3892">
            <v>40820</v>
          </cell>
        </row>
        <row r="3893">
          <cell r="A3893">
            <v>3523448</v>
          </cell>
          <cell r="B3893">
            <v>105531</v>
          </cell>
          <cell r="C3893">
            <v>352</v>
          </cell>
          <cell r="D3893" t="str">
            <v>Manchester</v>
          </cell>
          <cell r="E3893">
            <v>3448</v>
          </cell>
          <cell r="F3893" t="str">
            <v>Stuart Mepham</v>
          </cell>
          <cell r="G3893" t="str">
            <v>St John Fisher and Thomas More Catholic Primary School</v>
          </cell>
          <cell r="H3893" t="str">
            <v>North West</v>
          </cell>
          <cell r="I3893" t="str">
            <v>Woodhouse Lane</v>
          </cell>
          <cell r="J3893" t="str">
            <v>Benchill</v>
          </cell>
          <cell r="L3893" t="str">
            <v>Manchester</v>
          </cell>
          <cell r="N3893" t="str">
            <v>M22 9NW</v>
          </cell>
          <cell r="O3893" t="str">
            <v>Head@st-johnfisher-st-thomasmore.manchester.sch.uk</v>
          </cell>
          <cell r="P3893">
            <v>41208</v>
          </cell>
        </row>
        <row r="3894">
          <cell r="A3894">
            <v>3025402</v>
          </cell>
          <cell r="B3894">
            <v>101359</v>
          </cell>
          <cell r="C3894">
            <v>302</v>
          </cell>
          <cell r="D3894" t="str">
            <v>Barnet</v>
          </cell>
          <cell r="E3894">
            <v>5402</v>
          </cell>
          <cell r="F3894" t="str">
            <v>Helen Barry</v>
          </cell>
          <cell r="G3894" t="str">
            <v>Mill Hill County High School</v>
          </cell>
          <cell r="H3894" t="str">
            <v>London</v>
          </cell>
          <cell r="I3894" t="str">
            <v>Worcester Crescent</v>
          </cell>
          <cell r="J3894" t="str">
            <v>Mill Hill</v>
          </cell>
          <cell r="L3894" t="str">
            <v>London</v>
          </cell>
          <cell r="N3894" t="str">
            <v>NW7 4LL</v>
          </cell>
          <cell r="O3894" t="str">
            <v>hd001@mhchs.org.uk</v>
          </cell>
          <cell r="P3894">
            <v>40515</v>
          </cell>
        </row>
        <row r="3895">
          <cell r="A3895">
            <v>8522002</v>
          </cell>
          <cell r="B3895">
            <v>132117</v>
          </cell>
          <cell r="C3895">
            <v>852</v>
          </cell>
          <cell r="D3895" t="str">
            <v>Southampton</v>
          </cell>
          <cell r="E3895">
            <v>2002</v>
          </cell>
          <cell r="F3895" t="str">
            <v>Amanda Barrett</v>
          </cell>
          <cell r="G3895" t="str">
            <v>Thornhill Primary School</v>
          </cell>
          <cell r="H3895" t="str">
            <v>South East</v>
          </cell>
          <cell r="I3895" t="str">
            <v>Byron Road</v>
          </cell>
          <cell r="J3895" t="str">
            <v>Thornhill</v>
          </cell>
          <cell r="L3895" t="str">
            <v>Southampton</v>
          </cell>
          <cell r="M3895" t="str">
            <v>Hampshire</v>
          </cell>
          <cell r="N3895" t="str">
            <v>SO19 6FH</v>
          </cell>
          <cell r="O3895" t="str">
            <v>head@thornhillsch.net</v>
          </cell>
          <cell r="P3895">
            <v>41205</v>
          </cell>
        </row>
        <row r="3896">
          <cell r="A3896">
            <v>8514283</v>
          </cell>
          <cell r="B3896">
            <v>116459</v>
          </cell>
          <cell r="C3896">
            <v>851</v>
          </cell>
          <cell r="D3896" t="str">
            <v>Portsmouth</v>
          </cell>
          <cell r="E3896">
            <v>4283</v>
          </cell>
          <cell r="F3896" t="str">
            <v>Eric Mcewen</v>
          </cell>
          <cell r="G3896" t="str">
            <v>Priory School Specialist Sports College</v>
          </cell>
          <cell r="H3896" t="str">
            <v>South East</v>
          </cell>
          <cell r="I3896" t="str">
            <v>Fawcett Road</v>
          </cell>
          <cell r="L3896" t="str">
            <v>Southsea</v>
          </cell>
          <cell r="M3896" t="str">
            <v>Hampshire</v>
          </cell>
          <cell r="N3896" t="str">
            <v>PO4 0DL</v>
          </cell>
          <cell r="O3896" t="str">
            <v>priory@priory.portsmouth.sch.uk</v>
          </cell>
          <cell r="P3896">
            <v>41198</v>
          </cell>
        </row>
        <row r="3897">
          <cell r="A3897">
            <v>8553319</v>
          </cell>
          <cell r="B3897">
            <v>120200</v>
          </cell>
          <cell r="C3897">
            <v>855</v>
          </cell>
          <cell r="D3897" t="str">
            <v>Leicestershire</v>
          </cell>
          <cell r="E3897">
            <v>3319</v>
          </cell>
          <cell r="F3897" t="str">
            <v>Sue Harp</v>
          </cell>
          <cell r="G3897" t="str">
            <v>St Margaret's Church of England Primary School</v>
          </cell>
          <cell r="H3897" t="str">
            <v>East Midlands</v>
          </cell>
          <cell r="I3897" t="str">
            <v>High Street</v>
          </cell>
          <cell r="J3897" t="str">
            <v>Stoke Golding</v>
          </cell>
          <cell r="L3897" t="str">
            <v>Nuneaton</v>
          </cell>
          <cell r="M3897" t="str">
            <v>Warwickshire</v>
          </cell>
          <cell r="N3897" t="str">
            <v>CV13 6HE</v>
          </cell>
          <cell r="O3897" t="str">
            <v>julie.wright@st-margarets.leics.sch.uk</v>
          </cell>
        </row>
        <row r="3898">
          <cell r="A3898">
            <v>8604158</v>
          </cell>
          <cell r="B3898">
            <v>124435</v>
          </cell>
          <cell r="C3898">
            <v>860</v>
          </cell>
          <cell r="D3898" t="str">
            <v>Staffordshire</v>
          </cell>
          <cell r="E3898">
            <v>4158</v>
          </cell>
          <cell r="F3898" t="str">
            <v>Alison Middleton</v>
          </cell>
          <cell r="G3898" t="str">
            <v>Rawlett Community Sports College</v>
          </cell>
          <cell r="H3898" t="str">
            <v>West Midlands</v>
          </cell>
          <cell r="I3898" t="str">
            <v>Comberford Road</v>
          </cell>
          <cell r="L3898" t="str">
            <v>Tamworth</v>
          </cell>
          <cell r="M3898" t="str">
            <v>Staffordshire</v>
          </cell>
          <cell r="N3898" t="str">
            <v>B79 9AA</v>
          </cell>
          <cell r="O3898" t="str">
            <v>ptb@rawlett.net</v>
          </cell>
          <cell r="P3898">
            <v>40974</v>
          </cell>
        </row>
        <row r="3899">
          <cell r="A3899">
            <v>9254071</v>
          </cell>
          <cell r="B3899">
            <v>100931</v>
          </cell>
          <cell r="C3899">
            <v>211</v>
          </cell>
          <cell r="D3899" t="str">
            <v>Tower Hamlets</v>
          </cell>
          <cell r="E3899">
            <v>2857</v>
          </cell>
          <cell r="F3899" t="str">
            <v>Sheila Longstaff</v>
          </cell>
          <cell r="G3899" t="str">
            <v>Seven Mills Primary School</v>
          </cell>
          <cell r="H3899" t="str">
            <v>London</v>
          </cell>
          <cell r="I3899" t="str">
            <v>Malabar Street</v>
          </cell>
          <cell r="J3899" t="str">
            <v>Alpha Grove</v>
          </cell>
          <cell r="L3899" t="str">
            <v>London</v>
          </cell>
          <cell r="N3899" t="str">
            <v>E14 8LY</v>
          </cell>
          <cell r="O3899" t="str">
            <v xml:space="preserve"> kumar.kotecha@gmail.com</v>
          </cell>
        </row>
        <row r="3900">
          <cell r="A3900">
            <v>9194099</v>
          </cell>
          <cell r="B3900">
            <v>117527</v>
          </cell>
          <cell r="C3900">
            <v>919</v>
          </cell>
          <cell r="D3900" t="str">
            <v>Hertfordshire</v>
          </cell>
          <cell r="E3900">
            <v>4099</v>
          </cell>
          <cell r="F3900" t="str">
            <v>Yvonne Reddington</v>
          </cell>
          <cell r="G3900" t="str">
            <v>Bishop's Hatfield Girls' School</v>
          </cell>
          <cell r="H3900" t="str">
            <v>East of England</v>
          </cell>
          <cell r="I3900" t="str">
            <v>Woods Avenue</v>
          </cell>
          <cell r="L3900" t="str">
            <v>Hatfield</v>
          </cell>
          <cell r="M3900" t="str">
            <v>Hertfordshire</v>
          </cell>
          <cell r="N3900" t="str">
            <v>AL10 8NL</v>
          </cell>
          <cell r="O3900" t="str">
            <v>head@bishophatfield.herts.sch.uk</v>
          </cell>
          <cell r="P3900">
            <v>40771</v>
          </cell>
        </row>
        <row r="3901">
          <cell r="A3901">
            <v>8454045</v>
          </cell>
          <cell r="B3901">
            <v>114596</v>
          </cell>
          <cell r="C3901">
            <v>845</v>
          </cell>
          <cell r="D3901" t="str">
            <v>East Sussex</v>
          </cell>
          <cell r="E3901">
            <v>4045</v>
          </cell>
          <cell r="F3901" t="str">
            <v>Sarah Nairne</v>
          </cell>
          <cell r="G3901" t="str">
            <v>Rye College</v>
          </cell>
          <cell r="H3901" t="str">
            <v>South East</v>
          </cell>
          <cell r="I3901" t="str">
            <v>The Grove</v>
          </cell>
          <cell r="L3901" t="str">
            <v>Rye</v>
          </cell>
          <cell r="M3901" t="str">
            <v>East Sussex</v>
          </cell>
          <cell r="N3901" t="str">
            <v>TN31 7NQ</v>
          </cell>
          <cell r="O3901" t="str">
            <v>acockerham@ryecollege.e-sussex.sch.uk</v>
          </cell>
          <cell r="P3901">
            <v>40991</v>
          </cell>
        </row>
        <row r="3902">
          <cell r="A3902">
            <v>8234503</v>
          </cell>
          <cell r="B3902">
            <v>109695</v>
          </cell>
          <cell r="C3902">
            <v>823</v>
          </cell>
          <cell r="D3902" t="str">
            <v>Central Bedfordshire</v>
          </cell>
          <cell r="E3902">
            <v>4503</v>
          </cell>
          <cell r="F3902" t="str">
            <v>Beverley Samuel</v>
          </cell>
          <cell r="G3902" t="str">
            <v>Henlow VC Middle School</v>
          </cell>
          <cell r="H3902" t="str">
            <v>East of England</v>
          </cell>
          <cell r="I3902" t="str">
            <v>Church Road</v>
          </cell>
          <cell r="L3902" t="str">
            <v>Henlow</v>
          </cell>
          <cell r="M3902" t="str">
            <v>Bedfordshire</v>
          </cell>
          <cell r="N3902" t="str">
            <v>SG16 6AN</v>
          </cell>
          <cell r="O3902" t="str">
            <v>henlowms@deal.bedfordshire.gov.uk</v>
          </cell>
          <cell r="P3902">
            <v>40751</v>
          </cell>
        </row>
        <row r="3903">
          <cell r="A3903">
            <v>8653035</v>
          </cell>
          <cell r="B3903">
            <v>126313</v>
          </cell>
          <cell r="C3903">
            <v>865</v>
          </cell>
          <cell r="D3903" t="str">
            <v>Wiltshire</v>
          </cell>
          <cell r="E3903">
            <v>3035</v>
          </cell>
          <cell r="F3903" t="str">
            <v>Not yet assigned</v>
          </cell>
          <cell r="G3903" t="str">
            <v>Cherhill CofE School</v>
          </cell>
          <cell r="H3903" t="str">
            <v>South West</v>
          </cell>
          <cell r="I3903" t="str">
            <v>Middle Lane</v>
          </cell>
          <cell r="J3903" t="str">
            <v>Cherhill</v>
          </cell>
          <cell r="L3903" t="str">
            <v>Calne</v>
          </cell>
          <cell r="M3903" t="str">
            <v>Wiltshire</v>
          </cell>
          <cell r="N3903" t="str">
            <v>SN11 8XX</v>
          </cell>
          <cell r="O3903" t="str">
            <v>head@cherhill.wilts.sch.uk</v>
          </cell>
        </row>
        <row r="3904">
          <cell r="A3904">
            <v>3314033</v>
          </cell>
          <cell r="B3904">
            <v>103735</v>
          </cell>
          <cell r="C3904">
            <v>331</v>
          </cell>
          <cell r="D3904" t="str">
            <v>Coventry</v>
          </cell>
          <cell r="E3904">
            <v>4033</v>
          </cell>
          <cell r="F3904" t="str">
            <v>Alison Middleton</v>
          </cell>
          <cell r="G3904" t="str">
            <v>Tile Hill Wood School and Language College</v>
          </cell>
          <cell r="H3904" t="str">
            <v>West Midlands</v>
          </cell>
          <cell r="I3904" t="str">
            <v>Nutbrook Avenue</v>
          </cell>
          <cell r="L3904" t="str">
            <v>Coventry</v>
          </cell>
          <cell r="M3904" t="str">
            <v>West Midlands</v>
          </cell>
          <cell r="N3904" t="str">
            <v>CV4 9PW</v>
          </cell>
          <cell r="O3904" t="str">
            <v>goconnor@thw.coventry.sch.uk</v>
          </cell>
          <cell r="P3904">
            <v>40633</v>
          </cell>
        </row>
        <row r="3905">
          <cell r="A3905">
            <v>8232149</v>
          </cell>
          <cell r="B3905">
            <v>109497</v>
          </cell>
          <cell r="C3905">
            <v>823</v>
          </cell>
          <cell r="D3905" t="str">
            <v>Central Bedfordshire</v>
          </cell>
          <cell r="E3905">
            <v>2149</v>
          </cell>
          <cell r="F3905" t="str">
            <v>Beverley Samuel</v>
          </cell>
          <cell r="G3905" t="str">
            <v>St Christophers Lower School</v>
          </cell>
          <cell r="H3905" t="str">
            <v>East of England</v>
          </cell>
          <cell r="I3905" t="str">
            <v>Gorham Way</v>
          </cell>
          <cell r="L3905" t="str">
            <v>Dunstable</v>
          </cell>
          <cell r="M3905" t="str">
            <v>Bedfordshire</v>
          </cell>
          <cell r="N3905" t="str">
            <v>LU5 4NJ</v>
          </cell>
          <cell r="O3905" t="str">
            <v>stchristop@deal.bedfordshire.gov.uk</v>
          </cell>
          <cell r="P3905">
            <v>40743</v>
          </cell>
        </row>
        <row r="3906">
          <cell r="A3906">
            <v>8004134</v>
          </cell>
          <cell r="B3906">
            <v>109303</v>
          </cell>
          <cell r="C3906">
            <v>800</v>
          </cell>
          <cell r="D3906" t="str">
            <v>Bath and North East Somerset</v>
          </cell>
          <cell r="E3906">
            <v>4134</v>
          </cell>
          <cell r="F3906" t="str">
            <v>Ali Bushell</v>
          </cell>
          <cell r="G3906" t="str">
            <v>Writhlington School</v>
          </cell>
          <cell r="H3906" t="str">
            <v>South West</v>
          </cell>
          <cell r="I3906" t="str">
            <v>Knobsbury Lane</v>
          </cell>
          <cell r="J3906" t="str">
            <v>Writhlington</v>
          </cell>
          <cell r="L3906" t="str">
            <v>Radstock</v>
          </cell>
          <cell r="M3906" t="str">
            <v>Somerset</v>
          </cell>
          <cell r="N3906" t="str">
            <v>BA3 3NQ</v>
          </cell>
          <cell r="O3906" t="str">
            <v>slock@wsbe.org.uk</v>
          </cell>
          <cell r="P3906">
            <v>40672</v>
          </cell>
        </row>
        <row r="3907">
          <cell r="A3907">
            <v>9254071</v>
          </cell>
          <cell r="B3907">
            <v>120659</v>
          </cell>
          <cell r="C3907">
            <v>925</v>
          </cell>
          <cell r="D3907" t="str">
            <v>Lincolnshire</v>
          </cell>
          <cell r="E3907">
            <v>4071</v>
          </cell>
          <cell r="F3907" t="str">
            <v>Grant Dyson</v>
          </cell>
          <cell r="G3907" t="str">
            <v>King Edward VI Humanities College</v>
          </cell>
          <cell r="H3907" t="str">
            <v>East Midlands</v>
          </cell>
          <cell r="I3907" t="str">
            <v>West End</v>
          </cell>
          <cell r="L3907" t="str">
            <v>Spilsby</v>
          </cell>
          <cell r="M3907" t="str">
            <v>Lincolnshire</v>
          </cell>
          <cell r="N3907" t="str">
            <v>PE23 5EW</v>
          </cell>
          <cell r="O3907" t="str">
            <v>m.reeve@king-edward.lincs.sch.uk</v>
          </cell>
          <cell r="P3907">
            <v>40576</v>
          </cell>
        </row>
        <row r="3908">
          <cell r="A3908">
            <v>3732305</v>
          </cell>
          <cell r="B3908">
            <v>107056</v>
          </cell>
          <cell r="C3908">
            <v>373</v>
          </cell>
          <cell r="D3908" t="str">
            <v>Sheffield</v>
          </cell>
          <cell r="E3908">
            <v>2305</v>
          </cell>
          <cell r="F3908" t="str">
            <v>Jayne Turner</v>
          </cell>
          <cell r="G3908" t="str">
            <v>Greengate Lane Primary School</v>
          </cell>
          <cell r="H3908" t="str">
            <v>Yorkshire and the Humber</v>
          </cell>
          <cell r="I3908" t="str">
            <v>Greengate Lane</v>
          </cell>
          <cell r="J3908" t="str">
            <v>High Green</v>
          </cell>
          <cell r="L3908" t="str">
            <v>Sheffield</v>
          </cell>
          <cell r="M3908" t="str">
            <v>South Yorkshire</v>
          </cell>
          <cell r="N3908" t="str">
            <v>S35 3GT</v>
          </cell>
          <cell r="O3908" t="str">
            <v>headteacher@greengatelane.sheffield.sch.uk</v>
          </cell>
          <cell r="P3908">
            <v>41119</v>
          </cell>
        </row>
        <row r="3909">
          <cell r="A3909">
            <v>8552168</v>
          </cell>
          <cell r="B3909">
            <v>119976</v>
          </cell>
          <cell r="C3909">
            <v>855</v>
          </cell>
          <cell r="D3909" t="str">
            <v>Leicestershire</v>
          </cell>
          <cell r="E3909">
            <v>2168</v>
          </cell>
          <cell r="F3909" t="str">
            <v>Sue Harp</v>
          </cell>
          <cell r="G3909" t="str">
            <v>Broomfield Community Primary School</v>
          </cell>
          <cell r="H3909" t="str">
            <v>East Midlands</v>
          </cell>
          <cell r="I3909" t="str">
            <v>Ploughmans Lea</v>
          </cell>
          <cell r="J3909" t="str">
            <v>East Goscote</v>
          </cell>
          <cell r="L3909" t="str">
            <v>Leicester</v>
          </cell>
          <cell r="M3909" t="str">
            <v>Leicestershire</v>
          </cell>
          <cell r="N3909" t="str">
            <v>LE7 3ZQ</v>
          </cell>
          <cell r="O3909" t="str">
            <v>louisam1@broomfield-eg.leics.sch.uk</v>
          </cell>
          <cell r="P3909">
            <v>40980</v>
          </cell>
        </row>
        <row r="3910">
          <cell r="A3910">
            <v>8553332</v>
          </cell>
          <cell r="B3910">
            <v>120207</v>
          </cell>
          <cell r="C3910">
            <v>855</v>
          </cell>
          <cell r="D3910" t="str">
            <v>Leicestershire</v>
          </cell>
          <cell r="E3910">
            <v>3332</v>
          </cell>
          <cell r="F3910" t="str">
            <v>Sue Harp</v>
          </cell>
          <cell r="G3910" t="str">
            <v>Church Langton Church of England Primary School</v>
          </cell>
          <cell r="H3910" t="str">
            <v>East Midlands</v>
          </cell>
          <cell r="I3910" t="str">
            <v>Stonton Road</v>
          </cell>
          <cell r="J3910" t="str">
            <v>Church Langton</v>
          </cell>
          <cell r="L3910" t="str">
            <v>Market Harborough</v>
          </cell>
          <cell r="M3910" t="str">
            <v>Leicestershire</v>
          </cell>
          <cell r="N3910" t="str">
            <v>LE16 7SZ</v>
          </cell>
          <cell r="O3910" t="str">
            <v>office@churchlangton.leics.sch.uk</v>
          </cell>
        </row>
        <row r="3911">
          <cell r="A3911">
            <v>3125403</v>
          </cell>
          <cell r="B3911">
            <v>102443</v>
          </cell>
          <cell r="C3911">
            <v>312</v>
          </cell>
          <cell r="D3911" t="str">
            <v>Hillingdon</v>
          </cell>
          <cell r="E3911">
            <v>5403</v>
          </cell>
          <cell r="F3911" t="str">
            <v>Sheila Longstaff</v>
          </cell>
          <cell r="G3911" t="str">
            <v>Queensmead School</v>
          </cell>
          <cell r="H3911" t="str">
            <v>London</v>
          </cell>
          <cell r="I3911" t="str">
            <v>Queens Walk</v>
          </cell>
          <cell r="L3911" t="str">
            <v>Ruislip</v>
          </cell>
          <cell r="N3911" t="str">
            <v>HA4 0LS</v>
          </cell>
          <cell r="O3911" t="str">
            <v xml:space="preserve"> krowe@hillingdongrid.org</v>
          </cell>
          <cell r="P3911">
            <v>40487</v>
          </cell>
        </row>
        <row r="3912">
          <cell r="A3912">
            <v>9081102</v>
          </cell>
          <cell r="B3912">
            <v>134753</v>
          </cell>
          <cell r="C3912">
            <v>908</v>
          </cell>
          <cell r="D3912" t="str">
            <v>Cornwall</v>
          </cell>
          <cell r="E3912">
            <v>1102</v>
          </cell>
          <cell r="F3912" t="str">
            <v>Nigel Mills</v>
          </cell>
          <cell r="G3912" t="str">
            <v>Penwith Short Stay School</v>
          </cell>
          <cell r="H3912" t="str">
            <v>South West</v>
          </cell>
          <cell r="I3912" t="str">
            <v>Penbrea Road</v>
          </cell>
          <cell r="L3912" t="str">
            <v>Penzance</v>
          </cell>
          <cell r="M3912" t="str">
            <v>Cornwall</v>
          </cell>
          <cell r="N3912" t="str">
            <v>TR18 2AT</v>
          </cell>
          <cell r="O3912" t="str">
            <v>rgasson@cornwall.gov.uk</v>
          </cell>
          <cell r="P3912">
            <v>41019</v>
          </cell>
        </row>
        <row r="3913">
          <cell r="A3913">
            <v>3702124</v>
          </cell>
          <cell r="B3913">
            <v>106612</v>
          </cell>
          <cell r="C3913">
            <v>370</v>
          </cell>
          <cell r="D3913" t="str">
            <v>Barnsley</v>
          </cell>
          <cell r="E3913">
            <v>2124</v>
          </cell>
          <cell r="F3913" t="str">
            <v>John Edmunds</v>
          </cell>
          <cell r="G3913" t="str">
            <v>Royston Parkside Primary School</v>
          </cell>
          <cell r="H3913" t="str">
            <v>Yorkshire and the Humber</v>
          </cell>
          <cell r="I3913" t="str">
            <v>Midland Road</v>
          </cell>
          <cell r="J3913" t="str">
            <v>Royston</v>
          </cell>
          <cell r="L3913" t="str">
            <v>Barnsley</v>
          </cell>
          <cell r="M3913" t="str">
            <v>South Yorkshire</v>
          </cell>
          <cell r="N3913" t="str">
            <v>S71 4QP</v>
          </cell>
          <cell r="O3913" t="str">
            <v>j.everett@barnsley.org</v>
          </cell>
          <cell r="P3913">
            <v>41080</v>
          </cell>
        </row>
        <row r="3914">
          <cell r="A3914">
            <v>9195420</v>
          </cell>
          <cell r="B3914">
            <v>117592</v>
          </cell>
          <cell r="C3914">
            <v>919</v>
          </cell>
          <cell r="D3914" t="str">
            <v>Hertfordshire</v>
          </cell>
          <cell r="E3914">
            <v>5420</v>
          </cell>
          <cell r="F3914" t="str">
            <v>Joe Farrell</v>
          </cell>
          <cell r="G3914" t="str">
            <v>The Hertfordshire &amp; Essex High School and Science College</v>
          </cell>
          <cell r="H3914" t="str">
            <v>East of England</v>
          </cell>
          <cell r="I3914" t="str">
            <v>Warwick Road</v>
          </cell>
          <cell r="L3914" t="str">
            <v>Bishop's Stortford</v>
          </cell>
          <cell r="M3914" t="str">
            <v>Hertfordshire</v>
          </cell>
          <cell r="N3914" t="str">
            <v>CM23 5NJ</v>
          </cell>
          <cell r="O3914" t="str">
            <v>cathy.tooze@hertsandessex.herts.sch.uk</v>
          </cell>
          <cell r="P3914">
            <v>40506</v>
          </cell>
        </row>
        <row r="3915">
          <cell r="A3915">
            <v>2042654</v>
          </cell>
          <cell r="B3915">
            <v>100248</v>
          </cell>
          <cell r="C3915">
            <v>204</v>
          </cell>
          <cell r="D3915" t="str">
            <v>Hackney</v>
          </cell>
          <cell r="E3915">
            <v>2654</v>
          </cell>
          <cell r="F3915" t="str">
            <v>Bola Bakrin</v>
          </cell>
          <cell r="G3915" t="str">
            <v>Woodberry Down Community Primary School</v>
          </cell>
          <cell r="H3915" t="str">
            <v>London</v>
          </cell>
          <cell r="I3915" t="str">
            <v>Woodberry Grove</v>
          </cell>
          <cell r="J3915" t="str">
            <v>Finsbury Park</v>
          </cell>
          <cell r="L3915" t="str">
            <v>London</v>
          </cell>
          <cell r="N3915" t="str">
            <v>N4 1SY</v>
          </cell>
          <cell r="O3915" t="str">
            <v>GWallace@woodberrydown.hackney.sch.uk</v>
          </cell>
        </row>
        <row r="3916">
          <cell r="A3916">
            <v>3812083</v>
          </cell>
          <cell r="B3916">
            <v>107530</v>
          </cell>
          <cell r="C3916">
            <v>381</v>
          </cell>
          <cell r="D3916" t="str">
            <v>Calderdale</v>
          </cell>
          <cell r="E3916">
            <v>2083</v>
          </cell>
          <cell r="F3916" t="str">
            <v>Bev Annables</v>
          </cell>
          <cell r="G3916" t="str">
            <v>Old Earth Primary School</v>
          </cell>
          <cell r="H3916" t="str">
            <v>Yorkshire and the Humber</v>
          </cell>
          <cell r="I3916" t="str">
            <v>Lower Edge Road</v>
          </cell>
          <cell r="L3916" t="str">
            <v>Elland</v>
          </cell>
          <cell r="M3916" t="str">
            <v>West Yorkshire</v>
          </cell>
          <cell r="N3916" t="str">
            <v>HX5 9PL</v>
          </cell>
          <cell r="O3916" t="str">
            <v>head@oldearth.calderdale.sch.uk</v>
          </cell>
          <cell r="P3916">
            <v>40633</v>
          </cell>
        </row>
        <row r="3917">
          <cell r="A3917">
            <v>3714606</v>
          </cell>
          <cell r="B3917">
            <v>106810</v>
          </cell>
          <cell r="C3917">
            <v>371</v>
          </cell>
          <cell r="D3917" t="str">
            <v>Doncaster</v>
          </cell>
          <cell r="E3917">
            <v>4606</v>
          </cell>
          <cell r="F3917" t="str">
            <v>Glyn Newton</v>
          </cell>
          <cell r="G3917" t="str">
            <v>The McAuley Catholic High School</v>
          </cell>
          <cell r="H3917" t="str">
            <v>Yorkshire and the Humber</v>
          </cell>
          <cell r="I3917" t="str">
            <v>Cantley Lane</v>
          </cell>
          <cell r="L3917" t="str">
            <v>Doncaster</v>
          </cell>
          <cell r="M3917" t="str">
            <v>South Yorkshire</v>
          </cell>
          <cell r="N3917" t="str">
            <v>DN3 3QF</v>
          </cell>
          <cell r="O3917" t="str">
            <v>pgray@mcauley.org.uk</v>
          </cell>
        </row>
        <row r="3918">
          <cell r="A3918">
            <v>8552326</v>
          </cell>
          <cell r="B3918">
            <v>120055</v>
          </cell>
          <cell r="C3918">
            <v>855</v>
          </cell>
          <cell r="D3918" t="str">
            <v>Leicestershire</v>
          </cell>
          <cell r="E3918">
            <v>2326</v>
          </cell>
          <cell r="F3918" t="str">
            <v>Grant Dyson</v>
          </cell>
          <cell r="G3918" t="str">
            <v>Sileby Redlands Community Primary School</v>
          </cell>
          <cell r="H3918" t="str">
            <v>East Midlands</v>
          </cell>
          <cell r="I3918" t="str">
            <v>King Street</v>
          </cell>
          <cell r="J3918" t="str">
            <v>Sileby</v>
          </cell>
          <cell r="L3918" t="str">
            <v>Loughborough</v>
          </cell>
          <cell r="M3918" t="str">
            <v>Leicestershire</v>
          </cell>
          <cell r="N3918" t="str">
            <v>LE12 7LZ</v>
          </cell>
          <cell r="O3918" t="str">
            <v>matthew.peet@btinternet.com</v>
          </cell>
          <cell r="P3918">
            <v>41057</v>
          </cell>
        </row>
        <row r="3919">
          <cell r="A3919">
            <v>8012325</v>
          </cell>
          <cell r="B3919">
            <v>109129</v>
          </cell>
          <cell r="C3919">
            <v>801</v>
          </cell>
          <cell r="D3919" t="str">
            <v>Bristol City of</v>
          </cell>
          <cell r="E3919">
            <v>2325</v>
          </cell>
          <cell r="F3919" t="str">
            <v>Ed Schuldt</v>
          </cell>
          <cell r="G3919" t="str">
            <v>Gay Elms Primary School</v>
          </cell>
          <cell r="H3919" t="str">
            <v>South West</v>
          </cell>
          <cell r="I3919" t="str">
            <v>Withywood Road</v>
          </cell>
          <cell r="J3919" t="str">
            <v>Withywood</v>
          </cell>
          <cell r="L3919" t="str">
            <v>Bristol</v>
          </cell>
          <cell r="N3919" t="str">
            <v>BS13 9AX</v>
          </cell>
          <cell r="O3919" t="str">
            <v>head.gay.elms.p@bristol.gov.uk</v>
          </cell>
        </row>
        <row r="3920">
          <cell r="A3920">
            <v>3554036</v>
          </cell>
          <cell r="B3920">
            <v>105976</v>
          </cell>
          <cell r="C3920">
            <v>355</v>
          </cell>
          <cell r="D3920" t="str">
            <v>Salford</v>
          </cell>
          <cell r="E3920">
            <v>4036</v>
          </cell>
          <cell r="F3920" t="str">
            <v>Jane McCusker</v>
          </cell>
          <cell r="G3920" t="str">
            <v>Irlam and Cadishead College</v>
          </cell>
          <cell r="H3920" t="str">
            <v>North West</v>
          </cell>
          <cell r="I3920" t="str">
            <v>Station Road</v>
          </cell>
          <cell r="J3920" t="str">
            <v>Irlam</v>
          </cell>
          <cell r="L3920" t="str">
            <v>Manchester</v>
          </cell>
          <cell r="N3920" t="str">
            <v>M44 5ZR</v>
          </cell>
          <cell r="O3920" t="str">
            <v>john.b.ferguson@salford.gov.uk</v>
          </cell>
          <cell r="P3920">
            <v>41173</v>
          </cell>
        </row>
        <row r="3921">
          <cell r="A3921">
            <v>8692128</v>
          </cell>
          <cell r="B3921">
            <v>109861</v>
          </cell>
          <cell r="C3921">
            <v>869</v>
          </cell>
          <cell r="D3921" t="str">
            <v>West Berkshire</v>
          </cell>
          <cell r="E3921">
            <v>2128</v>
          </cell>
          <cell r="F3921" t="str">
            <v>Darren Francis</v>
          </cell>
          <cell r="G3921" t="str">
            <v>Robert Sandilands Primary School and Nursery</v>
          </cell>
          <cell r="H3921" t="str">
            <v>South East</v>
          </cell>
          <cell r="I3921" t="str">
            <v>Digby Road</v>
          </cell>
          <cell r="J3921" t="str">
            <v>Speen</v>
          </cell>
          <cell r="L3921" t="str">
            <v>Newbury</v>
          </cell>
          <cell r="M3921" t="str">
            <v>Berkshire</v>
          </cell>
          <cell r="N3921" t="str">
            <v>RG14 1TS</v>
          </cell>
          <cell r="O3921" t="str">
            <v>rblofeld@sandilands.w-berks.sch.uk</v>
          </cell>
        </row>
        <row r="3922">
          <cell r="A3922">
            <v>8103510</v>
          </cell>
          <cell r="B3922">
            <v>118054</v>
          </cell>
          <cell r="C3922">
            <v>810</v>
          </cell>
          <cell r="D3922" t="str">
            <v>Kingston upon Hull City of</v>
          </cell>
          <cell r="E3922">
            <v>3510</v>
          </cell>
          <cell r="F3922" t="str">
            <v>Glyn Newton</v>
          </cell>
          <cell r="G3922" t="str">
            <v>St Richard's RC Primary School</v>
          </cell>
          <cell r="H3922" t="str">
            <v>Yorkshire and the Humber</v>
          </cell>
          <cell r="I3922" t="str">
            <v>Marfleet Lane</v>
          </cell>
          <cell r="L3922" t="str">
            <v>Hull</v>
          </cell>
          <cell r="N3922" t="str">
            <v>HU9 5TE</v>
          </cell>
          <cell r="O3922" t="str">
            <v>head@st-richards.hull.sch.uk</v>
          </cell>
        </row>
        <row r="3923">
          <cell r="A3923">
            <v>9252066</v>
          </cell>
          <cell r="B3923">
            <v>120399</v>
          </cell>
          <cell r="C3923">
            <v>925</v>
          </cell>
          <cell r="D3923" t="str">
            <v>Lincolnshire</v>
          </cell>
          <cell r="E3923">
            <v>2066</v>
          </cell>
          <cell r="F3923" t="str">
            <v>Grant Dyson</v>
          </cell>
          <cell r="G3923" t="str">
            <v>The Bluecoat School, Stamford</v>
          </cell>
          <cell r="H3923" t="str">
            <v>East Midlands</v>
          </cell>
          <cell r="I3923" t="str">
            <v>Green Lane</v>
          </cell>
          <cell r="L3923" t="str">
            <v>Stamford</v>
          </cell>
          <cell r="M3923" t="str">
            <v>Lincolnshire</v>
          </cell>
          <cell r="N3923" t="str">
            <v>PE9 1HE</v>
          </cell>
          <cell r="O3923" t="str">
            <v>office@bluecoat.lincs.sch.uk</v>
          </cell>
        </row>
        <row r="3924">
          <cell r="A3924">
            <v>8913766</v>
          </cell>
          <cell r="B3924">
            <v>122818</v>
          </cell>
          <cell r="C3924">
            <v>891</v>
          </cell>
          <cell r="D3924" t="str">
            <v>Nottinghamshire</v>
          </cell>
          <cell r="E3924">
            <v>3766</v>
          </cell>
          <cell r="F3924" t="str">
            <v>Sue Harp</v>
          </cell>
          <cell r="G3924" t="str">
            <v>Holy Trinity Catholic School</v>
          </cell>
          <cell r="H3924" t="str">
            <v>East Midlands</v>
          </cell>
          <cell r="I3924" t="str">
            <v>Boundary Road</v>
          </cell>
          <cell r="L3924" t="str">
            <v>Newark</v>
          </cell>
          <cell r="M3924" t="str">
            <v>Nottinghamshire</v>
          </cell>
          <cell r="N3924" t="str">
            <v>NG24 4AU</v>
          </cell>
          <cell r="O3924" t="str">
            <v>head@holytrinity.notts.sch.uk</v>
          </cell>
        </row>
        <row r="3925">
          <cell r="A3925">
            <v>9372018</v>
          </cell>
          <cell r="B3925">
            <v>125508</v>
          </cell>
          <cell r="C3925">
            <v>937</v>
          </cell>
          <cell r="D3925" t="str">
            <v>Warwickshire</v>
          </cell>
          <cell r="E3925">
            <v>2018</v>
          </cell>
          <cell r="F3925" t="str">
            <v>Julia Waterhouse</v>
          </cell>
          <cell r="G3925" t="str">
            <v>Dordon Community Primary School</v>
          </cell>
          <cell r="H3925" t="str">
            <v>West Midlands</v>
          </cell>
          <cell r="I3925" t="str">
            <v>Roman Way</v>
          </cell>
          <cell r="J3925" t="str">
            <v>Dordon</v>
          </cell>
          <cell r="L3925" t="str">
            <v>Tamworth</v>
          </cell>
          <cell r="M3925" t="str">
            <v>Staffordshire</v>
          </cell>
          <cell r="N3925" t="str">
            <v>B78 1PJ</v>
          </cell>
          <cell r="O3925" t="str">
            <v>admin2018@we-learn.com</v>
          </cell>
        </row>
        <row r="3926">
          <cell r="A3926">
            <v>3582003</v>
          </cell>
          <cell r="B3926">
            <v>106285</v>
          </cell>
          <cell r="C3926">
            <v>358</v>
          </cell>
          <cell r="D3926" t="str">
            <v>Trafford</v>
          </cell>
          <cell r="E3926">
            <v>2003</v>
          </cell>
          <cell r="G3926" t="str">
            <v>Stamford Park Junior School</v>
          </cell>
          <cell r="H3926" t="str">
            <v>North West</v>
          </cell>
          <cell r="I3926" t="str">
            <v>Cedar Road</v>
          </cell>
          <cell r="J3926" t="str">
            <v>Hale</v>
          </cell>
          <cell r="L3926" t="str">
            <v>Altrincham</v>
          </cell>
          <cell r="M3926" t="str">
            <v>Cheshire</v>
          </cell>
          <cell r="N3926" t="str">
            <v>WA15 9JB</v>
          </cell>
          <cell r="O3926" t="str">
            <v>stamfordparkjun.admin@trafford.gov.uk</v>
          </cell>
        </row>
        <row r="3927">
          <cell r="A3927">
            <v>3343502</v>
          </cell>
          <cell r="B3927">
            <v>104100</v>
          </cell>
          <cell r="C3927">
            <v>334</v>
          </cell>
          <cell r="D3927" t="str">
            <v>Solihull</v>
          </cell>
          <cell r="E3927">
            <v>3502</v>
          </cell>
          <cell r="F3927" t="str">
            <v>Alison Middleton</v>
          </cell>
          <cell r="G3927" t="str">
            <v>St Augustine's Catholic Primary School</v>
          </cell>
          <cell r="H3927" t="str">
            <v>West Midlands</v>
          </cell>
          <cell r="I3927" t="str">
            <v>Whitefields Road</v>
          </cell>
          <cell r="L3927" t="str">
            <v>Solihull</v>
          </cell>
          <cell r="M3927" t="str">
            <v>West Midlands</v>
          </cell>
          <cell r="N3927" t="str">
            <v>B91 3NZ</v>
          </cell>
          <cell r="O3927" t="str">
            <v>office@st-augustines.solihull.sch.uk</v>
          </cell>
        </row>
        <row r="3928">
          <cell r="A3928">
            <v>8865447</v>
          </cell>
          <cell r="B3928">
            <v>118919</v>
          </cell>
          <cell r="C3928">
            <v>886</v>
          </cell>
          <cell r="D3928" t="str">
            <v>Kent</v>
          </cell>
          <cell r="E3928">
            <v>5447</v>
          </cell>
          <cell r="F3928" t="str">
            <v>Nicky Edwards</v>
          </cell>
          <cell r="G3928" t="str">
            <v>St George's Church of England Foundation School</v>
          </cell>
          <cell r="H3928" t="str">
            <v>South East</v>
          </cell>
          <cell r="I3928" t="str">
            <v>Westwood Road</v>
          </cell>
          <cell r="L3928" t="str">
            <v>Broadstairs</v>
          </cell>
          <cell r="M3928" t="str">
            <v>Kent</v>
          </cell>
          <cell r="N3928" t="str">
            <v>CT10 2LH</v>
          </cell>
          <cell r="O3928" t="str">
            <v>kimstoner@st-georgescofe-thanet.kent.sch.uk</v>
          </cell>
        </row>
        <row r="3929">
          <cell r="A3929">
            <v>8865207</v>
          </cell>
          <cell r="B3929">
            <v>118853</v>
          </cell>
          <cell r="C3929">
            <v>886</v>
          </cell>
          <cell r="D3929" t="str">
            <v>Kent</v>
          </cell>
          <cell r="E3929">
            <v>5207</v>
          </cell>
          <cell r="F3929" t="str">
            <v>Tony Dunne</v>
          </cell>
          <cell r="G3929" t="str">
            <v>St Francis' Catholic Primary School, Maidstone</v>
          </cell>
          <cell r="H3929" t="str">
            <v>South East</v>
          </cell>
          <cell r="I3929" t="str">
            <v>Queen's Road</v>
          </cell>
          <cell r="L3929" t="str">
            <v>Maidstone</v>
          </cell>
          <cell r="M3929" t="str">
            <v>Kent</v>
          </cell>
          <cell r="N3929" t="str">
            <v>ME16 0LB</v>
          </cell>
          <cell r="O3929" t="str">
            <v>headteacher@st-francis.kent.sch.uk</v>
          </cell>
          <cell r="P3929">
            <v>41254</v>
          </cell>
        </row>
        <row r="3930">
          <cell r="A3930">
            <v>3812053</v>
          </cell>
          <cell r="B3930">
            <v>107506</v>
          </cell>
          <cell r="C3930">
            <v>381</v>
          </cell>
          <cell r="D3930" t="str">
            <v>Calderdale</v>
          </cell>
          <cell r="E3930">
            <v>2053</v>
          </cell>
          <cell r="F3930" t="str">
            <v>Bev Annables</v>
          </cell>
          <cell r="G3930" t="str">
            <v>Burnley Road Junior Infant and Nursery School</v>
          </cell>
          <cell r="H3930" t="str">
            <v>Yorkshire and the Humber</v>
          </cell>
          <cell r="I3930" t="str">
            <v>Burnley Road</v>
          </cell>
          <cell r="J3930" t="str">
            <v>Mytholmroyd</v>
          </cell>
          <cell r="L3930" t="str">
            <v>Hebden Bridge</v>
          </cell>
          <cell r="M3930" t="str">
            <v>West Yorkshire</v>
          </cell>
          <cell r="N3930" t="str">
            <v>HX7 5DE</v>
          </cell>
          <cell r="O3930" t="str">
            <v>head@burnleyroad.calderdale.sch.uk</v>
          </cell>
          <cell r="P3930">
            <v>40646</v>
          </cell>
        </row>
        <row r="3931">
          <cell r="A3931">
            <v>8417031</v>
          </cell>
          <cell r="B3931">
            <v>114348</v>
          </cell>
          <cell r="C3931">
            <v>841</v>
          </cell>
          <cell r="D3931" t="str">
            <v>Darlington</v>
          </cell>
          <cell r="E3931">
            <v>7031</v>
          </cell>
          <cell r="F3931" t="str">
            <v>Jamie Kelly</v>
          </cell>
          <cell r="G3931" t="str">
            <v>Beaumont Hill School (Darlington Education Village</v>
          </cell>
          <cell r="H3931" t="str">
            <v>North East</v>
          </cell>
          <cell r="I3931" t="str">
            <v>Salters Lane South</v>
          </cell>
          <cell r="L3931" t="str">
            <v>Darlington</v>
          </cell>
          <cell r="N3931" t="str">
            <v>DL1 2AN</v>
          </cell>
          <cell r="O3931" t="str">
            <v>kduffy@educationvillage.org.uk</v>
          </cell>
          <cell r="P3931">
            <v>40562</v>
          </cell>
        </row>
        <row r="3932">
          <cell r="A3932">
            <v>9162089</v>
          </cell>
          <cell r="B3932">
            <v>115538</v>
          </cell>
          <cell r="C3932">
            <v>916</v>
          </cell>
          <cell r="D3932" t="str">
            <v>Gloucestershire</v>
          </cell>
          <cell r="E3932">
            <v>2089</v>
          </cell>
          <cell r="F3932" t="str">
            <v>Theresa Oddelm</v>
          </cell>
          <cell r="G3932" t="str">
            <v>Tredington Community Primary School</v>
          </cell>
          <cell r="H3932" t="str">
            <v>South West</v>
          </cell>
          <cell r="I3932" t="str">
            <v>Tredington</v>
          </cell>
          <cell r="L3932" t="str">
            <v>Tewkesbury</v>
          </cell>
          <cell r="M3932" t="str">
            <v>Gloucestershire</v>
          </cell>
          <cell r="N3932" t="str">
            <v>GL20 7BU</v>
          </cell>
          <cell r="O3932" t="str">
            <v>admin@tredington.gloucs.sch.uk</v>
          </cell>
        </row>
        <row r="3933">
          <cell r="A3933">
            <v>3342007</v>
          </cell>
          <cell r="B3933">
            <v>104044</v>
          </cell>
          <cell r="C3933">
            <v>334</v>
          </cell>
          <cell r="D3933" t="str">
            <v>Solihull</v>
          </cell>
          <cell r="E3933">
            <v>2007</v>
          </cell>
          <cell r="F3933" t="str">
            <v>Alison Middleton</v>
          </cell>
          <cell r="G3933" t="str">
            <v>Dorridge Junior School</v>
          </cell>
          <cell r="H3933" t="str">
            <v>West Midlands</v>
          </cell>
          <cell r="I3933" t="str">
            <v>Station Road</v>
          </cell>
          <cell r="J3933" t="str">
            <v>Dorridge</v>
          </cell>
          <cell r="L3933" t="str">
            <v>Solihull</v>
          </cell>
          <cell r="M3933" t="str">
            <v>West Midlands</v>
          </cell>
          <cell r="N3933" t="str">
            <v>B93 8EU</v>
          </cell>
          <cell r="O3933" t="str">
            <v>office@dorridge-jun.solihull.sch.uk</v>
          </cell>
        </row>
        <row r="3934">
          <cell r="A3934">
            <v>3143303</v>
          </cell>
          <cell r="B3934">
            <v>102587</v>
          </cell>
          <cell r="C3934">
            <v>314</v>
          </cell>
          <cell r="D3934" t="str">
            <v>Kingston upon Thames</v>
          </cell>
          <cell r="E3934">
            <v>3303</v>
          </cell>
          <cell r="F3934" t="str">
            <v>Tahir Shams</v>
          </cell>
          <cell r="G3934" t="str">
            <v>Malden Parochial School</v>
          </cell>
          <cell r="H3934" t="str">
            <v>London</v>
          </cell>
          <cell r="I3934" t="str">
            <v>The Manor Drive</v>
          </cell>
          <cell r="L3934" t="str">
            <v>Worcester Park</v>
          </cell>
          <cell r="M3934" t="str">
            <v>Surrey</v>
          </cell>
          <cell r="N3934" t="str">
            <v>KT4 7LW</v>
          </cell>
          <cell r="O3934" t="str">
            <v>mike.broome@hotmail.co.uk</v>
          </cell>
        </row>
        <row r="3935">
          <cell r="A3935">
            <v>3042076</v>
          </cell>
          <cell r="B3935">
            <v>131813</v>
          </cell>
          <cell r="C3935">
            <v>304</v>
          </cell>
          <cell r="D3935" t="str">
            <v>Brent</v>
          </cell>
          <cell r="E3935">
            <v>2076</v>
          </cell>
          <cell r="F3935" t="str">
            <v>Martin Rowley</v>
          </cell>
          <cell r="G3935" t="str">
            <v>Sudbury Primary School</v>
          </cell>
          <cell r="H3935" t="str">
            <v>London</v>
          </cell>
          <cell r="I3935" t="str">
            <v>Watford Road</v>
          </cell>
          <cell r="L3935" t="str">
            <v>Wembley</v>
          </cell>
          <cell r="N3935" t="str">
            <v>HA0 3EY</v>
          </cell>
          <cell r="O3935" t="str">
            <v>admin@sudbury.brent.sch.uk</v>
          </cell>
          <cell r="P3935">
            <v>41043</v>
          </cell>
        </row>
        <row r="3936">
          <cell r="A3936">
            <v>8552056</v>
          </cell>
          <cell r="B3936">
            <v>119934</v>
          </cell>
          <cell r="C3936">
            <v>855</v>
          </cell>
          <cell r="D3936" t="str">
            <v>Leicestershire</v>
          </cell>
          <cell r="E3936">
            <v>2056</v>
          </cell>
          <cell r="F3936" t="str">
            <v>Sue Harp</v>
          </cell>
          <cell r="G3936" t="str">
            <v>Hemington Primary School</v>
          </cell>
          <cell r="H3936" t="str">
            <v>East Midlands</v>
          </cell>
          <cell r="I3936" t="str">
            <v>Main Street</v>
          </cell>
          <cell r="J3936" t="str">
            <v>Hemington</v>
          </cell>
          <cell r="L3936" t="str">
            <v>Derby</v>
          </cell>
          <cell r="M3936" t="str">
            <v>Derbyshire</v>
          </cell>
          <cell r="N3936" t="str">
            <v>DE74 2RB</v>
          </cell>
          <cell r="O3936" t="str">
            <v>o.office@hemington.leics.sch.uk</v>
          </cell>
        </row>
        <row r="3937">
          <cell r="A3937">
            <v>9384610</v>
          </cell>
          <cell r="B3937">
            <v>126101</v>
          </cell>
          <cell r="C3937">
            <v>938</v>
          </cell>
          <cell r="D3937" t="str">
            <v>West Sussex</v>
          </cell>
          <cell r="E3937">
            <v>4610</v>
          </cell>
          <cell r="F3937" t="str">
            <v>Sarah Mitchell</v>
          </cell>
          <cell r="G3937" t="str">
            <v>St Paul's Catholic College</v>
          </cell>
          <cell r="H3937" t="str">
            <v>South East</v>
          </cell>
          <cell r="I3937" t="str">
            <v>Jane Murray Way</v>
          </cell>
          <cell r="L3937" t="str">
            <v>Burgess Hill</v>
          </cell>
          <cell r="M3937" t="str">
            <v>West Sussex</v>
          </cell>
          <cell r="N3937" t="str">
            <v>RH15 8GA</v>
          </cell>
          <cell r="O3937" t="str">
            <v>rcarter3@wsgfl.org.uk</v>
          </cell>
        </row>
        <row r="3938">
          <cell r="A3938">
            <v>9192009</v>
          </cell>
          <cell r="B3938">
            <v>117085</v>
          </cell>
          <cell r="C3938">
            <v>919</v>
          </cell>
          <cell r="D3938" t="str">
            <v>Hertfordshire</v>
          </cell>
          <cell r="E3938">
            <v>2009</v>
          </cell>
          <cell r="F3938" t="str">
            <v>Joe Farrell</v>
          </cell>
          <cell r="G3938" t="str">
            <v>Northgate Primary School</v>
          </cell>
          <cell r="H3938" t="str">
            <v>East of England</v>
          </cell>
          <cell r="I3938" t="str">
            <v>Cricketfield Lane</v>
          </cell>
          <cell r="L3938" t="str">
            <v>Bishop's Stortford</v>
          </cell>
          <cell r="M3938" t="str">
            <v>Hertfordshire</v>
          </cell>
          <cell r="N3938" t="str">
            <v>CM23 2RL</v>
          </cell>
          <cell r="O3938" t="str">
            <v xml:space="preserve"> head@northgate.herts.sch.uk</v>
          </cell>
          <cell r="P3938">
            <v>40940</v>
          </cell>
        </row>
        <row r="3939">
          <cell r="A3939">
            <v>9194014</v>
          </cell>
          <cell r="B3939">
            <v>117507</v>
          </cell>
          <cell r="C3939">
            <v>919</v>
          </cell>
          <cell r="D3939" t="str">
            <v>Hertfordshire</v>
          </cell>
          <cell r="E3939">
            <v>4014</v>
          </cell>
          <cell r="F3939" t="str">
            <v>Beverley Samuel</v>
          </cell>
          <cell r="G3939" t="str">
            <v>Stanborough School</v>
          </cell>
          <cell r="H3939" t="str">
            <v>East of England</v>
          </cell>
          <cell r="I3939" t="str">
            <v>Lemsford Lane</v>
          </cell>
          <cell r="L3939" t="str">
            <v>Welwyn Garden City</v>
          </cell>
          <cell r="M3939" t="str">
            <v>Hertfordshire</v>
          </cell>
          <cell r="N3939" t="str">
            <v>AL8 6YR</v>
          </cell>
          <cell r="O3939" t="str">
            <v>head@stanborough.herts.sch.uk</v>
          </cell>
          <cell r="P3939">
            <v>40739</v>
          </cell>
        </row>
        <row r="3940">
          <cell r="A3940">
            <v>2092811</v>
          </cell>
          <cell r="B3940">
            <v>100710</v>
          </cell>
          <cell r="C3940">
            <v>209</v>
          </cell>
          <cell r="D3940" t="str">
            <v>Lewisham</v>
          </cell>
          <cell r="E3940">
            <v>2811</v>
          </cell>
          <cell r="F3940" t="str">
            <v>Helen Barry</v>
          </cell>
          <cell r="G3940" t="str">
            <v>Fairlawn Primary School</v>
          </cell>
          <cell r="H3940" t="str">
            <v>London</v>
          </cell>
          <cell r="I3940" t="str">
            <v>Honor Oak Road</v>
          </cell>
          <cell r="L3940" t="str">
            <v>London</v>
          </cell>
          <cell r="N3940" t="str">
            <v>SE23 3SB</v>
          </cell>
          <cell r="O3940" t="str">
            <v>admin@fairlawn.lewisham.sch.uk</v>
          </cell>
        </row>
        <row r="3941">
          <cell r="A3941">
            <v>3182032</v>
          </cell>
          <cell r="B3941">
            <v>102903</v>
          </cell>
          <cell r="C3941">
            <v>318</v>
          </cell>
          <cell r="D3941" t="str">
            <v>Richmond upon Thames</v>
          </cell>
          <cell r="E3941">
            <v>2032</v>
          </cell>
          <cell r="F3941" t="str">
            <v>Tahir Shams</v>
          </cell>
          <cell r="G3941" t="str">
            <v>Collis Primary School</v>
          </cell>
          <cell r="H3941" t="str">
            <v>London</v>
          </cell>
          <cell r="I3941" t="str">
            <v>Fairfax Road</v>
          </cell>
          <cell r="L3941" t="str">
            <v>Teddington</v>
          </cell>
          <cell r="N3941" t="str">
            <v>TW11 9BS</v>
          </cell>
          <cell r="O3941" t="str">
            <v>dbutterfield@collis.richmond.sch.uk</v>
          </cell>
        </row>
        <row r="3942">
          <cell r="A3942">
            <v>8102441</v>
          </cell>
          <cell r="B3942">
            <v>117802</v>
          </cell>
          <cell r="C3942">
            <v>810</v>
          </cell>
          <cell r="D3942" t="str">
            <v>Kingston upon Hull City of</v>
          </cell>
          <cell r="E3942">
            <v>2441</v>
          </cell>
          <cell r="F3942" t="str">
            <v>Jayne Turner</v>
          </cell>
          <cell r="G3942" t="str">
            <v>Maybury Primary School</v>
          </cell>
          <cell r="H3942" t="str">
            <v>Yorkshire and the Humber</v>
          </cell>
          <cell r="I3942" t="str">
            <v>Maybury Road</v>
          </cell>
          <cell r="L3942" t="str">
            <v>Hull</v>
          </cell>
          <cell r="N3942" t="str">
            <v>HU9 3LD</v>
          </cell>
          <cell r="O3942" t="str">
            <v>head@maybury.hull.sch.uk</v>
          </cell>
        </row>
        <row r="3943">
          <cell r="A3943">
            <v>9362092</v>
          </cell>
          <cell r="B3943">
            <v>124960</v>
          </cell>
          <cell r="C3943">
            <v>936</v>
          </cell>
          <cell r="D3943" t="str">
            <v>Surrey</v>
          </cell>
          <cell r="E3943">
            <v>2092</v>
          </cell>
          <cell r="F3943" t="str">
            <v>Eric Mcewen</v>
          </cell>
          <cell r="G3943" t="str">
            <v>Danetree Junior School</v>
          </cell>
          <cell r="H3943" t="str">
            <v>South East</v>
          </cell>
          <cell r="I3943" t="str">
            <v>Danetree Road</v>
          </cell>
          <cell r="J3943" t="str">
            <v>West Ewell</v>
          </cell>
          <cell r="L3943" t="str">
            <v>Epsom</v>
          </cell>
          <cell r="M3943" t="str">
            <v>Surrey</v>
          </cell>
          <cell r="N3943" t="str">
            <v>KT19 9SE</v>
          </cell>
          <cell r="O3943" t="str">
            <v>jchaloner@danetree.surrey.sch.uk</v>
          </cell>
          <cell r="P3943">
            <v>41041</v>
          </cell>
        </row>
        <row r="3944">
          <cell r="A3944">
            <v>9357003</v>
          </cell>
          <cell r="B3944">
            <v>124904</v>
          </cell>
          <cell r="C3944">
            <v>935</v>
          </cell>
          <cell r="D3944" t="str">
            <v>Suffolk</v>
          </cell>
          <cell r="E3944">
            <v>7003</v>
          </cell>
          <cell r="F3944" t="str">
            <v>Lin Houston</v>
          </cell>
          <cell r="G3944" t="str">
            <v>The Ashley School</v>
          </cell>
          <cell r="H3944" t="str">
            <v>East of England</v>
          </cell>
          <cell r="I3944" t="str">
            <v>Ashley Downs</v>
          </cell>
          <cell r="L3944" t="str">
            <v>Lowestoft</v>
          </cell>
          <cell r="M3944" t="str">
            <v>Suffolk</v>
          </cell>
          <cell r="N3944" t="str">
            <v>NR32 4EU</v>
          </cell>
          <cell r="O3944" t="str">
            <v>ldupen@ashleyschool.co.uk</v>
          </cell>
          <cell r="P3944">
            <v>40631</v>
          </cell>
        </row>
        <row r="3945">
          <cell r="A3945">
            <v>3302448</v>
          </cell>
          <cell r="B3945">
            <v>103375</v>
          </cell>
          <cell r="C3945">
            <v>330</v>
          </cell>
          <cell r="D3945" t="str">
            <v>Birmingham</v>
          </cell>
          <cell r="E3945">
            <v>2448</v>
          </cell>
          <cell r="F3945" t="str">
            <v>Alison Middleton</v>
          </cell>
          <cell r="G3945" t="str">
            <v>Gossey Lane Junior Infant and Nursery School</v>
          </cell>
          <cell r="H3945" t="str">
            <v>West Midlands</v>
          </cell>
          <cell r="I3945" t="str">
            <v>Gossey Lane</v>
          </cell>
          <cell r="J3945" t="str">
            <v>Kitts Green</v>
          </cell>
          <cell r="L3945" t="str">
            <v>Birmingham</v>
          </cell>
          <cell r="M3945" t="str">
            <v>West Midlands</v>
          </cell>
          <cell r="N3945" t="str">
            <v>B33 0DS</v>
          </cell>
          <cell r="O3945" t="str">
            <v>z.driver@gosseylane.bham.sch.uk</v>
          </cell>
        </row>
        <row r="3946">
          <cell r="A3946">
            <v>3834047</v>
          </cell>
          <cell r="B3946">
            <v>108065</v>
          </cell>
          <cell r="C3946">
            <v>383</v>
          </cell>
          <cell r="D3946" t="str">
            <v>Leeds</v>
          </cell>
          <cell r="E3946">
            <v>4047</v>
          </cell>
          <cell r="F3946" t="str">
            <v>Bev Annables</v>
          </cell>
          <cell r="G3946" t="str">
            <v>Cockburn</v>
          </cell>
          <cell r="H3946" t="str">
            <v>Yorkshire and the Humber</v>
          </cell>
          <cell r="I3946" t="str">
            <v>Parkside</v>
          </cell>
          <cell r="J3946" t="str">
            <v>Gipsy Lane</v>
          </cell>
          <cell r="L3946" t="str">
            <v>Leeds</v>
          </cell>
          <cell r="M3946" t="str">
            <v>West Yorkshire</v>
          </cell>
          <cell r="N3946" t="str">
            <v>LS11 5TT</v>
          </cell>
          <cell r="O3946" t="str">
            <v>gurneyd01@leedslearning.net</v>
          </cell>
        </row>
        <row r="3947">
          <cell r="A3947">
            <v>8923320</v>
          </cell>
          <cell r="B3947">
            <v>122784</v>
          </cell>
          <cell r="C3947">
            <v>892</v>
          </cell>
          <cell r="D3947" t="str">
            <v>Nottingham</v>
          </cell>
          <cell r="E3947">
            <v>3320</v>
          </cell>
          <cell r="F3947" t="str">
            <v>Helen Whetter</v>
          </cell>
          <cell r="G3947" t="str">
            <v>Our Lady and St Edward's Catholic Primary School</v>
          </cell>
          <cell r="H3947" t="str">
            <v>East Midlands</v>
          </cell>
          <cell r="I3947" t="str">
            <v>Gordon Road</v>
          </cell>
          <cell r="J3947" t="str">
            <v>St Ann's</v>
          </cell>
          <cell r="L3947" t="str">
            <v>Nottingham</v>
          </cell>
          <cell r="M3947" t="str">
            <v>Nottinghamshire</v>
          </cell>
          <cell r="N3947" t="str">
            <v>NG3 2LG</v>
          </cell>
          <cell r="O3947" t="str">
            <v>headteacher@st-edwards.nottingham.sch.uk</v>
          </cell>
          <cell r="P3947">
            <v>40728</v>
          </cell>
        </row>
        <row r="3948">
          <cell r="A3948">
            <v>8802453</v>
          </cell>
          <cell r="B3948">
            <v>113229</v>
          </cell>
          <cell r="C3948">
            <v>880</v>
          </cell>
          <cell r="D3948" t="str">
            <v>Torbay</v>
          </cell>
          <cell r="E3948">
            <v>2453</v>
          </cell>
          <cell r="F3948" t="str">
            <v>Theresa Oddelm</v>
          </cell>
          <cell r="G3948" t="str">
            <v>Cockington Community Primary School</v>
          </cell>
          <cell r="H3948" t="str">
            <v>South West</v>
          </cell>
          <cell r="I3948" t="str">
            <v>Old Mill Road</v>
          </cell>
          <cell r="L3948" t="str">
            <v>Torquay</v>
          </cell>
          <cell r="M3948" t="str">
            <v>Devon</v>
          </cell>
          <cell r="N3948" t="str">
            <v>TQ2 6AP</v>
          </cell>
          <cell r="O3948" t="str">
            <v>smckeown@cockingtonprimary.org.uk</v>
          </cell>
        </row>
        <row r="3949">
          <cell r="A3949">
            <v>8914456</v>
          </cell>
          <cell r="B3949">
            <v>122885</v>
          </cell>
          <cell r="C3949">
            <v>891</v>
          </cell>
          <cell r="D3949" t="str">
            <v>Nottinghamshire</v>
          </cell>
          <cell r="E3949">
            <v>4456</v>
          </cell>
          <cell r="F3949" t="str">
            <v>Grant Dyson</v>
          </cell>
          <cell r="G3949" t="str">
            <v>The Elizabethan High School</v>
          </cell>
          <cell r="H3949" t="str">
            <v>East Midlands</v>
          </cell>
          <cell r="I3949" t="str">
            <v>Hallcroft Road</v>
          </cell>
          <cell r="L3949" t="str">
            <v>Retford</v>
          </cell>
          <cell r="M3949" t="str">
            <v>Nottinghamshire</v>
          </cell>
          <cell r="N3949" t="str">
            <v>DN22 7PY</v>
          </cell>
          <cell r="O3949" t="str">
            <v>head@elizabethan.notts.sch.uk</v>
          </cell>
          <cell r="P3949">
            <v>40704</v>
          </cell>
        </row>
        <row r="3950">
          <cell r="A3950">
            <v>3053505</v>
          </cell>
          <cell r="B3950">
            <v>101655</v>
          </cell>
          <cell r="C3950">
            <v>305</v>
          </cell>
          <cell r="D3950" t="str">
            <v>Bromley</v>
          </cell>
          <cell r="E3950">
            <v>3505</v>
          </cell>
          <cell r="F3950" t="str">
            <v>Helen Fisher</v>
          </cell>
          <cell r="G3950" t="str">
            <v>St Peter and St Paul Catholic Primary School</v>
          </cell>
          <cell r="H3950" t="str">
            <v>London</v>
          </cell>
          <cell r="I3950" t="str">
            <v>St Paul's Wood Hill</v>
          </cell>
          <cell r="J3950" t="str">
            <v>St Paul's Cray</v>
          </cell>
          <cell r="L3950" t="str">
            <v>Orpington</v>
          </cell>
          <cell r="M3950" t="str">
            <v>Kent</v>
          </cell>
          <cell r="N3950" t="str">
            <v>BR5 2SR</v>
          </cell>
          <cell r="O3950" t="str">
            <v>headteacher@stpeterandstpauls.bromley.sch.uk</v>
          </cell>
        </row>
        <row r="3951">
          <cell r="A3951">
            <v>8655222</v>
          </cell>
          <cell r="B3951">
            <v>126409</v>
          </cell>
          <cell r="C3951">
            <v>865</v>
          </cell>
          <cell r="D3951" t="str">
            <v>Wiltshire</v>
          </cell>
          <cell r="E3951">
            <v>5222</v>
          </cell>
          <cell r="F3951" t="str">
            <v>Nigel Mills</v>
          </cell>
          <cell r="G3951" t="str">
            <v>Rowde CE VA Primary</v>
          </cell>
          <cell r="H3951" t="str">
            <v>South West</v>
          </cell>
          <cell r="I3951" t="str">
            <v>High Street</v>
          </cell>
          <cell r="J3951" t="str">
            <v>Rowde</v>
          </cell>
          <cell r="L3951" t="str">
            <v>Devizes</v>
          </cell>
          <cell r="M3951" t="str">
            <v>Wiltshire</v>
          </cell>
          <cell r="N3951" t="str">
            <v>SN10 2ND</v>
          </cell>
          <cell r="O3951" t="str">
            <v>head@rowde.wilts.sch.uk</v>
          </cell>
          <cell r="P3951">
            <v>41123</v>
          </cell>
        </row>
        <row r="3952">
          <cell r="A3952">
            <v>8512706</v>
          </cell>
          <cell r="B3952">
            <v>116218</v>
          </cell>
          <cell r="C3952">
            <v>851</v>
          </cell>
          <cell r="D3952" t="str">
            <v>Portsmouth</v>
          </cell>
          <cell r="E3952">
            <v>2706</v>
          </cell>
          <cell r="F3952" t="str">
            <v>Eric Mcewen</v>
          </cell>
          <cell r="G3952" t="str">
            <v>Stamshaw Junior School</v>
          </cell>
          <cell r="H3952" t="str">
            <v>South East</v>
          </cell>
          <cell r="I3952" t="str">
            <v>Tipner Road</v>
          </cell>
          <cell r="L3952" t="str">
            <v>Portsmouth</v>
          </cell>
          <cell r="M3952" t="str">
            <v>Hampshire</v>
          </cell>
          <cell r="N3952" t="str">
            <v>PO2 8QH</v>
          </cell>
          <cell r="O3952" t="str">
            <v>head@stamshaw-jun.portsmouth.sch.uk</v>
          </cell>
          <cell r="P3952">
            <v>41239</v>
          </cell>
        </row>
        <row r="3953">
          <cell r="A3953">
            <v>8912299</v>
          </cell>
          <cell r="B3953">
            <v>122545</v>
          </cell>
          <cell r="C3953">
            <v>891</v>
          </cell>
          <cell r="D3953" t="str">
            <v>Nottinghamshire</v>
          </cell>
          <cell r="E3953">
            <v>2299</v>
          </cell>
          <cell r="F3953" t="str">
            <v>Paul Hayes</v>
          </cell>
          <cell r="G3953" t="str">
            <v>Eskdale Junior School</v>
          </cell>
          <cell r="H3953" t="str">
            <v>East Midlands</v>
          </cell>
          <cell r="I3953" t="str">
            <v>Eskdale Drive</v>
          </cell>
          <cell r="J3953" t="str">
            <v>Chilwell</v>
          </cell>
          <cell r="K3953" t="str">
            <v>Beeston</v>
          </cell>
          <cell r="L3953" t="str">
            <v>Nottingham</v>
          </cell>
          <cell r="M3953" t="str">
            <v>Nottinghamshire</v>
          </cell>
          <cell r="N3953" t="str">
            <v>NG9 5FN</v>
          </cell>
          <cell r="O3953" t="str">
            <v>head@eskdale.notts.sch.uk</v>
          </cell>
        </row>
        <row r="3954">
          <cell r="A3954">
            <v>8157019</v>
          </cell>
          <cell r="B3954">
            <v>121773</v>
          </cell>
          <cell r="C3954">
            <v>815</v>
          </cell>
          <cell r="D3954" t="str">
            <v>North Yorkshire</v>
          </cell>
          <cell r="E3954">
            <v>7019</v>
          </cell>
          <cell r="F3954" t="str">
            <v>Not yet assigned</v>
          </cell>
          <cell r="G3954" t="str">
            <v>Netherside Hall School</v>
          </cell>
          <cell r="H3954" t="str">
            <v>Yorkshire and the Humber</v>
          </cell>
          <cell r="I3954" t="str">
            <v>Threshfield</v>
          </cell>
          <cell r="L3954" t="str">
            <v>Skipton</v>
          </cell>
          <cell r="M3954" t="str">
            <v>North Yorkshire</v>
          </cell>
          <cell r="N3954" t="str">
            <v>BD23 5PP</v>
          </cell>
          <cell r="O3954" t="str">
            <v>jimeshton@aol.com</v>
          </cell>
        </row>
        <row r="3955">
          <cell r="A3955">
            <v>8852105</v>
          </cell>
          <cell r="B3955">
            <v>116709</v>
          </cell>
          <cell r="C3955">
            <v>885</v>
          </cell>
          <cell r="D3955" t="str">
            <v>Worcestershire</v>
          </cell>
          <cell r="E3955">
            <v>2105</v>
          </cell>
          <cell r="F3955" t="str">
            <v>Stephen Bagnall</v>
          </cell>
          <cell r="G3955" t="str">
            <v>Great Malvern Primary School</v>
          </cell>
          <cell r="H3955" t="str">
            <v>West Midlands</v>
          </cell>
          <cell r="I3955" t="str">
            <v>Pickersleigh Road</v>
          </cell>
          <cell r="L3955" t="str">
            <v>Malvern</v>
          </cell>
          <cell r="M3955" t="str">
            <v>Worcestershire</v>
          </cell>
          <cell r="N3955" t="str">
            <v>WR14 2BY</v>
          </cell>
          <cell r="O3955" t="str">
            <v>head@greatmalvern.worcs.sch.uk</v>
          </cell>
          <cell r="P3955">
            <v>40633</v>
          </cell>
        </row>
        <row r="3956">
          <cell r="A3956">
            <v>8815415</v>
          </cell>
          <cell r="B3956">
            <v>115331</v>
          </cell>
          <cell r="C3956">
            <v>881</v>
          </cell>
          <cell r="D3956" t="str">
            <v>Essex</v>
          </cell>
          <cell r="E3956">
            <v>5415</v>
          </cell>
          <cell r="F3956" t="str">
            <v>Kevin Hall</v>
          </cell>
          <cell r="G3956" t="str">
            <v>King Harold School</v>
          </cell>
          <cell r="H3956" t="str">
            <v>East of England</v>
          </cell>
          <cell r="I3956" t="str">
            <v>Broomstick Hall Road</v>
          </cell>
          <cell r="L3956" t="str">
            <v>Waltham Abbey</v>
          </cell>
          <cell r="M3956" t="str">
            <v>Essex</v>
          </cell>
          <cell r="N3956" t="str">
            <v>EN9 1LF</v>
          </cell>
          <cell r="O3956" t="str">
            <v>john.atkins@thekemnaltrust.org</v>
          </cell>
          <cell r="P3956">
            <v>40380</v>
          </cell>
        </row>
        <row r="3957">
          <cell r="A3957">
            <v>8815251</v>
          </cell>
          <cell r="B3957">
            <v>115291</v>
          </cell>
          <cell r="C3957">
            <v>881</v>
          </cell>
          <cell r="D3957" t="str">
            <v>Essex</v>
          </cell>
          <cell r="E3957">
            <v>5251</v>
          </cell>
          <cell r="F3957" t="str">
            <v>Claire Ivie</v>
          </cell>
          <cell r="G3957" t="str">
            <v>Hadleigh Junior School</v>
          </cell>
          <cell r="H3957" t="str">
            <v>East of England</v>
          </cell>
          <cell r="I3957" t="str">
            <v>Church Road</v>
          </cell>
          <cell r="J3957" t="str">
            <v>Hadleigh</v>
          </cell>
          <cell r="L3957" t="str">
            <v>Benfleet</v>
          </cell>
          <cell r="M3957" t="str">
            <v>Essex</v>
          </cell>
          <cell r="N3957" t="str">
            <v>SS7 2DQ</v>
          </cell>
          <cell r="O3957" t="str">
            <v>head@hadleigh-jun.essex.sch.uk</v>
          </cell>
          <cell r="P3957">
            <v>40690</v>
          </cell>
        </row>
        <row r="3958">
          <cell r="A3958">
            <v>8102808</v>
          </cell>
          <cell r="B3958">
            <v>117895</v>
          </cell>
          <cell r="C3958">
            <v>810</v>
          </cell>
          <cell r="D3958" t="str">
            <v>Kingston upon Hull City of</v>
          </cell>
          <cell r="E3958">
            <v>2808</v>
          </cell>
          <cell r="F3958" t="str">
            <v>Claire Ryan</v>
          </cell>
          <cell r="G3958" t="str">
            <v>Wheeler Primary School</v>
          </cell>
          <cell r="H3958" t="str">
            <v>Yorkshire and the Humber</v>
          </cell>
          <cell r="I3958" t="str">
            <v>Wheeler Street</v>
          </cell>
          <cell r="L3958" t="str">
            <v>Hull</v>
          </cell>
          <cell r="N3958" t="str">
            <v>HU3 5QE</v>
          </cell>
          <cell r="O3958" t="str">
            <v>head@wheeler.hull.sch.uk</v>
          </cell>
          <cell r="P3958">
            <v>41136</v>
          </cell>
        </row>
        <row r="3959">
          <cell r="A3959">
            <v>8865408</v>
          </cell>
          <cell r="B3959">
            <v>118880</v>
          </cell>
          <cell r="C3959">
            <v>886</v>
          </cell>
          <cell r="D3959" t="str">
            <v>Kent</v>
          </cell>
          <cell r="E3959">
            <v>5408</v>
          </cell>
          <cell r="F3959" t="str">
            <v>Sarah Nairne</v>
          </cell>
          <cell r="G3959" t="str">
            <v>Homewood School and Sixth Form Centre</v>
          </cell>
          <cell r="H3959" t="str">
            <v>South East</v>
          </cell>
          <cell r="I3959" t="str">
            <v>Ashford Road</v>
          </cell>
          <cell r="L3959" t="str">
            <v>Tenterden</v>
          </cell>
          <cell r="M3959" t="str">
            <v>Kent</v>
          </cell>
          <cell r="N3959" t="str">
            <v>TN30 6LT</v>
          </cell>
          <cell r="O3959" t="str">
            <v>s.lees@homewood.kent.sch.uk</v>
          </cell>
          <cell r="P3959">
            <v>40644</v>
          </cell>
        </row>
        <row r="3960">
          <cell r="A3960">
            <v>3722104</v>
          </cell>
          <cell r="B3960">
            <v>106905</v>
          </cell>
          <cell r="C3960">
            <v>372</v>
          </cell>
          <cell r="D3960" t="str">
            <v>Rotherham</v>
          </cell>
          <cell r="E3960">
            <v>2104</v>
          </cell>
          <cell r="F3960" t="str">
            <v>Glyn Newton</v>
          </cell>
          <cell r="G3960" t="str">
            <v>Anston Park Infant School</v>
          </cell>
          <cell r="H3960" t="str">
            <v>Yorkshire and the Humber</v>
          </cell>
          <cell r="I3960" t="str">
            <v>Park Avenue</v>
          </cell>
          <cell r="J3960" t="str">
            <v>Off Nursery Road</v>
          </cell>
          <cell r="K3960" t="str">
            <v>North Anston</v>
          </cell>
          <cell r="L3960" t="str">
            <v>Sheffield</v>
          </cell>
          <cell r="M3960" t="str">
            <v>South Yorkshire</v>
          </cell>
          <cell r="N3960" t="str">
            <v>S25 4BT</v>
          </cell>
          <cell r="O3960" t="str">
            <v>reception@anstonpark-inf.rotherham.sch.uk</v>
          </cell>
        </row>
        <row r="3961">
          <cell r="A3961">
            <v>3842176</v>
          </cell>
          <cell r="B3961">
            <v>108232</v>
          </cell>
          <cell r="C3961">
            <v>384</v>
          </cell>
          <cell r="D3961" t="str">
            <v>Wakefield</v>
          </cell>
          <cell r="E3961">
            <v>2176</v>
          </cell>
          <cell r="F3961" t="str">
            <v>Jayne Turner</v>
          </cell>
          <cell r="G3961" t="str">
            <v>Castleford Redhill Junior School</v>
          </cell>
          <cell r="H3961" t="str">
            <v>Yorkshire and the Humber</v>
          </cell>
          <cell r="I3961" t="str">
            <v>Stansfield Drive</v>
          </cell>
          <cell r="J3961" t="str">
            <v>Airedale</v>
          </cell>
          <cell r="L3961" t="str">
            <v>Castleford</v>
          </cell>
          <cell r="M3961" t="str">
            <v>West Yorkshire</v>
          </cell>
          <cell r="N3961" t="str">
            <v>WF10 3DB</v>
          </cell>
          <cell r="O3961" t="str">
            <v>headteacher@redhill-jun.wakefield.sch.uk</v>
          </cell>
        </row>
        <row r="3962">
          <cell r="A3962">
            <v>9262006</v>
          </cell>
          <cell r="B3962">
            <v>134044</v>
          </cell>
          <cell r="C3962">
            <v>926</v>
          </cell>
          <cell r="D3962" t="str">
            <v>Norfolk</v>
          </cell>
          <cell r="E3962">
            <v>2006</v>
          </cell>
          <cell r="F3962" t="str">
            <v>Claire Read</v>
          </cell>
          <cell r="G3962" t="str">
            <v>Martham Foundation Primary School and Nursery</v>
          </cell>
          <cell r="H3962" t="str">
            <v>East of England</v>
          </cell>
          <cell r="I3962" t="str">
            <v>Black Street</v>
          </cell>
          <cell r="J3962" t="str">
            <v>Martham</v>
          </cell>
          <cell r="L3962" t="str">
            <v>Great Yarmouth</v>
          </cell>
          <cell r="M3962" t="str">
            <v>Norfolk</v>
          </cell>
          <cell r="N3962" t="str">
            <v>NR29 4PR</v>
          </cell>
          <cell r="O3962" t="str">
            <v>head@marthamprimary.norfolk.sch.uk</v>
          </cell>
          <cell r="P3962">
            <v>40354</v>
          </cell>
        </row>
        <row r="3963">
          <cell r="A3963">
            <v>8517471</v>
          </cell>
          <cell r="B3963">
            <v>134881</v>
          </cell>
          <cell r="C3963">
            <v>851</v>
          </cell>
          <cell r="D3963" t="str">
            <v>Portsmouth</v>
          </cell>
          <cell r="E3963">
            <v>7471</v>
          </cell>
          <cell r="F3963" t="str">
            <v>Gabriela Grimley</v>
          </cell>
          <cell r="G3963" t="str">
            <v>Mary Rose School</v>
          </cell>
          <cell r="H3963" t="str">
            <v>South East</v>
          </cell>
          <cell r="I3963" t="str">
            <v>Gisors Road</v>
          </cell>
          <cell r="J3963" t="str">
            <v>Southsea</v>
          </cell>
          <cell r="L3963" t="str">
            <v>Portsmouth</v>
          </cell>
          <cell r="M3963" t="str">
            <v>Hampshire</v>
          </cell>
          <cell r="N3963" t="str">
            <v>PO4 8GT</v>
          </cell>
          <cell r="O3963" t="str">
            <v>headteacher@maryrose.portsmouth.sch.uk</v>
          </cell>
          <cell r="P3963">
            <v>41193</v>
          </cell>
        </row>
        <row r="3964">
          <cell r="A3964">
            <v>8552046</v>
          </cell>
          <cell r="B3964">
            <v>119929</v>
          </cell>
          <cell r="C3964">
            <v>855</v>
          </cell>
          <cell r="D3964" t="str">
            <v>Leicestershire</v>
          </cell>
          <cell r="E3964">
            <v>2046</v>
          </cell>
          <cell r="F3964" t="str">
            <v>Sue Harp</v>
          </cell>
          <cell r="G3964" t="str">
            <v>Westfield Infant School</v>
          </cell>
          <cell r="H3964" t="str">
            <v>East Midlands</v>
          </cell>
          <cell r="I3964" t="str">
            <v>Ashford Road</v>
          </cell>
          <cell r="L3964" t="str">
            <v>Hinckley</v>
          </cell>
          <cell r="M3964" t="str">
            <v>Leicestershire</v>
          </cell>
          <cell r="N3964" t="str">
            <v>LE10 0JL</v>
          </cell>
          <cell r="O3964" t="str">
            <v>viv.chinnock@westfield-inf.leics.sch.uk</v>
          </cell>
        </row>
        <row r="3965">
          <cell r="A3965">
            <v>3123306</v>
          </cell>
          <cell r="B3965">
            <v>102419</v>
          </cell>
          <cell r="C3965">
            <v>312</v>
          </cell>
          <cell r="D3965" t="str">
            <v>Hillingdon</v>
          </cell>
          <cell r="E3965">
            <v>3306</v>
          </cell>
          <cell r="F3965" t="str">
            <v>Martin Rowley</v>
          </cell>
          <cell r="G3965" t="str">
            <v>St Matthew's CofE Primary School</v>
          </cell>
          <cell r="H3965" t="str">
            <v>London</v>
          </cell>
          <cell r="I3965" t="str">
            <v>High Street</v>
          </cell>
          <cell r="J3965" t="str">
            <v>Yiewsley</v>
          </cell>
          <cell r="L3965" t="str">
            <v>West Drayton</v>
          </cell>
          <cell r="N3965" t="str">
            <v>UB7 7QJ</v>
          </cell>
          <cell r="O3965" t="str">
            <v>ccole@hillingdongrid.org</v>
          </cell>
          <cell r="P3965">
            <v>41172</v>
          </cell>
        </row>
        <row r="3966">
          <cell r="A3966">
            <v>8913081</v>
          </cell>
          <cell r="B3966">
            <v>122754</v>
          </cell>
          <cell r="C3966">
            <v>891</v>
          </cell>
          <cell r="D3966" t="str">
            <v>Nottinghamshire</v>
          </cell>
          <cell r="E3966">
            <v>3081</v>
          </cell>
          <cell r="F3966" t="str">
            <v>Grant Dyson</v>
          </cell>
          <cell r="G3966" t="str">
            <v>Coddington CofE Primary and Nursery School</v>
          </cell>
          <cell r="H3966" t="str">
            <v>East Midlands</v>
          </cell>
          <cell r="I3966" t="str">
            <v>Brownlows Hill</v>
          </cell>
          <cell r="J3966" t="str">
            <v>Coddington</v>
          </cell>
          <cell r="L3966" t="str">
            <v>Newark</v>
          </cell>
          <cell r="M3966" t="str">
            <v>Nottinghamshire</v>
          </cell>
          <cell r="N3966" t="str">
            <v>NG24 2QA</v>
          </cell>
          <cell r="O3966" t="str">
            <v>office@coddington.notts.sch.uk</v>
          </cell>
        </row>
        <row r="3967">
          <cell r="A3967">
            <v>9093007</v>
          </cell>
          <cell r="B3967">
            <v>112246</v>
          </cell>
          <cell r="C3967">
            <v>909</v>
          </cell>
          <cell r="D3967" t="str">
            <v>Cumbria</v>
          </cell>
          <cell r="E3967">
            <v>3007</v>
          </cell>
          <cell r="F3967" t="str">
            <v>Linda Tiley</v>
          </cell>
          <cell r="G3967" t="str">
            <v>St Michael's CofE Primary School</v>
          </cell>
          <cell r="H3967" t="str">
            <v>North West</v>
          </cell>
          <cell r="I3967" t="str">
            <v>Dalston</v>
          </cell>
          <cell r="L3967" t="str">
            <v>Carlisle</v>
          </cell>
          <cell r="M3967" t="str">
            <v>Cumbria</v>
          </cell>
          <cell r="N3967" t="str">
            <v>CA5 7LN</v>
          </cell>
          <cell r="O3967" t="str">
            <v>admin@st-michaels.cumbria.sch.uk</v>
          </cell>
        </row>
        <row r="3968">
          <cell r="A3968">
            <v>8077030</v>
          </cell>
          <cell r="B3968">
            <v>111788</v>
          </cell>
          <cell r="C3968">
            <v>807</v>
          </cell>
          <cell r="D3968" t="str">
            <v>Redcar and Cleveland</v>
          </cell>
          <cell r="E3968">
            <v>7030</v>
          </cell>
          <cell r="F3968" t="str">
            <v>Sanjiv Jhalla</v>
          </cell>
          <cell r="G3968" t="str">
            <v>Kilton Thorpe School</v>
          </cell>
          <cell r="H3968" t="str">
            <v>North East</v>
          </cell>
          <cell r="I3968" t="str">
            <v>Marshall Drive</v>
          </cell>
          <cell r="J3968" t="str">
            <v>Brotton</v>
          </cell>
          <cell r="L3968" t="str">
            <v>Saltburn-by-the-Sea</v>
          </cell>
          <cell r="N3968" t="str">
            <v>TS12 2UW</v>
          </cell>
          <cell r="O3968" t="str">
            <v>Kthompson@kiltonthorpe.rac.sch.uk</v>
          </cell>
          <cell r="P3968">
            <v>41033</v>
          </cell>
        </row>
        <row r="3969">
          <cell r="A3969">
            <v>8452055</v>
          </cell>
          <cell r="B3969">
            <v>114390</v>
          </cell>
          <cell r="C3969">
            <v>845</v>
          </cell>
          <cell r="D3969" t="str">
            <v>East Sussex</v>
          </cell>
          <cell r="E3969">
            <v>2055</v>
          </cell>
          <cell r="F3969" t="str">
            <v>Sarah Mitchell</v>
          </cell>
          <cell r="G3969" t="str">
            <v>Broad Oak Community Primary School</v>
          </cell>
          <cell r="H3969" t="str">
            <v>South East</v>
          </cell>
          <cell r="I3969" t="str">
            <v>Scotsford Road</v>
          </cell>
          <cell r="J3969" t="str">
            <v>Broad Oak</v>
          </cell>
          <cell r="L3969" t="str">
            <v>Heathfield</v>
          </cell>
          <cell r="M3969" t="str">
            <v>East Sussex</v>
          </cell>
          <cell r="N3969" t="str">
            <v>TN21 8UD</v>
          </cell>
          <cell r="O3969" t="str">
            <v>head@broadoak.e-sussex.sch.uk</v>
          </cell>
        </row>
        <row r="3970">
          <cell r="A3970">
            <v>9264086</v>
          </cell>
          <cell r="B3970">
            <v>121183</v>
          </cell>
          <cell r="C3970">
            <v>926</v>
          </cell>
          <cell r="D3970" t="str">
            <v>Norfolk</v>
          </cell>
          <cell r="E3970">
            <v>4086</v>
          </cell>
          <cell r="F3970" t="str">
            <v>Claire Ivie</v>
          </cell>
          <cell r="G3970" t="str">
            <v>Swaffham Hamond's High School</v>
          </cell>
          <cell r="H3970" t="str">
            <v>East of England</v>
          </cell>
          <cell r="I3970" t="str">
            <v>Brandon Road</v>
          </cell>
          <cell r="L3970" t="str">
            <v>Swaffham</v>
          </cell>
          <cell r="M3970" t="str">
            <v>Norfolk</v>
          </cell>
          <cell r="N3970" t="str">
            <v>PE37 7DZ</v>
          </cell>
          <cell r="O3970" t="str">
            <v>office@hamonds.norfolk.sch.uk</v>
          </cell>
        </row>
        <row r="3971">
          <cell r="A3971">
            <v>9333064</v>
          </cell>
          <cell r="B3971">
            <v>123762</v>
          </cell>
          <cell r="C3971">
            <v>933</v>
          </cell>
          <cell r="D3971" t="str">
            <v>Somerset</v>
          </cell>
          <cell r="E3971">
            <v>3064</v>
          </cell>
          <cell r="F3971" t="str">
            <v>Ali Bushell</v>
          </cell>
          <cell r="G3971" t="str">
            <v>Hinton St George Church of England School</v>
          </cell>
          <cell r="H3971" t="str">
            <v>South West</v>
          </cell>
          <cell r="I3971" t="str">
            <v>West Street</v>
          </cell>
          <cell r="L3971" t="str">
            <v>Hinton St George</v>
          </cell>
          <cell r="M3971" t="str">
            <v>Somerset</v>
          </cell>
          <cell r="N3971" t="str">
            <v>TA17 8SA</v>
          </cell>
          <cell r="O3971" t="str">
            <v>JRosser@educ.somerset.gov.uk</v>
          </cell>
        </row>
        <row r="3972">
          <cell r="A3972">
            <v>9354089</v>
          </cell>
          <cell r="B3972">
            <v>124839</v>
          </cell>
          <cell r="C3972">
            <v>935</v>
          </cell>
          <cell r="D3972" t="str">
            <v>Suffolk</v>
          </cell>
          <cell r="E3972">
            <v>4089</v>
          </cell>
          <cell r="G3972" t="str">
            <v>Hardwick Middle School</v>
          </cell>
          <cell r="H3972" t="str">
            <v>East of England</v>
          </cell>
          <cell r="I3972" t="str">
            <v>Mayfield Road</v>
          </cell>
          <cell r="L3972" t="str">
            <v>Bury St Edmunds</v>
          </cell>
          <cell r="M3972" t="str">
            <v>Suffolk</v>
          </cell>
          <cell r="N3972" t="str">
            <v>IP33 2PD</v>
          </cell>
          <cell r="O3972" t="str">
            <v>andrea.smith@hardwickmiddle.suffolk.sch.uk</v>
          </cell>
        </row>
        <row r="3973">
          <cell r="A3973">
            <v>8554000</v>
          </cell>
          <cell r="B3973">
            <v>120234</v>
          </cell>
          <cell r="C3973">
            <v>855</v>
          </cell>
          <cell r="D3973" t="str">
            <v>Leicestershire</v>
          </cell>
          <cell r="E3973">
            <v>4000</v>
          </cell>
          <cell r="F3973" t="str">
            <v>Stella Mascarenhas-Keys</v>
          </cell>
          <cell r="G3973" t="str">
            <v>Humphrey Perkins High School</v>
          </cell>
          <cell r="H3973" t="str">
            <v>East Midlands</v>
          </cell>
          <cell r="I3973" t="str">
            <v>Cotes Road</v>
          </cell>
          <cell r="J3973" t="str">
            <v>Barrow-upon-Soar</v>
          </cell>
          <cell r="L3973" t="str">
            <v>Loughborough</v>
          </cell>
          <cell r="M3973" t="str">
            <v>Leicestershire</v>
          </cell>
          <cell r="N3973" t="str">
            <v>LE12 8JU</v>
          </cell>
          <cell r="O3973" t="str">
            <v>p.nutkins@humphreyperkins.leics.sch.uk</v>
          </cell>
          <cell r="P3973">
            <v>40739</v>
          </cell>
        </row>
        <row r="3974">
          <cell r="A3974">
            <v>8865229</v>
          </cell>
          <cell r="B3974">
            <v>135994</v>
          </cell>
          <cell r="C3974">
            <v>886</v>
          </cell>
          <cell r="D3974" t="str">
            <v>Kent</v>
          </cell>
          <cell r="E3974">
            <v>5229</v>
          </cell>
          <cell r="F3974" t="str">
            <v>Tony Dunne</v>
          </cell>
          <cell r="G3974" t="str">
            <v>Fleetdown Primary School</v>
          </cell>
          <cell r="H3974" t="str">
            <v>South East</v>
          </cell>
          <cell r="I3974" t="str">
            <v>Lunedale Road</v>
          </cell>
          <cell r="J3974" t="str">
            <v>Darenth</v>
          </cell>
          <cell r="L3974" t="str">
            <v>Dartford</v>
          </cell>
          <cell r="M3974" t="str">
            <v>Kent</v>
          </cell>
          <cell r="N3974" t="str">
            <v>DA2 6JX</v>
          </cell>
          <cell r="O3974" t="str">
            <v>ajkon@hotmail.com</v>
          </cell>
        </row>
        <row r="3975">
          <cell r="A3975">
            <v>8684056</v>
          </cell>
          <cell r="B3975">
            <v>110067</v>
          </cell>
          <cell r="C3975">
            <v>868</v>
          </cell>
          <cell r="D3975" t="str">
            <v>Windsor and Maidenhead</v>
          </cell>
          <cell r="E3975">
            <v>4056</v>
          </cell>
          <cell r="F3975" t="str">
            <v>Darren Francis</v>
          </cell>
          <cell r="G3975" t="str">
            <v>Cox Green School</v>
          </cell>
          <cell r="H3975" t="str">
            <v>South East</v>
          </cell>
          <cell r="I3975" t="str">
            <v>Highfield Lane</v>
          </cell>
          <cell r="L3975" t="str">
            <v>Maidenhead</v>
          </cell>
          <cell r="M3975" t="str">
            <v>Berkshire</v>
          </cell>
          <cell r="N3975" t="str">
            <v>SL6 3AX</v>
          </cell>
          <cell r="O3975" t="str">
            <v>prewr001@rbwm.org</v>
          </cell>
          <cell r="P3975">
            <v>40756</v>
          </cell>
        </row>
        <row r="3976">
          <cell r="A3976">
            <v>8877031</v>
          </cell>
          <cell r="B3976">
            <v>119035</v>
          </cell>
          <cell r="C3976">
            <v>887</v>
          </cell>
          <cell r="D3976" t="str">
            <v>Medway</v>
          </cell>
          <cell r="E3976">
            <v>7031</v>
          </cell>
          <cell r="F3976" t="str">
            <v>Sarah Mitchell</v>
          </cell>
          <cell r="G3976" t="str">
            <v>Danecourt School</v>
          </cell>
          <cell r="H3976" t="str">
            <v>South East</v>
          </cell>
          <cell r="I3976" t="str">
            <v>Hotel Road</v>
          </cell>
          <cell r="J3976" t="str">
            <v>Watling Street</v>
          </cell>
          <cell r="L3976" t="str">
            <v>Gillingham</v>
          </cell>
          <cell r="M3976" t="str">
            <v>Kent</v>
          </cell>
          <cell r="N3976" t="str">
            <v>ME8 6AA</v>
          </cell>
          <cell r="O3976" t="str">
            <v>somej001@medway.org.uk</v>
          </cell>
        </row>
        <row r="3977">
          <cell r="A3977">
            <v>3824060</v>
          </cell>
          <cell r="B3977">
            <v>107777</v>
          </cell>
          <cell r="C3977">
            <v>382</v>
          </cell>
          <cell r="D3977" t="str">
            <v>Kirklees</v>
          </cell>
          <cell r="E3977">
            <v>4060</v>
          </cell>
          <cell r="F3977" t="str">
            <v>Bev Annables</v>
          </cell>
          <cell r="G3977" t="str">
            <v>The Community Science College at Thornhill</v>
          </cell>
          <cell r="H3977" t="str">
            <v>Yorkshire and the Humber</v>
          </cell>
          <cell r="I3977" t="str">
            <v>Valley Drive</v>
          </cell>
          <cell r="J3977" t="str">
            <v>Thornhill</v>
          </cell>
          <cell r="L3977" t="str">
            <v>Dewsbury</v>
          </cell>
          <cell r="M3977" t="str">
            <v>West Yorkshire</v>
          </cell>
          <cell r="N3977" t="str">
            <v>WF12 0HE</v>
          </cell>
          <cell r="O3977" t="str">
            <v>jonny.mitchell@cscat.org</v>
          </cell>
          <cell r="P3977">
            <v>40807</v>
          </cell>
        </row>
        <row r="3978">
          <cell r="A3978">
            <v>3932036</v>
          </cell>
          <cell r="B3978">
            <v>108683</v>
          </cell>
          <cell r="C3978">
            <v>393</v>
          </cell>
          <cell r="D3978" t="str">
            <v>South Tyneside</v>
          </cell>
          <cell r="E3978">
            <v>2036</v>
          </cell>
          <cell r="F3978" t="str">
            <v>Susan Dean</v>
          </cell>
          <cell r="G3978" t="str">
            <v>Monkton Junior School</v>
          </cell>
          <cell r="H3978" t="str">
            <v>North East</v>
          </cell>
          <cell r="I3978" t="str">
            <v>Dame Flora Robson Avenue</v>
          </cell>
          <cell r="L3978" t="str">
            <v>South Shields</v>
          </cell>
          <cell r="M3978" t="str">
            <v>Tyne and Wear</v>
          </cell>
          <cell r="N3978" t="str">
            <v>NE34 9RD</v>
          </cell>
          <cell r="O3978" t="str">
            <v>stuart@monktonjuniors.co.uk</v>
          </cell>
          <cell r="P3978">
            <v>40725</v>
          </cell>
        </row>
        <row r="3979">
          <cell r="A3979">
            <v>8812000</v>
          </cell>
          <cell r="B3979">
            <v>132020</v>
          </cell>
          <cell r="C3979">
            <v>881</v>
          </cell>
          <cell r="D3979" t="str">
            <v>Essex</v>
          </cell>
          <cell r="E3979">
            <v>2000</v>
          </cell>
          <cell r="F3979" t="str">
            <v>Claire Ivie</v>
          </cell>
          <cell r="G3979" t="str">
            <v>The Notley Green Primary School</v>
          </cell>
          <cell r="H3979" t="str">
            <v>East of England</v>
          </cell>
          <cell r="I3979" t="str">
            <v>Blickling Road</v>
          </cell>
          <cell r="J3979" t="str">
            <v>Great Notley</v>
          </cell>
          <cell r="L3979" t="str">
            <v>Braintree</v>
          </cell>
          <cell r="M3979" t="str">
            <v>Essex</v>
          </cell>
          <cell r="N3979" t="str">
            <v>CM77 7ZJ</v>
          </cell>
          <cell r="O3979" t="str">
            <v>angie.jones@notleygreen.essex.sch.uk</v>
          </cell>
          <cell r="P3979">
            <v>40974</v>
          </cell>
        </row>
        <row r="3980">
          <cell r="A3980">
            <v>8312436</v>
          </cell>
          <cell r="B3980">
            <v>112739</v>
          </cell>
          <cell r="C3980">
            <v>831</v>
          </cell>
          <cell r="D3980" t="str">
            <v>Derby</v>
          </cell>
          <cell r="E3980">
            <v>2436</v>
          </cell>
          <cell r="G3980" t="str">
            <v>Markeaton Primary School</v>
          </cell>
          <cell r="H3980" t="str">
            <v>East Midlands</v>
          </cell>
          <cell r="I3980" t="str">
            <v>Bromley Street</v>
          </cell>
          <cell r="L3980" t="str">
            <v>Derby</v>
          </cell>
          <cell r="M3980" t="str">
            <v>Derbyshire</v>
          </cell>
          <cell r="N3980" t="str">
            <v>DE22 1HL</v>
          </cell>
          <cell r="O3980" t="str">
            <v>head@markeaton.derby.sch.uk</v>
          </cell>
        </row>
        <row r="3981">
          <cell r="A3981">
            <v>9197032</v>
          </cell>
          <cell r="B3981">
            <v>117685</v>
          </cell>
          <cell r="C3981">
            <v>919</v>
          </cell>
          <cell r="D3981" t="str">
            <v>Hertfordshire</v>
          </cell>
          <cell r="E3981">
            <v>7032</v>
          </cell>
          <cell r="F3981" t="str">
            <v>Gabriela Grimley</v>
          </cell>
          <cell r="G3981" t="str">
            <v>Heathlands School</v>
          </cell>
          <cell r="H3981" t="str">
            <v>East of England</v>
          </cell>
          <cell r="I3981" t="str">
            <v>Heathlands Drive</v>
          </cell>
          <cell r="L3981" t="str">
            <v>St Albans</v>
          </cell>
          <cell r="M3981" t="str">
            <v>Hertfordshire</v>
          </cell>
          <cell r="N3981" t="str">
            <v>AL3 5AY</v>
          </cell>
          <cell r="O3981" t="str">
            <v>deborah.jones@ heathlands.herts.sch.uk</v>
          </cell>
          <cell r="P3981">
            <v>40567</v>
          </cell>
        </row>
        <row r="3982">
          <cell r="A3982">
            <v>3802054</v>
          </cell>
          <cell r="B3982">
            <v>107218</v>
          </cell>
          <cell r="C3982">
            <v>380</v>
          </cell>
          <cell r="D3982" t="str">
            <v>Bradford</v>
          </cell>
          <cell r="E3982">
            <v>2054</v>
          </cell>
          <cell r="F3982" t="str">
            <v>Glyn Newton</v>
          </cell>
          <cell r="G3982" t="str">
            <v>Newby Primary school</v>
          </cell>
          <cell r="H3982" t="str">
            <v>Yorkshire and the Humber</v>
          </cell>
          <cell r="I3982" t="str">
            <v>Ryan Street</v>
          </cell>
          <cell r="J3982" t="str">
            <v>Manchester Road</v>
          </cell>
          <cell r="L3982" t="str">
            <v>Bradford</v>
          </cell>
          <cell r="M3982" t="str">
            <v>West Yorkshire</v>
          </cell>
          <cell r="N3982" t="str">
            <v>BD5 7DQ</v>
          </cell>
          <cell r="O3982" t="str">
            <v>michael.latham@newby.ngfl.ac.uk</v>
          </cell>
        </row>
        <row r="3983">
          <cell r="A3983">
            <v>9334000</v>
          </cell>
          <cell r="B3983">
            <v>123862</v>
          </cell>
          <cell r="C3983">
            <v>933</v>
          </cell>
          <cell r="D3983" t="str">
            <v>Somerset</v>
          </cell>
          <cell r="E3983">
            <v>4000</v>
          </cell>
          <cell r="F3983" t="str">
            <v>Kate Bosher</v>
          </cell>
          <cell r="G3983" t="str">
            <v>Frome Community College</v>
          </cell>
          <cell r="H3983" t="str">
            <v>South West</v>
          </cell>
          <cell r="I3983" t="str">
            <v>Bath Road</v>
          </cell>
          <cell r="L3983" t="str">
            <v>Frome</v>
          </cell>
          <cell r="M3983" t="str">
            <v>Somerset</v>
          </cell>
          <cell r="N3983" t="str">
            <v>BA11 2HQ</v>
          </cell>
          <cell r="O3983" t="str">
            <v>wmissons@educ.somerset.gov.uk</v>
          </cell>
          <cell r="P3983">
            <v>40716</v>
          </cell>
        </row>
        <row r="3984">
          <cell r="A3984">
            <v>9352015</v>
          </cell>
          <cell r="B3984">
            <v>124540</v>
          </cell>
          <cell r="C3984">
            <v>935</v>
          </cell>
          <cell r="D3984" t="str">
            <v>Suffolk</v>
          </cell>
          <cell r="E3984">
            <v>2015</v>
          </cell>
          <cell r="F3984" t="str">
            <v>Joe Farrell</v>
          </cell>
          <cell r="G3984" t="str">
            <v>Lavenham Community Primary School</v>
          </cell>
          <cell r="H3984" t="str">
            <v>East of England</v>
          </cell>
          <cell r="I3984" t="str">
            <v>Barn Street</v>
          </cell>
          <cell r="J3984" t="str">
            <v>Lavenham</v>
          </cell>
          <cell r="L3984" t="str">
            <v>Sudbury</v>
          </cell>
          <cell r="M3984" t="str">
            <v>Suffolk</v>
          </cell>
          <cell r="N3984" t="str">
            <v>CO10 9RB</v>
          </cell>
          <cell r="O3984" t="str">
            <v>head@lavenham.suffolk.sch.uk</v>
          </cell>
        </row>
        <row r="3985">
          <cell r="A3985">
            <v>9332113</v>
          </cell>
          <cell r="B3985">
            <v>123675</v>
          </cell>
          <cell r="C3985">
            <v>933</v>
          </cell>
          <cell r="D3985" t="str">
            <v>Somerset</v>
          </cell>
          <cell r="E3985">
            <v>2113</v>
          </cell>
          <cell r="F3985" t="str">
            <v>Maria Whiting</v>
          </cell>
          <cell r="G3985" t="str">
            <v>Brookside Community Primary School</v>
          </cell>
          <cell r="H3985" t="str">
            <v>South West</v>
          </cell>
          <cell r="I3985" t="str">
            <v>Brooks Road</v>
          </cell>
          <cell r="L3985" t="str">
            <v>Street</v>
          </cell>
          <cell r="M3985" t="str">
            <v>Somerset</v>
          </cell>
          <cell r="N3985" t="str">
            <v>BA16 0PR</v>
          </cell>
          <cell r="O3985" t="str">
            <v>ceaxten@educ.somerset.gov.uk</v>
          </cell>
          <cell r="P3985">
            <v>40603</v>
          </cell>
        </row>
        <row r="3986">
          <cell r="A3986">
            <v>8812620</v>
          </cell>
          <cell r="B3986">
            <v>114918</v>
          </cell>
          <cell r="C3986">
            <v>881</v>
          </cell>
          <cell r="D3986" t="str">
            <v>Essex</v>
          </cell>
          <cell r="E3986">
            <v>2620</v>
          </cell>
          <cell r="F3986" t="str">
            <v>Claire Ivie</v>
          </cell>
          <cell r="G3986" t="str">
            <v>Purleigh Community Primary School</v>
          </cell>
          <cell r="H3986" t="str">
            <v>East of England</v>
          </cell>
          <cell r="I3986" t="str">
            <v>Pump Lane</v>
          </cell>
          <cell r="J3986" t="str">
            <v>Purleigh</v>
          </cell>
          <cell r="L3986" t="str">
            <v>Chelmsford</v>
          </cell>
          <cell r="M3986" t="str">
            <v>Essex</v>
          </cell>
          <cell r="N3986" t="str">
            <v>CM3 6PJ</v>
          </cell>
          <cell r="O3986" t="str">
            <v>head@purleigh.essex.sch.uk</v>
          </cell>
        </row>
        <row r="3987">
          <cell r="A3987">
            <v>3532017</v>
          </cell>
          <cell r="B3987">
            <v>105633</v>
          </cell>
          <cell r="C3987">
            <v>353</v>
          </cell>
          <cell r="D3987" t="str">
            <v>Oldham</v>
          </cell>
          <cell r="E3987">
            <v>2017</v>
          </cell>
          <cell r="F3987" t="str">
            <v>Andy West</v>
          </cell>
          <cell r="G3987" t="str">
            <v>Limeside Primary School</v>
          </cell>
          <cell r="H3987" t="str">
            <v>North West</v>
          </cell>
          <cell r="I3987" t="str">
            <v>Third Avenue</v>
          </cell>
          <cell r="J3987" t="str">
            <v>Limeside</v>
          </cell>
          <cell r="L3987" t="str">
            <v>Oldham</v>
          </cell>
          <cell r="M3987" t="str">
            <v>Greater Manchester</v>
          </cell>
          <cell r="N3987" t="str">
            <v>OL8 3SB</v>
          </cell>
          <cell r="O3987" t="str">
            <v>head@limeside.oldham.sch.uk</v>
          </cell>
          <cell r="P3987">
            <v>40641</v>
          </cell>
        </row>
        <row r="3988">
          <cell r="A3988">
            <v>9255217</v>
          </cell>
          <cell r="B3988">
            <v>120684</v>
          </cell>
          <cell r="C3988">
            <v>925</v>
          </cell>
          <cell r="D3988" t="str">
            <v>Lincolnshire</v>
          </cell>
          <cell r="E3988">
            <v>5217</v>
          </cell>
          <cell r="F3988" t="str">
            <v>Pauline Cole</v>
          </cell>
          <cell r="G3988" t="str">
            <v>Grimoldby Primary School</v>
          </cell>
          <cell r="H3988" t="str">
            <v>East Midlands</v>
          </cell>
          <cell r="I3988" t="str">
            <v>Tinkle Street</v>
          </cell>
          <cell r="J3988" t="str">
            <v>Grimoldby</v>
          </cell>
          <cell r="L3988" t="str">
            <v>Louth</v>
          </cell>
          <cell r="M3988" t="str">
            <v>Lincolnshire</v>
          </cell>
          <cell r="N3988" t="str">
            <v>LN11 8SW</v>
          </cell>
          <cell r="O3988" t="str">
            <v>maureen.barnes@grimoldby.lincs.sch.uk</v>
          </cell>
        </row>
        <row r="3989">
          <cell r="A3989">
            <v>8164602</v>
          </cell>
          <cell r="B3989">
            <v>121713</v>
          </cell>
          <cell r="C3989">
            <v>816</v>
          </cell>
          <cell r="D3989" t="str">
            <v>York</v>
          </cell>
          <cell r="E3989">
            <v>4602</v>
          </cell>
          <cell r="F3989" t="str">
            <v>Anita Turnbull</v>
          </cell>
          <cell r="G3989" t="str">
            <v>Manor Church of England Voluntary Aided School</v>
          </cell>
          <cell r="H3989" t="str">
            <v>Yorkshire and the Humber</v>
          </cell>
          <cell r="I3989" t="str">
            <v>Millfield Lane</v>
          </cell>
          <cell r="J3989" t="str">
            <v>Nether Poppleton</v>
          </cell>
          <cell r="L3989" t="str">
            <v>York</v>
          </cell>
          <cell r="M3989" t="str">
            <v>North Yorkshire</v>
          </cell>
          <cell r="N3989" t="str">
            <v>YO26 6PQ</v>
          </cell>
          <cell r="O3989" t="str">
            <v>crosbybmce@googlemail.com</v>
          </cell>
          <cell r="P3989">
            <v>40504</v>
          </cell>
        </row>
        <row r="3990">
          <cell r="A3990">
            <v>9367024</v>
          </cell>
          <cell r="B3990">
            <v>125462</v>
          </cell>
          <cell r="C3990">
            <v>936</v>
          </cell>
          <cell r="D3990" t="str">
            <v>Surrey</v>
          </cell>
          <cell r="E3990">
            <v>7024</v>
          </cell>
          <cell r="F3990" t="str">
            <v>Sanjiv Jhalla</v>
          </cell>
          <cell r="G3990" t="str">
            <v>Wishmore Cross School</v>
          </cell>
          <cell r="H3990" t="str">
            <v>South East</v>
          </cell>
          <cell r="I3990" t="str">
            <v>Alpha Road</v>
          </cell>
          <cell r="J3990" t="str">
            <v>Chobham</v>
          </cell>
          <cell r="L3990" t="str">
            <v>Woking</v>
          </cell>
          <cell r="M3990" t="str">
            <v>Surrey</v>
          </cell>
          <cell r="N3990" t="str">
            <v>GU24 8NE</v>
          </cell>
          <cell r="O3990" t="str">
            <v>m.taylor@wishmorecross.surrey.sch.uk</v>
          </cell>
          <cell r="P3990">
            <v>40935</v>
          </cell>
        </row>
        <row r="3991">
          <cell r="A3991">
            <v>9282088</v>
          </cell>
          <cell r="B3991">
            <v>121863</v>
          </cell>
          <cell r="C3991">
            <v>928</v>
          </cell>
          <cell r="D3991" t="str">
            <v>Northamptonshire</v>
          </cell>
          <cell r="E3991">
            <v>2088</v>
          </cell>
          <cell r="F3991" t="str">
            <v>Sue Harp</v>
          </cell>
          <cell r="G3991" t="str">
            <v>Rushton Primary School</v>
          </cell>
          <cell r="H3991" t="str">
            <v>East Midlands</v>
          </cell>
          <cell r="I3991" t="str">
            <v>Station Road</v>
          </cell>
          <cell r="J3991" t="str">
            <v>Rushton</v>
          </cell>
          <cell r="L3991" t="str">
            <v>Kettering</v>
          </cell>
          <cell r="M3991" t="str">
            <v>Northamptonshire</v>
          </cell>
          <cell r="N3991" t="str">
            <v>NN14 1RL</v>
          </cell>
          <cell r="O3991" t="str">
            <v>head@rushton.northants-ecl.gov.uk</v>
          </cell>
        </row>
        <row r="3992">
          <cell r="A3992">
            <v>9195416</v>
          </cell>
          <cell r="B3992">
            <v>117588</v>
          </cell>
          <cell r="C3992">
            <v>919</v>
          </cell>
          <cell r="D3992" t="str">
            <v>Hertfordshire</v>
          </cell>
          <cell r="E3992">
            <v>5416</v>
          </cell>
          <cell r="F3992" t="str">
            <v>Beverley Samuel</v>
          </cell>
          <cell r="G3992" t="str">
            <v>The Leventhorpe School</v>
          </cell>
          <cell r="H3992" t="str">
            <v>East of England</v>
          </cell>
          <cell r="I3992" t="str">
            <v>Cambridge Road</v>
          </cell>
          <cell r="L3992" t="str">
            <v>Sawbridgeworth</v>
          </cell>
          <cell r="M3992" t="str">
            <v>Hertfordshire</v>
          </cell>
          <cell r="N3992" t="str">
            <v>CM21 9BY</v>
          </cell>
          <cell r="O3992" t="str">
            <v>jcm@leventhorpe.net</v>
          </cell>
          <cell r="P3992">
            <v>40612</v>
          </cell>
        </row>
        <row r="3993">
          <cell r="A3993">
            <v>8352201</v>
          </cell>
          <cell r="B3993">
            <v>113708</v>
          </cell>
          <cell r="C3993">
            <v>835</v>
          </cell>
          <cell r="D3993" t="str">
            <v>Dorset</v>
          </cell>
          <cell r="E3993">
            <v>2201</v>
          </cell>
          <cell r="F3993" t="str">
            <v>Lilian Da Cunha</v>
          </cell>
          <cell r="G3993" t="str">
            <v>Chickerell Primary School</v>
          </cell>
          <cell r="H3993" t="str">
            <v>South West</v>
          </cell>
          <cell r="I3993" t="str">
            <v>Rashley Road</v>
          </cell>
          <cell r="J3993" t="str">
            <v>Chickerell</v>
          </cell>
          <cell r="L3993" t="str">
            <v>Weymouth</v>
          </cell>
          <cell r="M3993" t="str">
            <v>Dorset</v>
          </cell>
          <cell r="N3993" t="str">
            <v>DT3 4AT</v>
          </cell>
          <cell r="O3993" t="str">
            <v>j.harris@chickerell.dorset.sch.uk</v>
          </cell>
          <cell r="P3993">
            <v>41169</v>
          </cell>
        </row>
        <row r="3994">
          <cell r="A3994">
            <v>8813122</v>
          </cell>
          <cell r="B3994">
            <v>115094</v>
          </cell>
          <cell r="C3994">
            <v>881</v>
          </cell>
          <cell r="D3994" t="str">
            <v>Essex</v>
          </cell>
          <cell r="E3994">
            <v>3122</v>
          </cell>
          <cell r="F3994" t="str">
            <v>Claire Ivie</v>
          </cell>
          <cell r="G3994" t="str">
            <v>St John's Church of England Voluntary Controlled Primary School</v>
          </cell>
          <cell r="H3994" t="str">
            <v>East of England</v>
          </cell>
          <cell r="I3994" t="str">
            <v>High Road</v>
          </cell>
          <cell r="L3994" t="str">
            <v>Buckhurst Hill</v>
          </cell>
          <cell r="M3994" t="str">
            <v>Essex</v>
          </cell>
          <cell r="N3994" t="str">
            <v>IG9 5RX</v>
          </cell>
          <cell r="O3994" t="str">
            <v>Petetid@yahoo.com</v>
          </cell>
        </row>
        <row r="3995">
          <cell r="A3995">
            <v>9285408</v>
          </cell>
          <cell r="B3995">
            <v>122121</v>
          </cell>
          <cell r="C3995">
            <v>928</v>
          </cell>
          <cell r="D3995" t="str">
            <v>Northamptonshire</v>
          </cell>
          <cell r="E3995">
            <v>5408</v>
          </cell>
          <cell r="F3995" t="str">
            <v>Stephen Standret</v>
          </cell>
          <cell r="G3995" t="str">
            <v>Weavers School</v>
          </cell>
          <cell r="H3995" t="str">
            <v>East Midlands</v>
          </cell>
          <cell r="I3995" t="str">
            <v>Brickhill Road</v>
          </cell>
          <cell r="L3995" t="str">
            <v>Wellingborough</v>
          </cell>
          <cell r="M3995" t="str">
            <v>Northamptonshire</v>
          </cell>
          <cell r="N3995" t="str">
            <v>NN8 3JH</v>
          </cell>
          <cell r="O3995" t="str">
            <v>j.davis@weaversschool.co.uk</v>
          </cell>
        </row>
        <row r="3996">
          <cell r="A3996">
            <v>8724050</v>
          </cell>
          <cell r="B3996">
            <v>110061</v>
          </cell>
          <cell r="C3996">
            <v>872</v>
          </cell>
          <cell r="D3996" t="str">
            <v>Wokingham</v>
          </cell>
          <cell r="E3996">
            <v>4050</v>
          </cell>
          <cell r="F3996" t="str">
            <v>Sarah Nairne</v>
          </cell>
          <cell r="G3996" t="str">
            <v>Forest School</v>
          </cell>
          <cell r="H3996" t="str">
            <v>South East</v>
          </cell>
          <cell r="I3996" t="str">
            <v>Robin Hood Lane</v>
          </cell>
          <cell r="J3996" t="str">
            <v>Winnersh</v>
          </cell>
          <cell r="L3996" t="str">
            <v>Wokingham</v>
          </cell>
          <cell r="M3996" t="str">
            <v>Berkshire</v>
          </cell>
          <cell r="N3996" t="str">
            <v>RG41 5NE</v>
          </cell>
          <cell r="O3996" t="str">
            <v>head@forest.wokingham.sch.uk</v>
          </cell>
        </row>
        <row r="3997">
          <cell r="A3997">
            <v>8732212</v>
          </cell>
          <cell r="B3997">
            <v>110680</v>
          </cell>
          <cell r="C3997">
            <v>873</v>
          </cell>
          <cell r="D3997" t="str">
            <v>Cambridgeshire</v>
          </cell>
          <cell r="E3997">
            <v>2212</v>
          </cell>
          <cell r="F3997" t="str">
            <v>Joe Farrell</v>
          </cell>
          <cell r="G3997" t="str">
            <v>Houghton Primary School</v>
          </cell>
          <cell r="H3997" t="str">
            <v>East of England</v>
          </cell>
          <cell r="I3997" t="str">
            <v>Chapel Lane</v>
          </cell>
          <cell r="J3997" t="str">
            <v>Houghton</v>
          </cell>
          <cell r="L3997" t="str">
            <v>Huntingdon</v>
          </cell>
          <cell r="M3997" t="str">
            <v>Cambridgeshire</v>
          </cell>
          <cell r="N3997" t="str">
            <v>PE28 2AY</v>
          </cell>
        </row>
        <row r="3998">
          <cell r="A3998">
            <v>9282016</v>
          </cell>
          <cell r="B3998">
            <v>122086</v>
          </cell>
          <cell r="C3998">
            <v>928</v>
          </cell>
          <cell r="D3998" t="str">
            <v>Northamptonshire</v>
          </cell>
          <cell r="E3998">
            <v>2016</v>
          </cell>
          <cell r="F3998" t="str">
            <v>Stephen Standret</v>
          </cell>
          <cell r="G3998" t="str">
            <v>Millway Primary School</v>
          </cell>
          <cell r="H3998" t="str">
            <v>East Midlands</v>
          </cell>
          <cell r="I3998" t="str">
            <v>Millway</v>
          </cell>
          <cell r="J3998" t="str">
            <v>Duston</v>
          </cell>
          <cell r="L3998" t="str">
            <v>Northampton</v>
          </cell>
          <cell r="M3998" t="str">
            <v>Northamptonshire</v>
          </cell>
          <cell r="N3998" t="str">
            <v>NN5 6ES</v>
          </cell>
          <cell r="O3998" t="str">
            <v>head@millway-pri.northants-ecl.gov.uk</v>
          </cell>
        </row>
        <row r="3999">
          <cell r="A3999">
            <v>3063417</v>
          </cell>
          <cell r="B3999">
            <v>135225</v>
          </cell>
          <cell r="C3999">
            <v>306</v>
          </cell>
          <cell r="D3999" t="str">
            <v>Croydon</v>
          </cell>
          <cell r="E3999">
            <v>3417</v>
          </cell>
          <cell r="F3999" t="str">
            <v>Anita Bihal</v>
          </cell>
          <cell r="G3999" t="str">
            <v>The Aerodrome School</v>
          </cell>
          <cell r="H3999" t="str">
            <v>London</v>
          </cell>
          <cell r="I3999" t="str">
            <v>Goodwin Road</v>
          </cell>
          <cell r="L3999" t="str">
            <v>Croydon</v>
          </cell>
          <cell r="M3999" t="str">
            <v>Surrey</v>
          </cell>
          <cell r="N3999" t="str">
            <v>CR0 4EJ</v>
          </cell>
          <cell r="O3999" t="str">
            <v>zfoulsham.306@lgflmail.org</v>
          </cell>
          <cell r="P3999">
            <v>41114</v>
          </cell>
        </row>
        <row r="4000">
          <cell r="A4000">
            <v>3032005</v>
          </cell>
          <cell r="B4000">
            <v>101406</v>
          </cell>
          <cell r="C4000">
            <v>303</v>
          </cell>
          <cell r="D4000" t="str">
            <v>Bexley</v>
          </cell>
          <cell r="E4000">
            <v>2005</v>
          </cell>
          <cell r="F4000" t="str">
            <v>Helen Barry</v>
          </cell>
          <cell r="G4000" t="str">
            <v>East Wickham Infant School</v>
          </cell>
          <cell r="H4000" t="str">
            <v>London</v>
          </cell>
          <cell r="I4000" t="str">
            <v>Wickham Street</v>
          </cell>
          <cell r="L4000" t="str">
            <v>Welling</v>
          </cell>
          <cell r="M4000" t="str">
            <v>Kent</v>
          </cell>
          <cell r="N4000" t="str">
            <v>DA16 3BP</v>
          </cell>
          <cell r="O4000" t="str">
            <v>admin.east-wickham-inf.bexley@lgfl.net</v>
          </cell>
        </row>
        <row r="4001">
          <cell r="A4001">
            <v>8784112</v>
          </cell>
          <cell r="B4001">
            <v>113522</v>
          </cell>
          <cell r="C4001">
            <v>878</v>
          </cell>
          <cell r="D4001" t="str">
            <v>Devon</v>
          </cell>
          <cell r="E4001">
            <v>4112</v>
          </cell>
          <cell r="F4001" t="str">
            <v>Susan Phillips</v>
          </cell>
          <cell r="G4001" t="str">
            <v>Coombeshead College</v>
          </cell>
          <cell r="H4001" t="str">
            <v>South West</v>
          </cell>
          <cell r="I4001" t="str">
            <v>Coombeshead Road</v>
          </cell>
          <cell r="L4001" t="str">
            <v>Newton Abbot</v>
          </cell>
          <cell r="M4001" t="str">
            <v>Devon</v>
          </cell>
          <cell r="N4001" t="str">
            <v>TQ12 1PT</v>
          </cell>
          <cell r="O4001" t="str">
            <v>mshanks@coombeshead.devon.sch.uk</v>
          </cell>
          <cell r="P4001">
            <v>40612</v>
          </cell>
        </row>
        <row r="4002">
          <cell r="A4002">
            <v>3087002</v>
          </cell>
          <cell r="B4002">
            <v>102067</v>
          </cell>
          <cell r="C4002">
            <v>308</v>
          </cell>
          <cell r="D4002" t="str">
            <v>Enfield</v>
          </cell>
          <cell r="E4002">
            <v>7002</v>
          </cell>
          <cell r="F4002" t="str">
            <v>Martin Rowley</v>
          </cell>
          <cell r="G4002" t="str">
            <v>West Lea School</v>
          </cell>
          <cell r="H4002" t="str">
            <v>London</v>
          </cell>
          <cell r="I4002" t="str">
            <v>Haselbury Road</v>
          </cell>
          <cell r="J4002" t="str">
            <v>Edmonton</v>
          </cell>
          <cell r="L4002" t="str">
            <v>London</v>
          </cell>
          <cell r="N4002" t="str">
            <v>N9 9TU</v>
          </cell>
          <cell r="O4002" t="str">
            <v>sue_tripp@westlea.enfield.sch.uk</v>
          </cell>
        </row>
        <row r="4003">
          <cell r="A4003">
            <v>3344012</v>
          </cell>
          <cell r="B4003">
            <v>104108</v>
          </cell>
          <cell r="C4003">
            <v>334</v>
          </cell>
          <cell r="D4003" t="str">
            <v>Solihull</v>
          </cell>
          <cell r="E4003">
            <v>4012</v>
          </cell>
          <cell r="F4003" t="str">
            <v>Carol Ions</v>
          </cell>
          <cell r="G4003" t="str">
            <v>Langley School</v>
          </cell>
          <cell r="H4003" t="str">
            <v>West Midlands</v>
          </cell>
          <cell r="I4003" t="str">
            <v>Kineton Green Road</v>
          </cell>
          <cell r="J4003" t="str">
            <v>Olton</v>
          </cell>
          <cell r="L4003" t="str">
            <v>Solihull</v>
          </cell>
          <cell r="M4003" t="str">
            <v>West Midlands</v>
          </cell>
          <cell r="N4003" t="str">
            <v>B92 7ER</v>
          </cell>
          <cell r="O4003" t="str">
            <v>s206rcotton@langley-sec.solihull.sch.uk</v>
          </cell>
          <cell r="P4003">
            <v>40666</v>
          </cell>
        </row>
        <row r="4004">
          <cell r="A4004">
            <v>3844023</v>
          </cell>
          <cell r="B4004">
            <v>108276</v>
          </cell>
          <cell r="C4004">
            <v>384</v>
          </cell>
          <cell r="D4004" t="str">
            <v>Wakefield</v>
          </cell>
          <cell r="E4004">
            <v>4023</v>
          </cell>
          <cell r="F4004" t="str">
            <v>Alison Middleton</v>
          </cell>
          <cell r="G4004" t="str">
            <v>Ossett School</v>
          </cell>
          <cell r="H4004" t="str">
            <v>Yorkshire and the Humber</v>
          </cell>
          <cell r="I4004" t="str">
            <v>Storrs Hill Road</v>
          </cell>
          <cell r="L4004" t="str">
            <v>Ossett</v>
          </cell>
          <cell r="M4004" t="str">
            <v>West Yorkshire</v>
          </cell>
          <cell r="N4004" t="str">
            <v>WF5 0DG</v>
          </cell>
          <cell r="O4004" t="str">
            <v>mshevill@ossett.wakefield.sch.uk</v>
          </cell>
          <cell r="P4004">
            <v>40459</v>
          </cell>
        </row>
        <row r="4005">
          <cell r="A4005">
            <v>8734602</v>
          </cell>
          <cell r="B4005">
            <v>110887</v>
          </cell>
          <cell r="C4005">
            <v>873</v>
          </cell>
          <cell r="D4005" t="str">
            <v>Cambridgeshire</v>
          </cell>
          <cell r="E4005">
            <v>4602</v>
          </cell>
          <cell r="F4005" t="str">
            <v>Yvonne Reddington</v>
          </cell>
          <cell r="G4005" t="str">
            <v>St Bede's Inter-Church School</v>
          </cell>
          <cell r="H4005" t="str">
            <v>East of England</v>
          </cell>
          <cell r="I4005" t="str">
            <v>Birdwood Road</v>
          </cell>
          <cell r="L4005" t="str">
            <v>Cambridge</v>
          </cell>
          <cell r="M4005" t="str">
            <v>Cambridgeshire</v>
          </cell>
          <cell r="N4005" t="str">
            <v>CB1 3TD</v>
          </cell>
          <cell r="O4005" t="str">
            <v>rwilkin@stbedes.cambs.sch.uk</v>
          </cell>
          <cell r="P4005">
            <v>40821</v>
          </cell>
        </row>
        <row r="4006">
          <cell r="A4006">
            <v>8855403</v>
          </cell>
          <cell r="B4006">
            <v>117000</v>
          </cell>
          <cell r="C4006">
            <v>885</v>
          </cell>
          <cell r="D4006" t="str">
            <v>Worcestershire</v>
          </cell>
          <cell r="E4006">
            <v>5403</v>
          </cell>
          <cell r="F4006" t="str">
            <v>Lilian Da Cunha</v>
          </cell>
          <cell r="G4006" t="str">
            <v>Prince Henry's High School</v>
          </cell>
          <cell r="H4006" t="str">
            <v>West Midlands</v>
          </cell>
          <cell r="I4006" t="str">
            <v>Victoria Avenue</v>
          </cell>
          <cell r="L4006" t="str">
            <v>Evesham</v>
          </cell>
          <cell r="M4006" t="str">
            <v>Worcestershire</v>
          </cell>
          <cell r="N4006" t="str">
            <v>WR11 4QH</v>
          </cell>
          <cell r="O4006" t="str">
            <v>br@princehenrys.worcs.sch.uk</v>
          </cell>
          <cell r="P4006">
            <v>40514</v>
          </cell>
        </row>
        <row r="4007">
          <cell r="A4007">
            <v>3304241</v>
          </cell>
          <cell r="B4007">
            <v>103517</v>
          </cell>
          <cell r="C4007">
            <v>330</v>
          </cell>
          <cell r="D4007" t="str">
            <v>Birmingham</v>
          </cell>
          <cell r="E4007">
            <v>4241</v>
          </cell>
          <cell r="F4007" t="str">
            <v>Hannah Copp</v>
          </cell>
          <cell r="G4007" t="str">
            <v>Holyhead School</v>
          </cell>
          <cell r="H4007" t="str">
            <v>West Midlands</v>
          </cell>
          <cell r="I4007" t="str">
            <v>Milestone Lane</v>
          </cell>
          <cell r="J4007" t="str">
            <v>Handsworth</v>
          </cell>
          <cell r="L4007" t="str">
            <v>Birmingham</v>
          </cell>
          <cell r="M4007" t="str">
            <v>West Midlands</v>
          </cell>
          <cell r="N4007" t="str">
            <v>B21 0HN</v>
          </cell>
          <cell r="O4007" t="str">
            <v>mbayliss@holyheadschool.com</v>
          </cell>
          <cell r="P4007">
            <v>40617</v>
          </cell>
        </row>
        <row r="4008">
          <cell r="A4008">
            <v>8453043</v>
          </cell>
          <cell r="B4008">
            <v>114512</v>
          </cell>
          <cell r="C4008">
            <v>845</v>
          </cell>
          <cell r="D4008" t="str">
            <v>East Sussex</v>
          </cell>
          <cell r="E4008">
            <v>3043</v>
          </cell>
          <cell r="F4008" t="str">
            <v>Sarah Mitchell</v>
          </cell>
          <cell r="G4008" t="str">
            <v>Mayfield Church of England Primary School</v>
          </cell>
          <cell r="H4008" t="str">
            <v>South East</v>
          </cell>
          <cell r="I4008" t="str">
            <v>Fletching Street</v>
          </cell>
          <cell r="L4008" t="str">
            <v>Mayfield</v>
          </cell>
          <cell r="M4008" t="str">
            <v>East Sussex</v>
          </cell>
          <cell r="N4008" t="str">
            <v>TN20 6TA</v>
          </cell>
          <cell r="O4008" t="str">
            <v>suehooper26@hotmail.co.uk</v>
          </cell>
        </row>
        <row r="4009">
          <cell r="A4009">
            <v>9253086</v>
          </cell>
          <cell r="B4009">
            <v>120547</v>
          </cell>
          <cell r="C4009">
            <v>925</v>
          </cell>
          <cell r="D4009" t="str">
            <v>Lincolnshire</v>
          </cell>
          <cell r="E4009">
            <v>3086</v>
          </cell>
          <cell r="F4009" t="str">
            <v>Helen Whetter</v>
          </cell>
          <cell r="G4009" t="str">
            <v>The Fishtoft School</v>
          </cell>
          <cell r="H4009" t="str">
            <v>East Midlands</v>
          </cell>
          <cell r="I4009" t="str">
            <v>Gaysfield Road</v>
          </cell>
          <cell r="J4009" t="str">
            <v>Fishtoft</v>
          </cell>
          <cell r="L4009" t="str">
            <v>Boston</v>
          </cell>
          <cell r="M4009" t="str">
            <v>Lincolnshire</v>
          </cell>
          <cell r="N4009" t="str">
            <v>PE21 0SF</v>
          </cell>
          <cell r="O4009" t="str">
            <v>carol.clare@phoenixfederation.co.uk</v>
          </cell>
        </row>
        <row r="4010">
          <cell r="A4010">
            <v>3523424</v>
          </cell>
          <cell r="B4010">
            <v>105522</v>
          </cell>
          <cell r="C4010">
            <v>352</v>
          </cell>
          <cell r="D4010" t="str">
            <v>Manchester</v>
          </cell>
          <cell r="E4010">
            <v>3424</v>
          </cell>
          <cell r="F4010" t="str">
            <v>Stuart Mepham</v>
          </cell>
          <cell r="G4010" t="str">
            <v>St Anthony's Catholic Primary School</v>
          </cell>
          <cell r="H4010" t="str">
            <v>North West</v>
          </cell>
          <cell r="I4010" t="str">
            <v>Dunkery Road</v>
          </cell>
          <cell r="J4010" t="str">
            <v>Woodhouse Park</v>
          </cell>
          <cell r="L4010" t="str">
            <v>Manchester</v>
          </cell>
          <cell r="N4010" t="str">
            <v>M22 0NT</v>
          </cell>
          <cell r="O4010" t="str">
            <v>Head@st-anthonys.manchester.sch.uk</v>
          </cell>
          <cell r="P4010">
            <v>41232</v>
          </cell>
        </row>
        <row r="4011">
          <cell r="A4011">
            <v>8613406</v>
          </cell>
          <cell r="B4011">
            <v>124318</v>
          </cell>
          <cell r="C4011">
            <v>861</v>
          </cell>
          <cell r="D4011" t="str">
            <v>Stoke-on-Trent</v>
          </cell>
          <cell r="E4011">
            <v>3406</v>
          </cell>
          <cell r="F4011" t="str">
            <v>Frances Blow</v>
          </cell>
          <cell r="G4011" t="str">
            <v>St George and St Martin's Catholic Primary School</v>
          </cell>
          <cell r="H4011" t="str">
            <v>West Midlands</v>
          </cell>
          <cell r="I4011" t="str">
            <v>Boulton Street</v>
          </cell>
          <cell r="J4011" t="str">
            <v>Birches Head</v>
          </cell>
          <cell r="L4011" t="str">
            <v>Stoke-on-Trent</v>
          </cell>
          <cell r="M4011" t="str">
            <v>Staffordshire</v>
          </cell>
          <cell r="N4011" t="str">
            <v>ST1 2NQ</v>
          </cell>
          <cell r="O4011" t="str">
            <v>dfarmer@sgfl.org.uk</v>
          </cell>
          <cell r="P4011">
            <v>41199</v>
          </cell>
        </row>
        <row r="4012">
          <cell r="A4012">
            <v>8252126</v>
          </cell>
          <cell r="B4012">
            <v>110260</v>
          </cell>
          <cell r="C4012">
            <v>825</v>
          </cell>
          <cell r="D4012" t="str">
            <v>Buckinghamshire</v>
          </cell>
          <cell r="E4012">
            <v>2126</v>
          </cell>
          <cell r="F4012" t="str">
            <v>Darren Francis</v>
          </cell>
          <cell r="G4012" t="str">
            <v>Booker Hill School</v>
          </cell>
          <cell r="H4012" t="str">
            <v>South East</v>
          </cell>
          <cell r="I4012" t="str">
            <v>Field Road</v>
          </cell>
          <cell r="L4012" t="str">
            <v>High Wycombe</v>
          </cell>
          <cell r="M4012" t="str">
            <v>Buckinghamshire</v>
          </cell>
          <cell r="N4012" t="str">
            <v>HP12 4LR</v>
          </cell>
          <cell r="O4012" t="str">
            <v>head@bookerhill.bucks.sch.uk</v>
          </cell>
        </row>
        <row r="4013">
          <cell r="A4013">
            <v>3064031</v>
          </cell>
          <cell r="B4013">
            <v>101806</v>
          </cell>
          <cell r="C4013">
            <v>306</v>
          </cell>
          <cell r="D4013" t="str">
            <v>Croydon</v>
          </cell>
          <cell r="E4013">
            <v>4031</v>
          </cell>
          <cell r="F4013" t="str">
            <v>Kiran Teli</v>
          </cell>
          <cell r="G4013" t="str">
            <v>Woodcote High School</v>
          </cell>
          <cell r="H4013" t="str">
            <v>London</v>
          </cell>
          <cell r="I4013" t="str">
            <v>Meadow Rise</v>
          </cell>
          <cell r="L4013" t="str">
            <v>Coulsdon</v>
          </cell>
          <cell r="M4013" t="str">
            <v>Surrey</v>
          </cell>
          <cell r="N4013" t="str">
            <v>CR5 2EH</v>
          </cell>
          <cell r="O4013" t="str">
            <v>m.southworth@woodcote.croydon.sch.uk</v>
          </cell>
          <cell r="P4013">
            <v>40948</v>
          </cell>
        </row>
        <row r="4014">
          <cell r="A4014">
            <v>9252202</v>
          </cell>
          <cell r="B4014">
            <v>120484</v>
          </cell>
          <cell r="C4014">
            <v>925</v>
          </cell>
          <cell r="D4014" t="str">
            <v>Lincolnshire</v>
          </cell>
          <cell r="E4014">
            <v>2202</v>
          </cell>
          <cell r="F4014" t="str">
            <v>Grant Dyson</v>
          </cell>
          <cell r="G4014" t="str">
            <v>The Utterby Primary School</v>
          </cell>
          <cell r="H4014" t="str">
            <v>East Midlands</v>
          </cell>
          <cell r="I4014" t="str">
            <v>Utterby</v>
          </cell>
          <cell r="L4014" t="str">
            <v>Louth</v>
          </cell>
          <cell r="M4014" t="str">
            <v>Lincolnshire</v>
          </cell>
          <cell r="N4014" t="str">
            <v>LN11 0TN</v>
          </cell>
          <cell r="O4014" t="str">
            <v>sarah.hall@utterby.lincs.sch.uk</v>
          </cell>
          <cell r="P4014">
            <v>41068</v>
          </cell>
        </row>
        <row r="4015">
          <cell r="A4015">
            <v>8654075</v>
          </cell>
          <cell r="B4015">
            <v>126462</v>
          </cell>
          <cell r="C4015">
            <v>865</v>
          </cell>
          <cell r="D4015" t="str">
            <v>Wiltshire</v>
          </cell>
          <cell r="E4015">
            <v>4075</v>
          </cell>
          <cell r="F4015" t="str">
            <v>Niko Thomas</v>
          </cell>
          <cell r="G4015" t="str">
            <v>The John of Gaunt School</v>
          </cell>
          <cell r="H4015" t="str">
            <v>South West</v>
          </cell>
          <cell r="I4015" t="str">
            <v>Wingfield Road</v>
          </cell>
          <cell r="L4015" t="str">
            <v>Trowbridge</v>
          </cell>
          <cell r="M4015" t="str">
            <v>Wiltshire</v>
          </cell>
          <cell r="N4015" t="str">
            <v>BA14 9EH</v>
          </cell>
          <cell r="O4015" t="str">
            <v>snichols@johnofgaunt.wilts.sch.uk</v>
          </cell>
          <cell r="P4015">
            <v>40641</v>
          </cell>
        </row>
        <row r="4016">
          <cell r="A4016">
            <v>8353052</v>
          </cell>
          <cell r="B4016">
            <v>113778</v>
          </cell>
          <cell r="C4016">
            <v>835</v>
          </cell>
          <cell r="D4016" t="str">
            <v>Dorset</v>
          </cell>
          <cell r="E4016">
            <v>3052</v>
          </cell>
          <cell r="F4016" t="str">
            <v>Theresa Oddelm</v>
          </cell>
          <cell r="G4016" t="str">
            <v>Shaftesbury Church of England Primary School</v>
          </cell>
          <cell r="H4016" t="str">
            <v>South West</v>
          </cell>
          <cell r="I4016" t="str">
            <v>Wincombe Lane</v>
          </cell>
          <cell r="L4016" t="str">
            <v>Shaftesbury</v>
          </cell>
          <cell r="M4016" t="str">
            <v>Dorset</v>
          </cell>
          <cell r="N4016" t="str">
            <v>SP7 8PZ</v>
          </cell>
          <cell r="O4016" t="str">
            <v>rlarter@shaftesburyprimary.dorset.sch.uk</v>
          </cell>
        </row>
        <row r="4017">
          <cell r="A4017">
            <v>8101103</v>
          </cell>
          <cell r="B4017">
            <v>132026</v>
          </cell>
          <cell r="C4017">
            <v>810</v>
          </cell>
          <cell r="D4017" t="str">
            <v>Kingston upon Hull City of</v>
          </cell>
          <cell r="E4017">
            <v>1103</v>
          </cell>
          <cell r="F4017" t="str">
            <v>Linda Tiley</v>
          </cell>
          <cell r="G4017" t="str">
            <v>Ashwell Pupil Referral Unit</v>
          </cell>
          <cell r="H4017" t="str">
            <v>Yorkshire and the Humber</v>
          </cell>
          <cell r="I4017" t="str">
            <v>Snowdon Way</v>
          </cell>
          <cell r="J4017" t="str">
            <v>Bransholme</v>
          </cell>
          <cell r="L4017" t="str">
            <v>Hull</v>
          </cell>
          <cell r="N4017" t="str">
            <v>HU7 5DS</v>
          </cell>
          <cell r="O4017" t="str">
            <v>admin@ashwell.hull.sch.uk</v>
          </cell>
          <cell r="P4017">
            <v>41173</v>
          </cell>
        </row>
        <row r="4018">
          <cell r="A4018">
            <v>8012044</v>
          </cell>
          <cell r="B4018">
            <v>108937</v>
          </cell>
          <cell r="C4018">
            <v>801</v>
          </cell>
          <cell r="D4018" t="str">
            <v>Bristol City of</v>
          </cell>
          <cell r="E4018">
            <v>2044</v>
          </cell>
          <cell r="F4018" t="str">
            <v>Theresa Oddelm</v>
          </cell>
          <cell r="G4018" t="str">
            <v>Hotwells Primary School</v>
          </cell>
          <cell r="H4018" t="str">
            <v>South West</v>
          </cell>
          <cell r="I4018" t="str">
            <v>Hope Chapel Hill</v>
          </cell>
          <cell r="L4018" t="str">
            <v>Bristol</v>
          </cell>
          <cell r="N4018" t="str">
            <v>BS8 4ND</v>
          </cell>
          <cell r="O4018" t="str">
            <v>headhotwellsp@bristol.gov.uk</v>
          </cell>
          <cell r="P4018">
            <v>41233</v>
          </cell>
        </row>
        <row r="4019">
          <cell r="A4019">
            <v>8304052</v>
          </cell>
          <cell r="B4019">
            <v>112934</v>
          </cell>
          <cell r="C4019">
            <v>830</v>
          </cell>
          <cell r="D4019" t="str">
            <v>Derbyshire</v>
          </cell>
          <cell r="E4019">
            <v>4052</v>
          </cell>
          <cell r="F4019" t="str">
            <v>Tahir Shams</v>
          </cell>
          <cell r="G4019" t="str">
            <v>The Long Eaton School</v>
          </cell>
          <cell r="H4019" t="str">
            <v>East Midlands</v>
          </cell>
          <cell r="I4019" t="str">
            <v>Thoresby Road</v>
          </cell>
          <cell r="J4019" t="str">
            <v>Long Eaton</v>
          </cell>
          <cell r="L4019" t="str">
            <v>Nottingham</v>
          </cell>
          <cell r="M4019" t="str">
            <v>Nottinghamshire</v>
          </cell>
          <cell r="N4019" t="str">
            <v>NG10 3NP</v>
          </cell>
          <cell r="O4019" t="str">
            <v>ncalvert@longeaton.derbyshire.sch.uk</v>
          </cell>
          <cell r="P4019">
            <v>40427</v>
          </cell>
        </row>
        <row r="4020">
          <cell r="A4020">
            <v>3445401</v>
          </cell>
          <cell r="B4020">
            <v>105113</v>
          </cell>
          <cell r="C4020">
            <v>344</v>
          </cell>
          <cell r="D4020" t="str">
            <v>Wirral</v>
          </cell>
          <cell r="E4020">
            <v>5401</v>
          </cell>
          <cell r="F4020" t="str">
            <v>Maria Sabberton</v>
          </cell>
          <cell r="G4020" t="str">
            <v>Wirral Grammar School for Boys</v>
          </cell>
          <cell r="H4020" t="str">
            <v>North West</v>
          </cell>
          <cell r="I4020" t="str">
            <v>Cross Lane</v>
          </cell>
          <cell r="J4020" t="str">
            <v>Bebington</v>
          </cell>
          <cell r="L4020" t="str">
            <v>Wirral</v>
          </cell>
          <cell r="M4020" t="str">
            <v>Merseyside</v>
          </cell>
          <cell r="N4020" t="str">
            <v>CH63 3AQ</v>
          </cell>
          <cell r="O4020" t="str">
            <v>dhazeldine@wirralgrammarboys.com</v>
          </cell>
          <cell r="P4020">
            <v>40533</v>
          </cell>
        </row>
        <row r="4021">
          <cell r="A4021">
            <v>3202007</v>
          </cell>
          <cell r="B4021">
            <v>103037</v>
          </cell>
          <cell r="C4021">
            <v>320</v>
          </cell>
          <cell r="D4021" t="str">
            <v>Waltham Forest</v>
          </cell>
          <cell r="E4021">
            <v>2007</v>
          </cell>
          <cell r="F4021" t="str">
            <v>Selina White</v>
          </cell>
          <cell r="G4021" t="str">
            <v>Yardley Primary School</v>
          </cell>
          <cell r="H4021" t="str">
            <v>London</v>
          </cell>
          <cell r="I4021" t="str">
            <v>Hawkwood Crescent</v>
          </cell>
          <cell r="L4021" t="str">
            <v>London</v>
          </cell>
          <cell r="N4021" t="str">
            <v>E4 7PH</v>
          </cell>
          <cell r="O4021" t="str">
            <v>norman.clear@yardley.waltham.sch.uk</v>
          </cell>
          <cell r="P4021">
            <v>40359</v>
          </cell>
        </row>
        <row r="4022">
          <cell r="A4022">
            <v>3302452</v>
          </cell>
          <cell r="B4022">
            <v>103379</v>
          </cell>
          <cell r="C4022">
            <v>330</v>
          </cell>
          <cell r="D4022" t="str">
            <v>Birmingham</v>
          </cell>
          <cell r="E4022">
            <v>2452</v>
          </cell>
          <cell r="F4022" t="str">
            <v>Carol Ions</v>
          </cell>
          <cell r="G4022" t="str">
            <v>Pegasus Primary School</v>
          </cell>
          <cell r="H4022" t="str">
            <v>West Midlands</v>
          </cell>
          <cell r="I4022" t="str">
            <v>Turnhouse Road</v>
          </cell>
          <cell r="J4022" t="str">
            <v>Castle Vale</v>
          </cell>
          <cell r="L4022" t="str">
            <v>Birmingham</v>
          </cell>
          <cell r="M4022" t="str">
            <v>West Midlands</v>
          </cell>
          <cell r="N4022" t="str">
            <v>B35 6PR</v>
          </cell>
          <cell r="O4022" t="str">
            <v>r.lee@pegasus.bham.sch.uk</v>
          </cell>
          <cell r="P4022">
            <v>41234</v>
          </cell>
        </row>
        <row r="4023">
          <cell r="A4023">
            <v>8913789</v>
          </cell>
          <cell r="B4023">
            <v>109309</v>
          </cell>
          <cell r="C4023">
            <v>891</v>
          </cell>
          <cell r="D4023" t="str">
            <v>Nottinghamshire</v>
          </cell>
          <cell r="E4023">
            <v>3789</v>
          </cell>
          <cell r="F4023" t="str">
            <v>Pauline Cole</v>
          </cell>
          <cell r="G4023" t="str">
            <v>Brookhill Leys Nursery and Primary School</v>
          </cell>
          <cell r="H4023" t="str">
            <v>East Midlands</v>
          </cell>
          <cell r="I4023" t="str">
            <v>Chewton Street</v>
          </cell>
          <cell r="J4023" t="str">
            <v>Eastwood</v>
          </cell>
          <cell r="L4023" t="str">
            <v>Nottingham</v>
          </cell>
          <cell r="M4023" t="str">
            <v>Nottinghamshire</v>
          </cell>
          <cell r="N4023" t="str">
            <v>NG16 3HB</v>
          </cell>
          <cell r="O4023" t="str">
            <v>head@brookhillleysprimary.notts.sch.uk</v>
          </cell>
        </row>
        <row r="4024">
          <cell r="A4024">
            <v>8864249</v>
          </cell>
          <cell r="B4024">
            <v>131245</v>
          </cell>
          <cell r="C4024">
            <v>886</v>
          </cell>
          <cell r="D4024" t="str">
            <v>Kent</v>
          </cell>
          <cell r="E4024">
            <v>4249</v>
          </cell>
          <cell r="F4024" t="str">
            <v>Sarah Mitchell</v>
          </cell>
          <cell r="G4024" t="str">
            <v>Valley Park Community School (in federation with Invicta Grammar School)</v>
          </cell>
          <cell r="H4024" t="str">
            <v>South East</v>
          </cell>
          <cell r="I4024" t="str">
            <v>Huntsman Lane</v>
          </cell>
          <cell r="L4024" t="str">
            <v>Maidstone</v>
          </cell>
          <cell r="M4024" t="str">
            <v>Kent</v>
          </cell>
          <cell r="N4024" t="str">
            <v>ME14 5DT</v>
          </cell>
          <cell r="O4024" t="str">
            <v>p.limbert@invicta.kent.sch.uk</v>
          </cell>
          <cell r="P4024">
            <v>40547</v>
          </cell>
        </row>
        <row r="4025">
          <cell r="A4025">
            <v>3357013</v>
          </cell>
          <cell r="B4025">
            <v>135460</v>
          </cell>
          <cell r="C4025">
            <v>335</v>
          </cell>
          <cell r="D4025" t="str">
            <v>Walsall</v>
          </cell>
          <cell r="E4025">
            <v>7013</v>
          </cell>
          <cell r="F4025" t="str">
            <v>Tony Bretherick</v>
          </cell>
          <cell r="G4025" t="str">
            <v>Phoenix Primary EBD School</v>
          </cell>
          <cell r="H4025" t="str">
            <v>West Midlands</v>
          </cell>
          <cell r="I4025" t="str">
            <v>Odell Road</v>
          </cell>
          <cell r="J4025" t="str">
            <v>Leamore</v>
          </cell>
          <cell r="L4025" t="str">
            <v>Walsall</v>
          </cell>
          <cell r="M4025" t="str">
            <v>West Midlands</v>
          </cell>
          <cell r="N4025" t="str">
            <v>WS3 2ED</v>
          </cell>
          <cell r="O4025" t="str">
            <v>ntoplass@phoenix.walsall.sch.uk</v>
          </cell>
          <cell r="P4025">
            <v>40869</v>
          </cell>
        </row>
        <row r="4026">
          <cell r="A4026">
            <v>3304206</v>
          </cell>
          <cell r="B4026">
            <v>103504</v>
          </cell>
          <cell r="C4026">
            <v>330</v>
          </cell>
          <cell r="D4026" t="str">
            <v>Birmingham</v>
          </cell>
          <cell r="E4026">
            <v>4206</v>
          </cell>
          <cell r="F4026" t="str">
            <v>Christine West</v>
          </cell>
          <cell r="G4026" t="str">
            <v>Stockland Green School</v>
          </cell>
          <cell r="H4026" t="str">
            <v>West Midlands</v>
          </cell>
          <cell r="I4026" t="str">
            <v>Slade Road</v>
          </cell>
          <cell r="J4026" t="str">
            <v>Erdington</v>
          </cell>
          <cell r="L4026" t="str">
            <v>Birmingham</v>
          </cell>
          <cell r="M4026" t="str">
            <v>West Midlands</v>
          </cell>
          <cell r="N4026" t="str">
            <v>B23 7JH</v>
          </cell>
          <cell r="O4026" t="str">
            <v>tsmith@arthurterry.bham.sch.uk</v>
          </cell>
          <cell r="P4026">
            <v>40506</v>
          </cell>
        </row>
        <row r="4027">
          <cell r="A4027">
            <v>8653466</v>
          </cell>
          <cell r="B4027">
            <v>134992</v>
          </cell>
          <cell r="C4027">
            <v>865</v>
          </cell>
          <cell r="D4027" t="str">
            <v>Wiltshire</v>
          </cell>
          <cell r="E4027">
            <v>3466</v>
          </cell>
          <cell r="F4027" t="str">
            <v>Simon Foster</v>
          </cell>
          <cell r="G4027" t="str">
            <v>The Manor CofE VC Primary School</v>
          </cell>
          <cell r="H4027" t="str">
            <v>South West</v>
          </cell>
          <cell r="I4027" t="str">
            <v>Ruskin Avenue</v>
          </cell>
          <cell r="L4027" t="str">
            <v>Melksham</v>
          </cell>
          <cell r="M4027" t="str">
            <v>Wiltshire</v>
          </cell>
          <cell r="N4027" t="str">
            <v>SN12 7DZ</v>
          </cell>
          <cell r="O4027" t="str">
            <v>head@themanor.wilts.sch.uk</v>
          </cell>
          <cell r="P4027">
            <v>41071</v>
          </cell>
        </row>
        <row r="4028">
          <cell r="A4028">
            <v>8654072</v>
          </cell>
          <cell r="B4028">
            <v>126460</v>
          </cell>
          <cell r="C4028">
            <v>865</v>
          </cell>
          <cell r="D4028" t="str">
            <v>Wiltshire</v>
          </cell>
          <cell r="E4028">
            <v>4072</v>
          </cell>
          <cell r="F4028" t="str">
            <v>Nigel Mills</v>
          </cell>
          <cell r="G4028" t="str">
            <v>Kingdown School / Warminster Kingdown</v>
          </cell>
          <cell r="H4028" t="str">
            <v>South West</v>
          </cell>
          <cell r="I4028" t="str">
            <v>Woodcock Road</v>
          </cell>
          <cell r="L4028" t="str">
            <v>Warminster</v>
          </cell>
          <cell r="M4028" t="str">
            <v>Wiltshire</v>
          </cell>
          <cell r="N4028" t="str">
            <v>BA12 9DR</v>
          </cell>
          <cell r="O4028" t="str">
            <v>ew@kingdown.wilts.sch.uk</v>
          </cell>
          <cell r="P4028">
            <v>40528</v>
          </cell>
        </row>
        <row r="4029">
          <cell r="A4029">
            <v>9254056</v>
          </cell>
          <cell r="B4029">
            <v>120651</v>
          </cell>
          <cell r="C4029">
            <v>925</v>
          </cell>
          <cell r="D4029" t="str">
            <v>Lincolnshire</v>
          </cell>
          <cell r="E4029">
            <v>4056</v>
          </cell>
          <cell r="G4029" t="str">
            <v>Cordeaux School</v>
          </cell>
          <cell r="H4029" t="str">
            <v>East Midlands</v>
          </cell>
          <cell r="I4029" t="str">
            <v>North Holme Road</v>
          </cell>
          <cell r="L4029" t="str">
            <v>Louth</v>
          </cell>
          <cell r="M4029" t="str">
            <v>Lincolnshire</v>
          </cell>
          <cell r="N4029" t="str">
            <v>LN11 0HG</v>
          </cell>
          <cell r="O4029" t="str">
            <v>peterkubicki1957@yahoo.co.uk</v>
          </cell>
        </row>
        <row r="4030">
          <cell r="A4030">
            <v>3912010</v>
          </cell>
          <cell r="B4030">
            <v>108445</v>
          </cell>
          <cell r="C4030">
            <v>391</v>
          </cell>
          <cell r="D4030" t="str">
            <v>Newcastle upon Tyne</v>
          </cell>
          <cell r="E4030">
            <v>2010</v>
          </cell>
          <cell r="F4030" t="str">
            <v>Susan Dean</v>
          </cell>
          <cell r="G4030" t="str">
            <v>Atkinson Road Primary School</v>
          </cell>
          <cell r="H4030" t="str">
            <v>North East</v>
          </cell>
          <cell r="I4030" t="str">
            <v>Atkinson Road</v>
          </cell>
          <cell r="L4030" t="str">
            <v>Newcastle-upon-Tyne</v>
          </cell>
          <cell r="M4030" t="str">
            <v>Tyne and Wear</v>
          </cell>
          <cell r="N4030" t="str">
            <v>NE4 8XT</v>
          </cell>
          <cell r="O4030" t="str">
            <v>Andrea.Oneill@atkinsonrd.newcastle.sch.uk</v>
          </cell>
          <cell r="P4030">
            <v>40863</v>
          </cell>
        </row>
        <row r="4031">
          <cell r="A4031">
            <v>3524753</v>
          </cell>
          <cell r="B4031">
            <v>105574</v>
          </cell>
          <cell r="C4031">
            <v>352</v>
          </cell>
          <cell r="D4031" t="str">
            <v>Manchester</v>
          </cell>
          <cell r="E4031">
            <v>4753</v>
          </cell>
          <cell r="F4031" t="str">
            <v>Christine West</v>
          </cell>
          <cell r="G4031" t="str">
            <v>Loreto High School</v>
          </cell>
          <cell r="H4031" t="str">
            <v>North West</v>
          </cell>
          <cell r="I4031" t="str">
            <v>Nell Lane</v>
          </cell>
          <cell r="J4031" t="str">
            <v>Chorlton-Cum-Hardy</v>
          </cell>
          <cell r="L4031" t="str">
            <v>Manchester</v>
          </cell>
          <cell r="N4031" t="str">
            <v>M21 7SW</v>
          </cell>
          <cell r="O4031" t="str">
            <v>welcome@loretochorlton.manchester.sch.uk</v>
          </cell>
        </row>
        <row r="4032">
          <cell r="A4032">
            <v>3174800</v>
          </cell>
          <cell r="B4032">
            <v>102862</v>
          </cell>
          <cell r="C4032">
            <v>317</v>
          </cell>
          <cell r="D4032" t="str">
            <v>Redbridge</v>
          </cell>
          <cell r="E4032">
            <v>4800</v>
          </cell>
          <cell r="F4032" t="str">
            <v>Anita Bihal</v>
          </cell>
          <cell r="G4032" t="str">
            <v>Canon Palmer Catholic School</v>
          </cell>
          <cell r="H4032" t="str">
            <v>London</v>
          </cell>
          <cell r="I4032" t="str">
            <v>Aldborough Road South</v>
          </cell>
          <cell r="J4032" t="str">
            <v>Seven Kings</v>
          </cell>
          <cell r="L4032" t="str">
            <v>Ilford</v>
          </cell>
          <cell r="M4032" t="str">
            <v>Essex</v>
          </cell>
          <cell r="N4032" t="str">
            <v>IG3 8EU</v>
          </cell>
          <cell r="O4032" t="str">
            <v>frank.maguire@redbridge.gov.uk</v>
          </cell>
          <cell r="P4032">
            <v>40796</v>
          </cell>
        </row>
        <row r="4033">
          <cell r="A4033">
            <v>8864246</v>
          </cell>
          <cell r="B4033">
            <v>118832</v>
          </cell>
          <cell r="C4033">
            <v>886</v>
          </cell>
          <cell r="D4033" t="str">
            <v>Kent</v>
          </cell>
          <cell r="E4033">
            <v>4246</v>
          </cell>
          <cell r="F4033" t="str">
            <v>Tony Dunne</v>
          </cell>
          <cell r="G4033" t="str">
            <v>The North School</v>
          </cell>
          <cell r="H4033" t="str">
            <v>South East</v>
          </cell>
          <cell r="I4033" t="str">
            <v>Essella Road</v>
          </cell>
          <cell r="L4033" t="str">
            <v>Ashford</v>
          </cell>
          <cell r="M4033" t="str">
            <v>Kent</v>
          </cell>
          <cell r="N4033" t="str">
            <v>TN24 8AL</v>
          </cell>
          <cell r="O4033" t="str">
            <v>headteacher@north.kent.sch.uk</v>
          </cell>
          <cell r="P4033">
            <v>40529</v>
          </cell>
        </row>
        <row r="4034">
          <cell r="A4034">
            <v>9083714</v>
          </cell>
          <cell r="B4034">
            <v>112016</v>
          </cell>
          <cell r="C4034">
            <v>908</v>
          </cell>
          <cell r="D4034" t="str">
            <v>Cornwall</v>
          </cell>
          <cell r="E4034">
            <v>3714</v>
          </cell>
          <cell r="F4034" t="str">
            <v>Kate Bosher</v>
          </cell>
          <cell r="G4034" t="str">
            <v>St Winnow CofE School</v>
          </cell>
          <cell r="H4034" t="str">
            <v>South West</v>
          </cell>
          <cell r="I4034" t="str">
            <v>Downend</v>
          </cell>
          <cell r="L4034" t="str">
            <v>Lostwithiel</v>
          </cell>
          <cell r="M4034" t="str">
            <v>Cornwall</v>
          </cell>
          <cell r="N4034" t="str">
            <v>PL22 0RA</v>
          </cell>
          <cell r="O4034" t="str">
            <v>head@st-winnow.cornwall.sch.uk</v>
          </cell>
          <cell r="P4034">
            <v>41171</v>
          </cell>
        </row>
        <row r="4035">
          <cell r="A4035">
            <v>3135400</v>
          </cell>
          <cell r="B4035">
            <v>102544</v>
          </cell>
          <cell r="C4035">
            <v>313</v>
          </cell>
          <cell r="D4035" t="str">
            <v>Hounslow</v>
          </cell>
          <cell r="E4035">
            <v>5400</v>
          </cell>
          <cell r="F4035" t="str">
            <v>Sheila Longstaff</v>
          </cell>
          <cell r="G4035" t="str">
            <v>Gumley House RC Convent School, FCJ</v>
          </cell>
          <cell r="H4035" t="str">
            <v>London</v>
          </cell>
          <cell r="I4035" t="str">
            <v>St John's Road</v>
          </cell>
          <cell r="L4035" t="str">
            <v>Isleworth</v>
          </cell>
          <cell r="N4035" t="str">
            <v>TW7 6XF</v>
          </cell>
          <cell r="O4035" t="str">
            <v>sr.brenda@gumley.hounslow.sch.uk</v>
          </cell>
          <cell r="P4035">
            <v>40911</v>
          </cell>
        </row>
        <row r="4036">
          <cell r="A4036">
            <v>9282228</v>
          </cell>
          <cell r="B4036">
            <v>133550</v>
          </cell>
          <cell r="C4036">
            <v>928</v>
          </cell>
          <cell r="D4036" t="str">
            <v>Northamptonshire</v>
          </cell>
          <cell r="E4036">
            <v>2228</v>
          </cell>
          <cell r="F4036" t="str">
            <v>Stephen Standret</v>
          </cell>
          <cell r="G4036" t="str">
            <v>Woodland View Primary School</v>
          </cell>
          <cell r="H4036" t="str">
            <v>East Midlands</v>
          </cell>
          <cell r="I4036" t="str">
            <v>Off Quintonside</v>
          </cell>
          <cell r="J4036" t="str">
            <v>Grange Park</v>
          </cell>
          <cell r="L4036" t="str">
            <v>Northampton</v>
          </cell>
          <cell r="M4036" t="str">
            <v>Northamptonshire</v>
          </cell>
          <cell r="N4036" t="str">
            <v>NN4 5FZ</v>
          </cell>
          <cell r="O4036" t="str">
            <v>head@woodlandview.northants-ecl.gov.uk</v>
          </cell>
          <cell r="P4036">
            <v>40890</v>
          </cell>
        </row>
        <row r="4037">
          <cell r="A4037">
            <v>9292015</v>
          </cell>
          <cell r="B4037">
            <v>122172</v>
          </cell>
          <cell r="C4037">
            <v>929</v>
          </cell>
          <cell r="D4037" t="str">
            <v>Northumberland</v>
          </cell>
          <cell r="E4037">
            <v>2015</v>
          </cell>
          <cell r="F4037" t="str">
            <v>Alan Large</v>
          </cell>
          <cell r="G4037" t="str">
            <v>Alnwick South First School</v>
          </cell>
          <cell r="H4037" t="str">
            <v>North East</v>
          </cell>
          <cell r="I4037" t="str">
            <v>The Avenue</v>
          </cell>
          <cell r="L4037" t="str">
            <v>Alnwick</v>
          </cell>
          <cell r="M4037" t="str">
            <v>Northumberland</v>
          </cell>
          <cell r="N4037" t="str">
            <v>NE66 1UL</v>
          </cell>
          <cell r="P4037">
            <v>40648</v>
          </cell>
        </row>
        <row r="4038">
          <cell r="A4038">
            <v>3524256</v>
          </cell>
          <cell r="B4038">
            <v>105557</v>
          </cell>
          <cell r="C4038">
            <v>352</v>
          </cell>
          <cell r="D4038" t="str">
            <v>Manchester</v>
          </cell>
          <cell r="E4038">
            <v>4256</v>
          </cell>
          <cell r="F4038" t="str">
            <v>Viv Clutton</v>
          </cell>
          <cell r="G4038" t="str">
            <v>Burnage Media Arts College</v>
          </cell>
          <cell r="H4038" t="str">
            <v>North West</v>
          </cell>
          <cell r="I4038" t="str">
            <v>Burnage Lane</v>
          </cell>
          <cell r="J4038" t="str">
            <v>Burnage</v>
          </cell>
          <cell r="L4038" t="str">
            <v>Manchester</v>
          </cell>
          <cell r="N4038" t="str">
            <v>M19 1ER</v>
          </cell>
          <cell r="O4038" t="str">
            <v>i.fenn@burnage.manchester.sch.uk</v>
          </cell>
        </row>
        <row r="4039">
          <cell r="A4039">
            <v>8865446</v>
          </cell>
          <cell r="B4039">
            <v>118918</v>
          </cell>
          <cell r="C4039">
            <v>886</v>
          </cell>
          <cell r="D4039" t="str">
            <v>Kent</v>
          </cell>
          <cell r="E4039">
            <v>5446</v>
          </cell>
          <cell r="F4039" t="str">
            <v>Tony Dunne</v>
          </cell>
          <cell r="G4039" t="str">
            <v>St Anselm's Catholic School</v>
          </cell>
          <cell r="H4039" t="str">
            <v>South East</v>
          </cell>
          <cell r="I4039" t="str">
            <v>Old Dover Road</v>
          </cell>
          <cell r="L4039" t="str">
            <v>Canterbury</v>
          </cell>
          <cell r="M4039" t="str">
            <v>Kent</v>
          </cell>
          <cell r="N4039" t="str">
            <v>CT1 3EN</v>
          </cell>
          <cell r="O4039" t="str">
            <v>M.walters@st-anselms.org.uk</v>
          </cell>
          <cell r="P4039">
            <v>41247</v>
          </cell>
        </row>
        <row r="4040">
          <cell r="A4040">
            <v>8611102</v>
          </cell>
          <cell r="B4040">
            <v>133178</v>
          </cell>
          <cell r="C4040">
            <v>861</v>
          </cell>
          <cell r="D4040" t="str">
            <v>Stoke-on-Trent</v>
          </cell>
          <cell r="E4040">
            <v>1102</v>
          </cell>
          <cell r="F4040" t="str">
            <v>Nigel Mills</v>
          </cell>
          <cell r="G4040" t="str">
            <v>Reach</v>
          </cell>
          <cell r="H4040" t="str">
            <v>West Midlands</v>
          </cell>
          <cell r="I4040" t="str">
            <v>Piggott Grove</v>
          </cell>
          <cell r="J4040" t="str">
            <v>Bucknall</v>
          </cell>
          <cell r="L4040" t="str">
            <v>Stoke-on-Trent</v>
          </cell>
          <cell r="M4040" t="str">
            <v>Staffordshire</v>
          </cell>
          <cell r="N4040" t="str">
            <v>ST2 9BZ</v>
          </cell>
          <cell r="O4040" t="str">
            <v>lmatley@sgfl.org.uk</v>
          </cell>
        </row>
        <row r="4041">
          <cell r="A4041">
            <v>8962701</v>
          </cell>
          <cell r="B4041">
            <v>111218</v>
          </cell>
          <cell r="C4041">
            <v>896</v>
          </cell>
          <cell r="D4041" t="str">
            <v>Cheshire West and Chester</v>
          </cell>
          <cell r="E4041">
            <v>2701</v>
          </cell>
          <cell r="F4041" t="str">
            <v>Kris Nursiah</v>
          </cell>
          <cell r="G4041" t="str">
            <v>Dee Point Primary School</v>
          </cell>
          <cell r="H4041" t="str">
            <v>North West</v>
          </cell>
          <cell r="I4041" t="str">
            <v>Blacon Point Road</v>
          </cell>
          <cell r="J4041" t="str">
            <v>Blacon</v>
          </cell>
          <cell r="L4041" t="str">
            <v>Chester</v>
          </cell>
          <cell r="M4041" t="str">
            <v>Cheshire</v>
          </cell>
          <cell r="N4041" t="str">
            <v>CH1 5NF</v>
          </cell>
          <cell r="O4041" t="str">
            <v>head@deepointprimary.cheshire.sch.uk</v>
          </cell>
        </row>
        <row r="4042">
          <cell r="A4042">
            <v>8354604</v>
          </cell>
          <cell r="B4042">
            <v>113891</v>
          </cell>
          <cell r="C4042">
            <v>835</v>
          </cell>
          <cell r="D4042" t="str">
            <v>Dorset</v>
          </cell>
          <cell r="E4042">
            <v>4604</v>
          </cell>
          <cell r="F4042" t="str">
            <v>Tahamina Khan</v>
          </cell>
          <cell r="G4042" t="str">
            <v>St Michael's Church of England Voluntary Aided Middle School, Colehill</v>
          </cell>
          <cell r="H4042" t="str">
            <v>South West</v>
          </cell>
          <cell r="I4042" t="str">
            <v>Colehill Lane</v>
          </cell>
          <cell r="J4042" t="str">
            <v>Colehill</v>
          </cell>
          <cell r="L4042" t="str">
            <v>Wimborne</v>
          </cell>
          <cell r="M4042" t="str">
            <v>Dorset</v>
          </cell>
          <cell r="N4042" t="str">
            <v>BH21 7AB</v>
          </cell>
          <cell r="O4042" t="str">
            <v>office@stmichaelscolehill.dorset.sch.uk</v>
          </cell>
        </row>
        <row r="4043">
          <cell r="A4043">
            <v>9081104</v>
          </cell>
          <cell r="B4043">
            <v>134755</v>
          </cell>
          <cell r="C4043">
            <v>908</v>
          </cell>
          <cell r="D4043" t="str">
            <v>Cornwall</v>
          </cell>
          <cell r="E4043">
            <v>1104</v>
          </cell>
          <cell r="F4043" t="str">
            <v>Nigel Mills</v>
          </cell>
          <cell r="G4043" t="str">
            <v>Nine Maidens Short Stay School</v>
          </cell>
          <cell r="H4043" t="str">
            <v>South West</v>
          </cell>
          <cell r="I4043" t="str">
            <v>Nine Maiden</v>
          </cell>
          <cell r="J4043" t="str">
            <v>Four Lanes</v>
          </cell>
          <cell r="L4043" t="str">
            <v>Redruth</v>
          </cell>
          <cell r="N4043" t="str">
            <v>TR16 6ND</v>
          </cell>
          <cell r="O4043" t="str">
            <v>rgasson@cornwall.gov.uk</v>
          </cell>
          <cell r="P4043">
            <v>41019</v>
          </cell>
        </row>
        <row r="4044">
          <cell r="A4044">
            <v>8734004</v>
          </cell>
          <cell r="B4044">
            <v>110861</v>
          </cell>
          <cell r="C4044">
            <v>873</v>
          </cell>
          <cell r="D4044" t="str">
            <v>Cambridgeshire</v>
          </cell>
          <cell r="E4044">
            <v>4004</v>
          </cell>
          <cell r="F4044" t="str">
            <v>June Laughton</v>
          </cell>
          <cell r="G4044" t="str">
            <v>Impington Village College</v>
          </cell>
          <cell r="H4044" t="str">
            <v>East of England</v>
          </cell>
          <cell r="I4044" t="str">
            <v>New Road</v>
          </cell>
          <cell r="J4044" t="str">
            <v>Impington</v>
          </cell>
          <cell r="L4044" t="str">
            <v>Cambridge</v>
          </cell>
          <cell r="M4044" t="str">
            <v>Cambridgeshire</v>
          </cell>
          <cell r="N4044" t="str">
            <v>CB4 9LX</v>
          </cell>
          <cell r="O4044" t="str">
            <v>fdifranco@impington.cambs.sch.uk</v>
          </cell>
          <cell r="P4044">
            <v>40820</v>
          </cell>
        </row>
        <row r="4045">
          <cell r="A4045">
            <v>8862233</v>
          </cell>
          <cell r="B4045">
            <v>118343</v>
          </cell>
          <cell r="C4045">
            <v>886</v>
          </cell>
          <cell r="D4045" t="str">
            <v>Kent</v>
          </cell>
          <cell r="E4045">
            <v>2233</v>
          </cell>
          <cell r="F4045" t="str">
            <v>Maryam Jabbari</v>
          </cell>
          <cell r="G4045" t="str">
            <v>Lynsted and Norton Primary School/ The Village Academy</v>
          </cell>
          <cell r="H4045" t="str">
            <v>South East</v>
          </cell>
          <cell r="I4045" t="str">
            <v>Lynsted Lane</v>
          </cell>
          <cell r="J4045" t="str">
            <v>Lynsted</v>
          </cell>
          <cell r="L4045" t="str">
            <v>Sittingbourne</v>
          </cell>
          <cell r="M4045" t="str">
            <v>Kent</v>
          </cell>
          <cell r="N4045" t="str">
            <v>ME9 0RL</v>
          </cell>
          <cell r="O4045" t="str">
            <v>ian.fidge@klz.org.uk</v>
          </cell>
          <cell r="P4045">
            <v>40618</v>
          </cell>
        </row>
        <row r="4046">
          <cell r="A4046">
            <v>3202040</v>
          </cell>
          <cell r="B4046">
            <v>103056</v>
          </cell>
          <cell r="C4046">
            <v>320</v>
          </cell>
          <cell r="D4046" t="str">
            <v>Waltham Forest</v>
          </cell>
          <cell r="E4046">
            <v>2040</v>
          </cell>
          <cell r="F4046" t="str">
            <v>Selina White</v>
          </cell>
          <cell r="G4046" t="str">
            <v>Roger Ascham Primary School</v>
          </cell>
          <cell r="H4046" t="str">
            <v>London</v>
          </cell>
          <cell r="I4046" t="str">
            <v>Wigton Road</v>
          </cell>
          <cell r="L4046" t="str">
            <v>London</v>
          </cell>
          <cell r="N4046" t="str">
            <v>E17 5HU</v>
          </cell>
          <cell r="O4046" t="str">
            <v>n/k</v>
          </cell>
          <cell r="P4046">
            <v>40359</v>
          </cell>
        </row>
        <row r="4047">
          <cell r="A4047">
            <v>9253044</v>
          </cell>
          <cell r="B4047">
            <v>120531</v>
          </cell>
          <cell r="C4047">
            <v>925</v>
          </cell>
          <cell r="D4047" t="str">
            <v>Lincolnshire</v>
          </cell>
          <cell r="E4047">
            <v>3044</v>
          </cell>
          <cell r="F4047" t="str">
            <v>Grant Dyson</v>
          </cell>
          <cell r="G4047" t="str">
            <v>The Morton Church of England (Controlled) Primary School</v>
          </cell>
          <cell r="H4047" t="str">
            <v>East Midlands</v>
          </cell>
          <cell r="I4047" t="str">
            <v>Station Road</v>
          </cell>
          <cell r="J4047" t="str">
            <v>Morton</v>
          </cell>
          <cell r="L4047" t="str">
            <v>Bourne</v>
          </cell>
          <cell r="M4047" t="str">
            <v>Lincolnshire</v>
          </cell>
          <cell r="N4047" t="str">
            <v>PE10 0NN</v>
          </cell>
          <cell r="O4047" t="str">
            <v>George.Trafford@morton.lincs.sch.uk</v>
          </cell>
        </row>
        <row r="4048">
          <cell r="A4048">
            <v>9093362</v>
          </cell>
          <cell r="B4048">
            <v>112321</v>
          </cell>
          <cell r="C4048">
            <v>909</v>
          </cell>
          <cell r="D4048" t="str">
            <v>Cumbria</v>
          </cell>
          <cell r="E4048">
            <v>3362</v>
          </cell>
          <cell r="G4048" t="str">
            <v>Langdale CofE School</v>
          </cell>
          <cell r="H4048" t="str">
            <v>North West</v>
          </cell>
          <cell r="I4048" t="str">
            <v>Chapel Stile</v>
          </cell>
          <cell r="J4048" t="str">
            <v>Great Langdale</v>
          </cell>
          <cell r="L4048" t="str">
            <v>Ambleside</v>
          </cell>
          <cell r="M4048" t="str">
            <v>Cumbria</v>
          </cell>
          <cell r="N4048" t="str">
            <v>LA22 9JE</v>
          </cell>
          <cell r="O4048" t="str">
            <v>mark.squires@langdale.cumbria.sch.uk</v>
          </cell>
        </row>
        <row r="4049">
          <cell r="A4049">
            <v>9333484</v>
          </cell>
          <cell r="B4049">
            <v>123854</v>
          </cell>
          <cell r="C4049">
            <v>933</v>
          </cell>
          <cell r="D4049" t="str">
            <v>Somerset</v>
          </cell>
          <cell r="E4049">
            <v>3484</v>
          </cell>
          <cell r="F4049" t="str">
            <v>Theresa Oddelm</v>
          </cell>
          <cell r="G4049" t="str">
            <v>South Petherton Church of England Infants School</v>
          </cell>
          <cell r="H4049" t="str">
            <v>South West</v>
          </cell>
          <cell r="I4049" t="str">
            <v>Church Path</v>
          </cell>
          <cell r="J4049" t="str">
            <v>Hele Lane</v>
          </cell>
          <cell r="L4049" t="str">
            <v>South Petherton</v>
          </cell>
          <cell r="M4049" t="str">
            <v>Somerset</v>
          </cell>
          <cell r="N4049" t="str">
            <v>TA13 5DY</v>
          </cell>
          <cell r="O4049" t="str">
            <v>lfarley@educ.somerset.gov.uk</v>
          </cell>
        </row>
        <row r="4050">
          <cell r="A4050">
            <v>9332319</v>
          </cell>
          <cell r="B4050">
            <v>123729</v>
          </cell>
          <cell r="C4050">
            <v>933</v>
          </cell>
          <cell r="D4050" t="str">
            <v>Somerset</v>
          </cell>
          <cell r="E4050">
            <v>2319</v>
          </cell>
          <cell r="F4050" t="str">
            <v>Lilian Da Cunha</v>
          </cell>
          <cell r="G4050" t="str">
            <v>Grass Royal Junior School</v>
          </cell>
          <cell r="H4050" t="str">
            <v>South West</v>
          </cell>
          <cell r="I4050" t="str">
            <v>Grass Royal</v>
          </cell>
          <cell r="L4050" t="str">
            <v>Yeovil</v>
          </cell>
          <cell r="M4050" t="str">
            <v>Somerset</v>
          </cell>
          <cell r="N4050" t="str">
            <v>BA21 4JW</v>
          </cell>
          <cell r="O4050" t="str">
            <v>JBarrett2@educ.somerset.gov.uk</v>
          </cell>
          <cell r="P4050">
            <v>41037</v>
          </cell>
        </row>
        <row r="4051">
          <cell r="A4051">
            <v>8262277</v>
          </cell>
          <cell r="B4051">
            <v>110348</v>
          </cell>
          <cell r="C4051">
            <v>826</v>
          </cell>
          <cell r="D4051" t="str">
            <v>Milton Keynes</v>
          </cell>
          <cell r="E4051">
            <v>2277</v>
          </cell>
          <cell r="F4051" t="str">
            <v>Sarah Nairne</v>
          </cell>
          <cell r="G4051" t="str">
            <v>Simpson School</v>
          </cell>
          <cell r="H4051" t="str">
            <v>South East</v>
          </cell>
          <cell r="I4051" t="str">
            <v>Old Groveway</v>
          </cell>
          <cell r="J4051" t="str">
            <v>Simpson</v>
          </cell>
          <cell r="L4051" t="str">
            <v>Milton Keynes</v>
          </cell>
          <cell r="M4051" t="str">
            <v>Buckinghamshire</v>
          </cell>
          <cell r="N4051" t="str">
            <v>MK6 3AZ</v>
          </cell>
          <cell r="O4051" t="str">
            <v>simpsonschool@milton-keynes.gov.uk</v>
          </cell>
        </row>
        <row r="4052">
          <cell r="A4052">
            <v>9333353</v>
          </cell>
          <cell r="B4052">
            <v>123838</v>
          </cell>
          <cell r="C4052">
            <v>933</v>
          </cell>
          <cell r="D4052" t="str">
            <v>Somerset</v>
          </cell>
          <cell r="E4052">
            <v>3353</v>
          </cell>
          <cell r="F4052" t="str">
            <v>Simon Foster</v>
          </cell>
          <cell r="G4052" t="str">
            <v>Monteclefe Church of England VA Junior School</v>
          </cell>
          <cell r="H4052" t="str">
            <v>South West</v>
          </cell>
          <cell r="I4052" t="str">
            <v>School Lane</v>
          </cell>
          <cell r="J4052" t="str">
            <v>Kirkham Street</v>
          </cell>
          <cell r="L4052" t="str">
            <v>Somerton</v>
          </cell>
          <cell r="M4052" t="str">
            <v>Somerset</v>
          </cell>
          <cell r="N4052" t="str">
            <v>TA11 7NL</v>
          </cell>
          <cell r="O4052" t="str">
            <v>dnorton@educ.somerset.gov.uk</v>
          </cell>
          <cell r="P4052">
            <v>40917</v>
          </cell>
        </row>
        <row r="4053">
          <cell r="A4053">
            <v>8154217</v>
          </cell>
          <cell r="B4053">
            <v>121696</v>
          </cell>
          <cell r="C4053">
            <v>815</v>
          </cell>
          <cell r="D4053" t="str">
            <v>North Yorkshire</v>
          </cell>
          <cell r="E4053">
            <v>4217</v>
          </cell>
          <cell r="F4053" t="str">
            <v>Jane Moore</v>
          </cell>
          <cell r="G4053" t="str">
            <v>Rossett School</v>
          </cell>
          <cell r="H4053" t="str">
            <v>Yorkshire and the Humber</v>
          </cell>
          <cell r="I4053" t="str">
            <v>Green Lane</v>
          </cell>
          <cell r="L4053" t="str">
            <v>Harrogate</v>
          </cell>
          <cell r="M4053" t="str">
            <v>North Yorkshire</v>
          </cell>
          <cell r="N4053" t="str">
            <v>HG2 9JP</v>
          </cell>
          <cell r="O4053" t="str">
            <v>phunter@rossett.n-yorks.sch.uk</v>
          </cell>
          <cell r="P4053">
            <v>40611</v>
          </cell>
        </row>
        <row r="4054">
          <cell r="A4054">
            <v>9164001</v>
          </cell>
          <cell r="B4054">
            <v>115717</v>
          </cell>
          <cell r="C4054">
            <v>916</v>
          </cell>
          <cell r="D4054" t="str">
            <v>Gloucestershire</v>
          </cell>
          <cell r="E4054">
            <v>4001</v>
          </cell>
          <cell r="F4054" t="str">
            <v>Gemma Astin</v>
          </cell>
          <cell r="G4054" t="str">
            <v>Sir Thomas Rich's School</v>
          </cell>
          <cell r="H4054" t="str">
            <v>South West</v>
          </cell>
          <cell r="I4054" t="str">
            <v>Oakleaze</v>
          </cell>
          <cell r="L4054" t="str">
            <v>Gloucester</v>
          </cell>
          <cell r="M4054" t="str">
            <v>Gloucestershire</v>
          </cell>
          <cell r="N4054" t="str">
            <v>GL2 0LF</v>
          </cell>
          <cell r="O4054" t="str">
            <v>iankellie@strs.org.uk</v>
          </cell>
          <cell r="P4054">
            <v>40347</v>
          </cell>
        </row>
        <row r="4055">
          <cell r="A4055">
            <v>8884036</v>
          </cell>
          <cell r="B4055">
            <v>119723</v>
          </cell>
          <cell r="C4055">
            <v>888</v>
          </cell>
          <cell r="D4055" t="str">
            <v>Lancashire</v>
          </cell>
          <cell r="E4055">
            <v>4036</v>
          </cell>
          <cell r="F4055" t="str">
            <v>Viv Clutton</v>
          </cell>
          <cell r="G4055" t="str">
            <v>Wellfield Business and Enterprise College</v>
          </cell>
          <cell r="H4055" t="str">
            <v>North West</v>
          </cell>
          <cell r="I4055" t="str">
            <v>Yewlands Drive</v>
          </cell>
          <cell r="L4055" t="str">
            <v>Leyland</v>
          </cell>
          <cell r="M4055" t="str">
            <v>Lancashire</v>
          </cell>
          <cell r="N4055" t="str">
            <v>PR25 2TP</v>
          </cell>
          <cell r="O4055" t="str">
            <v>head@wellfieldbec.lancs.sch.uk</v>
          </cell>
        </row>
        <row r="4056">
          <cell r="A4056">
            <v>8815424</v>
          </cell>
          <cell r="B4056">
            <v>115340</v>
          </cell>
          <cell r="C4056">
            <v>881</v>
          </cell>
          <cell r="D4056" t="str">
            <v>Essex</v>
          </cell>
          <cell r="E4056">
            <v>5424</v>
          </cell>
          <cell r="F4056" t="str">
            <v>Claire Ivie</v>
          </cell>
          <cell r="G4056" t="str">
            <v>The Deanes School</v>
          </cell>
          <cell r="H4056" t="str">
            <v>East of England</v>
          </cell>
          <cell r="I4056" t="str">
            <v>Daws Heath Road</v>
          </cell>
          <cell r="J4056" t="str">
            <v>Thundersley</v>
          </cell>
          <cell r="L4056" t="str">
            <v>Benfleet</v>
          </cell>
          <cell r="M4056" t="str">
            <v>Essex</v>
          </cell>
          <cell r="N4056" t="str">
            <v>SS7 2TD</v>
          </cell>
          <cell r="O4056" t="str">
            <v>Janatkinson1@aol.com</v>
          </cell>
          <cell r="P4056">
            <v>40532</v>
          </cell>
        </row>
        <row r="4057">
          <cell r="A4057">
            <v>8504204</v>
          </cell>
          <cell r="B4057">
            <v>116447</v>
          </cell>
          <cell r="C4057">
            <v>850</v>
          </cell>
          <cell r="D4057" t="str">
            <v>Hampshire</v>
          </cell>
          <cell r="E4057">
            <v>4204</v>
          </cell>
          <cell r="F4057" t="str">
            <v>Amanda Barrett</v>
          </cell>
          <cell r="G4057" t="str">
            <v>Fernhill School and Language College</v>
          </cell>
          <cell r="H4057" t="str">
            <v>South East</v>
          </cell>
          <cell r="I4057" t="str">
            <v>Neville Duke Road</v>
          </cell>
          <cell r="L4057" t="str">
            <v>Farnborough</v>
          </cell>
          <cell r="M4057" t="str">
            <v>Hampshire</v>
          </cell>
          <cell r="N4057" t="str">
            <v>GU14 9BY</v>
          </cell>
          <cell r="O4057" t="str">
            <v>clive.gilbert@fernhill-comp.hants.sch.uk</v>
          </cell>
          <cell r="P4057">
            <v>40639</v>
          </cell>
        </row>
        <row r="4058">
          <cell r="A4058">
            <v>9332102</v>
          </cell>
          <cell r="B4058">
            <v>123671</v>
          </cell>
          <cell r="C4058">
            <v>933</v>
          </cell>
          <cell r="D4058" t="str">
            <v>Somerset</v>
          </cell>
          <cell r="E4058">
            <v>2102</v>
          </cell>
          <cell r="F4058" t="str">
            <v>Damian McGrath</v>
          </cell>
          <cell r="G4058" t="str">
            <v>Avishayes Community Primary School</v>
          </cell>
          <cell r="H4058" t="str">
            <v>South West</v>
          </cell>
          <cell r="I4058" t="str">
            <v>Fairway Rise</v>
          </cell>
          <cell r="L4058" t="str">
            <v>Chard</v>
          </cell>
          <cell r="M4058" t="str">
            <v>Somerset</v>
          </cell>
          <cell r="N4058" t="str">
            <v>TA20 1NS</v>
          </cell>
          <cell r="O4058" t="str">
            <v>digold@talktalk.net</v>
          </cell>
          <cell r="P4058">
            <v>40633</v>
          </cell>
        </row>
        <row r="4059">
          <cell r="A4059">
            <v>8812010</v>
          </cell>
          <cell r="B4059">
            <v>114710</v>
          </cell>
          <cell r="C4059">
            <v>881</v>
          </cell>
          <cell r="D4059" t="str">
            <v>Essex</v>
          </cell>
          <cell r="E4059">
            <v>2010</v>
          </cell>
          <cell r="F4059" t="str">
            <v>Claire Ivie</v>
          </cell>
          <cell r="G4059" t="str">
            <v>Old Heath Community Primary School</v>
          </cell>
          <cell r="H4059" t="str">
            <v>East of England</v>
          </cell>
          <cell r="I4059" t="str">
            <v>Old Heath Road</v>
          </cell>
          <cell r="L4059" t="str">
            <v>Colchester</v>
          </cell>
          <cell r="M4059" t="str">
            <v>Essex</v>
          </cell>
          <cell r="N4059" t="str">
            <v>CO2 8DD</v>
          </cell>
          <cell r="O4059" t="str">
            <v>jthallum@yahoo.co.uk</v>
          </cell>
        </row>
        <row r="4060">
          <cell r="A4060">
            <v>8774502</v>
          </cell>
          <cell r="B4060">
            <v>111448</v>
          </cell>
          <cell r="C4060">
            <v>877</v>
          </cell>
          <cell r="D4060" t="str">
            <v>Warrington</v>
          </cell>
          <cell r="E4060">
            <v>4502</v>
          </cell>
          <cell r="F4060" t="str">
            <v>Cathy Dudley</v>
          </cell>
          <cell r="G4060" t="str">
            <v>Lymm High Voluntary Controlled School</v>
          </cell>
          <cell r="H4060" t="str">
            <v>North West</v>
          </cell>
          <cell r="I4060" t="str">
            <v>Oughtrington Lane</v>
          </cell>
          <cell r="L4060" t="str">
            <v>Lymm</v>
          </cell>
          <cell r="M4060" t="str">
            <v>Cheshire</v>
          </cell>
          <cell r="N4060" t="str">
            <v>WA13 0RB</v>
          </cell>
          <cell r="O4060" t="str">
            <v>awalsh@lymmhs.co.uk</v>
          </cell>
          <cell r="P4060">
            <v>41017</v>
          </cell>
        </row>
        <row r="4061">
          <cell r="A4061">
            <v>9255202</v>
          </cell>
          <cell r="B4061">
            <v>120669</v>
          </cell>
          <cell r="C4061">
            <v>925</v>
          </cell>
          <cell r="D4061" t="str">
            <v>Lincolnshire</v>
          </cell>
          <cell r="E4061">
            <v>5202</v>
          </cell>
          <cell r="F4061" t="str">
            <v>Sue Harp</v>
          </cell>
          <cell r="G4061" t="str">
            <v>Rauceby Church of England Primary School</v>
          </cell>
          <cell r="H4061" t="str">
            <v>East Midlands</v>
          </cell>
          <cell r="I4061" t="str">
            <v>Tom Lane</v>
          </cell>
          <cell r="J4061" t="str">
            <v>North Rauceby</v>
          </cell>
          <cell r="L4061" t="str">
            <v>Sleaford</v>
          </cell>
          <cell r="M4061" t="str">
            <v>Lincolnshire</v>
          </cell>
          <cell r="N4061" t="str">
            <v>NG34 8QW</v>
          </cell>
          <cell r="O4061" t="str">
            <v>richard.thomson@rauceby.lincs.sch.uk</v>
          </cell>
          <cell r="P4061">
            <v>40974</v>
          </cell>
        </row>
        <row r="4062">
          <cell r="A4062">
            <v>8813211</v>
          </cell>
          <cell r="B4062">
            <v>115109</v>
          </cell>
          <cell r="C4062">
            <v>881</v>
          </cell>
          <cell r="D4062" t="str">
            <v>Essex</v>
          </cell>
          <cell r="E4062">
            <v>3211</v>
          </cell>
          <cell r="F4062" t="str">
            <v>Julie McDowall</v>
          </cell>
          <cell r="G4062" t="str">
            <v>Kelvedon St Mary's Church of England Primary School</v>
          </cell>
          <cell r="H4062" t="str">
            <v>East of England</v>
          </cell>
          <cell r="I4062" t="str">
            <v>Docwra Road</v>
          </cell>
          <cell r="J4062" t="str">
            <v>Kelvedon</v>
          </cell>
          <cell r="L4062" t="str">
            <v>Colchester</v>
          </cell>
          <cell r="M4062" t="str">
            <v>Essex</v>
          </cell>
          <cell r="N4062" t="str">
            <v>CO5 9DS</v>
          </cell>
          <cell r="O4062" t="str">
            <v>walshredwalsh@yahoo.co.uk</v>
          </cell>
          <cell r="P4062">
            <v>41158</v>
          </cell>
        </row>
        <row r="4063">
          <cell r="A4063">
            <v>9252075</v>
          </cell>
          <cell r="B4063">
            <v>120404</v>
          </cell>
          <cell r="C4063">
            <v>925</v>
          </cell>
          <cell r="D4063" t="str">
            <v>Lincolnshire</v>
          </cell>
          <cell r="E4063">
            <v>2075</v>
          </cell>
          <cell r="F4063" t="str">
            <v>Jacki Couch</v>
          </cell>
          <cell r="G4063" t="str">
            <v>Millfield CP School</v>
          </cell>
          <cell r="H4063" t="str">
            <v>East Midlands</v>
          </cell>
          <cell r="I4063" t="str">
            <v>Mill Lane</v>
          </cell>
          <cell r="J4063" t="str">
            <v>Heighington</v>
          </cell>
          <cell r="L4063" t="str">
            <v>Lincoln</v>
          </cell>
          <cell r="M4063" t="str">
            <v>Lincolnshire</v>
          </cell>
          <cell r="N4063" t="str">
            <v>LN4 1RQ</v>
          </cell>
          <cell r="O4063" t="str">
            <v>claire.fisher@millfield.lincs.sch.uk</v>
          </cell>
          <cell r="P4063">
            <v>40633</v>
          </cell>
        </row>
        <row r="4064">
          <cell r="A4064">
            <v>8783320</v>
          </cell>
          <cell r="B4064">
            <v>113439</v>
          </cell>
          <cell r="C4064">
            <v>878</v>
          </cell>
          <cell r="D4064" t="str">
            <v>Devon</v>
          </cell>
          <cell r="E4064">
            <v>3320</v>
          </cell>
          <cell r="F4064" t="str">
            <v>Susan Phillips</v>
          </cell>
          <cell r="G4064" t="str">
            <v>Mrs Ethelston's Church of England Primary School</v>
          </cell>
          <cell r="H4064" t="str">
            <v>South West</v>
          </cell>
          <cell r="I4064" t="str">
            <v>Pound Lane</v>
          </cell>
          <cell r="J4064" t="str">
            <v>Uplyme</v>
          </cell>
          <cell r="L4064" t="str">
            <v>Lyme Regis</v>
          </cell>
          <cell r="M4064" t="str">
            <v>Dorset</v>
          </cell>
          <cell r="N4064" t="str">
            <v>DT7 3TT</v>
          </cell>
          <cell r="O4064" t="str">
            <v>head@uplyme-mrsethelstons.devon.sch.uk</v>
          </cell>
        </row>
        <row r="4065">
          <cell r="A4065">
            <v>9282042</v>
          </cell>
          <cell r="B4065">
            <v>121822</v>
          </cell>
          <cell r="C4065">
            <v>928</v>
          </cell>
          <cell r="D4065" t="str">
            <v>Northamptonshire</v>
          </cell>
          <cell r="E4065">
            <v>2042</v>
          </cell>
          <cell r="F4065" t="str">
            <v>Grant Dyson</v>
          </cell>
          <cell r="G4065" t="str">
            <v>Greatworth Primary School</v>
          </cell>
          <cell r="H4065" t="str">
            <v>East Midlands</v>
          </cell>
          <cell r="I4065" t="str">
            <v>Helmdon Road</v>
          </cell>
          <cell r="J4065" t="str">
            <v>Greatworth</v>
          </cell>
          <cell r="L4065" t="str">
            <v>Banbury</v>
          </cell>
          <cell r="M4065" t="str">
            <v>Oxfordshire</v>
          </cell>
          <cell r="N4065" t="str">
            <v>OX17 2DR</v>
          </cell>
          <cell r="O4065" t="str">
            <v>head@greatworth.northants-ecl.gov.uk</v>
          </cell>
          <cell r="P4065">
            <v>41257</v>
          </cell>
        </row>
        <row r="4066">
          <cell r="A4066">
            <v>3824022</v>
          </cell>
          <cell r="B4066">
            <v>107761</v>
          </cell>
          <cell r="C4066">
            <v>382</v>
          </cell>
          <cell r="D4066" t="str">
            <v>Kirklees</v>
          </cell>
          <cell r="E4066">
            <v>4022</v>
          </cell>
          <cell r="F4066" t="str">
            <v>Bev Annables</v>
          </cell>
          <cell r="G4066" t="str">
            <v>Newsome High School and Sports College</v>
          </cell>
          <cell r="H4066" t="str">
            <v>Yorkshire and the Humber</v>
          </cell>
          <cell r="I4066" t="str">
            <v>Castle Avenue</v>
          </cell>
          <cell r="J4066" t="str">
            <v>Newsome</v>
          </cell>
          <cell r="L4066" t="str">
            <v>Huddersfield</v>
          </cell>
          <cell r="M4066" t="str">
            <v>West Yorkshire</v>
          </cell>
          <cell r="N4066" t="str">
            <v>HD4 6JN</v>
          </cell>
          <cell r="O4066" t="str">
            <v>PAULGITTS2002@YAHOO.CO.UK</v>
          </cell>
        </row>
        <row r="4067">
          <cell r="A4067">
            <v>8814420</v>
          </cell>
          <cell r="B4067">
            <v>115227</v>
          </cell>
          <cell r="C4067">
            <v>881</v>
          </cell>
          <cell r="D4067" t="str">
            <v>Essex</v>
          </cell>
          <cell r="E4067">
            <v>4420</v>
          </cell>
          <cell r="F4067" t="str">
            <v>William Thursfield</v>
          </cell>
          <cell r="G4067" t="str">
            <v>Notley High School and Braintree Sixth Form</v>
          </cell>
          <cell r="H4067" t="str">
            <v>East of England</v>
          </cell>
          <cell r="I4067" t="str">
            <v>Notley Road</v>
          </cell>
          <cell r="L4067" t="str">
            <v>Braintree</v>
          </cell>
          <cell r="M4067" t="str">
            <v>Essex</v>
          </cell>
          <cell r="N4067" t="str">
            <v>CM7 1WY</v>
          </cell>
          <cell r="O4067" t="str">
            <v>simon.thompson@notleyhigh.com</v>
          </cell>
          <cell r="P4067">
            <v>40386</v>
          </cell>
        </row>
        <row r="4068">
          <cell r="A4068">
            <v>8553331</v>
          </cell>
          <cell r="B4068">
            <v>120206</v>
          </cell>
          <cell r="C4068">
            <v>855</v>
          </cell>
          <cell r="D4068" t="str">
            <v>Leicestershire</v>
          </cell>
          <cell r="E4068">
            <v>3331</v>
          </cell>
          <cell r="F4068" t="str">
            <v>Stephen Standret</v>
          </cell>
          <cell r="G4068" t="str">
            <v>All Saints Church of England Primary School</v>
          </cell>
          <cell r="H4068" t="str">
            <v>East Midlands</v>
          </cell>
          <cell r="I4068" t="str">
            <v>Long Street</v>
          </cell>
          <cell r="L4068" t="str">
            <v>Wigston</v>
          </cell>
          <cell r="M4068" t="str">
            <v>Leicestershire</v>
          </cell>
          <cell r="N4068" t="str">
            <v>LE18 2AH</v>
          </cell>
          <cell r="O4068" t="str">
            <v>Headteacher@allsaintscofe.sch.gov.uk</v>
          </cell>
        </row>
        <row r="4069">
          <cell r="A4069">
            <v>9332032</v>
          </cell>
          <cell r="B4069">
            <v>123647</v>
          </cell>
          <cell r="C4069">
            <v>933</v>
          </cell>
          <cell r="D4069" t="str">
            <v>Somerset</v>
          </cell>
          <cell r="E4069">
            <v>2032</v>
          </cell>
          <cell r="F4069" t="str">
            <v>Not yet assigned</v>
          </cell>
          <cell r="G4069" t="str">
            <v>Horrington Primary School</v>
          </cell>
          <cell r="H4069" t="str">
            <v>South West</v>
          </cell>
          <cell r="I4069" t="str">
            <v>West Horrington</v>
          </cell>
          <cell r="L4069" t="str">
            <v>Wells</v>
          </cell>
          <cell r="M4069" t="str">
            <v>Somerset</v>
          </cell>
          <cell r="N4069" t="str">
            <v>BA5 3EB</v>
          </cell>
          <cell r="O4069" t="str">
            <v>hgregory@educ.somerset.gov.uk</v>
          </cell>
          <cell r="P4069">
            <v>41227</v>
          </cell>
        </row>
        <row r="4070">
          <cell r="A4070">
            <v>8854044</v>
          </cell>
          <cell r="B4070">
            <v>116951</v>
          </cell>
          <cell r="C4070">
            <v>885</v>
          </cell>
          <cell r="D4070" t="str">
            <v>Worcestershire</v>
          </cell>
          <cell r="E4070">
            <v>4044</v>
          </cell>
          <cell r="F4070" t="str">
            <v>Ruth Pallister</v>
          </cell>
          <cell r="G4070" t="str">
            <v>Waseley Hills High School and Sixth Form Centre</v>
          </cell>
          <cell r="H4070" t="str">
            <v>West Midlands</v>
          </cell>
          <cell r="I4070" t="str">
            <v>School Road</v>
          </cell>
          <cell r="J4070" t="str">
            <v>Rubery</v>
          </cell>
          <cell r="K4070" t="str">
            <v>Rednal</v>
          </cell>
          <cell r="L4070" t="str">
            <v>Birmingham</v>
          </cell>
          <cell r="M4070" t="str">
            <v>West Midlands</v>
          </cell>
          <cell r="N4070" t="str">
            <v>B45 9EL</v>
          </cell>
          <cell r="O4070" t="str">
            <v>aroll@waseleyhills.worcs.sch.uk</v>
          </cell>
          <cell r="P4070">
            <v>41025</v>
          </cell>
        </row>
        <row r="4071">
          <cell r="A4071">
            <v>8913292</v>
          </cell>
          <cell r="B4071">
            <v>132784</v>
          </cell>
          <cell r="C4071">
            <v>891</v>
          </cell>
          <cell r="D4071" t="str">
            <v>Nottinghamshire</v>
          </cell>
          <cell r="E4071">
            <v>3292</v>
          </cell>
          <cell r="F4071" t="str">
            <v>Stephen Standret</v>
          </cell>
          <cell r="G4071" t="str">
            <v>Bowbridge Primary School</v>
          </cell>
          <cell r="H4071" t="str">
            <v>East Midlands</v>
          </cell>
          <cell r="I4071" t="str">
            <v>Bailey Road</v>
          </cell>
          <cell r="L4071" t="str">
            <v>Newark</v>
          </cell>
          <cell r="M4071" t="str">
            <v>Nottinghamshire</v>
          </cell>
          <cell r="N4071" t="str">
            <v>NG24 4EP</v>
          </cell>
          <cell r="O4071" t="str">
            <v>l.hessey@bowbridgeprimary.com</v>
          </cell>
          <cell r="P4071">
            <v>41218</v>
          </cell>
        </row>
        <row r="4072">
          <cell r="A4072">
            <v>9283046</v>
          </cell>
          <cell r="B4072">
            <v>121983</v>
          </cell>
          <cell r="C4072">
            <v>928</v>
          </cell>
          <cell r="D4072" t="str">
            <v>Northamptonshire</v>
          </cell>
          <cell r="E4072">
            <v>3046</v>
          </cell>
          <cell r="F4072" t="str">
            <v>Sue Harp</v>
          </cell>
          <cell r="G4072" t="str">
            <v>Naseby Church of England Primary School</v>
          </cell>
          <cell r="H4072" t="str">
            <v>East Midlands</v>
          </cell>
          <cell r="I4072" t="str">
            <v>School Lane</v>
          </cell>
          <cell r="J4072" t="str">
            <v>Naseby</v>
          </cell>
          <cell r="L4072" t="str">
            <v>Northampton</v>
          </cell>
          <cell r="M4072" t="str">
            <v>Northamptonshire</v>
          </cell>
          <cell r="N4072" t="str">
            <v>NN6 6BZ</v>
          </cell>
        </row>
        <row r="4073">
          <cell r="A4073">
            <v>8914068</v>
          </cell>
          <cell r="B4073">
            <v>122840</v>
          </cell>
          <cell r="C4073">
            <v>891</v>
          </cell>
          <cell r="D4073" t="str">
            <v>Nottinghamshire</v>
          </cell>
          <cell r="E4073">
            <v>4068</v>
          </cell>
          <cell r="F4073" t="str">
            <v>Grant Dyson</v>
          </cell>
          <cell r="G4073" t="str">
            <v>Quarrydale School</v>
          </cell>
          <cell r="H4073" t="str">
            <v>East Midlands</v>
          </cell>
          <cell r="I4073" t="str">
            <v>Stoneyford Road</v>
          </cell>
          <cell r="L4073" t="str">
            <v>Sutton-in-Ashfield</v>
          </cell>
          <cell r="M4073" t="str">
            <v>Nottinghamshire</v>
          </cell>
          <cell r="N4073" t="str">
            <v>NG17 2DU</v>
          </cell>
          <cell r="O4073" t="str">
            <v>jcrone@quarrydale.notts.sch.uk</v>
          </cell>
          <cell r="P4073">
            <v>40827</v>
          </cell>
        </row>
        <row r="4074">
          <cell r="A4074">
            <v>8254094</v>
          </cell>
          <cell r="B4074">
            <v>110508</v>
          </cell>
          <cell r="C4074">
            <v>825</v>
          </cell>
          <cell r="D4074" t="str">
            <v>Buckinghamshire</v>
          </cell>
          <cell r="E4074">
            <v>4094</v>
          </cell>
          <cell r="F4074" t="str">
            <v>Darren Francis</v>
          </cell>
          <cell r="G4074" t="str">
            <v>The Wye Valley School</v>
          </cell>
          <cell r="H4074" t="str">
            <v>South East</v>
          </cell>
          <cell r="I4074" t="str">
            <v>New Road</v>
          </cell>
          <cell r="L4074" t="str">
            <v>Bourne End</v>
          </cell>
          <cell r="M4074" t="str">
            <v>Buckinghamshire</v>
          </cell>
          <cell r="N4074" t="str">
            <v>SL8 5BW</v>
          </cell>
          <cell r="O4074" t="str">
            <v>joliver@wyevalley.bucks.sch.uk</v>
          </cell>
          <cell r="P4074">
            <v>41220</v>
          </cell>
        </row>
        <row r="4075">
          <cell r="A4075">
            <v>9082448</v>
          </cell>
          <cell r="B4075">
            <v>111904</v>
          </cell>
          <cell r="C4075">
            <v>908</v>
          </cell>
          <cell r="D4075" t="str">
            <v>Cornwall</v>
          </cell>
          <cell r="E4075">
            <v>2448</v>
          </cell>
          <cell r="F4075" t="str">
            <v>Tahamina Khan</v>
          </cell>
          <cell r="G4075" t="str">
            <v>Sandy Hill Community Primary School</v>
          </cell>
          <cell r="H4075" t="str">
            <v>South West</v>
          </cell>
          <cell r="I4075" t="str">
            <v>Sandy Hill</v>
          </cell>
          <cell r="L4075" t="str">
            <v>St Austell</v>
          </cell>
          <cell r="M4075" t="str">
            <v>Cornwall</v>
          </cell>
          <cell r="N4075" t="str">
            <v>PL25 3AT</v>
          </cell>
          <cell r="O4075" t="str">
            <v>andrew.fielder@sandy-hill.cornwall.sch.uk</v>
          </cell>
          <cell r="P4075">
            <v>40352</v>
          </cell>
        </row>
        <row r="4076">
          <cell r="A4076">
            <v>9333314</v>
          </cell>
          <cell r="B4076">
            <v>123831</v>
          </cell>
          <cell r="C4076">
            <v>933</v>
          </cell>
          <cell r="D4076" t="str">
            <v>Somerset</v>
          </cell>
          <cell r="E4076">
            <v>3314</v>
          </cell>
          <cell r="F4076" t="str">
            <v>Ali Bushell</v>
          </cell>
          <cell r="G4076" t="str">
            <v>Cutcombe Church of England First School</v>
          </cell>
          <cell r="H4076" t="str">
            <v>South West</v>
          </cell>
          <cell r="I4076" t="str">
            <v>Wheddon Cross</v>
          </cell>
          <cell r="L4076" t="str">
            <v>Minehead</v>
          </cell>
          <cell r="M4076" t="str">
            <v>Somerset</v>
          </cell>
          <cell r="N4076" t="str">
            <v>TA24 7DZ</v>
          </cell>
          <cell r="O4076" t="str">
            <v>bwhite12@educ.somerset.gov.uk</v>
          </cell>
        </row>
        <row r="4077">
          <cell r="A4077">
            <v>9164600</v>
          </cell>
          <cell r="B4077">
            <v>115729</v>
          </cell>
          <cell r="C4077">
            <v>916</v>
          </cell>
          <cell r="D4077" t="str">
            <v>Gloucestershire</v>
          </cell>
          <cell r="E4077">
            <v>4600</v>
          </cell>
          <cell r="F4077" t="str">
            <v>Dominic Wilson</v>
          </cell>
          <cell r="G4077" t="str">
            <v>St Peter's Catholic High School &amp; 6th Form Centre</v>
          </cell>
          <cell r="H4077" t="str">
            <v>South West</v>
          </cell>
          <cell r="I4077" t="str">
            <v>Stroud Road</v>
          </cell>
          <cell r="J4077" t="str">
            <v>Tuffley</v>
          </cell>
          <cell r="L4077" t="str">
            <v>Gloucester</v>
          </cell>
          <cell r="M4077" t="str">
            <v>Gloucestershire</v>
          </cell>
          <cell r="N4077" t="str">
            <v>GL4 0DD</v>
          </cell>
          <cell r="O4077" t="str">
            <v xml:space="preserve"> slester@st-petershigh.gloucs.sch.uk</v>
          </cell>
          <cell r="P4077">
            <v>40632</v>
          </cell>
        </row>
        <row r="4078">
          <cell r="A4078">
            <v>8353325</v>
          </cell>
          <cell r="B4078">
            <v>113802</v>
          </cell>
          <cell r="C4078">
            <v>835</v>
          </cell>
          <cell r="D4078" t="str">
            <v>Dorset</v>
          </cell>
          <cell r="E4078">
            <v>3325</v>
          </cell>
          <cell r="F4078" t="str">
            <v>Tahamina Khan</v>
          </cell>
          <cell r="G4078" t="str">
            <v>Hampreston Church of England Voluntary Aided First School</v>
          </cell>
          <cell r="H4078" t="str">
            <v>South West</v>
          </cell>
          <cell r="I4078" t="str">
            <v>Hampreston Village</v>
          </cell>
          <cell r="L4078" t="str">
            <v>Wimborne</v>
          </cell>
          <cell r="M4078" t="str">
            <v>Dorset</v>
          </cell>
          <cell r="N4078" t="str">
            <v>BH21 7LX</v>
          </cell>
          <cell r="O4078" t="str">
            <v>office@hampreston.dorset.sch.uk</v>
          </cell>
        </row>
        <row r="4079">
          <cell r="A4079">
            <v>3332056</v>
          </cell>
          <cell r="B4079">
            <v>103915</v>
          </cell>
          <cell r="C4079">
            <v>333</v>
          </cell>
          <cell r="D4079" t="str">
            <v>Sandwell</v>
          </cell>
          <cell r="E4079">
            <v>2056</v>
          </cell>
          <cell r="F4079" t="str">
            <v>Hannah Copp</v>
          </cell>
          <cell r="G4079" t="str">
            <v>Great Bridge Primary School</v>
          </cell>
          <cell r="H4079" t="str">
            <v>West Midlands</v>
          </cell>
          <cell r="I4079" t="str">
            <v>Mount Street</v>
          </cell>
          <cell r="J4079" t="str">
            <v>Great Bridge</v>
          </cell>
          <cell r="L4079" t="str">
            <v>Tipton</v>
          </cell>
          <cell r="M4079" t="str">
            <v>West Midlands</v>
          </cell>
          <cell r="N4079" t="str">
            <v>DY4 7DE</v>
          </cell>
          <cell r="O4079" t="str">
            <v>liz.regan@greatbridge.sandwell.sch.uk</v>
          </cell>
          <cell r="P4079">
            <v>41256</v>
          </cell>
        </row>
        <row r="4080">
          <cell r="A4080">
            <v>8024137</v>
          </cell>
          <cell r="B4080">
            <v>109310</v>
          </cell>
          <cell r="C4080">
            <v>802</v>
          </cell>
          <cell r="D4080" t="str">
            <v>North Somerset</v>
          </cell>
          <cell r="E4080">
            <v>4137</v>
          </cell>
          <cell r="F4080" t="str">
            <v>Maria Whiting</v>
          </cell>
          <cell r="G4080" t="str">
            <v>Nailsea School</v>
          </cell>
          <cell r="H4080" t="str">
            <v>South West</v>
          </cell>
          <cell r="I4080" t="str">
            <v>Mizzymead Road</v>
          </cell>
          <cell r="J4080" t="str">
            <v>Nailsea</v>
          </cell>
          <cell r="L4080" t="str">
            <v>Bristol</v>
          </cell>
          <cell r="M4080" t="str">
            <v>Somerset</v>
          </cell>
          <cell r="N4080" t="str">
            <v>BS48 2HN</v>
          </cell>
          <cell r="O4080" t="str">
            <v>dnew@nailsea.n-somerset.sch.uk</v>
          </cell>
          <cell r="P4080">
            <v>41023</v>
          </cell>
        </row>
        <row r="4081">
          <cell r="A4081">
            <v>3132004</v>
          </cell>
          <cell r="B4081">
            <v>136809</v>
          </cell>
          <cell r="C4081">
            <v>313</v>
          </cell>
          <cell r="D4081" t="str">
            <v>Hounslow</v>
          </cell>
          <cell r="E4081">
            <v>2004</v>
          </cell>
          <cell r="F4081" t="str">
            <v>Sheila Longstaff</v>
          </cell>
          <cell r="G4081" t="str">
            <v>Cranford Primary</v>
          </cell>
          <cell r="H4081" t="str">
            <v>London</v>
          </cell>
          <cell r="I4081" t="str">
            <v>Berkley Avenue</v>
          </cell>
          <cell r="K4081" t="str">
            <v>Cranford</v>
          </cell>
          <cell r="L4081" t="str">
            <v>Hounslow</v>
          </cell>
          <cell r="N4081" t="str">
            <v>TW4 6LB</v>
          </cell>
          <cell r="O4081" t="str">
            <v>head@cranfordprimary.hounslow.sch.uk</v>
          </cell>
        </row>
        <row r="4082">
          <cell r="A4082">
            <v>3414425</v>
          </cell>
          <cell r="B4082">
            <v>104696</v>
          </cell>
          <cell r="C4082">
            <v>341</v>
          </cell>
          <cell r="D4082" t="str">
            <v>Liverpool</v>
          </cell>
          <cell r="E4082">
            <v>4425</v>
          </cell>
          <cell r="F4082" t="str">
            <v>Maria Sabberton</v>
          </cell>
          <cell r="G4082" t="str">
            <v>Broadgreen International School, A Technology College</v>
          </cell>
          <cell r="H4082" t="str">
            <v>North West</v>
          </cell>
          <cell r="I4082" t="str">
            <v>Queens Drive</v>
          </cell>
          <cell r="L4082" t="str">
            <v>Liverpool</v>
          </cell>
          <cell r="M4082" t="str">
            <v>Merseyside</v>
          </cell>
          <cell r="N4082" t="str">
            <v>L13 5UQ</v>
          </cell>
          <cell r="O4082" t="str">
            <v>sally.beevers@broadgreeninternationalschool.com</v>
          </cell>
        </row>
        <row r="4083">
          <cell r="A4083">
            <v>8504127</v>
          </cell>
          <cell r="B4083">
            <v>116414</v>
          </cell>
          <cell r="C4083">
            <v>850</v>
          </cell>
          <cell r="D4083" t="str">
            <v>Hampshire</v>
          </cell>
          <cell r="E4083">
            <v>4127</v>
          </cell>
          <cell r="F4083" t="str">
            <v>Jacki Couch</v>
          </cell>
          <cell r="G4083" t="str">
            <v>Wildern School</v>
          </cell>
          <cell r="H4083" t="str">
            <v>South East</v>
          </cell>
          <cell r="I4083" t="str">
            <v>Wildern Lane</v>
          </cell>
          <cell r="J4083" t="str">
            <v>Hedge End</v>
          </cell>
          <cell r="L4083" t="str">
            <v>Southampton</v>
          </cell>
          <cell r="M4083" t="str">
            <v>Hampshire</v>
          </cell>
          <cell r="N4083" t="str">
            <v>SO30 4EJ</v>
          </cell>
          <cell r="O4083" t="str">
            <v>dacrossley@tiscali.co.uk</v>
          </cell>
          <cell r="P4083">
            <v>40519</v>
          </cell>
        </row>
        <row r="4084">
          <cell r="A4084">
            <v>9334455</v>
          </cell>
          <cell r="B4084">
            <v>123891</v>
          </cell>
          <cell r="C4084">
            <v>933</v>
          </cell>
          <cell r="D4084" t="str">
            <v>Somerset</v>
          </cell>
          <cell r="E4084">
            <v>4455</v>
          </cell>
          <cell r="F4084" t="str">
            <v>Maria Whiting</v>
          </cell>
          <cell r="G4084" t="str">
            <v>Preston School</v>
          </cell>
          <cell r="H4084" t="str">
            <v>South West</v>
          </cell>
          <cell r="I4084" t="str">
            <v>Monks Dale</v>
          </cell>
          <cell r="L4084" t="str">
            <v>Yeovil</v>
          </cell>
          <cell r="M4084" t="str">
            <v>Somerset</v>
          </cell>
          <cell r="N4084" t="str">
            <v>BA21 3JD</v>
          </cell>
          <cell r="O4084" t="str">
            <v>TBloxham@educ.somerset.gov.uk</v>
          </cell>
          <cell r="P4084">
            <v>40627</v>
          </cell>
        </row>
        <row r="4085">
          <cell r="A4085">
            <v>9257024</v>
          </cell>
          <cell r="B4085">
            <v>120760</v>
          </cell>
          <cell r="C4085">
            <v>925</v>
          </cell>
          <cell r="D4085" t="str">
            <v>Lincolnshire</v>
          </cell>
          <cell r="E4085">
            <v>7024</v>
          </cell>
          <cell r="F4085" t="str">
            <v>Tony Bretherick</v>
          </cell>
          <cell r="G4085" t="str">
            <v>The Eresby School, Spilsby</v>
          </cell>
          <cell r="H4085" t="str">
            <v>East Midlands</v>
          </cell>
          <cell r="I4085" t="str">
            <v>Eresby Avenue</v>
          </cell>
          <cell r="L4085" t="str">
            <v>Spilsby</v>
          </cell>
          <cell r="M4085" t="str">
            <v>Lincolnshire</v>
          </cell>
          <cell r="N4085" t="str">
            <v>PE23 5HU</v>
          </cell>
          <cell r="O4085" t="str">
            <v>michele.holiday@eresby.lincs.sch.uk</v>
          </cell>
          <cell r="P4085">
            <v>41107</v>
          </cell>
        </row>
        <row r="4086">
          <cell r="A4086">
            <v>8885401</v>
          </cell>
          <cell r="B4086">
            <v>119810</v>
          </cell>
          <cell r="C4086">
            <v>888</v>
          </cell>
          <cell r="D4086" t="str">
            <v>Lancashire</v>
          </cell>
          <cell r="E4086">
            <v>5401</v>
          </cell>
          <cell r="F4086" t="str">
            <v>Susan Shakespeare</v>
          </cell>
          <cell r="G4086" t="str">
            <v>Lancaster Royal Grammar School (Boarding School)</v>
          </cell>
          <cell r="H4086" t="str">
            <v>North West</v>
          </cell>
          <cell r="I4086" t="str">
            <v>East Road</v>
          </cell>
          <cell r="L4086" t="str">
            <v>Lancaster</v>
          </cell>
          <cell r="M4086" t="str">
            <v>Lancashire</v>
          </cell>
          <cell r="N4086" t="str">
            <v>LA1 3EF</v>
          </cell>
          <cell r="O4086" t="str">
            <v>ajarman@lrgs.org.uk</v>
          </cell>
          <cell r="P4086">
            <v>40359</v>
          </cell>
        </row>
        <row r="4087">
          <cell r="A4087">
            <v>9095405</v>
          </cell>
          <cell r="B4087">
            <v>112432</v>
          </cell>
          <cell r="C4087">
            <v>909</v>
          </cell>
          <cell r="D4087" t="str">
            <v>Cumbria</v>
          </cell>
          <cell r="E4087">
            <v>5405</v>
          </cell>
          <cell r="F4087" t="str">
            <v>Susan Shakespeare</v>
          </cell>
          <cell r="G4087" t="str">
            <v>Dallam School (This school has boarding)</v>
          </cell>
          <cell r="H4087" t="str">
            <v>North West</v>
          </cell>
          <cell r="L4087" t="str">
            <v>Milnthorpe</v>
          </cell>
          <cell r="M4087" t="str">
            <v>Cumbria</v>
          </cell>
          <cell r="N4087" t="str">
            <v>LA7 7DD</v>
          </cell>
          <cell r="O4087" t="str">
            <v>s.holdup@dallam.eu</v>
          </cell>
          <cell r="P4087">
            <v>40350</v>
          </cell>
        </row>
        <row r="4088">
          <cell r="A4088">
            <v>8712194</v>
          </cell>
          <cell r="B4088">
            <v>109901</v>
          </cell>
          <cell r="C4088">
            <v>871</v>
          </cell>
          <cell r="D4088" t="str">
            <v>Slough</v>
          </cell>
          <cell r="E4088">
            <v>2194</v>
          </cell>
          <cell r="F4088" t="str">
            <v>Lindsay Morris</v>
          </cell>
          <cell r="G4088" t="str">
            <v>Cippenham Infant School</v>
          </cell>
          <cell r="H4088" t="str">
            <v>South East</v>
          </cell>
          <cell r="I4088" t="str">
            <v>Dennis Way</v>
          </cell>
          <cell r="J4088" t="str">
            <v>Cippenham</v>
          </cell>
          <cell r="L4088" t="str">
            <v>Slough</v>
          </cell>
          <cell r="M4088" t="str">
            <v>Berkshire</v>
          </cell>
          <cell r="N4088" t="str">
            <v>SL1 5JP</v>
          </cell>
          <cell r="O4088" t="str">
            <v>rcross@cippenham-inf.slough.sch.uk</v>
          </cell>
          <cell r="P4088">
            <v>40892</v>
          </cell>
        </row>
        <row r="4089">
          <cell r="A4089">
            <v>3123410</v>
          </cell>
          <cell r="B4089">
            <v>117709</v>
          </cell>
          <cell r="C4089">
            <v>312</v>
          </cell>
          <cell r="D4089" t="str">
            <v>Hillingdon</v>
          </cell>
          <cell r="E4089">
            <v>3410</v>
          </cell>
          <cell r="F4089" t="str">
            <v>Martin Rowley</v>
          </cell>
          <cell r="G4089" t="str">
            <v>Cowley St Laurence CofE Primary School</v>
          </cell>
          <cell r="H4089" t="str">
            <v>London</v>
          </cell>
          <cell r="I4089" t="str">
            <v>Worcester Road</v>
          </cell>
          <cell r="J4089" t="str">
            <v>Cowley</v>
          </cell>
          <cell r="L4089" t="str">
            <v>Uxbridge</v>
          </cell>
          <cell r="N4089" t="str">
            <v>UB8 3TH</v>
          </cell>
          <cell r="O4089" t="str">
            <v>ccole@hillingdongrid.org_x000D_
ccole@hillingdongrid.org</v>
          </cell>
          <cell r="P4089">
            <v>41172</v>
          </cell>
        </row>
        <row r="4090">
          <cell r="A4090">
            <v>9192337</v>
          </cell>
          <cell r="B4090">
            <v>117282</v>
          </cell>
          <cell r="C4090">
            <v>919</v>
          </cell>
          <cell r="D4090" t="str">
            <v>Hertfordshire</v>
          </cell>
          <cell r="E4090">
            <v>2337</v>
          </cell>
          <cell r="F4090" t="str">
            <v>Kish Chetty</v>
          </cell>
          <cell r="G4090" t="str">
            <v>The Hammond Primary School</v>
          </cell>
          <cell r="H4090" t="str">
            <v>East of England</v>
          </cell>
          <cell r="I4090" t="str">
            <v>Cambrian Way</v>
          </cell>
          <cell r="L4090" t="str">
            <v>Hemel Hempstead</v>
          </cell>
          <cell r="M4090" t="str">
            <v>Hertfordshire</v>
          </cell>
          <cell r="N4090" t="str">
            <v>HP2 5TD</v>
          </cell>
          <cell r="O4090" t="str">
            <v>gail.porterfield@hammond.herts.sch.uk</v>
          </cell>
          <cell r="P4090">
            <v>40638</v>
          </cell>
        </row>
        <row r="4091">
          <cell r="A4091">
            <v>3813010</v>
          </cell>
          <cell r="B4091">
            <v>107537</v>
          </cell>
          <cell r="C4091">
            <v>381</v>
          </cell>
          <cell r="D4091" t="str">
            <v>Calderdale</v>
          </cell>
          <cell r="E4091">
            <v>3010</v>
          </cell>
          <cell r="F4091" t="str">
            <v>Claire Ryan</v>
          </cell>
          <cell r="G4091" t="str">
            <v>Norland CofE Junior and Infant School</v>
          </cell>
          <cell r="H4091" t="str">
            <v>Yorkshire and the Humber</v>
          </cell>
          <cell r="I4091" t="str">
            <v>Berry Moor Road</v>
          </cell>
          <cell r="J4091" t="str">
            <v>Norland</v>
          </cell>
          <cell r="L4091" t="str">
            <v>Sowerby Bridge</v>
          </cell>
          <cell r="M4091" t="str">
            <v>West Yorkshire</v>
          </cell>
          <cell r="N4091" t="str">
            <v>HX6 3RN</v>
          </cell>
          <cell r="O4091" t="str">
            <v>admin@norland.calderdale.sch.uk</v>
          </cell>
          <cell r="P4091">
            <v>41239</v>
          </cell>
        </row>
        <row r="4092">
          <cell r="A4092">
            <v>8707001</v>
          </cell>
          <cell r="B4092">
            <v>110179</v>
          </cell>
          <cell r="C4092">
            <v>870</v>
          </cell>
          <cell r="D4092" t="str">
            <v>Reading</v>
          </cell>
          <cell r="E4092">
            <v>7001</v>
          </cell>
          <cell r="F4092" t="str">
            <v>Darren Francis</v>
          </cell>
          <cell r="G4092" t="str">
            <v>The Avenue School</v>
          </cell>
          <cell r="H4092" t="str">
            <v>South East</v>
          </cell>
          <cell r="I4092" t="str">
            <v>Conwy Close</v>
          </cell>
          <cell r="J4092" t="str">
            <v>Tilehurst</v>
          </cell>
          <cell r="L4092" t="str">
            <v>Reading</v>
          </cell>
          <cell r="M4092" t="str">
            <v>Berkshire</v>
          </cell>
          <cell r="N4092" t="str">
            <v>RG30 4BZ</v>
          </cell>
          <cell r="O4092" t="str">
            <v>head@avenue.reading.sch.uk</v>
          </cell>
          <cell r="P4092">
            <v>40499</v>
          </cell>
        </row>
        <row r="4093">
          <cell r="A4093">
            <v>3302444</v>
          </cell>
          <cell r="B4093">
            <v>103371</v>
          </cell>
          <cell r="C4093">
            <v>330</v>
          </cell>
          <cell r="D4093" t="str">
            <v>Birmingham</v>
          </cell>
          <cell r="E4093">
            <v>2444</v>
          </cell>
          <cell r="F4093" t="str">
            <v>Carol Dewhurst</v>
          </cell>
          <cell r="G4093" t="str">
            <v>Trescott Primary School</v>
          </cell>
          <cell r="H4093" t="str">
            <v>West Midlands</v>
          </cell>
          <cell r="I4093" t="str">
            <v>Trescott Road</v>
          </cell>
          <cell r="J4093" t="str">
            <v>Northfield</v>
          </cell>
          <cell r="L4093" t="str">
            <v>Birmingham</v>
          </cell>
          <cell r="M4093" t="str">
            <v>West Midlands</v>
          </cell>
          <cell r="N4093" t="str">
            <v>B31 5QD</v>
          </cell>
          <cell r="O4093" t="str">
            <v>enquiry@trescot.bham.sch.uk</v>
          </cell>
        </row>
        <row r="4094">
          <cell r="A4094">
            <v>8505414</v>
          </cell>
          <cell r="B4094">
            <v>116506</v>
          </cell>
          <cell r="C4094">
            <v>850</v>
          </cell>
          <cell r="D4094" t="str">
            <v>Hampshire</v>
          </cell>
          <cell r="E4094">
            <v>5414</v>
          </cell>
          <cell r="F4094" t="str">
            <v>Amanda Barrett</v>
          </cell>
          <cell r="G4094" t="str">
            <v>Purbrook Park School</v>
          </cell>
          <cell r="H4094" t="str">
            <v>South East</v>
          </cell>
          <cell r="I4094" t="str">
            <v>Park Avenue</v>
          </cell>
          <cell r="J4094" t="str">
            <v>Purbrook</v>
          </cell>
          <cell r="L4094" t="str">
            <v>Waterlooville</v>
          </cell>
          <cell r="M4094" t="str">
            <v>Hampshire</v>
          </cell>
          <cell r="N4094" t="str">
            <v>PO7 5DS</v>
          </cell>
          <cell r="O4094" t="str">
            <v>pfoxley@purbrook.hants.sch.uk</v>
          </cell>
        </row>
        <row r="4095">
          <cell r="A4095">
            <v>8817065</v>
          </cell>
          <cell r="B4095">
            <v>115473</v>
          </cell>
          <cell r="C4095">
            <v>881</v>
          </cell>
          <cell r="D4095" t="str">
            <v>Essex</v>
          </cell>
          <cell r="E4095">
            <v>7065</v>
          </cell>
          <cell r="F4095" t="str">
            <v>Claire Ivie</v>
          </cell>
          <cell r="G4095" t="str">
            <v>Market Field School</v>
          </cell>
          <cell r="H4095" t="str">
            <v>East of England</v>
          </cell>
          <cell r="I4095" t="str">
            <v>School Road</v>
          </cell>
          <cell r="J4095" t="str">
            <v>Elmstead Market</v>
          </cell>
          <cell r="L4095" t="str">
            <v>Colchester</v>
          </cell>
          <cell r="M4095" t="str">
            <v>Essex</v>
          </cell>
          <cell r="N4095" t="str">
            <v>CO7 7ET</v>
          </cell>
          <cell r="O4095" t="str">
            <v>headteacher@marketfield.essex.sch.uk</v>
          </cell>
        </row>
        <row r="4096">
          <cell r="A4096">
            <v>8735416</v>
          </cell>
          <cell r="B4096">
            <v>110862</v>
          </cell>
          <cell r="C4096">
            <v>873</v>
          </cell>
          <cell r="D4096" t="str">
            <v>Cambridgeshire</v>
          </cell>
          <cell r="E4096">
            <v>5416</v>
          </cell>
          <cell r="F4096" t="str">
            <v>Claire Ivie</v>
          </cell>
          <cell r="G4096" t="str">
            <v>Linton Village College</v>
          </cell>
          <cell r="H4096" t="str">
            <v>East of England</v>
          </cell>
          <cell r="I4096" t="str">
            <v>Cambridge Road</v>
          </cell>
          <cell r="J4096" t="str">
            <v>Linton</v>
          </cell>
          <cell r="L4096" t="str">
            <v>Cambridge</v>
          </cell>
          <cell r="M4096" t="str">
            <v>Cambridgeshire</v>
          </cell>
          <cell r="N4096" t="str">
            <v>CB21 4JB</v>
          </cell>
          <cell r="O4096" t="str">
            <v>caroline.derbyshire@lvc.org</v>
          </cell>
          <cell r="P4096">
            <v>40436</v>
          </cell>
        </row>
        <row r="4097">
          <cell r="A4097">
            <v>8921109</v>
          </cell>
          <cell r="B4097">
            <v>133164</v>
          </cell>
          <cell r="C4097">
            <v>892</v>
          </cell>
          <cell r="D4097" t="str">
            <v>Nottingham</v>
          </cell>
          <cell r="E4097">
            <v>1109</v>
          </cell>
          <cell r="F4097" t="str">
            <v>Not yet assigned</v>
          </cell>
          <cell r="G4097" t="str">
            <v>Hospital and Home Education PRU</v>
          </cell>
          <cell r="H4097" t="str">
            <v>East Midlands</v>
          </cell>
          <cell r="I4097" t="str">
            <v>Thorneywood Educationbase</v>
          </cell>
          <cell r="J4097" t="str">
            <v>Off the Wells Road</v>
          </cell>
          <cell r="K4097" t="str">
            <v>St Anns</v>
          </cell>
          <cell r="L4097" t="str">
            <v>Nottingham</v>
          </cell>
          <cell r="M4097" t="str">
            <v>Nottinghamshire</v>
          </cell>
          <cell r="N4097" t="str">
            <v>NG3 3AL</v>
          </cell>
          <cell r="O4097" t="str">
            <v>david.staveley@nottinghamcity.gov.uk</v>
          </cell>
        </row>
        <row r="4098">
          <cell r="A4098">
            <v>8662051</v>
          </cell>
          <cell r="B4098">
            <v>126197</v>
          </cell>
          <cell r="C4098">
            <v>866</v>
          </cell>
          <cell r="D4098" t="str">
            <v>Swindon</v>
          </cell>
          <cell r="E4098">
            <v>2051</v>
          </cell>
          <cell r="F4098" t="str">
            <v>Irene Nambi</v>
          </cell>
          <cell r="G4098" t="str">
            <v>Southfield Junior School</v>
          </cell>
          <cell r="H4098" t="str">
            <v>South West</v>
          </cell>
          <cell r="I4098" t="str">
            <v>Shrivenham Road</v>
          </cell>
          <cell r="J4098" t="str">
            <v>Highworth</v>
          </cell>
          <cell r="L4098" t="str">
            <v>Swindon</v>
          </cell>
          <cell r="M4098" t="str">
            <v>Wiltshire</v>
          </cell>
          <cell r="N4098" t="str">
            <v>SN6 7BZ</v>
          </cell>
          <cell r="O4098" t="str">
            <v>head@southfield-jun.swindon.sch.uk</v>
          </cell>
          <cell r="P4098">
            <v>40666</v>
          </cell>
        </row>
        <row r="4099">
          <cell r="A4099">
            <v>2062643</v>
          </cell>
          <cell r="B4099">
            <v>100427</v>
          </cell>
          <cell r="C4099">
            <v>206</v>
          </cell>
          <cell r="D4099" t="str">
            <v>Islington</v>
          </cell>
          <cell r="E4099">
            <v>2643</v>
          </cell>
          <cell r="F4099" t="str">
            <v>Sheila Longstaff</v>
          </cell>
          <cell r="G4099" t="str">
            <v>William Tyndale Primary School</v>
          </cell>
          <cell r="H4099" t="str">
            <v>London</v>
          </cell>
          <cell r="I4099" t="str">
            <v>Upper Street</v>
          </cell>
          <cell r="L4099" t="str">
            <v>London</v>
          </cell>
          <cell r="N4099" t="str">
            <v>N1 2GG</v>
          </cell>
          <cell r="O4099" t="str">
            <v>headteacher@williamtyndale.islington.sch.uk</v>
          </cell>
          <cell r="P4099">
            <v>40675</v>
          </cell>
        </row>
        <row r="4100">
          <cell r="A4100">
            <v>9082009</v>
          </cell>
          <cell r="B4100">
            <v>136070</v>
          </cell>
          <cell r="C4100">
            <v>908</v>
          </cell>
          <cell r="D4100" t="str">
            <v>Cornwall</v>
          </cell>
          <cell r="E4100">
            <v>2009</v>
          </cell>
          <cell r="F4100" t="str">
            <v>Theresa Oddelm</v>
          </cell>
          <cell r="G4100" t="str">
            <v>Carclaze Community Primary School</v>
          </cell>
          <cell r="H4100" t="str">
            <v>South West</v>
          </cell>
          <cell r="I4100" t="str">
            <v>St Piran's Close</v>
          </cell>
          <cell r="L4100" t="str">
            <v>St Austell</v>
          </cell>
          <cell r="M4100" t="str">
            <v>Cornwall</v>
          </cell>
          <cell r="N4100" t="str">
            <v>PL25 3TF</v>
          </cell>
          <cell r="O4100" t="str">
            <v>head@carclaze.cornwall.sch.uk</v>
          </cell>
        </row>
        <row r="4101">
          <cell r="A4101">
            <v>8554039</v>
          </cell>
          <cell r="B4101">
            <v>120261</v>
          </cell>
          <cell r="C4101">
            <v>855</v>
          </cell>
          <cell r="D4101" t="str">
            <v>Leicestershire</v>
          </cell>
          <cell r="E4101">
            <v>4039</v>
          </cell>
          <cell r="F4101" t="str">
            <v>Helen Whetter</v>
          </cell>
          <cell r="G4101" t="str">
            <v>Longslade Community College</v>
          </cell>
          <cell r="H4101" t="str">
            <v>East Midlands</v>
          </cell>
          <cell r="I4101" t="str">
            <v>Wanlip Lane</v>
          </cell>
          <cell r="J4101" t="str">
            <v>Birstall</v>
          </cell>
          <cell r="L4101" t="str">
            <v>Leicester</v>
          </cell>
          <cell r="M4101" t="str">
            <v>Leicestershire</v>
          </cell>
          <cell r="N4101" t="str">
            <v>LE4 4GH</v>
          </cell>
          <cell r="O4101" t="str">
            <v>elizabethhall@longslade.leics.sch.uk</v>
          </cell>
          <cell r="P4101">
            <v>40941</v>
          </cell>
        </row>
        <row r="4102">
          <cell r="A4102">
            <v>2105201</v>
          </cell>
          <cell r="B4102">
            <v>100852</v>
          </cell>
          <cell r="C4102">
            <v>210</v>
          </cell>
          <cell r="D4102" t="str">
            <v>Southwark</v>
          </cell>
          <cell r="E4102">
            <v>5201</v>
          </cell>
          <cell r="F4102" t="str">
            <v>Helen Barry</v>
          </cell>
          <cell r="G4102" t="str">
            <v>St Anthony's Catholic Primary School</v>
          </cell>
          <cell r="H4102" t="str">
            <v>London</v>
          </cell>
          <cell r="I4102" t="str">
            <v>Etherow Street</v>
          </cell>
          <cell r="J4102" t="str">
            <v>Dulwich</v>
          </cell>
          <cell r="L4102" t="str">
            <v>London</v>
          </cell>
          <cell r="N4102" t="str">
            <v>SE22 0LA</v>
          </cell>
          <cell r="O4102" t="str">
            <v>headteacher@stanthonys.southwark.sch.uk</v>
          </cell>
        </row>
        <row r="4103">
          <cell r="A4103">
            <v>3115400</v>
          </cell>
          <cell r="B4103">
            <v>102351</v>
          </cell>
          <cell r="C4103">
            <v>311</v>
          </cell>
          <cell r="D4103" t="str">
            <v>Havering</v>
          </cell>
          <cell r="E4103">
            <v>5400</v>
          </cell>
          <cell r="F4103" t="str">
            <v>Sheila Longstaff</v>
          </cell>
          <cell r="G4103" t="str">
            <v>The Frances Bardsley School for Girls</v>
          </cell>
          <cell r="H4103" t="str">
            <v>London</v>
          </cell>
          <cell r="I4103" t="str">
            <v>Brentwood Road</v>
          </cell>
          <cell r="L4103" t="str">
            <v>Romford</v>
          </cell>
          <cell r="M4103" t="str">
            <v>Essex</v>
          </cell>
          <cell r="N4103" t="str">
            <v>RM1 2RR</v>
          </cell>
          <cell r="O4103" t="str">
            <v>jdutnall@francesbardsley.havering.sch.uk</v>
          </cell>
          <cell r="P4103">
            <v>40953</v>
          </cell>
        </row>
        <row r="4104">
          <cell r="A4104">
            <v>9375401</v>
          </cell>
          <cell r="B4104">
            <v>125765</v>
          </cell>
          <cell r="C4104">
            <v>937</v>
          </cell>
          <cell r="D4104" t="str">
            <v>Warwickshire</v>
          </cell>
          <cell r="E4104">
            <v>5401</v>
          </cell>
          <cell r="F4104" t="str">
            <v>Stephen Bagnall</v>
          </cell>
          <cell r="G4104" t="str">
            <v>Ash Green School and Arts College</v>
          </cell>
          <cell r="H4104" t="str">
            <v>West Midlands</v>
          </cell>
          <cell r="I4104" t="str">
            <v>Ash Green Lane</v>
          </cell>
          <cell r="J4104" t="str">
            <v>Ash Green</v>
          </cell>
          <cell r="L4104" t="str">
            <v>Coventry</v>
          </cell>
          <cell r="M4104" t="str">
            <v>West Midlands</v>
          </cell>
          <cell r="N4104" t="str">
            <v>CV7 9AH</v>
          </cell>
          <cell r="O4104" t="str">
            <v>clay.a1@we-learn.com</v>
          </cell>
          <cell r="P4104">
            <v>40704</v>
          </cell>
        </row>
        <row r="4105">
          <cell r="A4105">
            <v>8604180</v>
          </cell>
          <cell r="B4105">
            <v>124444</v>
          </cell>
          <cell r="C4105">
            <v>860</v>
          </cell>
          <cell r="D4105" t="str">
            <v>Staffordshire</v>
          </cell>
          <cell r="E4105">
            <v>4180</v>
          </cell>
          <cell r="F4105" t="str">
            <v>Hannah Copp</v>
          </cell>
          <cell r="G4105" t="str">
            <v>Sir Graham Balfour High School</v>
          </cell>
          <cell r="H4105" t="str">
            <v>West Midlands</v>
          </cell>
          <cell r="I4105" t="str">
            <v>North Avenue</v>
          </cell>
          <cell r="L4105" t="str">
            <v>Stafford</v>
          </cell>
          <cell r="M4105" t="str">
            <v>Staffordshire</v>
          </cell>
          <cell r="N4105" t="str">
            <v>ST16 1NR</v>
          </cell>
          <cell r="O4105" t="str">
            <v>dwright@sirgrahambalfour.staffs.sch.uk</v>
          </cell>
          <cell r="P4105">
            <v>40819</v>
          </cell>
        </row>
        <row r="4106">
          <cell r="A4106">
            <v>8253305</v>
          </cell>
          <cell r="B4106">
            <v>110451</v>
          </cell>
          <cell r="C4106">
            <v>825</v>
          </cell>
          <cell r="D4106" t="str">
            <v>Buckinghamshire</v>
          </cell>
          <cell r="E4106">
            <v>3305</v>
          </cell>
          <cell r="F4106" t="str">
            <v>Darren Francis</v>
          </cell>
          <cell r="G4106" t="str">
            <v>Swanbourne Church of England VA School</v>
          </cell>
          <cell r="H4106" t="str">
            <v>South East</v>
          </cell>
          <cell r="I4106" t="str">
            <v>Winslow Road</v>
          </cell>
          <cell r="J4106" t="str">
            <v>Swanbourne</v>
          </cell>
          <cell r="L4106" t="str">
            <v>Milton Keynes</v>
          </cell>
          <cell r="M4106" t="str">
            <v>Buckinghamshire</v>
          </cell>
          <cell r="N4106" t="str">
            <v>MK17 0SW</v>
          </cell>
        </row>
        <row r="4107">
          <cell r="A4107">
            <v>8524262</v>
          </cell>
          <cell r="B4107">
            <v>116450</v>
          </cell>
          <cell r="C4107">
            <v>852</v>
          </cell>
          <cell r="D4107" t="str">
            <v>Southampton</v>
          </cell>
          <cell r="E4107">
            <v>4262</v>
          </cell>
          <cell r="F4107" t="str">
            <v>Lindsay Morris</v>
          </cell>
          <cell r="G4107" t="str">
            <v>Regents Park Community College</v>
          </cell>
          <cell r="H4107" t="str">
            <v>South East</v>
          </cell>
          <cell r="I4107" t="str">
            <v>King Edward Avenue</v>
          </cell>
          <cell r="J4107" t="str">
            <v>Shirley</v>
          </cell>
          <cell r="L4107" t="str">
            <v>Southampton</v>
          </cell>
          <cell r="M4107" t="str">
            <v>Hampshire</v>
          </cell>
          <cell r="N4107" t="str">
            <v>SO16 4GW</v>
          </cell>
          <cell r="O4107" t="str">
            <v>head@regentspark.southampton.sch.uk</v>
          </cell>
        </row>
        <row r="4108">
          <cell r="A4108">
            <v>8843037</v>
          </cell>
          <cell r="B4108">
            <v>116805</v>
          </cell>
          <cell r="C4108">
            <v>884</v>
          </cell>
          <cell r="D4108" t="str">
            <v>Herefordshire</v>
          </cell>
          <cell r="E4108">
            <v>3037</v>
          </cell>
          <cell r="F4108" t="str">
            <v>Julia Waterhouse</v>
          </cell>
          <cell r="G4108" t="str">
            <v>Eastnor Parochial Primary School</v>
          </cell>
          <cell r="H4108" t="str">
            <v>West Midlands</v>
          </cell>
          <cell r="I4108" t="str">
            <v>Eastnor</v>
          </cell>
          <cell r="L4108" t="str">
            <v>Ledbury</v>
          </cell>
          <cell r="M4108" t="str">
            <v>Herefordshire</v>
          </cell>
          <cell r="N4108" t="str">
            <v>HR8 1RA</v>
          </cell>
          <cell r="O4108" t="str">
            <v>head@eastnor.hereford.sch.uk</v>
          </cell>
        </row>
        <row r="4109">
          <cell r="A4109">
            <v>8733002</v>
          </cell>
          <cell r="B4109">
            <v>110782</v>
          </cell>
          <cell r="C4109">
            <v>873</v>
          </cell>
          <cell r="D4109" t="str">
            <v>Cambridgeshire</v>
          </cell>
          <cell r="E4109">
            <v>3002</v>
          </cell>
          <cell r="F4109" t="str">
            <v>Michael Corner</v>
          </cell>
          <cell r="G4109" t="str">
            <v>Bourn CofE Primary School</v>
          </cell>
          <cell r="H4109" t="str">
            <v>East of England</v>
          </cell>
          <cell r="I4109" t="str">
            <v>Riddy Lane</v>
          </cell>
          <cell r="J4109" t="str">
            <v>Bourn</v>
          </cell>
          <cell r="L4109" t="str">
            <v>Cambridge</v>
          </cell>
          <cell r="M4109" t="str">
            <v>Cambridgeshire</v>
          </cell>
          <cell r="N4109" t="str">
            <v>CB23 2SP</v>
          </cell>
          <cell r="O4109" t="str">
            <v>head@bourn.cambs.sch.uk</v>
          </cell>
          <cell r="P4109">
            <v>40731</v>
          </cell>
        </row>
        <row r="4110">
          <cell r="A4110">
            <v>8102861</v>
          </cell>
          <cell r="B4110">
            <v>117901</v>
          </cell>
          <cell r="C4110">
            <v>810</v>
          </cell>
          <cell r="D4110" t="str">
            <v>Kingston upon Hull City of</v>
          </cell>
          <cell r="E4110">
            <v>2861</v>
          </cell>
          <cell r="F4110" t="str">
            <v>Adriarna Goodinson</v>
          </cell>
          <cell r="G4110" t="str">
            <v>Biggin Hill Primary School</v>
          </cell>
          <cell r="H4110" t="str">
            <v>Yorkshire and the Humber</v>
          </cell>
          <cell r="I4110" t="str">
            <v>Biggin Avenue</v>
          </cell>
          <cell r="J4110" t="str">
            <v>Bransholme</v>
          </cell>
          <cell r="L4110" t="str">
            <v>Hull</v>
          </cell>
          <cell r="N4110" t="str">
            <v>HU7 4RL</v>
          </cell>
          <cell r="O4110" t="str">
            <v>head@bigginhill.hull.sch.uk</v>
          </cell>
          <cell r="P4110">
            <v>41051</v>
          </cell>
        </row>
        <row r="4111">
          <cell r="A4111">
            <v>8413514</v>
          </cell>
          <cell r="B4111">
            <v>134472</v>
          </cell>
          <cell r="C4111">
            <v>841</v>
          </cell>
          <cell r="D4111" t="str">
            <v>Darlington</v>
          </cell>
          <cell r="E4111">
            <v>3514</v>
          </cell>
          <cell r="F4111" t="str">
            <v>Alan Large</v>
          </cell>
          <cell r="G4111" t="str">
            <v>St George's CofE VA Primary School</v>
          </cell>
          <cell r="H4111" t="str">
            <v>North East</v>
          </cell>
          <cell r="I4111" t="str">
            <v>Neasham Road</v>
          </cell>
          <cell r="J4111" t="str">
            <v>Middleton St George</v>
          </cell>
          <cell r="L4111" t="str">
            <v>Darlington</v>
          </cell>
          <cell r="M4111" t="str">
            <v>County Durham</v>
          </cell>
          <cell r="N4111" t="str">
            <v>DL2 1LD</v>
          </cell>
          <cell r="O4111" t="str">
            <v>jgleeson@stgeorges.darlington.sch.uk</v>
          </cell>
          <cell r="P4111">
            <v>40927</v>
          </cell>
        </row>
        <row r="4112">
          <cell r="A4112">
            <v>8865205</v>
          </cell>
          <cell r="B4112">
            <v>118851</v>
          </cell>
          <cell r="C4112">
            <v>886</v>
          </cell>
          <cell r="D4112" t="str">
            <v>Kent</v>
          </cell>
          <cell r="E4112">
            <v>5205</v>
          </cell>
          <cell r="F4112" t="str">
            <v>Tony Dunne</v>
          </cell>
          <cell r="G4112" t="str">
            <v>Holy Family RC Primary School</v>
          </cell>
          <cell r="H4112" t="str">
            <v>South East</v>
          </cell>
          <cell r="I4112" t="str">
            <v>Bicknor Road</v>
          </cell>
          <cell r="J4112" t="str">
            <v>Park Wood</v>
          </cell>
          <cell r="L4112" t="str">
            <v>Maidstone</v>
          </cell>
          <cell r="M4112" t="str">
            <v>Kent</v>
          </cell>
          <cell r="N4112" t="str">
            <v>ME15 9PS</v>
          </cell>
        </row>
        <row r="4113">
          <cell r="A4113">
            <v>8815418</v>
          </cell>
          <cell r="B4113">
            <v>115334</v>
          </cell>
          <cell r="C4113">
            <v>881</v>
          </cell>
          <cell r="D4113" t="str">
            <v>Essex</v>
          </cell>
          <cell r="E4113">
            <v>5418</v>
          </cell>
          <cell r="F4113" t="str">
            <v>Claire Ivie</v>
          </cell>
          <cell r="G4113" t="str">
            <v>The Appleton School</v>
          </cell>
          <cell r="H4113" t="str">
            <v>East of England</v>
          </cell>
          <cell r="I4113" t="str">
            <v>Croft Road</v>
          </cell>
          <cell r="L4113" t="str">
            <v>Benfleet</v>
          </cell>
          <cell r="M4113" t="str">
            <v>Essex</v>
          </cell>
          <cell r="N4113" t="str">
            <v>SS7 5RN</v>
          </cell>
          <cell r="O4113" t="str">
            <v>kkerridge@theappletonschool.org</v>
          </cell>
          <cell r="P4113">
            <v>40527</v>
          </cell>
        </row>
        <row r="4114">
          <cell r="A4114">
            <v>3914716</v>
          </cell>
          <cell r="B4114">
            <v>108536</v>
          </cell>
          <cell r="C4114">
            <v>391</v>
          </cell>
          <cell r="D4114" t="str">
            <v>Newcastle upon Tyne</v>
          </cell>
          <cell r="E4114">
            <v>4716</v>
          </cell>
          <cell r="F4114" t="str">
            <v>Lisa Sargeant</v>
          </cell>
          <cell r="G4114" t="str">
            <v>Sacred Heart High School</v>
          </cell>
          <cell r="H4114" t="str">
            <v>North East</v>
          </cell>
          <cell r="I4114" t="str">
            <v>Fenham Hall Drive</v>
          </cell>
          <cell r="J4114" t="str">
            <v>Fenham</v>
          </cell>
          <cell r="L4114" t="str">
            <v>Newcastle-upon-Tyne</v>
          </cell>
          <cell r="M4114" t="str">
            <v>Tyne and Wear</v>
          </cell>
          <cell r="N4114" t="str">
            <v>NE4 9YH</v>
          </cell>
          <cell r="O4114" t="str">
            <v>pat.wager@sacredheart.newcastle.sch.uk</v>
          </cell>
          <cell r="P4114">
            <v>40820</v>
          </cell>
        </row>
        <row r="4115">
          <cell r="A4115">
            <v>8403517</v>
          </cell>
          <cell r="B4115">
            <v>134856</v>
          </cell>
          <cell r="C4115">
            <v>840</v>
          </cell>
          <cell r="D4115" t="str">
            <v>Durham</v>
          </cell>
          <cell r="E4115">
            <v>3517</v>
          </cell>
          <cell r="F4115" t="str">
            <v>Janet Smith</v>
          </cell>
          <cell r="G4115" t="str">
            <v>Murton Community Primary School</v>
          </cell>
          <cell r="H4115" t="str">
            <v>North East</v>
          </cell>
          <cell r="I4115" t="str">
            <v>Barnes Road</v>
          </cell>
          <cell r="J4115" t="str">
            <v>Murtin</v>
          </cell>
          <cell r="L4115" t="str">
            <v>Seaham</v>
          </cell>
          <cell r="M4115" t="str">
            <v>County Durham</v>
          </cell>
          <cell r="N4115" t="str">
            <v>SR7 9QR</v>
          </cell>
          <cell r="O4115" t="str">
            <v>p.scott104@durhamlearning.net</v>
          </cell>
          <cell r="P4115">
            <v>40963</v>
          </cell>
        </row>
        <row r="4116">
          <cell r="A4116">
            <v>3307016</v>
          </cell>
          <cell r="B4116">
            <v>103606</v>
          </cell>
          <cell r="C4116">
            <v>330</v>
          </cell>
          <cell r="D4116" t="str">
            <v>Birmingham</v>
          </cell>
          <cell r="E4116">
            <v>7016</v>
          </cell>
          <cell r="F4116" t="str">
            <v>Hannah Copp</v>
          </cell>
          <cell r="G4116" t="str">
            <v>Baskerville School</v>
          </cell>
          <cell r="H4116" t="str">
            <v>West Midlands</v>
          </cell>
          <cell r="I4116" t="str">
            <v>Fellows Lane</v>
          </cell>
          <cell r="J4116" t="str">
            <v>Harborne</v>
          </cell>
          <cell r="L4116" t="str">
            <v>Birmingham</v>
          </cell>
          <cell r="M4116" t="str">
            <v>West Midlands</v>
          </cell>
          <cell r="N4116" t="str">
            <v>B17 9TS</v>
          </cell>
          <cell r="O4116" t="str">
            <v>r.adams@baskvill.bham.sch.uk</v>
          </cell>
        </row>
        <row r="4117">
          <cell r="A4117">
            <v>3132038</v>
          </cell>
          <cell r="B4117">
            <v>102495</v>
          </cell>
          <cell r="C4117">
            <v>313</v>
          </cell>
          <cell r="D4117" t="str">
            <v>Hounslow</v>
          </cell>
          <cell r="E4117">
            <v>2038</v>
          </cell>
          <cell r="F4117" t="str">
            <v>Sheila Longstaff</v>
          </cell>
          <cell r="G4117" t="str">
            <v>Norwood Green Junior School</v>
          </cell>
          <cell r="H4117" t="str">
            <v>London</v>
          </cell>
          <cell r="I4117" t="str">
            <v>Thorncliffe Road</v>
          </cell>
          <cell r="L4117" t="str">
            <v>Southall</v>
          </cell>
          <cell r="N4117" t="str">
            <v>UB2 5RN</v>
          </cell>
          <cell r="O4117" t="str">
            <v>roz_lamb@yahoo.co.uk</v>
          </cell>
          <cell r="P4117">
            <v>41249</v>
          </cell>
        </row>
        <row r="4118">
          <cell r="A4118">
            <v>9214604</v>
          </cell>
          <cell r="B4118">
            <v>135552</v>
          </cell>
          <cell r="C4118">
            <v>921</v>
          </cell>
          <cell r="D4118" t="str">
            <v>Isle of Wight</v>
          </cell>
          <cell r="E4118">
            <v>4604</v>
          </cell>
          <cell r="F4118" t="str">
            <v>Lindsay Morris</v>
          </cell>
          <cell r="G4118" t="str">
            <v>Christ The King College</v>
          </cell>
          <cell r="H4118" t="str">
            <v>South East</v>
          </cell>
          <cell r="I4118" t="str">
            <v>Wellington Road</v>
          </cell>
          <cell r="L4118" t="str">
            <v>Newport</v>
          </cell>
          <cell r="M4118" t="str">
            <v>Isle of Wight</v>
          </cell>
          <cell r="N4118" t="str">
            <v>PO30 5QT</v>
          </cell>
          <cell r="O4118" t="str">
            <v>david.lisseter@christ-the-king.iow.sch.uk</v>
          </cell>
          <cell r="P4118">
            <v>40763</v>
          </cell>
        </row>
        <row r="4119">
          <cell r="A4119">
            <v>9194149</v>
          </cell>
          <cell r="B4119">
            <v>117545</v>
          </cell>
          <cell r="C4119">
            <v>919</v>
          </cell>
          <cell r="D4119" t="str">
            <v>Hertfordshire</v>
          </cell>
          <cell r="E4119">
            <v>4149</v>
          </cell>
          <cell r="F4119" t="str">
            <v>Beverley Samuel</v>
          </cell>
          <cell r="G4119" t="str">
            <v>Roysia Middle School</v>
          </cell>
          <cell r="H4119" t="str">
            <v>East of England</v>
          </cell>
          <cell r="I4119" t="str">
            <v>Burns Road</v>
          </cell>
          <cell r="L4119" t="str">
            <v>Royston</v>
          </cell>
          <cell r="M4119" t="str">
            <v>Hertfordshire</v>
          </cell>
          <cell r="N4119" t="str">
            <v>SG8 5EQ</v>
          </cell>
          <cell r="O4119" t="str">
            <v>head@roysia.herts.sch.uk</v>
          </cell>
          <cell r="P4119">
            <v>40602</v>
          </cell>
        </row>
        <row r="4120">
          <cell r="A4120">
            <v>8792693</v>
          </cell>
          <cell r="B4120">
            <v>113314</v>
          </cell>
          <cell r="C4120">
            <v>879</v>
          </cell>
          <cell r="D4120" t="str">
            <v>Plymouth</v>
          </cell>
          <cell r="E4120">
            <v>2693</v>
          </cell>
          <cell r="F4120" t="str">
            <v>Nigel Hutchins</v>
          </cell>
          <cell r="G4120" t="str">
            <v>Oreston Community Primary School</v>
          </cell>
          <cell r="H4120" t="str">
            <v>South West</v>
          </cell>
          <cell r="I4120" t="str">
            <v>Oreston Road</v>
          </cell>
          <cell r="J4120" t="str">
            <v>Plymstock</v>
          </cell>
          <cell r="L4120" t="str">
            <v>Plymouth</v>
          </cell>
          <cell r="M4120" t="str">
            <v>Devon</v>
          </cell>
          <cell r="N4120" t="str">
            <v>PL9 7JY</v>
          </cell>
          <cell r="O4120" t="str">
            <v>ackersmack@aol.com</v>
          </cell>
          <cell r="P4120">
            <v>40450</v>
          </cell>
        </row>
        <row r="4121">
          <cell r="A4121">
            <v>8222052</v>
          </cell>
          <cell r="B4121">
            <v>109454</v>
          </cell>
          <cell r="C4121">
            <v>822</v>
          </cell>
          <cell r="D4121" t="str">
            <v>Bedford</v>
          </cell>
          <cell r="E4121">
            <v>2052</v>
          </cell>
          <cell r="F4121" t="str">
            <v>Michael Cook</v>
          </cell>
          <cell r="G4121" t="str">
            <v>Great Barford Lower School</v>
          </cell>
          <cell r="H4121" t="str">
            <v>East of England</v>
          </cell>
          <cell r="I4121" t="str">
            <v>Silver Street</v>
          </cell>
          <cell r="J4121" t="str">
            <v>Great Barford</v>
          </cell>
          <cell r="L4121" t="str">
            <v>Bedford</v>
          </cell>
          <cell r="M4121" t="str">
            <v>Bedfordshire</v>
          </cell>
          <cell r="N4121" t="str">
            <v>MK44 3JU</v>
          </cell>
          <cell r="O4121" t="str">
            <v>a.snelling@schools.bedfordshire.gov.uk</v>
          </cell>
        </row>
        <row r="4122">
          <cell r="A4122">
            <v>8404691</v>
          </cell>
          <cell r="B4122">
            <v>114326</v>
          </cell>
          <cell r="C4122">
            <v>840</v>
          </cell>
          <cell r="D4122" t="str">
            <v>Durham</v>
          </cell>
          <cell r="E4122">
            <v>4691</v>
          </cell>
          <cell r="F4122" t="str">
            <v>Jane Moore</v>
          </cell>
          <cell r="G4122" t="str">
            <v>St Leonard's Roman Catholic Voluntary Aided Comprehensive School</v>
          </cell>
          <cell r="H4122" t="str">
            <v>North East</v>
          </cell>
          <cell r="I4122" t="str">
            <v>North End</v>
          </cell>
          <cell r="L4122" t="str">
            <v>Durham</v>
          </cell>
          <cell r="N4122" t="str">
            <v>DH1 4NG</v>
          </cell>
          <cell r="O4122" t="str">
            <v>scampbell@st-leonards.durham.sch.uk</v>
          </cell>
        </row>
        <row r="4123">
          <cell r="A4123">
            <v>3145400</v>
          </cell>
          <cell r="B4123">
            <v>102605</v>
          </cell>
          <cell r="C4123">
            <v>314</v>
          </cell>
          <cell r="D4123" t="str">
            <v>Kingston upon Thames</v>
          </cell>
          <cell r="E4123">
            <v>5400</v>
          </cell>
          <cell r="F4123" t="str">
            <v>Bola Bakrin</v>
          </cell>
          <cell r="G4123" t="str">
            <v>Tiffin School</v>
          </cell>
          <cell r="H4123" t="str">
            <v>London</v>
          </cell>
          <cell r="I4123" t="str">
            <v>Queen Elizabeth Road</v>
          </cell>
          <cell r="L4123" t="str">
            <v>Kingston upon Thames</v>
          </cell>
          <cell r="M4123" t="str">
            <v>Surrey</v>
          </cell>
          <cell r="N4123" t="str">
            <v>KT2 6RL</v>
          </cell>
          <cell r="O4123" t="str">
            <v>hedwards@tiffin.kingston.sch.uk</v>
          </cell>
          <cell r="P4123">
            <v>40500</v>
          </cell>
        </row>
        <row r="4124">
          <cell r="A4124">
            <v>9353113</v>
          </cell>
          <cell r="B4124">
            <v>124750</v>
          </cell>
          <cell r="C4124">
            <v>935</v>
          </cell>
          <cell r="D4124" t="str">
            <v>Suffolk</v>
          </cell>
          <cell r="E4124">
            <v>3113</v>
          </cell>
          <cell r="F4124" t="str">
            <v>Joe Farrell</v>
          </cell>
          <cell r="G4124" t="str">
            <v>Worlingworth Church of England Voluntary Controlled Primary School</v>
          </cell>
          <cell r="H4124" t="str">
            <v>East of England</v>
          </cell>
          <cell r="I4124" t="str">
            <v>Worlingworth</v>
          </cell>
          <cell r="J4124" t="str">
            <v>Shop Street</v>
          </cell>
          <cell r="L4124" t="str">
            <v>Woodbridge</v>
          </cell>
          <cell r="M4124" t="str">
            <v>Suffolk</v>
          </cell>
          <cell r="N4124" t="str">
            <v>IP13 7HX</v>
          </cell>
        </row>
        <row r="4125">
          <cell r="A4125">
            <v>8263389</v>
          </cell>
          <cell r="B4125">
            <v>135107</v>
          </cell>
          <cell r="C4125">
            <v>826</v>
          </cell>
          <cell r="D4125" t="str">
            <v>Milton Keynes</v>
          </cell>
          <cell r="E4125">
            <v>3389</v>
          </cell>
          <cell r="F4125" t="str">
            <v>Sarah Nairne</v>
          </cell>
          <cell r="G4125" t="str">
            <v>Tickford Park Primary School</v>
          </cell>
          <cell r="H4125" t="str">
            <v>South East</v>
          </cell>
          <cell r="I4125" t="str">
            <v>Avon Close</v>
          </cell>
          <cell r="L4125" t="str">
            <v>Newport Pagnell</v>
          </cell>
          <cell r="M4125" t="str">
            <v>Buckinghamshire</v>
          </cell>
          <cell r="N4125" t="str">
            <v>MK16 9DH</v>
          </cell>
          <cell r="O4125" t="str">
            <v>Tickfordpark@milton-keynes.gov.uk</v>
          </cell>
        </row>
        <row r="4126">
          <cell r="A4126">
            <v>8525417</v>
          </cell>
          <cell r="B4126">
            <v>116509</v>
          </cell>
          <cell r="C4126">
            <v>852</v>
          </cell>
          <cell r="D4126" t="str">
            <v>Southampton</v>
          </cell>
          <cell r="E4126">
            <v>5417</v>
          </cell>
          <cell r="F4126" t="str">
            <v>Maryam Jabbari</v>
          </cell>
          <cell r="G4126" t="str">
            <v>St Anne's Catholic School</v>
          </cell>
          <cell r="H4126" t="str">
            <v>South East</v>
          </cell>
          <cell r="I4126" t="str">
            <v>Carlton Road</v>
          </cell>
          <cell r="L4126" t="str">
            <v>Southampton</v>
          </cell>
          <cell r="M4126" t="str">
            <v>Hampshire</v>
          </cell>
          <cell r="N4126" t="str">
            <v>SO15 2WZ</v>
          </cell>
          <cell r="O4126" t="str">
            <v>head@st-annes.southampton.sch.uk</v>
          </cell>
          <cell r="P4126">
            <v>41045</v>
          </cell>
        </row>
        <row r="4127">
          <cell r="A4127">
            <v>8812681</v>
          </cell>
          <cell r="B4127">
            <v>114946</v>
          </cell>
          <cell r="C4127">
            <v>881</v>
          </cell>
          <cell r="D4127" t="str">
            <v>Essex</v>
          </cell>
          <cell r="E4127">
            <v>2681</v>
          </cell>
          <cell r="F4127" t="str">
            <v>Claire Ivie</v>
          </cell>
          <cell r="G4127" t="str">
            <v>South Green Junior School</v>
          </cell>
          <cell r="H4127" t="str">
            <v>East of England</v>
          </cell>
          <cell r="I4127" t="str">
            <v>Hickstars Lane</v>
          </cell>
          <cell r="J4127" t="str">
            <v>South Green</v>
          </cell>
          <cell r="L4127" t="str">
            <v>Billericay</v>
          </cell>
          <cell r="M4127" t="str">
            <v>Essex</v>
          </cell>
          <cell r="N4127" t="str">
            <v>CM12 9RJ</v>
          </cell>
          <cell r="O4127" t="str">
            <v>admin@southgreen-jun.essex.sch.uk</v>
          </cell>
        </row>
        <row r="4128">
          <cell r="A4128">
            <v>9283030</v>
          </cell>
          <cell r="B4128">
            <v>121972</v>
          </cell>
          <cell r="C4128">
            <v>928</v>
          </cell>
          <cell r="D4128" t="str">
            <v>Northamptonshire</v>
          </cell>
          <cell r="E4128">
            <v>3030</v>
          </cell>
          <cell r="F4128" t="str">
            <v>Sue Harp</v>
          </cell>
          <cell r="G4128" t="str">
            <v>Geddington Church of England Primary School</v>
          </cell>
          <cell r="H4128" t="str">
            <v>East Midlands</v>
          </cell>
          <cell r="I4128" t="str">
            <v>Wood Street</v>
          </cell>
          <cell r="J4128" t="str">
            <v>Geddington</v>
          </cell>
          <cell r="L4128" t="str">
            <v>Kettering</v>
          </cell>
          <cell r="M4128" t="str">
            <v>Northamptonshire</v>
          </cell>
          <cell r="N4128" t="str">
            <v>NN14 1BG</v>
          </cell>
          <cell r="O4128" t="str">
            <v>head@geddington.northants-ecl.gov.uk</v>
          </cell>
        </row>
        <row r="4129">
          <cell r="A4129">
            <v>8853001</v>
          </cell>
          <cell r="B4129">
            <v>116781</v>
          </cell>
          <cell r="C4129">
            <v>885</v>
          </cell>
          <cell r="D4129" t="str">
            <v>Worcestershire</v>
          </cell>
          <cell r="E4129">
            <v>3001</v>
          </cell>
          <cell r="F4129" t="str">
            <v>Alison Middleton</v>
          </cell>
          <cell r="G4129" t="str">
            <v>Bayton CE Primary School</v>
          </cell>
          <cell r="H4129" t="str">
            <v>West Midlands</v>
          </cell>
          <cell r="I4129" t="str">
            <v>Bayton</v>
          </cell>
          <cell r="L4129" t="str">
            <v>Near Kidderminster</v>
          </cell>
          <cell r="M4129" t="str">
            <v>Worcestershire</v>
          </cell>
          <cell r="N4129" t="str">
            <v>DY14 9LG</v>
          </cell>
          <cell r="O4129" t="str">
            <v>head@baytonpri.worcs.sch.uk</v>
          </cell>
        </row>
        <row r="4130">
          <cell r="A4130">
            <v>9262042</v>
          </cell>
          <cell r="B4130">
            <v>120800</v>
          </cell>
          <cell r="C4130">
            <v>926</v>
          </cell>
          <cell r="D4130" t="str">
            <v>Norfolk</v>
          </cell>
          <cell r="E4130">
            <v>2042</v>
          </cell>
          <cell r="F4130" t="str">
            <v>Joe Farrell</v>
          </cell>
          <cell r="G4130" t="str">
            <v>Costessey Infant School</v>
          </cell>
          <cell r="H4130" t="str">
            <v>East of England</v>
          </cell>
          <cell r="I4130" t="str">
            <v>Beaumont Road</v>
          </cell>
          <cell r="J4130" t="str">
            <v>Costessey</v>
          </cell>
          <cell r="L4130" t="str">
            <v>Norwich</v>
          </cell>
          <cell r="M4130" t="str">
            <v>Norfolk</v>
          </cell>
          <cell r="N4130" t="str">
            <v>NR5 0HG</v>
          </cell>
        </row>
        <row r="4131">
          <cell r="A4131">
            <v>8254501</v>
          </cell>
          <cell r="B4131">
            <v>110512</v>
          </cell>
          <cell r="C4131">
            <v>825</v>
          </cell>
          <cell r="D4131" t="str">
            <v>Buckinghamshire</v>
          </cell>
          <cell r="E4131">
            <v>4501</v>
          </cell>
          <cell r="F4131" t="str">
            <v>Darren Francis</v>
          </cell>
          <cell r="G4131" t="str">
            <v>Royal Latin School</v>
          </cell>
          <cell r="H4131" t="str">
            <v>South East</v>
          </cell>
          <cell r="I4131" t="str">
            <v>Chandos Road</v>
          </cell>
          <cell r="L4131" t="str">
            <v>Buckingham</v>
          </cell>
          <cell r="M4131" t="str">
            <v>Buckinghamshire</v>
          </cell>
          <cell r="N4131" t="str">
            <v>MK18 1AX</v>
          </cell>
          <cell r="O4131" t="str">
            <v>dhudson@royallatin.bucks.sch.uk</v>
          </cell>
          <cell r="P4131">
            <v>40652</v>
          </cell>
        </row>
        <row r="4132">
          <cell r="A4132">
            <v>9282220</v>
          </cell>
          <cell r="B4132">
            <v>121954</v>
          </cell>
          <cell r="C4132">
            <v>928</v>
          </cell>
          <cell r="D4132" t="str">
            <v>Northamptonshire</v>
          </cell>
          <cell r="E4132">
            <v>2220</v>
          </cell>
          <cell r="F4132" t="str">
            <v>Sue Harp</v>
          </cell>
          <cell r="G4132" t="str">
            <v>Simon de Senlis Primary School</v>
          </cell>
          <cell r="H4132" t="str">
            <v>East Midlands</v>
          </cell>
          <cell r="I4132" t="str">
            <v>Hilldrop Road</v>
          </cell>
          <cell r="J4132" t="str">
            <v>East Hunsbury</v>
          </cell>
          <cell r="L4132" t="str">
            <v>Northampton</v>
          </cell>
          <cell r="M4132" t="str">
            <v>Northamptonshire</v>
          </cell>
          <cell r="N4132" t="str">
            <v>NN4 0PH</v>
          </cell>
          <cell r="O4132" t="str">
            <v>head@simondesenlis.northants-ecl.gov.uk</v>
          </cell>
        </row>
        <row r="4133">
          <cell r="A4133">
            <v>9372642</v>
          </cell>
          <cell r="B4133">
            <v>133350</v>
          </cell>
          <cell r="C4133">
            <v>937</v>
          </cell>
          <cell r="D4133" t="str">
            <v>Warwickshire</v>
          </cell>
          <cell r="E4133">
            <v>2642</v>
          </cell>
          <cell r="F4133" t="str">
            <v>Liz Robinson</v>
          </cell>
          <cell r="G4133" t="str">
            <v>Woodside CofE Controlled Primary School</v>
          </cell>
          <cell r="H4133" t="str">
            <v>West Midlands</v>
          </cell>
          <cell r="I4133" t="str">
            <v>Maypole Lane</v>
          </cell>
          <cell r="J4133" t="str">
            <v>Grendon</v>
          </cell>
          <cell r="L4133" t="str">
            <v>Atherstone</v>
          </cell>
          <cell r="M4133" t="str">
            <v>Warwickshire</v>
          </cell>
          <cell r="N4133" t="str">
            <v>CV9 2BS</v>
          </cell>
          <cell r="O4133" t="str">
            <v>head2642@we-learn.com</v>
          </cell>
          <cell r="P4133">
            <v>41199</v>
          </cell>
        </row>
        <row r="4134">
          <cell r="A4134">
            <v>8815269</v>
          </cell>
          <cell r="B4134">
            <v>115309</v>
          </cell>
          <cell r="C4134">
            <v>881</v>
          </cell>
          <cell r="D4134" t="str">
            <v>Essex</v>
          </cell>
          <cell r="E4134">
            <v>5269</v>
          </cell>
          <cell r="F4134" t="str">
            <v>Claire Ivie</v>
          </cell>
          <cell r="G4134" t="str">
            <v>Thomas Willingale School</v>
          </cell>
          <cell r="H4134" t="str">
            <v>East of England</v>
          </cell>
          <cell r="I4134" t="str">
            <v>The Broadway</v>
          </cell>
          <cell r="L4134" t="str">
            <v>Loughton</v>
          </cell>
          <cell r="M4134" t="str">
            <v>Essex</v>
          </cell>
          <cell r="N4134" t="str">
            <v>IG10 3SR</v>
          </cell>
          <cell r="O4134" t="str">
            <v>admin@thomaswillingale.essex.sch.uk</v>
          </cell>
        </row>
        <row r="4135">
          <cell r="A4135">
            <v>9163365</v>
          </cell>
          <cell r="B4135">
            <v>115714</v>
          </cell>
          <cell r="C4135">
            <v>916</v>
          </cell>
          <cell r="D4135" t="str">
            <v>Gloucestershire</v>
          </cell>
          <cell r="E4135">
            <v>3365</v>
          </cell>
          <cell r="F4135" t="str">
            <v>Not yet assigned</v>
          </cell>
          <cell r="G4135" t="str">
            <v>Barnwood Church of England Primary School</v>
          </cell>
          <cell r="H4135" t="str">
            <v>South West</v>
          </cell>
          <cell r="I4135" t="str">
            <v>Colin Road</v>
          </cell>
          <cell r="J4135" t="str">
            <v>Barnwood</v>
          </cell>
          <cell r="L4135" t="str">
            <v>Gloucester</v>
          </cell>
          <cell r="M4135" t="str">
            <v>Gloucestershire</v>
          </cell>
          <cell r="N4135" t="str">
            <v>GL4 3JP</v>
          </cell>
          <cell r="O4135" t="str">
            <v>head@barnwood.gloucs.sch.uk</v>
          </cell>
        </row>
        <row r="4136">
          <cell r="A4136">
            <v>8762689</v>
          </cell>
          <cell r="B4136">
            <v>111210</v>
          </cell>
          <cell r="C4136">
            <v>876</v>
          </cell>
          <cell r="D4136" t="str">
            <v>Halton</v>
          </cell>
          <cell r="E4136">
            <v>2689</v>
          </cell>
          <cell r="F4136" t="str">
            <v>Maria Sabberton</v>
          </cell>
          <cell r="G4136" t="str">
            <v>Hallwood Park Primary School and Nursery</v>
          </cell>
          <cell r="H4136" t="str">
            <v>North West</v>
          </cell>
          <cell r="I4136" t="str">
            <v>Hallwood Park Avenue</v>
          </cell>
          <cell r="J4136" t="str">
            <v>Hallwood Park</v>
          </cell>
          <cell r="L4136" t="str">
            <v>Runcorn</v>
          </cell>
          <cell r="M4136" t="str">
            <v>Cheshire</v>
          </cell>
          <cell r="N4136" t="str">
            <v>WA7 2FL</v>
          </cell>
          <cell r="O4136" t="str">
            <v>head.hallwoodpark@halton.gov.uk</v>
          </cell>
        </row>
        <row r="4137">
          <cell r="A4137">
            <v>3044006</v>
          </cell>
          <cell r="B4137">
            <v>101550</v>
          </cell>
          <cell r="C4137">
            <v>304</v>
          </cell>
          <cell r="D4137" t="str">
            <v>Brent</v>
          </cell>
          <cell r="E4137">
            <v>4006</v>
          </cell>
          <cell r="F4137" t="str">
            <v>Martin Rowley</v>
          </cell>
          <cell r="G4137" t="str">
            <v>Wembley High Technology College</v>
          </cell>
          <cell r="H4137" t="str">
            <v>London</v>
          </cell>
          <cell r="I4137" t="str">
            <v>East Lane</v>
          </cell>
          <cell r="L4137" t="str">
            <v>Wembley</v>
          </cell>
          <cell r="M4137" t="str">
            <v>Middlesex</v>
          </cell>
          <cell r="N4137" t="str">
            <v>HA0 3NT</v>
          </cell>
          <cell r="O4137" t="str">
            <v>gbal@whtc.co.uk</v>
          </cell>
          <cell r="P4137">
            <v>41038</v>
          </cell>
        </row>
        <row r="4138">
          <cell r="A4138">
            <v>8782048</v>
          </cell>
          <cell r="B4138">
            <v>113098</v>
          </cell>
          <cell r="C4138">
            <v>878</v>
          </cell>
          <cell r="D4138" t="str">
            <v>Devon</v>
          </cell>
          <cell r="E4138">
            <v>2048</v>
          </cell>
          <cell r="F4138" t="str">
            <v>Not yet assigned</v>
          </cell>
          <cell r="G4138" t="str">
            <v>Honiton Primary School</v>
          </cell>
          <cell r="H4138" t="str">
            <v>South West</v>
          </cell>
          <cell r="I4138" t="str">
            <v>Clapper Lane</v>
          </cell>
          <cell r="L4138" t="str">
            <v>Honiton</v>
          </cell>
          <cell r="M4138" t="str">
            <v>Devon</v>
          </cell>
          <cell r="N4138" t="str">
            <v>EX14 1QF</v>
          </cell>
          <cell r="O4138" t="str">
            <v>head@honiton-pri.devon.sch.uk</v>
          </cell>
        </row>
        <row r="4139">
          <cell r="A4139">
            <v>3302461</v>
          </cell>
          <cell r="B4139">
            <v>103387</v>
          </cell>
          <cell r="C4139">
            <v>330</v>
          </cell>
          <cell r="D4139" t="str">
            <v>Birmingham</v>
          </cell>
          <cell r="E4139">
            <v>2461</v>
          </cell>
          <cell r="F4139" t="str">
            <v>Christine West</v>
          </cell>
          <cell r="G4139" t="str">
            <v>Mansfield Green Community School</v>
          </cell>
          <cell r="H4139" t="str">
            <v>West Midlands</v>
          </cell>
          <cell r="I4139" t="str">
            <v>Albert Road</v>
          </cell>
          <cell r="J4139" t="str">
            <v>Aston</v>
          </cell>
          <cell r="L4139" t="str">
            <v>Birmingham</v>
          </cell>
          <cell r="M4139" t="str">
            <v>West Midlands</v>
          </cell>
          <cell r="N4139" t="str">
            <v>B6 5NH</v>
          </cell>
          <cell r="O4139" t="str">
            <v>enquiry@manfldgn.bham.sch.uk</v>
          </cell>
        </row>
        <row r="4140">
          <cell r="A4140">
            <v>2115400</v>
          </cell>
          <cell r="B4140">
            <v>100979</v>
          </cell>
          <cell r="C4140">
            <v>211</v>
          </cell>
          <cell r="D4140" t="str">
            <v>Tower Hamlets</v>
          </cell>
          <cell r="E4140">
            <v>5400</v>
          </cell>
          <cell r="F4140" t="str">
            <v>Sheila Longstaff</v>
          </cell>
          <cell r="G4140" t="str">
            <v>Raine's Foundation School</v>
          </cell>
          <cell r="H4140" t="str">
            <v>London</v>
          </cell>
          <cell r="I4140" t="str">
            <v>Approach Road</v>
          </cell>
          <cell r="J4140" t="str">
            <v>Bethnal Green</v>
          </cell>
          <cell r="L4140" t="str">
            <v>London</v>
          </cell>
          <cell r="N4140" t="str">
            <v>E2 9LY</v>
          </cell>
          <cell r="O4140" t="str">
            <v>g.clubb@rainesfoundation.org.uk</v>
          </cell>
          <cell r="P4140">
            <v>41243</v>
          </cell>
        </row>
        <row r="4141">
          <cell r="A4141">
            <v>8784058</v>
          </cell>
          <cell r="B4141">
            <v>113513</v>
          </cell>
          <cell r="C4141">
            <v>878</v>
          </cell>
          <cell r="D4141" t="str">
            <v>Devon</v>
          </cell>
          <cell r="E4141">
            <v>4058</v>
          </cell>
          <cell r="F4141" t="str">
            <v>Theresa Oddelm</v>
          </cell>
          <cell r="G4141" t="str">
            <v>Ilfracombe Arts College</v>
          </cell>
          <cell r="H4141" t="str">
            <v>South West</v>
          </cell>
          <cell r="I4141" t="str">
            <v>Worth Road</v>
          </cell>
          <cell r="L4141" t="str">
            <v>Ilfracombe</v>
          </cell>
          <cell r="M4141" t="str">
            <v>Devon</v>
          </cell>
          <cell r="N4141" t="str">
            <v>EX34 9JB</v>
          </cell>
          <cell r="O4141" t="str">
            <v>sbarnes@ilfracombecollege.devon.sch.uk</v>
          </cell>
        </row>
        <row r="4142">
          <cell r="A4142">
            <v>9364463</v>
          </cell>
          <cell r="B4142">
            <v>125271</v>
          </cell>
          <cell r="C4142">
            <v>936</v>
          </cell>
          <cell r="D4142" t="str">
            <v>Surrey</v>
          </cell>
          <cell r="E4142">
            <v>4463</v>
          </cell>
          <cell r="F4142" t="str">
            <v>Gabriela Grimley</v>
          </cell>
          <cell r="G4142" t="str">
            <v>Ash Manor School</v>
          </cell>
          <cell r="H4142" t="str">
            <v>South East</v>
          </cell>
          <cell r="I4142" t="str">
            <v>Manor Road</v>
          </cell>
          <cell r="J4142" t="str">
            <v>Ash</v>
          </cell>
          <cell r="L4142" t="str">
            <v>Aldershot</v>
          </cell>
          <cell r="M4142" t="str">
            <v>Hampshire</v>
          </cell>
          <cell r="N4142" t="str">
            <v>GU12 6QH</v>
          </cell>
          <cell r="O4142" t="str">
            <v>dgarrido@ashmanorschool.com</v>
          </cell>
        </row>
        <row r="4143">
          <cell r="A4143">
            <v>8854576</v>
          </cell>
          <cell r="B4143">
            <v>116984</v>
          </cell>
          <cell r="C4143">
            <v>885</v>
          </cell>
          <cell r="D4143" t="str">
            <v>Worcestershire</v>
          </cell>
          <cell r="E4143">
            <v>4576</v>
          </cell>
          <cell r="F4143" t="str">
            <v>Carla Spink</v>
          </cell>
          <cell r="G4143" t="str">
            <v>Evesham, St Egwin's CofE Middle School</v>
          </cell>
          <cell r="H4143" t="str">
            <v>West Midlands</v>
          </cell>
          <cell r="I4143" t="str">
            <v>Worcester Road</v>
          </cell>
          <cell r="L4143" t="str">
            <v>Evesham</v>
          </cell>
          <cell r="M4143" t="str">
            <v>Worcestershire</v>
          </cell>
          <cell r="N4143" t="str">
            <v>WR11 4JU</v>
          </cell>
          <cell r="O4143" t="str">
            <v>head@st-egwins.worcs.sch.uk</v>
          </cell>
        </row>
        <row r="4144">
          <cell r="A4144">
            <v>8665220</v>
          </cell>
          <cell r="B4144">
            <v>126494</v>
          </cell>
          <cell r="C4144">
            <v>866</v>
          </cell>
          <cell r="D4144" t="str">
            <v>Swindon</v>
          </cell>
          <cell r="E4144">
            <v>5220</v>
          </cell>
          <cell r="F4144" t="str">
            <v>Nigel Mills</v>
          </cell>
          <cell r="G4144" t="str">
            <v>St Mary's Catholic Primary School</v>
          </cell>
          <cell r="H4144" t="str">
            <v>South West</v>
          </cell>
          <cell r="I4144" t="str">
            <v>Bessemer Road East</v>
          </cell>
          <cell r="L4144" t="str">
            <v>Swindon</v>
          </cell>
          <cell r="M4144" t="str">
            <v>Wiltshire</v>
          </cell>
          <cell r="N4144" t="str">
            <v>SN2 1PE</v>
          </cell>
          <cell r="O4144" t="str">
            <v>head@st-marys.swindon.sch.uk</v>
          </cell>
          <cell r="P4144">
            <v>40641</v>
          </cell>
        </row>
        <row r="4145">
          <cell r="A4145">
            <v>3034022</v>
          </cell>
          <cell r="B4145">
            <v>101468</v>
          </cell>
          <cell r="C4145">
            <v>303</v>
          </cell>
          <cell r="D4145" t="str">
            <v>Bexley</v>
          </cell>
          <cell r="E4145">
            <v>4022</v>
          </cell>
          <cell r="F4145" t="str">
            <v>Ed Schuldt</v>
          </cell>
          <cell r="G4145" t="str">
            <v>Erith School</v>
          </cell>
          <cell r="H4145" t="str">
            <v>London</v>
          </cell>
          <cell r="I4145" t="str">
            <v>Avenue Road</v>
          </cell>
          <cell r="L4145" t="str">
            <v>Erith</v>
          </cell>
          <cell r="M4145" t="str">
            <v>Kent</v>
          </cell>
          <cell r="N4145" t="str">
            <v>DA8 3BN</v>
          </cell>
          <cell r="O4145" t="str">
            <v>julie.turner@erith.kent.sch.uk</v>
          </cell>
          <cell r="P4145">
            <v>40345</v>
          </cell>
        </row>
        <row r="4146">
          <cell r="A4146">
            <v>2112043</v>
          </cell>
          <cell r="B4146">
            <v>100890</v>
          </cell>
          <cell r="C4146">
            <v>211</v>
          </cell>
          <cell r="D4146" t="str">
            <v>Tower Hamlets</v>
          </cell>
          <cell r="E4146">
            <v>2043</v>
          </cell>
          <cell r="F4146" t="str">
            <v>Martin Rowley</v>
          </cell>
          <cell r="G4146" t="str">
            <v>Ben Jonson Primary School</v>
          </cell>
          <cell r="H4146" t="str">
            <v>London</v>
          </cell>
          <cell r="I4146" t="str">
            <v>Harford Street</v>
          </cell>
          <cell r="J4146" t="str">
            <v>Stepney</v>
          </cell>
          <cell r="L4146" t="str">
            <v>London</v>
          </cell>
          <cell r="N4146" t="str">
            <v>E1 4PZ</v>
          </cell>
          <cell r="O4146" t="str">
            <v>melaniejanerose@hotmail.co.uk</v>
          </cell>
        </row>
        <row r="4147">
          <cell r="A4147">
            <v>8512659</v>
          </cell>
          <cell r="B4147">
            <v>116191</v>
          </cell>
          <cell r="C4147">
            <v>851</v>
          </cell>
          <cell r="D4147" t="str">
            <v>Portsmouth</v>
          </cell>
          <cell r="E4147">
            <v>2659</v>
          </cell>
          <cell r="F4147" t="str">
            <v>Eric Mcewen</v>
          </cell>
          <cell r="G4147" t="str">
            <v>Northern Parade Infant School</v>
          </cell>
          <cell r="H4147" t="str">
            <v>South East</v>
          </cell>
          <cell r="I4147" t="str">
            <v>Kipling Road</v>
          </cell>
          <cell r="J4147" t="str">
            <v>Hilsea</v>
          </cell>
          <cell r="L4147" t="str">
            <v>Portsmouth</v>
          </cell>
          <cell r="M4147" t="str">
            <v>Hampshire</v>
          </cell>
          <cell r="N4147" t="str">
            <v>PO2 9NJ</v>
          </cell>
        </row>
        <row r="4148">
          <cell r="A4148">
            <v>3045403</v>
          </cell>
          <cell r="B4148">
            <v>101560</v>
          </cell>
          <cell r="C4148">
            <v>304</v>
          </cell>
          <cell r="D4148" t="str">
            <v>Brent</v>
          </cell>
          <cell r="E4148">
            <v>5403</v>
          </cell>
          <cell r="F4148" t="str">
            <v>Martin Rowley</v>
          </cell>
          <cell r="G4148" t="str">
            <v>Queens Park Community School</v>
          </cell>
          <cell r="H4148" t="str">
            <v>London</v>
          </cell>
          <cell r="I4148" t="str">
            <v>Aylestone Avenue</v>
          </cell>
          <cell r="L4148" t="str">
            <v>London</v>
          </cell>
          <cell r="N4148" t="str">
            <v>NW6 7BQ</v>
          </cell>
          <cell r="O4148" t="str">
            <v>mhulme@qpcs.brent.sch.uk</v>
          </cell>
          <cell r="P4148">
            <v>41053</v>
          </cell>
        </row>
        <row r="4149">
          <cell r="A4149">
            <v>8804114</v>
          </cell>
          <cell r="B4149">
            <v>113523</v>
          </cell>
          <cell r="C4149">
            <v>880</v>
          </cell>
          <cell r="D4149" t="str">
            <v>Torbay</v>
          </cell>
          <cell r="E4149">
            <v>4114</v>
          </cell>
          <cell r="F4149" t="str">
            <v>Nigel Hutchins</v>
          </cell>
          <cell r="G4149" t="str">
            <v>Torquay Girl's Grammar school</v>
          </cell>
          <cell r="H4149" t="str">
            <v>South West</v>
          </cell>
          <cell r="I4149" t="str">
            <v>30 Shiphay Lane</v>
          </cell>
          <cell r="L4149" t="str">
            <v>Torquay</v>
          </cell>
          <cell r="M4149" t="str">
            <v>Devon</v>
          </cell>
          <cell r="N4149" t="str">
            <v>TQ2 7DY</v>
          </cell>
          <cell r="O4149" t="str">
            <v>nsmith@tggs.torbay.sch.uk</v>
          </cell>
          <cell r="P4149">
            <v>40507</v>
          </cell>
        </row>
        <row r="4150">
          <cell r="A4150">
            <v>8882551</v>
          </cell>
          <cell r="B4150">
            <v>119303</v>
          </cell>
          <cell r="C4150">
            <v>888</v>
          </cell>
          <cell r="D4150" t="str">
            <v>Lancashire</v>
          </cell>
          <cell r="E4150">
            <v>2551</v>
          </cell>
          <cell r="F4150" t="str">
            <v>Linda Quinn</v>
          </cell>
          <cell r="G4150" t="str">
            <v>Moorside Community Primary School</v>
          </cell>
          <cell r="H4150" t="str">
            <v>North West</v>
          </cell>
          <cell r="I4150" t="str">
            <v>Back Lane</v>
          </cell>
          <cell r="J4150" t="str">
            <v>Holland Moor</v>
          </cell>
          <cell r="L4150" t="str">
            <v>Skelmersdale</v>
          </cell>
          <cell r="M4150" t="str">
            <v>Lancashire</v>
          </cell>
          <cell r="N4150" t="str">
            <v>WN8 9EA</v>
          </cell>
          <cell r="O4150" t="str">
            <v>head@moorside.lancs.sch.uk</v>
          </cell>
          <cell r="P4150">
            <v>41218</v>
          </cell>
        </row>
        <row r="4151">
          <cell r="A4151">
            <v>3843329</v>
          </cell>
          <cell r="B4151">
            <v>108262</v>
          </cell>
          <cell r="C4151">
            <v>384</v>
          </cell>
          <cell r="D4151" t="str">
            <v>Wakefield</v>
          </cell>
          <cell r="E4151">
            <v>3329</v>
          </cell>
          <cell r="F4151" t="str">
            <v>Tony Bretherick</v>
          </cell>
          <cell r="G4151" t="str">
            <v>Sacred Heart Catholic Primary School</v>
          </cell>
          <cell r="H4151" t="str">
            <v>Yorkshire and the Humber</v>
          </cell>
          <cell r="I4151" t="str">
            <v>Highfield Road</v>
          </cell>
          <cell r="J4151" t="str">
            <v>Hemsworth</v>
          </cell>
          <cell r="L4151" t="str">
            <v>Pontefract</v>
          </cell>
          <cell r="M4151" t="str">
            <v>West Yorkshire</v>
          </cell>
          <cell r="N4151" t="str">
            <v>WF9 4LJ</v>
          </cell>
          <cell r="O4151" t="str">
            <v>headteacher@sacredheart.wakefield.sch.uk</v>
          </cell>
          <cell r="P4151">
            <v>41017</v>
          </cell>
        </row>
        <row r="4152">
          <cell r="A4152">
            <v>3195406</v>
          </cell>
          <cell r="B4152">
            <v>103013</v>
          </cell>
          <cell r="C4152">
            <v>319</v>
          </cell>
          <cell r="D4152" t="str">
            <v>Sutton</v>
          </cell>
          <cell r="E4152">
            <v>5406</v>
          </cell>
          <cell r="F4152" t="str">
            <v>Bola Bakrin</v>
          </cell>
          <cell r="G4152" t="str">
            <v>St Philomena's School</v>
          </cell>
          <cell r="H4152" t="str">
            <v>London</v>
          </cell>
          <cell r="I4152" t="str">
            <v>Pound Street</v>
          </cell>
          <cell r="L4152" t="str">
            <v>Carshalton</v>
          </cell>
          <cell r="M4152" t="str">
            <v>Surrey</v>
          </cell>
          <cell r="N4152" t="str">
            <v>SM5 3PS</v>
          </cell>
        </row>
        <row r="4153">
          <cell r="A4153">
            <v>9263013</v>
          </cell>
          <cell r="B4153">
            <v>121028</v>
          </cell>
          <cell r="C4153">
            <v>926</v>
          </cell>
          <cell r="D4153" t="str">
            <v>Norfolk</v>
          </cell>
          <cell r="E4153">
            <v>3013</v>
          </cell>
          <cell r="F4153" t="str">
            <v>Claire Read</v>
          </cell>
          <cell r="G4153" t="str">
            <v>Brockdish Church of England Voluntary Controlled Primary School</v>
          </cell>
          <cell r="H4153" t="str">
            <v>East of England</v>
          </cell>
          <cell r="I4153" t="str">
            <v>Grove Road</v>
          </cell>
          <cell r="J4153" t="str">
            <v>Brockdish</v>
          </cell>
          <cell r="L4153" t="str">
            <v>Diss</v>
          </cell>
          <cell r="M4153" t="str">
            <v>Norfolk</v>
          </cell>
          <cell r="N4153" t="str">
            <v>IP21 4JP</v>
          </cell>
          <cell r="O4153" t="str">
            <v>head@brockdish.norfolk.sch.uk</v>
          </cell>
        </row>
        <row r="4154">
          <cell r="A4154">
            <v>3813322</v>
          </cell>
          <cell r="B4154">
            <v>107553</v>
          </cell>
          <cell r="C4154">
            <v>381</v>
          </cell>
          <cell r="D4154" t="str">
            <v>Calderdale</v>
          </cell>
          <cell r="E4154">
            <v>3322</v>
          </cell>
          <cell r="F4154" t="str">
            <v>Lisa Sargeant</v>
          </cell>
          <cell r="G4154" t="str">
            <v>St John's CofE VA Primary School, Rishworth</v>
          </cell>
          <cell r="H4154" t="str">
            <v>Yorkshire and the Humber</v>
          </cell>
          <cell r="I4154" t="str">
            <v>Godly Lane</v>
          </cell>
          <cell r="J4154" t="str">
            <v>Rishworth</v>
          </cell>
          <cell r="L4154" t="str">
            <v>Sowerby Bridge</v>
          </cell>
          <cell r="M4154" t="str">
            <v>West Yorkshire</v>
          </cell>
          <cell r="N4154" t="str">
            <v>HX6 4QR</v>
          </cell>
          <cell r="O4154" t="str">
            <v>philip.simpson@st-johns-rishworth.calderdale.sch.uk</v>
          </cell>
          <cell r="P4154">
            <v>41031</v>
          </cell>
        </row>
        <row r="4155">
          <cell r="A4155">
            <v>8862329</v>
          </cell>
          <cell r="B4155">
            <v>118406</v>
          </cell>
          <cell r="C4155">
            <v>886</v>
          </cell>
          <cell r="D4155" t="str">
            <v>Kent</v>
          </cell>
          <cell r="E4155">
            <v>2329</v>
          </cell>
          <cell r="F4155" t="str">
            <v>Nicky Edwards</v>
          </cell>
          <cell r="G4155" t="str">
            <v>Callis Grange Nursery and Infant School</v>
          </cell>
          <cell r="H4155" t="str">
            <v>South East</v>
          </cell>
          <cell r="I4155" t="str">
            <v>Beacon Road</v>
          </cell>
          <cell r="L4155" t="str">
            <v>Broadstairs</v>
          </cell>
          <cell r="M4155" t="str">
            <v>Kent</v>
          </cell>
          <cell r="N4155" t="str">
            <v>CT10 3DG</v>
          </cell>
          <cell r="O4155" t="str">
            <v>headteacher@callis-grange.kent.sch.uk</v>
          </cell>
        </row>
        <row r="4156">
          <cell r="A4156">
            <v>3304334</v>
          </cell>
          <cell r="B4156">
            <v>133306</v>
          </cell>
          <cell r="C4156">
            <v>330</v>
          </cell>
          <cell r="D4156" t="str">
            <v>Birmingham</v>
          </cell>
          <cell r="E4156">
            <v>4334</v>
          </cell>
          <cell r="F4156" t="str">
            <v>Hannah Copp</v>
          </cell>
          <cell r="G4156" t="str">
            <v>Al-Hijrah Secondary School</v>
          </cell>
          <cell r="H4156" t="str">
            <v>West Midlands</v>
          </cell>
          <cell r="I4156" t="str">
            <v>Cherrywood Centre</v>
          </cell>
          <cell r="J4156" t="str">
            <v>Burbidge Road</v>
          </cell>
          <cell r="K4156" t="str">
            <v>Bordesley Green</v>
          </cell>
          <cell r="L4156" t="str">
            <v>Birmingham</v>
          </cell>
          <cell r="M4156" t="str">
            <v>West Midlands</v>
          </cell>
          <cell r="N4156" t="str">
            <v>B9 4US</v>
          </cell>
        </row>
        <row r="4157">
          <cell r="A4157">
            <v>3903318</v>
          </cell>
          <cell r="B4157">
            <v>108384</v>
          </cell>
          <cell r="C4157">
            <v>390</v>
          </cell>
          <cell r="D4157" t="str">
            <v>Gateshead</v>
          </cell>
          <cell r="E4157">
            <v>3318</v>
          </cell>
          <cell r="F4157" t="str">
            <v>Carol Blain</v>
          </cell>
          <cell r="G4157" t="str">
            <v>St Oswald's Roman Catholic Voluntary Aided Primary School</v>
          </cell>
          <cell r="H4157" t="str">
            <v>North East</v>
          </cell>
          <cell r="I4157" t="str">
            <v>Easington Avenue</v>
          </cell>
          <cell r="J4157" t="str">
            <v>Wrekenton</v>
          </cell>
          <cell r="L4157" t="str">
            <v>Gateshead</v>
          </cell>
          <cell r="M4157" t="str">
            <v>Tyne and Wear</v>
          </cell>
          <cell r="N4157" t="str">
            <v>NE9 7LH</v>
          </cell>
          <cell r="O4157" t="str">
            <v>stoswaldsrcprimaryschool@gateshead.gov.uk</v>
          </cell>
        </row>
        <row r="4158">
          <cell r="A4158">
            <v>3444018</v>
          </cell>
          <cell r="B4158">
            <v>105097</v>
          </cell>
          <cell r="C4158">
            <v>344</v>
          </cell>
          <cell r="D4158" t="str">
            <v>Wirral</v>
          </cell>
          <cell r="E4158">
            <v>4018</v>
          </cell>
          <cell r="F4158" t="str">
            <v>Maria Sabberton</v>
          </cell>
          <cell r="G4158" t="str">
            <v>Ridgeway High School</v>
          </cell>
          <cell r="H4158" t="str">
            <v>North West</v>
          </cell>
          <cell r="I4158" t="str">
            <v>Noctorum Avenue</v>
          </cell>
          <cell r="J4158" t="str">
            <v>Noctorum</v>
          </cell>
          <cell r="L4158" t="str">
            <v>Prenton</v>
          </cell>
          <cell r="M4158" t="str">
            <v>Merseyside</v>
          </cell>
          <cell r="N4158" t="str">
            <v>CH43 9EB</v>
          </cell>
          <cell r="O4158" t="str">
            <v>robertsp@ridgeway.wirral.sch.uk</v>
          </cell>
          <cell r="P4158">
            <v>40359</v>
          </cell>
        </row>
        <row r="4159">
          <cell r="A4159">
            <v>9312597</v>
          </cell>
          <cell r="B4159">
            <v>123082</v>
          </cell>
          <cell r="C4159">
            <v>931</v>
          </cell>
          <cell r="D4159" t="str">
            <v>Oxfordshire</v>
          </cell>
          <cell r="E4159">
            <v>2597</v>
          </cell>
          <cell r="F4159" t="str">
            <v>Bukky Sawyerr</v>
          </cell>
          <cell r="G4159" t="str">
            <v>Manor School</v>
          </cell>
          <cell r="H4159" t="str">
            <v>South East</v>
          </cell>
          <cell r="I4159" t="str">
            <v>Lydalls Close</v>
          </cell>
          <cell r="L4159" t="str">
            <v>Didcot</v>
          </cell>
          <cell r="M4159" t="str">
            <v>Oxfordshire</v>
          </cell>
          <cell r="N4159" t="str">
            <v>OX11 7LB</v>
          </cell>
          <cell r="O4159" t="str">
            <v>head.2597@manor-didcot.oxon.sch.uk</v>
          </cell>
          <cell r="P4159">
            <v>41241</v>
          </cell>
        </row>
        <row r="4160">
          <cell r="A4160">
            <v>8603028</v>
          </cell>
          <cell r="B4160">
            <v>124234</v>
          </cell>
          <cell r="C4160">
            <v>860</v>
          </cell>
          <cell r="D4160" t="str">
            <v>Staffordshire</v>
          </cell>
          <cell r="E4160">
            <v>3028</v>
          </cell>
          <cell r="F4160" t="str">
            <v>Stephen Bagnall</v>
          </cell>
          <cell r="G4160" t="str">
            <v>Berkswich CofE (VC) Primary School</v>
          </cell>
          <cell r="H4160" t="str">
            <v>West Midlands</v>
          </cell>
          <cell r="I4160" t="str">
            <v>Cedar Way</v>
          </cell>
          <cell r="J4160" t="str">
            <v>Walton-on-the-Hill</v>
          </cell>
          <cell r="L4160" t="str">
            <v>Stafford</v>
          </cell>
          <cell r="M4160" t="str">
            <v>Staffordshire</v>
          </cell>
          <cell r="N4160" t="str">
            <v>ST17 0LU</v>
          </cell>
          <cell r="O4160" t="str">
            <v>headteacher@berkswich.staffs.sch.uk</v>
          </cell>
        </row>
        <row r="4161">
          <cell r="A4161">
            <v>3412098</v>
          </cell>
          <cell r="B4161">
            <v>104557</v>
          </cell>
          <cell r="C4161">
            <v>341</v>
          </cell>
          <cell r="D4161" t="str">
            <v>Liverpool</v>
          </cell>
          <cell r="E4161">
            <v>2098</v>
          </cell>
          <cell r="F4161" t="str">
            <v>Maria Sabberton</v>
          </cell>
          <cell r="G4161" t="str">
            <v>Matthew Arnold Primary School</v>
          </cell>
          <cell r="H4161" t="str">
            <v>North West</v>
          </cell>
          <cell r="I4161" t="str">
            <v>Dingle Lane</v>
          </cell>
          <cell r="L4161" t="str">
            <v>Liverpool</v>
          </cell>
          <cell r="M4161" t="str">
            <v>Merseyside</v>
          </cell>
          <cell r="N4161" t="str">
            <v>L8 9UB</v>
          </cell>
          <cell r="O4161" t="str">
            <v>head@matthewarnold.co.uk</v>
          </cell>
        </row>
        <row r="4162">
          <cell r="A4162">
            <v>8815223</v>
          </cell>
          <cell r="B4162">
            <v>115263</v>
          </cell>
          <cell r="C4162">
            <v>881</v>
          </cell>
          <cell r="D4162" t="str">
            <v>Essex</v>
          </cell>
          <cell r="E4162">
            <v>5223</v>
          </cell>
          <cell r="F4162" t="str">
            <v>Alan Large</v>
          </cell>
          <cell r="G4162" t="str">
            <v>St Thomas More Catholic Primary School, Saffron Walden</v>
          </cell>
          <cell r="H4162" t="str">
            <v>East of England</v>
          </cell>
          <cell r="I4162" t="str">
            <v>South Road</v>
          </cell>
          <cell r="L4162" t="str">
            <v>Saffron Walden</v>
          </cell>
          <cell r="M4162" t="str">
            <v>Essex</v>
          </cell>
          <cell r="N4162" t="str">
            <v>CB11 3DW</v>
          </cell>
          <cell r="O4162" t="str">
            <v>hallfamhall@btinternet.com</v>
          </cell>
          <cell r="P4162">
            <v>40673</v>
          </cell>
        </row>
        <row r="4163">
          <cell r="A4163">
            <v>3182024</v>
          </cell>
          <cell r="B4163">
            <v>102901</v>
          </cell>
          <cell r="C4163">
            <v>318</v>
          </cell>
          <cell r="D4163" t="str">
            <v>Richmond upon Thames</v>
          </cell>
          <cell r="E4163">
            <v>2024</v>
          </cell>
          <cell r="F4163" t="str">
            <v>Tahir Shams</v>
          </cell>
          <cell r="G4163" t="str">
            <v>Trafalgar Infant School</v>
          </cell>
          <cell r="H4163" t="str">
            <v>London</v>
          </cell>
          <cell r="I4163" t="str">
            <v>Elmsleigh Road</v>
          </cell>
          <cell r="L4163" t="str">
            <v>Twickenham</v>
          </cell>
          <cell r="N4163" t="str">
            <v>TW2 5EG</v>
          </cell>
          <cell r="O4163" t="str">
            <v xml:space="preserve"> l.thompson@trafalgar-inf.richmond.sch.uk</v>
          </cell>
        </row>
        <row r="4164">
          <cell r="A4164">
            <v>9254049</v>
          </cell>
          <cell r="B4164">
            <v>120649</v>
          </cell>
          <cell r="C4164">
            <v>925</v>
          </cell>
          <cell r="D4164" t="str">
            <v>Lincolnshire</v>
          </cell>
          <cell r="E4164">
            <v>4049</v>
          </cell>
          <cell r="F4164" t="str">
            <v>Grant Dyson</v>
          </cell>
          <cell r="G4164" t="str">
            <v>Caistor Yarborough School</v>
          </cell>
          <cell r="H4164" t="str">
            <v>East Midlands</v>
          </cell>
          <cell r="I4164" t="str">
            <v>Grimsby Road</v>
          </cell>
          <cell r="J4164" t="str">
            <v>Caistor</v>
          </cell>
          <cell r="L4164" t="str">
            <v>Market Rasen</v>
          </cell>
          <cell r="M4164" t="str">
            <v>Lincolnshire</v>
          </cell>
          <cell r="N4164" t="str">
            <v>LN7 6QZ</v>
          </cell>
          <cell r="O4164" t="str">
            <v>Jeremy.Newnham@Caistor-yarborough.lincs.sch.uk</v>
          </cell>
          <cell r="P4164">
            <v>40564</v>
          </cell>
        </row>
        <row r="4165">
          <cell r="A4165">
            <v>8553009</v>
          </cell>
          <cell r="B4165">
            <v>120113</v>
          </cell>
          <cell r="C4165">
            <v>855</v>
          </cell>
          <cell r="D4165" t="str">
            <v>Leicestershire</v>
          </cell>
          <cell r="E4165">
            <v>3009</v>
          </cell>
          <cell r="F4165" t="str">
            <v>Stephen Standret</v>
          </cell>
          <cell r="G4165" t="str">
            <v>Barwell Church of England Junior School</v>
          </cell>
          <cell r="H4165" t="str">
            <v>East Midlands</v>
          </cell>
          <cell r="I4165" t="str">
            <v>High Street</v>
          </cell>
          <cell r="J4165" t="str">
            <v>Barwell</v>
          </cell>
          <cell r="L4165" t="str">
            <v>Leicester</v>
          </cell>
          <cell r="M4165" t="str">
            <v>Leicestershire</v>
          </cell>
          <cell r="N4165" t="str">
            <v>LE9 8DS</v>
          </cell>
          <cell r="O4165" t="str">
            <v>brendad1@barwell-jun.leics.sch.uk</v>
          </cell>
          <cell r="P4165">
            <v>41106</v>
          </cell>
        </row>
        <row r="4166">
          <cell r="A4166">
            <v>3724024</v>
          </cell>
          <cell r="B4166">
            <v>106960</v>
          </cell>
          <cell r="C4166">
            <v>372</v>
          </cell>
          <cell r="D4166" t="str">
            <v>Rotherham</v>
          </cell>
          <cell r="E4166">
            <v>4024</v>
          </cell>
          <cell r="F4166" t="str">
            <v>Colin Knights</v>
          </cell>
          <cell r="G4166" t="str">
            <v>Brinsworth Comprehensive School</v>
          </cell>
          <cell r="H4166" t="str">
            <v>Yorkshire and the Humber</v>
          </cell>
          <cell r="I4166" t="str">
            <v>Brinsworth Road</v>
          </cell>
          <cell r="J4166" t="str">
            <v>Brinsworth</v>
          </cell>
          <cell r="L4166" t="str">
            <v>Rotherham</v>
          </cell>
          <cell r="M4166" t="str">
            <v>South Yorkshire</v>
          </cell>
          <cell r="N4166" t="str">
            <v>S60 5EJ</v>
          </cell>
          <cell r="O4166" t="str">
            <v>bcsfone.richard@rgfl.org</v>
          </cell>
          <cell r="P4166">
            <v>40354</v>
          </cell>
        </row>
        <row r="4167">
          <cell r="A4167">
            <v>8134074</v>
          </cell>
          <cell r="B4167">
            <v>118087</v>
          </cell>
          <cell r="C4167">
            <v>813</v>
          </cell>
          <cell r="D4167" t="str">
            <v>North Lincolnshire</v>
          </cell>
          <cell r="E4167">
            <v>4074</v>
          </cell>
          <cell r="F4167" t="str">
            <v>Bev Annables</v>
          </cell>
          <cell r="G4167" t="str">
            <v>Huntcliff School</v>
          </cell>
          <cell r="H4167" t="str">
            <v>Yorkshire and the Humber</v>
          </cell>
          <cell r="I4167" t="str">
            <v>Redbourne Mere</v>
          </cell>
          <cell r="L4167" t="str">
            <v>Gainsborough</v>
          </cell>
          <cell r="M4167" t="str">
            <v>Lincolnshire</v>
          </cell>
          <cell r="N4167" t="str">
            <v>DN21 4NN</v>
          </cell>
          <cell r="O4167" t="str">
            <v>SBond@huntcliffschool.co.uk</v>
          </cell>
          <cell r="P4167">
            <v>40714</v>
          </cell>
        </row>
        <row r="4168">
          <cell r="A4168">
            <v>3302139</v>
          </cell>
          <cell r="B4168">
            <v>103236</v>
          </cell>
          <cell r="C4168">
            <v>330</v>
          </cell>
          <cell r="D4168" t="str">
            <v>Birmingham</v>
          </cell>
          <cell r="E4168">
            <v>2139</v>
          </cell>
          <cell r="F4168" t="str">
            <v>Ruth Pallister</v>
          </cell>
          <cell r="G4168" t="str">
            <v>Nansen Primary School</v>
          </cell>
          <cell r="H4168" t="str">
            <v>West Midlands</v>
          </cell>
          <cell r="I4168" t="str">
            <v>Naseby Road</v>
          </cell>
          <cell r="L4168" t="str">
            <v>Birmingham</v>
          </cell>
          <cell r="M4168" t="str">
            <v>West Midlands</v>
          </cell>
          <cell r="N4168" t="str">
            <v>B8 3HG</v>
          </cell>
          <cell r="O4168" t="str">
            <v>enquiry@nansen.bham.sch.uk</v>
          </cell>
        </row>
        <row r="4169">
          <cell r="A4169">
            <v>3062046</v>
          </cell>
          <cell r="B4169">
            <v>101741</v>
          </cell>
          <cell r="C4169">
            <v>306</v>
          </cell>
          <cell r="D4169" t="str">
            <v>Croydon</v>
          </cell>
          <cell r="E4169">
            <v>2046</v>
          </cell>
          <cell r="F4169" t="str">
            <v>Helen Barry</v>
          </cell>
          <cell r="G4169" t="str">
            <v>West Thornton Primary School</v>
          </cell>
          <cell r="H4169" t="str">
            <v>London</v>
          </cell>
          <cell r="I4169" t="str">
            <v>Rosecourt Road</v>
          </cell>
          <cell r="L4169" t="str">
            <v>Croydon</v>
          </cell>
          <cell r="M4169" t="str">
            <v>Surrey</v>
          </cell>
          <cell r="N4169" t="str">
            <v>CR0 3BS</v>
          </cell>
          <cell r="O4169" t="str">
            <v>stuartrobs@yahoo.co.uk</v>
          </cell>
          <cell r="P4169">
            <v>40557</v>
          </cell>
        </row>
        <row r="4170">
          <cell r="A4170">
            <v>8352202</v>
          </cell>
          <cell r="B4170">
            <v>113709</v>
          </cell>
          <cell r="C4170">
            <v>835</v>
          </cell>
          <cell r="D4170" t="str">
            <v>Dorset</v>
          </cell>
          <cell r="E4170">
            <v>2202</v>
          </cell>
          <cell r="F4170" t="str">
            <v>Kate Bosher</v>
          </cell>
          <cell r="G4170" t="str">
            <v>Brackenbury Infant School and Community Nursery</v>
          </cell>
          <cell r="H4170" t="str">
            <v>South West</v>
          </cell>
          <cell r="I4170" t="str">
            <v>Three Yards Close</v>
          </cell>
          <cell r="J4170" t="str">
            <v>Fortuneswell</v>
          </cell>
          <cell r="L4170" t="str">
            <v>Portland</v>
          </cell>
          <cell r="M4170" t="str">
            <v>Dorset</v>
          </cell>
          <cell r="N4170" t="str">
            <v>DT5 1JN</v>
          </cell>
        </row>
        <row r="4171">
          <cell r="A4171">
            <v>9167015</v>
          </cell>
          <cell r="B4171">
            <v>115821</v>
          </cell>
          <cell r="C4171">
            <v>916</v>
          </cell>
          <cell r="D4171" t="str">
            <v>Gloucestershire</v>
          </cell>
          <cell r="E4171">
            <v>7015</v>
          </cell>
          <cell r="F4171" t="str">
            <v>Gabriela Grimley</v>
          </cell>
          <cell r="G4171" t="str">
            <v>Bettridge School</v>
          </cell>
          <cell r="H4171" t="str">
            <v>South West</v>
          </cell>
          <cell r="I4171" t="str">
            <v>Warden Hill Road</v>
          </cell>
          <cell r="L4171" t="str">
            <v>Cheltenham</v>
          </cell>
          <cell r="M4171" t="str">
            <v>Gloucestershire</v>
          </cell>
          <cell r="N4171" t="str">
            <v>GL51 3AT</v>
          </cell>
          <cell r="O4171" t="str">
            <v>head@bettridge.gloucs.sch.uk</v>
          </cell>
          <cell r="P4171">
            <v>40892</v>
          </cell>
        </row>
        <row r="4172">
          <cell r="A4172">
            <v>3534011</v>
          </cell>
          <cell r="B4172">
            <v>105730</v>
          </cell>
          <cell r="C4172">
            <v>353</v>
          </cell>
          <cell r="D4172" t="str">
            <v>Oldham</v>
          </cell>
          <cell r="E4172">
            <v>4011</v>
          </cell>
          <cell r="F4172" t="str">
            <v>Linda Tiley</v>
          </cell>
          <cell r="G4172" t="str">
            <v>The Hathershaw College of Technology &amp; Sport</v>
          </cell>
          <cell r="H4172" t="str">
            <v>North West</v>
          </cell>
          <cell r="I4172" t="str">
            <v>Bellfield Avenue</v>
          </cell>
          <cell r="J4172" t="str">
            <v>Hathershaw</v>
          </cell>
          <cell r="L4172" t="str">
            <v>Oldham</v>
          </cell>
          <cell r="M4172" t="str">
            <v>Greater Manchester</v>
          </cell>
          <cell r="N4172" t="str">
            <v>OL8 3EP</v>
          </cell>
          <cell r="O4172" t="str">
            <v>cca@hathershaw.org.uk</v>
          </cell>
          <cell r="P4172">
            <v>40627</v>
          </cell>
        </row>
        <row r="4173">
          <cell r="A4173">
            <v>9285405</v>
          </cell>
          <cell r="B4173">
            <v>122118</v>
          </cell>
          <cell r="C4173">
            <v>928</v>
          </cell>
          <cell r="D4173" t="str">
            <v>Northamptonshire</v>
          </cell>
          <cell r="E4173">
            <v>5405</v>
          </cell>
          <cell r="F4173" t="str">
            <v>Marion Bevis</v>
          </cell>
          <cell r="G4173" t="str">
            <v>Lodge Park Technology College</v>
          </cell>
          <cell r="H4173" t="str">
            <v>East Midlands</v>
          </cell>
          <cell r="I4173" t="str">
            <v>Shetland Way</v>
          </cell>
          <cell r="L4173" t="str">
            <v>Corby</v>
          </cell>
          <cell r="M4173" t="str">
            <v>Northamptonshire</v>
          </cell>
          <cell r="N4173" t="str">
            <v>NN17 2JH</v>
          </cell>
          <cell r="O4173" t="str">
            <v>guy_shearer@lodgepark.org.uk</v>
          </cell>
          <cell r="P4173">
            <v>40805</v>
          </cell>
        </row>
        <row r="4174">
          <cell r="A4174">
            <v>9167022</v>
          </cell>
          <cell r="B4174">
            <v>115828</v>
          </cell>
          <cell r="C4174">
            <v>916</v>
          </cell>
          <cell r="D4174" t="str">
            <v>Gloucestershire</v>
          </cell>
          <cell r="E4174">
            <v>7022</v>
          </cell>
          <cell r="F4174" t="str">
            <v>Ed Schuldt</v>
          </cell>
          <cell r="G4174" t="str">
            <v>Battledown Centre for Children and Families</v>
          </cell>
          <cell r="H4174" t="str">
            <v>South West</v>
          </cell>
          <cell r="I4174" t="str">
            <v>Harp Hill</v>
          </cell>
          <cell r="J4174" t="str">
            <v>Battledown</v>
          </cell>
          <cell r="L4174" t="str">
            <v>Cheltenham</v>
          </cell>
          <cell r="M4174" t="str">
            <v>Gloucestershire</v>
          </cell>
          <cell r="N4174" t="str">
            <v>GL52 6PZ</v>
          </cell>
          <cell r="O4174" t="str">
            <v>head@battledown.gloucs.sch.uk</v>
          </cell>
        </row>
        <row r="4175">
          <cell r="A4175">
            <v>9294501</v>
          </cell>
          <cell r="B4175">
            <v>122365</v>
          </cell>
          <cell r="C4175">
            <v>929</v>
          </cell>
          <cell r="D4175" t="str">
            <v>Northumberland</v>
          </cell>
          <cell r="E4175">
            <v>4501</v>
          </cell>
          <cell r="F4175" t="str">
            <v>Bev Mullin</v>
          </cell>
          <cell r="G4175" t="str">
            <v>The King Edward VI School</v>
          </cell>
          <cell r="H4175" t="str">
            <v>North East</v>
          </cell>
          <cell r="I4175" t="str">
            <v>Cottingwood Lane</v>
          </cell>
          <cell r="L4175" t="str">
            <v>Morpeth</v>
          </cell>
          <cell r="M4175" t="str">
            <v>Northumberland</v>
          </cell>
          <cell r="N4175" t="str">
            <v>NE61 1DN</v>
          </cell>
          <cell r="O4175" t="str">
            <v>simon.taylor@northumberland.gov.uk</v>
          </cell>
          <cell r="P4175">
            <v>40746</v>
          </cell>
        </row>
        <row r="4176">
          <cell r="A4176">
            <v>8354614</v>
          </cell>
          <cell r="B4176">
            <v>113894</v>
          </cell>
          <cell r="C4176">
            <v>835</v>
          </cell>
          <cell r="D4176" t="str">
            <v>Dorset</v>
          </cell>
          <cell r="E4176">
            <v>4614</v>
          </cell>
          <cell r="F4176" t="str">
            <v>Tahamina Khan</v>
          </cell>
          <cell r="G4176" t="str">
            <v>Emmanuel Middle Church of England Voluntary Aided School</v>
          </cell>
          <cell r="H4176" t="str">
            <v>South West</v>
          </cell>
          <cell r="I4176" t="str">
            <v>Howe Lane</v>
          </cell>
          <cell r="L4176" t="str">
            <v>Verwood</v>
          </cell>
          <cell r="M4176" t="str">
            <v>Dorset</v>
          </cell>
          <cell r="N4176" t="str">
            <v>BH31 6JF</v>
          </cell>
          <cell r="O4176" t="str">
            <v>j.watson@emmanuel.dorset.sch.uk</v>
          </cell>
        </row>
        <row r="4177">
          <cell r="A4177">
            <v>9252243</v>
          </cell>
          <cell r="B4177">
            <v>120506</v>
          </cell>
          <cell r="C4177">
            <v>925</v>
          </cell>
          <cell r="D4177" t="str">
            <v>Lincolnshire</v>
          </cell>
          <cell r="E4177">
            <v>2243</v>
          </cell>
          <cell r="F4177" t="str">
            <v>Grant Dyson</v>
          </cell>
          <cell r="G4177" t="str">
            <v>Bythams Primary School</v>
          </cell>
          <cell r="H4177" t="str">
            <v>East Midlands</v>
          </cell>
          <cell r="I4177" t="str">
            <v>Creeton Road</v>
          </cell>
          <cell r="J4177" t="str">
            <v>Little Bytham</v>
          </cell>
          <cell r="L4177" t="str">
            <v>Grantham</v>
          </cell>
          <cell r="M4177" t="str">
            <v>Lincolnshire</v>
          </cell>
          <cell r="N4177" t="str">
            <v>NG33 4PX</v>
          </cell>
          <cell r="O4177" t="str">
            <v>office@bythams.lincs.sch.uk</v>
          </cell>
        </row>
        <row r="4178">
          <cell r="A4178">
            <v>3304084</v>
          </cell>
          <cell r="B4178">
            <v>103489</v>
          </cell>
          <cell r="C4178">
            <v>330</v>
          </cell>
          <cell r="D4178" t="str">
            <v>Birmingham</v>
          </cell>
          <cell r="E4178">
            <v>4084</v>
          </cell>
          <cell r="F4178" t="str">
            <v>Alison Middleton</v>
          </cell>
          <cell r="G4178" t="str">
            <v>Washwood Heath Technology College</v>
          </cell>
          <cell r="H4178" t="str">
            <v>West Midlands</v>
          </cell>
          <cell r="I4178" t="str">
            <v>Burney Lane</v>
          </cell>
          <cell r="J4178" t="str">
            <v>Stechford</v>
          </cell>
          <cell r="L4178" t="str">
            <v>Birmingham</v>
          </cell>
          <cell r="M4178" t="str">
            <v>West Midlands</v>
          </cell>
          <cell r="N4178" t="str">
            <v>B8 2AS</v>
          </cell>
          <cell r="O4178" t="str">
            <v>bma@washwoodheath.bham.sch.uk</v>
          </cell>
        </row>
        <row r="4179">
          <cell r="A4179">
            <v>9264091</v>
          </cell>
          <cell r="B4179">
            <v>121185</v>
          </cell>
          <cell r="C4179">
            <v>926</v>
          </cell>
          <cell r="D4179" t="str">
            <v>Norfolk</v>
          </cell>
          <cell r="E4179">
            <v>4091</v>
          </cell>
          <cell r="F4179" t="str">
            <v>Michael Cook</v>
          </cell>
          <cell r="G4179" t="str">
            <v>Fakenham High School and College</v>
          </cell>
          <cell r="H4179" t="str">
            <v>East of England</v>
          </cell>
          <cell r="I4179" t="str">
            <v>Field Lane</v>
          </cell>
          <cell r="L4179" t="str">
            <v>Fakenham</v>
          </cell>
          <cell r="M4179" t="str">
            <v>Norfolk</v>
          </cell>
          <cell r="N4179" t="str">
            <v>NR21 9QT</v>
          </cell>
          <cell r="O4179" t="str">
            <v>office@fakenhamhigh.norfolk.sch.uk</v>
          </cell>
          <cell r="P4179">
            <v>41232</v>
          </cell>
        </row>
        <row r="4180">
          <cell r="A4180">
            <v>8157009</v>
          </cell>
          <cell r="B4180">
            <v>121770</v>
          </cell>
          <cell r="C4180">
            <v>815</v>
          </cell>
          <cell r="D4180" t="str">
            <v>North Yorkshire</v>
          </cell>
          <cell r="E4180">
            <v>7009</v>
          </cell>
          <cell r="F4180" t="str">
            <v>Sanjiv Jhalla</v>
          </cell>
          <cell r="G4180" t="str">
            <v>The Woodlands School</v>
          </cell>
          <cell r="H4180" t="str">
            <v>Yorkshire and the Humber</v>
          </cell>
          <cell r="I4180" t="str">
            <v>Woodlands Drive</v>
          </cell>
          <cell r="L4180" t="str">
            <v>Scarborough</v>
          </cell>
          <cell r="M4180" t="str">
            <v>North Yorkshire</v>
          </cell>
          <cell r="N4180" t="str">
            <v>YO12 6QN</v>
          </cell>
          <cell r="O4180" t="str">
            <v>headteacher@woodlands.n-yorks.sch.uk</v>
          </cell>
          <cell r="P4180">
            <v>41191</v>
          </cell>
        </row>
        <row r="4181">
          <cell r="A4181">
            <v>8865428</v>
          </cell>
          <cell r="B4181">
            <v>118900</v>
          </cell>
          <cell r="C4181">
            <v>886</v>
          </cell>
          <cell r="D4181" t="str">
            <v>Kent</v>
          </cell>
          <cell r="E4181">
            <v>5428</v>
          </cell>
          <cell r="F4181" t="str">
            <v>Susan Shakespeare</v>
          </cell>
          <cell r="G4181" t="str">
            <v>Sir Roger Manwood's School</v>
          </cell>
          <cell r="H4181" t="str">
            <v>South East</v>
          </cell>
          <cell r="I4181" t="str">
            <v>Manwood Road</v>
          </cell>
          <cell r="L4181" t="str">
            <v>Sandwich</v>
          </cell>
          <cell r="M4181" t="str">
            <v>Kent</v>
          </cell>
          <cell r="N4181" t="str">
            <v>CT13 9JX</v>
          </cell>
          <cell r="O4181" t="str">
            <v>head@srms.kent.sch.uk</v>
          </cell>
          <cell r="P4181">
            <v>40543</v>
          </cell>
        </row>
        <row r="4182">
          <cell r="A4182">
            <v>8013026</v>
          </cell>
          <cell r="B4182">
            <v>109150</v>
          </cell>
          <cell r="C4182">
            <v>801</v>
          </cell>
          <cell r="D4182" t="str">
            <v>Bristol City of</v>
          </cell>
          <cell r="E4182">
            <v>3026</v>
          </cell>
          <cell r="F4182" t="str">
            <v>Susan Phillips</v>
          </cell>
          <cell r="G4182" t="str">
            <v>Westbury-on-Trym CofE Primary School</v>
          </cell>
          <cell r="H4182" t="str">
            <v>South West</v>
          </cell>
          <cell r="I4182" t="str">
            <v>Channells Hill</v>
          </cell>
          <cell r="J4182" t="str">
            <v>Westbury-on-Trym</v>
          </cell>
          <cell r="L4182" t="str">
            <v>Bristol</v>
          </cell>
          <cell r="N4182" t="str">
            <v>BS9 3HZ</v>
          </cell>
          <cell r="O4182" t="str">
            <v>headwestburyontrymp@bristol.gov.uk</v>
          </cell>
          <cell r="P4182">
            <v>40527</v>
          </cell>
        </row>
        <row r="4183">
          <cell r="A4183">
            <v>8883316</v>
          </cell>
          <cell r="B4183">
            <v>119427</v>
          </cell>
          <cell r="C4183">
            <v>888</v>
          </cell>
          <cell r="D4183" t="str">
            <v>Lancashire</v>
          </cell>
          <cell r="E4183">
            <v>3316</v>
          </cell>
          <cell r="F4183" t="str">
            <v>Viv Clutton</v>
          </cell>
          <cell r="G4183" t="str">
            <v>Rishton St Peter and St Paul's Church of England Primary School</v>
          </cell>
          <cell r="H4183" t="str">
            <v>North West</v>
          </cell>
          <cell r="I4183" t="str">
            <v>Arundel Street</v>
          </cell>
          <cell r="J4183" t="str">
            <v>Rishton</v>
          </cell>
          <cell r="L4183" t="str">
            <v>Blackburn</v>
          </cell>
          <cell r="M4183" t="str">
            <v>Lancashire</v>
          </cell>
          <cell r="N4183" t="str">
            <v>BB1 4DT</v>
          </cell>
          <cell r="O4183" t="str">
            <v>head@st-peter-st-pauls.lancs.sch.uk</v>
          </cell>
        </row>
        <row r="4184">
          <cell r="A4184">
            <v>3032029</v>
          </cell>
          <cell r="B4184">
            <v>101418</v>
          </cell>
          <cell r="C4184">
            <v>303</v>
          </cell>
          <cell r="D4184" t="str">
            <v>Bexley</v>
          </cell>
          <cell r="E4184">
            <v>2029</v>
          </cell>
          <cell r="F4184" t="str">
            <v>Helen Barry</v>
          </cell>
          <cell r="G4184" t="str">
            <v>Peareswood Primary School</v>
          </cell>
          <cell r="H4184" t="str">
            <v>London</v>
          </cell>
          <cell r="I4184" t="str">
            <v>Peareswood Road</v>
          </cell>
          <cell r="L4184" t="str">
            <v>Erith</v>
          </cell>
          <cell r="M4184" t="str">
            <v>Kent</v>
          </cell>
          <cell r="N4184" t="str">
            <v>DA8 3PR</v>
          </cell>
          <cell r="O4184" t="str">
            <v>abarry@nhprimary.co.uk</v>
          </cell>
          <cell r="P4184">
            <v>40634</v>
          </cell>
        </row>
        <row r="4185">
          <cell r="A4185">
            <v>8132101</v>
          </cell>
          <cell r="B4185">
            <v>117726</v>
          </cell>
          <cell r="C4185">
            <v>813</v>
          </cell>
          <cell r="D4185" t="str">
            <v>North Lincolnshire</v>
          </cell>
          <cell r="E4185">
            <v>2101</v>
          </cell>
          <cell r="F4185" t="str">
            <v>Bev Annables</v>
          </cell>
          <cell r="G4185" t="str">
            <v>Althorpe and Keadby Primary School</v>
          </cell>
          <cell r="H4185" t="str">
            <v>Yorkshire and the Humber</v>
          </cell>
          <cell r="I4185" t="str">
            <v>Station Road</v>
          </cell>
          <cell r="J4185" t="str">
            <v>Keadby</v>
          </cell>
          <cell r="L4185" t="str">
            <v>Scunthorpe</v>
          </cell>
          <cell r="M4185" t="str">
            <v>Lincolnshire</v>
          </cell>
          <cell r="N4185" t="str">
            <v>DN17 3BN</v>
          </cell>
        </row>
        <row r="4186">
          <cell r="A4186">
            <v>3712127</v>
          </cell>
          <cell r="B4186">
            <v>106705</v>
          </cell>
          <cell r="C4186">
            <v>371</v>
          </cell>
          <cell r="D4186" t="str">
            <v>Doncaster</v>
          </cell>
          <cell r="E4186">
            <v>2127</v>
          </cell>
          <cell r="F4186" t="str">
            <v>Lisa Sargeant</v>
          </cell>
          <cell r="G4186" t="str">
            <v>Hatfield Crookesbroom Primary School</v>
          </cell>
          <cell r="H4186" t="str">
            <v>Yorkshire and the Humber</v>
          </cell>
          <cell r="I4186" t="str">
            <v>Crookesbroom Lane</v>
          </cell>
          <cell r="J4186" t="str">
            <v>Hatfield</v>
          </cell>
          <cell r="L4186" t="str">
            <v>Doncaster</v>
          </cell>
          <cell r="M4186" t="str">
            <v>South Yorkshire</v>
          </cell>
          <cell r="N4186" t="str">
            <v>DN7 6JP</v>
          </cell>
          <cell r="O4186" t="str">
            <v>thehead@crookesbroom.doncaster.sch.uk</v>
          </cell>
          <cell r="P4186">
            <v>40820</v>
          </cell>
        </row>
        <row r="4187">
          <cell r="A4187">
            <v>8552016</v>
          </cell>
          <cell r="B4187">
            <v>119909</v>
          </cell>
          <cell r="C4187">
            <v>855</v>
          </cell>
          <cell r="D4187" t="str">
            <v>Leicestershire</v>
          </cell>
          <cell r="E4187">
            <v>2016</v>
          </cell>
          <cell r="F4187" t="str">
            <v>Sue Harp</v>
          </cell>
          <cell r="G4187" t="str">
            <v>Bringhurst Primary School</v>
          </cell>
          <cell r="H4187" t="str">
            <v>East Midlands</v>
          </cell>
          <cell r="I4187" t="str">
            <v>Great Easton Road</v>
          </cell>
          <cell r="J4187" t="str">
            <v>Bringhurst</v>
          </cell>
          <cell r="L4187" t="str">
            <v>Market Harborough</v>
          </cell>
          <cell r="M4187" t="str">
            <v>Leicestershire</v>
          </cell>
          <cell r="N4187" t="str">
            <v>LE16 8RH</v>
          </cell>
          <cell r="O4187" t="str">
            <v>rose.williams@bringhurst.leics.sch.uk</v>
          </cell>
        </row>
        <row r="4188">
          <cell r="A4188">
            <v>3335401</v>
          </cell>
          <cell r="B4188">
            <v>104022</v>
          </cell>
          <cell r="C4188">
            <v>333</v>
          </cell>
          <cell r="D4188" t="str">
            <v>Sandwell</v>
          </cell>
          <cell r="E4188">
            <v>5401</v>
          </cell>
          <cell r="F4188" t="str">
            <v>Christine West</v>
          </cell>
          <cell r="G4188" t="str">
            <v>The Heathfield Foundation Technology College</v>
          </cell>
          <cell r="H4188" t="str">
            <v>West Midlands</v>
          </cell>
          <cell r="I4188" t="str">
            <v>Wrights Lane</v>
          </cell>
          <cell r="L4188" t="str">
            <v>Cradley Heath</v>
          </cell>
          <cell r="M4188" t="str">
            <v>West Midlands</v>
          </cell>
          <cell r="N4188" t="str">
            <v>B64 6QU</v>
          </cell>
          <cell r="O4188" t="str">
            <v>Stuart.Adams@heathfield.sandwell.sch.uk</v>
          </cell>
          <cell r="P4188">
            <v>40521</v>
          </cell>
        </row>
        <row r="4189">
          <cell r="A4189">
            <v>8363611</v>
          </cell>
          <cell r="B4189">
            <v>113831</v>
          </cell>
          <cell r="C4189">
            <v>836</v>
          </cell>
          <cell r="D4189" t="str">
            <v>Poole</v>
          </cell>
          <cell r="E4189">
            <v>3611</v>
          </cell>
          <cell r="F4189" t="str">
            <v>Not yet assigned</v>
          </cell>
          <cell r="G4189" t="str">
            <v>St Joseph's Catholic Combined School</v>
          </cell>
          <cell r="H4189" t="str">
            <v>South West</v>
          </cell>
          <cell r="I4189" t="str">
            <v>Sancreed Road</v>
          </cell>
          <cell r="J4189" t="str">
            <v>Parkstone</v>
          </cell>
          <cell r="L4189" t="str">
            <v>Poole</v>
          </cell>
          <cell r="M4189" t="str">
            <v>Dorset</v>
          </cell>
          <cell r="N4189" t="str">
            <v>BH12 4DZ</v>
          </cell>
          <cell r="O4189" t="str">
            <v>a.mullany@poole.gov.uk</v>
          </cell>
        </row>
        <row r="4190">
          <cell r="A4190">
            <v>3522017</v>
          </cell>
          <cell r="B4190">
            <v>131939</v>
          </cell>
          <cell r="C4190">
            <v>352</v>
          </cell>
          <cell r="D4190" t="str">
            <v>Manchester</v>
          </cell>
          <cell r="E4190">
            <v>2017</v>
          </cell>
          <cell r="F4190" t="str">
            <v>Elaine Howard</v>
          </cell>
          <cell r="G4190" t="str">
            <v>Beaver Road Primary School</v>
          </cell>
          <cell r="H4190" t="str">
            <v>North West</v>
          </cell>
          <cell r="I4190" t="str">
            <v>Beaver Road</v>
          </cell>
          <cell r="J4190" t="str">
            <v>Didsbury</v>
          </cell>
          <cell r="L4190" t="str">
            <v>Manchester</v>
          </cell>
          <cell r="N4190" t="str">
            <v>M20 6SX</v>
          </cell>
          <cell r="O4190" t="str">
            <v>dwghow@yahoo.co.uk</v>
          </cell>
        </row>
        <row r="4191">
          <cell r="A4191">
            <v>3304246</v>
          </cell>
          <cell r="B4191">
            <v>103520</v>
          </cell>
          <cell r="C4191">
            <v>330</v>
          </cell>
          <cell r="D4191" t="str">
            <v>Birmingham</v>
          </cell>
          <cell r="E4191">
            <v>4246</v>
          </cell>
          <cell r="F4191" t="str">
            <v>Ruth Pallister</v>
          </cell>
          <cell r="G4191" t="str">
            <v>Yardleys School</v>
          </cell>
          <cell r="H4191" t="str">
            <v>West Midlands</v>
          </cell>
          <cell r="I4191" t="str">
            <v>Reddings Lane</v>
          </cell>
          <cell r="J4191" t="str">
            <v>Tyseley</v>
          </cell>
          <cell r="L4191" t="str">
            <v>Birmingham</v>
          </cell>
          <cell r="M4191" t="str">
            <v>West Midlands</v>
          </cell>
          <cell r="N4191" t="str">
            <v>B11 3EY</v>
          </cell>
          <cell r="O4191" t="str">
            <v>rose.hughes@yardleys.bham.sch.uk</v>
          </cell>
          <cell r="P4191">
            <v>41030</v>
          </cell>
        </row>
        <row r="4192">
          <cell r="A4192">
            <v>8412660</v>
          </cell>
          <cell r="B4192">
            <v>114175</v>
          </cell>
          <cell r="C4192">
            <v>841</v>
          </cell>
          <cell r="D4192" t="str">
            <v>Darlington</v>
          </cell>
          <cell r="E4192">
            <v>2660</v>
          </cell>
          <cell r="F4192" t="str">
            <v>June Laughton</v>
          </cell>
          <cell r="G4192" t="str">
            <v>Northwood Primary School</v>
          </cell>
          <cell r="H4192" t="str">
            <v>North East</v>
          </cell>
          <cell r="I4192" t="str">
            <v>Pendleton Road South</v>
          </cell>
          <cell r="L4192" t="str">
            <v>Darlington</v>
          </cell>
          <cell r="M4192" t="str">
            <v>County Durham</v>
          </cell>
          <cell r="N4192" t="str">
            <v>DL1 2HF</v>
          </cell>
          <cell r="O4192" t="str">
            <v>Dackroyd@northwood.darlington.sch.uk</v>
          </cell>
          <cell r="P4192">
            <v>41061</v>
          </cell>
        </row>
        <row r="4193">
          <cell r="A4193">
            <v>8262133</v>
          </cell>
          <cell r="B4193">
            <v>110262</v>
          </cell>
          <cell r="C4193">
            <v>826</v>
          </cell>
          <cell r="D4193" t="str">
            <v>Milton Keynes</v>
          </cell>
          <cell r="E4193">
            <v>2133</v>
          </cell>
          <cell r="F4193" t="str">
            <v>Mark Wheeler</v>
          </cell>
          <cell r="G4193" t="str">
            <v>Eaton Mill Foundation Primary School</v>
          </cell>
          <cell r="H4193" t="str">
            <v>South East</v>
          </cell>
          <cell r="I4193" t="str">
            <v>Saffron Street</v>
          </cell>
          <cell r="J4193" t="str">
            <v>Bletchley</v>
          </cell>
          <cell r="L4193" t="str">
            <v>Milton Keynes</v>
          </cell>
          <cell r="M4193" t="str">
            <v>Buckinghamshire</v>
          </cell>
          <cell r="N4193" t="str">
            <v>MK2 3AH</v>
          </cell>
          <cell r="O4193" t="str">
            <v>warren.harrison@eatonmill.co.uk</v>
          </cell>
          <cell r="P4193">
            <v>40354</v>
          </cell>
        </row>
        <row r="4194">
          <cell r="A4194">
            <v>9095216</v>
          </cell>
          <cell r="B4194">
            <v>112418</v>
          </cell>
          <cell r="C4194">
            <v>909</v>
          </cell>
          <cell r="D4194" t="str">
            <v>Cumbria</v>
          </cell>
          <cell r="E4194">
            <v>5216</v>
          </cell>
          <cell r="F4194" t="str">
            <v>Linda Quinn</v>
          </cell>
          <cell r="G4194" t="str">
            <v>Gilsland CofE Primary School</v>
          </cell>
          <cell r="H4194" t="str">
            <v>North West</v>
          </cell>
          <cell r="I4194" t="str">
            <v>Gilsland</v>
          </cell>
          <cell r="L4194" t="str">
            <v>Brampton</v>
          </cell>
          <cell r="M4194" t="str">
            <v>Cumbria</v>
          </cell>
          <cell r="N4194" t="str">
            <v>CA8 7AA</v>
          </cell>
          <cell r="O4194" t="str">
            <v>head@gilsland.cumbria.sch.uk</v>
          </cell>
          <cell r="P4194">
            <v>40920</v>
          </cell>
        </row>
        <row r="4195">
          <cell r="A4195">
            <v>8865422</v>
          </cell>
          <cell r="B4195">
            <v>118894</v>
          </cell>
          <cell r="C4195">
            <v>886</v>
          </cell>
          <cell r="D4195" t="str">
            <v>Kent</v>
          </cell>
          <cell r="E4195">
            <v>5422</v>
          </cell>
          <cell r="F4195" t="str">
            <v>Sarah Mitchell</v>
          </cell>
          <cell r="G4195" t="str">
            <v xml:space="preserve">Oakwood Park Grammar School </v>
          </cell>
          <cell r="H4195" t="str">
            <v>South East</v>
          </cell>
          <cell r="I4195" t="str">
            <v>Oakwood Park</v>
          </cell>
          <cell r="L4195" t="str">
            <v>Maidstone</v>
          </cell>
          <cell r="M4195" t="str">
            <v>Kent</v>
          </cell>
          <cell r="N4195" t="str">
            <v>ME16 8AH</v>
          </cell>
          <cell r="O4195" t="str">
            <v>head@opgs.org</v>
          </cell>
          <cell r="P4195">
            <v>40550</v>
          </cell>
        </row>
        <row r="4196">
          <cell r="A4196">
            <v>8815267</v>
          </cell>
          <cell r="B4196">
            <v>115307</v>
          </cell>
          <cell r="C4196">
            <v>881</v>
          </cell>
          <cell r="D4196" t="str">
            <v>Essex</v>
          </cell>
          <cell r="E4196">
            <v>5267</v>
          </cell>
          <cell r="F4196" t="str">
            <v>Claire Ivie</v>
          </cell>
          <cell r="G4196" t="str">
            <v>St Helen's Catholic Infant School</v>
          </cell>
          <cell r="H4196" t="str">
            <v>East of England</v>
          </cell>
          <cell r="I4196" t="str">
            <v>Sawyers Hall Lane</v>
          </cell>
          <cell r="L4196" t="str">
            <v>Brentwood</v>
          </cell>
          <cell r="M4196" t="str">
            <v>Essex</v>
          </cell>
          <cell r="N4196" t="str">
            <v>CM15 9BY</v>
          </cell>
          <cell r="O4196" t="str">
            <v>sheilarainsford@yahoo.co.uk</v>
          </cell>
        </row>
        <row r="4197">
          <cell r="A4197">
            <v>3303353</v>
          </cell>
          <cell r="B4197">
            <v>103445</v>
          </cell>
          <cell r="C4197">
            <v>330</v>
          </cell>
          <cell r="D4197" t="str">
            <v>Birmingham</v>
          </cell>
          <cell r="E4197">
            <v>3353</v>
          </cell>
          <cell r="F4197" t="str">
            <v>Ruth Pallister</v>
          </cell>
          <cell r="G4197" t="str">
            <v>Bournville Junior School</v>
          </cell>
          <cell r="H4197" t="str">
            <v>West Midlands</v>
          </cell>
          <cell r="I4197" t="str">
            <v>Linden Road</v>
          </cell>
          <cell r="L4197" t="str">
            <v>Birmingham</v>
          </cell>
          <cell r="M4197" t="str">
            <v>West Midlands</v>
          </cell>
          <cell r="N4197" t="str">
            <v>B30 1JY</v>
          </cell>
          <cell r="O4197" t="str">
            <v>s.barratt@bnvillej.bham.sch.uk</v>
          </cell>
        </row>
        <row r="4198">
          <cell r="A4198">
            <v>8914404</v>
          </cell>
          <cell r="B4198">
            <v>122865</v>
          </cell>
          <cell r="C4198">
            <v>891</v>
          </cell>
          <cell r="D4198" t="str">
            <v>Nottinghamshire</v>
          </cell>
          <cell r="E4198">
            <v>4404</v>
          </cell>
          <cell r="F4198" t="str">
            <v>Grant Dyson</v>
          </cell>
          <cell r="G4198" t="str">
            <v>Toot Hill School</v>
          </cell>
          <cell r="H4198" t="str">
            <v>East Midlands</v>
          </cell>
          <cell r="I4198" t="str">
            <v>The Banks</v>
          </cell>
          <cell r="J4198" t="str">
            <v>Bingham</v>
          </cell>
          <cell r="L4198" t="str">
            <v>Nottingham</v>
          </cell>
          <cell r="M4198" t="str">
            <v>Nottinghamshire</v>
          </cell>
          <cell r="N4198" t="str">
            <v>NG13 8BL</v>
          </cell>
          <cell r="O4198" t="str">
            <v>susy.edyvean@toothill.notts.sch.uk</v>
          </cell>
          <cell r="P4198">
            <v>40520</v>
          </cell>
        </row>
        <row r="4199">
          <cell r="A4199">
            <v>8512707</v>
          </cell>
          <cell r="B4199">
            <v>116219</v>
          </cell>
          <cell r="C4199">
            <v>851</v>
          </cell>
          <cell r="D4199" t="str">
            <v>Portsmouth</v>
          </cell>
          <cell r="E4199">
            <v>2707</v>
          </cell>
          <cell r="F4199" t="str">
            <v>Eric Mcewen</v>
          </cell>
          <cell r="G4199" t="str">
            <v>Isambard Brunel Junior School</v>
          </cell>
          <cell r="H4199" t="str">
            <v>South East</v>
          </cell>
          <cell r="I4199" t="str">
            <v>Wymering Road</v>
          </cell>
          <cell r="J4199" t="str">
            <v>North End</v>
          </cell>
          <cell r="L4199" t="str">
            <v>Portsmouth</v>
          </cell>
          <cell r="M4199" t="str">
            <v>Hampshire</v>
          </cell>
          <cell r="N4199" t="str">
            <v>PO2 7HX</v>
          </cell>
          <cell r="O4199" t="str">
            <v>head@isambard.portsmouth.sch.uk</v>
          </cell>
          <cell r="P4199">
            <v>41239</v>
          </cell>
        </row>
        <row r="4200">
          <cell r="A4200">
            <v>8222008</v>
          </cell>
          <cell r="B4200">
            <v>109434</v>
          </cell>
          <cell r="C4200">
            <v>822</v>
          </cell>
          <cell r="D4200" t="str">
            <v>Bedford</v>
          </cell>
          <cell r="E4200">
            <v>2008</v>
          </cell>
          <cell r="F4200" t="str">
            <v>Pam Osborne</v>
          </cell>
          <cell r="G4200" t="str">
            <v>Goldington Green Lower School</v>
          </cell>
          <cell r="H4200" t="str">
            <v>East of England</v>
          </cell>
          <cell r="I4200" t="str">
            <v>Goldington Green</v>
          </cell>
          <cell r="L4200" t="str">
            <v>Bedford</v>
          </cell>
          <cell r="M4200" t="str">
            <v>Bedfordshire</v>
          </cell>
          <cell r="N4200" t="str">
            <v>MK41 0DP</v>
          </cell>
          <cell r="O4200" t="str">
            <v>c.skingsley@schools.bedfordshire.gov.uk</v>
          </cell>
          <cell r="P4200">
            <v>41194</v>
          </cell>
        </row>
        <row r="4201">
          <cell r="A4201">
            <v>9163313</v>
          </cell>
          <cell r="B4201">
            <v>115676</v>
          </cell>
          <cell r="C4201">
            <v>916</v>
          </cell>
          <cell r="D4201" t="str">
            <v>Gloucestershire</v>
          </cell>
          <cell r="E4201">
            <v>3313</v>
          </cell>
          <cell r="F4201" t="str">
            <v>Lilian Da Cunha</v>
          </cell>
          <cell r="G4201" t="str">
            <v>Cam Hopton Church of England Primary School</v>
          </cell>
          <cell r="H4201" t="str">
            <v>South West</v>
          </cell>
          <cell r="I4201" t="str">
            <v>Hopton Road</v>
          </cell>
          <cell r="J4201" t="str">
            <v>Upper Cam</v>
          </cell>
          <cell r="L4201" t="str">
            <v>Dursley</v>
          </cell>
          <cell r="M4201" t="str">
            <v>Gloucestershire</v>
          </cell>
          <cell r="N4201" t="str">
            <v>GL11 5PA</v>
          </cell>
          <cell r="O4201" t="str">
            <v>head@camhopton.gloucs.sch.uk</v>
          </cell>
          <cell r="P4201">
            <v>40792</v>
          </cell>
        </row>
        <row r="4202">
          <cell r="A4202">
            <v>9094060</v>
          </cell>
          <cell r="B4202">
            <v>112380</v>
          </cell>
          <cell r="C4202">
            <v>909</v>
          </cell>
          <cell r="D4202" t="str">
            <v>Cumbria</v>
          </cell>
          <cell r="E4202">
            <v>4060</v>
          </cell>
          <cell r="F4202" t="str">
            <v>Linda Tiley</v>
          </cell>
          <cell r="G4202" t="str">
            <v>Settlebeck High School</v>
          </cell>
          <cell r="H4202" t="str">
            <v>North West</v>
          </cell>
          <cell r="I4202" t="str">
            <v>Long Lane</v>
          </cell>
          <cell r="L4202" t="str">
            <v>Sedbergh</v>
          </cell>
          <cell r="M4202" t="str">
            <v>Cumbria</v>
          </cell>
          <cell r="N4202" t="str">
            <v>LA10 5AL</v>
          </cell>
          <cell r="O4202" t="str">
            <v>jgreene@settlebeck.cumbria.sch.uk</v>
          </cell>
          <cell r="P4202">
            <v>40584</v>
          </cell>
        </row>
        <row r="4203">
          <cell r="A4203">
            <v>9094008</v>
          </cell>
          <cell r="B4203">
            <v>112377</v>
          </cell>
          <cell r="C4203">
            <v>909</v>
          </cell>
          <cell r="D4203" t="str">
            <v>Cumbria</v>
          </cell>
          <cell r="E4203">
            <v>4008</v>
          </cell>
          <cell r="F4203" t="str">
            <v>Linda Tiley</v>
          </cell>
          <cell r="G4203" t="str">
            <v>Solway Community Technology College</v>
          </cell>
          <cell r="H4203" t="str">
            <v>North West</v>
          </cell>
          <cell r="I4203" t="str">
            <v>Liddell Street</v>
          </cell>
          <cell r="J4203" t="str">
            <v>Silloth</v>
          </cell>
          <cell r="L4203" t="str">
            <v>Wigton</v>
          </cell>
          <cell r="M4203" t="str">
            <v>Cumbria</v>
          </cell>
          <cell r="N4203" t="str">
            <v>CA7 4DD</v>
          </cell>
          <cell r="O4203" t="str">
            <v>office@solway.cumbria.sch.uk</v>
          </cell>
        </row>
        <row r="4204">
          <cell r="A4204">
            <v>9334584</v>
          </cell>
          <cell r="B4204">
            <v>123897</v>
          </cell>
          <cell r="C4204">
            <v>933</v>
          </cell>
          <cell r="D4204" t="str">
            <v>Somerset</v>
          </cell>
          <cell r="E4204">
            <v>4584</v>
          </cell>
          <cell r="F4204" t="str">
            <v>Ali Bushell</v>
          </cell>
          <cell r="G4204" t="str">
            <v>Hugh Sexey Church of England Middle School</v>
          </cell>
          <cell r="H4204" t="str">
            <v>South West</v>
          </cell>
          <cell r="I4204" t="str">
            <v>Blackford</v>
          </cell>
          <cell r="L4204" t="str">
            <v>Wedmore</v>
          </cell>
          <cell r="M4204" t="str">
            <v>Somerset</v>
          </cell>
          <cell r="N4204" t="str">
            <v>BS28 4ND</v>
          </cell>
          <cell r="O4204" t="str">
            <v>JAVenning@educ.somerset.gov.uk</v>
          </cell>
        </row>
        <row r="4205">
          <cell r="A4205">
            <v>2077165</v>
          </cell>
          <cell r="B4205">
            <v>100549</v>
          </cell>
          <cell r="C4205">
            <v>207</v>
          </cell>
          <cell r="D4205" t="str">
            <v>Kensington and Chelsea</v>
          </cell>
          <cell r="E4205">
            <v>7165</v>
          </cell>
          <cell r="F4205" t="str">
            <v>Martin Rowley</v>
          </cell>
          <cell r="G4205" t="str">
            <v>Chelsea Community Hospital School</v>
          </cell>
          <cell r="H4205" t="str">
            <v>London</v>
          </cell>
          <cell r="I4205" t="str">
            <v>369 Fulham Road</v>
          </cell>
          <cell r="L4205" t="str">
            <v>London</v>
          </cell>
          <cell r="N4205" t="str">
            <v>SW10 9NH</v>
          </cell>
          <cell r="O4205" t="str">
            <v>janettesteel@cchs.org.uk</v>
          </cell>
        </row>
        <row r="4206">
          <cell r="A4206">
            <v>8815429</v>
          </cell>
          <cell r="B4206">
            <v>115345</v>
          </cell>
          <cell r="C4206">
            <v>881</v>
          </cell>
          <cell r="D4206" t="str">
            <v>Essex</v>
          </cell>
          <cell r="E4206">
            <v>5429</v>
          </cell>
          <cell r="F4206" t="str">
            <v>Tony Bretherick</v>
          </cell>
          <cell r="G4206" t="str">
            <v>Chelmer Valley High School</v>
          </cell>
          <cell r="H4206" t="str">
            <v>East of England</v>
          </cell>
          <cell r="I4206" t="str">
            <v>Court Road</v>
          </cell>
          <cell r="J4206" t="str">
            <v>Broomfield</v>
          </cell>
          <cell r="L4206" t="str">
            <v>Chelmsford</v>
          </cell>
          <cell r="M4206" t="str">
            <v>Essex</v>
          </cell>
          <cell r="N4206" t="str">
            <v>CM1 7ER</v>
          </cell>
          <cell r="O4206" t="str">
            <v xml:space="preserve"> mclarke@chelmer.essex.sch.uk</v>
          </cell>
          <cell r="P4206">
            <v>40585</v>
          </cell>
        </row>
        <row r="4207">
          <cell r="A4207">
            <v>3934004</v>
          </cell>
          <cell r="B4207">
            <v>108726</v>
          </cell>
          <cell r="C4207">
            <v>393</v>
          </cell>
          <cell r="D4207" t="str">
            <v>South Tyneside</v>
          </cell>
          <cell r="E4207">
            <v>4004</v>
          </cell>
          <cell r="F4207" t="str">
            <v>Lisa Sargeant</v>
          </cell>
          <cell r="G4207" t="str">
            <v>Harton Technology College</v>
          </cell>
          <cell r="H4207" t="str">
            <v>North East</v>
          </cell>
          <cell r="I4207" t="str">
            <v>Lisle Road</v>
          </cell>
          <cell r="L4207" t="str">
            <v>South Shields</v>
          </cell>
          <cell r="M4207" t="str">
            <v>Tyne and Wear</v>
          </cell>
          <cell r="N4207" t="str">
            <v>NE34 6DL</v>
          </cell>
          <cell r="O4207" t="str">
            <v>kag@harton-tc.co.uk</v>
          </cell>
        </row>
        <row r="4208">
          <cell r="A4208">
            <v>8304089</v>
          </cell>
          <cell r="B4208">
            <v>112939</v>
          </cell>
          <cell r="C4208">
            <v>830</v>
          </cell>
          <cell r="D4208" t="str">
            <v>Derbyshire</v>
          </cell>
          <cell r="E4208">
            <v>4089</v>
          </cell>
          <cell r="G4208" t="str">
            <v>Aldercar Community Language College</v>
          </cell>
          <cell r="H4208" t="str">
            <v>East Midlands</v>
          </cell>
          <cell r="I4208" t="str">
            <v>Daltons Close</v>
          </cell>
          <cell r="J4208" t="str">
            <v>Langley Mill</v>
          </cell>
          <cell r="L4208" t="str">
            <v>Nottingham</v>
          </cell>
          <cell r="M4208" t="str">
            <v>Nottinghamshire</v>
          </cell>
          <cell r="N4208" t="str">
            <v>NG16 4HL</v>
          </cell>
          <cell r="O4208" t="str">
            <v>principalaclc@yahoo.co.uk</v>
          </cell>
        </row>
        <row r="4209">
          <cell r="A4209">
            <v>8954226</v>
          </cell>
          <cell r="B4209">
            <v>132748</v>
          </cell>
          <cell r="C4209">
            <v>895</v>
          </cell>
          <cell r="D4209" t="str">
            <v>Cheshire East</v>
          </cell>
          <cell r="E4209">
            <v>4226</v>
          </cell>
          <cell r="F4209" t="str">
            <v>Jane McCusker</v>
          </cell>
          <cell r="G4209" t="str">
            <v>Congleton High School</v>
          </cell>
          <cell r="H4209" t="str">
            <v>North West</v>
          </cell>
          <cell r="I4209" t="str">
            <v>Box Lane</v>
          </cell>
          <cell r="L4209" t="str">
            <v>Congleton</v>
          </cell>
          <cell r="M4209" t="str">
            <v>Cheshire</v>
          </cell>
          <cell r="N4209" t="str">
            <v>CW12 4NS</v>
          </cell>
          <cell r="O4209" t="str">
            <v>dhermitt@congleton.cheshire.sch.uk</v>
          </cell>
          <cell r="P4209">
            <v>40528</v>
          </cell>
        </row>
        <row r="4210">
          <cell r="A4210">
            <v>3843333</v>
          </cell>
          <cell r="B4210">
            <v>108265</v>
          </cell>
          <cell r="C4210">
            <v>384</v>
          </cell>
          <cell r="D4210" t="str">
            <v>Wakefield</v>
          </cell>
          <cell r="E4210">
            <v>3333</v>
          </cell>
          <cell r="F4210" t="str">
            <v>Tony Bretherick</v>
          </cell>
          <cell r="G4210" t="str">
            <v>St Joseph's Catholic Primary School</v>
          </cell>
          <cell r="H4210" t="str">
            <v>Yorkshire and the Humber</v>
          </cell>
          <cell r="I4210" t="str">
            <v>Newgate</v>
          </cell>
          <cell r="L4210" t="str">
            <v>Pontefract</v>
          </cell>
          <cell r="M4210" t="str">
            <v>West Yorkshire</v>
          </cell>
          <cell r="N4210" t="str">
            <v>WF8 4AA</v>
          </cell>
          <cell r="O4210" t="str">
            <v>headteacher@st-josephs-pontefract.wakefield.sch.uk</v>
          </cell>
          <cell r="P4210">
            <v>41019</v>
          </cell>
        </row>
        <row r="4211">
          <cell r="A4211">
            <v>3924034</v>
          </cell>
          <cell r="B4211">
            <v>108642</v>
          </cell>
          <cell r="C4211">
            <v>392</v>
          </cell>
          <cell r="D4211" t="str">
            <v>North Tyneside</v>
          </cell>
          <cell r="E4211">
            <v>4034</v>
          </cell>
          <cell r="F4211" t="str">
            <v>Lisa Sargeant</v>
          </cell>
          <cell r="G4211" t="str">
            <v>Monkseaton Community High School</v>
          </cell>
          <cell r="H4211" t="str">
            <v>North East</v>
          </cell>
          <cell r="I4211" t="str">
            <v>Seatonville Road</v>
          </cell>
          <cell r="L4211" t="str">
            <v>Whitley Bay</v>
          </cell>
          <cell r="M4211" t="str">
            <v>Tyne and Wear</v>
          </cell>
          <cell r="N4211" t="str">
            <v>NE25 9EQ</v>
          </cell>
          <cell r="O4211" t="str">
            <v>96kelleyp@monkseaton.org.uk</v>
          </cell>
        </row>
        <row r="4212">
          <cell r="A4212">
            <v>8864633</v>
          </cell>
          <cell r="B4212">
            <v>131583</v>
          </cell>
          <cell r="C4212">
            <v>886</v>
          </cell>
          <cell r="D4212" t="str">
            <v>Kent</v>
          </cell>
          <cell r="E4212">
            <v>4633</v>
          </cell>
          <cell r="F4212" t="str">
            <v>Tony Dunne</v>
          </cell>
          <cell r="G4212" t="str">
            <v>Ursuline College</v>
          </cell>
          <cell r="H4212" t="str">
            <v>South East</v>
          </cell>
          <cell r="I4212" t="str">
            <v>225 Canterbury Road</v>
          </cell>
          <cell r="L4212" t="str">
            <v>Westgate-on-Sea</v>
          </cell>
          <cell r="M4212" t="str">
            <v>Kent</v>
          </cell>
          <cell r="N4212" t="str">
            <v>CT8 8LX</v>
          </cell>
          <cell r="O4212" t="str">
            <v>tutton@ursuline.kent.sch.uk</v>
          </cell>
          <cell r="P4212">
            <v>41233</v>
          </cell>
        </row>
        <row r="4213">
          <cell r="A4213">
            <v>9282226</v>
          </cell>
          <cell r="B4213">
            <v>132780</v>
          </cell>
          <cell r="C4213">
            <v>928</v>
          </cell>
          <cell r="D4213" t="str">
            <v>Northamptonshire</v>
          </cell>
          <cell r="E4213">
            <v>2226</v>
          </cell>
          <cell r="F4213" t="str">
            <v>Sue Harp</v>
          </cell>
          <cell r="G4213" t="str">
            <v>Newton Road Community Primary School</v>
          </cell>
          <cell r="H4213" t="str">
            <v>East Midlands</v>
          </cell>
          <cell r="I4213" t="str">
            <v>Newton Road</v>
          </cell>
          <cell r="L4213" t="str">
            <v>Rushden</v>
          </cell>
          <cell r="M4213" t="str">
            <v>Northamptonshire</v>
          </cell>
          <cell r="N4213" t="str">
            <v>NN10 0HH</v>
          </cell>
          <cell r="O4213" t="str">
            <v>head@newton-pri.northants-ecl.gov.uk</v>
          </cell>
          <cell r="P4213">
            <v>41246</v>
          </cell>
        </row>
        <row r="4214">
          <cell r="A4214">
            <v>8875429</v>
          </cell>
          <cell r="B4214">
            <v>118901</v>
          </cell>
          <cell r="C4214">
            <v>887</v>
          </cell>
          <cell r="D4214" t="str">
            <v>Medway</v>
          </cell>
          <cell r="E4214">
            <v>5429</v>
          </cell>
          <cell r="F4214" t="str">
            <v>Sarah Mitchell</v>
          </cell>
          <cell r="G4214" t="str">
            <v>Chatham Grammar School for Girls</v>
          </cell>
          <cell r="H4214" t="str">
            <v>South East</v>
          </cell>
          <cell r="I4214" t="str">
            <v>Rainham Road</v>
          </cell>
          <cell r="L4214" t="str">
            <v>Chatham</v>
          </cell>
          <cell r="M4214" t="str">
            <v>Kent</v>
          </cell>
          <cell r="N4214" t="str">
            <v>ME5 7EH</v>
          </cell>
          <cell r="O4214" t="str">
            <v>probc001@medway.org.uk</v>
          </cell>
          <cell r="P4214">
            <v>40583</v>
          </cell>
        </row>
        <row r="4215">
          <cell r="A4215">
            <v>3352104</v>
          </cell>
          <cell r="B4215">
            <v>104177</v>
          </cell>
          <cell r="C4215">
            <v>335</v>
          </cell>
          <cell r="D4215" t="str">
            <v>Walsall</v>
          </cell>
          <cell r="E4215">
            <v>2104</v>
          </cell>
          <cell r="F4215" t="str">
            <v>Hannah Copp</v>
          </cell>
          <cell r="G4215" t="str">
            <v>Rough Hay Primary School</v>
          </cell>
          <cell r="H4215" t="str">
            <v>West Midlands</v>
          </cell>
          <cell r="I4215" t="str">
            <v>Rough Hay Road</v>
          </cell>
          <cell r="J4215" t="str">
            <v>Darlaston</v>
          </cell>
          <cell r="L4215" t="str">
            <v>Wednesbury</v>
          </cell>
          <cell r="M4215" t="str">
            <v>West Midlands</v>
          </cell>
          <cell r="N4215" t="str">
            <v>WS10 8NQ</v>
          </cell>
          <cell r="O4215" t="str">
            <v>mklekot@rough-hay.walsall.sch.uk</v>
          </cell>
          <cell r="P4215">
            <v>41233</v>
          </cell>
        </row>
        <row r="4216">
          <cell r="A4216">
            <v>8964603</v>
          </cell>
          <cell r="B4216">
            <v>111449</v>
          </cell>
          <cell r="C4216">
            <v>896</v>
          </cell>
          <cell r="D4216" t="str">
            <v>Cheshire West and Chester</v>
          </cell>
          <cell r="E4216">
            <v>4603</v>
          </cell>
          <cell r="F4216" t="str">
            <v>Cathy Dudley</v>
          </cell>
          <cell r="G4216" t="str">
            <v>The Catholic High School, Chester A Specialist Science College</v>
          </cell>
          <cell r="H4216" t="str">
            <v>North West</v>
          </cell>
          <cell r="I4216" t="str">
            <v>Old Wrexham Road</v>
          </cell>
          <cell r="J4216" t="str">
            <v>Handbridge</v>
          </cell>
          <cell r="L4216" t="str">
            <v>Chester</v>
          </cell>
          <cell r="M4216" t="str">
            <v>Cheshire</v>
          </cell>
          <cell r="N4216" t="str">
            <v>CH4 7HS</v>
          </cell>
          <cell r="O4216" t="str">
            <v>MurrayJ@christofidelis.org.uk</v>
          </cell>
          <cell r="P4216">
            <v>41214</v>
          </cell>
        </row>
        <row r="4217">
          <cell r="A4217">
            <v>8264097</v>
          </cell>
          <cell r="B4217">
            <v>131185</v>
          </cell>
          <cell r="C4217">
            <v>826</v>
          </cell>
          <cell r="D4217" t="str">
            <v>Milton Keynes</v>
          </cell>
          <cell r="E4217">
            <v>4097</v>
          </cell>
          <cell r="F4217" t="str">
            <v>Nicky Edwards</v>
          </cell>
          <cell r="G4217" t="str">
            <v>Shenley Brook End School</v>
          </cell>
          <cell r="H4217" t="str">
            <v>South East</v>
          </cell>
          <cell r="I4217" t="str">
            <v>Walbank Grove</v>
          </cell>
          <cell r="J4217" t="str">
            <v>Shenley Brook End</v>
          </cell>
          <cell r="L4217" t="str">
            <v>Milton Keynes</v>
          </cell>
          <cell r="M4217" t="str">
            <v>Buckinghamshire</v>
          </cell>
          <cell r="N4217" t="str">
            <v>MK5 7ZT</v>
          </cell>
          <cell r="O4217" t="str">
            <v>GMartin@sbeschool.org.uk</v>
          </cell>
          <cell r="P4217">
            <v>40557</v>
          </cell>
        </row>
        <row r="4218">
          <cell r="A4218">
            <v>3732283</v>
          </cell>
          <cell r="B4218">
            <v>107048</v>
          </cell>
          <cell r="C4218">
            <v>373</v>
          </cell>
          <cell r="D4218" t="str">
            <v>Sheffield</v>
          </cell>
          <cell r="E4218">
            <v>2283</v>
          </cell>
          <cell r="F4218" t="str">
            <v>Colin Knights</v>
          </cell>
          <cell r="G4218" t="str">
            <v>Dobcroft Infant School</v>
          </cell>
          <cell r="H4218" t="str">
            <v>Yorkshire and the Humber</v>
          </cell>
          <cell r="I4218" t="str">
            <v>Pingle Road</v>
          </cell>
          <cell r="J4218" t="str">
            <v>Millhouses</v>
          </cell>
          <cell r="L4218" t="str">
            <v>Sheffield</v>
          </cell>
          <cell r="M4218" t="str">
            <v>South Yorkshire</v>
          </cell>
          <cell r="N4218" t="str">
            <v>S7 2LN</v>
          </cell>
          <cell r="O4218" t="str">
            <v>headteacher@dobcroft-inf.sheffield.sch.uk</v>
          </cell>
        </row>
        <row r="4219">
          <cell r="A4219">
            <v>8864113</v>
          </cell>
          <cell r="B4219">
            <v>118807</v>
          </cell>
          <cell r="C4219">
            <v>886</v>
          </cell>
          <cell r="D4219" t="str">
            <v>Kent</v>
          </cell>
          <cell r="E4219">
            <v>4113</v>
          </cell>
          <cell r="F4219" t="str">
            <v>Darren Francis</v>
          </cell>
          <cell r="G4219" t="str">
            <v>Astor College for the Arts</v>
          </cell>
          <cell r="H4219" t="str">
            <v>South East</v>
          </cell>
          <cell r="I4219" t="str">
            <v>Astor Avenue</v>
          </cell>
          <cell r="L4219" t="str">
            <v>Dover</v>
          </cell>
          <cell r="M4219" t="str">
            <v>Kent</v>
          </cell>
          <cell r="N4219" t="str">
            <v>CT17 0AS</v>
          </cell>
          <cell r="O4219" t="str">
            <v>chiefexecutive@astorcollege.org.uk</v>
          </cell>
          <cell r="P4219">
            <v>40815</v>
          </cell>
        </row>
        <row r="4220">
          <cell r="A4220">
            <v>8852910</v>
          </cell>
          <cell r="B4220">
            <v>135050</v>
          </cell>
          <cell r="C4220">
            <v>885</v>
          </cell>
          <cell r="D4220" t="str">
            <v>Worcestershire</v>
          </cell>
          <cell r="E4220">
            <v>2910</v>
          </cell>
          <cell r="F4220" t="str">
            <v>Carla Spink</v>
          </cell>
          <cell r="G4220" t="str">
            <v>Franche Primary School</v>
          </cell>
          <cell r="H4220" t="str">
            <v>West Midlands</v>
          </cell>
          <cell r="I4220" t="str">
            <v>Chestnut Grove</v>
          </cell>
          <cell r="L4220" t="str">
            <v>Kidderminster</v>
          </cell>
          <cell r="M4220" t="str">
            <v>Worcestershire</v>
          </cell>
          <cell r="N4220" t="str">
            <v>DY11 5QB</v>
          </cell>
          <cell r="O4220" t="str">
            <v xml:space="preserve"> head@francheprimary.worcs.sch.uk</v>
          </cell>
        </row>
        <row r="4221">
          <cell r="A4221">
            <v>3063419</v>
          </cell>
          <cell r="B4221">
            <v>135811</v>
          </cell>
          <cell r="C4221">
            <v>306</v>
          </cell>
          <cell r="D4221" t="str">
            <v>Croydon</v>
          </cell>
          <cell r="E4221">
            <v>3419</v>
          </cell>
          <cell r="F4221" t="str">
            <v>Helen Barry</v>
          </cell>
          <cell r="G4221" t="str">
            <v>Ecclesbourne Primary School</v>
          </cell>
          <cell r="H4221" t="str">
            <v>London</v>
          </cell>
          <cell r="I4221" t="str">
            <v>Attlee Close</v>
          </cell>
          <cell r="L4221" t="str">
            <v>Thornton Heath</v>
          </cell>
          <cell r="M4221" t="str">
            <v>Surrey</v>
          </cell>
          <cell r="N4221" t="str">
            <v>CR7 7FA</v>
          </cell>
          <cell r="O4221" t="str">
            <v>head@eps.croydon.sch.uk</v>
          </cell>
          <cell r="P4221">
            <v>40507</v>
          </cell>
        </row>
        <row r="4222">
          <cell r="A4222">
            <v>8782626</v>
          </cell>
          <cell r="B4222">
            <v>113268</v>
          </cell>
          <cell r="C4222">
            <v>878</v>
          </cell>
          <cell r="D4222" t="str">
            <v>Devon</v>
          </cell>
          <cell r="E4222">
            <v>2626</v>
          </cell>
          <cell r="F4222" t="str">
            <v>Susan Phillips</v>
          </cell>
          <cell r="G4222" t="str">
            <v>Yealmpton Primary School</v>
          </cell>
          <cell r="H4222" t="str">
            <v>South West</v>
          </cell>
          <cell r="I4222" t="str">
            <v>Stray Park</v>
          </cell>
          <cell r="J4222" t="str">
            <v>Yealmpton</v>
          </cell>
          <cell r="L4222" t="str">
            <v>Plymouth</v>
          </cell>
          <cell r="M4222" t="str">
            <v>Devon</v>
          </cell>
          <cell r="N4222" t="str">
            <v>PL8 2HF</v>
          </cell>
          <cell r="O4222" t="str">
            <v>head@yealmpton-primary.devon.sch.uk</v>
          </cell>
          <cell r="P4222">
            <v>40555</v>
          </cell>
        </row>
        <row r="4223">
          <cell r="A4223">
            <v>9283307</v>
          </cell>
          <cell r="B4223">
            <v>122018</v>
          </cell>
          <cell r="C4223">
            <v>928</v>
          </cell>
          <cell r="D4223" t="str">
            <v>Northamptonshire</v>
          </cell>
          <cell r="E4223">
            <v>3307</v>
          </cell>
          <cell r="F4223" t="str">
            <v>Pauline Cole</v>
          </cell>
          <cell r="G4223" t="str">
            <v>Chacombe Church of England Voluntary Aided Primary School</v>
          </cell>
          <cell r="H4223" t="str">
            <v>East Midlands</v>
          </cell>
          <cell r="I4223" t="str">
            <v>37 Thorpe Road</v>
          </cell>
          <cell r="J4223" t="str">
            <v>Chacombe</v>
          </cell>
          <cell r="L4223" t="str">
            <v>Banbury</v>
          </cell>
          <cell r="M4223" t="str">
            <v>Oxfordshire</v>
          </cell>
          <cell r="N4223" t="str">
            <v>OX17 2JA</v>
          </cell>
          <cell r="O4223" t="str">
            <v>head@chacombe-ce.northants-ecl.gov.uk</v>
          </cell>
          <cell r="P4223">
            <v>41235</v>
          </cell>
        </row>
        <row r="4224">
          <cell r="A4224">
            <v>3545401</v>
          </cell>
          <cell r="B4224">
            <v>105853</v>
          </cell>
          <cell r="C4224">
            <v>354</v>
          </cell>
          <cell r="D4224" t="str">
            <v>Rochdale</v>
          </cell>
          <cell r="E4224">
            <v>5401</v>
          </cell>
          <cell r="F4224" t="str">
            <v>Pat Murison</v>
          </cell>
          <cell r="G4224" t="str">
            <v>Hollingworth Business and Enterprise College</v>
          </cell>
          <cell r="H4224" t="str">
            <v>North West</v>
          </cell>
          <cell r="I4224" t="str">
            <v>Cornfield Street</v>
          </cell>
          <cell r="J4224" t="str">
            <v>Milnrow</v>
          </cell>
          <cell r="L4224" t="str">
            <v>Rochdale</v>
          </cell>
          <cell r="M4224" t="str">
            <v>Lancashire</v>
          </cell>
          <cell r="N4224" t="str">
            <v>OL16 3DR</v>
          </cell>
          <cell r="O4224" t="str">
            <v>darren.randle@hollingworthbec.co.uk</v>
          </cell>
          <cell r="P4224">
            <v>40690</v>
          </cell>
        </row>
        <row r="4225">
          <cell r="A4225">
            <v>3127010</v>
          </cell>
          <cell r="B4225">
            <v>102466</v>
          </cell>
          <cell r="C4225">
            <v>312</v>
          </cell>
          <cell r="D4225" t="str">
            <v>Hillingdon</v>
          </cell>
          <cell r="E4225">
            <v>7010</v>
          </cell>
          <cell r="F4225" t="str">
            <v>Gabriela Grimley</v>
          </cell>
          <cell r="G4225" t="str">
            <v>Moorcroft School</v>
          </cell>
          <cell r="H4225" t="str">
            <v>London</v>
          </cell>
          <cell r="I4225" t="str">
            <v>Bramble Close</v>
          </cell>
          <cell r="J4225" t="str">
            <v>Hillingdon</v>
          </cell>
          <cell r="L4225" t="str">
            <v>Uxbridge</v>
          </cell>
          <cell r="N4225" t="str">
            <v>UB8 3BF</v>
          </cell>
          <cell r="O4225" t="str">
            <v xml:space="preserve"> jnuthall@hillingdongrid.org</v>
          </cell>
          <cell r="P4225">
            <v>40868</v>
          </cell>
        </row>
        <row r="4226">
          <cell r="A4226">
            <v>9292360</v>
          </cell>
          <cell r="B4226">
            <v>122246</v>
          </cell>
          <cell r="C4226">
            <v>929</v>
          </cell>
          <cell r="D4226" t="str">
            <v>Northumberland</v>
          </cell>
          <cell r="E4226">
            <v>2360</v>
          </cell>
          <cell r="F4226" t="str">
            <v>Helen South</v>
          </cell>
          <cell r="G4226" t="str">
            <v>Morpeth Stobhillgate First School</v>
          </cell>
          <cell r="H4226" t="str">
            <v>North East</v>
          </cell>
          <cell r="I4226" t="str">
            <v>Stobhillgate</v>
          </cell>
          <cell r="L4226" t="str">
            <v>Morpeth</v>
          </cell>
          <cell r="M4226" t="str">
            <v>Northumberland</v>
          </cell>
          <cell r="N4226" t="str">
            <v>NE61 2HA</v>
          </cell>
          <cell r="O4226" t="str">
            <v>admin@stobhillgate.northumberland.sch.uk</v>
          </cell>
        </row>
        <row r="4227">
          <cell r="A4227">
            <v>9362136</v>
          </cell>
          <cell r="B4227">
            <v>124978</v>
          </cell>
          <cell r="C4227">
            <v>936</v>
          </cell>
          <cell r="D4227" t="str">
            <v>Surrey</v>
          </cell>
          <cell r="E4227">
            <v>2136</v>
          </cell>
          <cell r="F4227" t="str">
            <v>Gabriela Grimley</v>
          </cell>
          <cell r="G4227" t="str">
            <v>Beacon Hill Community Primary School</v>
          </cell>
          <cell r="H4227" t="str">
            <v>South East</v>
          </cell>
          <cell r="I4227" t="str">
            <v>Beacon Hill Road</v>
          </cell>
          <cell r="L4227" t="str">
            <v>Hindhead</v>
          </cell>
          <cell r="M4227" t="str">
            <v>Surrey</v>
          </cell>
          <cell r="N4227" t="str">
            <v>GU26 6NR</v>
          </cell>
          <cell r="O4227" t="str">
            <v>head@beacon-hill.surrey.sch.uk</v>
          </cell>
        </row>
        <row r="4228">
          <cell r="A4228">
            <v>8004132</v>
          </cell>
          <cell r="B4228">
            <v>109305</v>
          </cell>
          <cell r="C4228">
            <v>800</v>
          </cell>
          <cell r="D4228" t="str">
            <v>Bath and North East Somerset</v>
          </cell>
          <cell r="E4228">
            <v>4132</v>
          </cell>
          <cell r="F4228" t="str">
            <v>Lilian Da Cunha</v>
          </cell>
          <cell r="G4228" t="str">
            <v>Ralph Allen School</v>
          </cell>
          <cell r="H4228" t="str">
            <v>South West</v>
          </cell>
          <cell r="I4228" t="str">
            <v>Claverton Down Road</v>
          </cell>
          <cell r="J4228" t="str">
            <v>Combe Down</v>
          </cell>
          <cell r="L4228" t="str">
            <v>Bath</v>
          </cell>
          <cell r="M4228" t="str">
            <v>Somerset</v>
          </cell>
          <cell r="N4228" t="str">
            <v>BA2 7AD</v>
          </cell>
          <cell r="O4228" t="str">
            <v>libby.lee@ralphallen.bathnes.org.uk</v>
          </cell>
          <cell r="P4228">
            <v>41004</v>
          </cell>
        </row>
        <row r="4229">
          <cell r="A4229">
            <v>8884626</v>
          </cell>
          <cell r="B4229">
            <v>119787</v>
          </cell>
          <cell r="C4229">
            <v>888</v>
          </cell>
          <cell r="D4229" t="str">
            <v>Lancashire</v>
          </cell>
          <cell r="E4229">
            <v>4626</v>
          </cell>
          <cell r="F4229" t="str">
            <v>Christine West</v>
          </cell>
          <cell r="G4229" t="str">
            <v>Bishop Rawstorne Church of England Language College</v>
          </cell>
          <cell r="H4229" t="str">
            <v>North West</v>
          </cell>
          <cell r="I4229" t="str">
            <v>Highfield Road</v>
          </cell>
          <cell r="J4229" t="str">
            <v>Croston</v>
          </cell>
          <cell r="L4229" t="str">
            <v>Leyland</v>
          </cell>
          <cell r="M4229" t="str">
            <v>Lancashire</v>
          </cell>
          <cell r="N4229" t="str">
            <v>PR26 9HH</v>
          </cell>
          <cell r="O4229" t="str">
            <v>adavies@bishoprawstorne.lancsngfl.ac.uk</v>
          </cell>
          <cell r="P4229">
            <v>40361</v>
          </cell>
        </row>
        <row r="4230">
          <cell r="A4230">
            <v>9163099</v>
          </cell>
          <cell r="B4230">
            <v>115670</v>
          </cell>
          <cell r="C4230">
            <v>916</v>
          </cell>
          <cell r="D4230" t="str">
            <v>Gloucestershire</v>
          </cell>
          <cell r="E4230">
            <v>3099</v>
          </cell>
          <cell r="F4230" t="str">
            <v>Not yet assigned</v>
          </cell>
          <cell r="G4230" t="str">
            <v>Oak Hill Church of England Primary School</v>
          </cell>
          <cell r="H4230" t="str">
            <v>South West</v>
          </cell>
          <cell r="I4230" t="str">
            <v>Junior Base</v>
          </cell>
          <cell r="J4230" t="str">
            <v>School Road</v>
          </cell>
          <cell r="K4230" t="str">
            <v>Alderton</v>
          </cell>
          <cell r="L4230" t="str">
            <v>Tewkesbury</v>
          </cell>
          <cell r="M4230" t="str">
            <v>Gloucestershire</v>
          </cell>
          <cell r="N4230" t="str">
            <v>GL20 8NP</v>
          </cell>
          <cell r="O4230" t="str">
            <v>head@oakhill.gloucs.sch.uk</v>
          </cell>
        </row>
        <row r="4231">
          <cell r="A4231">
            <v>8505408</v>
          </cell>
          <cell r="B4231">
            <v>116501</v>
          </cell>
          <cell r="C4231">
            <v>850</v>
          </cell>
          <cell r="D4231" t="str">
            <v>Hampshire</v>
          </cell>
          <cell r="E4231">
            <v>5408</v>
          </cell>
          <cell r="F4231" t="str">
            <v>Amanda Barrett</v>
          </cell>
          <cell r="G4231" t="str">
            <v>Bay House School</v>
          </cell>
          <cell r="H4231" t="str">
            <v>South East</v>
          </cell>
          <cell r="I4231" t="str">
            <v>Gomer Lane</v>
          </cell>
          <cell r="L4231" t="str">
            <v>Gosport</v>
          </cell>
          <cell r="M4231" t="str">
            <v>Hampshire</v>
          </cell>
          <cell r="N4231" t="str">
            <v>PO12 2QP</v>
          </cell>
          <cell r="O4231" t="str">
            <v>ipotter@bayhouse.hants.sch.uk</v>
          </cell>
          <cell r="P4231">
            <v>40708</v>
          </cell>
        </row>
        <row r="4232">
          <cell r="A4232">
            <v>8784015</v>
          </cell>
          <cell r="B4232">
            <v>113506</v>
          </cell>
          <cell r="C4232">
            <v>878</v>
          </cell>
          <cell r="D4232" t="str">
            <v>Devon</v>
          </cell>
          <cell r="E4232">
            <v>4015</v>
          </cell>
          <cell r="G4232" t="str">
            <v>Isca College of Media Arts</v>
          </cell>
          <cell r="H4232" t="str">
            <v>South West</v>
          </cell>
          <cell r="I4232" t="str">
            <v>Earl Richards Road South</v>
          </cell>
          <cell r="L4232" t="str">
            <v>Exeter</v>
          </cell>
          <cell r="M4232" t="str">
            <v>Devon</v>
          </cell>
          <cell r="N4232" t="str">
            <v>EX2 6AP</v>
          </cell>
          <cell r="O4232" t="str">
            <v>mstreet@iscacollege.devon.sch.uk</v>
          </cell>
        </row>
        <row r="4233">
          <cell r="A4233">
            <v>8062102</v>
          </cell>
          <cell r="B4233">
            <v>111573</v>
          </cell>
          <cell r="C4233">
            <v>806</v>
          </cell>
          <cell r="D4233" t="str">
            <v>Middlesbrough</v>
          </cell>
          <cell r="E4233">
            <v>2102</v>
          </cell>
          <cell r="F4233" t="str">
            <v>Carol Blain</v>
          </cell>
          <cell r="G4233" t="str">
            <v>Caldicotes Primary School</v>
          </cell>
          <cell r="H4233" t="str">
            <v>North East</v>
          </cell>
          <cell r="I4233" t="str">
            <v>Spencerfield Crescent</v>
          </cell>
          <cell r="L4233" t="str">
            <v>Middlesbrough</v>
          </cell>
          <cell r="N4233" t="str">
            <v>TS3 9HD</v>
          </cell>
          <cell r="O4233" t="str">
            <v>helen.steele@mcschools.org.uk</v>
          </cell>
          <cell r="P4233">
            <v>41193</v>
          </cell>
        </row>
        <row r="4234">
          <cell r="A4234">
            <v>9081101</v>
          </cell>
          <cell r="B4234">
            <v>134752</v>
          </cell>
          <cell r="C4234">
            <v>908</v>
          </cell>
          <cell r="D4234" t="str">
            <v>Cornwall</v>
          </cell>
          <cell r="E4234">
            <v>1101</v>
          </cell>
          <cell r="F4234" t="str">
            <v>Nigel Mills</v>
          </cell>
          <cell r="G4234" t="str">
            <v>Restormel PRU</v>
          </cell>
          <cell r="H4234" t="str">
            <v>South West</v>
          </cell>
          <cell r="I4234" t="str">
            <v>16 Carlyon Road</v>
          </cell>
          <cell r="L4234" t="str">
            <v>St Austell</v>
          </cell>
          <cell r="N4234" t="str">
            <v>PL25 4AJ</v>
          </cell>
          <cell r="O4234" t="str">
            <v>rgasson@cornwall.gov.uk</v>
          </cell>
          <cell r="P4234">
            <v>41016</v>
          </cell>
        </row>
        <row r="4235">
          <cell r="A4235">
            <v>8914429</v>
          </cell>
          <cell r="B4235">
            <v>122877</v>
          </cell>
          <cell r="C4235">
            <v>891</v>
          </cell>
          <cell r="D4235" t="str">
            <v>Nottinghamshire</v>
          </cell>
          <cell r="E4235">
            <v>4429</v>
          </cell>
          <cell r="F4235" t="str">
            <v>Grant Dyson</v>
          </cell>
          <cell r="G4235" t="str">
            <v>The Holgate Comprehensive School</v>
          </cell>
          <cell r="H4235" t="str">
            <v>East Midlands</v>
          </cell>
          <cell r="I4235" t="str">
            <v>Hillcrest Drive</v>
          </cell>
          <cell r="J4235" t="str">
            <v>Hucknall</v>
          </cell>
          <cell r="L4235" t="str">
            <v>Nottingham</v>
          </cell>
          <cell r="M4235" t="str">
            <v>Nottinghamshire</v>
          </cell>
          <cell r="N4235" t="str">
            <v>NG15 6PX</v>
          </cell>
          <cell r="O4235" t="str">
            <v>w.barsby@holgate.notts.sch.uk</v>
          </cell>
        </row>
        <row r="4236">
          <cell r="A4236">
            <v>3314707</v>
          </cell>
          <cell r="B4236">
            <v>103743</v>
          </cell>
          <cell r="C4236">
            <v>331</v>
          </cell>
          <cell r="D4236" t="str">
            <v>Coventry</v>
          </cell>
          <cell r="E4236">
            <v>4707</v>
          </cell>
          <cell r="F4236" t="str">
            <v>Alison Middleton</v>
          </cell>
          <cell r="G4236" t="str">
            <v>Cardinal Newman Catholic School A Specialist Arts and Community College</v>
          </cell>
          <cell r="H4236" t="str">
            <v>West Midlands</v>
          </cell>
          <cell r="I4236" t="str">
            <v>Sandpits Lane</v>
          </cell>
          <cell r="J4236" t="str">
            <v>Keresley</v>
          </cell>
          <cell r="L4236" t="str">
            <v>Coventry</v>
          </cell>
          <cell r="M4236" t="str">
            <v>West Midlands</v>
          </cell>
          <cell r="N4236" t="str">
            <v>CV6 2FR</v>
          </cell>
          <cell r="O4236" t="str">
            <v>ht@cardinalnewman.coventry.sch.uk</v>
          </cell>
        </row>
        <row r="4237">
          <cell r="A4237">
            <v>8863905</v>
          </cell>
          <cell r="B4237">
            <v>135100</v>
          </cell>
          <cell r="C4237">
            <v>886</v>
          </cell>
          <cell r="D4237" t="str">
            <v>Kent</v>
          </cell>
          <cell r="E4237">
            <v>3905</v>
          </cell>
          <cell r="F4237" t="str">
            <v>Nicky Edwards</v>
          </cell>
          <cell r="G4237" t="str">
            <v>Beaver Green Primary School</v>
          </cell>
          <cell r="H4237" t="str">
            <v>South East</v>
          </cell>
          <cell r="I4237" t="str">
            <v>St Stephens Walk</v>
          </cell>
          <cell r="L4237" t="str">
            <v>Ashford</v>
          </cell>
          <cell r="M4237" t="str">
            <v>Kent</v>
          </cell>
          <cell r="N4237" t="str">
            <v>TN23 5AX</v>
          </cell>
          <cell r="O4237" t="str">
            <v>headteacher@beaver-green.kent.sch.uk</v>
          </cell>
        </row>
        <row r="4238">
          <cell r="A4238">
            <v>3177007</v>
          </cell>
          <cell r="B4238">
            <v>102881</v>
          </cell>
          <cell r="C4238">
            <v>317</v>
          </cell>
          <cell r="D4238" t="str">
            <v>Redbridge</v>
          </cell>
          <cell r="E4238">
            <v>7007</v>
          </cell>
          <cell r="F4238" t="str">
            <v>Tahir Shams</v>
          </cell>
          <cell r="G4238" t="str">
            <v>Hatton School and Special Needs Centre</v>
          </cell>
          <cell r="H4238" t="str">
            <v>London</v>
          </cell>
          <cell r="I4238" t="str">
            <v>Roding Lane South</v>
          </cell>
          <cell r="L4238" t="str">
            <v>Woodford Green</v>
          </cell>
          <cell r="M4238" t="str">
            <v>Essex</v>
          </cell>
          <cell r="N4238" t="str">
            <v>IG8 8EU</v>
          </cell>
          <cell r="O4238" t="str">
            <v>sue.blows@redbridge.gov.uk</v>
          </cell>
        </row>
        <row r="4239">
          <cell r="A4239">
            <v>8922077</v>
          </cell>
          <cell r="B4239">
            <v>122425</v>
          </cell>
          <cell r="C4239">
            <v>892</v>
          </cell>
          <cell r="D4239" t="str">
            <v>Nottingham</v>
          </cell>
          <cell r="E4239">
            <v>2077</v>
          </cell>
          <cell r="F4239" t="str">
            <v>Sue Harp</v>
          </cell>
          <cell r="G4239" t="str">
            <v>Hogarth Primary and Nursery School</v>
          </cell>
          <cell r="H4239" t="str">
            <v>East Midlands</v>
          </cell>
          <cell r="I4239" t="str">
            <v>Porchester Road</v>
          </cell>
          <cell r="L4239" t="str">
            <v>Nottingham</v>
          </cell>
          <cell r="M4239" t="str">
            <v>Nottinghamshire</v>
          </cell>
          <cell r="N4239" t="str">
            <v>NG3 6JG</v>
          </cell>
          <cell r="O4239" t="str">
            <v>headteacher@hogarth.nottingham.sch.uk</v>
          </cell>
        </row>
        <row r="4240">
          <cell r="A4240">
            <v>8603459</v>
          </cell>
          <cell r="B4240">
            <v>124352</v>
          </cell>
          <cell r="C4240">
            <v>860</v>
          </cell>
          <cell r="D4240" t="str">
            <v>Staffordshire</v>
          </cell>
          <cell r="E4240">
            <v>3459</v>
          </cell>
          <cell r="F4240" t="str">
            <v>Hannah Copp</v>
          </cell>
          <cell r="G4240" t="str">
            <v>St Giles Catholic Primary School</v>
          </cell>
          <cell r="H4240" t="str">
            <v>West Midlands</v>
          </cell>
          <cell r="I4240" t="str">
            <v>Charles Street</v>
          </cell>
          <cell r="J4240" t="str">
            <v>Cheadle</v>
          </cell>
          <cell r="L4240" t="str">
            <v>Stoke-on-Trent</v>
          </cell>
          <cell r="M4240" t="str">
            <v>Staffordshire</v>
          </cell>
          <cell r="N4240" t="str">
            <v>ST10 1ED</v>
          </cell>
          <cell r="O4240" t="str">
            <v>headteacher@st-giles.staffs.sch.uk</v>
          </cell>
          <cell r="P4240">
            <v>41057</v>
          </cell>
        </row>
        <row r="4241">
          <cell r="A4241">
            <v>3343313</v>
          </cell>
          <cell r="B4241">
            <v>104096</v>
          </cell>
          <cell r="C4241">
            <v>334</v>
          </cell>
          <cell r="D4241" t="str">
            <v>Solihull</v>
          </cell>
          <cell r="E4241">
            <v>3313</v>
          </cell>
          <cell r="F4241" t="str">
            <v>Beverley Samuel</v>
          </cell>
          <cell r="G4241" t="str">
            <v>St Patricks CofE (Aided) Junior and Infant School</v>
          </cell>
          <cell r="H4241" t="str">
            <v>West Midlands</v>
          </cell>
          <cell r="I4241" t="str">
            <v>Salter Street</v>
          </cell>
          <cell r="J4241" t="str">
            <v>Earlswood</v>
          </cell>
          <cell r="L4241" t="str">
            <v>Solihull</v>
          </cell>
          <cell r="M4241" t="str">
            <v>West Midlands</v>
          </cell>
          <cell r="N4241" t="str">
            <v>B94 6DE</v>
          </cell>
          <cell r="O4241" t="str">
            <v>office@st-patricks-ce.solihull.sch.uk</v>
          </cell>
          <cell r="P4241">
            <v>40359</v>
          </cell>
        </row>
        <row r="4242">
          <cell r="A4242">
            <v>8253017</v>
          </cell>
          <cell r="B4242">
            <v>110414</v>
          </cell>
          <cell r="C4242">
            <v>825</v>
          </cell>
          <cell r="D4242" t="str">
            <v>Buckinghamshire</v>
          </cell>
          <cell r="E4242">
            <v>3017</v>
          </cell>
          <cell r="F4242" t="str">
            <v>Darren Francis</v>
          </cell>
          <cell r="G4242" t="str">
            <v>St Michael's Church of England Combined School</v>
          </cell>
          <cell r="H4242" t="str">
            <v>South East</v>
          </cell>
          <cell r="I4242" t="str">
            <v>Chapel Square</v>
          </cell>
          <cell r="J4242" t="str">
            <v>Stewkley</v>
          </cell>
          <cell r="L4242" t="str">
            <v>Leighton Buzzard</v>
          </cell>
          <cell r="M4242" t="str">
            <v>Bedfordshire</v>
          </cell>
          <cell r="N4242" t="str">
            <v>LU7 0HA</v>
          </cell>
          <cell r="O4242" t="str">
            <v>office@st-michaels.bucks.sch.uk</v>
          </cell>
        </row>
        <row r="4243">
          <cell r="A4243">
            <v>3712194</v>
          </cell>
          <cell r="B4243">
            <v>106755</v>
          </cell>
          <cell r="C4243">
            <v>371</v>
          </cell>
          <cell r="D4243" t="str">
            <v>Doncaster</v>
          </cell>
          <cell r="E4243">
            <v>2194</v>
          </cell>
          <cell r="F4243" t="str">
            <v>John Edmunds</v>
          </cell>
          <cell r="G4243" t="str">
            <v>Barnby Dun Primary School</v>
          </cell>
          <cell r="H4243" t="str">
            <v>Yorkshire and the Humber</v>
          </cell>
          <cell r="I4243" t="str">
            <v>Church Road</v>
          </cell>
          <cell r="J4243" t="str">
            <v>Barnby Dun</v>
          </cell>
          <cell r="L4243" t="str">
            <v>Doncaster</v>
          </cell>
          <cell r="M4243" t="str">
            <v>South Yorkshire</v>
          </cell>
          <cell r="N4243" t="str">
            <v>DN3 1BG</v>
          </cell>
          <cell r="O4243" t="str">
            <v>office@barnbydun.doncaster.sch.uk</v>
          </cell>
          <cell r="P4243">
            <v>40928</v>
          </cell>
        </row>
        <row r="4244">
          <cell r="A4244">
            <v>9313130</v>
          </cell>
          <cell r="B4244">
            <v>123113</v>
          </cell>
          <cell r="C4244">
            <v>931</v>
          </cell>
          <cell r="D4244" t="str">
            <v>Oxfordshire</v>
          </cell>
          <cell r="E4244">
            <v>3130</v>
          </cell>
          <cell r="F4244" t="str">
            <v>Sarah Nairne</v>
          </cell>
          <cell r="G4244" t="str">
            <v>Faringdon Community College</v>
          </cell>
          <cell r="H4244" t="str">
            <v>South East</v>
          </cell>
          <cell r="I4244" t="str">
            <v>Stanton Harcourt</v>
          </cell>
          <cell r="L4244" t="str">
            <v>Witney</v>
          </cell>
          <cell r="M4244" t="str">
            <v>Oxfordshire</v>
          </cell>
          <cell r="N4244" t="str">
            <v>OX29 5RJ</v>
          </cell>
          <cell r="O4244" t="str">
            <v>headteacher@fcc.oxon.sch.uk</v>
          </cell>
        </row>
        <row r="4245">
          <cell r="A4245">
            <v>2085202</v>
          </cell>
          <cell r="B4245">
            <v>100630</v>
          </cell>
          <cell r="C4245">
            <v>208</v>
          </cell>
          <cell r="D4245" t="str">
            <v>Lambeth</v>
          </cell>
          <cell r="E4245">
            <v>5202</v>
          </cell>
          <cell r="F4245" t="str">
            <v>Bola Bakrin</v>
          </cell>
          <cell r="G4245" t="str">
            <v>Corpus Christi Catholic Primary School</v>
          </cell>
          <cell r="H4245" t="str">
            <v>London</v>
          </cell>
          <cell r="I4245" t="str">
            <v>Trent Road</v>
          </cell>
          <cell r="L4245" t="str">
            <v>London</v>
          </cell>
          <cell r="N4245" t="str">
            <v>SW2 5BL</v>
          </cell>
          <cell r="O4245" t="str">
            <v>johnwentworth@corpuschristi.lambeth.sch.uk</v>
          </cell>
          <cell r="P4245">
            <v>40669</v>
          </cell>
        </row>
        <row r="4246">
          <cell r="A4246">
            <v>3202055</v>
          </cell>
          <cell r="B4246">
            <v>103064</v>
          </cell>
          <cell r="C4246">
            <v>320</v>
          </cell>
          <cell r="D4246" t="str">
            <v>Waltham Forest</v>
          </cell>
          <cell r="E4246">
            <v>2055</v>
          </cell>
          <cell r="F4246" t="str">
            <v>Helen Fisher</v>
          </cell>
          <cell r="G4246" t="str">
            <v>Chingford Hall Community Primary School</v>
          </cell>
          <cell r="H4246" t="str">
            <v>London</v>
          </cell>
          <cell r="I4246" t="str">
            <v>Burnside Avenue</v>
          </cell>
          <cell r="L4246" t="str">
            <v>London</v>
          </cell>
          <cell r="N4246" t="str">
            <v>E4 8YJ</v>
          </cell>
          <cell r="O4246" t="str">
            <v>pat.davies@chingfordhall.waltham.sch.uk</v>
          </cell>
          <cell r="P4246">
            <v>40885</v>
          </cell>
        </row>
        <row r="4247">
          <cell r="A4247">
            <v>8734077</v>
          </cell>
          <cell r="B4247">
            <v>110878</v>
          </cell>
          <cell r="C4247">
            <v>873</v>
          </cell>
          <cell r="D4247" t="str">
            <v>Cambridgeshire</v>
          </cell>
          <cell r="E4247">
            <v>4077</v>
          </cell>
          <cell r="F4247" t="str">
            <v>Yvonne Reddington</v>
          </cell>
          <cell r="G4247" t="str">
            <v>St Neots Community College</v>
          </cell>
          <cell r="H4247" t="str">
            <v>East of England</v>
          </cell>
          <cell r="I4247" t="str">
            <v>Barford Road</v>
          </cell>
          <cell r="J4247" t="str">
            <v>Eynesbury</v>
          </cell>
          <cell r="L4247" t="str">
            <v>St Neots</v>
          </cell>
          <cell r="M4247" t="str">
            <v>Cambridgeshire</v>
          </cell>
          <cell r="N4247" t="str">
            <v>PE19 2SH</v>
          </cell>
          <cell r="O4247" t="str">
            <v>office@stneots.cambs.sch.uk</v>
          </cell>
          <cell r="P4247">
            <v>40634</v>
          </cell>
        </row>
        <row r="4248">
          <cell r="A4248">
            <v>8843079</v>
          </cell>
          <cell r="B4248">
            <v>116833</v>
          </cell>
          <cell r="C4248">
            <v>884</v>
          </cell>
          <cell r="D4248" t="str">
            <v>Herefordshire</v>
          </cell>
          <cell r="E4248">
            <v>3079</v>
          </cell>
          <cell r="F4248" t="str">
            <v>Julia Waterhouse</v>
          </cell>
          <cell r="G4248" t="str">
            <v>Much Birch Primary</v>
          </cell>
          <cell r="H4248" t="str">
            <v>West Midlands</v>
          </cell>
          <cell r="I4248" t="str">
            <v>Much Birch</v>
          </cell>
          <cell r="L4248" t="str">
            <v>Hereford</v>
          </cell>
          <cell r="M4248" t="str">
            <v>Herefordshire</v>
          </cell>
          <cell r="N4248" t="str">
            <v>HR2 8HL</v>
          </cell>
          <cell r="O4248" t="str">
            <v>admin@much-birch.hereford.sch.uk</v>
          </cell>
        </row>
        <row r="4249">
          <cell r="A4249">
            <v>8212003</v>
          </cell>
          <cell r="B4249">
            <v>131877</v>
          </cell>
          <cell r="C4249">
            <v>821</v>
          </cell>
          <cell r="D4249" t="str">
            <v>Luton</v>
          </cell>
          <cell r="E4249">
            <v>2003</v>
          </cell>
          <cell r="F4249" t="str">
            <v>Kish Chetty</v>
          </cell>
          <cell r="G4249" t="str">
            <v>Chantry Primary School</v>
          </cell>
          <cell r="H4249" t="str">
            <v>East of England</v>
          </cell>
          <cell r="I4249" t="str">
            <v>Tomlinson Avenue</v>
          </cell>
          <cell r="L4249" t="str">
            <v>Luton</v>
          </cell>
          <cell r="M4249" t="str">
            <v>Bedfordshire</v>
          </cell>
          <cell r="N4249" t="str">
            <v>LU4 0QP</v>
          </cell>
          <cell r="O4249" t="str">
            <v>chantry.primary.head@luton.gov.uk</v>
          </cell>
          <cell r="P4249">
            <v>40968</v>
          </cell>
        </row>
        <row r="4250">
          <cell r="A4250">
            <v>3823328</v>
          </cell>
          <cell r="B4250">
            <v>107744</v>
          </cell>
          <cell r="C4250">
            <v>382</v>
          </cell>
          <cell r="D4250" t="str">
            <v>Kirklees</v>
          </cell>
          <cell r="E4250">
            <v>3328</v>
          </cell>
          <cell r="F4250" t="str">
            <v>Bev Annables</v>
          </cell>
          <cell r="G4250" t="str">
            <v>St Aidan's Church of England Voluntary Aided First School</v>
          </cell>
          <cell r="H4250" t="str">
            <v>Yorkshire and the Humber</v>
          </cell>
          <cell r="I4250" t="str">
            <v>Smithy Close</v>
          </cell>
          <cell r="J4250" t="str">
            <v>Skelmanthorpe</v>
          </cell>
          <cell r="L4250" t="str">
            <v>Huddersfield</v>
          </cell>
          <cell r="M4250" t="str">
            <v>West Yorkshire</v>
          </cell>
          <cell r="N4250" t="str">
            <v>HD8 9DQ</v>
          </cell>
          <cell r="O4250" t="str">
            <v>head.staidans@edukirklees.net</v>
          </cell>
        </row>
        <row r="4251">
          <cell r="A4251">
            <v>9095410</v>
          </cell>
          <cell r="B4251">
            <v>112437</v>
          </cell>
          <cell r="C4251">
            <v>909</v>
          </cell>
          <cell r="D4251" t="str">
            <v>Cumbria</v>
          </cell>
          <cell r="E4251">
            <v>5410</v>
          </cell>
          <cell r="F4251" t="str">
            <v>Janet Smith</v>
          </cell>
          <cell r="G4251" t="str">
            <v>Cartmel Priory CofE School</v>
          </cell>
          <cell r="H4251" t="str">
            <v>North West</v>
          </cell>
          <cell r="I4251" t="str">
            <v>Headless Cross</v>
          </cell>
          <cell r="J4251" t="str">
            <v>Cartmel</v>
          </cell>
          <cell r="L4251" t="str">
            <v>Grange-over-Sands</v>
          </cell>
          <cell r="M4251" t="str">
            <v>Cumbria</v>
          </cell>
          <cell r="N4251" t="str">
            <v>LA11 7SA</v>
          </cell>
          <cell r="O4251" t="str">
            <v>p.williams@cartmelpriory.cumbria.sch.uk</v>
          </cell>
          <cell r="P4251">
            <v>40673</v>
          </cell>
        </row>
        <row r="4252">
          <cell r="A4252">
            <v>3352033</v>
          </cell>
          <cell r="B4252">
            <v>104164</v>
          </cell>
          <cell r="C4252">
            <v>335</v>
          </cell>
          <cell r="D4252" t="str">
            <v>Walsall</v>
          </cell>
          <cell r="E4252">
            <v>2033</v>
          </cell>
          <cell r="F4252" t="str">
            <v>Hannah Copp</v>
          </cell>
          <cell r="G4252" t="str">
            <v>Bentley Drive Primary School</v>
          </cell>
          <cell r="H4252" t="str">
            <v>West Midlands</v>
          </cell>
          <cell r="I4252" t="str">
            <v>Bentley Drive</v>
          </cell>
          <cell r="L4252" t="str">
            <v>Walsall</v>
          </cell>
          <cell r="M4252" t="str">
            <v>West Midlands</v>
          </cell>
          <cell r="N4252" t="str">
            <v>WS2 8RX</v>
          </cell>
          <cell r="O4252" t="str">
            <v>emaher@bentley-dr.walsall.sch.uk</v>
          </cell>
          <cell r="P4252">
            <v>40837</v>
          </cell>
        </row>
        <row r="4253">
          <cell r="A4253">
            <v>8524278</v>
          </cell>
          <cell r="B4253">
            <v>116458</v>
          </cell>
          <cell r="C4253">
            <v>852</v>
          </cell>
          <cell r="D4253" t="str">
            <v>Southampton</v>
          </cell>
          <cell r="E4253">
            <v>4278</v>
          </cell>
          <cell r="F4253" t="str">
            <v>Lindsay Morris</v>
          </cell>
          <cell r="G4253" t="str">
            <v>Bitterne Park School</v>
          </cell>
          <cell r="H4253" t="str">
            <v>South East</v>
          </cell>
          <cell r="I4253" t="str">
            <v>Copsewood Road</v>
          </cell>
          <cell r="J4253" t="str">
            <v>Bitterne Park</v>
          </cell>
          <cell r="L4253" t="str">
            <v>Southampton</v>
          </cell>
          <cell r="M4253" t="str">
            <v>Hampshire</v>
          </cell>
          <cell r="N4253" t="str">
            <v>SO18 1BU</v>
          </cell>
          <cell r="O4253" t="str">
            <v>head@bitternepark.southampton.sch.uk</v>
          </cell>
          <cell r="P4253">
            <v>40827</v>
          </cell>
        </row>
        <row r="4254">
          <cell r="A4254">
            <v>2083642</v>
          </cell>
          <cell r="B4254">
            <v>134507</v>
          </cell>
          <cell r="C4254">
            <v>208</v>
          </cell>
          <cell r="D4254" t="str">
            <v>Lambeth</v>
          </cell>
          <cell r="E4254">
            <v>3642</v>
          </cell>
          <cell r="F4254" t="str">
            <v>Tahir Shams</v>
          </cell>
          <cell r="G4254" t="str">
            <v>The Orchard School</v>
          </cell>
          <cell r="H4254" t="str">
            <v>London</v>
          </cell>
          <cell r="I4254" t="str">
            <v>Christchurch Road</v>
          </cell>
          <cell r="L4254" t="str">
            <v>London</v>
          </cell>
          <cell r="N4254" t="str">
            <v>SW2 3ES</v>
          </cell>
          <cell r="O4254" t="str">
            <v>mgangat@gatton.wandsworth.sch.uk</v>
          </cell>
        </row>
        <row r="4255">
          <cell r="A4255">
            <v>8812833</v>
          </cell>
          <cell r="B4255">
            <v>115016</v>
          </cell>
          <cell r="C4255">
            <v>881</v>
          </cell>
          <cell r="D4255" t="str">
            <v>Essex</v>
          </cell>
          <cell r="E4255">
            <v>2833</v>
          </cell>
          <cell r="F4255" t="str">
            <v>Claire Ivie</v>
          </cell>
          <cell r="G4255" t="str">
            <v>The Downs Primary School and Nursery</v>
          </cell>
          <cell r="H4255" t="str">
            <v>East of England</v>
          </cell>
          <cell r="I4255" t="str">
            <v>The Hides</v>
          </cell>
          <cell r="L4255" t="str">
            <v>Harlow</v>
          </cell>
          <cell r="M4255" t="str">
            <v>Essex</v>
          </cell>
          <cell r="N4255" t="str">
            <v>CM20 3RB</v>
          </cell>
          <cell r="O4255" t="str">
            <v>david.yeld@downs.essex.sch.uk</v>
          </cell>
        </row>
        <row r="4256">
          <cell r="A4256">
            <v>8884799</v>
          </cell>
          <cell r="B4256">
            <v>134989</v>
          </cell>
          <cell r="C4256">
            <v>888</v>
          </cell>
          <cell r="D4256" t="str">
            <v>Lancashire</v>
          </cell>
          <cell r="E4256">
            <v>4799</v>
          </cell>
          <cell r="F4256" t="str">
            <v>Viv Clutton</v>
          </cell>
          <cell r="G4256" t="str">
            <v>Pendle Vale College</v>
          </cell>
          <cell r="H4256" t="str">
            <v>North West</v>
          </cell>
          <cell r="I4256" t="str">
            <v>Oxford Road</v>
          </cell>
          <cell r="L4256" t="str">
            <v>Nelson</v>
          </cell>
          <cell r="M4256" t="str">
            <v>Lancashire</v>
          </cell>
          <cell r="N4256" t="str">
            <v>BB9 8LF</v>
          </cell>
          <cell r="O4256" t="str">
            <v>swilson@pendlevale.lancs.sch.uk</v>
          </cell>
        </row>
        <row r="4257">
          <cell r="A4257">
            <v>2122040</v>
          </cell>
          <cell r="B4257">
            <v>100998</v>
          </cell>
          <cell r="C4257">
            <v>212</v>
          </cell>
          <cell r="D4257" t="str">
            <v>Wandsworth</v>
          </cell>
          <cell r="E4257">
            <v>2040</v>
          </cell>
          <cell r="F4257" t="str">
            <v>Tahir Shams</v>
          </cell>
          <cell r="G4257" t="str">
            <v>Belleville Primary School</v>
          </cell>
          <cell r="H4257" t="str">
            <v>London</v>
          </cell>
          <cell r="I4257" t="str">
            <v>Belleville Road</v>
          </cell>
          <cell r="J4257" t="str">
            <v>Battersea</v>
          </cell>
          <cell r="L4257" t="str">
            <v>London</v>
          </cell>
          <cell r="N4257" t="str">
            <v>SW11 6PR</v>
          </cell>
          <cell r="O4257" t="str">
            <v>head@belleville.wandsworth.sch.uk</v>
          </cell>
          <cell r="P4257">
            <v>40725</v>
          </cell>
        </row>
        <row r="4258">
          <cell r="A4258">
            <v>3503025</v>
          </cell>
          <cell r="B4258">
            <v>105213</v>
          </cell>
          <cell r="C4258">
            <v>350</v>
          </cell>
          <cell r="D4258" t="str">
            <v>Bolton</v>
          </cell>
          <cell r="E4258">
            <v>3025</v>
          </cell>
          <cell r="F4258" t="str">
            <v>Felicity Price</v>
          </cell>
          <cell r="G4258" t="str">
            <v>St Simon and Jude CofE Primary School, Bolton</v>
          </cell>
          <cell r="H4258" t="str">
            <v>North West</v>
          </cell>
          <cell r="I4258" t="str">
            <v>Newport Road</v>
          </cell>
          <cell r="J4258" t="str">
            <v>Great Lever</v>
          </cell>
          <cell r="L4258" t="str">
            <v>Bolton</v>
          </cell>
          <cell r="M4258" t="str">
            <v>Lancashire</v>
          </cell>
          <cell r="N4258" t="str">
            <v>BL3 2DT</v>
          </cell>
          <cell r="O4258" t="str">
            <v>bramwells@sssj.bolton.sch.uk</v>
          </cell>
          <cell r="P4258">
            <v>40917</v>
          </cell>
        </row>
        <row r="4259">
          <cell r="A4259">
            <v>8607026</v>
          </cell>
          <cell r="B4259">
            <v>124510</v>
          </cell>
          <cell r="C4259">
            <v>860</v>
          </cell>
          <cell r="D4259" t="str">
            <v>Staffordshire</v>
          </cell>
          <cell r="E4259">
            <v>7026</v>
          </cell>
          <cell r="F4259" t="str">
            <v>Gabriela Grimley</v>
          </cell>
          <cell r="G4259" t="str">
            <v>Blackfriars School</v>
          </cell>
          <cell r="H4259" t="str">
            <v>West Midlands</v>
          </cell>
          <cell r="I4259" t="str">
            <v>Priory Road</v>
          </cell>
          <cell r="L4259" t="str">
            <v>Newcastle-under-Lyme</v>
          </cell>
          <cell r="M4259" t="str">
            <v>Staffordshire</v>
          </cell>
          <cell r="N4259" t="str">
            <v>ST5 2TF</v>
          </cell>
          <cell r="O4259" t="str">
            <v>clilley@bcfederation.co.uk</v>
          </cell>
        </row>
        <row r="4260">
          <cell r="A4260">
            <v>8843006</v>
          </cell>
          <cell r="B4260">
            <v>116785</v>
          </cell>
          <cell r="C4260">
            <v>884</v>
          </cell>
          <cell r="D4260" t="str">
            <v>Herefordshire</v>
          </cell>
          <cell r="E4260">
            <v>3006</v>
          </cell>
          <cell r="F4260" t="str">
            <v>Julia Waterhouse</v>
          </cell>
          <cell r="G4260" t="str">
            <v>Bosbury CofE Primary School</v>
          </cell>
          <cell r="H4260" t="str">
            <v>West Midlands</v>
          </cell>
          <cell r="I4260" t="str">
            <v>Bosbury</v>
          </cell>
          <cell r="L4260" t="str">
            <v>Ledbury</v>
          </cell>
          <cell r="M4260" t="str">
            <v>Herefordshire</v>
          </cell>
          <cell r="N4260" t="str">
            <v>HR8 1PX</v>
          </cell>
          <cell r="O4260" t="str">
            <v>head@bosbury.hereford.sch.uk</v>
          </cell>
        </row>
        <row r="4261">
          <cell r="A4261">
            <v>3192042</v>
          </cell>
          <cell r="B4261">
            <v>102985</v>
          </cell>
          <cell r="C4261">
            <v>319</v>
          </cell>
          <cell r="D4261" t="str">
            <v>Sutton</v>
          </cell>
          <cell r="E4261">
            <v>2042</v>
          </cell>
          <cell r="F4261" t="str">
            <v>Bola Bakrin</v>
          </cell>
          <cell r="G4261" t="str">
            <v>Nonsuch Primary School</v>
          </cell>
          <cell r="H4261" t="str">
            <v>London</v>
          </cell>
          <cell r="I4261" t="str">
            <v>Chadacre Road</v>
          </cell>
          <cell r="J4261" t="str">
            <v>Stoneleigh</v>
          </cell>
          <cell r="L4261" t="str">
            <v>Epsom</v>
          </cell>
          <cell r="M4261" t="str">
            <v>Surrey</v>
          </cell>
          <cell r="N4261" t="str">
            <v>KT17 2HQ</v>
          </cell>
          <cell r="O4261" t="str">
            <v>shawker2@suttonlea.org</v>
          </cell>
        </row>
        <row r="4262">
          <cell r="A4262">
            <v>8232209</v>
          </cell>
          <cell r="B4262">
            <v>109524</v>
          </cell>
          <cell r="C4262">
            <v>823</v>
          </cell>
          <cell r="D4262" t="str">
            <v>Central Bedfordshire</v>
          </cell>
          <cell r="E4262">
            <v>2209</v>
          </cell>
          <cell r="F4262" t="str">
            <v>Michael Cook</v>
          </cell>
          <cell r="G4262" t="str">
            <v>Hawthorn Park Lower School</v>
          </cell>
          <cell r="H4262" t="str">
            <v>East of England</v>
          </cell>
          <cell r="I4262" t="str">
            <v>Parkside Drive</v>
          </cell>
          <cell r="J4262" t="str">
            <v>Houghton Regis</v>
          </cell>
          <cell r="L4262" t="str">
            <v>Dunstable</v>
          </cell>
          <cell r="M4262" t="str">
            <v>Bedfordshire</v>
          </cell>
          <cell r="N4262" t="str">
            <v>LU5 5QN</v>
          </cell>
          <cell r="O4262" t="str">
            <v xml:space="preserve"> l.johnson@schools.bedfordshire.gov.uk</v>
          </cell>
        </row>
        <row r="4263">
          <cell r="A4263">
            <v>9314060</v>
          </cell>
          <cell r="B4263">
            <v>123241</v>
          </cell>
          <cell r="C4263">
            <v>931</v>
          </cell>
          <cell r="D4263" t="str">
            <v>Oxfordshire</v>
          </cell>
          <cell r="E4263">
            <v>4060</v>
          </cell>
          <cell r="F4263" t="str">
            <v>Darren Francis</v>
          </cell>
          <cell r="G4263" t="str">
            <v xml:space="preserve">Gosford Hill School </v>
          </cell>
          <cell r="H4263" t="str">
            <v>South East</v>
          </cell>
          <cell r="I4263" t="str">
            <v>Oxford Road</v>
          </cell>
          <cell r="L4263" t="str">
            <v>Kidlington</v>
          </cell>
          <cell r="M4263" t="str">
            <v>Oxfordshire</v>
          </cell>
          <cell r="N4263" t="str">
            <v>OX5 2NT</v>
          </cell>
          <cell r="O4263" t="str">
            <v>head.4060@gosford-hill.oxon.sch.uk</v>
          </cell>
          <cell r="P4263">
            <v>41095</v>
          </cell>
        </row>
        <row r="4264">
          <cell r="A4264">
            <v>9194498</v>
          </cell>
          <cell r="B4264">
            <v>117551</v>
          </cell>
          <cell r="C4264">
            <v>919</v>
          </cell>
          <cell r="D4264" t="str">
            <v>Hertfordshire</v>
          </cell>
          <cell r="E4264">
            <v>4498</v>
          </cell>
          <cell r="F4264" t="str">
            <v>Lilian Da Cunha</v>
          </cell>
          <cell r="G4264" t="str">
            <v>The Chauncy School</v>
          </cell>
          <cell r="H4264" t="str">
            <v>East of England</v>
          </cell>
          <cell r="I4264" t="str">
            <v>Park Road</v>
          </cell>
          <cell r="L4264" t="str">
            <v>Ware</v>
          </cell>
          <cell r="M4264" t="str">
            <v>Hertfordshire</v>
          </cell>
          <cell r="N4264" t="str">
            <v>SG12 0DP</v>
          </cell>
          <cell r="O4264" t="str">
            <v>stephen.walton@chauncy.org.uk</v>
          </cell>
          <cell r="P4264">
            <v>40582</v>
          </cell>
        </row>
        <row r="4265">
          <cell r="A4265">
            <v>8785402</v>
          </cell>
          <cell r="B4265">
            <v>113557</v>
          </cell>
          <cell r="C4265">
            <v>878</v>
          </cell>
          <cell r="D4265" t="str">
            <v>Devon</v>
          </cell>
          <cell r="E4265">
            <v>5402</v>
          </cell>
          <cell r="F4265" t="str">
            <v>Susan Phillips</v>
          </cell>
          <cell r="G4265" t="str">
            <v>Teign School</v>
          </cell>
          <cell r="H4265" t="str">
            <v>South West</v>
          </cell>
          <cell r="I4265" t="str">
            <v>Chudleigh Road</v>
          </cell>
          <cell r="J4265" t="str">
            <v>Kingsteignton</v>
          </cell>
          <cell r="L4265" t="str">
            <v>Newton Abbot</v>
          </cell>
          <cell r="M4265" t="str">
            <v>Devon</v>
          </cell>
          <cell r="N4265" t="str">
            <v>TQ12 3JG</v>
          </cell>
          <cell r="O4265" t="str">
            <v>vga@teign.devon.sch.uk</v>
          </cell>
          <cell r="P4265">
            <v>40521</v>
          </cell>
        </row>
        <row r="4266">
          <cell r="A4266">
            <v>3034603</v>
          </cell>
          <cell r="B4266">
            <v>101472</v>
          </cell>
          <cell r="C4266">
            <v>303</v>
          </cell>
          <cell r="D4266" t="str">
            <v>Bexley</v>
          </cell>
          <cell r="E4266">
            <v>4603</v>
          </cell>
          <cell r="F4266" t="str">
            <v>Helen Barry</v>
          </cell>
          <cell r="G4266" t="str">
            <v>Trinity School, Belvedere</v>
          </cell>
          <cell r="H4266" t="str">
            <v>London</v>
          </cell>
          <cell r="I4266" t="str">
            <v>Erith Road</v>
          </cell>
          <cell r="L4266" t="str">
            <v>Belvedere</v>
          </cell>
          <cell r="M4266" t="str">
            <v>Kent</v>
          </cell>
          <cell r="N4266" t="str">
            <v>DA17 6HT</v>
          </cell>
          <cell r="O4266" t="str">
            <v>head@trinity.bexley.sch.uk</v>
          </cell>
          <cell r="P4266">
            <v>40569</v>
          </cell>
        </row>
        <row r="4267">
          <cell r="A4267">
            <v>8782722</v>
          </cell>
          <cell r="B4267">
            <v>113342</v>
          </cell>
          <cell r="C4267">
            <v>878</v>
          </cell>
          <cell r="D4267" t="str">
            <v>Devon</v>
          </cell>
          <cell r="E4267">
            <v>2722</v>
          </cell>
          <cell r="F4267" t="str">
            <v>Lilian Da Cunha</v>
          </cell>
          <cell r="G4267" t="str">
            <v>Wilcombe Primary School</v>
          </cell>
          <cell r="H4267" t="str">
            <v>South West</v>
          </cell>
          <cell r="I4267" t="str">
            <v>Lazenby Road</v>
          </cell>
          <cell r="J4267" t="str">
            <v>Wilcombe</v>
          </cell>
          <cell r="L4267" t="str">
            <v>Tiverton</v>
          </cell>
          <cell r="M4267" t="str">
            <v>Devon</v>
          </cell>
          <cell r="N4267" t="str">
            <v>EX16 4AL</v>
          </cell>
          <cell r="O4267" t="str">
            <v>head@wilcombe-pri.devon.sch.uk</v>
          </cell>
          <cell r="P4267">
            <v>40672</v>
          </cell>
        </row>
        <row r="4268">
          <cell r="A4268">
            <v>3302203</v>
          </cell>
          <cell r="B4268">
            <v>103272</v>
          </cell>
          <cell r="C4268">
            <v>330</v>
          </cell>
          <cell r="D4268" t="str">
            <v>Birmingham</v>
          </cell>
          <cell r="E4268">
            <v>2203</v>
          </cell>
          <cell r="F4268" t="str">
            <v>Michael Corner</v>
          </cell>
          <cell r="G4268" t="str">
            <v>Short Heath Primary School</v>
          </cell>
          <cell r="H4268" t="str">
            <v>West Midlands</v>
          </cell>
          <cell r="I4268" t="str">
            <v>Streetly Road</v>
          </cell>
          <cell r="J4268" t="str">
            <v>Erdington</v>
          </cell>
          <cell r="L4268" t="str">
            <v>Birmingham</v>
          </cell>
          <cell r="M4268" t="str">
            <v>West Midlands</v>
          </cell>
          <cell r="N4268" t="str">
            <v>B23 5JP</v>
          </cell>
          <cell r="O4268" t="str">
            <v>enquiry@shortheath.bham.sch.uk</v>
          </cell>
        </row>
        <row r="4269">
          <cell r="A4269">
            <v>8362164</v>
          </cell>
          <cell r="B4269">
            <v>113694</v>
          </cell>
          <cell r="C4269">
            <v>836</v>
          </cell>
          <cell r="D4269" t="str">
            <v>Poole</v>
          </cell>
          <cell r="E4269">
            <v>2164</v>
          </cell>
          <cell r="F4269" t="str">
            <v>Theresa Oddelm</v>
          </cell>
          <cell r="G4269" t="str">
            <v>Stanley Green First School</v>
          </cell>
          <cell r="H4269" t="str">
            <v>South West</v>
          </cell>
          <cell r="I4269" t="str">
            <v>Stanley Green Road</v>
          </cell>
          <cell r="J4269" t="str">
            <v>Oakdale</v>
          </cell>
          <cell r="L4269" t="str">
            <v>Poole</v>
          </cell>
          <cell r="M4269" t="str">
            <v>Dorset</v>
          </cell>
          <cell r="N4269" t="str">
            <v>BH15 3AA</v>
          </cell>
          <cell r="O4269" t="str">
            <v>a.malanczuk@poole.gov.uk</v>
          </cell>
        </row>
        <row r="4270">
          <cell r="A4270">
            <v>3304331</v>
          </cell>
          <cell r="B4270">
            <v>103527</v>
          </cell>
          <cell r="C4270">
            <v>330</v>
          </cell>
          <cell r="D4270" t="str">
            <v>Birmingham</v>
          </cell>
          <cell r="E4270">
            <v>4331</v>
          </cell>
          <cell r="F4270" t="str">
            <v>Hannah Copp</v>
          </cell>
          <cell r="G4270" t="str">
            <v>Plantsbrook School</v>
          </cell>
          <cell r="H4270" t="str">
            <v>West Midlands</v>
          </cell>
          <cell r="I4270" t="str">
            <v>Upper Holland Road</v>
          </cell>
          <cell r="L4270" t="str">
            <v>Sutton Coldfield</v>
          </cell>
          <cell r="M4270" t="str">
            <v>West Midlands</v>
          </cell>
          <cell r="N4270" t="str">
            <v>B72 1RB</v>
          </cell>
          <cell r="O4270" t="str">
            <v xml:space="preserve"> t.campbell@plantbrk.bham.sch.uk</v>
          </cell>
          <cell r="P4270">
            <v>40639</v>
          </cell>
        </row>
        <row r="4271">
          <cell r="A4271">
            <v>9384029</v>
          </cell>
          <cell r="B4271">
            <v>126070</v>
          </cell>
          <cell r="C4271">
            <v>938</v>
          </cell>
          <cell r="D4271" t="str">
            <v>West Sussex</v>
          </cell>
          <cell r="E4271">
            <v>4029</v>
          </cell>
          <cell r="F4271" t="str">
            <v>Sarah Mitchell</v>
          </cell>
          <cell r="G4271" t="str">
            <v>Hazelwick School</v>
          </cell>
          <cell r="H4271" t="str">
            <v>South East</v>
          </cell>
          <cell r="I4271" t="str">
            <v>Hazelwick Mill Lane</v>
          </cell>
          <cell r="J4271" t="str">
            <v>Three Bridges</v>
          </cell>
          <cell r="L4271" t="str">
            <v>Crawley</v>
          </cell>
          <cell r="M4271" t="str">
            <v>West Sussex</v>
          </cell>
          <cell r="N4271" t="str">
            <v>RH10 1SX</v>
          </cell>
          <cell r="O4271" t="str">
            <v>gparry@hazelwick.w-sussex.sch.uk</v>
          </cell>
          <cell r="P4271">
            <v>40640</v>
          </cell>
        </row>
        <row r="4272">
          <cell r="A4272">
            <v>8154152</v>
          </cell>
          <cell r="B4272">
            <v>121683</v>
          </cell>
          <cell r="C4272">
            <v>815</v>
          </cell>
          <cell r="D4272" t="str">
            <v>North Yorkshire</v>
          </cell>
          <cell r="E4272">
            <v>4152</v>
          </cell>
          <cell r="F4272" t="str">
            <v>John Edmunds</v>
          </cell>
          <cell r="G4272" t="str">
            <v>Norton College</v>
          </cell>
          <cell r="H4272" t="str">
            <v>Yorkshire and the Humber</v>
          </cell>
          <cell r="I4272" t="str">
            <v>Langton Road</v>
          </cell>
          <cell r="J4272" t="str">
            <v>Norton</v>
          </cell>
          <cell r="L4272" t="str">
            <v>Malton</v>
          </cell>
          <cell r="M4272" t="str">
            <v>North Yorkshire</v>
          </cell>
          <cell r="N4272" t="str">
            <v>YO17 9PT</v>
          </cell>
          <cell r="O4272" t="str">
            <v>tr@nortoncollege.net</v>
          </cell>
          <cell r="P4272">
            <v>40527</v>
          </cell>
        </row>
        <row r="4273">
          <cell r="A4273">
            <v>8504130</v>
          </cell>
          <cell r="B4273">
            <v>116417</v>
          </cell>
          <cell r="C4273">
            <v>850</v>
          </cell>
          <cell r="D4273" t="str">
            <v>Hampshire</v>
          </cell>
          <cell r="E4273">
            <v>4130</v>
          </cell>
          <cell r="F4273" t="str">
            <v>Lindsay Morris</v>
          </cell>
          <cell r="G4273" t="str">
            <v>Perins School A Community Sports College</v>
          </cell>
          <cell r="H4273" t="str">
            <v>South East</v>
          </cell>
          <cell r="I4273" t="str">
            <v>Pound Hill</v>
          </cell>
          <cell r="L4273" t="str">
            <v>Alresford</v>
          </cell>
          <cell r="M4273" t="str">
            <v>Hampshire</v>
          </cell>
          <cell r="N4273" t="str">
            <v>SO24 9BS</v>
          </cell>
          <cell r="O4273" t="str">
            <v>bernard@perins.hants.sch.uk</v>
          </cell>
          <cell r="P4273">
            <v>40583</v>
          </cell>
        </row>
        <row r="4274">
          <cell r="A4274">
            <v>3825401</v>
          </cell>
          <cell r="B4274">
            <v>107785</v>
          </cell>
          <cell r="C4274">
            <v>382</v>
          </cell>
          <cell r="D4274" t="str">
            <v>Kirklees</v>
          </cell>
          <cell r="E4274">
            <v>5401</v>
          </cell>
          <cell r="F4274" t="str">
            <v>Christine Kane</v>
          </cell>
          <cell r="G4274" t="str">
            <v>Heckmondwike Grammar School</v>
          </cell>
          <cell r="H4274" t="str">
            <v>Yorkshire and the Humber</v>
          </cell>
          <cell r="I4274" t="str">
            <v>High Street</v>
          </cell>
          <cell r="L4274" t="str">
            <v>Heckmondwike</v>
          </cell>
          <cell r="M4274" t="str">
            <v>West Yorkshire</v>
          </cell>
          <cell r="N4274" t="str">
            <v>WF16 0AH</v>
          </cell>
          <cell r="O4274" t="str">
            <v>head@heckgrammar.kirklees.sch.uk</v>
          </cell>
          <cell r="P4274">
            <v>40354</v>
          </cell>
        </row>
        <row r="4275">
          <cell r="A4275">
            <v>9094103</v>
          </cell>
          <cell r="B4275">
            <v>112381</v>
          </cell>
          <cell r="C4275">
            <v>909</v>
          </cell>
          <cell r="D4275" t="str">
            <v>Cumbria</v>
          </cell>
          <cell r="E4275">
            <v>4103</v>
          </cell>
          <cell r="F4275" t="str">
            <v>Linda Tiley</v>
          </cell>
          <cell r="G4275" t="str">
            <v>Cockermouth School</v>
          </cell>
          <cell r="H4275" t="str">
            <v>North West</v>
          </cell>
          <cell r="I4275" t="str">
            <v>Castlegate Drive</v>
          </cell>
          <cell r="L4275" t="str">
            <v>Cockermouth</v>
          </cell>
          <cell r="M4275" t="str">
            <v>Cumbria</v>
          </cell>
          <cell r="N4275" t="str">
            <v>CA13 9HF</v>
          </cell>
          <cell r="O4275" t="str">
            <v>walkerg@cockermouth.cumbria.sch.uk</v>
          </cell>
          <cell r="P4275">
            <v>40590</v>
          </cell>
        </row>
        <row r="4276">
          <cell r="A4276">
            <v>8451111</v>
          </cell>
          <cell r="B4276">
            <v>136169</v>
          </cell>
          <cell r="C4276">
            <v>845</v>
          </cell>
          <cell r="D4276" t="str">
            <v>East Sussex</v>
          </cell>
          <cell r="E4276">
            <v>1111</v>
          </cell>
          <cell r="F4276" t="str">
            <v>Stella Mascarenhas-Keys</v>
          </cell>
          <cell r="G4276" t="str">
            <v>College Central</v>
          </cell>
          <cell r="H4276" t="str">
            <v>South East</v>
          </cell>
          <cell r="I4276" t="str">
            <v>Cuckmere House Special School</v>
          </cell>
          <cell r="J4276" t="str">
            <v>Eastbourne Road</v>
          </cell>
          <cell r="L4276" t="str">
            <v>Seaford</v>
          </cell>
          <cell r="M4276" t="str">
            <v>East Sussex</v>
          </cell>
          <cell r="N4276" t="str">
            <v>BN25 4BA</v>
          </cell>
          <cell r="O4276" t="str">
            <v>fstanford@cuckmerehouse.e-sussex.sch.uk</v>
          </cell>
        </row>
        <row r="4277">
          <cell r="A4277">
            <v>8702003</v>
          </cell>
          <cell r="B4277">
            <v>109778</v>
          </cell>
          <cell r="C4277">
            <v>870</v>
          </cell>
          <cell r="D4277" t="str">
            <v>Reading</v>
          </cell>
          <cell r="E4277">
            <v>2003</v>
          </cell>
          <cell r="F4277" t="str">
            <v>Darren Francis</v>
          </cell>
          <cell r="G4277" t="str">
            <v>Caversham Primary School</v>
          </cell>
          <cell r="H4277" t="str">
            <v>South East</v>
          </cell>
          <cell r="I4277" t="str">
            <v>Hemdean Road</v>
          </cell>
          <cell r="J4277" t="str">
            <v>Caversham</v>
          </cell>
          <cell r="L4277" t="str">
            <v>Reading</v>
          </cell>
          <cell r="M4277" t="str">
            <v>Berkshire</v>
          </cell>
          <cell r="N4277" t="str">
            <v>RG4 7RA</v>
          </cell>
          <cell r="O4277" t="str">
            <v>head@cavershamprimary.reading.sch.uk</v>
          </cell>
        </row>
        <row r="4278">
          <cell r="A4278">
            <v>9192390</v>
          </cell>
          <cell r="B4278">
            <v>117312</v>
          </cell>
          <cell r="C4278">
            <v>919</v>
          </cell>
          <cell r="D4278" t="str">
            <v>Hertfordshire</v>
          </cell>
          <cell r="E4278">
            <v>2390</v>
          </cell>
          <cell r="F4278" t="str">
            <v>Beverley Samuel</v>
          </cell>
          <cell r="G4278" t="str">
            <v>Crabtree Infants' School</v>
          </cell>
          <cell r="H4278" t="str">
            <v>East of England</v>
          </cell>
          <cell r="I4278" t="str">
            <v>Crabtree Lane</v>
          </cell>
          <cell r="L4278" t="str">
            <v>Harpenden</v>
          </cell>
          <cell r="M4278" t="str">
            <v>Hertfordshire</v>
          </cell>
          <cell r="N4278" t="str">
            <v>AL5 5PU</v>
          </cell>
        </row>
        <row r="4279">
          <cell r="A4279">
            <v>8865418</v>
          </cell>
          <cell r="B4279">
            <v>118890</v>
          </cell>
          <cell r="C4279">
            <v>886</v>
          </cell>
          <cell r="D4279" t="str">
            <v>Kent</v>
          </cell>
          <cell r="E4279">
            <v>5418</v>
          </cell>
          <cell r="F4279" t="str">
            <v>Nicky Edwards</v>
          </cell>
          <cell r="G4279" t="str">
            <v>The Skinners' School</v>
          </cell>
          <cell r="H4279" t="str">
            <v>South East</v>
          </cell>
          <cell r="I4279" t="str">
            <v>St John's Road</v>
          </cell>
          <cell r="L4279" t="str">
            <v>Tunbridge Wells</v>
          </cell>
          <cell r="M4279" t="str">
            <v>Kent</v>
          </cell>
          <cell r="N4279" t="str">
            <v>TN4 9PG</v>
          </cell>
          <cell r="O4279" t="str">
            <v>simon.everson@skinners-school.org.uk</v>
          </cell>
        </row>
        <row r="4280">
          <cell r="A4280">
            <v>8815233</v>
          </cell>
          <cell r="B4280">
            <v>115273</v>
          </cell>
          <cell r="C4280">
            <v>881</v>
          </cell>
          <cell r="D4280" t="str">
            <v>Essex</v>
          </cell>
          <cell r="E4280">
            <v>5233</v>
          </cell>
          <cell r="F4280" t="str">
            <v>Claire Ivie</v>
          </cell>
          <cell r="G4280" t="str">
            <v>Plumberow Primary School</v>
          </cell>
          <cell r="H4280" t="str">
            <v>East of England</v>
          </cell>
          <cell r="I4280" t="str">
            <v>Hamilton Gardens</v>
          </cell>
          <cell r="L4280" t="str">
            <v>Hockley</v>
          </cell>
          <cell r="M4280" t="str">
            <v>Essex</v>
          </cell>
          <cell r="N4280" t="str">
            <v>SS5 5BX</v>
          </cell>
          <cell r="O4280" t="str">
            <v>ian_barton2000@yahoo.com</v>
          </cell>
          <cell r="P4280">
            <v>40641</v>
          </cell>
        </row>
        <row r="4281">
          <cell r="A4281">
            <v>3542025</v>
          </cell>
          <cell r="B4281">
            <v>105778</v>
          </cell>
          <cell r="C4281">
            <v>354</v>
          </cell>
          <cell r="D4281" t="str">
            <v>Rochdale</v>
          </cell>
          <cell r="E4281">
            <v>2025</v>
          </cell>
          <cell r="F4281" t="str">
            <v>Jane McCusker</v>
          </cell>
          <cell r="G4281" t="str">
            <v>Marland Hill Community Primary School</v>
          </cell>
          <cell r="H4281" t="str">
            <v>North West</v>
          </cell>
          <cell r="I4281" t="str">
            <v>Roch Mills Crescent</v>
          </cell>
          <cell r="J4281" t="str">
            <v>Off Roch Valley Way</v>
          </cell>
          <cell r="L4281" t="str">
            <v>Rochdale</v>
          </cell>
          <cell r="M4281" t="str">
            <v>Lancashire</v>
          </cell>
          <cell r="N4281" t="str">
            <v>OL11 4QW</v>
          </cell>
          <cell r="O4281" t="str">
            <v>mail@weatherheadprojects.com</v>
          </cell>
        </row>
        <row r="4282">
          <cell r="A4282">
            <v>8862562</v>
          </cell>
          <cell r="B4282">
            <v>118516</v>
          </cell>
          <cell r="C4282">
            <v>886</v>
          </cell>
          <cell r="D4282" t="str">
            <v>Kent</v>
          </cell>
          <cell r="E4282">
            <v>2562</v>
          </cell>
          <cell r="F4282" t="str">
            <v>Nicky Edwards</v>
          </cell>
          <cell r="G4282" t="str">
            <v>Lunsford Primary School</v>
          </cell>
          <cell r="H4282" t="str">
            <v>South East</v>
          </cell>
          <cell r="I4282" t="str">
            <v>Swallow Road</v>
          </cell>
          <cell r="J4282" t="str">
            <v>Larkfield</v>
          </cell>
          <cell r="L4282" t="str">
            <v>Aylesford</v>
          </cell>
          <cell r="M4282" t="str">
            <v>Kent</v>
          </cell>
          <cell r="N4282" t="str">
            <v>ME20 6PY</v>
          </cell>
          <cell r="O4282" t="str">
            <v>headteacher@kent.gov.uk</v>
          </cell>
        </row>
        <row r="4283">
          <cell r="A4283">
            <v>9165428</v>
          </cell>
          <cell r="B4283">
            <v>115779</v>
          </cell>
          <cell r="C4283">
            <v>916</v>
          </cell>
          <cell r="D4283" t="str">
            <v>Gloucestershire</v>
          </cell>
          <cell r="E4283">
            <v>5428</v>
          </cell>
          <cell r="F4283" t="str">
            <v>Kate Bosher</v>
          </cell>
          <cell r="G4283" t="str">
            <v>Sir William Romney's School</v>
          </cell>
          <cell r="H4283" t="str">
            <v>South West</v>
          </cell>
          <cell r="I4283" t="str">
            <v>Lowfield Road</v>
          </cell>
          <cell r="L4283" t="str">
            <v>Tetbury</v>
          </cell>
          <cell r="M4283" t="str">
            <v>Gloucestershire</v>
          </cell>
          <cell r="N4283" t="str">
            <v>GL8 8AE</v>
          </cell>
          <cell r="O4283" t="str">
            <v>s.mackay@sirwilliamromneys.gloucs.sch.uk</v>
          </cell>
          <cell r="P4283">
            <v>40640</v>
          </cell>
        </row>
        <row r="4284">
          <cell r="A4284">
            <v>8963162</v>
          </cell>
          <cell r="B4284">
            <v>111280</v>
          </cell>
          <cell r="C4284">
            <v>896</v>
          </cell>
          <cell r="D4284" t="str">
            <v>Cheshire West and Chester</v>
          </cell>
          <cell r="E4284">
            <v>3162</v>
          </cell>
          <cell r="F4284" t="str">
            <v>Nick Child</v>
          </cell>
          <cell r="G4284" t="str">
            <v>Clutton CE Primary School</v>
          </cell>
          <cell r="H4284" t="str">
            <v>North West</v>
          </cell>
          <cell r="I4284" t="str">
            <v>Broxton Road</v>
          </cell>
          <cell r="J4284" t="str">
            <v>Clutton</v>
          </cell>
          <cell r="L4284" t="str">
            <v>Chester</v>
          </cell>
          <cell r="M4284" t="str">
            <v>Cheshire</v>
          </cell>
          <cell r="N4284" t="str">
            <v>CH3 9ER</v>
          </cell>
          <cell r="O4284" t="str">
            <v>cluttoncehead@cheshire.gov.uk</v>
          </cell>
        </row>
        <row r="4285">
          <cell r="A4285">
            <v>8353210</v>
          </cell>
          <cell r="B4285">
            <v>113791</v>
          </cell>
          <cell r="C4285">
            <v>835</v>
          </cell>
          <cell r="D4285" t="str">
            <v>Dorset</v>
          </cell>
          <cell r="E4285">
            <v>3210</v>
          </cell>
          <cell r="F4285" t="str">
            <v>Tahamina Khan</v>
          </cell>
          <cell r="G4285" t="str">
            <v>Manor Park Church of England First School</v>
          </cell>
          <cell r="H4285" t="str">
            <v>South West</v>
          </cell>
          <cell r="I4285" t="str">
            <v>Mellstock Avenue</v>
          </cell>
          <cell r="L4285" t="str">
            <v>Dorchester</v>
          </cell>
          <cell r="M4285" t="str">
            <v>Dorset</v>
          </cell>
          <cell r="N4285" t="str">
            <v>DT1 2BH</v>
          </cell>
          <cell r="O4285" t="str">
            <v>j.mockridge@manorpark.dorset.sch.uk</v>
          </cell>
        </row>
        <row r="4286">
          <cell r="A4286">
            <v>9353109</v>
          </cell>
          <cell r="B4286">
            <v>124747</v>
          </cell>
          <cell r="C4286">
            <v>935</v>
          </cell>
          <cell r="D4286" t="str">
            <v>Suffolk</v>
          </cell>
          <cell r="E4286">
            <v>3109</v>
          </cell>
          <cell r="F4286" t="str">
            <v>Joe Farrell</v>
          </cell>
          <cell r="G4286" t="str">
            <v>Wilby Church of England Voluntary Controlled Primary School</v>
          </cell>
          <cell r="H4286" t="str">
            <v>East of England</v>
          </cell>
          <cell r="I4286" t="str">
            <v>Wilby</v>
          </cell>
          <cell r="L4286" t="str">
            <v>Eye</v>
          </cell>
          <cell r="M4286" t="str">
            <v>Suffolk</v>
          </cell>
          <cell r="N4286" t="str">
            <v>IP21 5LR</v>
          </cell>
          <cell r="O4286" t="str">
            <v>head@wilby.suffolk.sch.uk</v>
          </cell>
        </row>
        <row r="4287">
          <cell r="A4287">
            <v>9282137</v>
          </cell>
          <cell r="B4287">
            <v>121897</v>
          </cell>
          <cell r="C4287">
            <v>928</v>
          </cell>
          <cell r="D4287" t="str">
            <v>Northamptonshire</v>
          </cell>
          <cell r="E4287">
            <v>2137</v>
          </cell>
          <cell r="F4287" t="str">
            <v>Stephen Standret</v>
          </cell>
          <cell r="G4287" t="str">
            <v>The Grange School, Daventry</v>
          </cell>
          <cell r="H4287" t="str">
            <v>East Midlands</v>
          </cell>
          <cell r="I4287" t="str">
            <v>Staverton Road</v>
          </cell>
          <cell r="L4287" t="str">
            <v>Daventry</v>
          </cell>
          <cell r="M4287" t="str">
            <v>Northamptonshire</v>
          </cell>
          <cell r="N4287" t="str">
            <v>NN11 4HW</v>
          </cell>
          <cell r="O4287" t="str">
            <v>head@thegrange.northants-ecl.gov.uk</v>
          </cell>
        </row>
        <row r="4288">
          <cell r="A4288">
            <v>8854501</v>
          </cell>
          <cell r="B4288">
            <v>135060</v>
          </cell>
          <cell r="C4288">
            <v>885</v>
          </cell>
          <cell r="D4288" t="str">
            <v>Worcestershire</v>
          </cell>
          <cell r="E4288">
            <v>4501</v>
          </cell>
          <cell r="F4288" t="str">
            <v>Ruth Pallister</v>
          </cell>
          <cell r="G4288" t="str">
            <v>King Charles I Secondary School</v>
          </cell>
          <cell r="H4288" t="str">
            <v>West Midlands</v>
          </cell>
          <cell r="I4288" t="str">
            <v>Hill Grove House</v>
          </cell>
          <cell r="J4288" t="str">
            <v>Comberton Road</v>
          </cell>
          <cell r="L4288" t="str">
            <v>Kidderminster</v>
          </cell>
          <cell r="M4288" t="str">
            <v>Worcestershire</v>
          </cell>
          <cell r="N4288" t="str">
            <v>DY10 1XA</v>
          </cell>
          <cell r="P4288">
            <v>40805</v>
          </cell>
        </row>
        <row r="4289">
          <cell r="A4289">
            <v>3014021</v>
          </cell>
          <cell r="B4289">
            <v>101241</v>
          </cell>
          <cell r="C4289">
            <v>301</v>
          </cell>
          <cell r="D4289" t="str">
            <v>Barking and Dagenham</v>
          </cell>
          <cell r="E4289">
            <v>4021</v>
          </cell>
          <cell r="F4289" t="str">
            <v>Helen Fisher</v>
          </cell>
          <cell r="G4289" t="str">
            <v>Barking Abbey School, A Specialist Sports and Humanities College</v>
          </cell>
          <cell r="H4289" t="str">
            <v>London</v>
          </cell>
          <cell r="I4289" t="str">
            <v>Sandringham Road</v>
          </cell>
          <cell r="L4289" t="str">
            <v>Barking</v>
          </cell>
          <cell r="M4289" t="str">
            <v>Essex</v>
          </cell>
          <cell r="N4289" t="str">
            <v>IG11 9AG</v>
          </cell>
          <cell r="O4289" t="str">
            <v>mlloyd@babbey.bardaglea.org.uk</v>
          </cell>
        </row>
        <row r="4290">
          <cell r="A4290">
            <v>9282053</v>
          </cell>
          <cell r="B4290">
            <v>121831</v>
          </cell>
          <cell r="C4290">
            <v>928</v>
          </cell>
          <cell r="D4290" t="str">
            <v>Northamptonshire</v>
          </cell>
          <cell r="E4290">
            <v>2053</v>
          </cell>
          <cell r="F4290" t="str">
            <v>Sue Harp</v>
          </cell>
          <cell r="G4290" t="str">
            <v>Irthlingborough Junior School</v>
          </cell>
          <cell r="H4290" t="str">
            <v>East Midlands</v>
          </cell>
          <cell r="I4290" t="str">
            <v>College Street</v>
          </cell>
          <cell r="J4290" t="str">
            <v>Irthlingborough</v>
          </cell>
          <cell r="L4290" t="str">
            <v>Wellingborough</v>
          </cell>
          <cell r="M4290" t="str">
            <v>Northamptonshire</v>
          </cell>
          <cell r="N4290" t="str">
            <v>NN9 5TX</v>
          </cell>
        </row>
        <row r="4291">
          <cell r="A4291">
            <v>9193404</v>
          </cell>
          <cell r="B4291">
            <v>117481</v>
          </cell>
          <cell r="C4291">
            <v>919</v>
          </cell>
          <cell r="D4291" t="str">
            <v>Hertfordshire</v>
          </cell>
          <cell r="E4291">
            <v>3404</v>
          </cell>
          <cell r="G4291" t="str">
            <v>The Holy Family Catholic Primary School</v>
          </cell>
          <cell r="H4291" t="str">
            <v>East of England</v>
          </cell>
          <cell r="I4291" t="str">
            <v>Crookhams</v>
          </cell>
          <cell r="L4291" t="str">
            <v>Welwyn Garden City</v>
          </cell>
          <cell r="M4291" t="str">
            <v>Hertfordshire</v>
          </cell>
          <cell r="N4291" t="str">
            <v>AL7 1PG</v>
          </cell>
          <cell r="O4291" t="str">
            <v>head@holyfamily.herts.sch.uk</v>
          </cell>
        </row>
        <row r="4292">
          <cell r="A4292">
            <v>3357011</v>
          </cell>
          <cell r="B4292">
            <v>104275</v>
          </cell>
          <cell r="C4292">
            <v>335</v>
          </cell>
          <cell r="D4292" t="str">
            <v>Walsall</v>
          </cell>
          <cell r="E4292">
            <v>7011</v>
          </cell>
          <cell r="F4292" t="str">
            <v>Jamie Kelly</v>
          </cell>
          <cell r="G4292" t="str">
            <v>Oakwood School</v>
          </cell>
          <cell r="H4292" t="str">
            <v>West Midlands</v>
          </cell>
          <cell r="I4292" t="str">
            <v>Druids Walk</v>
          </cell>
          <cell r="J4292" t="str">
            <v>Walsall Wood</v>
          </cell>
          <cell r="L4292" t="str">
            <v>Walsall</v>
          </cell>
          <cell r="M4292" t="str">
            <v>West Midlands</v>
          </cell>
          <cell r="N4292" t="str">
            <v>WS9 9JS</v>
          </cell>
          <cell r="O4292" t="str">
            <v>kmills@oakwood.walsall.sch.uk</v>
          </cell>
        </row>
        <row r="4293">
          <cell r="A4293">
            <v>9265400</v>
          </cell>
          <cell r="B4293">
            <v>121208</v>
          </cell>
          <cell r="C4293">
            <v>926</v>
          </cell>
          <cell r="D4293" t="str">
            <v>Norfolk</v>
          </cell>
          <cell r="E4293">
            <v>5400</v>
          </cell>
          <cell r="F4293" t="str">
            <v>Susan Shakespeare</v>
          </cell>
          <cell r="G4293" t="str">
            <v>Wymondham College (Boarding School)</v>
          </cell>
          <cell r="H4293" t="str">
            <v>East of England</v>
          </cell>
          <cell r="I4293" t="str">
            <v>Golf Links Road</v>
          </cell>
          <cell r="J4293" t="str">
            <v>Morley</v>
          </cell>
          <cell r="L4293" t="str">
            <v>Wymondham</v>
          </cell>
          <cell r="M4293" t="str">
            <v>Norfolk</v>
          </cell>
          <cell r="N4293" t="str">
            <v>NR18 9SZ</v>
          </cell>
          <cell r="O4293" t="str">
            <v>roffeme.staff@wymondhamcollege.org</v>
          </cell>
          <cell r="P4293">
            <v>40459</v>
          </cell>
        </row>
        <row r="4294">
          <cell r="A4294">
            <v>3842094</v>
          </cell>
          <cell r="B4294">
            <v>108173</v>
          </cell>
          <cell r="C4294">
            <v>384</v>
          </cell>
          <cell r="D4294" t="str">
            <v>Wakefield</v>
          </cell>
          <cell r="E4294">
            <v>2094</v>
          </cell>
          <cell r="F4294" t="str">
            <v>Jayne Turner</v>
          </cell>
          <cell r="G4294" t="str">
            <v>Pontefract Orchard Head Junior and Infant School</v>
          </cell>
          <cell r="H4294" t="str">
            <v>Yorkshire and the Humber</v>
          </cell>
          <cell r="I4294" t="str">
            <v>Orchard Head Lane</v>
          </cell>
          <cell r="L4294" t="str">
            <v>Pontefract</v>
          </cell>
          <cell r="M4294" t="str">
            <v>West Yorkshire</v>
          </cell>
          <cell r="N4294" t="str">
            <v>WF8 2NJ</v>
          </cell>
          <cell r="O4294" t="str">
            <v>actinghead@orchardhead.wakefield.sch.uk</v>
          </cell>
          <cell r="P4294">
            <v>41176</v>
          </cell>
        </row>
        <row r="4295">
          <cell r="A4295">
            <v>9194146</v>
          </cell>
          <cell r="B4295">
            <v>117543</v>
          </cell>
          <cell r="C4295">
            <v>919</v>
          </cell>
          <cell r="D4295" t="str">
            <v>Hertfordshire</v>
          </cell>
          <cell r="E4295">
            <v>4146</v>
          </cell>
          <cell r="F4295" t="str">
            <v>June Laughton</v>
          </cell>
          <cell r="G4295" t="str">
            <v>Ralph Sadleir Middle School</v>
          </cell>
          <cell r="H4295" t="str">
            <v>East of England</v>
          </cell>
          <cell r="I4295" t="str">
            <v>Station Road</v>
          </cell>
          <cell r="J4295" t="str">
            <v>Puckeridge</v>
          </cell>
          <cell r="L4295" t="str">
            <v>Ware</v>
          </cell>
          <cell r="M4295" t="str">
            <v>Hertfordshire</v>
          </cell>
          <cell r="N4295" t="str">
            <v>SG11 1TF</v>
          </cell>
          <cell r="O4295" t="str">
            <v>head@ralphsadleir.herts.sch.uk</v>
          </cell>
          <cell r="P4295">
            <v>40729</v>
          </cell>
        </row>
        <row r="4296">
          <cell r="A4296">
            <v>3572066</v>
          </cell>
          <cell r="B4296">
            <v>106218</v>
          </cell>
          <cell r="C4296">
            <v>357</v>
          </cell>
          <cell r="D4296" t="str">
            <v>Tameside</v>
          </cell>
          <cell r="E4296">
            <v>2066</v>
          </cell>
          <cell r="F4296" t="str">
            <v>Linda Tiley</v>
          </cell>
          <cell r="G4296" t="str">
            <v>Greenside Primary School and Children's Centre</v>
          </cell>
          <cell r="H4296" t="str">
            <v>North West</v>
          </cell>
          <cell r="I4296" t="str">
            <v>Greenside Lane</v>
          </cell>
          <cell r="J4296" t="str">
            <v>Droylsden</v>
          </cell>
          <cell r="L4296" t="str">
            <v>Manchester</v>
          </cell>
          <cell r="N4296" t="str">
            <v>M43 7RA</v>
          </cell>
          <cell r="O4296" t="str">
            <v>admin@greenside.tameside.sch.uk</v>
          </cell>
        </row>
        <row r="4297">
          <cell r="A4297">
            <v>8352024</v>
          </cell>
          <cell r="B4297">
            <v>113670</v>
          </cell>
          <cell r="C4297">
            <v>835</v>
          </cell>
          <cell r="D4297" t="str">
            <v>Dorset</v>
          </cell>
          <cell r="E4297">
            <v>2024</v>
          </cell>
          <cell r="F4297" t="str">
            <v>Tahamina Khan</v>
          </cell>
          <cell r="G4297" t="str">
            <v>Lytchett Matravers Primary School</v>
          </cell>
          <cell r="H4297" t="str">
            <v>South West</v>
          </cell>
          <cell r="I4297" t="str">
            <v>Lytchett Matravers</v>
          </cell>
          <cell r="L4297" t="str">
            <v>Poole</v>
          </cell>
          <cell r="M4297" t="str">
            <v>Dorset</v>
          </cell>
          <cell r="N4297" t="str">
            <v>BH16 6DY</v>
          </cell>
          <cell r="O4297" t="str">
            <v>sfrance@lytchettmatravers.dorset.mg4l.net</v>
          </cell>
        </row>
        <row r="4298">
          <cell r="A4298">
            <v>8865214</v>
          </cell>
          <cell r="B4298">
            <v>118860</v>
          </cell>
          <cell r="C4298">
            <v>886</v>
          </cell>
          <cell r="D4298" t="str">
            <v>Kent</v>
          </cell>
          <cell r="E4298">
            <v>5214</v>
          </cell>
          <cell r="G4298" t="str">
            <v>St. Bartholomew's Catholic Primary School</v>
          </cell>
          <cell r="H4298" t="str">
            <v>South East</v>
          </cell>
          <cell r="I4298" t="str">
            <v>Sycamore Drive</v>
          </cell>
          <cell r="L4298" t="str">
            <v>Swanley</v>
          </cell>
          <cell r="M4298" t="str">
            <v>Kent</v>
          </cell>
          <cell r="N4298" t="str">
            <v>BR8 7AY</v>
          </cell>
          <cell r="O4298" t="str">
            <v>plavery@st-bartholomewsrc-pri.kent.sch.uk</v>
          </cell>
        </row>
        <row r="4299">
          <cell r="A4299">
            <v>9363024</v>
          </cell>
          <cell r="B4299">
            <v>125144</v>
          </cell>
          <cell r="C4299">
            <v>936</v>
          </cell>
          <cell r="D4299" t="str">
            <v>Surrey</v>
          </cell>
          <cell r="E4299">
            <v>3024</v>
          </cell>
          <cell r="F4299" t="str">
            <v>Eric Mcewen</v>
          </cell>
          <cell r="G4299" t="str">
            <v>St Andrew's CofE Controlled Infant School</v>
          </cell>
          <cell r="H4299" t="str">
            <v>South East</v>
          </cell>
          <cell r="I4299" t="str">
            <v>Upper Church Lane</v>
          </cell>
          <cell r="L4299" t="str">
            <v>Farnham</v>
          </cell>
          <cell r="M4299" t="str">
            <v>Surrey</v>
          </cell>
          <cell r="N4299" t="str">
            <v>GU9 7PW</v>
          </cell>
          <cell r="O4299" t="str">
            <v>head@standrews-infant.surrey.sch.uk</v>
          </cell>
        </row>
        <row r="4300">
          <cell r="A4300">
            <v>9292531</v>
          </cell>
          <cell r="B4300">
            <v>131021</v>
          </cell>
          <cell r="C4300">
            <v>929</v>
          </cell>
          <cell r="D4300" t="str">
            <v>Northumberland</v>
          </cell>
          <cell r="E4300">
            <v>2531</v>
          </cell>
          <cell r="F4300" t="str">
            <v>Lisa Sargeant</v>
          </cell>
          <cell r="G4300" t="str">
            <v>Ashington Central First School</v>
          </cell>
          <cell r="H4300" t="str">
            <v>North East</v>
          </cell>
          <cell r="I4300" t="str">
            <v>Milburn Road</v>
          </cell>
          <cell r="L4300" t="str">
            <v>Ashington</v>
          </cell>
          <cell r="M4300" t="str">
            <v>Northumberland</v>
          </cell>
          <cell r="N4300" t="str">
            <v>NE63 0AX</v>
          </cell>
          <cell r="P4300">
            <v>40625</v>
          </cell>
        </row>
        <row r="4301">
          <cell r="A4301">
            <v>8792701</v>
          </cell>
          <cell r="B4301">
            <v>113322</v>
          </cell>
          <cell r="C4301">
            <v>879</v>
          </cell>
          <cell r="D4301" t="str">
            <v>Plymouth</v>
          </cell>
          <cell r="E4301">
            <v>2701</v>
          </cell>
          <cell r="F4301" t="str">
            <v>Nigel Mills</v>
          </cell>
          <cell r="G4301" t="str">
            <v>Elburton Primary School</v>
          </cell>
          <cell r="H4301" t="str">
            <v>South West</v>
          </cell>
          <cell r="I4301" t="str">
            <v>Haye Road South</v>
          </cell>
          <cell r="J4301" t="str">
            <v>Elburton</v>
          </cell>
          <cell r="L4301" t="str">
            <v>Plymouth</v>
          </cell>
          <cell r="M4301" t="str">
            <v>Devon</v>
          </cell>
          <cell r="N4301" t="str">
            <v>PL9 8HJ</v>
          </cell>
          <cell r="O4301" t="str">
            <v>elburton.primary.school@plymouth.gov.uk</v>
          </cell>
          <cell r="P4301">
            <v>40879</v>
          </cell>
        </row>
        <row r="4302">
          <cell r="A4302">
            <v>9283500</v>
          </cell>
          <cell r="B4302">
            <v>122048</v>
          </cell>
          <cell r="C4302">
            <v>928</v>
          </cell>
          <cell r="D4302" t="str">
            <v>Northamptonshire</v>
          </cell>
          <cell r="E4302">
            <v>3500</v>
          </cell>
          <cell r="F4302" t="str">
            <v>Stephen Standret</v>
          </cell>
          <cell r="G4302" t="str">
            <v>The Bliss Charity School</v>
          </cell>
          <cell r="H4302" t="str">
            <v>East Midlands</v>
          </cell>
          <cell r="I4302" t="str">
            <v>The Green</v>
          </cell>
          <cell r="J4302" t="str">
            <v>Nether Heyford</v>
          </cell>
          <cell r="L4302" t="str">
            <v>Northampton</v>
          </cell>
          <cell r="M4302" t="str">
            <v>Northamptonshire</v>
          </cell>
          <cell r="N4302" t="str">
            <v>NN7 3LE</v>
          </cell>
          <cell r="O4302" t="str">
            <v>head@blisscharity.northants-ecl.gov.uk</v>
          </cell>
        </row>
        <row r="4303">
          <cell r="A4303">
            <v>9165402</v>
          </cell>
          <cell r="B4303">
            <v>115753</v>
          </cell>
          <cell r="C4303">
            <v>916</v>
          </cell>
          <cell r="D4303" t="str">
            <v>Gloucestershire</v>
          </cell>
          <cell r="E4303">
            <v>5402</v>
          </cell>
          <cell r="F4303" t="str">
            <v>Kate Bosher</v>
          </cell>
          <cell r="G4303" t="str">
            <v>Stroud High School</v>
          </cell>
          <cell r="H4303" t="str">
            <v>South West</v>
          </cell>
          <cell r="I4303" t="str">
            <v>Beards Lane</v>
          </cell>
          <cell r="J4303" t="str">
            <v>Cainscross Road</v>
          </cell>
          <cell r="L4303" t="str">
            <v>Stroud</v>
          </cell>
          <cell r="M4303" t="str">
            <v>Gloucestershire</v>
          </cell>
          <cell r="N4303" t="str">
            <v>GL5 4HF</v>
          </cell>
          <cell r="O4303" t="str">
            <v>mnorman@srtoudhigh.gloucs.sch.uk</v>
          </cell>
          <cell r="P4303">
            <v>40597</v>
          </cell>
        </row>
        <row r="4304">
          <cell r="A4304">
            <v>9313605</v>
          </cell>
          <cell r="B4304">
            <v>123193</v>
          </cell>
          <cell r="C4304">
            <v>931</v>
          </cell>
          <cell r="D4304" t="str">
            <v>Oxfordshire</v>
          </cell>
          <cell r="E4304">
            <v>3605</v>
          </cell>
          <cell r="F4304" t="str">
            <v>Darren Francis</v>
          </cell>
          <cell r="G4304" t="str">
            <v>The Batt Church of England Voluntary Aided Primary School</v>
          </cell>
          <cell r="H4304" t="str">
            <v>South East</v>
          </cell>
          <cell r="I4304" t="str">
            <v>Corn Street</v>
          </cell>
          <cell r="L4304" t="str">
            <v>Witney</v>
          </cell>
          <cell r="M4304" t="str">
            <v>Oxfordshire</v>
          </cell>
          <cell r="N4304" t="str">
            <v>OX28 6DY</v>
          </cell>
          <cell r="O4304" t="str">
            <v>head.3605@batt.oxon.sch.uk</v>
          </cell>
        </row>
        <row r="4305">
          <cell r="A4305">
            <v>9364160</v>
          </cell>
          <cell r="B4305">
            <v>125258</v>
          </cell>
          <cell r="C4305">
            <v>936</v>
          </cell>
          <cell r="D4305" t="str">
            <v>Surrey</v>
          </cell>
          <cell r="E4305">
            <v>4160</v>
          </cell>
          <cell r="F4305" t="str">
            <v>Gabriela Grimley</v>
          </cell>
          <cell r="G4305" t="str">
            <v>The Magna Carta School</v>
          </cell>
          <cell r="H4305" t="str">
            <v>South East</v>
          </cell>
          <cell r="I4305" t="str">
            <v>Thorpe Road</v>
          </cell>
          <cell r="L4305" t="str">
            <v>Staines</v>
          </cell>
          <cell r="M4305" t="str">
            <v>Surrey</v>
          </cell>
          <cell r="N4305" t="str">
            <v>TW18 3HJ</v>
          </cell>
          <cell r="O4305" t="str">
            <v>tsmith@magnacarta.surrey.sch.uk</v>
          </cell>
          <cell r="P4305">
            <v>40595</v>
          </cell>
        </row>
        <row r="4306">
          <cell r="A4306">
            <v>8863349</v>
          </cell>
          <cell r="B4306">
            <v>118743</v>
          </cell>
          <cell r="C4306">
            <v>886</v>
          </cell>
          <cell r="D4306" t="str">
            <v>Kent</v>
          </cell>
          <cell r="E4306">
            <v>3349</v>
          </cell>
          <cell r="F4306" t="str">
            <v>Tony Dunne</v>
          </cell>
          <cell r="G4306" t="str">
            <v>Folkestone, St Mary's Church of England Primary School</v>
          </cell>
          <cell r="H4306" t="str">
            <v>South East</v>
          </cell>
          <cell r="I4306" t="str">
            <v>Warren Road</v>
          </cell>
          <cell r="L4306" t="str">
            <v>Folkestone</v>
          </cell>
          <cell r="M4306" t="str">
            <v>Kent</v>
          </cell>
          <cell r="N4306" t="str">
            <v>CT19 6QH</v>
          </cell>
          <cell r="O4306" t="str">
            <v>JohnB@st-marys-folkestone.kent.sch.uk</v>
          </cell>
          <cell r="P4306">
            <v>41057</v>
          </cell>
        </row>
        <row r="4307">
          <cell r="A4307">
            <v>8265410</v>
          </cell>
          <cell r="B4307">
            <v>110498</v>
          </cell>
          <cell r="C4307">
            <v>826</v>
          </cell>
          <cell r="D4307" t="str">
            <v>Milton Keynes</v>
          </cell>
          <cell r="E4307">
            <v>5410</v>
          </cell>
          <cell r="F4307" t="str">
            <v>Nicky Edwards</v>
          </cell>
          <cell r="G4307" t="str">
            <v>Denbigh School</v>
          </cell>
          <cell r="H4307" t="str">
            <v>South East</v>
          </cell>
          <cell r="I4307" t="str">
            <v>Burchard Crescent</v>
          </cell>
          <cell r="J4307" t="str">
            <v>Shenley Church End</v>
          </cell>
          <cell r="L4307" t="str">
            <v>Milton Keynes</v>
          </cell>
          <cell r="M4307" t="str">
            <v>Buckinghamshire</v>
          </cell>
          <cell r="N4307" t="str">
            <v>MK5 6EX</v>
          </cell>
          <cell r="O4307" t="str">
            <v>parkers@denbigh.net</v>
          </cell>
          <cell r="P4307">
            <v>40498</v>
          </cell>
        </row>
        <row r="4308">
          <cell r="A4308">
            <v>8522468</v>
          </cell>
          <cell r="B4308">
            <v>116136</v>
          </cell>
          <cell r="C4308">
            <v>852</v>
          </cell>
          <cell r="D4308" t="str">
            <v>Southampton</v>
          </cell>
          <cell r="E4308">
            <v>2468</v>
          </cell>
          <cell r="F4308" t="str">
            <v>Lindsay Morris</v>
          </cell>
          <cell r="G4308" t="str">
            <v>Oakwood Infant School</v>
          </cell>
          <cell r="H4308" t="str">
            <v>South East</v>
          </cell>
          <cell r="I4308" t="str">
            <v>Sandpiper Road</v>
          </cell>
          <cell r="J4308" t="str">
            <v>Lordswood</v>
          </cell>
          <cell r="L4308" t="str">
            <v>Southampton</v>
          </cell>
          <cell r="M4308" t="str">
            <v>Hampshire</v>
          </cell>
          <cell r="N4308" t="str">
            <v>SO16 8FD</v>
          </cell>
          <cell r="O4308" t="str">
            <v>head@oakwood-inf.southampton.sch.uk</v>
          </cell>
        </row>
        <row r="4309">
          <cell r="A4309">
            <v>3314037</v>
          </cell>
          <cell r="B4309">
            <v>103738</v>
          </cell>
          <cell r="C4309">
            <v>331</v>
          </cell>
          <cell r="D4309" t="str">
            <v>Coventry</v>
          </cell>
          <cell r="E4309">
            <v>4037</v>
          </cell>
          <cell r="F4309" t="str">
            <v>Alison Middleton</v>
          </cell>
          <cell r="G4309" t="str">
            <v>Finham Park School</v>
          </cell>
          <cell r="H4309" t="str">
            <v>West Midlands</v>
          </cell>
          <cell r="I4309" t="str">
            <v>Green Lane</v>
          </cell>
          <cell r="L4309" t="str">
            <v>Coventry</v>
          </cell>
          <cell r="M4309" t="str">
            <v>West Midlands</v>
          </cell>
          <cell r="N4309" t="str">
            <v>CV3 6EA</v>
          </cell>
          <cell r="O4309" t="str">
            <v>m.bailie@finhampark.co.uk</v>
          </cell>
          <cell r="P4309">
            <v>40591</v>
          </cell>
        </row>
        <row r="4310">
          <cell r="A4310">
            <v>8514301</v>
          </cell>
          <cell r="B4310">
            <v>116461</v>
          </cell>
          <cell r="C4310">
            <v>851</v>
          </cell>
          <cell r="D4310" t="str">
            <v>Portsmouth</v>
          </cell>
          <cell r="E4310">
            <v>4301</v>
          </cell>
          <cell r="F4310" t="str">
            <v>Eric Mcewen</v>
          </cell>
          <cell r="G4310" t="str">
            <v>Springfield School</v>
          </cell>
          <cell r="H4310" t="str">
            <v>South East</v>
          </cell>
          <cell r="I4310" t="str">
            <v>Central Road</v>
          </cell>
          <cell r="J4310" t="str">
            <v>Drayton</v>
          </cell>
          <cell r="L4310" t="str">
            <v>Portsmouth</v>
          </cell>
          <cell r="M4310" t="str">
            <v>Hampshire</v>
          </cell>
          <cell r="N4310" t="str">
            <v>PO6 1QY</v>
          </cell>
          <cell r="O4310" t="str">
            <v xml:space="preserve"> evs@springfield-sec.portsmouth.sch.uk</v>
          </cell>
        </row>
        <row r="4311">
          <cell r="A4311">
            <v>3724025</v>
          </cell>
          <cell r="B4311">
            <v>106961</v>
          </cell>
          <cell r="C4311">
            <v>372</v>
          </cell>
          <cell r="D4311" t="str">
            <v>Rotherham</v>
          </cell>
          <cell r="E4311">
            <v>4025</v>
          </cell>
          <cell r="F4311" t="str">
            <v>Colin Knights</v>
          </cell>
          <cell r="G4311" t="str">
            <v>Wales High School</v>
          </cell>
          <cell r="H4311" t="str">
            <v>Yorkshire and the Humber</v>
          </cell>
          <cell r="I4311" t="str">
            <v>Storth Lane</v>
          </cell>
          <cell r="J4311" t="str">
            <v>Kiveton Park</v>
          </cell>
          <cell r="L4311" t="str">
            <v>Sheffield</v>
          </cell>
          <cell r="M4311" t="str">
            <v>South Yorkshire</v>
          </cell>
          <cell r="N4311" t="str">
            <v>S26 5QQ</v>
          </cell>
          <cell r="O4311" t="str">
            <v>whsjd@rgfl.org</v>
          </cell>
          <cell r="P4311">
            <v>40354</v>
          </cell>
        </row>
        <row r="4312">
          <cell r="A4312">
            <v>9194118</v>
          </cell>
          <cell r="B4312">
            <v>117536</v>
          </cell>
          <cell r="C4312">
            <v>919</v>
          </cell>
          <cell r="D4312" t="str">
            <v>Hertfordshire</v>
          </cell>
          <cell r="E4312">
            <v>4118</v>
          </cell>
          <cell r="F4312" t="str">
            <v>Stella Aina</v>
          </cell>
          <cell r="G4312" t="str">
            <v>Monks Walk School</v>
          </cell>
          <cell r="H4312" t="str">
            <v>East of England</v>
          </cell>
          <cell r="I4312" t="str">
            <v>Knightsfield</v>
          </cell>
          <cell r="L4312" t="str">
            <v>Welwyn Garden City</v>
          </cell>
          <cell r="M4312" t="str">
            <v>Hertfordshire</v>
          </cell>
          <cell r="N4312" t="str">
            <v>AL8 7NL</v>
          </cell>
          <cell r="O4312" t="str">
            <v>ksm@monkswalk.herts.sch.uk</v>
          </cell>
          <cell r="P4312">
            <v>40990</v>
          </cell>
        </row>
        <row r="4313">
          <cell r="A4313">
            <v>9282186</v>
          </cell>
          <cell r="B4313">
            <v>121929</v>
          </cell>
          <cell r="C4313">
            <v>928</v>
          </cell>
          <cell r="D4313" t="str">
            <v>Northamptonshire</v>
          </cell>
          <cell r="E4313">
            <v>2186</v>
          </cell>
          <cell r="F4313" t="str">
            <v>Helen Whetter</v>
          </cell>
          <cell r="G4313" t="str">
            <v>Lumbertubs Primary School</v>
          </cell>
          <cell r="H4313" t="str">
            <v>East Midlands</v>
          </cell>
          <cell r="I4313" t="str">
            <v>Tonmead Road</v>
          </cell>
          <cell r="L4313" t="str">
            <v>Northampton</v>
          </cell>
          <cell r="M4313" t="str">
            <v>Northamptonshire</v>
          </cell>
          <cell r="N4313" t="str">
            <v>NN3 8HZ</v>
          </cell>
          <cell r="O4313" t="str">
            <v>head@lumbertubs.northants-ecl.gov.uk</v>
          </cell>
        </row>
        <row r="4314">
          <cell r="A4314">
            <v>8784011</v>
          </cell>
          <cell r="B4314">
            <v>113503</v>
          </cell>
          <cell r="C4314">
            <v>878</v>
          </cell>
          <cell r="D4314" t="str">
            <v>Devon</v>
          </cell>
          <cell r="E4314">
            <v>4011</v>
          </cell>
          <cell r="F4314" t="str">
            <v>Theresa Oddelm</v>
          </cell>
          <cell r="G4314" t="str">
            <v>Sidmouth College</v>
          </cell>
          <cell r="H4314" t="str">
            <v>South West</v>
          </cell>
          <cell r="I4314" t="str">
            <v>Primley Road</v>
          </cell>
          <cell r="L4314" t="str">
            <v>Sidmouth</v>
          </cell>
          <cell r="M4314" t="str">
            <v>Devon</v>
          </cell>
          <cell r="N4314" t="str">
            <v>EX10 9LG</v>
          </cell>
          <cell r="O4314" t="str">
            <v>jbroberts@sidmouthcollege.devon.sch.uk</v>
          </cell>
        </row>
        <row r="4315">
          <cell r="A4315">
            <v>8815420</v>
          </cell>
          <cell r="B4315">
            <v>115336</v>
          </cell>
          <cell r="C4315">
            <v>881</v>
          </cell>
          <cell r="D4315" t="str">
            <v>Essex</v>
          </cell>
          <cell r="E4315">
            <v>5420</v>
          </cell>
          <cell r="F4315" t="str">
            <v>Claire Ivie</v>
          </cell>
          <cell r="G4315" t="str">
            <v>The Cornelius Vermuyden School and Arts College</v>
          </cell>
          <cell r="H4315" t="str">
            <v>East of England</v>
          </cell>
          <cell r="I4315" t="str">
            <v>Dinant Avenue</v>
          </cell>
          <cell r="L4315" t="str">
            <v>Canvey Island</v>
          </cell>
          <cell r="M4315" t="str">
            <v>Essex</v>
          </cell>
          <cell r="N4315" t="str">
            <v>SS8 9QS</v>
          </cell>
          <cell r="O4315" t="str">
            <v>cskewes@corver.rmplc.co.uk</v>
          </cell>
        </row>
        <row r="4316">
          <cell r="A4316">
            <v>3042028</v>
          </cell>
          <cell r="B4316">
            <v>101504</v>
          </cell>
          <cell r="C4316">
            <v>304</v>
          </cell>
          <cell r="D4316" t="str">
            <v>Brent</v>
          </cell>
          <cell r="E4316">
            <v>2028</v>
          </cell>
          <cell r="F4316" t="str">
            <v>Martin Rowley</v>
          </cell>
          <cell r="G4316" t="str">
            <v>Leopold Primary School</v>
          </cell>
          <cell r="H4316" t="str">
            <v>London</v>
          </cell>
          <cell r="I4316" t="str">
            <v>Hawkshead Road</v>
          </cell>
          <cell r="J4316" t="str">
            <v>Willesden</v>
          </cell>
          <cell r="L4316" t="str">
            <v>London</v>
          </cell>
          <cell r="N4316" t="str">
            <v>NW10 9UR</v>
          </cell>
          <cell r="O4316" t="str">
            <v>admin@leopold.brent.sch.uk</v>
          </cell>
        </row>
        <row r="4317">
          <cell r="A4317">
            <v>8302329</v>
          </cell>
          <cell r="B4317">
            <v>112682</v>
          </cell>
          <cell r="C4317">
            <v>830</v>
          </cell>
          <cell r="D4317" t="str">
            <v>Derbyshire</v>
          </cell>
          <cell r="E4317">
            <v>2329</v>
          </cell>
          <cell r="F4317" t="str">
            <v>Stephen Standret</v>
          </cell>
          <cell r="G4317" t="str">
            <v>The Park Junior School</v>
          </cell>
          <cell r="H4317" t="str">
            <v>East Midlands</v>
          </cell>
          <cell r="I4317" t="str">
            <v>Orchard Close</v>
          </cell>
          <cell r="K4317" t="str">
            <v>Shirebrook</v>
          </cell>
          <cell r="L4317" t="str">
            <v>Mansfield</v>
          </cell>
          <cell r="M4317" t="str">
            <v>Nottinghamshire</v>
          </cell>
          <cell r="N4317" t="str">
            <v>NG20 8JX</v>
          </cell>
          <cell r="O4317" t="str">
            <v>stevehew@btconnect.com</v>
          </cell>
        </row>
        <row r="4318">
          <cell r="A4318">
            <v>3207010</v>
          </cell>
          <cell r="B4318">
            <v>103118</v>
          </cell>
          <cell r="C4318">
            <v>320</v>
          </cell>
          <cell r="D4318" t="str">
            <v>Waltham Forest</v>
          </cell>
          <cell r="E4318">
            <v>7010</v>
          </cell>
          <cell r="F4318" t="str">
            <v>Lin Houston</v>
          </cell>
          <cell r="G4318" t="str">
            <v>William Morris School</v>
          </cell>
          <cell r="H4318" t="str">
            <v>London</v>
          </cell>
          <cell r="I4318" t="str">
            <v>Folly Lane</v>
          </cell>
          <cell r="J4318" t="str">
            <v>Walthamstow</v>
          </cell>
          <cell r="L4318" t="str">
            <v>London</v>
          </cell>
          <cell r="N4318" t="str">
            <v>E17 5NT</v>
          </cell>
          <cell r="O4318" t="str">
            <v>gary.pocock@brookfieldhouse.waltham.sch.uk</v>
          </cell>
        </row>
        <row r="4319">
          <cell r="A4319">
            <v>8124011</v>
          </cell>
          <cell r="B4319">
            <v>118067</v>
          </cell>
          <cell r="C4319">
            <v>812</v>
          </cell>
          <cell r="D4319" t="str">
            <v>North East Lincolnshire</v>
          </cell>
          <cell r="E4319">
            <v>4011</v>
          </cell>
          <cell r="F4319" t="str">
            <v>Lisa Sargeant</v>
          </cell>
          <cell r="G4319" t="str">
            <v>Whitgift School</v>
          </cell>
          <cell r="H4319" t="str">
            <v>Yorkshire and the Humber</v>
          </cell>
          <cell r="I4319" t="str">
            <v>Crosland Road</v>
          </cell>
          <cell r="L4319" t="str">
            <v>Grimsby</v>
          </cell>
          <cell r="M4319" t="str">
            <v>Lincolnshire</v>
          </cell>
          <cell r="N4319" t="str">
            <v>DN37 9EH</v>
          </cell>
          <cell r="O4319" t="str">
            <v>mark.rushby@whitgift.nelc-schools.co.uk</v>
          </cell>
          <cell r="P4319">
            <v>40609</v>
          </cell>
        </row>
        <row r="4320">
          <cell r="A4320">
            <v>3164037</v>
          </cell>
          <cell r="B4320">
            <v>132058</v>
          </cell>
          <cell r="C4320">
            <v>316</v>
          </cell>
          <cell r="D4320" t="str">
            <v>Newham</v>
          </cell>
          <cell r="E4320">
            <v>4037</v>
          </cell>
          <cell r="F4320" t="str">
            <v>Sheila Longstaff</v>
          </cell>
          <cell r="G4320" t="str">
            <v>Kingsford Community School</v>
          </cell>
          <cell r="H4320" t="str">
            <v>London</v>
          </cell>
          <cell r="I4320" t="str">
            <v>Kingsford Way</v>
          </cell>
          <cell r="J4320" t="str">
            <v>Beckton</v>
          </cell>
          <cell r="L4320" t="str">
            <v>London</v>
          </cell>
          <cell r="N4320" t="str">
            <v>E6 5JG</v>
          </cell>
          <cell r="O4320" t="str">
            <v>jdeslandes@kingsford.newham.sch.uk</v>
          </cell>
        </row>
        <row r="4321">
          <cell r="A4321">
            <v>8792699</v>
          </cell>
          <cell r="B4321">
            <v>113320</v>
          </cell>
          <cell r="C4321">
            <v>879</v>
          </cell>
          <cell r="D4321" t="str">
            <v>Plymouth</v>
          </cell>
          <cell r="E4321">
            <v>2699</v>
          </cell>
          <cell r="F4321" t="str">
            <v>Ali Bushell</v>
          </cell>
          <cell r="G4321" t="str">
            <v>Old Priory Junior School</v>
          </cell>
          <cell r="H4321" t="str">
            <v>South West</v>
          </cell>
          <cell r="I4321" t="str">
            <v>The Ridgeway</v>
          </cell>
          <cell r="J4321" t="str">
            <v>Plympton</v>
          </cell>
          <cell r="L4321" t="str">
            <v>Plymouth</v>
          </cell>
          <cell r="M4321" t="str">
            <v>Devon</v>
          </cell>
          <cell r="N4321" t="str">
            <v>PL7 1QN</v>
          </cell>
          <cell r="O4321" t="str">
            <v>old.priory.junior.school@plymouth.gov.uk</v>
          </cell>
          <cell r="P4321">
            <v>40731</v>
          </cell>
        </row>
        <row r="4322">
          <cell r="A4322">
            <v>8655204</v>
          </cell>
          <cell r="B4322">
            <v>126478</v>
          </cell>
          <cell r="C4322">
            <v>865</v>
          </cell>
          <cell r="D4322" t="str">
            <v>Wiltshire</v>
          </cell>
          <cell r="E4322">
            <v>5204</v>
          </cell>
          <cell r="F4322" t="str">
            <v>Dominic Wilson</v>
          </cell>
          <cell r="G4322" t="str">
            <v>Saint Edmund's Roman Catholic Primary School</v>
          </cell>
          <cell r="H4322" t="str">
            <v>South West</v>
          </cell>
          <cell r="I4322" t="str">
            <v>Duncan Street</v>
          </cell>
          <cell r="L4322" t="str">
            <v>Calne</v>
          </cell>
          <cell r="M4322" t="str">
            <v>Wiltshire</v>
          </cell>
          <cell r="N4322" t="str">
            <v>SN11 9BX</v>
          </cell>
          <cell r="O4322" t="str">
            <v>head@st-edmunds-pri.wilts.sch.uk</v>
          </cell>
          <cell r="P4322">
            <v>40669</v>
          </cell>
        </row>
        <row r="4323">
          <cell r="A4323">
            <v>8853098</v>
          </cell>
          <cell r="B4323">
            <v>116847</v>
          </cell>
          <cell r="C4323">
            <v>885</v>
          </cell>
          <cell r="D4323" t="str">
            <v>Worcestershire</v>
          </cell>
          <cell r="E4323">
            <v>3098</v>
          </cell>
          <cell r="F4323" t="str">
            <v>Alison Middleton</v>
          </cell>
          <cell r="G4323" t="str">
            <v>Rushwick CofE Primary School</v>
          </cell>
          <cell r="H4323" t="str">
            <v>West Midlands</v>
          </cell>
          <cell r="I4323" t="str">
            <v>Upper Wick Lane</v>
          </cell>
          <cell r="J4323" t="str">
            <v>Rushwick</v>
          </cell>
          <cell r="L4323" t="str">
            <v>Worcester</v>
          </cell>
          <cell r="M4323" t="str">
            <v>Worcestershire</v>
          </cell>
          <cell r="N4323" t="str">
            <v>WR2 5SU</v>
          </cell>
          <cell r="O4323" t="str">
            <v>head@rushwick.worcs.sch.uk</v>
          </cell>
        </row>
        <row r="4324">
          <cell r="A4324">
            <v>9282027</v>
          </cell>
          <cell r="B4324">
            <v>121815</v>
          </cell>
          <cell r="C4324">
            <v>928</v>
          </cell>
          <cell r="D4324" t="str">
            <v>Northamptonshire</v>
          </cell>
          <cell r="E4324">
            <v>2027</v>
          </cell>
          <cell r="F4324" t="str">
            <v>Sue Harp</v>
          </cell>
          <cell r="G4324" t="str">
            <v>Havelock Junior School</v>
          </cell>
          <cell r="H4324" t="str">
            <v>East Midlands</v>
          </cell>
          <cell r="I4324" t="str">
            <v>Havelock Street</v>
          </cell>
          <cell r="J4324" t="str">
            <v>Desborough</v>
          </cell>
          <cell r="L4324" t="str">
            <v>Kettering</v>
          </cell>
          <cell r="M4324" t="str">
            <v>Northamptonshire</v>
          </cell>
          <cell r="N4324" t="str">
            <v>NN14 2LU</v>
          </cell>
          <cell r="O4324" t="str">
            <v>head@havelock-jun.northants-ecl.gov.uk</v>
          </cell>
        </row>
        <row r="4325">
          <cell r="A4325">
            <v>8862459</v>
          </cell>
          <cell r="B4325">
            <v>118453</v>
          </cell>
          <cell r="C4325">
            <v>886</v>
          </cell>
          <cell r="D4325" t="str">
            <v>Kent</v>
          </cell>
          <cell r="E4325">
            <v>2459</v>
          </cell>
          <cell r="F4325" t="str">
            <v>Sarah Nairne</v>
          </cell>
          <cell r="G4325" t="str">
            <v>Riverhead Infants' School</v>
          </cell>
          <cell r="H4325" t="str">
            <v>South East</v>
          </cell>
          <cell r="I4325" t="str">
            <v>Worships Hill</v>
          </cell>
          <cell r="L4325" t="str">
            <v>Riverhead</v>
          </cell>
          <cell r="M4325" t="str">
            <v>Kent</v>
          </cell>
          <cell r="N4325" t="str">
            <v>TN13 2AS</v>
          </cell>
          <cell r="O4325" t="str">
            <v>headteacher@riverhead.kent.sch.uk</v>
          </cell>
          <cell r="P4325">
            <v>40582</v>
          </cell>
        </row>
        <row r="4326">
          <cell r="A4326">
            <v>8554050</v>
          </cell>
          <cell r="B4326">
            <v>120268</v>
          </cell>
          <cell r="C4326">
            <v>855</v>
          </cell>
          <cell r="D4326" t="str">
            <v>Leicestershire</v>
          </cell>
          <cell r="E4326">
            <v>4050</v>
          </cell>
          <cell r="F4326" t="str">
            <v>Stephen Standret</v>
          </cell>
          <cell r="G4326" t="str">
            <v>Countesthorpe Community College</v>
          </cell>
          <cell r="H4326" t="str">
            <v>East Midlands</v>
          </cell>
          <cell r="I4326" t="str">
            <v>Winchester Road</v>
          </cell>
          <cell r="J4326" t="str">
            <v>Countesthorpe</v>
          </cell>
          <cell r="L4326" t="str">
            <v>Leicester</v>
          </cell>
          <cell r="M4326" t="str">
            <v>Leicestershire</v>
          </cell>
          <cell r="N4326" t="str">
            <v>LE8 5PR</v>
          </cell>
          <cell r="O4326" t="str">
            <v>SKaur@countesthorpe.leics.sch.uk</v>
          </cell>
          <cell r="P4326">
            <v>41002</v>
          </cell>
        </row>
        <row r="4327">
          <cell r="A4327">
            <v>3094705</v>
          </cell>
          <cell r="B4327">
            <v>135844</v>
          </cell>
          <cell r="C4327">
            <v>309</v>
          </cell>
          <cell r="D4327" t="str">
            <v>Haringey</v>
          </cell>
          <cell r="E4327">
            <v>4705</v>
          </cell>
          <cell r="F4327" t="str">
            <v>Sheila Longstaff</v>
          </cell>
          <cell r="G4327" t="str">
            <v>Heartlands High School</v>
          </cell>
          <cell r="H4327" t="str">
            <v>London</v>
          </cell>
          <cell r="I4327" t="str">
            <v>Station Road</v>
          </cell>
          <cell r="J4327" t="str">
            <v>Wood Green</v>
          </cell>
          <cell r="L4327" t="str">
            <v>London</v>
          </cell>
          <cell r="N4327" t="str">
            <v>N22 7ST</v>
          </cell>
          <cell r="O4327" t="str">
            <v>simon.garrill@heartlands.haringey.sch.uk</v>
          </cell>
        </row>
        <row r="4328">
          <cell r="A4328">
            <v>9294037</v>
          </cell>
          <cell r="B4328">
            <v>122324</v>
          </cell>
          <cell r="C4328">
            <v>929</v>
          </cell>
          <cell r="D4328" t="str">
            <v>Northumberland</v>
          </cell>
          <cell r="E4328">
            <v>4037</v>
          </cell>
          <cell r="F4328" t="str">
            <v>Carol Blain</v>
          </cell>
          <cell r="G4328" t="str">
            <v>Guide Post Middle School</v>
          </cell>
          <cell r="H4328" t="str">
            <v>North East</v>
          </cell>
          <cell r="I4328" t="str">
            <v>Stakeford Lane</v>
          </cell>
          <cell r="J4328" t="str">
            <v>Guide Post</v>
          </cell>
          <cell r="L4328" t="str">
            <v>Choppington</v>
          </cell>
          <cell r="M4328" t="str">
            <v>Northumberland</v>
          </cell>
          <cell r="N4328" t="str">
            <v>NE62 5HQ</v>
          </cell>
        </row>
        <row r="4329">
          <cell r="A4329">
            <v>8102684</v>
          </cell>
          <cell r="B4329">
            <v>117822</v>
          </cell>
          <cell r="C4329">
            <v>810</v>
          </cell>
          <cell r="D4329" t="str">
            <v>Kingston upon Hull City of</v>
          </cell>
          <cell r="E4329">
            <v>2684</v>
          </cell>
          <cell r="F4329" t="str">
            <v>Glyn Newton</v>
          </cell>
          <cell r="G4329" t="str">
            <v>Thoresby Primary School</v>
          </cell>
          <cell r="H4329" t="str">
            <v>Yorkshire and the Humber</v>
          </cell>
          <cell r="I4329" t="str">
            <v>Thoresby Street</v>
          </cell>
          <cell r="L4329" t="str">
            <v>Kingston-upon-Hull</v>
          </cell>
          <cell r="N4329" t="str">
            <v>HU5 3RG</v>
          </cell>
          <cell r="O4329" t="str">
            <v>mmilner@thoresby.hull.sch.uk</v>
          </cell>
        </row>
        <row r="4330">
          <cell r="A4330">
            <v>3554039</v>
          </cell>
          <cell r="B4330">
            <v>105977</v>
          </cell>
          <cell r="C4330">
            <v>355</v>
          </cell>
          <cell r="D4330" t="str">
            <v>Salford</v>
          </cell>
          <cell r="E4330">
            <v>4039</v>
          </cell>
          <cell r="F4330" t="str">
            <v>Jane McCusker</v>
          </cell>
          <cell r="G4330" t="str">
            <v>Moorside High School</v>
          </cell>
          <cell r="H4330" t="str">
            <v>North West</v>
          </cell>
          <cell r="I4330" t="str">
            <v>East Lancashire Road</v>
          </cell>
          <cell r="J4330" t="str">
            <v>Swinton</v>
          </cell>
          <cell r="L4330" t="str">
            <v>Manchester</v>
          </cell>
          <cell r="N4330" t="str">
            <v>M27 0BH</v>
          </cell>
          <cell r="O4330" t="str">
            <v>nigel.ogden@moorsidehigh.com</v>
          </cell>
        </row>
        <row r="4331">
          <cell r="A4331">
            <v>8883719</v>
          </cell>
          <cell r="B4331">
            <v>119631</v>
          </cell>
          <cell r="C4331">
            <v>888</v>
          </cell>
          <cell r="D4331" t="str">
            <v>Lancashire</v>
          </cell>
          <cell r="E4331">
            <v>3719</v>
          </cell>
          <cell r="F4331" t="str">
            <v>Viv Clutton</v>
          </cell>
          <cell r="G4331" t="str">
            <v xml:space="preserve">St John's Catholic Primary School </v>
          </cell>
          <cell r="H4331" t="str">
            <v>North West</v>
          </cell>
          <cell r="I4331" t="str">
            <v>Breck Road</v>
          </cell>
          <cell r="L4331" t="str">
            <v>Poulton-le-Fylde</v>
          </cell>
          <cell r="M4331" t="str">
            <v>Lancashire</v>
          </cell>
          <cell r="N4331" t="str">
            <v>FY6 7HT</v>
          </cell>
          <cell r="O4331" t="str">
            <v>head@poulton-st-johns.lancs.sch.uk</v>
          </cell>
        </row>
        <row r="4332">
          <cell r="A4332">
            <v>8854500</v>
          </cell>
          <cell r="B4332">
            <v>116981</v>
          </cell>
          <cell r="C4332">
            <v>885</v>
          </cell>
          <cell r="D4332" t="str">
            <v>Worcestershire</v>
          </cell>
          <cell r="E4332">
            <v>4500</v>
          </cell>
          <cell r="F4332" t="str">
            <v>Carla Spink</v>
          </cell>
          <cell r="G4332" t="str">
            <v>Hanley Castle High School</v>
          </cell>
          <cell r="H4332" t="str">
            <v>West Midlands</v>
          </cell>
          <cell r="I4332" t="str">
            <v>Church End</v>
          </cell>
          <cell r="J4332" t="str">
            <v>Hanley Castle</v>
          </cell>
          <cell r="L4332" t="str">
            <v>Worcester</v>
          </cell>
          <cell r="M4332" t="str">
            <v>Worcestershire</v>
          </cell>
          <cell r="N4332" t="str">
            <v>WR8 0BL</v>
          </cell>
          <cell r="O4332" t="str">
            <v>lfc12@hanleycastle.worcs.sch.uk</v>
          </cell>
          <cell r="P4332">
            <v>40567</v>
          </cell>
        </row>
        <row r="4333">
          <cell r="A4333">
            <v>8822109</v>
          </cell>
          <cell r="B4333">
            <v>114780</v>
          </cell>
          <cell r="C4333">
            <v>882</v>
          </cell>
          <cell r="D4333" t="str">
            <v>Southend-on-Sea</v>
          </cell>
          <cell r="E4333">
            <v>2109</v>
          </cell>
          <cell r="G4333" t="str">
            <v>West Leigh Infant School</v>
          </cell>
          <cell r="H4333" t="str">
            <v>East of England</v>
          </cell>
          <cell r="I4333" t="str">
            <v>Ronald Hill Grove</v>
          </cell>
          <cell r="L4333" t="str">
            <v>Leigh-on-Sea</v>
          </cell>
          <cell r="M4333" t="str">
            <v>Essex</v>
          </cell>
          <cell r="N4333" t="str">
            <v>SS9 2JB</v>
          </cell>
          <cell r="O4333" t="str">
            <v>headteacher@westleigh-inf.southend.sch.uk</v>
          </cell>
        </row>
        <row r="4334">
          <cell r="A4334">
            <v>3904027</v>
          </cell>
          <cell r="B4334">
            <v>108403</v>
          </cell>
          <cell r="C4334">
            <v>390</v>
          </cell>
          <cell r="D4334" t="str">
            <v>Gateshead</v>
          </cell>
          <cell r="E4334">
            <v>4027</v>
          </cell>
          <cell r="F4334" t="str">
            <v>Lisa Sargeant</v>
          </cell>
          <cell r="G4334" t="str">
            <v>Lord Lawson of Beamish Community School</v>
          </cell>
          <cell r="H4334" t="str">
            <v>North East</v>
          </cell>
          <cell r="I4334" t="str">
            <v>Birtley Lane</v>
          </cell>
          <cell r="J4334" t="str">
            <v>Birtley</v>
          </cell>
          <cell r="L4334" t="str">
            <v>Chester le Street</v>
          </cell>
          <cell r="M4334" t="str">
            <v>County Durham</v>
          </cell>
          <cell r="N4334" t="str">
            <v>DH3 2LP</v>
          </cell>
          <cell r="O4334" t="str">
            <v>dgrigg@lordlawson.org.uk</v>
          </cell>
          <cell r="P4334">
            <v>40729</v>
          </cell>
        </row>
        <row r="4335">
          <cell r="A4335">
            <v>8702007</v>
          </cell>
          <cell r="B4335">
            <v>109781</v>
          </cell>
          <cell r="C4335">
            <v>870</v>
          </cell>
          <cell r="D4335" t="str">
            <v>Reading</v>
          </cell>
          <cell r="E4335">
            <v>2007</v>
          </cell>
          <cell r="F4335" t="str">
            <v>Darren Francis</v>
          </cell>
          <cell r="G4335" t="str">
            <v>Geoffrey Field Junior School</v>
          </cell>
          <cell r="H4335" t="str">
            <v>South East</v>
          </cell>
          <cell r="I4335" t="str">
            <v>Exbourne Road</v>
          </cell>
          <cell r="L4335" t="str">
            <v>Reading</v>
          </cell>
          <cell r="M4335" t="str">
            <v>Berkshire</v>
          </cell>
          <cell r="N4335" t="str">
            <v>RG2 8RH</v>
          </cell>
          <cell r="O4335" t="str">
            <v>head.geoffreyfieldjun@reading.gov.uk</v>
          </cell>
        </row>
        <row r="4336">
          <cell r="A4336">
            <v>2094289</v>
          </cell>
          <cell r="B4336">
            <v>100745</v>
          </cell>
          <cell r="C4336">
            <v>209</v>
          </cell>
          <cell r="D4336" t="str">
            <v>Lewisham</v>
          </cell>
          <cell r="E4336">
            <v>4289</v>
          </cell>
          <cell r="F4336" t="str">
            <v>Helen Barry</v>
          </cell>
          <cell r="G4336" t="str">
            <v>Forest Hill School</v>
          </cell>
          <cell r="H4336" t="str">
            <v>London</v>
          </cell>
          <cell r="I4336" t="str">
            <v>Dacres Road</v>
          </cell>
          <cell r="J4336" t="str">
            <v>Forest Hill</v>
          </cell>
          <cell r="L4336" t="str">
            <v>London</v>
          </cell>
          <cell r="N4336" t="str">
            <v>SE23 2XN</v>
          </cell>
          <cell r="O4336" t="str">
            <v>m.sullivan@foresthill.lewisham.sch.uk</v>
          </cell>
        </row>
        <row r="4337">
          <cell r="A4337">
            <v>2102169</v>
          </cell>
          <cell r="B4337">
            <v>100787</v>
          </cell>
          <cell r="C4337">
            <v>210</v>
          </cell>
          <cell r="D4337" t="str">
            <v>Southwark</v>
          </cell>
          <cell r="E4337">
            <v>2169</v>
          </cell>
          <cell r="F4337" t="str">
            <v>Susan Shakespeare</v>
          </cell>
          <cell r="G4337" t="str">
            <v>Dulwich Hamlet Junior School</v>
          </cell>
          <cell r="H4337" t="str">
            <v>London</v>
          </cell>
          <cell r="I4337" t="str">
            <v>Dulwich Village</v>
          </cell>
          <cell r="L4337" t="str">
            <v>London</v>
          </cell>
          <cell r="N4337" t="str">
            <v>SE21 7AL</v>
          </cell>
          <cell r="O4337" t="str">
            <v>scase@dulwichhamlet.southwark.sch.uk</v>
          </cell>
          <cell r="P4337">
            <v>40520</v>
          </cell>
        </row>
        <row r="4338">
          <cell r="A4338">
            <v>9372059</v>
          </cell>
          <cell r="B4338">
            <v>136081</v>
          </cell>
          <cell r="C4338">
            <v>937</v>
          </cell>
          <cell r="D4338" t="str">
            <v>Warwickshire</v>
          </cell>
          <cell r="E4338">
            <v>2059</v>
          </cell>
          <cell r="F4338" t="str">
            <v>Sally Gardiner</v>
          </cell>
          <cell r="G4338" t="str">
            <v>Henley-In-Arden Voluntary Aided CofE Primary School</v>
          </cell>
          <cell r="H4338" t="str">
            <v>West Midlands</v>
          </cell>
          <cell r="I4338" t="str">
            <v>Arden Road</v>
          </cell>
          <cell r="L4338" t="str">
            <v>Henley-in-Arden</v>
          </cell>
          <cell r="M4338" t="str">
            <v>Warwickshire</v>
          </cell>
          <cell r="N4338" t="str">
            <v>B95 5FT</v>
          </cell>
          <cell r="O4338" t="str">
            <v>head2059@we-learn.com</v>
          </cell>
          <cell r="P4338">
            <v>41145</v>
          </cell>
        </row>
        <row r="4339">
          <cell r="A4339">
            <v>3804101</v>
          </cell>
          <cell r="B4339">
            <v>107414</v>
          </cell>
          <cell r="C4339">
            <v>380</v>
          </cell>
          <cell r="D4339" t="str">
            <v>Bradford</v>
          </cell>
          <cell r="E4339">
            <v>4101</v>
          </cell>
          <cell r="F4339" t="str">
            <v>John Edmunds</v>
          </cell>
          <cell r="G4339" t="str">
            <v>Grange Technology College</v>
          </cell>
          <cell r="H4339" t="str">
            <v>Yorkshire and the Humber</v>
          </cell>
          <cell r="I4339" t="str">
            <v>Haycliffe Lane</v>
          </cell>
          <cell r="L4339" t="str">
            <v>Bradford</v>
          </cell>
          <cell r="M4339" t="str">
            <v>West Yorkshire</v>
          </cell>
          <cell r="N4339" t="str">
            <v>BD5 9ET</v>
          </cell>
          <cell r="O4339" t="str">
            <v>gtcplb@grangetc.org.uk</v>
          </cell>
          <cell r="P4339">
            <v>40637</v>
          </cell>
        </row>
        <row r="4340">
          <cell r="A4340">
            <v>8663439</v>
          </cell>
          <cell r="B4340">
            <v>126432</v>
          </cell>
          <cell r="C4340">
            <v>866</v>
          </cell>
          <cell r="D4340" t="str">
            <v>Swindon</v>
          </cell>
          <cell r="E4340">
            <v>3439</v>
          </cell>
          <cell r="F4340" t="str">
            <v>Kate Bosher</v>
          </cell>
          <cell r="G4340" t="str">
            <v>St Catherine's Catholic Primary School, Swindon</v>
          </cell>
          <cell r="H4340" t="str">
            <v>South West</v>
          </cell>
          <cell r="I4340" t="str">
            <v>Davenwood</v>
          </cell>
          <cell r="J4340" t="str">
            <v>Upper Stratton</v>
          </cell>
          <cell r="L4340" t="str">
            <v>Swindon</v>
          </cell>
          <cell r="M4340" t="str">
            <v>Wiltshire</v>
          </cell>
          <cell r="N4340" t="str">
            <v>SN2 7LL</v>
          </cell>
          <cell r="O4340" t="str">
            <v>head@stcatherines.swindon.sch.uk</v>
          </cell>
          <cell r="P4340">
            <v>40968</v>
          </cell>
        </row>
        <row r="4341">
          <cell r="A4341">
            <v>3414793</v>
          </cell>
          <cell r="B4341">
            <v>104714</v>
          </cell>
          <cell r="C4341">
            <v>341</v>
          </cell>
          <cell r="D4341" t="str">
            <v>Liverpool</v>
          </cell>
          <cell r="E4341">
            <v>4793</v>
          </cell>
          <cell r="F4341" t="str">
            <v>Maria Sabberton</v>
          </cell>
          <cell r="G4341" t="str">
            <v>Cardinal Heenan Catholic High</v>
          </cell>
          <cell r="H4341" t="str">
            <v>North West</v>
          </cell>
          <cell r="I4341" t="str">
            <v>Honeysgreen Lane</v>
          </cell>
          <cell r="L4341" t="str">
            <v>Liverpool</v>
          </cell>
          <cell r="M4341" t="str">
            <v>Merseyside</v>
          </cell>
          <cell r="N4341" t="str">
            <v>L12 9HZ</v>
          </cell>
          <cell r="O4341" t="str">
            <v>forshaw.d@googlemail.com</v>
          </cell>
        </row>
        <row r="4342">
          <cell r="A4342">
            <v>8915950</v>
          </cell>
          <cell r="B4342">
            <v>122906</v>
          </cell>
          <cell r="C4342">
            <v>891</v>
          </cell>
          <cell r="D4342" t="str">
            <v>Nottinghamshire</v>
          </cell>
          <cell r="E4342">
            <v>5950</v>
          </cell>
          <cell r="F4342" t="str">
            <v>Michael Corner</v>
          </cell>
          <cell r="G4342" t="str">
            <v>Foxwood Foundation School and Technology College</v>
          </cell>
          <cell r="H4342" t="str">
            <v>East Midlands</v>
          </cell>
          <cell r="I4342" t="str">
            <v>Derby Road</v>
          </cell>
          <cell r="J4342" t="str">
            <v>Bramcote</v>
          </cell>
          <cell r="L4342" t="str">
            <v>Nottingham</v>
          </cell>
          <cell r="N4342" t="str">
            <v>NG9 3GF</v>
          </cell>
          <cell r="O4342" t="str">
            <v>chumphreys@foxwood.notts.sch.uk</v>
          </cell>
          <cell r="P4342">
            <v>41003</v>
          </cell>
        </row>
        <row r="4343">
          <cell r="A4343">
            <v>8254070</v>
          </cell>
          <cell r="B4343">
            <v>110499</v>
          </cell>
          <cell r="C4343">
            <v>825</v>
          </cell>
          <cell r="D4343" t="str">
            <v>Buckinghamshire</v>
          </cell>
          <cell r="E4343">
            <v>4070</v>
          </cell>
          <cell r="F4343" t="str">
            <v>Darren Francis</v>
          </cell>
          <cell r="G4343" t="str">
            <v>Holmer Green Senior School</v>
          </cell>
          <cell r="H4343" t="str">
            <v>South East</v>
          </cell>
          <cell r="I4343" t="str">
            <v>Parish Piece</v>
          </cell>
          <cell r="J4343" t="str">
            <v>Holmer Green</v>
          </cell>
          <cell r="L4343" t="str">
            <v>High Wycombe</v>
          </cell>
          <cell r="M4343" t="str">
            <v>Buckinghamshire</v>
          </cell>
          <cell r="N4343" t="str">
            <v>HP15 6SP</v>
          </cell>
          <cell r="O4343" t="str">
            <v>mjones5@blpmail.org.uk</v>
          </cell>
          <cell r="P4343">
            <v>40822</v>
          </cell>
        </row>
        <row r="4344">
          <cell r="A4344">
            <v>8794605</v>
          </cell>
          <cell r="B4344">
            <v>113552</v>
          </cell>
          <cell r="C4344">
            <v>879</v>
          </cell>
          <cell r="D4344" t="str">
            <v>Plymouth</v>
          </cell>
          <cell r="E4344">
            <v>4605</v>
          </cell>
          <cell r="F4344" t="str">
            <v>Ali Bushell</v>
          </cell>
          <cell r="G4344" t="str">
            <v>Notre Dame RC School</v>
          </cell>
          <cell r="H4344" t="str">
            <v>South West</v>
          </cell>
          <cell r="I4344" t="str">
            <v>Looseleigh Lane</v>
          </cell>
          <cell r="J4344" t="str">
            <v>Derriford</v>
          </cell>
          <cell r="L4344" t="str">
            <v>Plymouth</v>
          </cell>
          <cell r="M4344" t="str">
            <v>Devon</v>
          </cell>
          <cell r="N4344" t="str">
            <v>PL6 5HN</v>
          </cell>
          <cell r="O4344" t="str">
            <v>fhutchings@notredame.plymouth.sch.uk</v>
          </cell>
        </row>
        <row r="4345">
          <cell r="A4345">
            <v>9332178</v>
          </cell>
          <cell r="B4345">
            <v>123692</v>
          </cell>
          <cell r="C4345">
            <v>933</v>
          </cell>
          <cell r="D4345" t="str">
            <v>Somerset</v>
          </cell>
          <cell r="E4345">
            <v>2178</v>
          </cell>
          <cell r="F4345" t="str">
            <v>Ali Bushell</v>
          </cell>
          <cell r="G4345" t="str">
            <v>Otterhampton Primary School</v>
          </cell>
          <cell r="H4345" t="str">
            <v>South West</v>
          </cell>
          <cell r="I4345" t="str">
            <v>School Lane</v>
          </cell>
          <cell r="J4345" t="str">
            <v>Combwich</v>
          </cell>
          <cell r="L4345" t="str">
            <v>Bridgwater</v>
          </cell>
          <cell r="M4345" t="str">
            <v>Somerset</v>
          </cell>
          <cell r="N4345" t="str">
            <v>TA5 2QS</v>
          </cell>
          <cell r="O4345" t="str">
            <v>bhhemmings@educ.somerset.gov.uk</v>
          </cell>
        </row>
        <row r="4346">
          <cell r="A4346">
            <v>9333359</v>
          </cell>
          <cell r="B4346">
            <v>123841</v>
          </cell>
          <cell r="C4346">
            <v>933</v>
          </cell>
          <cell r="D4346" t="str">
            <v>Somerset</v>
          </cell>
          <cell r="E4346">
            <v>3359</v>
          </cell>
          <cell r="F4346" t="str">
            <v>Ali Bushell</v>
          </cell>
          <cell r="G4346" t="str">
            <v>Timberscombe Church of England First School</v>
          </cell>
          <cell r="H4346" t="str">
            <v>South West</v>
          </cell>
          <cell r="I4346" t="str">
            <v>Timberscombe</v>
          </cell>
          <cell r="L4346" t="str">
            <v>Minehead</v>
          </cell>
          <cell r="M4346" t="str">
            <v>Somerset</v>
          </cell>
          <cell r="N4346" t="str">
            <v>TA24 7TY</v>
          </cell>
          <cell r="O4346" t="str">
            <v>MCapel@educ.somerset.gov.uk</v>
          </cell>
        </row>
        <row r="4347">
          <cell r="A4347">
            <v>3842178</v>
          </cell>
          <cell r="B4347">
            <v>108234</v>
          </cell>
          <cell r="C4347">
            <v>384</v>
          </cell>
          <cell r="D4347" t="str">
            <v>Wakefield</v>
          </cell>
          <cell r="E4347">
            <v>2178</v>
          </cell>
          <cell r="F4347" t="str">
            <v>Jayne Turner</v>
          </cell>
          <cell r="G4347" t="str">
            <v>Castleford Park Junior School</v>
          </cell>
          <cell r="H4347" t="str">
            <v>Yorkshire and the Humber</v>
          </cell>
          <cell r="I4347" t="str">
            <v>Medley Street</v>
          </cell>
          <cell r="L4347" t="str">
            <v>Castleford</v>
          </cell>
          <cell r="M4347" t="str">
            <v>West Yorkshire</v>
          </cell>
          <cell r="N4347" t="str">
            <v>WF10 4BB</v>
          </cell>
          <cell r="O4347" t="str">
            <v>headteacher@park-jun.wakefield.sch.uk</v>
          </cell>
          <cell r="P4347">
            <v>41072</v>
          </cell>
        </row>
        <row r="4348">
          <cell r="A4348">
            <v>8862686</v>
          </cell>
          <cell r="B4348">
            <v>132235</v>
          </cell>
          <cell r="C4348">
            <v>886</v>
          </cell>
          <cell r="D4348" t="str">
            <v>Kent</v>
          </cell>
          <cell r="E4348">
            <v>2686</v>
          </cell>
          <cell r="F4348" t="str">
            <v>Sarah Mitchell</v>
          </cell>
          <cell r="G4348" t="str">
            <v>Furley Park Primary School</v>
          </cell>
          <cell r="H4348" t="str">
            <v>South East</v>
          </cell>
          <cell r="I4348" t="str">
            <v>Reed Crescent</v>
          </cell>
          <cell r="J4348" t="str">
            <v>Kingsnorth</v>
          </cell>
          <cell r="L4348" t="str">
            <v>Ashford</v>
          </cell>
          <cell r="M4348" t="str">
            <v>Kent</v>
          </cell>
          <cell r="N4348" t="str">
            <v>TN23 3PA</v>
          </cell>
          <cell r="O4348" t="str">
            <v>headteacher@furleypark.kent.sch.uk</v>
          </cell>
        </row>
        <row r="4349">
          <cell r="A4349">
            <v>8553070</v>
          </cell>
          <cell r="B4349">
            <v>120153</v>
          </cell>
          <cell r="C4349">
            <v>855</v>
          </cell>
          <cell r="D4349" t="str">
            <v>Leicestershire</v>
          </cell>
          <cell r="E4349">
            <v>3070</v>
          </cell>
          <cell r="F4349" t="str">
            <v>Sue Harp</v>
          </cell>
          <cell r="G4349" t="str">
            <v>St Bartholomew's CofE Primary School</v>
          </cell>
          <cell r="H4349" t="str">
            <v>East Midlands</v>
          </cell>
          <cell r="I4349" t="str">
            <v>Willowcroft</v>
          </cell>
          <cell r="J4349" t="str">
            <v>Warwick Avenue</v>
          </cell>
          <cell r="K4349" t="str">
            <v>Quorn</v>
          </cell>
          <cell r="L4349" t="str">
            <v>Loughborough</v>
          </cell>
          <cell r="M4349" t="str">
            <v>Leicestershire</v>
          </cell>
          <cell r="N4349" t="str">
            <v>LE12 8HQ</v>
          </cell>
          <cell r="O4349" t="str">
            <v>contact@saintbarts.co.uk</v>
          </cell>
        </row>
        <row r="4350">
          <cell r="A4350">
            <v>8612092</v>
          </cell>
          <cell r="B4350">
            <v>124017</v>
          </cell>
          <cell r="C4350">
            <v>861</v>
          </cell>
          <cell r="D4350" t="str">
            <v>Stoke-on-Trent</v>
          </cell>
          <cell r="E4350">
            <v>2092</v>
          </cell>
          <cell r="F4350" t="str">
            <v>Sally Gardiner</v>
          </cell>
          <cell r="G4350" t="str">
            <v>Newstead Primary School</v>
          </cell>
          <cell r="H4350" t="str">
            <v>West Midlands</v>
          </cell>
          <cell r="I4350" t="str">
            <v>Waterside Drive</v>
          </cell>
          <cell r="J4350" t="str">
            <v>Blurton</v>
          </cell>
          <cell r="L4350" t="str">
            <v>Stoke-on-Trent</v>
          </cell>
          <cell r="M4350" t="str">
            <v>Staffordshire</v>
          </cell>
          <cell r="N4350" t="str">
            <v>ST3 3LQ</v>
          </cell>
          <cell r="O4350" t="str">
            <v>hstocking@sgfl.org.uk</v>
          </cell>
        </row>
        <row r="4351">
          <cell r="A4351">
            <v>9283066</v>
          </cell>
          <cell r="B4351">
            <v>121994</v>
          </cell>
          <cell r="C4351">
            <v>928</v>
          </cell>
          <cell r="D4351" t="str">
            <v>Northamptonshire</v>
          </cell>
          <cell r="E4351">
            <v>3066</v>
          </cell>
          <cell r="F4351" t="str">
            <v>Sue Harp</v>
          </cell>
          <cell r="G4351" t="str">
            <v>Titchmarsh Church of England Primary School</v>
          </cell>
          <cell r="H4351" t="str">
            <v>East Midlands</v>
          </cell>
          <cell r="I4351" t="str">
            <v>School Lane</v>
          </cell>
          <cell r="J4351" t="str">
            <v>Titchmarsh</v>
          </cell>
          <cell r="L4351" t="str">
            <v>Kettering</v>
          </cell>
          <cell r="M4351" t="str">
            <v>Northamptonshire</v>
          </cell>
          <cell r="N4351" t="str">
            <v>NN14 3DR</v>
          </cell>
          <cell r="O4351" t="str">
            <v>head@titchmarsh-ce.northants-ecl.gov.uk</v>
          </cell>
        </row>
        <row r="4352">
          <cell r="A4352">
            <v>8575200</v>
          </cell>
          <cell r="B4352">
            <v>120044</v>
          </cell>
          <cell r="C4352">
            <v>857</v>
          </cell>
          <cell r="D4352" t="str">
            <v>Rutland</v>
          </cell>
          <cell r="E4352">
            <v>5200</v>
          </cell>
          <cell r="F4352" t="str">
            <v>Grant Dyson</v>
          </cell>
          <cell r="G4352" t="str">
            <v>Leighfield Primary School</v>
          </cell>
          <cell r="H4352" t="str">
            <v>East Midlands</v>
          </cell>
          <cell r="I4352" t="str">
            <v>Newtown Road</v>
          </cell>
          <cell r="J4352" t="str">
            <v>Uppingham</v>
          </cell>
          <cell r="L4352" t="str">
            <v>Oakham</v>
          </cell>
          <cell r="M4352" t="str">
            <v>Rutland</v>
          </cell>
          <cell r="N4352" t="str">
            <v>LE15 9TS</v>
          </cell>
          <cell r="O4352" t="str">
            <v>dsedgwick@leighfield.rutland.sch.uk</v>
          </cell>
          <cell r="P4352">
            <v>41186</v>
          </cell>
        </row>
        <row r="4353">
          <cell r="A4353">
            <v>9084170</v>
          </cell>
          <cell r="B4353">
            <v>112064</v>
          </cell>
          <cell r="C4353">
            <v>908</v>
          </cell>
          <cell r="D4353" t="str">
            <v>Cornwall</v>
          </cell>
          <cell r="E4353">
            <v>4170</v>
          </cell>
          <cell r="F4353" t="str">
            <v>Kate Bosher</v>
          </cell>
          <cell r="G4353" t="str">
            <v>St Ives School, A Technology College</v>
          </cell>
          <cell r="H4353" t="str">
            <v>South West</v>
          </cell>
          <cell r="I4353" t="str">
            <v>Higher Tregenna</v>
          </cell>
          <cell r="L4353" t="str">
            <v>St Ives</v>
          </cell>
          <cell r="M4353" t="str">
            <v>Cornwall</v>
          </cell>
          <cell r="N4353" t="str">
            <v>TR26 2BB</v>
          </cell>
          <cell r="O4353" t="str">
            <v>head@st-ives.cornwall.sch.uk</v>
          </cell>
          <cell r="P4353">
            <v>40632</v>
          </cell>
        </row>
        <row r="4354">
          <cell r="A4354">
            <v>8862286</v>
          </cell>
          <cell r="B4354">
            <v>118378</v>
          </cell>
          <cell r="C4354">
            <v>886</v>
          </cell>
          <cell r="D4354" t="str">
            <v>Kent</v>
          </cell>
          <cell r="E4354">
            <v>2286</v>
          </cell>
          <cell r="F4354" t="str">
            <v>Sarah Mitchell</v>
          </cell>
          <cell r="G4354" t="str">
            <v>Hamstreet Primary</v>
          </cell>
          <cell r="H4354" t="str">
            <v>South East</v>
          </cell>
          <cell r="I4354" t="str">
            <v>Hamstreet</v>
          </cell>
          <cell r="L4354" t="str">
            <v>Ashford</v>
          </cell>
          <cell r="M4354" t="str">
            <v>Kent</v>
          </cell>
          <cell r="N4354" t="str">
            <v>TN26 2EA</v>
          </cell>
          <cell r="O4354" t="str">
            <v>headteacher@ham-street.kent.sch.uk</v>
          </cell>
        </row>
        <row r="4355">
          <cell r="A4355">
            <v>9262025</v>
          </cell>
          <cell r="B4355">
            <v>120790</v>
          </cell>
          <cell r="C4355">
            <v>926</v>
          </cell>
          <cell r="D4355" t="str">
            <v>Norfolk</v>
          </cell>
          <cell r="E4355">
            <v>2025</v>
          </cell>
          <cell r="F4355" t="str">
            <v>Joe Farrell</v>
          </cell>
          <cell r="G4355" t="str">
            <v>Bunwell Primary School</v>
          </cell>
          <cell r="H4355" t="str">
            <v>East of England</v>
          </cell>
          <cell r="I4355" t="str">
            <v>The Turnpike</v>
          </cell>
          <cell r="J4355" t="str">
            <v>Bunwell</v>
          </cell>
          <cell r="L4355" t="str">
            <v>Norwich</v>
          </cell>
          <cell r="M4355" t="str">
            <v>Norfolk</v>
          </cell>
          <cell r="N4355" t="str">
            <v>NR16 1SN</v>
          </cell>
          <cell r="O4355" t="str">
            <v>head@bunwell.norfolk.sch.uk</v>
          </cell>
        </row>
        <row r="4356">
          <cell r="A4356">
            <v>3313438</v>
          </cell>
          <cell r="B4356">
            <v>134745</v>
          </cell>
          <cell r="C4356">
            <v>331</v>
          </cell>
          <cell r="D4356" t="str">
            <v>Coventry</v>
          </cell>
          <cell r="E4356">
            <v>3438</v>
          </cell>
          <cell r="F4356" t="str">
            <v>Alison Middleton</v>
          </cell>
          <cell r="G4356" t="str">
            <v>Willenhall Community Primary School</v>
          </cell>
          <cell r="H4356" t="str">
            <v>West Midlands</v>
          </cell>
          <cell r="I4356" t="str">
            <v>St James Lane</v>
          </cell>
          <cell r="L4356" t="str">
            <v>Coventry</v>
          </cell>
          <cell r="M4356" t="str">
            <v>West Midlands</v>
          </cell>
          <cell r="N4356" t="str">
            <v>CV3 3DB</v>
          </cell>
          <cell r="O4356" t="str">
            <v>headteacher@willenhallcommunity.coventry.sch.uk</v>
          </cell>
        </row>
        <row r="4357">
          <cell r="A4357">
            <v>8811106</v>
          </cell>
          <cell r="B4357">
            <v>132205</v>
          </cell>
          <cell r="C4357">
            <v>881</v>
          </cell>
          <cell r="D4357" t="str">
            <v>Essex</v>
          </cell>
          <cell r="E4357">
            <v>1106</v>
          </cell>
          <cell r="F4357" t="str">
            <v>Pat Murison</v>
          </cell>
          <cell r="G4357" t="str">
            <v>Childrens Support Centre, Heybridge</v>
          </cell>
          <cell r="H4357" t="str">
            <v>East of England</v>
          </cell>
          <cell r="I4357" t="str">
            <v>The Heybridge Centre</v>
          </cell>
          <cell r="J4357" t="str">
            <v>Colchester Road</v>
          </cell>
          <cell r="K4357" t="str">
            <v>Heybridge</v>
          </cell>
          <cell r="L4357" t="str">
            <v>Maldon</v>
          </cell>
          <cell r="M4357" t="str">
            <v>Essex</v>
          </cell>
          <cell r="N4357" t="str">
            <v>CM9 4NN</v>
          </cell>
          <cell r="O4357" t="str">
            <v>philomena.cozens@essex.gov.uk</v>
          </cell>
        </row>
        <row r="4358">
          <cell r="A4358">
            <v>8732319</v>
          </cell>
          <cell r="B4358">
            <v>110752</v>
          </cell>
          <cell r="C4358">
            <v>873</v>
          </cell>
          <cell r="D4358" t="str">
            <v>Cambridgeshire</v>
          </cell>
          <cell r="E4358">
            <v>2319</v>
          </cell>
          <cell r="F4358" t="str">
            <v>Colin McGuffie</v>
          </cell>
          <cell r="G4358" t="str">
            <v>Histon and Impington Infant School</v>
          </cell>
          <cell r="H4358" t="str">
            <v>East of England</v>
          </cell>
          <cell r="I4358" t="str">
            <v>New School Road</v>
          </cell>
          <cell r="J4358" t="str">
            <v>Histon</v>
          </cell>
          <cell r="L4358" t="str">
            <v>Cambridge</v>
          </cell>
          <cell r="M4358" t="str">
            <v>Cambridgeshire</v>
          </cell>
          <cell r="N4358" t="str">
            <v>CB24 9LL</v>
          </cell>
          <cell r="P4358">
            <v>41011</v>
          </cell>
        </row>
        <row r="4359">
          <cell r="A4359">
            <v>2112557</v>
          </cell>
          <cell r="B4359">
            <v>100921</v>
          </cell>
          <cell r="C4359">
            <v>211</v>
          </cell>
          <cell r="D4359" t="str">
            <v>Tower Hamlets</v>
          </cell>
          <cell r="E4359">
            <v>2557</v>
          </cell>
          <cell r="F4359" t="str">
            <v>Anita Bihal</v>
          </cell>
          <cell r="G4359" t="str">
            <v>Sir William Burrough Primary School</v>
          </cell>
          <cell r="H4359" t="str">
            <v>London</v>
          </cell>
          <cell r="I4359" t="str">
            <v>Salmon Lane</v>
          </cell>
          <cell r="J4359" t="str">
            <v>Limehouse</v>
          </cell>
          <cell r="L4359" t="str">
            <v>London</v>
          </cell>
          <cell r="N4359" t="str">
            <v>E14 7PQ</v>
          </cell>
          <cell r="O4359" t="str">
            <v>admin@sirwilliamburrough.towerhamlets.sch.uk</v>
          </cell>
          <cell r="P4359">
            <v>40739</v>
          </cell>
        </row>
        <row r="4360">
          <cell r="A4360">
            <v>8237018</v>
          </cell>
          <cell r="B4360">
            <v>109747</v>
          </cell>
          <cell r="C4360">
            <v>823</v>
          </cell>
          <cell r="D4360" t="str">
            <v>Central Bedfordshire</v>
          </cell>
          <cell r="E4360">
            <v>7018</v>
          </cell>
          <cell r="F4360" t="str">
            <v>Not yet assigned</v>
          </cell>
          <cell r="G4360" t="str">
            <v>Oak Bank School</v>
          </cell>
          <cell r="H4360" t="str">
            <v>East of England</v>
          </cell>
          <cell r="I4360" t="str">
            <v>Sandy Lane</v>
          </cell>
          <cell r="L4360" t="str">
            <v>Leighton Buzzard</v>
          </cell>
          <cell r="M4360" t="str">
            <v>Bedfordshire</v>
          </cell>
          <cell r="N4360" t="str">
            <v>LU7 3BE</v>
          </cell>
          <cell r="O4360" t="str">
            <v>pcohen@oakbank.cbeds.co.uk</v>
          </cell>
          <cell r="P4360">
            <v>41247</v>
          </cell>
        </row>
        <row r="4361">
          <cell r="A4361">
            <v>3802078</v>
          </cell>
          <cell r="B4361">
            <v>107236</v>
          </cell>
          <cell r="C4361">
            <v>380</v>
          </cell>
          <cell r="D4361" t="str">
            <v>Bradford</v>
          </cell>
          <cell r="E4361">
            <v>2078</v>
          </cell>
          <cell r="F4361" t="str">
            <v>Jayne Turner</v>
          </cell>
          <cell r="G4361" t="str">
            <v>Woodside Primary School and Children's Centre</v>
          </cell>
          <cell r="H4361" t="str">
            <v>Yorkshire and the Humber</v>
          </cell>
          <cell r="I4361" t="str">
            <v>Fenwick Drive</v>
          </cell>
          <cell r="L4361" t="str">
            <v>Bradford</v>
          </cell>
          <cell r="M4361" t="str">
            <v>West Yorkshire</v>
          </cell>
          <cell r="N4361" t="str">
            <v>BD6 2PG</v>
          </cell>
          <cell r="O4361" t="str">
            <v>janebrowne65@virginmedia.com</v>
          </cell>
          <cell r="P4361">
            <v>40873</v>
          </cell>
        </row>
        <row r="4362">
          <cell r="A4362">
            <v>8815443</v>
          </cell>
          <cell r="B4362">
            <v>115359</v>
          </cell>
          <cell r="C4362">
            <v>881</v>
          </cell>
          <cell r="D4362" t="str">
            <v>Essex</v>
          </cell>
          <cell r="E4362">
            <v>5443</v>
          </cell>
          <cell r="F4362" t="str">
            <v>Susan Shakespeare</v>
          </cell>
          <cell r="G4362" t="str">
            <v>Colchester Royal Grammar School Boarding</v>
          </cell>
          <cell r="H4362" t="str">
            <v>East of England</v>
          </cell>
          <cell r="I4362" t="str">
            <v>Lexden Road</v>
          </cell>
          <cell r="L4362" t="str">
            <v>Colchester</v>
          </cell>
          <cell r="M4362" t="str">
            <v>Essex</v>
          </cell>
          <cell r="N4362" t="str">
            <v>CO3 3ND</v>
          </cell>
          <cell r="O4362" t="str">
            <v>headmaster@crgs.co.uk</v>
          </cell>
          <cell r="P4362">
            <v>40688</v>
          </cell>
        </row>
        <row r="4363">
          <cell r="A4363">
            <v>9264006</v>
          </cell>
          <cell r="B4363">
            <v>121153</v>
          </cell>
          <cell r="C4363">
            <v>926</v>
          </cell>
          <cell r="D4363" t="str">
            <v>Norfolk</v>
          </cell>
          <cell r="E4363">
            <v>4006</v>
          </cell>
          <cell r="F4363" t="str">
            <v>Aminat Alli</v>
          </cell>
          <cell r="G4363" t="str">
            <v>Hobart High School</v>
          </cell>
          <cell r="H4363" t="str">
            <v>East of England</v>
          </cell>
          <cell r="I4363" t="str">
            <v>Kittens Lane</v>
          </cell>
          <cell r="J4363" t="str">
            <v>Loddon</v>
          </cell>
          <cell r="L4363" t="str">
            <v>Norwich</v>
          </cell>
          <cell r="M4363" t="str">
            <v>Norfolk</v>
          </cell>
          <cell r="N4363" t="str">
            <v>NR14 6JU</v>
          </cell>
          <cell r="O4363" t="str">
            <v>head@hobart.norfolk.sch.uk</v>
          </cell>
          <cell r="P4363">
            <v>41072</v>
          </cell>
        </row>
        <row r="4364">
          <cell r="A4364">
            <v>9194137</v>
          </cell>
          <cell r="B4364">
            <v>117538</v>
          </cell>
          <cell r="C4364">
            <v>919</v>
          </cell>
          <cell r="D4364" t="str">
            <v>Hertfordshire</v>
          </cell>
          <cell r="E4364">
            <v>4137</v>
          </cell>
          <cell r="F4364" t="str">
            <v>Not yet assigned</v>
          </cell>
          <cell r="G4364" t="str">
            <v>Sheredes School</v>
          </cell>
          <cell r="H4364" t="str">
            <v>East of England</v>
          </cell>
          <cell r="I4364" t="str">
            <v>Cock Lane</v>
          </cell>
          <cell r="L4364" t="str">
            <v>Hoddesdon</v>
          </cell>
          <cell r="M4364" t="str">
            <v>Hertfordshire</v>
          </cell>
          <cell r="N4364" t="str">
            <v>EN11 8JY</v>
          </cell>
          <cell r="O4364" t="str">
            <v>head@sheredes.herts.sch.uk</v>
          </cell>
        </row>
        <row r="4365">
          <cell r="A4365">
            <v>8522458</v>
          </cell>
          <cell r="B4365">
            <v>116129</v>
          </cell>
          <cell r="C4365">
            <v>852</v>
          </cell>
          <cell r="D4365" t="str">
            <v>Southampton</v>
          </cell>
          <cell r="E4365">
            <v>2458</v>
          </cell>
          <cell r="F4365" t="str">
            <v>Dilu Chowdhury</v>
          </cell>
          <cell r="G4365" t="str">
            <v>Hollybrook Infant School</v>
          </cell>
          <cell r="H4365" t="str">
            <v>South East</v>
          </cell>
          <cell r="I4365" t="str">
            <v>Seagarth Close</v>
          </cell>
          <cell r="L4365" t="str">
            <v>Southampton</v>
          </cell>
          <cell r="M4365" t="str">
            <v>Hampshire</v>
          </cell>
          <cell r="N4365" t="str">
            <v>SO16 6RN</v>
          </cell>
          <cell r="P4365">
            <v>41022</v>
          </cell>
        </row>
        <row r="4366">
          <cell r="A4366">
            <v>8234005</v>
          </cell>
          <cell r="B4366">
            <v>109645</v>
          </cell>
          <cell r="C4366">
            <v>823</v>
          </cell>
          <cell r="D4366" t="str">
            <v>Central Bedfordshire</v>
          </cell>
          <cell r="E4366">
            <v>4005</v>
          </cell>
          <cell r="F4366" t="str">
            <v>Joe Farrell</v>
          </cell>
          <cell r="G4366" t="str">
            <v>Stratton Upper School and Community College</v>
          </cell>
          <cell r="H4366" t="str">
            <v>East of England</v>
          </cell>
          <cell r="I4366" t="str">
            <v>Eagle Farm Road</v>
          </cell>
          <cell r="L4366" t="str">
            <v>Biggleswade</v>
          </cell>
          <cell r="M4366" t="str">
            <v>Bedfordshire</v>
          </cell>
          <cell r="N4366" t="str">
            <v>SG18 8JB</v>
          </cell>
          <cell r="O4366" t="str">
            <v>strwatson@stratton.beds.sch.uk</v>
          </cell>
          <cell r="P4366">
            <v>40610</v>
          </cell>
        </row>
        <row r="4367">
          <cell r="A4367">
            <v>3302450</v>
          </cell>
          <cell r="B4367">
            <v>103377</v>
          </cell>
          <cell r="C4367">
            <v>330</v>
          </cell>
          <cell r="D4367" t="str">
            <v>Birmingham</v>
          </cell>
          <cell r="E4367">
            <v>2450</v>
          </cell>
          <cell r="F4367" t="str">
            <v>Nicole Felicien</v>
          </cell>
          <cell r="G4367" t="str">
            <v>Great Barr Primary School</v>
          </cell>
          <cell r="H4367" t="str">
            <v>West Midlands</v>
          </cell>
          <cell r="I4367" t="str">
            <v>Aldridge Road</v>
          </cell>
          <cell r="L4367" t="str">
            <v>Birmingham</v>
          </cell>
          <cell r="M4367" t="str">
            <v>West Midlands</v>
          </cell>
          <cell r="N4367" t="str">
            <v>B44 8NT</v>
          </cell>
          <cell r="O4367" t="str">
            <v>s.courbet@grtbarr.bham.sch.uk</v>
          </cell>
          <cell r="P4367">
            <v>40990</v>
          </cell>
        </row>
        <row r="4368">
          <cell r="A4368">
            <v>8233307</v>
          </cell>
          <cell r="B4368">
            <v>109617</v>
          </cell>
          <cell r="C4368">
            <v>823</v>
          </cell>
          <cell r="D4368" t="str">
            <v>Central Bedfordshire</v>
          </cell>
          <cell r="E4368">
            <v>3307</v>
          </cell>
          <cell r="F4368" t="str">
            <v>Michael Cook</v>
          </cell>
          <cell r="G4368" t="str">
            <v>St Mary's VA CofE Lower School</v>
          </cell>
          <cell r="H4368" t="str">
            <v>East of England</v>
          </cell>
          <cell r="I4368" t="str">
            <v>High Street</v>
          </cell>
          <cell r="J4368" t="str">
            <v>Clophill</v>
          </cell>
          <cell r="L4368" t="str">
            <v>Bedford</v>
          </cell>
          <cell r="M4368" t="str">
            <v>Bedfordshire</v>
          </cell>
          <cell r="N4368" t="str">
            <v>MK45 4BE</v>
          </cell>
          <cell r="O4368" t="str">
            <v>cspurgeon2000@yahoo.co.uk</v>
          </cell>
          <cell r="P4368">
            <v>40995</v>
          </cell>
        </row>
        <row r="4369">
          <cell r="A4369">
            <v>8225411</v>
          </cell>
          <cell r="B4369">
            <v>109649</v>
          </cell>
          <cell r="C4369">
            <v>822</v>
          </cell>
          <cell r="D4369" t="str">
            <v>Bedford</v>
          </cell>
          <cell r="E4369">
            <v>5411</v>
          </cell>
          <cell r="F4369" t="str">
            <v>Michael Cook</v>
          </cell>
          <cell r="G4369" t="str">
            <v>Harrold Priory Middle School</v>
          </cell>
          <cell r="H4369" t="str">
            <v>East of England</v>
          </cell>
          <cell r="I4369" t="str">
            <v>The Green</v>
          </cell>
          <cell r="J4369" t="str">
            <v>Harrold</v>
          </cell>
          <cell r="L4369" t="str">
            <v>Bedford</v>
          </cell>
          <cell r="M4369" t="str">
            <v>Bedfordshire</v>
          </cell>
          <cell r="N4369" t="str">
            <v>MK43 7DE</v>
          </cell>
          <cell r="P4369">
            <v>37240</v>
          </cell>
        </row>
        <row r="4370">
          <cell r="A4370">
            <v>9253077</v>
          </cell>
          <cell r="B4370">
            <v>120543</v>
          </cell>
          <cell r="C4370">
            <v>925</v>
          </cell>
          <cell r="D4370" t="str">
            <v>Lincolnshire</v>
          </cell>
          <cell r="E4370">
            <v>3077</v>
          </cell>
          <cell r="F4370" t="str">
            <v>Helen Whetter</v>
          </cell>
          <cell r="G4370" t="str">
            <v>Stamford St Gilberts Church of England Primary School</v>
          </cell>
          <cell r="H4370" t="str">
            <v>East Midlands</v>
          </cell>
          <cell r="I4370" t="str">
            <v>Foundry Road</v>
          </cell>
          <cell r="L4370" t="str">
            <v>Stamford</v>
          </cell>
          <cell r="M4370" t="str">
            <v>Lincolnshire</v>
          </cell>
          <cell r="N4370" t="str">
            <v>PE9 2PP</v>
          </cell>
          <cell r="O4370" t="str">
            <v>claire.thorley@st-gilberts-stamford.lincs.sch.uk</v>
          </cell>
          <cell r="P4370">
            <v>41191</v>
          </cell>
        </row>
        <row r="4371">
          <cell r="A4371">
            <v>9292398</v>
          </cell>
          <cell r="B4371">
            <v>122255</v>
          </cell>
          <cell r="C4371">
            <v>929</v>
          </cell>
          <cell r="D4371" t="str">
            <v>Northumberland</v>
          </cell>
          <cell r="E4371">
            <v>2398</v>
          </cell>
          <cell r="F4371" t="str">
            <v>Bev Mullin</v>
          </cell>
          <cell r="G4371" t="str">
            <v>Croftway Primary School</v>
          </cell>
          <cell r="H4371" t="str">
            <v>North East</v>
          </cell>
          <cell r="I4371" t="str">
            <v>William Street</v>
          </cell>
          <cell r="L4371" t="str">
            <v>Blyth</v>
          </cell>
          <cell r="M4371" t="str">
            <v>Northumberland</v>
          </cell>
          <cell r="N4371" t="str">
            <v>NE24 2HP</v>
          </cell>
          <cell r="O4371" t="str">
            <v>charles.ellis@northumberland.gov.uk</v>
          </cell>
          <cell r="P4371">
            <v>41232</v>
          </cell>
        </row>
        <row r="4372">
          <cell r="A4372">
            <v>9082006</v>
          </cell>
          <cell r="B4372">
            <v>111794</v>
          </cell>
          <cell r="C4372">
            <v>908</v>
          </cell>
          <cell r="D4372" t="str">
            <v>Cornwall</v>
          </cell>
          <cell r="E4372">
            <v>2006</v>
          </cell>
          <cell r="F4372" t="str">
            <v>Kate Bosher</v>
          </cell>
          <cell r="G4372" t="str">
            <v>Heamoor Community Primary School</v>
          </cell>
          <cell r="H4372" t="str">
            <v>South West</v>
          </cell>
          <cell r="I4372" t="str">
            <v>Bosvenna Way</v>
          </cell>
          <cell r="J4372" t="str">
            <v>Heamoor</v>
          </cell>
          <cell r="L4372" t="str">
            <v>Penzance</v>
          </cell>
          <cell r="M4372" t="str">
            <v>Cornwall</v>
          </cell>
          <cell r="N4372" t="str">
            <v>TR18 3JZ</v>
          </cell>
          <cell r="O4372" t="str">
            <v>head@heamoor.cornwall.sch.uk</v>
          </cell>
        </row>
        <row r="4373">
          <cell r="A4373">
            <v>8922074</v>
          </cell>
          <cell r="B4373">
            <v>122423</v>
          </cell>
          <cell r="C4373">
            <v>892</v>
          </cell>
          <cell r="D4373" t="str">
            <v>Nottingham</v>
          </cell>
          <cell r="E4373">
            <v>2074</v>
          </cell>
          <cell r="F4373" t="str">
            <v>Sue Harp</v>
          </cell>
          <cell r="G4373" t="str">
            <v>Edna G Olds Primary and Nursery School</v>
          </cell>
          <cell r="H4373" t="str">
            <v>East Midlands</v>
          </cell>
          <cell r="I4373" t="str">
            <v>Church Street</v>
          </cell>
          <cell r="J4373" t="str">
            <v>Lenton</v>
          </cell>
          <cell r="L4373" t="str">
            <v>Nottingham</v>
          </cell>
          <cell r="M4373" t="str">
            <v>Nottinghamshire</v>
          </cell>
          <cell r="N4373" t="str">
            <v>NG7 1SJ</v>
          </cell>
          <cell r="O4373" t="str">
            <v>admin@ednagolds.nottingham.sch.uk</v>
          </cell>
          <cell r="P4373">
            <v>40648</v>
          </cell>
        </row>
        <row r="4374">
          <cell r="A4374">
            <v>8354511</v>
          </cell>
          <cell r="B4374">
            <v>113889</v>
          </cell>
          <cell r="C4374">
            <v>835</v>
          </cell>
          <cell r="D4374" t="str">
            <v>Dorset</v>
          </cell>
          <cell r="E4374">
            <v>4511</v>
          </cell>
          <cell r="F4374" t="str">
            <v>Susan Shakespeare</v>
          </cell>
          <cell r="G4374" t="str">
            <v>Shaftesbury School</v>
          </cell>
          <cell r="H4374" t="str">
            <v>South West</v>
          </cell>
          <cell r="I4374" t="str">
            <v>Salisbury Road</v>
          </cell>
          <cell r="L4374" t="str">
            <v>Shaftesbury</v>
          </cell>
          <cell r="M4374" t="str">
            <v>Dorset</v>
          </cell>
          <cell r="N4374" t="str">
            <v>SP7 8ER</v>
          </cell>
          <cell r="O4374" t="str">
            <v>mark.blackman@shaftesburyschool.co.uk</v>
          </cell>
          <cell r="P4374">
            <v>41096</v>
          </cell>
        </row>
        <row r="4375">
          <cell r="A4375">
            <v>3812059</v>
          </cell>
          <cell r="B4375">
            <v>107512</v>
          </cell>
          <cell r="C4375">
            <v>381</v>
          </cell>
          <cell r="D4375" t="str">
            <v>Calderdale</v>
          </cell>
          <cell r="E4375">
            <v>2059</v>
          </cell>
          <cell r="F4375" t="str">
            <v>Bev Annables</v>
          </cell>
          <cell r="G4375" t="str">
            <v>Colden Junior and Infant School</v>
          </cell>
          <cell r="H4375" t="str">
            <v>Yorkshire and the Humber</v>
          </cell>
          <cell r="I4375" t="str">
            <v>Smithy Lane</v>
          </cell>
          <cell r="J4375" t="str">
            <v>Colden</v>
          </cell>
          <cell r="L4375" t="str">
            <v>Hebden Bridge</v>
          </cell>
          <cell r="M4375" t="str">
            <v>West Yorkshire</v>
          </cell>
          <cell r="N4375" t="str">
            <v>HX7 7HW</v>
          </cell>
          <cell r="O4375" t="str">
            <v>enwood@colden.calderdale.sch.uk</v>
          </cell>
        </row>
        <row r="4376">
          <cell r="A4376">
            <v>8884135</v>
          </cell>
          <cell r="B4376">
            <v>119739</v>
          </cell>
          <cell r="C4376">
            <v>888</v>
          </cell>
          <cell r="D4376" t="str">
            <v>Lancashire</v>
          </cell>
          <cell r="E4376">
            <v>4135</v>
          </cell>
          <cell r="F4376" t="str">
            <v>Felicity Price</v>
          </cell>
          <cell r="G4376" t="str">
            <v>Priory Sports and Technology College, Penwortham</v>
          </cell>
          <cell r="H4376" t="str">
            <v>North West</v>
          </cell>
          <cell r="I4376" t="str">
            <v>Crow Hills Road</v>
          </cell>
          <cell r="J4376" t="str">
            <v>Penwortham</v>
          </cell>
          <cell r="L4376" t="str">
            <v>Preston</v>
          </cell>
          <cell r="M4376" t="str">
            <v>Lancashire</v>
          </cell>
          <cell r="N4376" t="str">
            <v>PR1 0JE</v>
          </cell>
          <cell r="O4376" t="str">
            <v>j.hourigan@priory.lancs.sch.uk</v>
          </cell>
          <cell r="P4376">
            <v>40911</v>
          </cell>
        </row>
        <row r="4377">
          <cell r="A4377">
            <v>8654610</v>
          </cell>
          <cell r="B4377">
            <v>126473</v>
          </cell>
          <cell r="C4377">
            <v>865</v>
          </cell>
          <cell r="D4377" t="str">
            <v>Wiltshire</v>
          </cell>
          <cell r="E4377">
            <v>4610</v>
          </cell>
          <cell r="F4377" t="str">
            <v>Not yet assigned</v>
          </cell>
          <cell r="G4377" t="str">
            <v>St Joseph's Catholic School</v>
          </cell>
          <cell r="H4377" t="str">
            <v>South West</v>
          </cell>
          <cell r="I4377" t="str">
            <v>Church Road</v>
          </cell>
          <cell r="J4377" t="str">
            <v>Laverstock</v>
          </cell>
          <cell r="L4377" t="str">
            <v>Salisbury</v>
          </cell>
          <cell r="M4377" t="str">
            <v>Wiltshire</v>
          </cell>
          <cell r="N4377" t="str">
            <v>SP1 1QY</v>
          </cell>
          <cell r="O4377" t="str">
            <v>head@st-josephs-salisbury.wilts.sch.uk</v>
          </cell>
        </row>
        <row r="4378">
          <cell r="A4378">
            <v>9253510</v>
          </cell>
          <cell r="B4378">
            <v>135669</v>
          </cell>
          <cell r="C4378">
            <v>925</v>
          </cell>
          <cell r="D4378" t="str">
            <v>Lincolnshire</v>
          </cell>
          <cell r="E4378">
            <v>3510</v>
          </cell>
          <cell r="F4378" t="str">
            <v>Servet Bicer</v>
          </cell>
          <cell r="G4378" t="str">
            <v>Bourne Abbey Church of England Primary School</v>
          </cell>
          <cell r="H4378" t="str">
            <v>East Midlands</v>
          </cell>
          <cell r="I4378" t="str">
            <v>Abbey Road</v>
          </cell>
          <cell r="L4378" t="str">
            <v>Bourne</v>
          </cell>
          <cell r="M4378" t="str">
            <v>Lincolnshire</v>
          </cell>
          <cell r="N4378" t="str">
            <v>PE10 9EP</v>
          </cell>
          <cell r="O4378" t="str">
            <v>Cherry.Edwards@bourneabbey.lincs.sch.uk</v>
          </cell>
          <cell r="P4378">
            <v>40351</v>
          </cell>
        </row>
        <row r="4379">
          <cell r="A4379">
            <v>8134076</v>
          </cell>
          <cell r="B4379">
            <v>118089</v>
          </cell>
          <cell r="C4379">
            <v>813</v>
          </cell>
          <cell r="D4379" t="str">
            <v>North Lincolnshire</v>
          </cell>
          <cell r="E4379">
            <v>4076</v>
          </cell>
          <cell r="F4379" t="str">
            <v>Bev Annables</v>
          </cell>
          <cell r="G4379" t="str">
            <v>FTC Performing Arts College</v>
          </cell>
          <cell r="H4379" t="str">
            <v>Yorkshire and the Humber</v>
          </cell>
          <cell r="I4379" t="str">
            <v>Foxhills Road</v>
          </cell>
          <cell r="L4379" t="str">
            <v>Scunthorpe</v>
          </cell>
          <cell r="M4379" t="str">
            <v>Lincolnshire</v>
          </cell>
          <cell r="N4379" t="str">
            <v>DN15 8LJ</v>
          </cell>
          <cell r="O4379" t="str">
            <v>head.ftc@northlincs.gov.uk</v>
          </cell>
          <cell r="P4379">
            <v>40606</v>
          </cell>
        </row>
        <row r="4380">
          <cell r="A4380">
            <v>3055408</v>
          </cell>
          <cell r="B4380">
            <v>101674</v>
          </cell>
          <cell r="C4380">
            <v>305</v>
          </cell>
          <cell r="D4380" t="str">
            <v>Bromley</v>
          </cell>
          <cell r="E4380">
            <v>5408</v>
          </cell>
          <cell r="F4380" t="str">
            <v>Dervise Ali-Riza</v>
          </cell>
          <cell r="G4380" t="str">
            <v>Beaverwood School for Girls</v>
          </cell>
          <cell r="H4380" t="str">
            <v>London</v>
          </cell>
          <cell r="I4380" t="str">
            <v>Beaverwood Road</v>
          </cell>
          <cell r="J4380" t="str">
            <v>Perry Street</v>
          </cell>
          <cell r="L4380" t="str">
            <v>Chislehurst</v>
          </cell>
          <cell r="M4380" t="str">
            <v>Kent</v>
          </cell>
          <cell r="N4380" t="str">
            <v>BR7 6HE</v>
          </cell>
          <cell r="O4380" t="str">
            <v>kraven@beaverwood.co.uk</v>
          </cell>
          <cell r="P4380">
            <v>40532</v>
          </cell>
        </row>
        <row r="4381">
          <cell r="A4381">
            <v>9313912</v>
          </cell>
          <cell r="B4381">
            <v>135159</v>
          </cell>
          <cell r="C4381">
            <v>931</v>
          </cell>
          <cell r="D4381" t="str">
            <v>Oxfordshire</v>
          </cell>
          <cell r="E4381">
            <v>3912</v>
          </cell>
          <cell r="F4381" t="str">
            <v>Sarah Nairne</v>
          </cell>
          <cell r="G4381" t="str">
            <v>Willowcroft Community School</v>
          </cell>
          <cell r="H4381" t="str">
            <v>South East</v>
          </cell>
          <cell r="I4381" t="str">
            <v>Mereland Road</v>
          </cell>
          <cell r="L4381" t="str">
            <v>Didcot</v>
          </cell>
          <cell r="M4381" t="str">
            <v>Oxfordshire</v>
          </cell>
          <cell r="N4381" t="str">
            <v>OX11 8BA</v>
          </cell>
          <cell r="O4381" t="str">
            <v>Head.3912@willowcroft.oxon.sch.uk</v>
          </cell>
          <cell r="P4381">
            <v>41241</v>
          </cell>
        </row>
        <row r="4382">
          <cell r="A4382">
            <v>3304060</v>
          </cell>
          <cell r="B4382">
            <v>103485</v>
          </cell>
          <cell r="C4382">
            <v>330</v>
          </cell>
          <cell r="D4382" t="str">
            <v>Birmingham</v>
          </cell>
          <cell r="E4382">
            <v>4060</v>
          </cell>
          <cell r="F4382" t="str">
            <v>Lilian Da Cunha</v>
          </cell>
          <cell r="G4382" t="str">
            <v>Lordswood Girls' School &amp; Sixth Form Centre</v>
          </cell>
          <cell r="H4382" t="str">
            <v>West Midlands</v>
          </cell>
          <cell r="I4382" t="str">
            <v>Knightlow Road</v>
          </cell>
          <cell r="J4382" t="str">
            <v>Harborne</v>
          </cell>
          <cell r="L4382" t="str">
            <v>Birmingham</v>
          </cell>
          <cell r="M4382" t="str">
            <v>West Midlands</v>
          </cell>
          <cell r="N4382" t="str">
            <v>B17 8QB</v>
          </cell>
          <cell r="O4382" t="str">
            <v>j.gotschel@lordswoodgirls.co.uk</v>
          </cell>
          <cell r="P4382">
            <v>40526</v>
          </cell>
        </row>
        <row r="4383">
          <cell r="A4383">
            <v>3554620</v>
          </cell>
          <cell r="B4383">
            <v>131512</v>
          </cell>
          <cell r="C4383">
            <v>355</v>
          </cell>
          <cell r="D4383" t="str">
            <v>Salford</v>
          </cell>
          <cell r="E4383">
            <v>4620</v>
          </cell>
          <cell r="F4383" t="str">
            <v>Jane McCusker</v>
          </cell>
          <cell r="G4383" t="str">
            <v>All Hallows RC Business and Enterprise College</v>
          </cell>
          <cell r="H4383" t="str">
            <v>North West</v>
          </cell>
          <cell r="I4383" t="str">
            <v>Weaste Lane</v>
          </cell>
          <cell r="L4383" t="str">
            <v>Salford</v>
          </cell>
          <cell r="M4383" t="str">
            <v>Greater Manchester</v>
          </cell>
          <cell r="N4383" t="str">
            <v>M5 5JH</v>
          </cell>
          <cell r="O4383" t="str">
            <v>monica.owens@salford.gov.uk</v>
          </cell>
        </row>
        <row r="4384">
          <cell r="A4384">
            <v>3035402</v>
          </cell>
          <cell r="B4384">
            <v>101478</v>
          </cell>
          <cell r="C4384">
            <v>303</v>
          </cell>
          <cell r="D4384" t="str">
            <v>Bexley</v>
          </cell>
          <cell r="E4384">
            <v>5402</v>
          </cell>
          <cell r="F4384" t="str">
            <v>Bola Bakrin</v>
          </cell>
          <cell r="G4384" t="str">
            <v>St Catherine's Catholic School for Girls</v>
          </cell>
          <cell r="H4384" t="str">
            <v>London</v>
          </cell>
          <cell r="I4384" t="str">
            <v>Watling Street</v>
          </cell>
          <cell r="L4384" t="str">
            <v>Bexleyheath</v>
          </cell>
          <cell r="M4384" t="str">
            <v>Kent</v>
          </cell>
          <cell r="N4384" t="str">
            <v>DA6 7QJ</v>
          </cell>
          <cell r="O4384" t="str">
            <v>pslonecki@stccg.co.uk</v>
          </cell>
          <cell r="P4384">
            <v>40617</v>
          </cell>
        </row>
        <row r="4385">
          <cell r="A4385">
            <v>8264018</v>
          </cell>
          <cell r="B4385">
            <v>110487</v>
          </cell>
          <cell r="C4385">
            <v>826</v>
          </cell>
          <cell r="D4385" t="str">
            <v>Milton Keynes</v>
          </cell>
          <cell r="E4385">
            <v>4018</v>
          </cell>
          <cell r="F4385" t="str">
            <v>Sarah Nairne</v>
          </cell>
          <cell r="G4385" t="str">
            <v>Ousedale School</v>
          </cell>
          <cell r="H4385" t="str">
            <v>South East</v>
          </cell>
          <cell r="I4385" t="str">
            <v>The Grove</v>
          </cell>
          <cell r="L4385" t="str">
            <v>Newport Pagnell</v>
          </cell>
          <cell r="M4385" t="str">
            <v>Buckinghamshire</v>
          </cell>
          <cell r="N4385" t="str">
            <v>MK16 0BJ</v>
          </cell>
          <cell r="O4385" t="str">
            <v>sue.carbert@ousedale.org.uk</v>
          </cell>
          <cell r="P4385">
            <v>40620</v>
          </cell>
        </row>
        <row r="4386">
          <cell r="A4386">
            <v>8612001</v>
          </cell>
          <cell r="B4386">
            <v>132730</v>
          </cell>
          <cell r="C4386">
            <v>861</v>
          </cell>
          <cell r="D4386" t="str">
            <v>Stoke-on-Trent</v>
          </cell>
          <cell r="E4386">
            <v>2001</v>
          </cell>
          <cell r="F4386" t="str">
            <v>Stephen Standret</v>
          </cell>
          <cell r="G4386" t="str">
            <v>Belgrave CofE (C) Primary School</v>
          </cell>
          <cell r="H4386" t="str">
            <v>West Midlands</v>
          </cell>
          <cell r="I4386" t="str">
            <v>Sussex Place</v>
          </cell>
          <cell r="J4386" t="str">
            <v>Longton</v>
          </cell>
          <cell r="L4386" t="str">
            <v>Stoke-on-Trent</v>
          </cell>
          <cell r="M4386" t="str">
            <v>Staffordshire</v>
          </cell>
          <cell r="N4386" t="str">
            <v>ST3 4TP</v>
          </cell>
          <cell r="O4386" t="str">
            <v>cbrislen@sgfl.org.uk</v>
          </cell>
          <cell r="P4386">
            <v>40487</v>
          </cell>
        </row>
        <row r="4387">
          <cell r="A4387">
            <v>3302434</v>
          </cell>
          <cell r="B4387">
            <v>103361</v>
          </cell>
          <cell r="C4387">
            <v>330</v>
          </cell>
          <cell r="D4387" t="str">
            <v>Birmingham</v>
          </cell>
          <cell r="E4387">
            <v>2434</v>
          </cell>
          <cell r="F4387" t="str">
            <v>Alison Middleton</v>
          </cell>
          <cell r="G4387" t="str">
            <v>Hillstone Primary School</v>
          </cell>
          <cell r="H4387" t="str">
            <v>West Midlands</v>
          </cell>
          <cell r="I4387" t="str">
            <v>Hillstone Road</v>
          </cell>
          <cell r="J4387" t="str">
            <v>Shard End</v>
          </cell>
          <cell r="L4387" t="str">
            <v>Birmingham</v>
          </cell>
          <cell r="M4387" t="str">
            <v>West Midlands</v>
          </cell>
          <cell r="N4387" t="str">
            <v>B34 7PY</v>
          </cell>
          <cell r="O4387" t="str">
            <v>g.sparrow@hillstn.bham.sch.uk</v>
          </cell>
        </row>
        <row r="4388">
          <cell r="A4388">
            <v>3847053</v>
          </cell>
          <cell r="B4388">
            <v>133340</v>
          </cell>
          <cell r="C4388">
            <v>384</v>
          </cell>
          <cell r="D4388" t="str">
            <v>Wakefield</v>
          </cell>
          <cell r="E4388">
            <v>7053</v>
          </cell>
          <cell r="F4388" t="str">
            <v>Glyn Newton</v>
          </cell>
          <cell r="G4388" t="str">
            <v>Wakefield Pathways School</v>
          </cell>
          <cell r="H4388" t="str">
            <v>Yorkshire and the Humber</v>
          </cell>
          <cell r="I4388" t="str">
            <v>Poplar Avenue</v>
          </cell>
          <cell r="J4388" t="str">
            <v>Townville</v>
          </cell>
          <cell r="L4388" t="str">
            <v>Castleford</v>
          </cell>
          <cell r="M4388" t="str">
            <v>West Yorkshire</v>
          </cell>
          <cell r="N4388" t="str">
            <v>WF10 3QJ</v>
          </cell>
          <cell r="O4388" t="str">
            <v>headteacher@pathways.wakefield.sch.uk</v>
          </cell>
        </row>
        <row r="4389">
          <cell r="A4389">
            <v>8023129</v>
          </cell>
          <cell r="B4389">
            <v>109231</v>
          </cell>
          <cell r="C4389">
            <v>802</v>
          </cell>
          <cell r="D4389" t="str">
            <v>North Somerset</v>
          </cell>
          <cell r="E4389">
            <v>3129</v>
          </cell>
          <cell r="F4389" t="str">
            <v>Theresa Oddelm</v>
          </cell>
          <cell r="G4389" t="str">
            <v>St Nicholas Chantry Church of England Voluntary Controlled Primary School</v>
          </cell>
          <cell r="H4389" t="str">
            <v>South West</v>
          </cell>
          <cell r="I4389" t="str">
            <v>Highdale Avenue</v>
          </cell>
          <cell r="L4389" t="str">
            <v>Clevedon</v>
          </cell>
          <cell r="M4389" t="str">
            <v>Somerset</v>
          </cell>
          <cell r="N4389" t="str">
            <v>BS21 7LT</v>
          </cell>
          <cell r="O4389" t="str">
            <v>stnicholaschantry.pri@n-somerset.gov.uk</v>
          </cell>
        </row>
        <row r="4390">
          <cell r="A4390">
            <v>8022305</v>
          </cell>
          <cell r="B4390">
            <v>109112</v>
          </cell>
          <cell r="C4390">
            <v>802</v>
          </cell>
          <cell r="D4390" t="str">
            <v>North Somerset</v>
          </cell>
          <cell r="E4390">
            <v>2305</v>
          </cell>
          <cell r="F4390" t="str">
            <v>Ali Bushell</v>
          </cell>
          <cell r="G4390" t="str">
            <v>Mead Vale Community Primary School</v>
          </cell>
          <cell r="H4390" t="str">
            <v>South West</v>
          </cell>
          <cell r="I4390" t="str">
            <v>Kestrel Drive</v>
          </cell>
          <cell r="J4390" t="str">
            <v>Worle</v>
          </cell>
          <cell r="L4390" t="str">
            <v>Weston-Super-Mare</v>
          </cell>
          <cell r="M4390" t="str">
            <v>Somerset</v>
          </cell>
          <cell r="N4390" t="str">
            <v>BS22 8RQ</v>
          </cell>
          <cell r="O4390" t="str">
            <v>jeffrey.batesonwinn@staff.meadvale.n-somerset.sch.uk</v>
          </cell>
        </row>
        <row r="4391">
          <cell r="A4391">
            <v>3304307</v>
          </cell>
          <cell r="B4391">
            <v>103523</v>
          </cell>
          <cell r="C4391">
            <v>330</v>
          </cell>
          <cell r="D4391" t="str">
            <v>Birmingham</v>
          </cell>
          <cell r="E4391">
            <v>4307</v>
          </cell>
          <cell r="F4391" t="str">
            <v>Christine West</v>
          </cell>
          <cell r="G4391" t="str">
            <v>The Arthur Terry School</v>
          </cell>
          <cell r="H4391" t="str">
            <v>West Midlands</v>
          </cell>
          <cell r="I4391" t="str">
            <v>Kittoe Road</v>
          </cell>
          <cell r="J4391" t="str">
            <v>Four Oaks</v>
          </cell>
          <cell r="L4391" t="str">
            <v>Sutton Coldfield</v>
          </cell>
          <cell r="M4391" t="str">
            <v>West Midlands</v>
          </cell>
          <cell r="N4391" t="str">
            <v>B74 4RZ</v>
          </cell>
          <cell r="O4391" t="str">
            <v>tsmith@arthurterry.bham.sch.uk</v>
          </cell>
          <cell r="P4391">
            <v>40506</v>
          </cell>
        </row>
        <row r="4392">
          <cell r="A4392">
            <v>9353328</v>
          </cell>
          <cell r="B4392">
            <v>124773</v>
          </cell>
          <cell r="C4392">
            <v>935</v>
          </cell>
          <cell r="D4392" t="str">
            <v>Suffolk</v>
          </cell>
          <cell r="E4392">
            <v>3328</v>
          </cell>
          <cell r="F4392" t="str">
            <v>Joe Farrell</v>
          </cell>
          <cell r="G4392" t="str">
            <v>St Mary's Church of England Voluntary Aided Primary School, Woodbridge</v>
          </cell>
          <cell r="H4392" t="str">
            <v>East of England</v>
          </cell>
          <cell r="I4392" t="str">
            <v>Burkitt Road</v>
          </cell>
          <cell r="L4392" t="str">
            <v>Woodbridge</v>
          </cell>
          <cell r="M4392" t="str">
            <v>Suffolk</v>
          </cell>
          <cell r="N4392" t="str">
            <v>IP12 4JJ</v>
          </cell>
          <cell r="O4392" t="str">
            <v>saintmarys@talk21.com</v>
          </cell>
        </row>
        <row r="4393">
          <cell r="A4393">
            <v>8854503</v>
          </cell>
          <cell r="B4393">
            <v>135061</v>
          </cell>
          <cell r="C4393">
            <v>885</v>
          </cell>
          <cell r="D4393" t="str">
            <v>Worcestershire</v>
          </cell>
          <cell r="E4393">
            <v>4503</v>
          </cell>
          <cell r="F4393" t="str">
            <v>Carla Spink</v>
          </cell>
          <cell r="G4393" t="str">
            <v>Wolverley  CofE Secondary School</v>
          </cell>
          <cell r="H4393" t="str">
            <v>West Midlands</v>
          </cell>
          <cell r="I4393" t="str">
            <v>Blakeshall Lane</v>
          </cell>
          <cell r="J4393" t="str">
            <v>Wolverley</v>
          </cell>
          <cell r="L4393" t="str">
            <v>Kidderminster</v>
          </cell>
          <cell r="M4393" t="str">
            <v>Worcestershire</v>
          </cell>
          <cell r="N4393" t="str">
            <v>DY11 5XQ</v>
          </cell>
          <cell r="O4393" t="str">
            <v>richard.north@wolverley.worcs.sch.uk</v>
          </cell>
        </row>
        <row r="4394">
          <cell r="A4394">
            <v>8412659</v>
          </cell>
          <cell r="B4394">
            <v>114174</v>
          </cell>
          <cell r="C4394">
            <v>841</v>
          </cell>
          <cell r="D4394" t="str">
            <v>Darlington</v>
          </cell>
          <cell r="E4394">
            <v>2659</v>
          </cell>
          <cell r="F4394" t="str">
            <v>Jamie Kelly</v>
          </cell>
          <cell r="G4394" t="str">
            <v>Springfield Primary School</v>
          </cell>
          <cell r="H4394" t="str">
            <v>North East</v>
          </cell>
          <cell r="I4394" t="str">
            <v>Salters Lane South</v>
          </cell>
          <cell r="L4394" t="str">
            <v>Darlington</v>
          </cell>
          <cell r="M4394" t="str">
            <v>County Durham</v>
          </cell>
          <cell r="N4394" t="str">
            <v>DL1 2AN</v>
          </cell>
          <cell r="O4394" t="str">
            <v>dsmith@educationvillage.org.uk</v>
          </cell>
          <cell r="P4394">
            <v>40562</v>
          </cell>
        </row>
        <row r="4395">
          <cell r="A4395">
            <v>8303097</v>
          </cell>
          <cell r="B4395">
            <v>112861</v>
          </cell>
          <cell r="C4395">
            <v>830</v>
          </cell>
          <cell r="D4395" t="str">
            <v>Derbyshire</v>
          </cell>
          <cell r="E4395">
            <v>3097</v>
          </cell>
          <cell r="F4395" t="str">
            <v>Stephen Standret</v>
          </cell>
          <cell r="G4395" t="str">
            <v>Walton-on-Trent CofE School</v>
          </cell>
          <cell r="H4395" t="str">
            <v>East Midlands</v>
          </cell>
          <cell r="I4395" t="str">
            <v>Coton Road</v>
          </cell>
          <cell r="J4395" t="str">
            <v>Walton-on-Trent</v>
          </cell>
          <cell r="L4395" t="str">
            <v>Swadlincote</v>
          </cell>
          <cell r="M4395" t="str">
            <v>Derbyshire</v>
          </cell>
          <cell r="N4395" t="str">
            <v>DE12 8NL</v>
          </cell>
          <cell r="O4395" t="str">
            <v>Headteacher@walton-on-trent.derbyshire.sch.uk</v>
          </cell>
        </row>
        <row r="4396">
          <cell r="A4396">
            <v>3834040</v>
          </cell>
          <cell r="B4396">
            <v>108058</v>
          </cell>
          <cell r="C4396">
            <v>383</v>
          </cell>
          <cell r="D4396" t="str">
            <v>Leeds</v>
          </cell>
          <cell r="E4396">
            <v>4040</v>
          </cell>
          <cell r="F4396" t="str">
            <v>Bev Annables</v>
          </cell>
          <cell r="G4396" t="str">
            <v>Allerton Grange School</v>
          </cell>
          <cell r="H4396" t="str">
            <v>Yorkshire and the Humber</v>
          </cell>
          <cell r="I4396" t="str">
            <v>Talbot Avenue</v>
          </cell>
          <cell r="L4396" t="str">
            <v>Leeds</v>
          </cell>
          <cell r="M4396" t="str">
            <v>West Yorkshire</v>
          </cell>
          <cell r="N4396" t="str">
            <v>LS17 6SF</v>
          </cell>
          <cell r="O4396" t="str">
            <v>whittar03@leedslearning.net</v>
          </cell>
        </row>
        <row r="4397">
          <cell r="A4397">
            <v>2113346</v>
          </cell>
          <cell r="B4397">
            <v>100945</v>
          </cell>
          <cell r="C4397">
            <v>211</v>
          </cell>
          <cell r="D4397" t="str">
            <v>Tower Hamlets</v>
          </cell>
          <cell r="E4397">
            <v>3346</v>
          </cell>
          <cell r="F4397" t="str">
            <v>Sheila Longstaff</v>
          </cell>
          <cell r="G4397" t="str">
            <v>Guardian Angels Catholic Primary School</v>
          </cell>
          <cell r="H4397" t="str">
            <v>London</v>
          </cell>
          <cell r="I4397" t="str">
            <v>Whitman Road</v>
          </cell>
          <cell r="L4397" t="str">
            <v>London</v>
          </cell>
          <cell r="N4397" t="str">
            <v>E3 4RB</v>
          </cell>
          <cell r="O4397" t="str">
            <v>paul.nottage@aonbenfield.com</v>
          </cell>
        </row>
        <row r="4398">
          <cell r="A4398">
            <v>9333065</v>
          </cell>
          <cell r="B4398">
            <v>123763</v>
          </cell>
          <cell r="C4398">
            <v>933</v>
          </cell>
          <cell r="D4398" t="str">
            <v>Somerset</v>
          </cell>
          <cell r="E4398">
            <v>3065</v>
          </cell>
          <cell r="F4398" t="str">
            <v>Ali Bushell</v>
          </cell>
          <cell r="G4398" t="str">
            <v>Horsington Church of England Primary School</v>
          </cell>
          <cell r="H4398" t="str">
            <v>South West</v>
          </cell>
          <cell r="I4398" t="str">
            <v>Horsington</v>
          </cell>
          <cell r="L4398" t="str">
            <v>Templecombe</v>
          </cell>
          <cell r="M4398" t="str">
            <v>Somerset</v>
          </cell>
          <cell r="N4398" t="str">
            <v>BA8 0BW</v>
          </cell>
          <cell r="O4398" t="str">
            <v>IRumbelow@educ.somerset.gov.uk</v>
          </cell>
        </row>
        <row r="4399">
          <cell r="A4399">
            <v>8233016</v>
          </cell>
          <cell r="B4399">
            <v>109608</v>
          </cell>
          <cell r="C4399">
            <v>823</v>
          </cell>
          <cell r="D4399" t="str">
            <v>Central Bedfordshire</v>
          </cell>
          <cell r="E4399">
            <v>3016</v>
          </cell>
          <cell r="F4399" t="str">
            <v>Pat Murison</v>
          </cell>
          <cell r="G4399" t="str">
            <v>Toddington St George Lower School</v>
          </cell>
          <cell r="H4399" t="str">
            <v>East of England</v>
          </cell>
          <cell r="I4399" t="str">
            <v>Manor Road</v>
          </cell>
          <cell r="J4399" t="str">
            <v>Toddington</v>
          </cell>
          <cell r="L4399" t="str">
            <v>Dunstable</v>
          </cell>
          <cell r="M4399" t="str">
            <v>Bedfordshire</v>
          </cell>
          <cell r="N4399" t="str">
            <v>LU5 6AJ</v>
          </cell>
          <cell r="O4399" t="str">
            <v>jane.spencer@schools.bedfordshire.gov.uk</v>
          </cell>
          <cell r="P4399">
            <v>40941</v>
          </cell>
        </row>
        <row r="4400">
          <cell r="A4400">
            <v>8154210</v>
          </cell>
          <cell r="B4400">
            <v>121692</v>
          </cell>
          <cell r="C4400">
            <v>815</v>
          </cell>
          <cell r="D4400" t="str">
            <v>North Yorkshire</v>
          </cell>
          <cell r="E4400">
            <v>4210</v>
          </cell>
          <cell r="F4400" t="str">
            <v>John Edmunds</v>
          </cell>
          <cell r="G4400" t="str">
            <v>South Craven School</v>
          </cell>
          <cell r="H4400" t="str">
            <v>Yorkshire and the Humber</v>
          </cell>
          <cell r="I4400" t="str">
            <v>Holme Lane</v>
          </cell>
          <cell r="J4400" t="str">
            <v>Cross Hills</v>
          </cell>
          <cell r="L4400" t="str">
            <v>Keighley</v>
          </cell>
          <cell r="M4400" t="str">
            <v>West Yorkshire</v>
          </cell>
          <cell r="N4400" t="str">
            <v>BD20 7RL</v>
          </cell>
          <cell r="O4400" t="str">
            <v>a.cummings@south-craven.n-yorks.sch.uk</v>
          </cell>
          <cell r="P4400">
            <v>40577</v>
          </cell>
        </row>
        <row r="4401">
          <cell r="A4401">
            <v>9084009</v>
          </cell>
          <cell r="B4401">
            <v>112037</v>
          </cell>
          <cell r="C4401">
            <v>908</v>
          </cell>
          <cell r="D4401" t="str">
            <v>Cornwall</v>
          </cell>
          <cell r="E4401">
            <v>4009</v>
          </cell>
          <cell r="F4401" t="str">
            <v>Kate Bosher</v>
          </cell>
          <cell r="G4401" t="str">
            <v>Launceston College</v>
          </cell>
          <cell r="H4401" t="str">
            <v>South West</v>
          </cell>
          <cell r="I4401" t="str">
            <v>Hurdon Road</v>
          </cell>
          <cell r="L4401" t="str">
            <v>Launceston</v>
          </cell>
          <cell r="M4401" t="str">
            <v>Cornwall</v>
          </cell>
          <cell r="N4401" t="str">
            <v>PL15 9JR</v>
          </cell>
          <cell r="O4401" t="str">
            <v>STFJAJ@launceston-college.cornwall.sch.uk</v>
          </cell>
          <cell r="P4401">
            <v>40989</v>
          </cell>
        </row>
        <row r="4402">
          <cell r="A4402">
            <v>8123515</v>
          </cell>
          <cell r="B4402">
            <v>118059</v>
          </cell>
          <cell r="C4402">
            <v>812</v>
          </cell>
          <cell r="D4402" t="str">
            <v>North East Lincolnshire</v>
          </cell>
          <cell r="E4402">
            <v>3515</v>
          </cell>
          <cell r="F4402" t="str">
            <v>Nick Monton</v>
          </cell>
          <cell r="G4402" t="str">
            <v>St Mary's Catholic Primary School</v>
          </cell>
          <cell r="H4402" t="str">
            <v>Yorkshire and the Humber</v>
          </cell>
          <cell r="I4402" t="str">
            <v>Wellington Street</v>
          </cell>
          <cell r="L4402" t="str">
            <v>Grimsby</v>
          </cell>
          <cell r="M4402" t="str">
            <v>Lincolnshire</v>
          </cell>
          <cell r="N4402" t="str">
            <v>DN32 7JX</v>
          </cell>
          <cell r="O4402" t="str">
            <v>head@smp.nelcmail.co.uk</v>
          </cell>
          <cell r="P4402">
            <v>40806</v>
          </cell>
        </row>
        <row r="4403">
          <cell r="A4403">
            <v>8663426</v>
          </cell>
          <cell r="B4403">
            <v>126426</v>
          </cell>
          <cell r="C4403">
            <v>866</v>
          </cell>
          <cell r="D4403" t="str">
            <v>Swindon</v>
          </cell>
          <cell r="E4403">
            <v>3426</v>
          </cell>
          <cell r="F4403" t="str">
            <v>Dominic Wilson</v>
          </cell>
          <cell r="G4403" t="str">
            <v>Holy Rood Catholic Infant School</v>
          </cell>
          <cell r="H4403" t="str">
            <v>South West</v>
          </cell>
          <cell r="I4403" t="str">
            <v>Groundwell Road</v>
          </cell>
          <cell r="L4403" t="str">
            <v>Swindon</v>
          </cell>
          <cell r="M4403" t="str">
            <v>Wiltshire</v>
          </cell>
          <cell r="N4403" t="str">
            <v>SN1 2LU</v>
          </cell>
          <cell r="O4403" t="str">
            <v>head@holyrood-inf.swindon.sch.uk</v>
          </cell>
          <cell r="P4403">
            <v>40638</v>
          </cell>
        </row>
        <row r="4404">
          <cell r="A4404">
            <v>8815263</v>
          </cell>
          <cell r="B4404">
            <v>115303</v>
          </cell>
          <cell r="C4404">
            <v>881</v>
          </cell>
          <cell r="D4404" t="str">
            <v>Essex</v>
          </cell>
          <cell r="E4404">
            <v>5263</v>
          </cell>
          <cell r="F4404" t="str">
            <v>Joe Farrell</v>
          </cell>
          <cell r="G4404" t="str">
            <v>R A Butler Infant School</v>
          </cell>
          <cell r="H4404" t="str">
            <v>East of England</v>
          </cell>
          <cell r="I4404" t="str">
            <v>South Road</v>
          </cell>
          <cell r="L4404" t="str">
            <v>Saffron Walden</v>
          </cell>
          <cell r="M4404" t="str">
            <v>Essex</v>
          </cell>
          <cell r="N4404" t="str">
            <v>CB11 3DG</v>
          </cell>
          <cell r="O4404" t="str">
            <v>gmawson@rabutler.essex.sch.uk</v>
          </cell>
          <cell r="P4404">
            <v>40359</v>
          </cell>
        </row>
        <row r="4405">
          <cell r="A4405">
            <v>8784055</v>
          </cell>
          <cell r="B4405">
            <v>113510</v>
          </cell>
          <cell r="C4405">
            <v>878</v>
          </cell>
          <cell r="D4405" t="str">
            <v>Devon</v>
          </cell>
          <cell r="E4405">
            <v>4055</v>
          </cell>
          <cell r="F4405" t="str">
            <v>Sophie Silver</v>
          </cell>
          <cell r="G4405" t="str">
            <v>Great Torrington Community School and Sports College</v>
          </cell>
          <cell r="H4405" t="str">
            <v>South West</v>
          </cell>
          <cell r="I4405" t="str">
            <v>Calvesford Road</v>
          </cell>
          <cell r="L4405" t="str">
            <v>Torrington</v>
          </cell>
          <cell r="M4405" t="str">
            <v>Devon</v>
          </cell>
          <cell r="N4405" t="str">
            <v>EX38 7DJ</v>
          </cell>
          <cell r="O4405" t="str">
            <v>mmitchell@greattorrington.devon.sch.uk</v>
          </cell>
          <cell r="P4405">
            <v>40618</v>
          </cell>
        </row>
        <row r="4406">
          <cell r="A4406">
            <v>3802186</v>
          </cell>
          <cell r="B4406">
            <v>107297</v>
          </cell>
          <cell r="C4406">
            <v>380</v>
          </cell>
          <cell r="D4406" t="str">
            <v>Bradford</v>
          </cell>
          <cell r="E4406">
            <v>2186</v>
          </cell>
          <cell r="F4406" t="str">
            <v>Glyn Newton</v>
          </cell>
          <cell r="G4406" t="str">
            <v>Copthorne Primary School</v>
          </cell>
          <cell r="H4406" t="str">
            <v>Yorkshire and the Humber</v>
          </cell>
          <cell r="I4406" t="str">
            <v>All Saints' Road</v>
          </cell>
          <cell r="L4406" t="str">
            <v>Bradford</v>
          </cell>
          <cell r="M4406" t="str">
            <v>West Yorkshire</v>
          </cell>
          <cell r="N4406" t="str">
            <v>BD7 3AY</v>
          </cell>
          <cell r="O4406" t="str">
            <v>naila.zaffar@copthorne.bradford.sch.uk</v>
          </cell>
        </row>
        <row r="4407">
          <cell r="A4407">
            <v>8517472</v>
          </cell>
          <cell r="B4407">
            <v>135308</v>
          </cell>
          <cell r="C4407">
            <v>851</v>
          </cell>
          <cell r="D4407" t="str">
            <v>Portsmouth</v>
          </cell>
          <cell r="E4407">
            <v>7472</v>
          </cell>
          <cell r="F4407" t="str">
            <v>Eric Mcewen</v>
          </cell>
          <cell r="G4407" t="str">
            <v>The Harbour School</v>
          </cell>
          <cell r="H4407" t="str">
            <v>South East</v>
          </cell>
          <cell r="I4407" t="str">
            <v>151 Locksway Road</v>
          </cell>
          <cell r="J4407" t="str">
            <v>Milton</v>
          </cell>
          <cell r="L4407" t="str">
            <v>Portsmouth</v>
          </cell>
          <cell r="M4407" t="str">
            <v>Hampshire</v>
          </cell>
          <cell r="N4407" t="str">
            <v>PO4 8LD</v>
          </cell>
          <cell r="O4407" t="str">
            <v>garretts@theharbour.portsmouth.sch.uk</v>
          </cell>
        </row>
        <row r="4408">
          <cell r="A4408">
            <v>8553213</v>
          </cell>
          <cell r="B4408">
            <v>120191</v>
          </cell>
          <cell r="C4408">
            <v>855</v>
          </cell>
          <cell r="D4408" t="str">
            <v>Leicestershire</v>
          </cell>
          <cell r="E4408">
            <v>3213</v>
          </cell>
          <cell r="F4408" t="str">
            <v>Sue Harp</v>
          </cell>
          <cell r="G4408" t="str">
            <v>Townlands Church of England Primary School</v>
          </cell>
          <cell r="H4408" t="str">
            <v>East Midlands</v>
          </cell>
          <cell r="I4408" t="str">
            <v>Meadow Court Road</v>
          </cell>
          <cell r="J4408" t="str">
            <v>Earl Shilton</v>
          </cell>
          <cell r="L4408" t="str">
            <v>Leicester</v>
          </cell>
          <cell r="M4408" t="str">
            <v>Leicestershire</v>
          </cell>
          <cell r="N4408" t="str">
            <v>LE9 7FF</v>
          </cell>
        </row>
        <row r="4409">
          <cell r="A4409">
            <v>8467004</v>
          </cell>
          <cell r="B4409">
            <v>114678</v>
          </cell>
          <cell r="C4409">
            <v>846</v>
          </cell>
          <cell r="D4409" t="str">
            <v>Brighton and Hove</v>
          </cell>
          <cell r="E4409">
            <v>7004</v>
          </cell>
          <cell r="F4409" t="str">
            <v>Sarah Mitchell</v>
          </cell>
          <cell r="G4409" t="str">
            <v>The Alternative Centre for Education</v>
          </cell>
          <cell r="H4409" t="str">
            <v>South East</v>
          </cell>
          <cell r="I4409" t="str">
            <v>Queensdown School Road</v>
          </cell>
          <cell r="J4409" t="str">
            <v>Off Lewes Road</v>
          </cell>
          <cell r="L4409" t="str">
            <v>Brighton</v>
          </cell>
          <cell r="M4409" t="str">
            <v>East Sussex</v>
          </cell>
          <cell r="N4409" t="str">
            <v>BN1 7LA</v>
          </cell>
          <cell r="O4409" t="str">
            <v>mark.whitby@ace.brighton-hove.sch.uk</v>
          </cell>
        </row>
        <row r="4410">
          <cell r="A4410">
            <v>3145401</v>
          </cell>
          <cell r="B4410">
            <v>102606</v>
          </cell>
          <cell r="C4410">
            <v>314</v>
          </cell>
          <cell r="D4410" t="str">
            <v>Kingston upon Thames</v>
          </cell>
          <cell r="E4410">
            <v>5401</v>
          </cell>
          <cell r="F4410" t="str">
            <v>Tahir Shams</v>
          </cell>
          <cell r="G4410" t="str">
            <v>Richard Challoner School</v>
          </cell>
          <cell r="H4410" t="str">
            <v>London</v>
          </cell>
          <cell r="I4410" t="str">
            <v>Manor Drive North</v>
          </cell>
          <cell r="L4410" t="str">
            <v>New Malden</v>
          </cell>
          <cell r="M4410" t="str">
            <v>Surrey</v>
          </cell>
          <cell r="N4410" t="str">
            <v>KT3 5PE</v>
          </cell>
          <cell r="O4410" t="str">
            <v>tom.cahill@challoner.kingston.sch.uk</v>
          </cell>
          <cell r="P4410">
            <v>40641</v>
          </cell>
        </row>
        <row r="4411">
          <cell r="A4411">
            <v>8712255</v>
          </cell>
          <cell r="B4411">
            <v>130372</v>
          </cell>
          <cell r="C4411">
            <v>871</v>
          </cell>
          <cell r="D4411" t="str">
            <v>Slough</v>
          </cell>
          <cell r="E4411">
            <v>2255</v>
          </cell>
          <cell r="F4411" t="str">
            <v>Tony Dunne</v>
          </cell>
          <cell r="G4411" t="str">
            <v>Penn Wood Primary and Nursery School</v>
          </cell>
          <cell r="H4411" t="str">
            <v>South East</v>
          </cell>
          <cell r="I4411" t="str">
            <v>Penn Road</v>
          </cell>
          <cell r="L4411" t="str">
            <v>Slough</v>
          </cell>
          <cell r="M4411" t="str">
            <v>Berkshire</v>
          </cell>
          <cell r="N4411" t="str">
            <v>SL2 1PH</v>
          </cell>
          <cell r="O4411" t="str">
            <v>jane_girle@pennwood.slough.sch.uk</v>
          </cell>
          <cell r="P4411">
            <v>40885</v>
          </cell>
        </row>
        <row r="4412">
          <cell r="A4412">
            <v>9163063</v>
          </cell>
          <cell r="B4412">
            <v>115645</v>
          </cell>
          <cell r="C4412">
            <v>916</v>
          </cell>
          <cell r="D4412" t="str">
            <v>Gloucestershire</v>
          </cell>
          <cell r="E4412">
            <v>3063</v>
          </cell>
          <cell r="F4412" t="str">
            <v>Not yet assigned</v>
          </cell>
          <cell r="G4412" t="str">
            <v>Randwick Church of England Primary School</v>
          </cell>
          <cell r="H4412" t="str">
            <v>South West</v>
          </cell>
          <cell r="I4412" t="str">
            <v>The Lane</v>
          </cell>
          <cell r="J4412" t="str">
            <v>Randwick</v>
          </cell>
          <cell r="L4412" t="str">
            <v>Stroud</v>
          </cell>
          <cell r="M4412" t="str">
            <v>Gloucestershire</v>
          </cell>
          <cell r="N4412" t="str">
            <v>GL6 6HL</v>
          </cell>
          <cell r="O4412" t="str">
            <v>head@randwick.gloucs.sch.uk</v>
          </cell>
        </row>
        <row r="4413">
          <cell r="A4413">
            <v>8604181</v>
          </cell>
          <cell r="B4413">
            <v>124445</v>
          </cell>
          <cell r="C4413">
            <v>860</v>
          </cell>
          <cell r="D4413" t="str">
            <v>Staffordshire</v>
          </cell>
          <cell r="E4413">
            <v>4181</v>
          </cell>
          <cell r="F4413" t="str">
            <v>Stephen Bagnall</v>
          </cell>
          <cell r="G4413" t="str">
            <v>King Edward VI High School</v>
          </cell>
          <cell r="H4413" t="str">
            <v>West Midlands</v>
          </cell>
          <cell r="I4413" t="str">
            <v>Westway</v>
          </cell>
          <cell r="L4413" t="str">
            <v>Stafford</v>
          </cell>
          <cell r="M4413" t="str">
            <v>Staffordshire</v>
          </cell>
          <cell r="N4413" t="str">
            <v>ST17 9YJ</v>
          </cell>
          <cell r="O4413" t="str">
            <v>davis.r@kevi.org.uk</v>
          </cell>
        </row>
        <row r="4414">
          <cell r="A4414">
            <v>9294401</v>
          </cell>
          <cell r="B4414">
            <v>122353</v>
          </cell>
          <cell r="C4414">
            <v>929</v>
          </cell>
          <cell r="D4414" t="str">
            <v>Northumberland</v>
          </cell>
          <cell r="E4414">
            <v>4401</v>
          </cell>
          <cell r="F4414" t="str">
            <v>Alan Large</v>
          </cell>
          <cell r="G4414" t="str">
            <v>Alnwick the Dukes Middle School</v>
          </cell>
          <cell r="H4414" t="str">
            <v>North East</v>
          </cell>
          <cell r="I4414" t="str">
            <v>Hope House Lane</v>
          </cell>
          <cell r="L4414" t="str">
            <v>Alnwick</v>
          </cell>
          <cell r="M4414" t="str">
            <v>Northumberland</v>
          </cell>
          <cell r="N4414" t="str">
            <v>NE66 1UN</v>
          </cell>
          <cell r="P4414">
            <v>40648</v>
          </cell>
        </row>
        <row r="4415">
          <cell r="A4415">
            <v>8865406</v>
          </cell>
          <cell r="B4415">
            <v>118878</v>
          </cell>
          <cell r="C4415">
            <v>886</v>
          </cell>
          <cell r="D4415" t="str">
            <v>Kent</v>
          </cell>
          <cell r="E4415">
            <v>5406</v>
          </cell>
          <cell r="F4415" t="str">
            <v>Sarah Mitchell</v>
          </cell>
          <cell r="G4415" t="str">
            <v>Dartford Grammar School</v>
          </cell>
          <cell r="H4415" t="str">
            <v>South East</v>
          </cell>
          <cell r="I4415" t="str">
            <v>West Hill</v>
          </cell>
          <cell r="L4415" t="str">
            <v>Dartford</v>
          </cell>
          <cell r="M4415" t="str">
            <v>Kent</v>
          </cell>
          <cell r="N4415" t="str">
            <v>DA1 2HW</v>
          </cell>
          <cell r="O4415" t="str">
            <v>head@dartfordgrammar.kent.sch.uk</v>
          </cell>
          <cell r="P4415">
            <v>40357</v>
          </cell>
        </row>
        <row r="4416">
          <cell r="A4416">
            <v>8737092</v>
          </cell>
          <cell r="B4416">
            <v>135695</v>
          </cell>
          <cell r="C4416">
            <v>873</v>
          </cell>
          <cell r="D4416" t="str">
            <v>Cambridgeshire</v>
          </cell>
          <cell r="E4416">
            <v>7092</v>
          </cell>
          <cell r="F4416" t="str">
            <v>Tony Bretherick</v>
          </cell>
          <cell r="G4416" t="str">
            <v>The Centre School</v>
          </cell>
          <cell r="H4416" t="str">
            <v>East of England</v>
          </cell>
          <cell r="I4416" t="str">
            <v>High Street</v>
          </cell>
          <cell r="J4416" t="str">
            <v>Cottenham</v>
          </cell>
          <cell r="L4416" t="str">
            <v>Cambridge</v>
          </cell>
          <cell r="M4416" t="str">
            <v>Cambridgeshire</v>
          </cell>
          <cell r="N4416" t="str">
            <v>CB24 8UA</v>
          </cell>
          <cell r="O4416" t="str">
            <v>tcooper@cvcweb.net</v>
          </cell>
          <cell r="P4416">
            <v>40660</v>
          </cell>
        </row>
        <row r="4417">
          <cell r="A4417">
            <v>8914635</v>
          </cell>
          <cell r="B4417">
            <v>122897</v>
          </cell>
          <cell r="C4417">
            <v>891</v>
          </cell>
          <cell r="D4417" t="str">
            <v>Nottinghamshire</v>
          </cell>
          <cell r="E4417">
            <v>4635</v>
          </cell>
          <cell r="F4417" t="str">
            <v>Louise Green</v>
          </cell>
          <cell r="G4417" t="str">
            <v>The National School</v>
          </cell>
          <cell r="H4417" t="str">
            <v>East Midlands</v>
          </cell>
          <cell r="I4417" t="str">
            <v>Annesley Road</v>
          </cell>
          <cell r="J4417" t="str">
            <v>Hucknall</v>
          </cell>
          <cell r="L4417" t="str">
            <v>Nottingham</v>
          </cell>
          <cell r="M4417" t="str">
            <v>Nottinghamshire</v>
          </cell>
          <cell r="N4417" t="str">
            <v>NG15 7DB</v>
          </cell>
          <cell r="O4417" t="str">
            <v>jedwards@nationalce-tc.notts.sch.uk</v>
          </cell>
        </row>
        <row r="4418">
          <cell r="A4418">
            <v>8082014</v>
          </cell>
          <cell r="B4418">
            <v>133652</v>
          </cell>
          <cell r="C4418">
            <v>808</v>
          </cell>
          <cell r="D4418" t="str">
            <v>Stockton-on-Tees</v>
          </cell>
          <cell r="E4418">
            <v>2014</v>
          </cell>
          <cell r="F4418" t="str">
            <v>Pat Murison</v>
          </cell>
          <cell r="G4418" t="str">
            <v>St Gregory's Catholic Primary School</v>
          </cell>
          <cell r="H4418" t="str">
            <v>North East</v>
          </cell>
          <cell r="I4418" t="str">
            <v>Ragpath Lane</v>
          </cell>
          <cell r="L4418" t="str">
            <v>Stockton-on-Tees</v>
          </cell>
          <cell r="N4418" t="str">
            <v>TS19 9AD</v>
          </cell>
          <cell r="O4418" t="str">
            <v>peter.mackie@stockton.gov.uk</v>
          </cell>
          <cell r="P4418">
            <v>41220</v>
          </cell>
        </row>
        <row r="4419">
          <cell r="A4419">
            <v>9092026</v>
          </cell>
          <cell r="B4419">
            <v>112109</v>
          </cell>
          <cell r="C4419">
            <v>909</v>
          </cell>
          <cell r="D4419" t="str">
            <v>Cumbria</v>
          </cell>
          <cell r="E4419">
            <v>2026</v>
          </cell>
          <cell r="F4419" t="str">
            <v>Linda Tiley</v>
          </cell>
          <cell r="G4419" t="str">
            <v>Great Corby Primary School</v>
          </cell>
          <cell r="H4419" t="str">
            <v>North West</v>
          </cell>
          <cell r="I4419" t="str">
            <v>Great Corby</v>
          </cell>
          <cell r="L4419" t="str">
            <v>Carlisle</v>
          </cell>
          <cell r="M4419" t="str">
            <v>Cumbria</v>
          </cell>
          <cell r="N4419" t="str">
            <v>CA4 8NE</v>
          </cell>
          <cell r="O4419" t="str">
            <v xml:space="preserve"> admin@gtcorby.cumbria.sch.uk</v>
          </cell>
          <cell r="P4419">
            <v>40674</v>
          </cell>
        </row>
        <row r="4420">
          <cell r="A4420">
            <v>3114011</v>
          </cell>
          <cell r="B4420">
            <v>102342</v>
          </cell>
          <cell r="C4420">
            <v>311</v>
          </cell>
          <cell r="D4420" t="str">
            <v>Havering</v>
          </cell>
          <cell r="E4420">
            <v>4011</v>
          </cell>
          <cell r="F4420" t="str">
            <v>Helen Fisher</v>
          </cell>
          <cell r="G4420" t="str">
            <v>The Chafford School A Specialist Business &amp; Enterprise College</v>
          </cell>
          <cell r="H4420" t="str">
            <v>London</v>
          </cell>
          <cell r="I4420" t="str">
            <v>Lambs Lane South</v>
          </cell>
          <cell r="L4420" t="str">
            <v>Rainham</v>
          </cell>
          <cell r="M4420" t="str">
            <v>Essex</v>
          </cell>
          <cell r="N4420" t="str">
            <v>RM13 9XD</v>
          </cell>
          <cell r="O4420" t="str">
            <v>phawkins.thechafford.havering@sch.uk</v>
          </cell>
        </row>
        <row r="4421">
          <cell r="A4421">
            <v>9314142</v>
          </cell>
          <cell r="B4421">
            <v>123263</v>
          </cell>
          <cell r="C4421">
            <v>931</v>
          </cell>
          <cell r="D4421" t="str">
            <v>Oxfordshire</v>
          </cell>
          <cell r="E4421">
            <v>4142</v>
          </cell>
          <cell r="F4421" t="str">
            <v>Bukky Sawyerr</v>
          </cell>
          <cell r="G4421" t="str">
            <v xml:space="preserve">King Alfred's. A Specialist Sports College </v>
          </cell>
          <cell r="H4421" t="str">
            <v>South East</v>
          </cell>
          <cell r="I4421" t="str">
            <v>Portway</v>
          </cell>
          <cell r="L4421" t="str">
            <v>Wantage</v>
          </cell>
          <cell r="M4421" t="str">
            <v>Oxfordshire</v>
          </cell>
          <cell r="N4421" t="str">
            <v>OX12 9BY</v>
          </cell>
          <cell r="O4421" t="str">
            <v>s.a.spiers@kingalfreds.oxon.sch.uk</v>
          </cell>
          <cell r="P4421">
            <v>40588</v>
          </cell>
        </row>
        <row r="4422">
          <cell r="A4422">
            <v>8557216</v>
          </cell>
          <cell r="B4422">
            <v>132154</v>
          </cell>
          <cell r="C4422">
            <v>855</v>
          </cell>
          <cell r="D4422" t="str">
            <v>Leicestershire</v>
          </cell>
          <cell r="E4422">
            <v>7216</v>
          </cell>
          <cell r="F4422" t="str">
            <v>Helen Whetter</v>
          </cell>
          <cell r="G4422" t="str">
            <v>Dorothy Goodman School</v>
          </cell>
          <cell r="H4422" t="str">
            <v>East Midlands</v>
          </cell>
          <cell r="I4422" t="str">
            <v>Stoke Road</v>
          </cell>
          <cell r="L4422" t="str">
            <v>Hinckley</v>
          </cell>
          <cell r="M4422" t="str">
            <v>Leicestershire</v>
          </cell>
          <cell r="N4422" t="str">
            <v>LE10 0EA</v>
          </cell>
          <cell r="O4422" t="str">
            <v xml:space="preserve">info@dorothygoodman.leics.sch.uk </v>
          </cell>
          <cell r="P4422">
            <v>40833</v>
          </cell>
        </row>
        <row r="4423">
          <cell r="A4423">
            <v>3184010</v>
          </cell>
          <cell r="B4423">
            <v>102923</v>
          </cell>
          <cell r="C4423">
            <v>318</v>
          </cell>
          <cell r="D4423" t="str">
            <v>Richmond upon Thames</v>
          </cell>
          <cell r="E4423">
            <v>4010</v>
          </cell>
          <cell r="F4423" t="str">
            <v>Anita Bihal</v>
          </cell>
          <cell r="G4423" t="str">
            <v>Orleans Park School</v>
          </cell>
          <cell r="H4423" t="str">
            <v>London</v>
          </cell>
          <cell r="I4423" t="str">
            <v>Richmond Road</v>
          </cell>
          <cell r="L4423" t="str">
            <v>Twickenham</v>
          </cell>
          <cell r="N4423" t="str">
            <v>TW1 3BB</v>
          </cell>
          <cell r="O4423" t="str">
            <v>jlonghurst@orleanspark.richmond.sch.uk</v>
          </cell>
          <cell r="P4423">
            <v>40893</v>
          </cell>
        </row>
        <row r="4424">
          <cell r="A4424">
            <v>3942340</v>
          </cell>
          <cell r="B4424">
            <v>133558</v>
          </cell>
          <cell r="C4424">
            <v>394</v>
          </cell>
          <cell r="D4424" t="str">
            <v>Sunderland</v>
          </cell>
          <cell r="E4424">
            <v>2340</v>
          </cell>
          <cell r="F4424" t="str">
            <v>Glyn Newton</v>
          </cell>
          <cell r="G4424" t="str">
            <v>Dubmire Primary</v>
          </cell>
          <cell r="H4424" t="str">
            <v>North East</v>
          </cell>
          <cell r="I4424" t="str">
            <v>Britannia Terrace</v>
          </cell>
          <cell r="J4424" t="str">
            <v>Fence Houses</v>
          </cell>
          <cell r="L4424" t="str">
            <v>Houghton le Spring</v>
          </cell>
          <cell r="M4424" t="str">
            <v>Tyne and Wear</v>
          </cell>
          <cell r="N4424" t="str">
            <v>DH4 6HL</v>
          </cell>
        </row>
        <row r="4425">
          <cell r="A4425">
            <v>8815453</v>
          </cell>
          <cell r="B4425">
            <v>115369</v>
          </cell>
          <cell r="C4425">
            <v>881</v>
          </cell>
          <cell r="D4425" t="str">
            <v>Essex</v>
          </cell>
          <cell r="E4425">
            <v>5453</v>
          </cell>
          <cell r="F4425" t="str">
            <v>Claire Ivie</v>
          </cell>
          <cell r="G4425" t="str">
            <v>The Harwich School</v>
          </cell>
          <cell r="H4425" t="str">
            <v>East of England</v>
          </cell>
          <cell r="I4425" t="str">
            <v>Hall Lane</v>
          </cell>
          <cell r="J4425" t="str">
            <v>Dovercourt</v>
          </cell>
          <cell r="L4425" t="str">
            <v>Harwich</v>
          </cell>
          <cell r="M4425" t="str">
            <v>Essex</v>
          </cell>
          <cell r="N4425" t="str">
            <v>CO12 3TG</v>
          </cell>
          <cell r="O4425" t="str">
            <v>nmountford@harwich.essex.sch.uk</v>
          </cell>
          <cell r="P4425">
            <v>40864</v>
          </cell>
        </row>
        <row r="4426">
          <cell r="A4426">
            <v>8784004</v>
          </cell>
          <cell r="B4426">
            <v>113499</v>
          </cell>
          <cell r="C4426">
            <v>878</v>
          </cell>
          <cell r="D4426" t="str">
            <v>Devon</v>
          </cell>
          <cell r="E4426">
            <v>4004</v>
          </cell>
          <cell r="F4426" t="str">
            <v>Susan Phillips</v>
          </cell>
          <cell r="G4426" t="str">
            <v>Honiton Community College</v>
          </cell>
          <cell r="H4426" t="str">
            <v>South West</v>
          </cell>
          <cell r="I4426" t="str">
            <v>School Lane</v>
          </cell>
          <cell r="L4426" t="str">
            <v>Honiton</v>
          </cell>
          <cell r="M4426" t="str">
            <v>Devon</v>
          </cell>
          <cell r="N4426" t="str">
            <v>EX14 1QT</v>
          </cell>
          <cell r="O4426" t="str">
            <v>aholt@honitoncollege.devon.sch.uk</v>
          </cell>
          <cell r="P4426">
            <v>40617</v>
          </cell>
        </row>
        <row r="4427">
          <cell r="A4427">
            <v>8664086</v>
          </cell>
          <cell r="B4427">
            <v>126467</v>
          </cell>
          <cell r="C4427">
            <v>866</v>
          </cell>
          <cell r="D4427" t="str">
            <v>Swindon</v>
          </cell>
          <cell r="E4427">
            <v>4086</v>
          </cell>
          <cell r="F4427" t="str">
            <v>Kate Bosher</v>
          </cell>
          <cell r="G4427" t="str">
            <v>Greendown Community School</v>
          </cell>
          <cell r="H4427" t="str">
            <v>South West</v>
          </cell>
          <cell r="I4427" t="str">
            <v>Grange Park Way</v>
          </cell>
          <cell r="J4427" t="str">
            <v>Grange Park</v>
          </cell>
          <cell r="L4427" t="str">
            <v>Swindon</v>
          </cell>
          <cell r="M4427" t="str">
            <v>Wiltshire</v>
          </cell>
          <cell r="N4427" t="str">
            <v>SN5 6HN</v>
          </cell>
          <cell r="O4427" t="str">
            <v>head@greendown.swindon.sch.uk</v>
          </cell>
          <cell r="P4427">
            <v>40585</v>
          </cell>
        </row>
        <row r="4428">
          <cell r="A4428">
            <v>3065406</v>
          </cell>
          <cell r="B4428">
            <v>101824</v>
          </cell>
          <cell r="C4428">
            <v>306</v>
          </cell>
          <cell r="D4428" t="str">
            <v>Croydon</v>
          </cell>
          <cell r="E4428">
            <v>5406</v>
          </cell>
          <cell r="F4428" t="str">
            <v>Bola Bakrin</v>
          </cell>
          <cell r="G4428" t="str">
            <v>Norbury Manor Business and Enterprise College for Girls</v>
          </cell>
          <cell r="H4428" t="str">
            <v>London</v>
          </cell>
          <cell r="I4428" t="str">
            <v>Kensington Avenue</v>
          </cell>
          <cell r="L4428" t="str">
            <v>Thornton Heath</v>
          </cell>
          <cell r="M4428" t="str">
            <v>Surrey</v>
          </cell>
          <cell r="N4428" t="str">
            <v>CR7 8BT</v>
          </cell>
          <cell r="O4428" t="str">
            <v>headteacher@nmbec.org.uk</v>
          </cell>
          <cell r="P4428">
            <v>40613</v>
          </cell>
        </row>
        <row r="4429">
          <cell r="A4429">
            <v>8412740</v>
          </cell>
          <cell r="B4429">
            <v>114204</v>
          </cell>
          <cell r="C4429">
            <v>841</v>
          </cell>
          <cell r="D4429" t="str">
            <v>Darlington</v>
          </cell>
          <cell r="E4429">
            <v>2740</v>
          </cell>
          <cell r="F4429" t="str">
            <v>Alan Large</v>
          </cell>
          <cell r="G4429" t="str">
            <v>Heathfield Primary School</v>
          </cell>
          <cell r="H4429" t="str">
            <v>North East</v>
          </cell>
          <cell r="I4429" t="str">
            <v>The Broadway</v>
          </cell>
          <cell r="L4429" t="str">
            <v>Darlington</v>
          </cell>
          <cell r="M4429" t="str">
            <v>County Durham</v>
          </cell>
          <cell r="N4429" t="str">
            <v>DL1 1EJ</v>
          </cell>
          <cell r="O4429" t="str">
            <v>NBlackburn@heathfieldprimary.com</v>
          </cell>
          <cell r="P4429">
            <v>40921</v>
          </cell>
        </row>
        <row r="4430">
          <cell r="A4430">
            <v>8214104</v>
          </cell>
          <cell r="B4430">
            <v>109683</v>
          </cell>
          <cell r="C4430">
            <v>821</v>
          </cell>
          <cell r="D4430" t="str">
            <v>Luton</v>
          </cell>
          <cell r="E4430">
            <v>4104</v>
          </cell>
          <cell r="F4430" t="str">
            <v>Sean Cox</v>
          </cell>
          <cell r="G4430" t="str">
            <v>Denbigh High School</v>
          </cell>
          <cell r="H4430" t="str">
            <v>East of England</v>
          </cell>
          <cell r="I4430" t="str">
            <v>Alexandra Avenue</v>
          </cell>
          <cell r="L4430" t="str">
            <v>Luton</v>
          </cell>
          <cell r="M4430" t="str">
            <v>Bedfordshire</v>
          </cell>
          <cell r="N4430" t="str">
            <v>LU3 1HE</v>
          </cell>
          <cell r="O4430" t="str">
            <v>denbigh.high.head@luton.gov.uk</v>
          </cell>
          <cell r="P4430">
            <v>40353</v>
          </cell>
        </row>
        <row r="4431">
          <cell r="A4431">
            <v>9194101</v>
          </cell>
          <cell r="B4431">
            <v>117529</v>
          </cell>
          <cell r="C4431">
            <v>919</v>
          </cell>
          <cell r="D4431" t="str">
            <v>Hertfordshire</v>
          </cell>
          <cell r="E4431">
            <v>4101</v>
          </cell>
          <cell r="F4431" t="str">
            <v>Bonnie Wang</v>
          </cell>
          <cell r="G4431" t="str">
            <v>The Broxbourne School</v>
          </cell>
          <cell r="H4431" t="str">
            <v>East of England</v>
          </cell>
          <cell r="I4431" t="str">
            <v>High Road</v>
          </cell>
          <cell r="L4431" t="str">
            <v>Broxbourne</v>
          </cell>
          <cell r="M4431" t="str">
            <v>Hertfordshire</v>
          </cell>
          <cell r="N4431" t="str">
            <v>EN10 7DD</v>
          </cell>
          <cell r="O4431" t="str">
            <v>head@broxbourne.herts.sch.uk</v>
          </cell>
          <cell r="P4431">
            <v>40344</v>
          </cell>
        </row>
        <row r="4432">
          <cell r="A4432">
            <v>8102039</v>
          </cell>
          <cell r="B4432">
            <v>117715</v>
          </cell>
          <cell r="C4432">
            <v>810</v>
          </cell>
          <cell r="D4432" t="str">
            <v>Kingston upon Hull City of</v>
          </cell>
          <cell r="E4432">
            <v>2039</v>
          </cell>
          <cell r="F4432" t="str">
            <v>Jayne Turner</v>
          </cell>
          <cell r="G4432" t="str">
            <v>Bellfield Primary School</v>
          </cell>
          <cell r="H4432" t="str">
            <v>Yorkshire and the Humber</v>
          </cell>
          <cell r="I4432" t="str">
            <v>Saxby Road</v>
          </cell>
          <cell r="J4432" t="str">
            <v>Bellfield Avenue</v>
          </cell>
          <cell r="L4432" t="str">
            <v>Hull</v>
          </cell>
          <cell r="N4432" t="str">
            <v>HU8 9DD</v>
          </cell>
          <cell r="O4432" t="str">
            <v>head@bellfield.hull.sch.uk</v>
          </cell>
        </row>
        <row r="4433">
          <cell r="A4433">
            <v>8665407</v>
          </cell>
          <cell r="B4433">
            <v>126502</v>
          </cell>
          <cell r="C4433">
            <v>866</v>
          </cell>
          <cell r="D4433" t="str">
            <v>Swindon</v>
          </cell>
          <cell r="E4433">
            <v>5407</v>
          </cell>
          <cell r="F4433" t="str">
            <v>Rosie Line</v>
          </cell>
          <cell r="G4433" t="str">
            <v>Kingsdown Secondary School</v>
          </cell>
          <cell r="H4433" t="str">
            <v>South West</v>
          </cell>
          <cell r="I4433" t="str">
            <v>Hyde Road</v>
          </cell>
          <cell r="J4433" t="str">
            <v>Stratton St Margaret</v>
          </cell>
          <cell r="L4433" t="str">
            <v>Swindon</v>
          </cell>
          <cell r="M4433" t="str">
            <v>Wiltshire</v>
          </cell>
          <cell r="N4433" t="str">
            <v>SN2 7SH</v>
          </cell>
          <cell r="O4433" t="str">
            <v>head@kingsdownschool.co.uk</v>
          </cell>
          <cell r="P4433">
            <v>40591</v>
          </cell>
        </row>
        <row r="4434">
          <cell r="A4434">
            <v>8553024</v>
          </cell>
          <cell r="B4434">
            <v>120124</v>
          </cell>
          <cell r="C4434">
            <v>855</v>
          </cell>
          <cell r="D4434" t="str">
            <v>Leicestershire</v>
          </cell>
          <cell r="E4434">
            <v>3024</v>
          </cell>
          <cell r="F4434" t="str">
            <v>Sue Harp</v>
          </cell>
          <cell r="G4434" t="str">
            <v>Cossington Church of England Primary School</v>
          </cell>
          <cell r="H4434" t="str">
            <v>East Midlands</v>
          </cell>
          <cell r="I4434" t="str">
            <v>Main Street</v>
          </cell>
          <cell r="J4434" t="str">
            <v>Cossington</v>
          </cell>
          <cell r="L4434" t="str">
            <v>Leicester</v>
          </cell>
          <cell r="M4434" t="str">
            <v>Leicestershire</v>
          </cell>
          <cell r="N4434" t="str">
            <v>LE7 4UU</v>
          </cell>
          <cell r="O4434" t="str">
            <v>head@cossington.leics.sch.uk</v>
          </cell>
        </row>
        <row r="4435">
          <cell r="A4435">
            <v>8952340</v>
          </cell>
          <cell r="B4435">
            <v>111153</v>
          </cell>
          <cell r="C4435">
            <v>895</v>
          </cell>
          <cell r="D4435" t="str">
            <v>Cheshire East</v>
          </cell>
          <cell r="E4435">
            <v>2340</v>
          </cell>
          <cell r="F4435" t="str">
            <v>Jane McCusker</v>
          </cell>
          <cell r="G4435" t="str">
            <v>Whirley Primary School</v>
          </cell>
          <cell r="H4435" t="str">
            <v>North West</v>
          </cell>
          <cell r="I4435" t="str">
            <v>Whirley Road</v>
          </cell>
          <cell r="J4435" t="str">
            <v>Broken Cross</v>
          </cell>
          <cell r="L4435" t="str">
            <v>Macclesfield</v>
          </cell>
          <cell r="M4435" t="str">
            <v>Cheshire</v>
          </cell>
          <cell r="N4435" t="str">
            <v>SK10 3JL</v>
          </cell>
          <cell r="O4435" t="str">
            <v>head@whirley.cheshire.sch.uk</v>
          </cell>
        </row>
        <row r="4436">
          <cell r="A4436">
            <v>9197007</v>
          </cell>
          <cell r="B4436">
            <v>117666</v>
          </cell>
          <cell r="C4436">
            <v>919</v>
          </cell>
          <cell r="D4436" t="str">
            <v>Hertfordshire</v>
          </cell>
          <cell r="E4436">
            <v>7007</v>
          </cell>
          <cell r="F4436" t="str">
            <v>Michael Cook</v>
          </cell>
          <cell r="G4436" t="str">
            <v>Knightsfield School</v>
          </cell>
          <cell r="H4436" t="str">
            <v>East of England</v>
          </cell>
          <cell r="I4436" t="str">
            <v>Knightsfield</v>
          </cell>
          <cell r="L4436" t="str">
            <v>Welwyn Garden City</v>
          </cell>
          <cell r="M4436" t="str">
            <v>Hertfordshire</v>
          </cell>
          <cell r="N4436" t="str">
            <v>AL8 7LW</v>
          </cell>
          <cell r="O4436" t="str">
            <v>lleith@knightsfield.herts.sch.uk</v>
          </cell>
          <cell r="P4436">
            <v>40989</v>
          </cell>
        </row>
        <row r="4437">
          <cell r="A4437">
            <v>9255203</v>
          </cell>
          <cell r="B4437">
            <v>120670</v>
          </cell>
          <cell r="C4437">
            <v>925</v>
          </cell>
          <cell r="D4437" t="str">
            <v>Lincolnshire</v>
          </cell>
          <cell r="E4437">
            <v>5203</v>
          </cell>
          <cell r="F4437" t="str">
            <v>Grant Dyson</v>
          </cell>
          <cell r="G4437" t="str">
            <v>William Alvey School</v>
          </cell>
          <cell r="H4437" t="str">
            <v>East Midlands</v>
          </cell>
          <cell r="I4437" t="str">
            <v>Eastgate</v>
          </cell>
          <cell r="L4437" t="str">
            <v>Sleaford</v>
          </cell>
          <cell r="M4437" t="str">
            <v>Lincolnshire</v>
          </cell>
          <cell r="N4437" t="str">
            <v>NG34 7EA</v>
          </cell>
          <cell r="O4437" t="str">
            <v>admin@william-alvey.lincs.sch.uk</v>
          </cell>
          <cell r="P4437">
            <v>40676</v>
          </cell>
        </row>
        <row r="4438">
          <cell r="A4438">
            <v>9194140</v>
          </cell>
          <cell r="B4438">
            <v>117539</v>
          </cell>
          <cell r="C4438">
            <v>919</v>
          </cell>
          <cell r="D4438" t="str">
            <v>Hertfordshire</v>
          </cell>
          <cell r="E4438">
            <v>4140</v>
          </cell>
          <cell r="F4438" t="str">
            <v>Beverley Samuel</v>
          </cell>
          <cell r="G4438" t="str">
            <v>Meridian School</v>
          </cell>
          <cell r="H4438" t="str">
            <v>East of England</v>
          </cell>
          <cell r="I4438" t="str">
            <v>Garden Walk</v>
          </cell>
          <cell r="L4438" t="str">
            <v>Royston</v>
          </cell>
          <cell r="M4438" t="str">
            <v>Hertfordshire</v>
          </cell>
          <cell r="N4438" t="str">
            <v>SG8 7JH</v>
          </cell>
          <cell r="O4438" t="str">
            <v>head@meridian.herts.sch.uk</v>
          </cell>
          <cell r="P4438">
            <v>40591</v>
          </cell>
        </row>
        <row r="4439">
          <cell r="A4439">
            <v>9354013</v>
          </cell>
          <cell r="B4439">
            <v>124792</v>
          </cell>
          <cell r="C4439">
            <v>935</v>
          </cell>
          <cell r="D4439" t="str">
            <v>Suffolk</v>
          </cell>
          <cell r="E4439">
            <v>4013</v>
          </cell>
          <cell r="F4439" t="str">
            <v>Joe Farrell</v>
          </cell>
          <cell r="G4439" t="str">
            <v>Stoke by Nayland Middle School</v>
          </cell>
          <cell r="H4439" t="str">
            <v>East of England</v>
          </cell>
          <cell r="I4439" t="str">
            <v>Sudbury Road</v>
          </cell>
          <cell r="J4439" t="str">
            <v>Stoke-by-Nayland</v>
          </cell>
          <cell r="L4439" t="str">
            <v>Colchester</v>
          </cell>
          <cell r="M4439" t="str">
            <v>Essex</v>
          </cell>
          <cell r="N4439" t="str">
            <v>CO6 4RW</v>
          </cell>
          <cell r="O4439" t="str">
            <v>dlivingstone@stokemiddle.co.uk</v>
          </cell>
        </row>
        <row r="4440">
          <cell r="A4440">
            <v>8934418</v>
          </cell>
          <cell r="B4440">
            <v>123579</v>
          </cell>
          <cell r="C4440">
            <v>893</v>
          </cell>
          <cell r="D4440" t="str">
            <v>Shropshire</v>
          </cell>
          <cell r="E4440">
            <v>4418</v>
          </cell>
          <cell r="F4440" t="str">
            <v>Julia Waterhouse</v>
          </cell>
          <cell r="G4440" t="str">
            <v>The Grange School</v>
          </cell>
          <cell r="H4440" t="str">
            <v>West Midlands</v>
          </cell>
          <cell r="I4440" t="str">
            <v>Worcester Road</v>
          </cell>
          <cell r="J4440" t="str">
            <v>Harlescott Grange</v>
          </cell>
          <cell r="L4440" t="str">
            <v>Shrewsbury</v>
          </cell>
          <cell r="M4440" t="str">
            <v>Shropshire</v>
          </cell>
          <cell r="N4440" t="str">
            <v>SY1 3LP</v>
          </cell>
        </row>
        <row r="4441">
          <cell r="A4441">
            <v>9262353</v>
          </cell>
          <cell r="B4441">
            <v>120980</v>
          </cell>
          <cell r="C4441">
            <v>926</v>
          </cell>
          <cell r="D4441" t="str">
            <v>Norfolk</v>
          </cell>
          <cell r="E4441">
            <v>2353</v>
          </cell>
          <cell r="F4441" t="str">
            <v>Aminat Alli</v>
          </cell>
          <cell r="G4441" t="str">
            <v>Cliff Park Infant School, Gorleston</v>
          </cell>
          <cell r="H4441" t="str">
            <v>East of England</v>
          </cell>
          <cell r="I4441" t="str">
            <v>Orde Avenue</v>
          </cell>
          <cell r="J4441" t="str">
            <v>Gorleston-on-Sea</v>
          </cell>
          <cell r="L4441" t="str">
            <v>Great Yarmouth</v>
          </cell>
          <cell r="M4441" t="str">
            <v>Norfolk</v>
          </cell>
          <cell r="N4441" t="str">
            <v>NR31 6SZ</v>
          </cell>
          <cell r="O4441" t="str">
            <v>head@cliffparkinfant.norfolk.sch.uk</v>
          </cell>
          <cell r="P4441">
            <v>41246</v>
          </cell>
        </row>
        <row r="4442">
          <cell r="A4442">
            <v>9165400</v>
          </cell>
          <cell r="B4442">
            <v>115751</v>
          </cell>
          <cell r="C4442">
            <v>916</v>
          </cell>
          <cell r="D4442" t="str">
            <v>Gloucestershire</v>
          </cell>
          <cell r="E4442">
            <v>5400</v>
          </cell>
          <cell r="F4442" t="str">
            <v>Kate Bosher</v>
          </cell>
          <cell r="G4442" t="str">
            <v>Ribston Hall High School</v>
          </cell>
          <cell r="H4442" t="str">
            <v>South West</v>
          </cell>
          <cell r="I4442" t="str">
            <v>Stroud Road</v>
          </cell>
          <cell r="L4442" t="str">
            <v>Gloucester</v>
          </cell>
          <cell r="M4442" t="str">
            <v>Gloucestershire</v>
          </cell>
          <cell r="N4442" t="str">
            <v>GL1 5LE</v>
          </cell>
          <cell r="O4442" t="str">
            <v>ac@ribstonhall.gloucs.sch.uk</v>
          </cell>
          <cell r="P4442">
            <v>40562</v>
          </cell>
        </row>
        <row r="4443">
          <cell r="A4443">
            <v>8783106</v>
          </cell>
          <cell r="B4443">
            <v>113393</v>
          </cell>
          <cell r="C4443">
            <v>878</v>
          </cell>
          <cell r="D4443" t="str">
            <v>Devon</v>
          </cell>
          <cell r="E4443">
            <v>3106</v>
          </cell>
          <cell r="F4443" t="str">
            <v>Lilian Da Cunha</v>
          </cell>
          <cell r="G4443" t="str">
            <v>Chudleigh Knighton Church of England Primary School</v>
          </cell>
          <cell r="H4443" t="str">
            <v>South West</v>
          </cell>
          <cell r="I4443" t="str">
            <v>Chudleigh Knighton</v>
          </cell>
          <cell r="L4443" t="str">
            <v>Newton Abbot</v>
          </cell>
          <cell r="M4443" t="str">
            <v>Devon</v>
          </cell>
          <cell r="N4443" t="str">
            <v>TQ13 0EU</v>
          </cell>
          <cell r="O4443" t="str">
            <v>paul.jones@firstfederation.org</v>
          </cell>
          <cell r="P4443">
            <v>40672</v>
          </cell>
        </row>
        <row r="4444">
          <cell r="A4444">
            <v>8074022</v>
          </cell>
          <cell r="B4444">
            <v>111729</v>
          </cell>
          <cell r="C4444">
            <v>807</v>
          </cell>
          <cell r="D4444" t="str">
            <v>Redcar and Cleveland</v>
          </cell>
          <cell r="E4444">
            <v>4022</v>
          </cell>
          <cell r="F4444" t="str">
            <v>Alan Large</v>
          </cell>
          <cell r="G4444" t="str">
            <v>Bydales School - A Specialist Technology College</v>
          </cell>
          <cell r="H4444" t="str">
            <v>North East</v>
          </cell>
          <cell r="I4444" t="str">
            <v>Coast Road</v>
          </cell>
          <cell r="J4444" t="str">
            <v>Marske-by-the-Sea</v>
          </cell>
          <cell r="L4444" t="str">
            <v>Redcar</v>
          </cell>
          <cell r="M4444" t="str">
            <v>North Yorkshire</v>
          </cell>
          <cell r="N4444" t="str">
            <v>TS11 6AR</v>
          </cell>
          <cell r="P4444">
            <v>40998</v>
          </cell>
        </row>
        <row r="4445">
          <cell r="A4445">
            <v>8932077</v>
          </cell>
          <cell r="B4445">
            <v>123387</v>
          </cell>
          <cell r="C4445">
            <v>893</v>
          </cell>
          <cell r="D4445" t="str">
            <v>Shropshire</v>
          </cell>
          <cell r="E4445">
            <v>2077</v>
          </cell>
          <cell r="F4445" t="str">
            <v>Carol Ions</v>
          </cell>
          <cell r="G4445" t="str">
            <v>Woodside Primary School</v>
          </cell>
          <cell r="H4445" t="str">
            <v>West Midlands</v>
          </cell>
          <cell r="I4445" t="str">
            <v>Gittin Street</v>
          </cell>
          <cell r="L4445" t="str">
            <v>Oswestry</v>
          </cell>
          <cell r="M4445" t="str">
            <v>Shropshire</v>
          </cell>
          <cell r="N4445" t="str">
            <v>SY11 1DT</v>
          </cell>
          <cell r="O4445" t="str">
            <v>mcdevitt.r@shropshirelg.net</v>
          </cell>
          <cell r="P4445">
            <v>41002</v>
          </cell>
        </row>
        <row r="4446">
          <cell r="A4446">
            <v>8854436</v>
          </cell>
          <cell r="B4446">
            <v>132818</v>
          </cell>
          <cell r="C4446">
            <v>885</v>
          </cell>
          <cell r="D4446" t="str">
            <v>Worcestershire</v>
          </cell>
          <cell r="E4446">
            <v>4436</v>
          </cell>
          <cell r="F4446" t="str">
            <v>Sally Gardiner</v>
          </cell>
          <cell r="G4446" t="str">
            <v>Woodfield Middle School</v>
          </cell>
          <cell r="H4446" t="str">
            <v>West Midlands</v>
          </cell>
          <cell r="I4446" t="str">
            <v>Studley Road</v>
          </cell>
          <cell r="L4446" t="str">
            <v>Redditch</v>
          </cell>
          <cell r="M4446" t="str">
            <v>Worcestershire</v>
          </cell>
          <cell r="N4446" t="str">
            <v>B98 7HH</v>
          </cell>
          <cell r="O4446" t="str">
            <v>jb440@woodfield.worcs.sch.uk/jbeardmore1@gmail.com</v>
          </cell>
          <cell r="P4446">
            <v>40942</v>
          </cell>
        </row>
        <row r="4447">
          <cell r="A4447">
            <v>3815402</v>
          </cell>
          <cell r="B4447">
            <v>107576</v>
          </cell>
          <cell r="C4447">
            <v>381</v>
          </cell>
          <cell r="D4447" t="str">
            <v>Calderdale</v>
          </cell>
          <cell r="E4447">
            <v>5402</v>
          </cell>
          <cell r="F4447" t="str">
            <v>John Edmunds</v>
          </cell>
          <cell r="G4447" t="str">
            <v>Rastrick High School</v>
          </cell>
          <cell r="H4447" t="str">
            <v>Yorkshire and the Humber</v>
          </cell>
          <cell r="I4447" t="str">
            <v>Field Top Road</v>
          </cell>
          <cell r="J4447" t="str">
            <v>Rastrick</v>
          </cell>
          <cell r="L4447" t="str">
            <v>Brighouse</v>
          </cell>
          <cell r="M4447" t="str">
            <v>West Yorkshire</v>
          </cell>
          <cell r="N4447" t="str">
            <v>HD6 3XB</v>
          </cell>
          <cell r="O4447" t="str">
            <v>helen.lennie@rastrick.calderdale.sch.uk</v>
          </cell>
          <cell r="P4447">
            <v>40710</v>
          </cell>
        </row>
        <row r="4448">
          <cell r="A4448">
            <v>9095211</v>
          </cell>
          <cell r="B4448">
            <v>112413</v>
          </cell>
          <cell r="C4448">
            <v>909</v>
          </cell>
          <cell r="D4448" t="str">
            <v>Cumbria</v>
          </cell>
          <cell r="E4448">
            <v>5211</v>
          </cell>
          <cell r="F4448" t="str">
            <v>Linda Tiley</v>
          </cell>
          <cell r="G4448" t="str">
            <v>Dearham Primary School</v>
          </cell>
          <cell r="H4448" t="str">
            <v>North West</v>
          </cell>
          <cell r="I4448" t="str">
            <v>Dearham</v>
          </cell>
          <cell r="L4448" t="str">
            <v>Maryport</v>
          </cell>
          <cell r="M4448" t="str">
            <v>Cumbria</v>
          </cell>
          <cell r="N4448" t="str">
            <v>CA15 7HR</v>
          </cell>
          <cell r="O4448" t="str">
            <v>head@dearham.cumbria.sch.uk</v>
          </cell>
          <cell r="P4448">
            <v>40746</v>
          </cell>
        </row>
        <row r="4449">
          <cell r="A4449">
            <v>8962307</v>
          </cell>
          <cell r="B4449">
            <v>111130</v>
          </cell>
          <cell r="C4449">
            <v>896</v>
          </cell>
          <cell r="D4449" t="str">
            <v>Cheshire West and Chester</v>
          </cell>
          <cell r="E4449">
            <v>2307</v>
          </cell>
          <cell r="F4449" t="str">
            <v>Maria Sabberton</v>
          </cell>
          <cell r="G4449" t="str">
            <v>Over Hall Community School</v>
          </cell>
          <cell r="H4449" t="str">
            <v>North West</v>
          </cell>
          <cell r="I4449" t="str">
            <v>Ludlow Close</v>
          </cell>
          <cell r="L4449" t="str">
            <v>Winsford</v>
          </cell>
          <cell r="M4449" t="str">
            <v>Cheshire</v>
          </cell>
          <cell r="N4449" t="str">
            <v>CW7 1LX</v>
          </cell>
          <cell r="O4449" t="str">
            <v>head@overhall.cheshire.sch.uk</v>
          </cell>
        </row>
        <row r="4450">
          <cell r="A4450">
            <v>8884689</v>
          </cell>
          <cell r="B4450">
            <v>119796</v>
          </cell>
          <cell r="C4450">
            <v>888</v>
          </cell>
          <cell r="D4450" t="str">
            <v>Lancashire</v>
          </cell>
          <cell r="E4450">
            <v>4689</v>
          </cell>
          <cell r="F4450" t="str">
            <v>Viv Clutton</v>
          </cell>
          <cell r="G4450" t="str">
            <v>Ripley St Thomas Church of England High School</v>
          </cell>
          <cell r="H4450" t="str">
            <v>North West</v>
          </cell>
          <cell r="I4450" t="str">
            <v>Ashton Road</v>
          </cell>
          <cell r="L4450" t="str">
            <v>Lancaster</v>
          </cell>
          <cell r="M4450" t="str">
            <v>Lancashire</v>
          </cell>
          <cell r="N4450" t="str">
            <v>LA1 4RS</v>
          </cell>
          <cell r="O4450" t="str">
            <v>head@ripley.lancs.sch.uk</v>
          </cell>
          <cell r="P4450">
            <v>40548</v>
          </cell>
        </row>
        <row r="4451">
          <cell r="A4451">
            <v>9354054</v>
          </cell>
          <cell r="B4451">
            <v>124816</v>
          </cell>
          <cell r="C4451">
            <v>935</v>
          </cell>
          <cell r="D4451" t="str">
            <v>Suffolk</v>
          </cell>
          <cell r="E4451">
            <v>4054</v>
          </cell>
          <cell r="F4451" t="str">
            <v>Claire Ivie</v>
          </cell>
          <cell r="G4451" t="str">
            <v>Bacton Community Middle School</v>
          </cell>
          <cell r="H4451" t="str">
            <v>East of England</v>
          </cell>
          <cell r="I4451" t="str">
            <v>Wyverstone Road</v>
          </cell>
          <cell r="J4451" t="str">
            <v>Bacton</v>
          </cell>
          <cell r="L4451" t="str">
            <v>Stowmarket</v>
          </cell>
          <cell r="M4451" t="str">
            <v>Suffolk</v>
          </cell>
          <cell r="N4451" t="str">
            <v>IP14 4LH</v>
          </cell>
          <cell r="O4451" t="str">
            <v>A.Nicholson@bcms.suffolk.sch.uk</v>
          </cell>
          <cell r="P4451">
            <v>40728</v>
          </cell>
        </row>
        <row r="4452">
          <cell r="A4452">
            <v>8933018</v>
          </cell>
          <cell r="B4452">
            <v>123464</v>
          </cell>
          <cell r="C4452">
            <v>893</v>
          </cell>
          <cell r="D4452" t="str">
            <v>Shropshire</v>
          </cell>
          <cell r="E4452">
            <v>3018</v>
          </cell>
          <cell r="F4452" t="str">
            <v>Julia Waterhouse</v>
          </cell>
          <cell r="G4452" t="str">
            <v>Burford CofE Primary School</v>
          </cell>
          <cell r="H4452" t="str">
            <v>West Midlands</v>
          </cell>
          <cell r="I4452" t="str">
            <v>Forresters Road</v>
          </cell>
          <cell r="J4452" t="str">
            <v>Burford</v>
          </cell>
          <cell r="L4452" t="str">
            <v>Tenbury Wells</v>
          </cell>
          <cell r="M4452" t="str">
            <v>Worcestershire</v>
          </cell>
          <cell r="N4452" t="str">
            <v>WR15 8AT</v>
          </cell>
          <cell r="O4452" t="str">
            <v>head.burford@shropshirelg.net</v>
          </cell>
        </row>
        <row r="4453">
          <cell r="A4453">
            <v>8863372</v>
          </cell>
          <cell r="B4453">
            <v>118753</v>
          </cell>
          <cell r="C4453">
            <v>886</v>
          </cell>
          <cell r="D4453" t="str">
            <v>Kent</v>
          </cell>
          <cell r="E4453">
            <v>3372</v>
          </cell>
          <cell r="F4453" t="str">
            <v>Sarah Mitchell</v>
          </cell>
          <cell r="G4453" t="str">
            <v>Maidstone, St John's Church of England Primary School</v>
          </cell>
          <cell r="H4453" t="str">
            <v>South East</v>
          </cell>
          <cell r="I4453" t="str">
            <v>Provender Way</v>
          </cell>
          <cell r="J4453" t="str">
            <v>Grove Green</v>
          </cell>
          <cell r="L4453" t="str">
            <v>Maidstone</v>
          </cell>
          <cell r="M4453" t="str">
            <v>Kent</v>
          </cell>
          <cell r="N4453" t="str">
            <v>ME14 5TZ</v>
          </cell>
          <cell r="O4453" t="str">
            <v>headteacher@st-johns-maidstone.kent.sch.uk</v>
          </cell>
          <cell r="P4453">
            <v>40682</v>
          </cell>
        </row>
        <row r="4454">
          <cell r="A4454">
            <v>3134022</v>
          </cell>
          <cell r="B4454">
            <v>102534</v>
          </cell>
          <cell r="C4454">
            <v>313</v>
          </cell>
          <cell r="D4454" t="str">
            <v>Hounslow</v>
          </cell>
          <cell r="E4454">
            <v>4022</v>
          </cell>
          <cell r="F4454" t="str">
            <v>Susan Power</v>
          </cell>
          <cell r="G4454" t="str">
            <v>Longford Community School</v>
          </cell>
          <cell r="H4454" t="str">
            <v>London</v>
          </cell>
          <cell r="I4454" t="str">
            <v>Tachbrook Road</v>
          </cell>
          <cell r="L4454" t="str">
            <v>Feltham</v>
          </cell>
          <cell r="N4454" t="str">
            <v>TW14 9PE</v>
          </cell>
          <cell r="O4454" t="str">
            <v>pkk@longford.hounslow.sch.uk</v>
          </cell>
          <cell r="P4454">
            <v>40638</v>
          </cell>
        </row>
        <row r="4455">
          <cell r="A4455">
            <v>8262331</v>
          </cell>
          <cell r="B4455">
            <v>110389</v>
          </cell>
          <cell r="C4455">
            <v>826</v>
          </cell>
          <cell r="D4455" t="str">
            <v>Milton Keynes</v>
          </cell>
          <cell r="E4455">
            <v>2331</v>
          </cell>
          <cell r="F4455" t="str">
            <v>Bukky Sawyerr</v>
          </cell>
          <cell r="G4455" t="str">
            <v>Heronsgate School</v>
          </cell>
          <cell r="H4455" t="str">
            <v>South East</v>
          </cell>
          <cell r="I4455" t="str">
            <v>Lichfield Down</v>
          </cell>
          <cell r="J4455" t="str">
            <v>Walnut Tree</v>
          </cell>
          <cell r="L4455" t="str">
            <v>Milton Keynes</v>
          </cell>
          <cell r="M4455" t="str">
            <v>Buckinghamshire</v>
          </cell>
          <cell r="N4455" t="str">
            <v>MK7 7BW</v>
          </cell>
          <cell r="O4455" t="str">
            <v>heronsgateschool@yahoo.co.uk</v>
          </cell>
          <cell r="P4455">
            <v>41200</v>
          </cell>
        </row>
        <row r="4456">
          <cell r="A4456">
            <v>9313823</v>
          </cell>
          <cell r="B4456">
            <v>123206</v>
          </cell>
          <cell r="C4456">
            <v>931</v>
          </cell>
          <cell r="D4456" t="str">
            <v>Oxfordshire</v>
          </cell>
          <cell r="E4456">
            <v>3823</v>
          </cell>
          <cell r="F4456" t="str">
            <v>Sarah Nairne</v>
          </cell>
          <cell r="G4456" t="str">
            <v>St Thomas More Catholic Primary School, Kidlington</v>
          </cell>
          <cell r="H4456" t="str">
            <v>South East</v>
          </cell>
          <cell r="I4456" t="str">
            <v>Oxford Road</v>
          </cell>
          <cell r="L4456" t="str">
            <v>Kidlington</v>
          </cell>
          <cell r="M4456" t="str">
            <v>Oxfordshire</v>
          </cell>
          <cell r="N4456" t="str">
            <v>OX5 1EA</v>
          </cell>
          <cell r="O4456" t="str">
            <v>head.3823@st-thomas-more.oxon.sch.uk</v>
          </cell>
          <cell r="P4456">
            <v>41208</v>
          </cell>
        </row>
        <row r="4457">
          <cell r="A4457">
            <v>8377012</v>
          </cell>
          <cell r="B4457">
            <v>113961</v>
          </cell>
          <cell r="C4457">
            <v>837</v>
          </cell>
          <cell r="D4457" t="str">
            <v>Bournemouth</v>
          </cell>
          <cell r="E4457">
            <v>7012</v>
          </cell>
          <cell r="F4457" t="str">
            <v>Ed Schuldt</v>
          </cell>
          <cell r="G4457" t="str">
            <v>Linwood School</v>
          </cell>
          <cell r="H4457" t="str">
            <v>South West</v>
          </cell>
          <cell r="I4457" t="str">
            <v>Alma Road</v>
          </cell>
          <cell r="J4457" t="str">
            <v>Winton</v>
          </cell>
          <cell r="L4457" t="str">
            <v>Bournemouth</v>
          </cell>
          <cell r="M4457" t="str">
            <v>Dorset</v>
          </cell>
          <cell r="N4457" t="str">
            <v>BH9 1AJ</v>
          </cell>
          <cell r="O4457" t="str">
            <v>steve.brown@bournemouth.gov.uk</v>
          </cell>
        </row>
        <row r="4458">
          <cell r="A4458">
            <v>9282197</v>
          </cell>
          <cell r="B4458">
            <v>121939</v>
          </cell>
          <cell r="C4458">
            <v>928</v>
          </cell>
          <cell r="D4458" t="str">
            <v>Northamptonshire</v>
          </cell>
          <cell r="E4458">
            <v>2197</v>
          </cell>
          <cell r="F4458" t="str">
            <v>Sue Harp</v>
          </cell>
          <cell r="G4458" t="str">
            <v>Barry Primary School</v>
          </cell>
          <cell r="H4458" t="str">
            <v>East Midlands</v>
          </cell>
          <cell r="I4458" t="str">
            <v>Barry Road</v>
          </cell>
          <cell r="L4458" t="str">
            <v>Northampton</v>
          </cell>
          <cell r="M4458" t="str">
            <v>Northamptonshire</v>
          </cell>
          <cell r="N4458" t="str">
            <v>NN1 5JS</v>
          </cell>
          <cell r="O4458" t="str">
            <v>head@barry.northants-ecl.gov.uk</v>
          </cell>
        </row>
        <row r="4459">
          <cell r="A4459">
            <v>3027000</v>
          </cell>
          <cell r="B4459">
            <v>101394</v>
          </cell>
          <cell r="C4459">
            <v>302</v>
          </cell>
          <cell r="D4459" t="str">
            <v>Barnet</v>
          </cell>
          <cell r="E4459">
            <v>7000</v>
          </cell>
          <cell r="F4459" t="str">
            <v>Martin Rowley</v>
          </cell>
          <cell r="G4459" t="str">
            <v>Oak Lodge School</v>
          </cell>
          <cell r="H4459" t="str">
            <v>London</v>
          </cell>
          <cell r="I4459" t="str">
            <v>Heath View</v>
          </cell>
          <cell r="J4459" t="str">
            <v>Mill Hill</v>
          </cell>
          <cell r="K4459" t="str">
            <v>East Finchley</v>
          </cell>
          <cell r="L4459" t="str">
            <v>London</v>
          </cell>
          <cell r="N4459" t="str">
            <v>N2 0QY</v>
          </cell>
          <cell r="O4459" t="str">
            <v>lynda.walker@oaklodge.barnet.sch.uk</v>
          </cell>
        </row>
        <row r="4460">
          <cell r="A4460">
            <v>9365415</v>
          </cell>
          <cell r="B4460">
            <v>125315</v>
          </cell>
          <cell r="C4460">
            <v>936</v>
          </cell>
          <cell r="D4460" t="str">
            <v>Surrey</v>
          </cell>
          <cell r="E4460">
            <v>5415</v>
          </cell>
          <cell r="F4460" t="str">
            <v>Gabriela Grimley</v>
          </cell>
          <cell r="G4460" t="str">
            <v>All Hallows Catholic School</v>
          </cell>
          <cell r="H4460" t="str">
            <v>South East</v>
          </cell>
          <cell r="I4460" t="str">
            <v>Weybourne Road</v>
          </cell>
          <cell r="L4460" t="str">
            <v>Farnham</v>
          </cell>
          <cell r="M4460" t="str">
            <v>Surrey</v>
          </cell>
          <cell r="N4460" t="str">
            <v>GU9 9HF</v>
          </cell>
          <cell r="O4460" t="str">
            <v>e.lutzeier@allhallows.net</v>
          </cell>
        </row>
        <row r="4461">
          <cell r="A4461">
            <v>3044033</v>
          </cell>
          <cell r="B4461">
            <v>133724</v>
          </cell>
          <cell r="C4461">
            <v>304</v>
          </cell>
          <cell r="D4461" t="str">
            <v>Brent</v>
          </cell>
          <cell r="E4461">
            <v>4033</v>
          </cell>
          <cell r="F4461" t="str">
            <v>Martin Rowley</v>
          </cell>
          <cell r="G4461" t="str">
            <v>JFS</v>
          </cell>
          <cell r="H4461" t="str">
            <v>London</v>
          </cell>
          <cell r="I4461" t="str">
            <v>The Mall</v>
          </cell>
          <cell r="J4461" t="str">
            <v>Kenton</v>
          </cell>
          <cell r="L4461" t="str">
            <v>Harrow</v>
          </cell>
          <cell r="N4461" t="str">
            <v>HA3 9TE</v>
          </cell>
          <cell r="O4461" t="str">
            <v>harvey@jfs.brent.sch.uk</v>
          </cell>
          <cell r="P4461">
            <v>40515</v>
          </cell>
        </row>
        <row r="4462">
          <cell r="A4462">
            <v>8613016</v>
          </cell>
          <cell r="B4462">
            <v>124227</v>
          </cell>
          <cell r="C4462">
            <v>861</v>
          </cell>
          <cell r="D4462" t="str">
            <v>Stoke-on-Trent</v>
          </cell>
          <cell r="E4462">
            <v>3016</v>
          </cell>
          <cell r="F4462" t="str">
            <v>Sally Gardiner</v>
          </cell>
          <cell r="G4462" t="str">
            <v>St Paul's CofE (C) Primary School</v>
          </cell>
          <cell r="H4462" t="str">
            <v>West Midlands</v>
          </cell>
          <cell r="I4462" t="str">
            <v>Byatts Grove</v>
          </cell>
          <cell r="J4462" t="str">
            <v>Longton</v>
          </cell>
          <cell r="L4462" t="str">
            <v>Stoke-on-Trent</v>
          </cell>
          <cell r="M4462" t="str">
            <v>Staffordshire</v>
          </cell>
          <cell r="N4462" t="str">
            <v>ST3 2RH</v>
          </cell>
          <cell r="O4462" t="str">
            <v>shearson@sgfl.org.uk</v>
          </cell>
          <cell r="P4462">
            <v>40977</v>
          </cell>
        </row>
        <row r="4463">
          <cell r="A4463">
            <v>9372424</v>
          </cell>
          <cell r="B4463">
            <v>125582</v>
          </cell>
          <cell r="C4463">
            <v>937</v>
          </cell>
          <cell r="D4463" t="str">
            <v>Warwickshire</v>
          </cell>
          <cell r="E4463">
            <v>2424</v>
          </cell>
          <cell r="F4463" t="str">
            <v>Sally Gardiner</v>
          </cell>
          <cell r="G4463" t="str">
            <v>Henry Hinde Infant School</v>
          </cell>
          <cell r="H4463" t="str">
            <v>West Midlands</v>
          </cell>
          <cell r="I4463" t="str">
            <v>Grenville Close</v>
          </cell>
          <cell r="J4463" t="str">
            <v>Bilton</v>
          </cell>
          <cell r="L4463" t="str">
            <v>Rugby</v>
          </cell>
          <cell r="M4463" t="str">
            <v>Warwickshire</v>
          </cell>
          <cell r="N4463" t="str">
            <v>CV22 7JQ</v>
          </cell>
          <cell r="O4463" t="str">
            <v>head2424@we-learn.com</v>
          </cell>
          <cell r="P4463">
            <v>40805</v>
          </cell>
        </row>
        <row r="4464">
          <cell r="A4464">
            <v>8133073</v>
          </cell>
          <cell r="B4464">
            <v>118018</v>
          </cell>
          <cell r="C4464">
            <v>813</v>
          </cell>
          <cell r="D4464" t="str">
            <v>North Lincolnshire</v>
          </cell>
          <cell r="E4464">
            <v>3073</v>
          </cell>
          <cell r="F4464" t="str">
            <v>Nick Monton</v>
          </cell>
          <cell r="G4464" t="str">
            <v>West Butterwick CofE Primary School</v>
          </cell>
          <cell r="H4464" t="str">
            <v>Yorkshire and the Humber</v>
          </cell>
          <cell r="I4464" t="str">
            <v>School Lane</v>
          </cell>
          <cell r="J4464" t="str">
            <v>West Butterwick</v>
          </cell>
          <cell r="L4464" t="str">
            <v>Scunthorpe</v>
          </cell>
          <cell r="M4464" t="str">
            <v>Lincolnshire</v>
          </cell>
          <cell r="N4464" t="str">
            <v>DN17 3LB</v>
          </cell>
          <cell r="O4464" t="str">
            <v>head.wbutterwick@northlincs.gov.uk</v>
          </cell>
        </row>
        <row r="4465">
          <cell r="A4465">
            <v>8853381</v>
          </cell>
          <cell r="B4465">
            <v>116916</v>
          </cell>
          <cell r="C4465">
            <v>885</v>
          </cell>
          <cell r="D4465" t="str">
            <v>Worcestershire</v>
          </cell>
          <cell r="E4465">
            <v>3381</v>
          </cell>
          <cell r="F4465" t="str">
            <v>Alison Middleton</v>
          </cell>
          <cell r="G4465" t="str">
            <v>Sytchampton Endowed First School</v>
          </cell>
          <cell r="H4465" t="str">
            <v>West Midlands</v>
          </cell>
          <cell r="I4465" t="str">
            <v>Sytchampton</v>
          </cell>
          <cell r="L4465" t="str">
            <v>Stourport-on-Severn</v>
          </cell>
          <cell r="M4465" t="str">
            <v>Worcestershire</v>
          </cell>
          <cell r="N4465" t="str">
            <v>DY13 9SX</v>
          </cell>
          <cell r="O4465" t="str">
            <v>stephgait@aol.com</v>
          </cell>
        </row>
        <row r="4466">
          <cell r="A4466">
            <v>8945404</v>
          </cell>
          <cell r="B4466">
            <v>123597</v>
          </cell>
          <cell r="C4466">
            <v>894</v>
          </cell>
          <cell r="D4466" t="str">
            <v>Telford and Wrekin</v>
          </cell>
          <cell r="E4466">
            <v>5404</v>
          </cell>
          <cell r="F4466" t="str">
            <v>Stephen Bagnall</v>
          </cell>
          <cell r="G4466" t="str">
            <v>Charlton School</v>
          </cell>
          <cell r="H4466" t="str">
            <v>West Midlands</v>
          </cell>
          <cell r="I4466" t="str">
            <v>Severn Drive</v>
          </cell>
          <cell r="J4466" t="str">
            <v>Dothill</v>
          </cell>
          <cell r="K4466" t="str">
            <v>Wellington</v>
          </cell>
          <cell r="L4466" t="str">
            <v>Telford</v>
          </cell>
          <cell r="M4466" t="str">
            <v>Shropshire</v>
          </cell>
          <cell r="N4466" t="str">
            <v>TF1 3LE</v>
          </cell>
          <cell r="O4466" t="str">
            <v>nick.renshaw@taw.org.uk</v>
          </cell>
        </row>
        <row r="4467">
          <cell r="A4467">
            <v>8854002</v>
          </cell>
          <cell r="B4467">
            <v>116928</v>
          </cell>
          <cell r="C4467">
            <v>885</v>
          </cell>
          <cell r="D4467" t="str">
            <v>Worcestershire</v>
          </cell>
          <cell r="E4467">
            <v>4002</v>
          </cell>
          <cell r="F4467" t="str">
            <v>Carla Spink</v>
          </cell>
          <cell r="G4467" t="str">
            <v>North Bromsgrove High School</v>
          </cell>
          <cell r="H4467" t="str">
            <v>West Midlands</v>
          </cell>
          <cell r="I4467" t="str">
            <v>School Drive</v>
          </cell>
          <cell r="J4467" t="str">
            <v>Stratford Road</v>
          </cell>
          <cell r="L4467" t="str">
            <v>Bromsgrove</v>
          </cell>
          <cell r="M4467" t="str">
            <v>Worcestershire</v>
          </cell>
          <cell r="N4467" t="str">
            <v>B60 1BA</v>
          </cell>
          <cell r="O4467" t="str">
            <v>sballard@northbromsgrove.worcs.sch.uk</v>
          </cell>
        </row>
        <row r="4468">
          <cell r="A4468">
            <v>3802183</v>
          </cell>
          <cell r="B4468">
            <v>107294</v>
          </cell>
          <cell r="C4468">
            <v>380</v>
          </cell>
          <cell r="D4468" t="str">
            <v>Bradford</v>
          </cell>
          <cell r="E4468">
            <v>2183</v>
          </cell>
          <cell r="F4468" t="str">
            <v>Glyn Newton</v>
          </cell>
          <cell r="G4468" t="str">
            <v>Farnham Primary School</v>
          </cell>
          <cell r="H4468" t="str">
            <v>Yorkshire and the Humber</v>
          </cell>
          <cell r="I4468" t="str">
            <v>Stratford Road</v>
          </cell>
          <cell r="L4468" t="str">
            <v>Bradford</v>
          </cell>
          <cell r="M4468" t="str">
            <v>West Yorkshire</v>
          </cell>
          <cell r="N4468" t="str">
            <v>BD7 3HU</v>
          </cell>
          <cell r="O4468" t="str">
            <v>head@farnham.bradford.sch.uk</v>
          </cell>
        </row>
        <row r="4469">
          <cell r="A4469">
            <v>9282097</v>
          </cell>
          <cell r="B4469">
            <v>121869</v>
          </cell>
          <cell r="C4469">
            <v>928</v>
          </cell>
          <cell r="D4469" t="str">
            <v>Northamptonshire</v>
          </cell>
          <cell r="E4469">
            <v>2097</v>
          </cell>
          <cell r="F4469" t="str">
            <v>Sue Harp</v>
          </cell>
          <cell r="G4469" t="str">
            <v>Finedon Infant School</v>
          </cell>
          <cell r="H4469" t="str">
            <v>East Midlands</v>
          </cell>
          <cell r="I4469" t="str">
            <v>Orchard Road</v>
          </cell>
          <cell r="J4469" t="str">
            <v>Finedon</v>
          </cell>
          <cell r="L4469" t="str">
            <v>Wellingborough</v>
          </cell>
          <cell r="M4469" t="str">
            <v>Northamptonshire</v>
          </cell>
          <cell r="N4469" t="str">
            <v>NN9 5JG</v>
          </cell>
          <cell r="O4469" t="str">
            <v>head@finedon-inf.northants-ecl.gov.uk</v>
          </cell>
        </row>
        <row r="4470">
          <cell r="A4470">
            <v>9163356</v>
          </cell>
          <cell r="B4470">
            <v>115707</v>
          </cell>
          <cell r="C4470">
            <v>916</v>
          </cell>
          <cell r="D4470" t="str">
            <v>Gloucestershire</v>
          </cell>
          <cell r="E4470">
            <v>3356</v>
          </cell>
          <cell r="F4470" t="str">
            <v>Not yet assigned</v>
          </cell>
          <cell r="G4470" t="str">
            <v>St Joseph's Catholic Primary School</v>
          </cell>
          <cell r="H4470" t="str">
            <v>South West</v>
          </cell>
          <cell r="I4470" t="str">
            <v>Font Street</v>
          </cell>
          <cell r="J4470" t="str">
            <v>Nympsfield</v>
          </cell>
          <cell r="L4470" t="str">
            <v>Stonehouse</v>
          </cell>
          <cell r="M4470" t="str">
            <v>Gloucestershire</v>
          </cell>
          <cell r="N4470" t="str">
            <v>GL10 3TY</v>
          </cell>
          <cell r="O4470" t="str">
            <v>head@st-josephs.gloucs.sch.uk</v>
          </cell>
        </row>
        <row r="4471">
          <cell r="A4471">
            <v>9257017</v>
          </cell>
          <cell r="B4471">
            <v>120756</v>
          </cell>
          <cell r="C4471">
            <v>925</v>
          </cell>
          <cell r="D4471" t="str">
            <v>Lincolnshire</v>
          </cell>
          <cell r="E4471">
            <v>7017</v>
          </cell>
          <cell r="F4471" t="str">
            <v>Stella Mascarenhas-Keys</v>
          </cell>
          <cell r="G4471" t="str">
            <v>Queen's Park School, Lincoln</v>
          </cell>
          <cell r="H4471" t="str">
            <v>East Midlands</v>
          </cell>
          <cell r="I4471" t="str">
            <v>South Park</v>
          </cell>
          <cell r="L4471" t="str">
            <v>Lincoln</v>
          </cell>
          <cell r="M4471" t="str">
            <v>Lincolnshire</v>
          </cell>
          <cell r="N4471" t="str">
            <v>LN5 8EW</v>
          </cell>
          <cell r="O4471" t="str">
            <v>allanjlacey@mac.com</v>
          </cell>
          <cell r="P4471">
            <v>40733</v>
          </cell>
        </row>
        <row r="4472">
          <cell r="A4472">
            <v>3342008</v>
          </cell>
          <cell r="B4472">
            <v>104045</v>
          </cell>
          <cell r="C4472">
            <v>334</v>
          </cell>
          <cell r="D4472" t="str">
            <v>Solihull</v>
          </cell>
          <cell r="E4472">
            <v>2008</v>
          </cell>
          <cell r="F4472" t="str">
            <v>Alison Middleton</v>
          </cell>
          <cell r="G4472" t="str">
            <v>Dorridge Nursery and Infant School</v>
          </cell>
          <cell r="H4472" t="str">
            <v>West Midlands</v>
          </cell>
          <cell r="I4472" t="str">
            <v>Station Road</v>
          </cell>
          <cell r="J4472" t="str">
            <v>Dorridge</v>
          </cell>
          <cell r="L4472" t="str">
            <v>Solihull</v>
          </cell>
          <cell r="M4472" t="str">
            <v>West Midlands</v>
          </cell>
          <cell r="N4472" t="str">
            <v>B93 8EU</v>
          </cell>
          <cell r="O4472" t="str">
            <v xml:space="preserve"> office@dorridge-inf.solihull.sch.uk_x000D_
 office@dorridge-inf.solihull.sch.uk</v>
          </cell>
        </row>
        <row r="4473">
          <cell r="A4473">
            <v>9082318</v>
          </cell>
          <cell r="B4473">
            <v>111872</v>
          </cell>
          <cell r="C4473">
            <v>908</v>
          </cell>
          <cell r="D4473" t="str">
            <v>Cornwall</v>
          </cell>
          <cell r="E4473">
            <v>2318</v>
          </cell>
          <cell r="F4473" t="str">
            <v>Kate Bosher</v>
          </cell>
          <cell r="G4473" t="str">
            <v>Devoran School</v>
          </cell>
          <cell r="H4473" t="str">
            <v>South West</v>
          </cell>
          <cell r="I4473" t="str">
            <v>Devoran Lane</v>
          </cell>
          <cell r="J4473" t="str">
            <v>Devoran</v>
          </cell>
          <cell r="L4473" t="str">
            <v>Truro</v>
          </cell>
          <cell r="M4473" t="str">
            <v>Cornwall</v>
          </cell>
          <cell r="N4473" t="str">
            <v>TR3 6PA</v>
          </cell>
          <cell r="O4473" t="str">
            <v>head@devoran.cornwall.sch.uk</v>
          </cell>
        </row>
        <row r="4474">
          <cell r="A4474">
            <v>8782000</v>
          </cell>
          <cell r="B4474">
            <v>113059</v>
          </cell>
          <cell r="C4474">
            <v>878</v>
          </cell>
          <cell r="D4474" t="str">
            <v>Devon</v>
          </cell>
          <cell r="E4474">
            <v>2000</v>
          </cell>
          <cell r="F4474" t="str">
            <v>Not yet assigned</v>
          </cell>
          <cell r="G4474" t="str">
            <v>Axminster Community Primary School</v>
          </cell>
          <cell r="H4474" t="str">
            <v>South West</v>
          </cell>
          <cell r="I4474" t="str">
            <v>Stoney Lane</v>
          </cell>
          <cell r="L4474" t="str">
            <v>Axminster</v>
          </cell>
          <cell r="M4474" t="str">
            <v>Devon</v>
          </cell>
          <cell r="N4474" t="str">
            <v>EX13 5BU</v>
          </cell>
          <cell r="O4474" t="str">
            <v>tonyharvell@axminster-primary.devon.sch.uk</v>
          </cell>
        </row>
        <row r="4475">
          <cell r="A4475">
            <v>9334282</v>
          </cell>
          <cell r="B4475">
            <v>123872</v>
          </cell>
          <cell r="C4475">
            <v>933</v>
          </cell>
          <cell r="D4475" t="str">
            <v>Somerset</v>
          </cell>
          <cell r="E4475">
            <v>4282</v>
          </cell>
          <cell r="F4475" t="str">
            <v>Matthew Gleaves</v>
          </cell>
          <cell r="G4475" t="str">
            <v>Whitstone</v>
          </cell>
          <cell r="H4475" t="str">
            <v>South West</v>
          </cell>
          <cell r="I4475" t="str">
            <v>Charlton Road</v>
          </cell>
          <cell r="L4475" t="str">
            <v>Shepton Mallet</v>
          </cell>
          <cell r="M4475" t="str">
            <v>Somerset</v>
          </cell>
          <cell r="N4475" t="str">
            <v>BA4 5PF</v>
          </cell>
          <cell r="O4475" t="str">
            <v>GRennard@educ.somerset.gov.uk</v>
          </cell>
          <cell r="P4475">
            <v>40640</v>
          </cell>
        </row>
        <row r="4476">
          <cell r="A4476">
            <v>3802178</v>
          </cell>
          <cell r="B4476">
            <v>107290</v>
          </cell>
          <cell r="C4476">
            <v>380</v>
          </cell>
          <cell r="D4476" t="str">
            <v>Bradford</v>
          </cell>
          <cell r="E4476">
            <v>2178</v>
          </cell>
          <cell r="F4476" t="str">
            <v>Adriarna Goodinson</v>
          </cell>
          <cell r="G4476" t="str">
            <v>Shibden Head Primary School</v>
          </cell>
          <cell r="H4476" t="str">
            <v>Yorkshire and the Humber</v>
          </cell>
          <cell r="I4476" t="str">
            <v>Hainsworth Moor Grove</v>
          </cell>
          <cell r="J4476" t="str">
            <v>Queensbury</v>
          </cell>
          <cell r="L4476" t="str">
            <v>Bradford</v>
          </cell>
          <cell r="M4476" t="str">
            <v>West Yorkshire</v>
          </cell>
          <cell r="N4476" t="str">
            <v>BD13 2ND</v>
          </cell>
          <cell r="O4476" t="str">
            <v>carole@shibdenhead.bradford.sch.uk</v>
          </cell>
          <cell r="P4476">
            <v>41193</v>
          </cell>
        </row>
        <row r="4477">
          <cell r="A4477">
            <v>8553094</v>
          </cell>
          <cell r="B4477">
            <v>120165</v>
          </cell>
          <cell r="C4477">
            <v>855</v>
          </cell>
          <cell r="D4477" t="str">
            <v>Leicestershire</v>
          </cell>
          <cell r="E4477">
            <v>3094</v>
          </cell>
          <cell r="F4477" t="str">
            <v>Stephen Standret</v>
          </cell>
          <cell r="G4477" t="str">
            <v>Church Hill Church of England Junior School</v>
          </cell>
          <cell r="H4477" t="str">
            <v>East Midlands</v>
          </cell>
          <cell r="I4477" t="str">
            <v>Church Hill Road</v>
          </cell>
          <cell r="J4477" t="str">
            <v>Thurmaston</v>
          </cell>
          <cell r="L4477" t="str">
            <v>Leicester</v>
          </cell>
          <cell r="M4477" t="str">
            <v>Leicestershire</v>
          </cell>
          <cell r="N4477" t="str">
            <v>LE4 8DE</v>
          </cell>
          <cell r="O4477" t="str">
            <v>shereen.kirk@churchhill-jun.leics.sch.uk</v>
          </cell>
          <cell r="P4477">
            <v>40977</v>
          </cell>
        </row>
        <row r="4478">
          <cell r="A4478">
            <v>8652087</v>
          </cell>
          <cell r="B4478">
            <v>126205</v>
          </cell>
          <cell r="C4478">
            <v>865</v>
          </cell>
          <cell r="D4478" t="str">
            <v>Wiltshire</v>
          </cell>
          <cell r="E4478">
            <v>2087</v>
          </cell>
          <cell r="F4478" t="str">
            <v>Ali Bushell</v>
          </cell>
          <cell r="G4478" t="str">
            <v>Ramsbury Primary School</v>
          </cell>
          <cell r="H4478" t="str">
            <v>South West</v>
          </cell>
          <cell r="I4478" t="str">
            <v>Back Lane</v>
          </cell>
          <cell r="J4478" t="str">
            <v>Ramsbury</v>
          </cell>
          <cell r="L4478" t="str">
            <v>Marlborough</v>
          </cell>
          <cell r="M4478" t="str">
            <v>Wiltshire</v>
          </cell>
          <cell r="N4478" t="str">
            <v>SN8 2QH</v>
          </cell>
          <cell r="O4478" t="str">
            <v>head@ramsbury.wilts.sch.uk</v>
          </cell>
        </row>
        <row r="4479">
          <cell r="A4479">
            <v>9365206</v>
          </cell>
          <cell r="B4479">
            <v>125288</v>
          </cell>
          <cell r="C4479">
            <v>936</v>
          </cell>
          <cell r="D4479" t="str">
            <v>Surrey</v>
          </cell>
          <cell r="E4479">
            <v>5206</v>
          </cell>
          <cell r="F4479" t="str">
            <v>Gabriela Grimley</v>
          </cell>
          <cell r="G4479" t="str">
            <v xml:space="preserve">Holy Trinity School </v>
          </cell>
          <cell r="H4479" t="str">
            <v>South East</v>
          </cell>
          <cell r="I4479" t="str">
            <v>Addison Road</v>
          </cell>
          <cell r="L4479" t="str">
            <v>Guildford</v>
          </cell>
          <cell r="M4479" t="str">
            <v>Surrey</v>
          </cell>
          <cell r="N4479" t="str">
            <v>GU1 3QF</v>
          </cell>
          <cell r="O4479" t="str">
            <v>richardr@holytrinity.surrey.sch.uk</v>
          </cell>
        </row>
        <row r="4480">
          <cell r="A4480">
            <v>8784607</v>
          </cell>
          <cell r="B4480">
            <v>113553</v>
          </cell>
          <cell r="C4480">
            <v>878</v>
          </cell>
          <cell r="D4480" t="str">
            <v>Devon</v>
          </cell>
          <cell r="E4480">
            <v>4607</v>
          </cell>
          <cell r="F4480" t="str">
            <v>Simon Foster</v>
          </cell>
          <cell r="G4480" t="str">
            <v>St Peter's Church of England Aided School</v>
          </cell>
          <cell r="H4480" t="str">
            <v>South West</v>
          </cell>
          <cell r="I4480" t="str">
            <v>Quarry Lane</v>
          </cell>
          <cell r="J4480" t="str">
            <v>Heavitree</v>
          </cell>
          <cell r="L4480" t="str">
            <v>Exeter</v>
          </cell>
          <cell r="M4480" t="str">
            <v>Devon</v>
          </cell>
          <cell r="N4480" t="str">
            <v>EX2 5AP</v>
          </cell>
          <cell r="O4480" t="str">
            <v>mark.perry@st-peters-exeter.devon.sch.uk</v>
          </cell>
          <cell r="P4480">
            <v>40701</v>
          </cell>
        </row>
        <row r="4481">
          <cell r="A4481">
            <v>3914494</v>
          </cell>
          <cell r="B4481">
            <v>108531</v>
          </cell>
          <cell r="C4481">
            <v>391</v>
          </cell>
          <cell r="D4481" t="str">
            <v>Newcastle upon Tyne</v>
          </cell>
          <cell r="E4481">
            <v>4494</v>
          </cell>
          <cell r="F4481" t="str">
            <v>Lisa Sargeant</v>
          </cell>
          <cell r="G4481" t="str">
            <v>Heaton Manor School</v>
          </cell>
          <cell r="H4481" t="str">
            <v>North East</v>
          </cell>
          <cell r="I4481" t="str">
            <v>Jesmond Park West</v>
          </cell>
          <cell r="L4481" t="str">
            <v>Newcastle-upon-Tyne</v>
          </cell>
          <cell r="M4481" t="str">
            <v>Tyne and Wear</v>
          </cell>
          <cell r="N4481" t="str">
            <v>NE7 7DP</v>
          </cell>
          <cell r="O4481" t="str">
            <v>LAckland@heatonmanor.net</v>
          </cell>
        </row>
        <row r="4482">
          <cell r="A4482">
            <v>8513423</v>
          </cell>
          <cell r="B4482">
            <v>116386</v>
          </cell>
          <cell r="C4482">
            <v>851</v>
          </cell>
          <cell r="D4482" t="str">
            <v>Portsmouth</v>
          </cell>
          <cell r="E4482">
            <v>3423</v>
          </cell>
          <cell r="F4482" t="str">
            <v>Eric Mcewen</v>
          </cell>
          <cell r="G4482" t="str">
            <v>St Swithun's Catholic Primary School</v>
          </cell>
          <cell r="H4482" t="str">
            <v>South East</v>
          </cell>
          <cell r="I4482" t="str">
            <v>Taswell Road</v>
          </cell>
          <cell r="L4482" t="str">
            <v>Southsea</v>
          </cell>
          <cell r="M4482" t="str">
            <v>Hampshire</v>
          </cell>
          <cell r="N4482" t="str">
            <v>PO5 2RG</v>
          </cell>
          <cell r="O4482" t="str">
            <v>headteacher@st-swithuns.portsmouth.sch.uk</v>
          </cell>
        </row>
        <row r="4483">
          <cell r="A4483">
            <v>8883313</v>
          </cell>
          <cell r="B4483">
            <v>119425</v>
          </cell>
          <cell r="C4483">
            <v>888</v>
          </cell>
          <cell r="D4483" t="str">
            <v>Lancashire</v>
          </cell>
          <cell r="E4483">
            <v>3313</v>
          </cell>
          <cell r="F4483" t="str">
            <v>Viv Clutton</v>
          </cell>
          <cell r="G4483" t="str">
            <v>Padiham St Leonard's C of E Primary School</v>
          </cell>
          <cell r="H4483" t="str">
            <v>North West</v>
          </cell>
          <cell r="I4483" t="str">
            <v>Moor Lane</v>
          </cell>
          <cell r="J4483" t="str">
            <v>Padiham</v>
          </cell>
          <cell r="L4483" t="str">
            <v>Burnley</v>
          </cell>
          <cell r="M4483" t="str">
            <v>Lancashire</v>
          </cell>
          <cell r="N4483" t="str">
            <v>BB12 8HT</v>
          </cell>
          <cell r="O4483" t="str">
            <v>head@st-leonards.lancs.sch.uk</v>
          </cell>
        </row>
        <row r="4484">
          <cell r="A4484">
            <v>8372233</v>
          </cell>
          <cell r="B4484">
            <v>113732</v>
          </cell>
          <cell r="C4484">
            <v>837</v>
          </cell>
          <cell r="D4484" t="str">
            <v>Bournemouth</v>
          </cell>
          <cell r="E4484">
            <v>2233</v>
          </cell>
          <cell r="F4484" t="str">
            <v>Ed Schuldt</v>
          </cell>
          <cell r="G4484" t="str">
            <v>Queen's Park Junior School</v>
          </cell>
          <cell r="H4484" t="str">
            <v>South West</v>
          </cell>
          <cell r="I4484" t="str">
            <v>East Way</v>
          </cell>
          <cell r="L4484" t="str">
            <v>Bournemouth</v>
          </cell>
          <cell r="M4484" t="str">
            <v>Dorset</v>
          </cell>
          <cell r="N4484" t="str">
            <v>BH8 9PU</v>
          </cell>
          <cell r="O4484" t="str">
            <v>Brian.Hooper@bournemouth.gov.uk</v>
          </cell>
        </row>
        <row r="4485">
          <cell r="A4485">
            <v>3302449</v>
          </cell>
          <cell r="B4485">
            <v>103376</v>
          </cell>
          <cell r="C4485">
            <v>330</v>
          </cell>
          <cell r="D4485" t="str">
            <v>Birmingham</v>
          </cell>
          <cell r="E4485">
            <v>2449</v>
          </cell>
          <cell r="F4485" t="str">
            <v>Alison Middleton</v>
          </cell>
          <cell r="G4485" t="str">
            <v>Twickenham Primary School</v>
          </cell>
          <cell r="H4485" t="str">
            <v>West Midlands</v>
          </cell>
          <cell r="I4485" t="str">
            <v>Twickenham Road</v>
          </cell>
          <cell r="J4485" t="str">
            <v>Kingstanding</v>
          </cell>
          <cell r="L4485" t="str">
            <v>Birmingham</v>
          </cell>
          <cell r="M4485" t="str">
            <v>West Midlands</v>
          </cell>
          <cell r="N4485" t="str">
            <v>B44 0NR</v>
          </cell>
          <cell r="O4485" t="str">
            <v>hm@twicknhm.bham.sch.uk</v>
          </cell>
        </row>
        <row r="4486">
          <cell r="A4486">
            <v>8923317</v>
          </cell>
          <cell r="B4486">
            <v>122781</v>
          </cell>
          <cell r="C4486">
            <v>892</v>
          </cell>
          <cell r="D4486" t="str">
            <v>Nottingham</v>
          </cell>
          <cell r="E4486">
            <v>3317</v>
          </cell>
          <cell r="F4486" t="str">
            <v>Stella Mascarenhas-Keys</v>
          </cell>
          <cell r="G4486" t="str">
            <v>St Teresa's Catholic Primary School</v>
          </cell>
          <cell r="H4486" t="str">
            <v>East Midlands</v>
          </cell>
          <cell r="I4486" t="str">
            <v>Kingsbury Drive</v>
          </cell>
          <cell r="J4486" t="str">
            <v>Aspley</v>
          </cell>
          <cell r="L4486" t="str">
            <v>Nottingham</v>
          </cell>
          <cell r="M4486" t="str">
            <v>Nottinghamshire</v>
          </cell>
          <cell r="N4486" t="str">
            <v>NG8 3EP</v>
          </cell>
          <cell r="O4486" t="str">
            <v>headteacher@st-teresas.nottingham.sch.uk</v>
          </cell>
          <cell r="P4486">
            <v>40940</v>
          </cell>
        </row>
        <row r="4487">
          <cell r="A4487">
            <v>8945405</v>
          </cell>
          <cell r="B4487">
            <v>123598</v>
          </cell>
          <cell r="C4487">
            <v>894</v>
          </cell>
          <cell r="D4487" t="str">
            <v>Telford and Wrekin</v>
          </cell>
          <cell r="E4487">
            <v>5405</v>
          </cell>
          <cell r="F4487" t="str">
            <v>Stephen Bagnall</v>
          </cell>
          <cell r="G4487" t="str">
            <v>Blessed Robert Johnson Catholic College</v>
          </cell>
          <cell r="H4487" t="str">
            <v>West Midlands</v>
          </cell>
          <cell r="I4487" t="str">
            <v>Whitchurch Road</v>
          </cell>
          <cell r="J4487" t="str">
            <v>Wellington</v>
          </cell>
          <cell r="L4487" t="str">
            <v>Telford</v>
          </cell>
          <cell r="M4487" t="str">
            <v>Shropshire</v>
          </cell>
          <cell r="N4487" t="str">
            <v>TF1 3DY</v>
          </cell>
          <cell r="O4487" t="str">
            <v>robert.hall2@taw.org.uk</v>
          </cell>
        </row>
        <row r="4488">
          <cell r="A4488">
            <v>3165400</v>
          </cell>
          <cell r="B4488">
            <v>102788</v>
          </cell>
          <cell r="C4488">
            <v>316</v>
          </cell>
          <cell r="D4488" t="str">
            <v>Newham</v>
          </cell>
          <cell r="E4488">
            <v>5400</v>
          </cell>
          <cell r="F4488" t="str">
            <v>Sheila Longstaff</v>
          </cell>
          <cell r="G4488" t="str">
            <v>Stratford School</v>
          </cell>
          <cell r="H4488" t="str">
            <v>London</v>
          </cell>
          <cell r="I4488" t="str">
            <v>Upton Lane</v>
          </cell>
          <cell r="J4488" t="str">
            <v>Forest Gate</v>
          </cell>
          <cell r="L4488" t="str">
            <v>London</v>
          </cell>
          <cell r="N4488" t="str">
            <v>E7 9PR</v>
          </cell>
          <cell r="O4488" t="str">
            <v>seager@stratford.newham.sch.uk</v>
          </cell>
          <cell r="P4488">
            <v>40577</v>
          </cell>
        </row>
        <row r="4489">
          <cell r="A4489">
            <v>8232049</v>
          </cell>
          <cell r="B4489">
            <v>109452</v>
          </cell>
          <cell r="C4489">
            <v>823</v>
          </cell>
          <cell r="D4489" t="str">
            <v>Central Bedfordshire</v>
          </cell>
          <cell r="E4489">
            <v>2049</v>
          </cell>
          <cell r="F4489" t="str">
            <v>Not yet assigned</v>
          </cell>
          <cell r="G4489" t="str">
            <v>Flitwick Lower School</v>
          </cell>
          <cell r="H4489" t="str">
            <v>East of England</v>
          </cell>
          <cell r="I4489" t="str">
            <v>Temple Way</v>
          </cell>
          <cell r="J4489" t="str">
            <v>Flitwick</v>
          </cell>
          <cell r="L4489" t="str">
            <v>Bedford</v>
          </cell>
          <cell r="M4489" t="str">
            <v>Bedfordshire</v>
          </cell>
          <cell r="N4489" t="str">
            <v>MK45 1LU</v>
          </cell>
          <cell r="O4489" t="str">
            <v>jnew@bb5.md.e2bn.net</v>
          </cell>
        </row>
        <row r="4490">
          <cell r="A4490">
            <v>9353314</v>
          </cell>
          <cell r="B4490">
            <v>124766</v>
          </cell>
          <cell r="C4490">
            <v>935</v>
          </cell>
          <cell r="D4490" t="str">
            <v>Suffolk</v>
          </cell>
          <cell r="E4490">
            <v>3314</v>
          </cell>
          <cell r="F4490" t="str">
            <v>Struan Mackenzie</v>
          </cell>
          <cell r="G4490" t="str">
            <v>St Mary's Church of England Voluntary Aided Primary School</v>
          </cell>
          <cell r="H4490" t="str">
            <v>East of England</v>
          </cell>
          <cell r="I4490" t="str">
            <v>North Terrace</v>
          </cell>
          <cell r="J4490" t="str">
            <v>Mildenhall</v>
          </cell>
          <cell r="L4490" t="str">
            <v>Bury St Edmunds</v>
          </cell>
          <cell r="M4490" t="str">
            <v>Suffolk</v>
          </cell>
          <cell r="N4490" t="str">
            <v>IP28 7AB</v>
          </cell>
          <cell r="O4490" t="str">
            <v>Mawshouse@aol.com</v>
          </cell>
          <cell r="P4490">
            <v>40687</v>
          </cell>
        </row>
        <row r="4491">
          <cell r="A4491">
            <v>8814471</v>
          </cell>
          <cell r="B4491">
            <v>115232</v>
          </cell>
          <cell r="C4491">
            <v>881</v>
          </cell>
          <cell r="D4491" t="str">
            <v>Essex</v>
          </cell>
          <cell r="E4491">
            <v>4471</v>
          </cell>
          <cell r="F4491" t="str">
            <v>Alan Large</v>
          </cell>
          <cell r="G4491" t="str">
            <v>Mayflower High School</v>
          </cell>
          <cell r="H4491" t="str">
            <v>East of England</v>
          </cell>
          <cell r="I4491" t="str">
            <v>Stock Road</v>
          </cell>
          <cell r="L4491" t="str">
            <v>Billericay</v>
          </cell>
          <cell r="M4491" t="str">
            <v>Essex</v>
          </cell>
          <cell r="N4491" t="str">
            <v>CM12 0RT</v>
          </cell>
          <cell r="O4491" t="str">
            <v>lbrumby@mayflowerhigh.essex.sch.uk</v>
          </cell>
          <cell r="P4491">
            <v>40637</v>
          </cell>
        </row>
        <row r="4492">
          <cell r="A4492">
            <v>9253508</v>
          </cell>
          <cell r="B4492">
            <v>135109</v>
          </cell>
          <cell r="C4492">
            <v>925</v>
          </cell>
          <cell r="D4492" t="str">
            <v>Lincolnshire</v>
          </cell>
          <cell r="E4492">
            <v>3508</v>
          </cell>
          <cell r="F4492" t="str">
            <v>Grant Dyson</v>
          </cell>
          <cell r="G4492" t="str">
            <v>Ermine Primary School</v>
          </cell>
          <cell r="H4492" t="str">
            <v>East Midlands</v>
          </cell>
          <cell r="I4492" t="str">
            <v>Redbourne Drive</v>
          </cell>
          <cell r="L4492" t="str">
            <v>Lincoln</v>
          </cell>
          <cell r="M4492" t="str">
            <v>Lincolnshire</v>
          </cell>
          <cell r="N4492" t="str">
            <v>LN2 2HG</v>
          </cell>
          <cell r="O4492" t="str">
            <v>sstewart@ermine-primary.lincs.sch.uk</v>
          </cell>
          <cell r="P4492">
            <v>40637</v>
          </cell>
        </row>
        <row r="4493">
          <cell r="A4493">
            <v>8914329</v>
          </cell>
          <cell r="B4493">
            <v>122860</v>
          </cell>
          <cell r="C4493">
            <v>891</v>
          </cell>
          <cell r="D4493" t="str">
            <v>Nottinghamshire</v>
          </cell>
          <cell r="E4493">
            <v>4329</v>
          </cell>
          <cell r="F4493" t="str">
            <v>Pauline Cole</v>
          </cell>
          <cell r="G4493" t="str">
            <v>Rushcliffe School</v>
          </cell>
          <cell r="H4493" t="str">
            <v>East Midlands</v>
          </cell>
          <cell r="I4493" t="str">
            <v>Boundary Road</v>
          </cell>
          <cell r="J4493" t="str">
            <v>West Bridgford</v>
          </cell>
          <cell r="L4493" t="str">
            <v>Nottingham</v>
          </cell>
          <cell r="M4493" t="str">
            <v>Nottinghamshire</v>
          </cell>
          <cell r="N4493" t="str">
            <v>NG2 7BW</v>
          </cell>
          <cell r="O4493" t="str">
            <v>pcrompton@rushcliffe.notts.sch.uk</v>
          </cell>
          <cell r="P4493">
            <v>40928</v>
          </cell>
        </row>
        <row r="4494">
          <cell r="A4494">
            <v>8034502</v>
          </cell>
          <cell r="B4494">
            <v>109324</v>
          </cell>
          <cell r="C4494">
            <v>803</v>
          </cell>
          <cell r="D4494" t="str">
            <v>South Gloucestershire</v>
          </cell>
          <cell r="E4494">
            <v>4502</v>
          </cell>
          <cell r="F4494" t="str">
            <v>Simon Foster</v>
          </cell>
          <cell r="G4494" t="str">
            <v>Chipping Sodbury School</v>
          </cell>
          <cell r="H4494" t="str">
            <v>South West</v>
          </cell>
          <cell r="I4494" t="str">
            <v>Bowling Road</v>
          </cell>
          <cell r="J4494" t="str">
            <v>Chipping Sodbury</v>
          </cell>
          <cell r="L4494" t="str">
            <v>Bristol</v>
          </cell>
          <cell r="N4494" t="str">
            <v>BS37 6EW</v>
          </cell>
          <cell r="O4494" t="str">
            <v>gareth.millington@chippingsodburyschool.com</v>
          </cell>
          <cell r="P4494">
            <v>41136</v>
          </cell>
        </row>
        <row r="4495">
          <cell r="A4495">
            <v>8252186</v>
          </cell>
          <cell r="B4495">
            <v>110291</v>
          </cell>
          <cell r="C4495">
            <v>825</v>
          </cell>
          <cell r="D4495" t="str">
            <v>Buckinghamshire</v>
          </cell>
          <cell r="E4495">
            <v>2186</v>
          </cell>
          <cell r="F4495" t="str">
            <v>Darren Francis</v>
          </cell>
          <cell r="G4495" t="str">
            <v>Butlers Court School</v>
          </cell>
          <cell r="H4495" t="str">
            <v>South East</v>
          </cell>
          <cell r="I4495" t="str">
            <v>Wattleton Road</v>
          </cell>
          <cell r="L4495" t="str">
            <v>Beaconsfield</v>
          </cell>
          <cell r="M4495" t="str">
            <v>Buckinghamshire</v>
          </cell>
          <cell r="N4495" t="str">
            <v>HP9 1RW</v>
          </cell>
          <cell r="O4495" t="str">
            <v>Jmarshall@butlerscourt.bucks.sch.uk</v>
          </cell>
        </row>
        <row r="4496">
          <cell r="A4496">
            <v>8863908</v>
          </cell>
          <cell r="B4496">
            <v>135117</v>
          </cell>
          <cell r="C4496">
            <v>886</v>
          </cell>
          <cell r="D4496" t="str">
            <v>Kent</v>
          </cell>
          <cell r="E4496">
            <v>3908</v>
          </cell>
          <cell r="F4496" t="str">
            <v>Kevin Hall</v>
          </cell>
          <cell r="G4496" t="str">
            <v>Horizon Primary School</v>
          </cell>
          <cell r="H4496" t="str">
            <v>South East</v>
          </cell>
          <cell r="I4496" t="str">
            <v>Hilda May Avenue</v>
          </cell>
          <cell r="L4496" t="str">
            <v>Swanley</v>
          </cell>
          <cell r="M4496" t="str">
            <v>Kent</v>
          </cell>
          <cell r="N4496" t="str">
            <v>BR8 7BT</v>
          </cell>
          <cell r="O4496" t="str">
            <v>john.atkins@thekemnaltrust.org</v>
          </cell>
        </row>
        <row r="4497">
          <cell r="A4497">
            <v>8662210</v>
          </cell>
          <cell r="B4497">
            <v>126280</v>
          </cell>
          <cell r="C4497">
            <v>866</v>
          </cell>
          <cell r="D4497" t="str">
            <v>Swindon</v>
          </cell>
          <cell r="E4497">
            <v>2210</v>
          </cell>
          <cell r="F4497" t="str">
            <v>Theresa Oddelm</v>
          </cell>
          <cell r="G4497" t="str">
            <v>Shaw Ridge Primary School</v>
          </cell>
          <cell r="H4497" t="str">
            <v>South West</v>
          </cell>
          <cell r="I4497" t="str">
            <v>Ridge Green</v>
          </cell>
          <cell r="J4497" t="str">
            <v>Shaw</v>
          </cell>
          <cell r="L4497" t="str">
            <v>Swindon</v>
          </cell>
          <cell r="M4497" t="str">
            <v>Wiltshire</v>
          </cell>
          <cell r="N4497" t="str">
            <v>SN5 5PU</v>
          </cell>
          <cell r="O4497" t="str">
            <v>head@shawridge.swindon.sch.uk</v>
          </cell>
          <cell r="P4497">
            <v>41253</v>
          </cell>
        </row>
        <row r="4498">
          <cell r="A4498">
            <v>8865206</v>
          </cell>
          <cell r="B4498">
            <v>118852</v>
          </cell>
          <cell r="C4498">
            <v>886</v>
          </cell>
          <cell r="D4498" t="str">
            <v>Kent</v>
          </cell>
          <cell r="E4498">
            <v>5206</v>
          </cell>
          <cell r="F4498" t="str">
            <v>Tony Dunne</v>
          </cell>
          <cell r="G4498" t="str">
            <v>Herne Bay Junior School</v>
          </cell>
          <cell r="H4498" t="str">
            <v>South East</v>
          </cell>
          <cell r="I4498" t="str">
            <v>Kings Road</v>
          </cell>
          <cell r="L4498" t="str">
            <v>Herne Bay</v>
          </cell>
          <cell r="M4498" t="str">
            <v>Kent</v>
          </cell>
          <cell r="N4498" t="str">
            <v>CT6 5DA</v>
          </cell>
          <cell r="O4498" t="str">
            <v>headteacher@hernebay-jun.kent.sch.uk</v>
          </cell>
        </row>
        <row r="4499">
          <cell r="A4499">
            <v>8865400</v>
          </cell>
          <cell r="B4499">
            <v>118872</v>
          </cell>
          <cell r="C4499">
            <v>886</v>
          </cell>
          <cell r="D4499" t="str">
            <v>Kent</v>
          </cell>
          <cell r="E4499">
            <v>5400</v>
          </cell>
          <cell r="F4499" t="str">
            <v>Nicky Edwards</v>
          </cell>
          <cell r="G4499" t="str">
            <v>Wilmington Grammar School for Girls</v>
          </cell>
          <cell r="H4499" t="str">
            <v>South East</v>
          </cell>
          <cell r="I4499" t="str">
            <v>Wilmington Grange</v>
          </cell>
          <cell r="J4499" t="str">
            <v>Parsons Lane</v>
          </cell>
          <cell r="K4499" t="str">
            <v>Wilmington</v>
          </cell>
          <cell r="L4499" t="str">
            <v>Dartford</v>
          </cell>
          <cell r="M4499" t="str">
            <v>Kent</v>
          </cell>
          <cell r="N4499" t="str">
            <v>DA2 7BB</v>
          </cell>
          <cell r="O4499" t="str">
            <v>head@wgsg.co.uk</v>
          </cell>
          <cell r="P4499">
            <v>40634</v>
          </cell>
        </row>
        <row r="4500">
          <cell r="A4500">
            <v>8927040</v>
          </cell>
          <cell r="B4500">
            <v>122966</v>
          </cell>
          <cell r="C4500">
            <v>892</v>
          </cell>
          <cell r="D4500" t="str">
            <v>Nottingham</v>
          </cell>
          <cell r="E4500">
            <v>7040</v>
          </cell>
          <cell r="F4500" t="str">
            <v>Sue Harp</v>
          </cell>
          <cell r="G4500" t="str">
            <v>Westbury School</v>
          </cell>
          <cell r="H4500" t="str">
            <v>East Midlands</v>
          </cell>
          <cell r="I4500" t="str">
            <v>Chingford Road</v>
          </cell>
          <cell r="J4500" t="str">
            <v>Bilborough</v>
          </cell>
          <cell r="L4500" t="str">
            <v>Nottingham</v>
          </cell>
          <cell r="M4500" t="str">
            <v>Nottinghamshire</v>
          </cell>
          <cell r="N4500" t="str">
            <v>NG8 3BT</v>
          </cell>
          <cell r="O4500" t="str">
            <v>johndyson@westburyschool.co.uk</v>
          </cell>
        </row>
        <row r="4501">
          <cell r="A4501">
            <v>9255223</v>
          </cell>
          <cell r="B4501">
            <v>120690</v>
          </cell>
          <cell r="C4501">
            <v>925</v>
          </cell>
          <cell r="D4501" t="str">
            <v>Lincolnshire</v>
          </cell>
          <cell r="E4501">
            <v>5223</v>
          </cell>
          <cell r="F4501" t="str">
            <v>Stella Mascarenhas-Keys</v>
          </cell>
          <cell r="G4501" t="str">
            <v>The Nettleham Infant School</v>
          </cell>
          <cell r="H4501" t="str">
            <v>East Midlands</v>
          </cell>
          <cell r="I4501" t="str">
            <v>All Saints Lane</v>
          </cell>
          <cell r="J4501" t="str">
            <v>Nettleham</v>
          </cell>
          <cell r="L4501" t="str">
            <v>Lincoln</v>
          </cell>
          <cell r="M4501" t="str">
            <v>Lincolnshire</v>
          </cell>
          <cell r="N4501" t="str">
            <v>LN2 2NT</v>
          </cell>
          <cell r="O4501" t="str">
            <v>nicola.driffill@nettleham-inf.lincs.sch.uk</v>
          </cell>
          <cell r="P4501">
            <v>41071</v>
          </cell>
        </row>
        <row r="4502">
          <cell r="A4502">
            <v>8552319</v>
          </cell>
          <cell r="B4502">
            <v>120049</v>
          </cell>
          <cell r="C4502">
            <v>855</v>
          </cell>
          <cell r="D4502" t="str">
            <v>Leicestershire</v>
          </cell>
          <cell r="E4502">
            <v>2319</v>
          </cell>
          <cell r="F4502" t="str">
            <v>Sue Harp</v>
          </cell>
          <cell r="G4502" t="str">
            <v>Highgate Community Primary School</v>
          </cell>
          <cell r="H4502" t="str">
            <v>East Midlands</v>
          </cell>
          <cell r="I4502" t="str">
            <v>Heathcote Drive</v>
          </cell>
          <cell r="J4502" t="str">
            <v>Sileby</v>
          </cell>
          <cell r="L4502" t="str">
            <v>Loughborough</v>
          </cell>
          <cell r="M4502" t="str">
            <v>Leicestershire</v>
          </cell>
          <cell r="N4502" t="str">
            <v>LE12 7ND</v>
          </cell>
          <cell r="O4502" t="str">
            <v>admin@highgate.leics.sch.uk</v>
          </cell>
        </row>
        <row r="4503">
          <cell r="A4503">
            <v>8504129</v>
          </cell>
          <cell r="B4503">
            <v>116416</v>
          </cell>
          <cell r="C4503">
            <v>850</v>
          </cell>
          <cell r="D4503" t="str">
            <v>Hampshire</v>
          </cell>
          <cell r="E4503">
            <v>4129</v>
          </cell>
          <cell r="F4503" t="str">
            <v>Nicky Edwards</v>
          </cell>
          <cell r="G4503" t="str">
            <v>Priestlands School</v>
          </cell>
          <cell r="H4503" t="str">
            <v>South East</v>
          </cell>
          <cell r="I4503" t="str">
            <v>North Street</v>
          </cell>
          <cell r="J4503" t="str">
            <v>Pennington</v>
          </cell>
          <cell r="L4503" t="str">
            <v>Lymington</v>
          </cell>
          <cell r="M4503" t="str">
            <v>Hampshire</v>
          </cell>
          <cell r="N4503" t="str">
            <v>SO41 8FZ</v>
          </cell>
          <cell r="O4503" t="str">
            <v>headteacher@priestlands.hants.sch.uk</v>
          </cell>
          <cell r="P4503">
            <v>40618</v>
          </cell>
        </row>
        <row r="4504">
          <cell r="A4504">
            <v>8365410</v>
          </cell>
          <cell r="B4504">
            <v>113864</v>
          </cell>
          <cell r="C4504">
            <v>836</v>
          </cell>
          <cell r="D4504" t="str">
            <v>Poole</v>
          </cell>
          <cell r="E4504">
            <v>5410</v>
          </cell>
          <cell r="F4504" t="str">
            <v>Tahamina Khan</v>
          </cell>
          <cell r="G4504" t="str">
            <v>Corfe Hills School</v>
          </cell>
          <cell r="H4504" t="str">
            <v>South West</v>
          </cell>
          <cell r="I4504" t="str">
            <v>Higher Blandford Road</v>
          </cell>
          <cell r="L4504" t="str">
            <v>Broadstone</v>
          </cell>
          <cell r="M4504" t="str">
            <v>Dorset</v>
          </cell>
          <cell r="N4504" t="str">
            <v>BH18 9BG</v>
          </cell>
          <cell r="O4504" t="str">
            <v>ahinchliffe@corfehills.net</v>
          </cell>
          <cell r="P4504">
            <v>40497</v>
          </cell>
        </row>
        <row r="4505">
          <cell r="A4505">
            <v>9332166</v>
          </cell>
          <cell r="B4505">
            <v>123683</v>
          </cell>
          <cell r="C4505">
            <v>933</v>
          </cell>
          <cell r="D4505" t="str">
            <v>Somerset</v>
          </cell>
          <cell r="E4505">
            <v>2166</v>
          </cell>
          <cell r="F4505" t="str">
            <v>Ali Bushell</v>
          </cell>
          <cell r="G4505" t="str">
            <v>Catcott Primary School</v>
          </cell>
          <cell r="H4505" t="str">
            <v>South West</v>
          </cell>
          <cell r="I4505" t="str">
            <v>Manor Road</v>
          </cell>
          <cell r="J4505" t="str">
            <v>Catcott</v>
          </cell>
          <cell r="L4505" t="str">
            <v>Bridgwater</v>
          </cell>
          <cell r="M4505" t="str">
            <v>Somerset</v>
          </cell>
          <cell r="N4505" t="str">
            <v>TA7 9HD</v>
          </cell>
          <cell r="O4505" t="str">
            <v>Mellis@educ.somerset.gov.uk</v>
          </cell>
        </row>
        <row r="4506">
          <cell r="A4506">
            <v>9082223</v>
          </cell>
          <cell r="B4506">
            <v>111843</v>
          </cell>
          <cell r="C4506">
            <v>908</v>
          </cell>
          <cell r="D4506" t="str">
            <v>Cornwall</v>
          </cell>
          <cell r="E4506">
            <v>2223</v>
          </cell>
          <cell r="F4506" t="str">
            <v>Kate Bosher</v>
          </cell>
          <cell r="G4506" t="str">
            <v>Trewirgie Infant School</v>
          </cell>
          <cell r="H4506" t="str">
            <v>South West</v>
          </cell>
          <cell r="I4506" t="str">
            <v>Trewirgie Road</v>
          </cell>
          <cell r="L4506" t="str">
            <v>Redruth</v>
          </cell>
          <cell r="M4506" t="str">
            <v>Cornwall</v>
          </cell>
          <cell r="N4506" t="str">
            <v>TR15 2SZ</v>
          </cell>
          <cell r="O4506" t="str">
            <v>head@trewirgie-inf.cornwall.sch.uk</v>
          </cell>
          <cell r="P4506">
            <v>40606</v>
          </cell>
        </row>
        <row r="4507">
          <cell r="A4507">
            <v>8022262</v>
          </cell>
          <cell r="B4507">
            <v>109083</v>
          </cell>
          <cell r="C4507">
            <v>802</v>
          </cell>
          <cell r="D4507" t="str">
            <v>North Somerset</v>
          </cell>
          <cell r="E4507">
            <v>2262</v>
          </cell>
          <cell r="F4507" t="str">
            <v>Theresa Oddelm</v>
          </cell>
          <cell r="G4507" t="str">
            <v>Birdwell Primary School</v>
          </cell>
          <cell r="H4507" t="str">
            <v>South West</v>
          </cell>
          <cell r="I4507" t="str">
            <v>Hollis Close</v>
          </cell>
          <cell r="J4507" t="str">
            <v>Long Ashton</v>
          </cell>
          <cell r="L4507" t="str">
            <v>Bristol</v>
          </cell>
          <cell r="M4507" t="str">
            <v>Somerset</v>
          </cell>
          <cell r="N4507" t="str">
            <v>BS41 9AZ</v>
          </cell>
          <cell r="O4507" t="str">
            <v>birdwell.pri@n-somerset.gov.uk</v>
          </cell>
          <cell r="P4507">
            <v>41247</v>
          </cell>
        </row>
        <row r="4508">
          <cell r="A4508">
            <v>8452121</v>
          </cell>
          <cell r="B4508">
            <v>114448</v>
          </cell>
          <cell r="C4508">
            <v>845</v>
          </cell>
          <cell r="D4508" t="str">
            <v>East Sussex</v>
          </cell>
          <cell r="E4508">
            <v>2121</v>
          </cell>
          <cell r="F4508" t="str">
            <v>Sarah Mitchell</v>
          </cell>
          <cell r="G4508" t="str">
            <v>Red Lake Community Primary School</v>
          </cell>
          <cell r="H4508" t="str">
            <v>South East</v>
          </cell>
          <cell r="I4508" t="str">
            <v>Rye Road</v>
          </cell>
          <cell r="L4508" t="str">
            <v>Hastings</v>
          </cell>
          <cell r="M4508" t="str">
            <v>East Sussex</v>
          </cell>
          <cell r="N4508" t="str">
            <v>TN35 5DB</v>
          </cell>
          <cell r="O4508" t="str">
            <v>head@redlake.e-sussex.sch.uk</v>
          </cell>
        </row>
        <row r="4509">
          <cell r="A4509">
            <v>9167005</v>
          </cell>
          <cell r="B4509">
            <v>115812</v>
          </cell>
          <cell r="C4509">
            <v>916</v>
          </cell>
          <cell r="D4509" t="str">
            <v>Gloucestershire</v>
          </cell>
          <cell r="E4509">
            <v>7005</v>
          </cell>
          <cell r="F4509" t="str">
            <v>Ed Schuldt</v>
          </cell>
          <cell r="G4509" t="str">
            <v>Coln House School</v>
          </cell>
          <cell r="H4509" t="str">
            <v>South West</v>
          </cell>
          <cell r="I4509" t="str">
            <v>Horcott Road</v>
          </cell>
          <cell r="L4509" t="str">
            <v>Fairford</v>
          </cell>
          <cell r="M4509" t="str">
            <v>Gloucestershire</v>
          </cell>
          <cell r="N4509" t="str">
            <v>GL7 4DB</v>
          </cell>
          <cell r="O4509" t="str">
            <v>headteacher@colnhouse.gloucs.sch.uk</v>
          </cell>
        </row>
        <row r="4510">
          <cell r="A4510">
            <v>9093013</v>
          </cell>
          <cell r="B4510">
            <v>112248</v>
          </cell>
          <cell r="C4510">
            <v>909</v>
          </cell>
          <cell r="D4510" t="str">
            <v>Cumbria</v>
          </cell>
          <cell r="E4510">
            <v>3013</v>
          </cell>
          <cell r="F4510" t="str">
            <v>Linda Tiley</v>
          </cell>
          <cell r="G4510" t="str">
            <v>High Hesket CofE School</v>
          </cell>
          <cell r="H4510" t="str">
            <v>North West</v>
          </cell>
          <cell r="I4510" t="str">
            <v>High Hesket</v>
          </cell>
          <cell r="L4510" t="str">
            <v>Carlisle</v>
          </cell>
          <cell r="M4510" t="str">
            <v>Cumbria</v>
          </cell>
          <cell r="N4510" t="str">
            <v>CA4 0HU</v>
          </cell>
          <cell r="O4510" t="str">
            <v>head@high-hesket.cumbria.sch.uk</v>
          </cell>
        </row>
        <row r="4511">
          <cell r="A4511">
            <v>3702098</v>
          </cell>
          <cell r="B4511">
            <v>106597</v>
          </cell>
          <cell r="C4511">
            <v>370</v>
          </cell>
          <cell r="D4511" t="str">
            <v>Barnsley</v>
          </cell>
          <cell r="E4511">
            <v>2098</v>
          </cell>
          <cell r="F4511" t="str">
            <v>Lisa Sargeant</v>
          </cell>
          <cell r="G4511" t="str">
            <v>Dearne Carrfield Primary School</v>
          </cell>
          <cell r="H4511" t="str">
            <v>Yorkshire and the Humber</v>
          </cell>
          <cell r="I4511" t="str">
            <v>Highgate Lane</v>
          </cell>
          <cell r="J4511" t="str">
            <v>Bolton-on-Dearne</v>
          </cell>
          <cell r="L4511" t="str">
            <v>Rotherham</v>
          </cell>
          <cell r="M4511" t="str">
            <v>South Yorkshire</v>
          </cell>
          <cell r="N4511" t="str">
            <v>S63 8AL</v>
          </cell>
        </row>
        <row r="4512">
          <cell r="A4512">
            <v>3703302</v>
          </cell>
          <cell r="B4512">
            <v>106631</v>
          </cell>
          <cell r="C4512">
            <v>370</v>
          </cell>
          <cell r="D4512" t="str">
            <v>Barnsley</v>
          </cell>
          <cell r="E4512">
            <v>3302</v>
          </cell>
          <cell r="F4512" t="str">
            <v>Anita Turnbull</v>
          </cell>
          <cell r="G4512" t="str">
            <v>St Mary's Church of England Voluntary Aided Primary School, Barnsley</v>
          </cell>
          <cell r="H4512" t="str">
            <v>Yorkshire and the Humber</v>
          </cell>
          <cell r="I4512" t="str">
            <v>Stocks Lane</v>
          </cell>
          <cell r="L4512" t="str">
            <v>Barnsley</v>
          </cell>
          <cell r="M4512" t="str">
            <v>South Yorkshire</v>
          </cell>
          <cell r="N4512" t="str">
            <v>S75 2DF</v>
          </cell>
          <cell r="O4512" t="str">
            <v>craig.lee1@barnsley.org</v>
          </cell>
          <cell r="P4512">
            <v>40689</v>
          </cell>
        </row>
        <row r="4513">
          <cell r="A4513">
            <v>3304333</v>
          </cell>
          <cell r="B4513">
            <v>103529</v>
          </cell>
          <cell r="C4513">
            <v>330</v>
          </cell>
          <cell r="D4513" t="str">
            <v>Birmingham</v>
          </cell>
          <cell r="E4513">
            <v>4333</v>
          </cell>
          <cell r="F4513" t="str">
            <v>Ruth Pallister</v>
          </cell>
          <cell r="G4513" t="str">
            <v>Frankley Community High School</v>
          </cell>
          <cell r="H4513" t="str">
            <v>West Midlands</v>
          </cell>
          <cell r="I4513" t="str">
            <v>New Street</v>
          </cell>
          <cell r="J4513" t="str">
            <v>Frankley</v>
          </cell>
          <cell r="L4513" t="str">
            <v>Birmingham</v>
          </cell>
          <cell r="M4513" t="str">
            <v>West Midlands</v>
          </cell>
          <cell r="N4513" t="str">
            <v>B45 0EU</v>
          </cell>
          <cell r="O4513" t="str">
            <v>j.harris@frankley.bham.sch.uk</v>
          </cell>
          <cell r="P4513">
            <v>41220</v>
          </cell>
        </row>
        <row r="4514">
          <cell r="A4514">
            <v>8232110</v>
          </cell>
          <cell r="B4514">
            <v>109470</v>
          </cell>
          <cell r="C4514">
            <v>823</v>
          </cell>
          <cell r="D4514" t="str">
            <v>Central Bedfordshire</v>
          </cell>
          <cell r="E4514">
            <v>2110</v>
          </cell>
          <cell r="G4514" t="str">
            <v>Church End Lower School</v>
          </cell>
          <cell r="H4514" t="str">
            <v>East of England</v>
          </cell>
          <cell r="I4514" t="str">
            <v>Church Walk</v>
          </cell>
          <cell r="J4514" t="str">
            <v>Marston Moretaine</v>
          </cell>
          <cell r="L4514" t="str">
            <v>Bedford</v>
          </cell>
          <cell r="M4514" t="str">
            <v>Bedfordshire</v>
          </cell>
          <cell r="N4514" t="str">
            <v>MK43 0NE</v>
          </cell>
          <cell r="O4514" t="str">
            <v>churchend@deal.bedfordshire.gov.uk</v>
          </cell>
        </row>
        <row r="4515">
          <cell r="A4515">
            <v>8794178</v>
          </cell>
          <cell r="B4515">
            <v>113535</v>
          </cell>
          <cell r="C4515">
            <v>879</v>
          </cell>
          <cell r="D4515" t="str">
            <v>Plymouth</v>
          </cell>
          <cell r="E4515">
            <v>4178</v>
          </cell>
          <cell r="F4515" t="str">
            <v>Susan Phillips</v>
          </cell>
          <cell r="G4515" t="str">
            <v>Ridgeway School</v>
          </cell>
          <cell r="H4515" t="str">
            <v>South West</v>
          </cell>
          <cell r="I4515" t="str">
            <v>Moorland Road</v>
          </cell>
          <cell r="J4515" t="str">
            <v>Plympton</v>
          </cell>
          <cell r="L4515" t="str">
            <v>Plymouth</v>
          </cell>
          <cell r="M4515" t="str">
            <v>Devon</v>
          </cell>
          <cell r="N4515" t="str">
            <v>PL7 2RS</v>
          </cell>
          <cell r="O4515" t="str">
            <v>headteacher@ridgeway.plymouth.sch.uk</v>
          </cell>
          <cell r="P4515">
            <v>40525</v>
          </cell>
        </row>
        <row r="4516">
          <cell r="A4516">
            <v>8102902</v>
          </cell>
          <cell r="B4516">
            <v>117929</v>
          </cell>
          <cell r="C4516">
            <v>810</v>
          </cell>
          <cell r="D4516" t="str">
            <v>Kingston upon Hull City of</v>
          </cell>
          <cell r="E4516">
            <v>2902</v>
          </cell>
          <cell r="F4516" t="str">
            <v>Adriarna Goodinson</v>
          </cell>
          <cell r="G4516" t="str">
            <v>Bude Park Primary School</v>
          </cell>
          <cell r="H4516" t="str">
            <v>Yorkshire and the Humber</v>
          </cell>
          <cell r="I4516" t="str">
            <v>Cookbury Close</v>
          </cell>
          <cell r="J4516" t="str">
            <v>Bransholme</v>
          </cell>
          <cell r="L4516" t="str">
            <v>Hull</v>
          </cell>
          <cell r="N4516" t="str">
            <v>HU7 4EY</v>
          </cell>
          <cell r="O4516" t="str">
            <v>head@budepark.hull.sch.uk</v>
          </cell>
          <cell r="P4516">
            <v>41051</v>
          </cell>
        </row>
        <row r="4517">
          <cell r="A4517">
            <v>9353089</v>
          </cell>
          <cell r="B4517">
            <v>124731</v>
          </cell>
          <cell r="C4517">
            <v>935</v>
          </cell>
          <cell r="D4517" t="str">
            <v>Suffolk</v>
          </cell>
          <cell r="E4517">
            <v>3089</v>
          </cell>
          <cell r="F4517" t="str">
            <v>Joe Farrell</v>
          </cell>
          <cell r="G4517" t="str">
            <v>Fressingfield Church of England Voluntary Controlled Primary School</v>
          </cell>
          <cell r="H4517" t="str">
            <v>East of England</v>
          </cell>
          <cell r="I4517" t="str">
            <v>Stradbroke Road</v>
          </cell>
          <cell r="J4517" t="str">
            <v>Fressingfield</v>
          </cell>
          <cell r="L4517" t="str">
            <v>Eye</v>
          </cell>
          <cell r="M4517" t="str">
            <v>Suffolk</v>
          </cell>
          <cell r="N4517" t="str">
            <v>IP21 5PR</v>
          </cell>
        </row>
        <row r="4518">
          <cell r="A4518">
            <v>8792671</v>
          </cell>
          <cell r="B4518">
            <v>113298</v>
          </cell>
          <cell r="C4518">
            <v>879</v>
          </cell>
          <cell r="D4518" t="str">
            <v>Plymouth</v>
          </cell>
          <cell r="E4518">
            <v>2671</v>
          </cell>
          <cell r="F4518" t="str">
            <v>Not yet assigned</v>
          </cell>
          <cell r="G4518" t="str">
            <v>Lipson Vale Primary School</v>
          </cell>
          <cell r="H4518" t="str">
            <v>South West</v>
          </cell>
          <cell r="I4518" t="str">
            <v>Bernice Terrace</v>
          </cell>
          <cell r="J4518" t="str">
            <v>Lipson</v>
          </cell>
          <cell r="L4518" t="str">
            <v>Plymouth</v>
          </cell>
          <cell r="M4518" t="str">
            <v>Devon</v>
          </cell>
          <cell r="N4518" t="str">
            <v>PL4 7HW</v>
          </cell>
          <cell r="O4518" t="str">
            <v>diggory.vowles@lipsonvale.plymouth.sch.uk</v>
          </cell>
        </row>
        <row r="4519">
          <cell r="A4519">
            <v>8553343</v>
          </cell>
          <cell r="B4519">
            <v>120217</v>
          </cell>
          <cell r="C4519">
            <v>855</v>
          </cell>
          <cell r="D4519" t="str">
            <v>Leicestershire</v>
          </cell>
          <cell r="E4519">
            <v>3343</v>
          </cell>
          <cell r="F4519" t="str">
            <v>Michael Corner</v>
          </cell>
          <cell r="G4519" t="str">
            <v>Saint John Fisher Catholic Primary School, Wigston, Leicestershire</v>
          </cell>
          <cell r="H4519" t="str">
            <v>East Midlands</v>
          </cell>
          <cell r="I4519" t="str">
            <v>Shenley Road</v>
          </cell>
          <cell r="L4519" t="str">
            <v>Wigston</v>
          </cell>
          <cell r="M4519" t="str">
            <v>Leicestershire</v>
          </cell>
          <cell r="N4519" t="str">
            <v>LE18 3QL</v>
          </cell>
          <cell r="O4519" t="str">
            <v>head@stjohnfisher-wigston.leics.sch.uk</v>
          </cell>
          <cell r="P4519">
            <v>40886</v>
          </cell>
        </row>
        <row r="4520">
          <cell r="A4520">
            <v>9162143</v>
          </cell>
          <cell r="B4520">
            <v>115578</v>
          </cell>
          <cell r="C4520">
            <v>916</v>
          </cell>
          <cell r="D4520" t="str">
            <v>Gloucestershire</v>
          </cell>
          <cell r="E4520">
            <v>2143</v>
          </cell>
          <cell r="F4520" t="str">
            <v>Not yet assigned</v>
          </cell>
          <cell r="G4520" t="str">
            <v>Cam Everlands Primary</v>
          </cell>
          <cell r="H4520" t="str">
            <v>South West</v>
          </cell>
          <cell r="I4520" t="str">
            <v>Birch Road</v>
          </cell>
          <cell r="J4520" t="str">
            <v>Cam</v>
          </cell>
          <cell r="L4520" t="str">
            <v>Dursley</v>
          </cell>
          <cell r="M4520" t="str">
            <v>Gloucestershire</v>
          </cell>
          <cell r="N4520" t="str">
            <v>GL11 5SF</v>
          </cell>
          <cell r="O4520" t="str">
            <v>head@cameverlands.gloucs.sch.uk</v>
          </cell>
        </row>
        <row r="4521">
          <cell r="A4521">
            <v>8813243</v>
          </cell>
          <cell r="B4521">
            <v>115128</v>
          </cell>
          <cell r="C4521">
            <v>881</v>
          </cell>
          <cell r="D4521" t="str">
            <v>Essex</v>
          </cell>
          <cell r="E4521">
            <v>3243</v>
          </cell>
          <cell r="F4521" t="str">
            <v>Claire Ivie</v>
          </cell>
          <cell r="G4521" t="str">
            <v>Debden C of E Primary School</v>
          </cell>
          <cell r="H4521" t="str">
            <v>East of England</v>
          </cell>
          <cell r="I4521" t="str">
            <v>Debden</v>
          </cell>
          <cell r="L4521" t="str">
            <v>Saffron Walden</v>
          </cell>
          <cell r="M4521" t="str">
            <v>Essex</v>
          </cell>
          <cell r="N4521" t="str">
            <v>CB11 3LE</v>
          </cell>
          <cell r="O4521" t="str">
            <v>head@debden.essex.sch.uk</v>
          </cell>
        </row>
        <row r="4522">
          <cell r="A4522">
            <v>3304660</v>
          </cell>
          <cell r="B4522">
            <v>103535</v>
          </cell>
          <cell r="C4522">
            <v>330</v>
          </cell>
          <cell r="D4522" t="str">
            <v>Birmingham</v>
          </cell>
          <cell r="E4522">
            <v>4660</v>
          </cell>
          <cell r="F4522" t="str">
            <v>Carol Ions</v>
          </cell>
          <cell r="G4522" t="str">
            <v>Bishop Vesey's Grammar School</v>
          </cell>
          <cell r="H4522" t="str">
            <v>West Midlands</v>
          </cell>
          <cell r="I4522" t="str">
            <v>Lichfield Road</v>
          </cell>
          <cell r="L4522" t="str">
            <v>Sutton Coldfield</v>
          </cell>
          <cell r="M4522" t="str">
            <v>West Midlands</v>
          </cell>
          <cell r="N4522" t="str">
            <v>B74 2NH</v>
          </cell>
          <cell r="O4522" t="str">
            <v>d.iddon@bishopveseys.bham.sch.uk</v>
          </cell>
          <cell r="P4522">
            <v>40683</v>
          </cell>
        </row>
        <row r="4523">
          <cell r="A4523">
            <v>8842138</v>
          </cell>
          <cell r="B4523">
            <v>116731</v>
          </cell>
          <cell r="C4523">
            <v>884</v>
          </cell>
          <cell r="D4523" t="str">
            <v>Herefordshire</v>
          </cell>
          <cell r="E4523">
            <v>2138</v>
          </cell>
          <cell r="F4523" t="str">
            <v>Not yet assigned</v>
          </cell>
          <cell r="G4523" t="str">
            <v>Ashfield Park Primary School</v>
          </cell>
          <cell r="H4523" t="str">
            <v>West Midlands</v>
          </cell>
          <cell r="I4523" t="str">
            <v>Redhill Road</v>
          </cell>
          <cell r="L4523" t="str">
            <v>Ross-on-Wye</v>
          </cell>
          <cell r="M4523" t="str">
            <v>Herefordshire</v>
          </cell>
          <cell r="N4523" t="str">
            <v>HR9 5AU</v>
          </cell>
        </row>
        <row r="4524">
          <cell r="A4524">
            <v>8732076</v>
          </cell>
          <cell r="B4524">
            <v>110639</v>
          </cell>
          <cell r="C4524">
            <v>873</v>
          </cell>
          <cell r="D4524" t="str">
            <v>Cambridgeshire</v>
          </cell>
          <cell r="E4524">
            <v>2076</v>
          </cell>
          <cell r="F4524" t="str">
            <v>Yvonne Reddington</v>
          </cell>
          <cell r="G4524" t="str">
            <v>Burrowmoor Primary School</v>
          </cell>
          <cell r="H4524" t="str">
            <v>East of England</v>
          </cell>
          <cell r="I4524" t="str">
            <v>Burrowmoor Road</v>
          </cell>
          <cell r="L4524" t="str">
            <v>March</v>
          </cell>
          <cell r="M4524" t="str">
            <v>Cambridgeshire</v>
          </cell>
          <cell r="N4524" t="str">
            <v>PE15 9RP</v>
          </cell>
          <cell r="O4524" t="str">
            <v>head@burrowmoor.cambs.sch.uk</v>
          </cell>
        </row>
        <row r="4525">
          <cell r="A4525">
            <v>8952206</v>
          </cell>
          <cell r="B4525">
            <v>111065</v>
          </cell>
          <cell r="C4525">
            <v>895</v>
          </cell>
          <cell r="D4525" t="str">
            <v>Cheshire East</v>
          </cell>
          <cell r="E4525">
            <v>2206</v>
          </cell>
          <cell r="F4525" t="str">
            <v>Kris Nursiah</v>
          </cell>
          <cell r="G4525" t="str">
            <v>Leighton Primary School</v>
          </cell>
          <cell r="H4525" t="str">
            <v>North West</v>
          </cell>
          <cell r="I4525" t="str">
            <v>Minshull New Road</v>
          </cell>
          <cell r="L4525" t="str">
            <v>Crewe</v>
          </cell>
          <cell r="M4525" t="str">
            <v>Cheshire</v>
          </cell>
          <cell r="N4525" t="str">
            <v>CW1 3PP</v>
          </cell>
          <cell r="O4525" t="str">
            <v>head@leighton.cheshire.sch.uk</v>
          </cell>
        </row>
        <row r="4526">
          <cell r="A4526">
            <v>3305409</v>
          </cell>
          <cell r="B4526">
            <v>103556</v>
          </cell>
          <cell r="C4526">
            <v>330</v>
          </cell>
          <cell r="D4526" t="str">
            <v>Birmingham</v>
          </cell>
          <cell r="E4526">
            <v>5409</v>
          </cell>
          <cell r="F4526" t="str">
            <v>Carla Spink</v>
          </cell>
          <cell r="G4526" t="str">
            <v>Hall Green School</v>
          </cell>
          <cell r="H4526" t="str">
            <v>West Midlands</v>
          </cell>
          <cell r="I4526" t="str">
            <v>Southam Road</v>
          </cell>
          <cell r="J4526" t="str">
            <v>Hall Green</v>
          </cell>
          <cell r="L4526" t="str">
            <v>Birmingham</v>
          </cell>
          <cell r="M4526" t="str">
            <v>West Midlands</v>
          </cell>
          <cell r="N4526" t="str">
            <v>B28 0AA</v>
          </cell>
          <cell r="O4526" t="str">
            <v>enquiry@hallgreen.bham.sch.uk</v>
          </cell>
          <cell r="P4526">
            <v>40808</v>
          </cell>
        </row>
        <row r="4527">
          <cell r="A4527">
            <v>3194007</v>
          </cell>
          <cell r="B4527">
            <v>103000</v>
          </cell>
          <cell r="C4527">
            <v>319</v>
          </cell>
          <cell r="D4527" t="str">
            <v>Sutton</v>
          </cell>
          <cell r="E4527">
            <v>4007</v>
          </cell>
          <cell r="F4527" t="str">
            <v>Helen Barry</v>
          </cell>
          <cell r="G4527" t="str">
            <v>Greenshaw High School</v>
          </cell>
          <cell r="H4527" t="str">
            <v>London</v>
          </cell>
          <cell r="I4527" t="str">
            <v>Grennell Road</v>
          </cell>
          <cell r="L4527" t="str">
            <v>Sutton</v>
          </cell>
          <cell r="M4527" t="str">
            <v>Surrey</v>
          </cell>
          <cell r="N4527" t="str">
            <v>SM1 3DY</v>
          </cell>
          <cell r="O4527" t="str">
            <v>wsmith@suttonlea.org</v>
          </cell>
          <cell r="P4527">
            <v>40633</v>
          </cell>
        </row>
        <row r="4528">
          <cell r="A4528">
            <v>9334304</v>
          </cell>
          <cell r="B4528">
            <v>123879</v>
          </cell>
          <cell r="C4528">
            <v>933</v>
          </cell>
          <cell r="D4528" t="str">
            <v>Somerset</v>
          </cell>
          <cell r="E4528">
            <v>4304</v>
          </cell>
          <cell r="F4528" t="str">
            <v>John Soysa</v>
          </cell>
          <cell r="G4528" t="str">
            <v>The King Alfred School</v>
          </cell>
          <cell r="H4528" t="str">
            <v>South West</v>
          </cell>
          <cell r="I4528" t="str">
            <v>Burnham Road</v>
          </cell>
          <cell r="L4528" t="str">
            <v>Highbridge</v>
          </cell>
          <cell r="M4528" t="str">
            <v>Somerset</v>
          </cell>
          <cell r="N4528" t="str">
            <v>TA9 3EE</v>
          </cell>
          <cell r="O4528" t="str">
            <v>AOwen@educ.somerset.gov.uk</v>
          </cell>
          <cell r="P4528">
            <v>40638</v>
          </cell>
        </row>
        <row r="4529">
          <cell r="A4529">
            <v>2123387</v>
          </cell>
          <cell r="B4529">
            <v>101037</v>
          </cell>
          <cell r="C4529">
            <v>212</v>
          </cell>
          <cell r="D4529" t="str">
            <v>Wandsworth</v>
          </cell>
          <cell r="E4529">
            <v>3387</v>
          </cell>
          <cell r="F4529" t="str">
            <v>Helena Antoniou</v>
          </cell>
          <cell r="G4529" t="str">
            <v>Our Lady of Victories Catholic Primary School</v>
          </cell>
          <cell r="H4529" t="str">
            <v>London</v>
          </cell>
          <cell r="I4529" t="str">
            <v>1 Clarendon Drive</v>
          </cell>
          <cell r="L4529" t="str">
            <v>London</v>
          </cell>
          <cell r="N4529" t="str">
            <v>SW15 1AW</v>
          </cell>
          <cell r="O4529" t="str">
            <v>head@ourladyofvictories.wandsworth.sch.uk</v>
          </cell>
        </row>
        <row r="4530">
          <cell r="A4530">
            <v>3125211</v>
          </cell>
          <cell r="B4530">
            <v>102439</v>
          </cell>
          <cell r="C4530">
            <v>312</v>
          </cell>
          <cell r="D4530" t="str">
            <v>Hillingdon</v>
          </cell>
          <cell r="E4530">
            <v>5211</v>
          </cell>
          <cell r="F4530" t="str">
            <v>Martin Rowley</v>
          </cell>
          <cell r="G4530" t="str">
            <v>Hayes Park School</v>
          </cell>
          <cell r="H4530" t="str">
            <v>London</v>
          </cell>
          <cell r="I4530" t="str">
            <v>Raynton Drive</v>
          </cell>
          <cell r="L4530" t="str">
            <v>Hayes</v>
          </cell>
          <cell r="M4530" t="str">
            <v>Middlesex</v>
          </cell>
          <cell r="N4530" t="str">
            <v>UB4 8BE</v>
          </cell>
          <cell r="O4530" t="str">
            <v>dbarlow@hillingdongrid.org</v>
          </cell>
        </row>
        <row r="4531">
          <cell r="A4531">
            <v>8124078</v>
          </cell>
          <cell r="B4531">
            <v>118091</v>
          </cell>
          <cell r="C4531">
            <v>812</v>
          </cell>
          <cell r="D4531" t="str">
            <v>North East Lincolnshire</v>
          </cell>
          <cell r="E4531">
            <v>4078</v>
          </cell>
          <cell r="F4531" t="str">
            <v>Debbie Garbutt</v>
          </cell>
          <cell r="G4531" t="str">
            <v>Tollbar Business Enterprise &amp; Humanities College</v>
          </cell>
          <cell r="H4531" t="str">
            <v>Yorkshire and the Humber</v>
          </cell>
          <cell r="I4531" t="str">
            <v>Station Road</v>
          </cell>
          <cell r="J4531" t="str">
            <v>New Waltham</v>
          </cell>
          <cell r="L4531" t="str">
            <v>Grimsby</v>
          </cell>
          <cell r="M4531" t="str">
            <v>Lincolnshire</v>
          </cell>
          <cell r="N4531" t="str">
            <v>DN36 4RZ</v>
          </cell>
          <cell r="O4531" t="str">
            <v>hampsonD@tollbarbec.co.uk</v>
          </cell>
          <cell r="P4531">
            <v>40339</v>
          </cell>
        </row>
        <row r="4532">
          <cell r="A4532">
            <v>8883804</v>
          </cell>
          <cell r="B4532">
            <v>119684</v>
          </cell>
          <cell r="C4532">
            <v>888</v>
          </cell>
          <cell r="D4532" t="str">
            <v>Lancashire</v>
          </cell>
          <cell r="E4532">
            <v>3804</v>
          </cell>
          <cell r="F4532" t="str">
            <v>Viv Clutton</v>
          </cell>
          <cell r="G4532" t="str">
            <v>St Richards Catholic Primary School, Skelmersdale</v>
          </cell>
          <cell r="H4532" t="str">
            <v>North West</v>
          </cell>
          <cell r="I4532" t="str">
            <v>Sandy Lane</v>
          </cell>
          <cell r="L4532" t="str">
            <v>Skelmersdale</v>
          </cell>
          <cell r="M4532" t="str">
            <v>Lancashire</v>
          </cell>
          <cell r="N4532" t="str">
            <v>WN8 8LQ</v>
          </cell>
          <cell r="O4532" t="str">
            <v>head@st-richards.lancs.sch.uk</v>
          </cell>
        </row>
        <row r="4533">
          <cell r="A4533">
            <v>9352107</v>
          </cell>
          <cell r="B4533">
            <v>124606</v>
          </cell>
          <cell r="C4533">
            <v>935</v>
          </cell>
          <cell r="D4533" t="str">
            <v>Suffolk</v>
          </cell>
          <cell r="E4533">
            <v>2107</v>
          </cell>
          <cell r="F4533" t="str">
            <v>Joe Farrell</v>
          </cell>
          <cell r="G4533" t="str">
            <v>Shotley CP School</v>
          </cell>
          <cell r="H4533" t="str">
            <v>East of England</v>
          </cell>
          <cell r="I4533" t="str">
            <v>Main Road</v>
          </cell>
          <cell r="J4533" t="str">
            <v>Shotley</v>
          </cell>
          <cell r="L4533" t="str">
            <v>Ipswich</v>
          </cell>
          <cell r="M4533" t="str">
            <v>Suffolk</v>
          </cell>
          <cell r="N4533" t="str">
            <v>IP9 1NR</v>
          </cell>
          <cell r="O4533" t="str">
            <v>ht.shotley.p@talk21.com</v>
          </cell>
        </row>
        <row r="4534">
          <cell r="A4534">
            <v>8784009</v>
          </cell>
          <cell r="B4534">
            <v>113501</v>
          </cell>
          <cell r="C4534">
            <v>878</v>
          </cell>
          <cell r="D4534" t="str">
            <v>Devon</v>
          </cell>
          <cell r="E4534">
            <v>4009</v>
          </cell>
          <cell r="F4534" t="str">
            <v>Susan Phillips</v>
          </cell>
          <cell r="G4534" t="str">
            <v>Clyst Vale Community College</v>
          </cell>
          <cell r="H4534" t="str">
            <v>South West</v>
          </cell>
          <cell r="I4534" t="str">
            <v>Station Road</v>
          </cell>
          <cell r="J4534" t="str">
            <v>Broadclyst</v>
          </cell>
          <cell r="L4534" t="str">
            <v>Exeter</v>
          </cell>
          <cell r="M4534" t="str">
            <v>Devon</v>
          </cell>
          <cell r="N4534" t="str">
            <v>EX5 3AJ</v>
          </cell>
          <cell r="O4534" t="str">
            <v>bawnk@clyst-vale.devon.sch.uk</v>
          </cell>
          <cell r="P4534">
            <v>40550</v>
          </cell>
        </row>
        <row r="4535">
          <cell r="A4535">
            <v>9365413</v>
          </cell>
          <cell r="B4535">
            <v>125313</v>
          </cell>
          <cell r="C4535">
            <v>936</v>
          </cell>
          <cell r="D4535" t="str">
            <v>Surrey</v>
          </cell>
          <cell r="E4535">
            <v>5413</v>
          </cell>
          <cell r="F4535" t="str">
            <v>Gabriela Grimley</v>
          </cell>
          <cell r="G4535" t="str">
            <v xml:space="preserve">Fullbrook School </v>
          </cell>
          <cell r="H4535" t="str">
            <v>South East</v>
          </cell>
          <cell r="I4535" t="str">
            <v>Selsdon Road</v>
          </cell>
          <cell r="J4535" t="str">
            <v>New Haw</v>
          </cell>
          <cell r="L4535" t="str">
            <v>Addlestone</v>
          </cell>
          <cell r="M4535" t="str">
            <v>Surrey</v>
          </cell>
          <cell r="N4535" t="str">
            <v>KT15 3HW</v>
          </cell>
          <cell r="O4535" t="str">
            <v>walshec@fullbrook.surrey.sch.uk</v>
          </cell>
          <cell r="P4535">
            <v>40575</v>
          </cell>
        </row>
        <row r="4536">
          <cell r="A4536">
            <v>8874068</v>
          </cell>
          <cell r="B4536">
            <v>118797</v>
          </cell>
          <cell r="C4536">
            <v>887</v>
          </cell>
          <cell r="D4536" t="str">
            <v>Medway</v>
          </cell>
          <cell r="E4536">
            <v>4068</v>
          </cell>
          <cell r="F4536" t="str">
            <v>Sarah Mitchell</v>
          </cell>
          <cell r="G4536" t="str">
            <v>Chatham Grammar School for Boys</v>
          </cell>
          <cell r="H4536" t="str">
            <v>South East</v>
          </cell>
          <cell r="I4536" t="str">
            <v>Holcombe</v>
          </cell>
          <cell r="J4536" t="str">
            <v>Maidstone Road</v>
          </cell>
          <cell r="L4536" t="str">
            <v>Chatham</v>
          </cell>
          <cell r="M4536" t="str">
            <v>Kent</v>
          </cell>
          <cell r="N4536" t="str">
            <v>ME4 6JB</v>
          </cell>
          <cell r="O4536" t="str">
            <v>ht@cgsb.co.uk</v>
          </cell>
          <cell r="P4536">
            <v>40532</v>
          </cell>
        </row>
        <row r="4537">
          <cell r="A4537">
            <v>9283312</v>
          </cell>
          <cell r="B4537">
            <v>122019</v>
          </cell>
          <cell r="C4537">
            <v>928</v>
          </cell>
          <cell r="D4537" t="str">
            <v>Northamptonshire</v>
          </cell>
          <cell r="E4537">
            <v>3312</v>
          </cell>
          <cell r="F4537" t="str">
            <v>Pauline Cole</v>
          </cell>
          <cell r="G4537" t="str">
            <v>Culworth Church of England School</v>
          </cell>
          <cell r="H4537" t="str">
            <v>East Midlands</v>
          </cell>
          <cell r="I4537" t="str">
            <v>Culworth</v>
          </cell>
          <cell r="J4537" t="str">
            <v>The Green</v>
          </cell>
          <cell r="L4537" t="str">
            <v>Banbury</v>
          </cell>
          <cell r="M4537" t="str">
            <v>Oxfordshire</v>
          </cell>
          <cell r="N4537" t="str">
            <v>OX17 2BB</v>
          </cell>
          <cell r="O4537" t="str">
            <v>head@culworth-ce.northants-ecl.gov.uk</v>
          </cell>
          <cell r="P4537">
            <v>41254</v>
          </cell>
        </row>
        <row r="4538">
          <cell r="A4538">
            <v>9364036</v>
          </cell>
          <cell r="B4538">
            <v>125247</v>
          </cell>
          <cell r="C4538">
            <v>936</v>
          </cell>
          <cell r="D4538" t="str">
            <v>Surrey</v>
          </cell>
          <cell r="E4538">
            <v>4036</v>
          </cell>
          <cell r="F4538" t="str">
            <v>Nicky Edwards</v>
          </cell>
          <cell r="G4538" t="str">
            <v>Howard of Effingham School</v>
          </cell>
          <cell r="H4538" t="str">
            <v>South East</v>
          </cell>
          <cell r="I4538" t="str">
            <v>Lower Road</v>
          </cell>
          <cell r="J4538" t="str">
            <v>Effingham</v>
          </cell>
          <cell r="L4538" t="str">
            <v>Leatherhead</v>
          </cell>
          <cell r="M4538" t="str">
            <v>Surrey</v>
          </cell>
          <cell r="N4538" t="str">
            <v>KT24 5JR</v>
          </cell>
          <cell r="O4538" t="str">
            <v>Rhona.Barnfield@TheHoward.org</v>
          </cell>
          <cell r="P4538">
            <v>40526</v>
          </cell>
        </row>
        <row r="4539">
          <cell r="A4539">
            <v>8863130</v>
          </cell>
          <cell r="B4539">
            <v>118660</v>
          </cell>
          <cell r="C4539">
            <v>886</v>
          </cell>
          <cell r="D4539" t="str">
            <v>Kent</v>
          </cell>
          <cell r="E4539">
            <v>3130</v>
          </cell>
          <cell r="F4539" t="str">
            <v>Sarah Mitchell</v>
          </cell>
          <cell r="G4539" t="str">
            <v>Wickhambreaux Church of England Primary School</v>
          </cell>
          <cell r="H4539" t="str">
            <v>South East</v>
          </cell>
          <cell r="I4539" t="str">
            <v>The Street</v>
          </cell>
          <cell r="J4539" t="str">
            <v>Wickhambreaux</v>
          </cell>
          <cell r="L4539" t="str">
            <v>Canterbury</v>
          </cell>
          <cell r="M4539" t="str">
            <v>Kent</v>
          </cell>
          <cell r="N4539" t="str">
            <v>CT3 1RN</v>
          </cell>
          <cell r="O4539" t="str">
            <v>headteacher@wickhambreaux.kent.sch.uk</v>
          </cell>
        </row>
        <row r="4540">
          <cell r="A4540">
            <v>2123376</v>
          </cell>
          <cell r="B4540">
            <v>101036</v>
          </cell>
          <cell r="C4540">
            <v>212</v>
          </cell>
          <cell r="D4540" t="str">
            <v>Wandsworth</v>
          </cell>
          <cell r="E4540">
            <v>3376</v>
          </cell>
          <cell r="F4540" t="str">
            <v>Tahir Shams</v>
          </cell>
          <cell r="G4540" t="str">
            <v>Holy Ghost Catholic Primary School</v>
          </cell>
          <cell r="H4540" t="str">
            <v>London</v>
          </cell>
          <cell r="I4540" t="str">
            <v>Nightingale Square</v>
          </cell>
          <cell r="J4540" t="str">
            <v>Balham</v>
          </cell>
          <cell r="L4540" t="str">
            <v>London</v>
          </cell>
          <cell r="N4540" t="str">
            <v>SW12 8QJ</v>
          </cell>
          <cell r="O4540" t="str">
            <v>head@holyghost.wandsworth.sch.uk</v>
          </cell>
        </row>
        <row r="4541">
          <cell r="A4541">
            <v>3824049</v>
          </cell>
          <cell r="B4541">
            <v>107771</v>
          </cell>
          <cell r="C4541">
            <v>382</v>
          </cell>
          <cell r="D4541" t="str">
            <v>Kirklees</v>
          </cell>
          <cell r="E4541">
            <v>4049</v>
          </cell>
          <cell r="F4541" t="str">
            <v>Bev Annables</v>
          </cell>
          <cell r="G4541" t="str">
            <v>Shelley College</v>
          </cell>
          <cell r="H4541" t="str">
            <v>Yorkshire and the Humber</v>
          </cell>
          <cell r="I4541" t="str">
            <v>Huddersfield Road</v>
          </cell>
          <cell r="J4541" t="str">
            <v>Shelley</v>
          </cell>
          <cell r="L4541" t="str">
            <v>Huddersfield</v>
          </cell>
          <cell r="M4541" t="str">
            <v>West Yorkshire</v>
          </cell>
          <cell r="N4541" t="str">
            <v>HD8 8NL</v>
          </cell>
          <cell r="O4541" t="str">
            <v>mcnallyj@shelleycollege.org</v>
          </cell>
          <cell r="P4541">
            <v>40620</v>
          </cell>
        </row>
        <row r="4542">
          <cell r="A4542">
            <v>3912004</v>
          </cell>
          <cell r="B4542">
            <v>108441</v>
          </cell>
          <cell r="C4542">
            <v>391</v>
          </cell>
          <cell r="D4542" t="str">
            <v>Newcastle upon Tyne</v>
          </cell>
          <cell r="E4542">
            <v>2004</v>
          </cell>
          <cell r="F4542" t="str">
            <v>Lisa Sargeant</v>
          </cell>
          <cell r="G4542" t="str">
            <v>Beech Hill Primary School</v>
          </cell>
          <cell r="H4542" t="str">
            <v>North East</v>
          </cell>
          <cell r="I4542" t="str">
            <v>Linhope Road</v>
          </cell>
          <cell r="J4542" t="str">
            <v>West Denton</v>
          </cell>
          <cell r="L4542" t="str">
            <v>Newcastle-upon-Tyne</v>
          </cell>
          <cell r="M4542" t="str">
            <v>Tyne and Wear</v>
          </cell>
          <cell r="N4542" t="str">
            <v>NE5 2LW</v>
          </cell>
          <cell r="O4542" t="str">
            <v>Nicola.Nelson-taylor@beechhill.newcastle.sch.uk</v>
          </cell>
        </row>
        <row r="4543">
          <cell r="A4543">
            <v>9284035</v>
          </cell>
          <cell r="B4543">
            <v>122058</v>
          </cell>
          <cell r="C4543">
            <v>928</v>
          </cell>
          <cell r="D4543" t="str">
            <v>Northamptonshire</v>
          </cell>
          <cell r="E4543">
            <v>4035</v>
          </cell>
          <cell r="F4543" t="str">
            <v>Helen Whetter</v>
          </cell>
          <cell r="G4543" t="str">
            <v>William Parker School A Specialist Humanities College</v>
          </cell>
          <cell r="H4543" t="str">
            <v>East Midlands</v>
          </cell>
          <cell r="I4543" t="str">
            <v>Ashby Road</v>
          </cell>
          <cell r="L4543" t="str">
            <v>Daventry</v>
          </cell>
          <cell r="M4543" t="str">
            <v>Northamptonshire</v>
          </cell>
          <cell r="N4543" t="str">
            <v>NN11 0QF</v>
          </cell>
          <cell r="O4543" t="str">
            <v>head@dwps.northants-ecl.gov.uk</v>
          </cell>
        </row>
        <row r="4544">
          <cell r="A4544">
            <v>9282069</v>
          </cell>
          <cell r="B4544">
            <v>121845</v>
          </cell>
          <cell r="C4544">
            <v>928</v>
          </cell>
          <cell r="D4544" t="str">
            <v>Northamptonshire</v>
          </cell>
          <cell r="E4544">
            <v>2069</v>
          </cell>
          <cell r="F4544" t="str">
            <v>Sean Cox</v>
          </cell>
          <cell r="G4544" t="str">
            <v>Maidwell Primary School</v>
          </cell>
          <cell r="H4544" t="str">
            <v>East Midlands</v>
          </cell>
          <cell r="I4544" t="str">
            <v>Draughton Road</v>
          </cell>
          <cell r="J4544" t="str">
            <v>Maidwell</v>
          </cell>
          <cell r="L4544" t="str">
            <v>Northampton</v>
          </cell>
          <cell r="M4544" t="str">
            <v>Northamptonshire</v>
          </cell>
          <cell r="N4544" t="str">
            <v>NN6 9JF</v>
          </cell>
          <cell r="O4544" t="str">
            <v>head@maidwell.northants-ecl.gov.uk</v>
          </cell>
        </row>
        <row r="4545">
          <cell r="A4545">
            <v>3314028</v>
          </cell>
          <cell r="B4545">
            <v>103731</v>
          </cell>
          <cell r="C4545">
            <v>331</v>
          </cell>
          <cell r="D4545" t="str">
            <v>Coventry</v>
          </cell>
          <cell r="E4545">
            <v>4028</v>
          </cell>
          <cell r="F4545" t="str">
            <v>Alison Middleton</v>
          </cell>
          <cell r="G4545" t="str">
            <v>Caludon Castle School</v>
          </cell>
          <cell r="H4545" t="str">
            <v>West Midlands</v>
          </cell>
          <cell r="I4545" t="str">
            <v>Axholme Road</v>
          </cell>
          <cell r="J4545" t="str">
            <v>Wyken</v>
          </cell>
          <cell r="L4545" t="str">
            <v>Coventry</v>
          </cell>
          <cell r="M4545" t="str">
            <v>West Midlands</v>
          </cell>
          <cell r="N4545" t="str">
            <v>CV2 5BD</v>
          </cell>
          <cell r="O4545" t="str">
            <v>headspa@caludoncastle.co.uk</v>
          </cell>
          <cell r="P4545">
            <v>40589</v>
          </cell>
        </row>
        <row r="4546">
          <cell r="A4546">
            <v>8792702</v>
          </cell>
          <cell r="B4546">
            <v>113323</v>
          </cell>
          <cell r="C4546">
            <v>879</v>
          </cell>
          <cell r="D4546" t="str">
            <v>Plymouth</v>
          </cell>
          <cell r="E4546">
            <v>2702</v>
          </cell>
          <cell r="F4546" t="str">
            <v>Kate Bosher</v>
          </cell>
          <cell r="G4546" t="str">
            <v>Widewell Primary School</v>
          </cell>
          <cell r="H4546" t="str">
            <v>South West</v>
          </cell>
          <cell r="I4546" t="str">
            <v>Lulworth Drive</v>
          </cell>
          <cell r="J4546" t="str">
            <v>Roborough</v>
          </cell>
          <cell r="L4546" t="str">
            <v>Plymouth</v>
          </cell>
          <cell r="M4546" t="str">
            <v>Devon</v>
          </cell>
          <cell r="N4546" t="str">
            <v>PL6 7ER</v>
          </cell>
          <cell r="O4546" t="str">
            <v>widewell.primary.school@plymouth.gov.uk</v>
          </cell>
          <cell r="P4546">
            <v>40941</v>
          </cell>
        </row>
        <row r="4547">
          <cell r="A4547">
            <v>3844604</v>
          </cell>
          <cell r="B4547">
            <v>108297</v>
          </cell>
          <cell r="C4547">
            <v>384</v>
          </cell>
          <cell r="D4547" t="str">
            <v>Wakefield</v>
          </cell>
          <cell r="E4547">
            <v>4604</v>
          </cell>
          <cell r="F4547" t="str">
            <v>Tony Bretherick</v>
          </cell>
          <cell r="G4547" t="str">
            <v>St Wilfrid's Catholic High School and Sixth Form College: With Speech and Language Resource</v>
          </cell>
          <cell r="H4547" t="str">
            <v>Yorkshire and the Humber</v>
          </cell>
          <cell r="I4547" t="str">
            <v>Cutsyke Road</v>
          </cell>
          <cell r="J4547" t="str">
            <v>Featherstone</v>
          </cell>
          <cell r="L4547" t="str">
            <v>Pontefract</v>
          </cell>
          <cell r="M4547" t="str">
            <v>West Yorkshire</v>
          </cell>
          <cell r="N4547" t="str">
            <v>WF7 6BD</v>
          </cell>
          <cell r="P4547">
            <v>41018</v>
          </cell>
        </row>
        <row r="4548">
          <cell r="A4548">
            <v>8854030</v>
          </cell>
          <cell r="B4548">
            <v>116943</v>
          </cell>
          <cell r="C4548">
            <v>885</v>
          </cell>
          <cell r="D4548" t="str">
            <v>Worcestershire</v>
          </cell>
          <cell r="E4548">
            <v>4030</v>
          </cell>
          <cell r="F4548" t="str">
            <v>Carla Spink</v>
          </cell>
          <cell r="G4548" t="str">
            <v>Pershore High School</v>
          </cell>
          <cell r="H4548" t="str">
            <v>West Midlands</v>
          </cell>
          <cell r="I4548" t="str">
            <v>Station Road</v>
          </cell>
          <cell r="L4548" t="str">
            <v>Pershore</v>
          </cell>
          <cell r="M4548" t="str">
            <v>Worcestershire</v>
          </cell>
          <cell r="N4548" t="str">
            <v>WR10 2BX</v>
          </cell>
          <cell r="O4548" t="str">
            <v>cc@pershore.worcs.sch.uk</v>
          </cell>
          <cell r="P4548">
            <v>40620</v>
          </cell>
        </row>
        <row r="4549">
          <cell r="A4549">
            <v>8864046</v>
          </cell>
          <cell r="B4549">
            <v>118791</v>
          </cell>
          <cell r="C4549">
            <v>886</v>
          </cell>
          <cell r="D4549" t="str">
            <v>Kent</v>
          </cell>
          <cell r="E4549">
            <v>4046</v>
          </cell>
          <cell r="F4549" t="str">
            <v>Nicky Edwards</v>
          </cell>
          <cell r="G4549" t="str">
            <v>Weald of Kent Grammar School</v>
          </cell>
          <cell r="H4549" t="str">
            <v>South East</v>
          </cell>
          <cell r="I4549" t="str">
            <v>Tudeley Lane</v>
          </cell>
          <cell r="L4549" t="str">
            <v>Tonbridge</v>
          </cell>
          <cell r="M4549" t="str">
            <v>Kent</v>
          </cell>
          <cell r="N4549" t="str">
            <v>TN9 2JP</v>
          </cell>
          <cell r="O4549" t="str">
            <v>maureen.johnson@wealdofkent.kent.sch.uk</v>
          </cell>
          <cell r="P4549">
            <v>40359</v>
          </cell>
        </row>
        <row r="4550">
          <cell r="A4550">
            <v>9313246</v>
          </cell>
          <cell r="B4550">
            <v>123165</v>
          </cell>
          <cell r="C4550">
            <v>931</v>
          </cell>
          <cell r="D4550" t="str">
            <v>Oxfordshire</v>
          </cell>
          <cell r="E4550">
            <v>3246</v>
          </cell>
          <cell r="F4550" t="str">
            <v>Sarah Nairne</v>
          </cell>
          <cell r="G4550" t="str">
            <v>Wantage Church of England Primary School</v>
          </cell>
          <cell r="H4550" t="str">
            <v>South East</v>
          </cell>
          <cell r="I4550" t="str">
            <v>Newbury Street</v>
          </cell>
          <cell r="L4550" t="str">
            <v>Wantage</v>
          </cell>
          <cell r="M4550" t="str">
            <v>Oxfordshire</v>
          </cell>
          <cell r="N4550" t="str">
            <v>OX12 8DJ</v>
          </cell>
          <cell r="O4550" t="str">
            <v>head.3246@wantage-ce.oxon.sch.uk</v>
          </cell>
        </row>
        <row r="4551">
          <cell r="A4551">
            <v>9254017</v>
          </cell>
          <cell r="B4551">
            <v>120638</v>
          </cell>
          <cell r="C4551">
            <v>925</v>
          </cell>
          <cell r="D4551" t="str">
            <v>Lincolnshire</v>
          </cell>
          <cell r="E4551">
            <v>4017</v>
          </cell>
          <cell r="F4551" t="str">
            <v>Servet Bicer</v>
          </cell>
          <cell r="G4551" t="str">
            <v>Charles Read High School</v>
          </cell>
          <cell r="H4551" t="str">
            <v>East Midlands</v>
          </cell>
          <cell r="I4551" t="str">
            <v>Bourne Road</v>
          </cell>
          <cell r="J4551" t="str">
            <v>Corby Glen</v>
          </cell>
          <cell r="L4551" t="str">
            <v>Grantham</v>
          </cell>
          <cell r="M4551" t="str">
            <v>Lincolnshire</v>
          </cell>
          <cell r="N4551" t="str">
            <v>NG33 4NT</v>
          </cell>
          <cell r="O4551" t="str">
            <v>trudy.brothwell@wgfederation.com</v>
          </cell>
          <cell r="P4551">
            <v>40357</v>
          </cell>
        </row>
        <row r="4552">
          <cell r="A4552">
            <v>9164032</v>
          </cell>
          <cell r="B4552">
            <v>115723</v>
          </cell>
          <cell r="C4552">
            <v>916</v>
          </cell>
          <cell r="D4552" t="str">
            <v>Gloucestershire</v>
          </cell>
          <cell r="E4552">
            <v>4032</v>
          </cell>
          <cell r="F4552" t="str">
            <v>Theresa Oddelm</v>
          </cell>
          <cell r="G4552" t="str">
            <v>Archway School</v>
          </cell>
          <cell r="H4552" t="str">
            <v>South West</v>
          </cell>
          <cell r="I4552" t="str">
            <v>Paganhill</v>
          </cell>
          <cell r="L4552" t="str">
            <v>Stroud</v>
          </cell>
          <cell r="M4552" t="str">
            <v>Gloucestershire</v>
          </cell>
          <cell r="N4552" t="str">
            <v>GL5 4AX</v>
          </cell>
          <cell r="O4552" t="str">
            <v>colinbelford@archwayschool.net</v>
          </cell>
        </row>
        <row r="4553">
          <cell r="A4553">
            <v>3804613</v>
          </cell>
          <cell r="B4553">
            <v>133450</v>
          </cell>
          <cell r="C4553">
            <v>380</v>
          </cell>
          <cell r="D4553" t="str">
            <v>Bradford</v>
          </cell>
          <cell r="E4553">
            <v>4613</v>
          </cell>
          <cell r="F4553" t="str">
            <v>Lisa Sargeant</v>
          </cell>
          <cell r="G4553" t="str">
            <v>Feversham College</v>
          </cell>
          <cell r="H4553" t="str">
            <v>Yorkshire and the Humber</v>
          </cell>
          <cell r="I4553" t="str">
            <v>Cliffe Road</v>
          </cell>
          <cell r="J4553" t="str">
            <v>Undercliffe</v>
          </cell>
          <cell r="L4553" t="str">
            <v>Bradford</v>
          </cell>
          <cell r="M4553" t="str">
            <v>West Yorkshire</v>
          </cell>
          <cell r="N4553" t="str">
            <v>BD3 0LT</v>
          </cell>
          <cell r="O4553" t="str">
            <v>clare.skelding@fevershamcollege.com</v>
          </cell>
          <cell r="P4553">
            <v>40672</v>
          </cell>
        </row>
        <row r="4554">
          <cell r="A4554">
            <v>8604111</v>
          </cell>
          <cell r="B4554">
            <v>124416</v>
          </cell>
          <cell r="C4554">
            <v>860</v>
          </cell>
          <cell r="D4554" t="str">
            <v>Staffordshire</v>
          </cell>
          <cell r="E4554">
            <v>4111</v>
          </cell>
          <cell r="F4554" t="str">
            <v>Stephen Bagnall</v>
          </cell>
          <cell r="G4554" t="str">
            <v>Walton High School</v>
          </cell>
          <cell r="H4554" t="str">
            <v>West Midlands</v>
          </cell>
          <cell r="I4554" t="str">
            <v>The Rise</v>
          </cell>
          <cell r="J4554" t="str">
            <v>Walton-on-the-Hill</v>
          </cell>
          <cell r="L4554" t="str">
            <v>Stafford</v>
          </cell>
          <cell r="M4554" t="str">
            <v>Staffordshire</v>
          </cell>
          <cell r="N4554" t="str">
            <v>ST17 0LJ</v>
          </cell>
          <cell r="O4554" t="str">
            <v>n.finlay@walton.staffs.sch.uk</v>
          </cell>
        </row>
        <row r="4555">
          <cell r="A4555">
            <v>3803378</v>
          </cell>
          <cell r="B4555">
            <v>128081</v>
          </cell>
          <cell r="C4555">
            <v>380</v>
          </cell>
          <cell r="D4555" t="str">
            <v>Bradford</v>
          </cell>
          <cell r="E4555">
            <v>3378</v>
          </cell>
          <cell r="F4555" t="str">
            <v>Not yet assigned</v>
          </cell>
          <cell r="G4555" t="str">
            <v>Westminster Church of England Primary School</v>
          </cell>
          <cell r="H4555" t="str">
            <v>Yorkshire and the Humber</v>
          </cell>
          <cell r="I4555" t="str">
            <v>Westminster Road</v>
          </cell>
          <cell r="L4555" t="str">
            <v>Bradford</v>
          </cell>
          <cell r="M4555" t="str">
            <v>West Yorkshire</v>
          </cell>
          <cell r="N4555" t="str">
            <v>BD3 0HW</v>
          </cell>
          <cell r="O4555" t="str">
            <v>rob.freeth@westminster.bradford.sch.uk</v>
          </cell>
        </row>
        <row r="4556">
          <cell r="A4556">
            <v>8912699</v>
          </cell>
          <cell r="B4556">
            <v>122624</v>
          </cell>
          <cell r="C4556">
            <v>891</v>
          </cell>
          <cell r="D4556" t="str">
            <v>Nottinghamshire</v>
          </cell>
          <cell r="E4556">
            <v>2699</v>
          </cell>
          <cell r="F4556" t="str">
            <v>Frances Blow</v>
          </cell>
          <cell r="G4556" t="str">
            <v>Burton Joyce Primary School</v>
          </cell>
          <cell r="H4556" t="str">
            <v>East Midlands</v>
          </cell>
          <cell r="I4556" t="str">
            <v>Padleys Lane</v>
          </cell>
          <cell r="J4556" t="str">
            <v>Burton Joyce</v>
          </cell>
          <cell r="L4556" t="str">
            <v>Nottingham</v>
          </cell>
          <cell r="M4556" t="str">
            <v>Nottinghamshire</v>
          </cell>
          <cell r="N4556" t="str">
            <v>NG14 5EB</v>
          </cell>
          <cell r="O4556" t="str">
            <v>head@burtonjoyce.notts.sch.uk</v>
          </cell>
          <cell r="P4556">
            <v>41046</v>
          </cell>
        </row>
        <row r="4557">
          <cell r="A4557">
            <v>8312522</v>
          </cell>
          <cell r="B4557">
            <v>112779</v>
          </cell>
          <cell r="C4557">
            <v>831</v>
          </cell>
          <cell r="D4557" t="str">
            <v>Derby</v>
          </cell>
          <cell r="E4557">
            <v>2522</v>
          </cell>
          <cell r="F4557" t="str">
            <v>Elaine Howard</v>
          </cell>
          <cell r="G4557" t="str">
            <v>Lawn Primary School</v>
          </cell>
          <cell r="H4557" t="str">
            <v>East Midlands</v>
          </cell>
          <cell r="I4557" t="str">
            <v>Norbury Close</v>
          </cell>
          <cell r="J4557" t="str">
            <v>Allestree</v>
          </cell>
          <cell r="L4557" t="str">
            <v>Derby</v>
          </cell>
          <cell r="M4557" t="str">
            <v>Derbyshire</v>
          </cell>
          <cell r="N4557" t="str">
            <v>DE22 2QR</v>
          </cell>
        </row>
        <row r="4558">
          <cell r="A4558">
            <v>8504161</v>
          </cell>
          <cell r="B4558">
            <v>116429</v>
          </cell>
          <cell r="C4558">
            <v>850</v>
          </cell>
          <cell r="D4558" t="str">
            <v>Hampshire</v>
          </cell>
          <cell r="E4558">
            <v>4161</v>
          </cell>
          <cell r="F4558" t="str">
            <v>Amanda Barrett</v>
          </cell>
          <cell r="G4558" t="str">
            <v>Wyvern Technology College</v>
          </cell>
          <cell r="H4558" t="str">
            <v>South East</v>
          </cell>
          <cell r="I4558" t="str">
            <v>Botley Road</v>
          </cell>
          <cell r="J4558" t="str">
            <v>Fair Oak</v>
          </cell>
          <cell r="L4558" t="str">
            <v>Eastleigh</v>
          </cell>
          <cell r="M4558" t="str">
            <v>Hampshire</v>
          </cell>
          <cell r="N4558" t="str">
            <v>SO50 7AN</v>
          </cell>
          <cell r="O4558" t="str">
            <v>enquiries@wyvern.hants.sch.uk</v>
          </cell>
          <cell r="P4558">
            <v>40819</v>
          </cell>
        </row>
        <row r="4559">
          <cell r="A4559">
            <v>3052039</v>
          </cell>
          <cell r="B4559">
            <v>101612</v>
          </cell>
          <cell r="C4559">
            <v>305</v>
          </cell>
          <cell r="D4559" t="str">
            <v>Bromley</v>
          </cell>
          <cell r="E4559">
            <v>2039</v>
          </cell>
          <cell r="F4559" t="str">
            <v>Sheila Longstaff</v>
          </cell>
          <cell r="G4559" t="str">
            <v>Darrick Wood Junior School</v>
          </cell>
          <cell r="H4559" t="str">
            <v>London</v>
          </cell>
          <cell r="I4559" t="str">
            <v>Lovibonds Avenue</v>
          </cell>
          <cell r="L4559" t="str">
            <v>Orpington</v>
          </cell>
          <cell r="M4559" t="str">
            <v>Kent</v>
          </cell>
          <cell r="N4559" t="str">
            <v>BR6 8ER</v>
          </cell>
          <cell r="O4559" t="str">
            <v>headteacher@darrickwood-jun.bromley.sch.uk</v>
          </cell>
          <cell r="P4559">
            <v>40687</v>
          </cell>
        </row>
        <row r="4560">
          <cell r="A4560">
            <v>3314026</v>
          </cell>
          <cell r="B4560">
            <v>103729</v>
          </cell>
          <cell r="C4560">
            <v>331</v>
          </cell>
          <cell r="D4560" t="str">
            <v>Coventry</v>
          </cell>
          <cell r="E4560">
            <v>4026</v>
          </cell>
          <cell r="F4560" t="str">
            <v>Alison Middleton</v>
          </cell>
          <cell r="G4560" t="str">
            <v>Coundon Court School and Community College</v>
          </cell>
          <cell r="H4560" t="str">
            <v>West Midlands</v>
          </cell>
          <cell r="I4560" t="str">
            <v>Northbrook Road</v>
          </cell>
          <cell r="L4560" t="str">
            <v>Coventry</v>
          </cell>
          <cell r="M4560" t="str">
            <v>West Midlands</v>
          </cell>
          <cell r="N4560" t="str">
            <v>CV6 2AJ</v>
          </cell>
          <cell r="O4560" t="str">
            <v>debbie.morrison@coundoncourt.coventry.sch.uk</v>
          </cell>
          <cell r="P4560">
            <v>40819</v>
          </cell>
        </row>
        <row r="4561">
          <cell r="A4561">
            <v>3064702</v>
          </cell>
          <cell r="B4561">
            <v>101814</v>
          </cell>
          <cell r="C4561">
            <v>306</v>
          </cell>
          <cell r="D4561" t="str">
            <v>Croydon</v>
          </cell>
          <cell r="E4561">
            <v>4702</v>
          </cell>
          <cell r="F4561" t="str">
            <v>Helen Barry</v>
          </cell>
          <cell r="G4561" t="str">
            <v>St Mary's Catholic High School</v>
          </cell>
          <cell r="H4561" t="str">
            <v>London</v>
          </cell>
          <cell r="I4561" t="str">
            <v>Woburn Road</v>
          </cell>
          <cell r="L4561" t="str">
            <v>Croydon</v>
          </cell>
          <cell r="M4561" t="str">
            <v>Surrey</v>
          </cell>
          <cell r="N4561" t="str">
            <v>CR9 2EE</v>
          </cell>
          <cell r="O4561" t="str">
            <v>headteacher.st-marys.croydon@lgfl.net</v>
          </cell>
        </row>
        <row r="4562">
          <cell r="A4562">
            <v>3545205</v>
          </cell>
          <cell r="B4562">
            <v>105851</v>
          </cell>
          <cell r="C4562">
            <v>354</v>
          </cell>
          <cell r="D4562" t="str">
            <v>Rochdale</v>
          </cell>
          <cell r="E4562">
            <v>5205</v>
          </cell>
          <cell r="F4562" t="str">
            <v>Jane McCusker</v>
          </cell>
          <cell r="G4562" t="str">
            <v>Bamford Primary School</v>
          </cell>
          <cell r="H4562" t="str">
            <v>North West</v>
          </cell>
          <cell r="I4562" t="str">
            <v>Belgium Street</v>
          </cell>
          <cell r="J4562" t="str">
            <v>Bamford</v>
          </cell>
          <cell r="L4562" t="str">
            <v>Rochdale</v>
          </cell>
          <cell r="M4562" t="str">
            <v>Lancashire</v>
          </cell>
          <cell r="N4562" t="str">
            <v>OL11 5PS</v>
          </cell>
          <cell r="O4562" t="str">
            <v>crivero@bamfordprimary.co.uk</v>
          </cell>
          <cell r="P4562">
            <v>40634</v>
          </cell>
        </row>
        <row r="4563">
          <cell r="A4563">
            <v>8854801</v>
          </cell>
          <cell r="B4563">
            <v>116995</v>
          </cell>
          <cell r="C4563">
            <v>885</v>
          </cell>
          <cell r="D4563" t="str">
            <v>Worcestershire</v>
          </cell>
          <cell r="E4563">
            <v>4801</v>
          </cell>
          <cell r="F4563" t="str">
            <v>Stephen Bagnall</v>
          </cell>
          <cell r="G4563" t="str">
            <v>Dyson Perrins CofE Sports College</v>
          </cell>
          <cell r="H4563" t="str">
            <v>West Midlands</v>
          </cell>
          <cell r="I4563" t="str">
            <v>Yates Hay Road</v>
          </cell>
          <cell r="L4563" t="str">
            <v>Malvern</v>
          </cell>
          <cell r="M4563" t="str">
            <v>Worcestershire</v>
          </cell>
          <cell r="N4563" t="str">
            <v>WR14 1WD</v>
          </cell>
          <cell r="O4563" t="str">
            <v>dg@dysonperrins.worcs.sch.uk</v>
          </cell>
          <cell r="P4563">
            <v>40633</v>
          </cell>
        </row>
        <row r="4564">
          <cell r="A4564">
            <v>9312208</v>
          </cell>
          <cell r="B4564">
            <v>123009</v>
          </cell>
          <cell r="C4564">
            <v>931</v>
          </cell>
          <cell r="D4564" t="str">
            <v>Oxfordshire</v>
          </cell>
          <cell r="E4564">
            <v>2208</v>
          </cell>
          <cell r="F4564" t="str">
            <v>Jenny Baker</v>
          </cell>
          <cell r="G4564" t="str">
            <v>Whitchurch Primary School</v>
          </cell>
          <cell r="H4564" t="str">
            <v>South East</v>
          </cell>
          <cell r="I4564" t="str">
            <v>Eastfield Lane</v>
          </cell>
          <cell r="J4564" t="str">
            <v>Whitchurch-on-Thames</v>
          </cell>
          <cell r="L4564" t="str">
            <v>Reading</v>
          </cell>
          <cell r="M4564" t="str">
            <v>Berkshire</v>
          </cell>
          <cell r="N4564" t="str">
            <v>RG8 7EJ</v>
          </cell>
          <cell r="O4564" t="str">
            <v>Head.2208@Whitchurch.oxon.sch.uk</v>
          </cell>
        </row>
        <row r="4565">
          <cell r="A4565">
            <v>8815278</v>
          </cell>
          <cell r="B4565">
            <v>115168</v>
          </cell>
          <cell r="C4565">
            <v>881</v>
          </cell>
          <cell r="D4565" t="str">
            <v>Essex</v>
          </cell>
          <cell r="E4565">
            <v>5278</v>
          </cell>
          <cell r="F4565" t="str">
            <v>Claire Ivie</v>
          </cell>
          <cell r="G4565" t="str">
            <v>Holy Cross Catholic Primary School, Harlow</v>
          </cell>
          <cell r="H4565" t="str">
            <v>East of England</v>
          </cell>
          <cell r="I4565" t="str">
            <v>Tracyes Road</v>
          </cell>
          <cell r="J4565" t="str">
            <v>Southern Way</v>
          </cell>
          <cell r="L4565" t="str">
            <v>Harlow</v>
          </cell>
          <cell r="M4565" t="str">
            <v>Essex</v>
          </cell>
          <cell r="N4565" t="str">
            <v>CM18 6JJ</v>
          </cell>
          <cell r="O4565" t="str">
            <v>head@holycross-pri.essex.sch.uk</v>
          </cell>
          <cell r="P4565">
            <v>40679</v>
          </cell>
        </row>
        <row r="4566">
          <cell r="A4566">
            <v>3574011</v>
          </cell>
          <cell r="B4566">
            <v>106259</v>
          </cell>
          <cell r="C4566">
            <v>357</v>
          </cell>
          <cell r="D4566" t="str">
            <v>Tameside</v>
          </cell>
          <cell r="E4566">
            <v>4011</v>
          </cell>
          <cell r="F4566" t="str">
            <v>Linda Quinn</v>
          </cell>
          <cell r="G4566" t="str">
            <v>Copley High School</v>
          </cell>
          <cell r="H4566" t="str">
            <v>North West</v>
          </cell>
          <cell r="I4566" t="str">
            <v>Huddersfield Road</v>
          </cell>
          <cell r="L4566" t="str">
            <v>Stalybridge</v>
          </cell>
          <cell r="M4566" t="str">
            <v>Cheshire</v>
          </cell>
          <cell r="N4566" t="str">
            <v>SK15 3RR</v>
          </cell>
          <cell r="O4566" t="str">
            <v>mjennings@copley.tameside.sch.uk</v>
          </cell>
          <cell r="P4566">
            <v>41096</v>
          </cell>
        </row>
        <row r="4567">
          <cell r="A4567">
            <v>8233008</v>
          </cell>
          <cell r="B4567">
            <v>109601</v>
          </cell>
          <cell r="C4567">
            <v>823</v>
          </cell>
          <cell r="D4567" t="str">
            <v>Central Bedfordshire</v>
          </cell>
          <cell r="E4567">
            <v>3008</v>
          </cell>
          <cell r="F4567" t="str">
            <v>Michael Cook</v>
          </cell>
          <cell r="G4567" t="str">
            <v>Raynsford VC Lower School</v>
          </cell>
          <cell r="H4567" t="str">
            <v>East of England</v>
          </cell>
          <cell r="I4567" t="str">
            <v>Park Lane</v>
          </cell>
          <cell r="L4567" t="str">
            <v>Henlow</v>
          </cell>
          <cell r="M4567" t="str">
            <v>Bedfordshire</v>
          </cell>
          <cell r="N4567" t="str">
            <v>SG16 6AT</v>
          </cell>
          <cell r="O4567" t="str">
            <v>hillh@raynsford.cbeds.co.uk</v>
          </cell>
          <cell r="P4567">
            <v>41018</v>
          </cell>
        </row>
        <row r="4568">
          <cell r="A4568">
            <v>8914084</v>
          </cell>
          <cell r="B4568">
            <v>122846</v>
          </cell>
          <cell r="C4568">
            <v>891</v>
          </cell>
          <cell r="D4568" t="str">
            <v>Nottinghamshire</v>
          </cell>
          <cell r="E4568">
            <v>4084</v>
          </cell>
          <cell r="F4568" t="str">
            <v>Paul Hayes</v>
          </cell>
          <cell r="G4568" t="str">
            <v>Redhill School</v>
          </cell>
          <cell r="H4568" t="str">
            <v>East Midlands</v>
          </cell>
          <cell r="I4568" t="str">
            <v>Redhill Road</v>
          </cell>
          <cell r="J4568" t="str">
            <v>Arnold</v>
          </cell>
          <cell r="L4568" t="str">
            <v>Nottingham</v>
          </cell>
          <cell r="M4568" t="str">
            <v>Nottinghamshire</v>
          </cell>
          <cell r="N4568" t="str">
            <v>NG5 8GX</v>
          </cell>
          <cell r="O4568" t="str">
            <v>a.burns@redhill.notts.sch.uk</v>
          </cell>
          <cell r="P4568">
            <v>40353</v>
          </cell>
        </row>
        <row r="4569">
          <cell r="A4569">
            <v>8375404</v>
          </cell>
          <cell r="B4569">
            <v>113904</v>
          </cell>
          <cell r="C4569">
            <v>837</v>
          </cell>
          <cell r="D4569" t="str">
            <v>Bournemouth</v>
          </cell>
          <cell r="E4569">
            <v>5404</v>
          </cell>
          <cell r="F4569" t="str">
            <v>Kate Bosher</v>
          </cell>
          <cell r="G4569" t="str">
            <v>Avonbourne School</v>
          </cell>
          <cell r="H4569" t="str">
            <v>South West</v>
          </cell>
          <cell r="I4569" t="str">
            <v>Harewood Avenue</v>
          </cell>
          <cell r="L4569" t="str">
            <v>Bournemouth</v>
          </cell>
          <cell r="M4569" t="str">
            <v>Dorset</v>
          </cell>
          <cell r="N4569" t="str">
            <v>BH7 6NY</v>
          </cell>
          <cell r="O4569" t="str">
            <v>debbie.godfreyphaure@avonbourne.org</v>
          </cell>
          <cell r="P4569">
            <v>40932</v>
          </cell>
        </row>
        <row r="4570">
          <cell r="A4570">
            <v>3942163</v>
          </cell>
          <cell r="B4570">
            <v>108820</v>
          </cell>
          <cell r="C4570">
            <v>394</v>
          </cell>
          <cell r="D4570" t="str">
            <v>Sunderland</v>
          </cell>
          <cell r="E4570">
            <v>2163</v>
          </cell>
          <cell r="F4570" t="str">
            <v>Susan Dean</v>
          </cell>
          <cell r="G4570" t="str">
            <v>Holley Park Primary School</v>
          </cell>
          <cell r="H4570" t="str">
            <v>North East</v>
          </cell>
          <cell r="I4570" t="str">
            <v>Ayton Road</v>
          </cell>
          <cell r="J4570" t="str">
            <v>Oxclose</v>
          </cell>
          <cell r="L4570" t="str">
            <v>Washington</v>
          </cell>
          <cell r="M4570" t="str">
            <v>Tyne and Wear</v>
          </cell>
          <cell r="N4570" t="str">
            <v>NE38 0LR</v>
          </cell>
          <cell r="O4570" t="str">
            <v>sharon.wright@schools.sunderland.gov.uk</v>
          </cell>
          <cell r="P4570">
            <v>40977</v>
          </cell>
        </row>
        <row r="4571">
          <cell r="A4571">
            <v>8932056</v>
          </cell>
          <cell r="B4571">
            <v>123374</v>
          </cell>
          <cell r="C4571">
            <v>893</v>
          </cell>
          <cell r="D4571" t="str">
            <v>Shropshire</v>
          </cell>
          <cell r="E4571">
            <v>2056</v>
          </cell>
          <cell r="F4571" t="str">
            <v>Julia Waterhouse</v>
          </cell>
          <cell r="G4571" t="str">
            <v>Ifton Heath Primary School</v>
          </cell>
          <cell r="H4571" t="str">
            <v>West Midlands</v>
          </cell>
          <cell r="I4571" t="str">
            <v>St Martin's</v>
          </cell>
          <cell r="L4571" t="str">
            <v>Oswestry</v>
          </cell>
          <cell r="M4571" t="str">
            <v>Shropshire</v>
          </cell>
          <cell r="N4571" t="str">
            <v>SY11 3DH</v>
          </cell>
          <cell r="O4571" t="str">
            <v>head.iftonheath@shropshirelg.net</v>
          </cell>
          <cell r="P4571">
            <v>40761</v>
          </cell>
        </row>
        <row r="4572">
          <cell r="A4572">
            <v>3444067</v>
          </cell>
          <cell r="B4572">
            <v>105104</v>
          </cell>
          <cell r="C4572">
            <v>344</v>
          </cell>
          <cell r="D4572" t="str">
            <v>Wirral</v>
          </cell>
          <cell r="E4572">
            <v>4067</v>
          </cell>
          <cell r="F4572" t="str">
            <v>Carol Ions</v>
          </cell>
          <cell r="G4572" t="str">
            <v>The Oldershaw School</v>
          </cell>
          <cell r="H4572" t="str">
            <v>North West</v>
          </cell>
          <cell r="I4572" t="str">
            <v>Valkyrie Road</v>
          </cell>
          <cell r="L4572" t="str">
            <v>Wallasey</v>
          </cell>
          <cell r="M4572" t="str">
            <v>Merseyside</v>
          </cell>
          <cell r="N4572" t="str">
            <v>CH45 4RJ</v>
          </cell>
          <cell r="O4572" t="str">
            <v>headteacher@oldershaw.wirral.sch.uk</v>
          </cell>
          <cell r="P4572">
            <v>40557</v>
          </cell>
        </row>
        <row r="4573">
          <cell r="A4573">
            <v>9082117</v>
          </cell>
          <cell r="B4573">
            <v>111819</v>
          </cell>
          <cell r="C4573">
            <v>908</v>
          </cell>
          <cell r="D4573" t="str">
            <v>Cornwall</v>
          </cell>
          <cell r="E4573">
            <v>2117</v>
          </cell>
          <cell r="F4573" t="str">
            <v>Kate Bosher</v>
          </cell>
          <cell r="G4573" t="str">
            <v>Penryn Junior School</v>
          </cell>
          <cell r="H4573" t="str">
            <v>South West</v>
          </cell>
          <cell r="I4573" t="str">
            <v>Treverbyn Rise</v>
          </cell>
          <cell r="L4573" t="str">
            <v>Penryn</v>
          </cell>
          <cell r="M4573" t="str">
            <v>Cornwall</v>
          </cell>
          <cell r="N4573" t="str">
            <v>TR10 8RA</v>
          </cell>
          <cell r="O4573" t="str">
            <v>head@penryn-jnr.cornwall.sch.uk</v>
          </cell>
        </row>
        <row r="4574">
          <cell r="A4574">
            <v>8234038</v>
          </cell>
          <cell r="B4574">
            <v>109655</v>
          </cell>
          <cell r="C4574">
            <v>823</v>
          </cell>
          <cell r="D4574" t="str">
            <v>Central Bedfordshire</v>
          </cell>
          <cell r="E4574">
            <v>4038</v>
          </cell>
          <cell r="F4574" t="str">
            <v>Kish Chetty</v>
          </cell>
          <cell r="G4574" t="str">
            <v>Brooklands Middle School</v>
          </cell>
          <cell r="H4574" t="str">
            <v>East of England</v>
          </cell>
          <cell r="I4574" t="str">
            <v>Brooklands Drive</v>
          </cell>
          <cell r="L4574" t="str">
            <v>Leighton Buzzard</v>
          </cell>
          <cell r="M4574" t="str">
            <v>Bedfordshire</v>
          </cell>
          <cell r="N4574" t="str">
            <v>LU7 3PF</v>
          </cell>
          <cell r="O4574" t="str">
            <v>brooklands@deal.bedfordshire.gov.uk</v>
          </cell>
          <cell r="P4574">
            <v>40641</v>
          </cell>
        </row>
        <row r="4575">
          <cell r="A4575">
            <v>8844004</v>
          </cell>
          <cell r="B4575">
            <v>116930</v>
          </cell>
          <cell r="C4575">
            <v>884</v>
          </cell>
          <cell r="D4575" t="str">
            <v>Herefordshire</v>
          </cell>
          <cell r="E4575">
            <v>4004</v>
          </cell>
          <cell r="F4575" t="str">
            <v>John Edmunds</v>
          </cell>
          <cell r="G4575" t="str">
            <v>Queen Elizabeth Humanities College</v>
          </cell>
          <cell r="H4575" t="str">
            <v>West Midlands</v>
          </cell>
          <cell r="I4575" t="str">
            <v>Ashfields</v>
          </cell>
          <cell r="L4575" t="str">
            <v>Bromyard</v>
          </cell>
          <cell r="M4575" t="str">
            <v>Herefordshire</v>
          </cell>
          <cell r="N4575" t="str">
            <v>HR7 4QS</v>
          </cell>
          <cell r="O4575" t="str">
            <v>mgoodman@queenelizabeth.hereford.sch.uk</v>
          </cell>
          <cell r="P4575">
            <v>40674</v>
          </cell>
        </row>
        <row r="4576">
          <cell r="A4576">
            <v>8224601</v>
          </cell>
          <cell r="B4576">
            <v>109696</v>
          </cell>
          <cell r="C4576">
            <v>822</v>
          </cell>
          <cell r="D4576" t="str">
            <v>Bedford</v>
          </cell>
          <cell r="E4576">
            <v>4601</v>
          </cell>
          <cell r="F4576" t="str">
            <v>Michael Cook</v>
          </cell>
          <cell r="G4576" t="str">
            <v>St Gregory's Catholic Middle School</v>
          </cell>
          <cell r="H4576" t="str">
            <v>East of England</v>
          </cell>
          <cell r="I4576" t="str">
            <v>Biddenham Turn</v>
          </cell>
          <cell r="L4576" t="str">
            <v>Bedford</v>
          </cell>
          <cell r="M4576" t="str">
            <v>Bedfordshire</v>
          </cell>
          <cell r="N4576" t="str">
            <v>MK40 4AT</v>
          </cell>
          <cell r="O4576" t="str">
            <v>ALee@stm.beds.sch.uk</v>
          </cell>
          <cell r="P4576">
            <v>41165</v>
          </cell>
        </row>
        <row r="4577">
          <cell r="A4577">
            <v>8154610</v>
          </cell>
          <cell r="B4577">
            <v>121718</v>
          </cell>
          <cell r="C4577">
            <v>815</v>
          </cell>
          <cell r="D4577" t="str">
            <v>North Yorkshire</v>
          </cell>
          <cell r="E4577">
            <v>4610</v>
          </cell>
          <cell r="G4577" t="str">
            <v>Holy Family Catholic High School, Carlton</v>
          </cell>
          <cell r="H4577" t="str">
            <v>Yorkshire and the Humber</v>
          </cell>
          <cell r="I4577" t="str">
            <v>Longhedge Lane</v>
          </cell>
          <cell r="J4577" t="str">
            <v>Carlton</v>
          </cell>
          <cell r="L4577" t="str">
            <v>Goole</v>
          </cell>
          <cell r="N4577" t="str">
            <v>DN14 9NS</v>
          </cell>
          <cell r="O4577" t="str">
            <v>headteacher@holyfamily.n-yorks.sch.uk</v>
          </cell>
        </row>
        <row r="4578">
          <cell r="A4578">
            <v>3812094</v>
          </cell>
          <cell r="B4578">
            <v>130936</v>
          </cell>
          <cell r="C4578">
            <v>381</v>
          </cell>
          <cell r="D4578" t="str">
            <v>Calderdale</v>
          </cell>
          <cell r="E4578">
            <v>2094</v>
          </cell>
          <cell r="F4578" t="str">
            <v>Bev Annables</v>
          </cell>
          <cell r="G4578" t="str">
            <v>Siddal Primary School</v>
          </cell>
          <cell r="H4578" t="str">
            <v>Yorkshire and the Humber</v>
          </cell>
          <cell r="I4578" t="str">
            <v>Backhold Lane</v>
          </cell>
          <cell r="J4578" t="str">
            <v>Siddal</v>
          </cell>
          <cell r="L4578" t="str">
            <v>Halifax</v>
          </cell>
          <cell r="M4578" t="str">
            <v>West Yorkshire</v>
          </cell>
          <cell r="N4578" t="str">
            <v>HX3 9DL</v>
          </cell>
          <cell r="O4578" t="str">
            <v>head@siddal.calderdale.sch.uk</v>
          </cell>
          <cell r="P4578">
            <v>40701</v>
          </cell>
        </row>
        <row r="4579">
          <cell r="A4579">
            <v>8102200</v>
          </cell>
          <cell r="B4579">
            <v>117792</v>
          </cell>
          <cell r="C4579">
            <v>810</v>
          </cell>
          <cell r="D4579" t="str">
            <v>Kingston upon Hull City of</v>
          </cell>
          <cell r="E4579">
            <v>2200</v>
          </cell>
          <cell r="F4579" t="str">
            <v>Claire Ryan</v>
          </cell>
          <cell r="G4579" t="str">
            <v>The Green Way Primary School</v>
          </cell>
          <cell r="H4579" t="str">
            <v>Yorkshire and the Humber</v>
          </cell>
          <cell r="I4579" t="str">
            <v>21st Avenue</v>
          </cell>
          <cell r="L4579" t="str">
            <v>Hull</v>
          </cell>
          <cell r="N4579" t="str">
            <v>HU6 8HD</v>
          </cell>
        </row>
        <row r="4580">
          <cell r="A4580">
            <v>9374153</v>
          </cell>
          <cell r="B4580">
            <v>125741</v>
          </cell>
          <cell r="C4580">
            <v>937</v>
          </cell>
          <cell r="D4580" t="str">
            <v>Warwickshire</v>
          </cell>
          <cell r="E4580">
            <v>4153</v>
          </cell>
          <cell r="F4580" t="str">
            <v>Carla Spink</v>
          </cell>
          <cell r="G4580" t="str">
            <v>Higham Lane School, A Business &amp; Enterprise College</v>
          </cell>
          <cell r="H4580" t="str">
            <v>West Midlands</v>
          </cell>
          <cell r="I4580" t="str">
            <v>Shanklin Drive</v>
          </cell>
          <cell r="L4580" t="str">
            <v>Nuneaton</v>
          </cell>
          <cell r="M4580" t="str">
            <v>Warwickshire</v>
          </cell>
          <cell r="N4580" t="str">
            <v>CV10 0BJ</v>
          </cell>
          <cell r="O4580" t="str">
            <v>kelly.p1@we-learn.com</v>
          </cell>
          <cell r="P4580">
            <v>40749</v>
          </cell>
        </row>
        <row r="4581">
          <cell r="A4581">
            <v>8783156</v>
          </cell>
          <cell r="B4581">
            <v>113413</v>
          </cell>
          <cell r="C4581">
            <v>878</v>
          </cell>
          <cell r="D4581" t="str">
            <v>Devon</v>
          </cell>
          <cell r="E4581">
            <v>3156</v>
          </cell>
          <cell r="F4581" t="str">
            <v>Lilian Da Cunha</v>
          </cell>
          <cell r="G4581" t="str">
            <v>Newton Ferrers Church of England Primary School</v>
          </cell>
          <cell r="H4581" t="str">
            <v>South West</v>
          </cell>
          <cell r="I4581" t="str">
            <v>Newton Ferrers</v>
          </cell>
          <cell r="J4581" t="str">
            <v>Dillons the Green</v>
          </cell>
          <cell r="L4581" t="str">
            <v>Newton Ferrers Plymouth</v>
          </cell>
          <cell r="M4581" t="str">
            <v>Devon</v>
          </cell>
          <cell r="N4581" t="str">
            <v>PL8 1AS</v>
          </cell>
          <cell r="O4581" t="str">
            <v>paul.jones@firstfederation.org</v>
          </cell>
          <cell r="P4581">
            <v>40672</v>
          </cell>
        </row>
        <row r="4582">
          <cell r="A4582">
            <v>9197041</v>
          </cell>
          <cell r="B4582">
            <v>117689</v>
          </cell>
          <cell r="C4582">
            <v>919</v>
          </cell>
          <cell r="D4582" t="str">
            <v>Hertfordshire</v>
          </cell>
          <cell r="E4582">
            <v>7041</v>
          </cell>
          <cell r="F4582" t="str">
            <v>Janet Smith</v>
          </cell>
          <cell r="G4582" t="str">
            <v>Woolgrove School</v>
          </cell>
          <cell r="H4582" t="str">
            <v>East of England</v>
          </cell>
          <cell r="I4582" t="str">
            <v>Pryor Way</v>
          </cell>
          <cell r="L4582" t="str">
            <v>Letchworth Garden City</v>
          </cell>
          <cell r="M4582" t="str">
            <v>Hertfordshire</v>
          </cell>
          <cell r="N4582" t="str">
            <v>SG6 2PT</v>
          </cell>
          <cell r="O4582" t="str">
            <v>head@woolgrove.herts.sch.uk</v>
          </cell>
          <cell r="P4582">
            <v>40890</v>
          </cell>
        </row>
        <row r="4583">
          <cell r="A4583">
            <v>8402402</v>
          </cell>
          <cell r="B4583">
            <v>114098</v>
          </cell>
          <cell r="C4583">
            <v>840</v>
          </cell>
          <cell r="D4583" t="str">
            <v>Durham</v>
          </cell>
          <cell r="E4583">
            <v>2402</v>
          </cell>
          <cell r="F4583" t="str">
            <v>Bev Mullin</v>
          </cell>
          <cell r="G4583" t="str">
            <v>Coundon Primary School</v>
          </cell>
          <cell r="H4583" t="str">
            <v>North East</v>
          </cell>
          <cell r="I4583" t="str">
            <v>Victoria Lane</v>
          </cell>
          <cell r="J4583" t="str">
            <v>Coundon</v>
          </cell>
          <cell r="L4583" t="str">
            <v>Bishop Auckland</v>
          </cell>
          <cell r="M4583" t="str">
            <v>County Durham</v>
          </cell>
          <cell r="N4583" t="str">
            <v>DL14 8NN</v>
          </cell>
          <cell r="O4583" t="str">
            <v>j.smith110@durhamlearning.net</v>
          </cell>
          <cell r="P4583">
            <v>41043</v>
          </cell>
        </row>
        <row r="4584">
          <cell r="A4584">
            <v>8354188</v>
          </cell>
          <cell r="B4584">
            <v>113880</v>
          </cell>
          <cell r="C4584">
            <v>835</v>
          </cell>
          <cell r="D4584" t="str">
            <v>Dorset</v>
          </cell>
          <cell r="E4584">
            <v>4188</v>
          </cell>
          <cell r="F4584" t="str">
            <v>Theresa Oddelm</v>
          </cell>
          <cell r="G4584" t="str">
            <v>Royal Manor Arts College</v>
          </cell>
          <cell r="H4584" t="str">
            <v>South West</v>
          </cell>
          <cell r="I4584" t="str">
            <v>Weston Road</v>
          </cell>
          <cell r="L4584" t="str">
            <v>Portland</v>
          </cell>
          <cell r="M4584" t="str">
            <v>Dorset</v>
          </cell>
          <cell r="N4584" t="str">
            <v>DT5 2RS</v>
          </cell>
          <cell r="O4584" t="str">
            <v>pgreen@royalmanor.dorset.sch.uk</v>
          </cell>
        </row>
        <row r="4585">
          <cell r="A4585">
            <v>9164002</v>
          </cell>
          <cell r="B4585">
            <v>115718</v>
          </cell>
          <cell r="C4585">
            <v>916</v>
          </cell>
          <cell r="D4585" t="str">
            <v>Gloucestershire</v>
          </cell>
          <cell r="E4585">
            <v>4002</v>
          </cell>
          <cell r="F4585" t="str">
            <v>Nigel Mills</v>
          </cell>
          <cell r="G4585" t="str">
            <v>High School for Girls</v>
          </cell>
          <cell r="H4585" t="str">
            <v>South West</v>
          </cell>
          <cell r="I4585" t="str">
            <v>Denmark Road</v>
          </cell>
          <cell r="L4585" t="str">
            <v>Gloucester</v>
          </cell>
          <cell r="M4585" t="str">
            <v>Gloucestershire</v>
          </cell>
          <cell r="N4585" t="str">
            <v>GL1 3JN</v>
          </cell>
          <cell r="O4585" t="str">
            <v>head@hsfg.gloucs.sch.uk</v>
          </cell>
          <cell r="P4585">
            <v>40526</v>
          </cell>
        </row>
        <row r="4586">
          <cell r="A4586">
            <v>3193304</v>
          </cell>
          <cell r="B4586">
            <v>102992</v>
          </cell>
          <cell r="C4586">
            <v>319</v>
          </cell>
          <cell r="D4586" t="str">
            <v>Sutton</v>
          </cell>
          <cell r="E4586">
            <v>3304</v>
          </cell>
          <cell r="F4586" t="str">
            <v>Tahir Shams</v>
          </cell>
          <cell r="G4586" t="str">
            <v>St Dunstan's Cheam CofE Primary School</v>
          </cell>
          <cell r="H4586" t="str">
            <v>London</v>
          </cell>
          <cell r="I4586" t="str">
            <v>Anne Boleyn's Walk</v>
          </cell>
          <cell r="J4586" t="str">
            <v>Cheam</v>
          </cell>
          <cell r="L4586" t="str">
            <v>Sutton</v>
          </cell>
          <cell r="M4586" t="str">
            <v>Surrey</v>
          </cell>
          <cell r="N4586" t="str">
            <v>SM3 8DF</v>
          </cell>
          <cell r="O4586" t="str">
            <v>csmyth@suttonlea.org</v>
          </cell>
        </row>
        <row r="4587">
          <cell r="A4587">
            <v>9365414</v>
          </cell>
          <cell r="B4587">
            <v>125314</v>
          </cell>
          <cell r="C4587">
            <v>936</v>
          </cell>
          <cell r="D4587" t="str">
            <v>Surrey</v>
          </cell>
          <cell r="E4587">
            <v>5414</v>
          </cell>
          <cell r="F4587" t="str">
            <v>Tony Dunne</v>
          </cell>
          <cell r="G4587" t="str">
            <v>The Winston Churchill School A Specialist Sports College</v>
          </cell>
          <cell r="H4587" t="str">
            <v>South East</v>
          </cell>
          <cell r="I4587" t="str">
            <v>Hermitage Road</v>
          </cell>
          <cell r="J4587" t="str">
            <v>St Johns</v>
          </cell>
          <cell r="L4587" t="str">
            <v>Woking</v>
          </cell>
          <cell r="M4587" t="str">
            <v>Surrey</v>
          </cell>
          <cell r="N4587" t="str">
            <v>GU21 8TL</v>
          </cell>
          <cell r="O4587" t="str">
            <v>d.smith@wcsc.org.uk</v>
          </cell>
        </row>
        <row r="4588">
          <cell r="A4588">
            <v>9195427</v>
          </cell>
          <cell r="B4588">
            <v>117598</v>
          </cell>
          <cell r="C4588">
            <v>919</v>
          </cell>
          <cell r="D4588" t="str">
            <v>Hertfordshire</v>
          </cell>
          <cell r="E4588">
            <v>5427</v>
          </cell>
          <cell r="F4588" t="str">
            <v>Susan Shakespeare</v>
          </cell>
          <cell r="G4588" t="str">
            <v>Hockerill Anglo-European College (School with boarding)</v>
          </cell>
          <cell r="H4588" t="str">
            <v>East of England</v>
          </cell>
          <cell r="I4588" t="str">
            <v>Dunmow Road</v>
          </cell>
          <cell r="L4588" t="str">
            <v>Bishop's Stortford</v>
          </cell>
          <cell r="M4588" t="str">
            <v>Hertfordshire</v>
          </cell>
          <cell r="N4588" t="str">
            <v>CM23 5HX</v>
          </cell>
          <cell r="O4588" t="str">
            <v>denniss@hockerill.herts.sch.uk</v>
          </cell>
          <cell r="P4588">
            <v>40354</v>
          </cell>
        </row>
        <row r="4589">
          <cell r="A4589">
            <v>9262002</v>
          </cell>
          <cell r="B4589">
            <v>120778</v>
          </cell>
          <cell r="C4589">
            <v>926</v>
          </cell>
          <cell r="D4589" t="str">
            <v>Norfolk</v>
          </cell>
          <cell r="E4589">
            <v>2002</v>
          </cell>
          <cell r="G4589" t="str">
            <v>Antingham &amp; Southrepps Community Primary</v>
          </cell>
          <cell r="H4589" t="str">
            <v>East of England</v>
          </cell>
          <cell r="I4589" t="str">
            <v>Lower Street</v>
          </cell>
          <cell r="J4589" t="str">
            <v>Southrepps</v>
          </cell>
          <cell r="L4589" t="str">
            <v>Norwich</v>
          </cell>
          <cell r="M4589" t="str">
            <v>Norfolk</v>
          </cell>
          <cell r="N4589" t="str">
            <v>NR11 8UG</v>
          </cell>
          <cell r="O4589" t="str">
            <v>head@antinghamsouthrepps.norfolk.sch.uk</v>
          </cell>
        </row>
        <row r="4590">
          <cell r="A4590">
            <v>3585405</v>
          </cell>
          <cell r="B4590">
            <v>106369</v>
          </cell>
          <cell r="C4590">
            <v>358</v>
          </cell>
          <cell r="D4590" t="str">
            <v>Trafford</v>
          </cell>
          <cell r="E4590">
            <v>5405</v>
          </cell>
          <cell r="F4590" t="str">
            <v>Ruth Pallister</v>
          </cell>
          <cell r="G4590" t="str">
            <v>Urmston Grammar School</v>
          </cell>
          <cell r="H4590" t="str">
            <v>North West</v>
          </cell>
          <cell r="I4590" t="str">
            <v>Newton Road</v>
          </cell>
          <cell r="J4590" t="str">
            <v>Urmston</v>
          </cell>
          <cell r="L4590" t="str">
            <v>Manchester</v>
          </cell>
          <cell r="N4590" t="str">
            <v>M41 5UG</v>
          </cell>
          <cell r="O4590" t="str">
            <v>Mike@MGSWeb.net</v>
          </cell>
          <cell r="P4590">
            <v>40345</v>
          </cell>
        </row>
        <row r="4591">
          <cell r="A4591">
            <v>3055204</v>
          </cell>
          <cell r="B4591">
            <v>101664</v>
          </cell>
          <cell r="C4591">
            <v>305</v>
          </cell>
          <cell r="D4591" t="str">
            <v>Bromley</v>
          </cell>
          <cell r="E4591">
            <v>5204</v>
          </cell>
          <cell r="F4591" t="str">
            <v>Sheila Longstaff</v>
          </cell>
          <cell r="G4591" t="str">
            <v>Highfield Junior School</v>
          </cell>
          <cell r="H4591" t="str">
            <v>London</v>
          </cell>
          <cell r="I4591" t="str">
            <v>South Hill Road</v>
          </cell>
          <cell r="J4591" t="str">
            <v>Shortlands</v>
          </cell>
          <cell r="L4591" t="str">
            <v>Bromley</v>
          </cell>
          <cell r="M4591" t="str">
            <v>Kent</v>
          </cell>
          <cell r="N4591" t="str">
            <v>BR2 0RL</v>
          </cell>
          <cell r="O4591" t="str">
            <v>karen.bigg@highfield-jun.bromley.sch.uk</v>
          </cell>
        </row>
        <row r="4592">
          <cell r="A4592">
            <v>9192094</v>
          </cell>
          <cell r="B4592">
            <v>117138</v>
          </cell>
          <cell r="C4592">
            <v>919</v>
          </cell>
          <cell r="D4592" t="str">
            <v>Hertfordshire</v>
          </cell>
          <cell r="E4592">
            <v>2094</v>
          </cell>
          <cell r="F4592" t="str">
            <v>Claire Ivie</v>
          </cell>
          <cell r="G4592" t="str">
            <v>Fleetville Infant and Nursery School</v>
          </cell>
          <cell r="H4592" t="str">
            <v>East of England</v>
          </cell>
          <cell r="I4592" t="str">
            <v>Royal Road</v>
          </cell>
          <cell r="L4592" t="str">
            <v>St Albans</v>
          </cell>
          <cell r="M4592" t="str">
            <v>Hertfordshire</v>
          </cell>
          <cell r="N4592" t="str">
            <v>AL1 4LX</v>
          </cell>
          <cell r="O4592" t="str">
            <v>head@fleetvilleinfants.herts.sch.uk</v>
          </cell>
          <cell r="P4592">
            <v>40896</v>
          </cell>
        </row>
        <row r="4593">
          <cell r="A4593">
            <v>8812915</v>
          </cell>
          <cell r="B4593">
            <v>115040</v>
          </cell>
          <cell r="C4593">
            <v>881</v>
          </cell>
          <cell r="D4593" t="str">
            <v>Essex</v>
          </cell>
          <cell r="E4593">
            <v>2915</v>
          </cell>
          <cell r="F4593" t="str">
            <v>Lilian Da Cunha</v>
          </cell>
          <cell r="G4593" t="str">
            <v>Westwood Primary School</v>
          </cell>
          <cell r="H4593" t="str">
            <v>East of England</v>
          </cell>
          <cell r="I4593" t="str">
            <v>Beresford Close</v>
          </cell>
          <cell r="J4593" t="str">
            <v>Hadleigh</v>
          </cell>
          <cell r="L4593" t="str">
            <v>Benfleet</v>
          </cell>
          <cell r="M4593" t="str">
            <v>Essex</v>
          </cell>
          <cell r="N4593" t="str">
            <v>SS7 2SU</v>
          </cell>
          <cell r="O4593" t="str">
            <v>head@westwood.essex.sch.uk</v>
          </cell>
          <cell r="P4593">
            <v>40606</v>
          </cell>
        </row>
        <row r="4594">
          <cell r="A4594">
            <v>9292243</v>
          </cell>
          <cell r="B4594">
            <v>122230</v>
          </cell>
          <cell r="C4594">
            <v>929</v>
          </cell>
          <cell r="D4594" t="str">
            <v>Northumberland</v>
          </cell>
          <cell r="E4594">
            <v>2243</v>
          </cell>
          <cell r="G4594" t="str">
            <v>Adderlane First School</v>
          </cell>
          <cell r="H4594" t="str">
            <v>North East</v>
          </cell>
          <cell r="I4594" t="str">
            <v>Broomhill Road</v>
          </cell>
          <cell r="L4594" t="str">
            <v>Prudhoe</v>
          </cell>
          <cell r="M4594" t="str">
            <v>Northumberland</v>
          </cell>
          <cell r="N4594" t="str">
            <v>NE42 5HX</v>
          </cell>
          <cell r="O4594" t="str">
            <v>John.Lambert@northumberland.gov.uk</v>
          </cell>
        </row>
        <row r="4595">
          <cell r="A4595">
            <v>3523034</v>
          </cell>
          <cell r="B4595">
            <v>105496</v>
          </cell>
          <cell r="C4595">
            <v>352</v>
          </cell>
          <cell r="D4595" t="str">
            <v>Manchester</v>
          </cell>
          <cell r="E4595">
            <v>3034</v>
          </cell>
          <cell r="F4595" t="str">
            <v>Elaine Howard</v>
          </cell>
          <cell r="G4595" t="str">
            <v>St Wilfrid's CE Primary School</v>
          </cell>
          <cell r="H4595" t="str">
            <v>North West</v>
          </cell>
          <cell r="I4595" t="str">
            <v>Mabel Street</v>
          </cell>
          <cell r="J4595" t="str">
            <v>Newton Heath</v>
          </cell>
          <cell r="L4595" t="str">
            <v>Manchester</v>
          </cell>
          <cell r="N4595" t="str">
            <v>M40 1GB</v>
          </cell>
          <cell r="O4595" t="str">
            <v>head@st-wilfrids.manchester.sch.uk</v>
          </cell>
        </row>
        <row r="4596">
          <cell r="A4596">
            <v>3302016</v>
          </cell>
          <cell r="B4596">
            <v>103163</v>
          </cell>
          <cell r="C4596">
            <v>330</v>
          </cell>
          <cell r="D4596" t="str">
            <v>Birmingham</v>
          </cell>
          <cell r="E4596">
            <v>2016</v>
          </cell>
          <cell r="F4596" t="str">
            <v>Alison Middleton</v>
          </cell>
          <cell r="G4596" t="str">
            <v>Perry Beeches Junior School</v>
          </cell>
          <cell r="H4596" t="str">
            <v>West Midlands</v>
          </cell>
          <cell r="I4596" t="str">
            <v>Beeches Road</v>
          </cell>
          <cell r="J4596" t="str">
            <v>Great Barr</v>
          </cell>
          <cell r="L4596" t="str">
            <v>Birmingham</v>
          </cell>
          <cell r="M4596" t="str">
            <v>West Midlands</v>
          </cell>
          <cell r="N4596" t="str">
            <v>B42 2PY</v>
          </cell>
          <cell r="O4596" t="str">
            <v>e.williams@perrybj.bham.sch.uk</v>
          </cell>
          <cell r="P4596">
            <v>41228</v>
          </cell>
        </row>
        <row r="4597">
          <cell r="A4597">
            <v>9193413</v>
          </cell>
          <cell r="B4597">
            <v>117487</v>
          </cell>
          <cell r="C4597">
            <v>919</v>
          </cell>
          <cell r="D4597" t="str">
            <v>Hertfordshire</v>
          </cell>
          <cell r="E4597">
            <v>3413</v>
          </cell>
          <cell r="F4597" t="str">
            <v>Kish Chetty</v>
          </cell>
          <cell r="G4597" t="str">
            <v>St John Roman Catholic Primary School</v>
          </cell>
          <cell r="H4597" t="str">
            <v>East of England</v>
          </cell>
          <cell r="I4597" t="str">
            <v>Providence Way</v>
          </cell>
          <cell r="L4597" t="str">
            <v>Baldock</v>
          </cell>
          <cell r="M4597" t="str">
            <v>Hertfordshire</v>
          </cell>
          <cell r="N4597" t="str">
            <v>SG7 6TT</v>
          </cell>
          <cell r="O4597" t="str">
            <v>head@stjohns4.herts.sch.uk</v>
          </cell>
          <cell r="P4597">
            <v>40968</v>
          </cell>
        </row>
        <row r="4598">
          <cell r="A4598">
            <v>8502267</v>
          </cell>
          <cell r="B4598">
            <v>116000</v>
          </cell>
          <cell r="C4598">
            <v>850</v>
          </cell>
          <cell r="D4598" t="str">
            <v>Hampshire</v>
          </cell>
          <cell r="E4598">
            <v>2267</v>
          </cell>
          <cell r="F4598" t="str">
            <v>Amanda Barrett</v>
          </cell>
          <cell r="G4598" t="str">
            <v>Freegrounds Junior School</v>
          </cell>
          <cell r="H4598" t="str">
            <v>South East</v>
          </cell>
          <cell r="I4598" t="str">
            <v>Hobb Lane</v>
          </cell>
          <cell r="J4598" t="str">
            <v>Hedge End</v>
          </cell>
          <cell r="L4598" t="str">
            <v>Southampton</v>
          </cell>
          <cell r="M4598" t="str">
            <v>Hampshire</v>
          </cell>
          <cell r="N4598" t="str">
            <v>SO30 0GG</v>
          </cell>
          <cell r="O4598" t="str">
            <v>malcolm.barrett@freegrounds-jun.hants.sch.uk</v>
          </cell>
        </row>
        <row r="4599">
          <cell r="A4599">
            <v>8232072</v>
          </cell>
          <cell r="B4599">
            <v>109469</v>
          </cell>
          <cell r="C4599">
            <v>823</v>
          </cell>
          <cell r="D4599" t="str">
            <v>Central Bedfordshire</v>
          </cell>
          <cell r="E4599">
            <v>2072</v>
          </cell>
          <cell r="F4599" t="str">
            <v>Aminat Alli</v>
          </cell>
          <cell r="G4599" t="str">
            <v>Stondon Lower School</v>
          </cell>
          <cell r="H4599" t="str">
            <v>East of England</v>
          </cell>
          <cell r="I4599" t="str">
            <v>Hillside Road</v>
          </cell>
          <cell r="J4599" t="str">
            <v>Lower Stondon</v>
          </cell>
          <cell r="L4599" t="str">
            <v>Henlow</v>
          </cell>
          <cell r="M4599" t="str">
            <v>Bedfordshire</v>
          </cell>
          <cell r="N4599" t="str">
            <v>SG16 6LQ</v>
          </cell>
          <cell r="O4599" t="str">
            <v>j.davies@schools.bedfordshire.gov.uk</v>
          </cell>
          <cell r="P4599">
            <v>41115</v>
          </cell>
        </row>
        <row r="4600">
          <cell r="A4600">
            <v>9313232</v>
          </cell>
          <cell r="B4600">
            <v>123152</v>
          </cell>
          <cell r="C4600">
            <v>931</v>
          </cell>
          <cell r="D4600" t="str">
            <v>Oxfordshire</v>
          </cell>
          <cell r="E4600">
            <v>3232</v>
          </cell>
          <cell r="F4600" t="str">
            <v>Jenny Baker</v>
          </cell>
          <cell r="G4600" t="str">
            <v>Longcot and Fernham Church of England Primary School</v>
          </cell>
          <cell r="H4600" t="str">
            <v>South East</v>
          </cell>
          <cell r="I4600" t="str">
            <v>Kings Lane</v>
          </cell>
          <cell r="J4600" t="str">
            <v>Longcot</v>
          </cell>
          <cell r="L4600" t="str">
            <v>Faringdon</v>
          </cell>
          <cell r="M4600" t="str">
            <v>Oxfordshire</v>
          </cell>
          <cell r="N4600" t="str">
            <v>SN7 7SY</v>
          </cell>
          <cell r="O4600" t="str">
            <v>head.3232@longcot-and-fernham.oxon.sch.uk</v>
          </cell>
        </row>
        <row r="4601">
          <cell r="A4601">
            <v>9283201</v>
          </cell>
          <cell r="B4601">
            <v>122012</v>
          </cell>
          <cell r="C4601">
            <v>928</v>
          </cell>
          <cell r="D4601" t="str">
            <v>Northamptonshire</v>
          </cell>
          <cell r="E4601">
            <v>3201</v>
          </cell>
          <cell r="F4601" t="str">
            <v>Sue Harp</v>
          </cell>
          <cell r="G4601" t="str">
            <v>Kings Cliffe Endowed Primary School</v>
          </cell>
          <cell r="H4601" t="str">
            <v>East Midlands</v>
          </cell>
          <cell r="I4601" t="str">
            <v>Park Street</v>
          </cell>
          <cell r="J4601" t="str">
            <v>Kings Cliffe</v>
          </cell>
          <cell r="L4601" t="str">
            <v>Peterborough</v>
          </cell>
          <cell r="M4601" t="str">
            <v>Cambridgeshire</v>
          </cell>
          <cell r="N4601" t="str">
            <v>PE8 6XN</v>
          </cell>
        </row>
        <row r="4602">
          <cell r="A4602">
            <v>3334138</v>
          </cell>
          <cell r="B4602">
            <v>104018</v>
          </cell>
          <cell r="C4602">
            <v>333</v>
          </cell>
          <cell r="D4602" t="str">
            <v>Sandwell</v>
          </cell>
          <cell r="E4602">
            <v>4138</v>
          </cell>
          <cell r="F4602" t="str">
            <v>Hannah Copp</v>
          </cell>
          <cell r="G4602" t="str">
            <v>Holly Lodge Foundation High School College of Science</v>
          </cell>
          <cell r="H4602" t="str">
            <v>West Midlands</v>
          </cell>
          <cell r="I4602" t="str">
            <v>Holly Lane</v>
          </cell>
          <cell r="L4602" t="str">
            <v>Smethwick</v>
          </cell>
          <cell r="M4602" t="str">
            <v>West Midlands</v>
          </cell>
          <cell r="N4602" t="str">
            <v>B67 7JG</v>
          </cell>
          <cell r="O4602" t="str">
            <v>amohammed@holly-lodge.org</v>
          </cell>
        </row>
        <row r="4603">
          <cell r="A4603">
            <v>8815275</v>
          </cell>
          <cell r="B4603">
            <v>115315</v>
          </cell>
          <cell r="C4603">
            <v>881</v>
          </cell>
          <cell r="D4603" t="str">
            <v>Essex</v>
          </cell>
          <cell r="E4603">
            <v>5275</v>
          </cell>
          <cell r="F4603" t="str">
            <v>Claire Ivie</v>
          </cell>
          <cell r="G4603" t="str">
            <v>Rochford Primary and Nursery School</v>
          </cell>
          <cell r="H4603" t="str">
            <v>East of England</v>
          </cell>
          <cell r="I4603" t="str">
            <v>6 Ashingdon Road</v>
          </cell>
          <cell r="L4603" t="str">
            <v>Rochford</v>
          </cell>
          <cell r="M4603" t="str">
            <v>Essex</v>
          </cell>
          <cell r="N4603" t="str">
            <v>SS4 1NJ</v>
          </cell>
          <cell r="O4603" t="str">
            <v>head@rochford.essex.sch.uk</v>
          </cell>
        </row>
        <row r="4604">
          <cell r="A4604">
            <v>9282195</v>
          </cell>
          <cell r="B4604">
            <v>121937</v>
          </cell>
          <cell r="C4604">
            <v>928</v>
          </cell>
          <cell r="D4604" t="str">
            <v>Northamptonshire</v>
          </cell>
          <cell r="E4604">
            <v>2195</v>
          </cell>
          <cell r="F4604" t="str">
            <v>Helen Whetter</v>
          </cell>
          <cell r="G4604" t="str">
            <v>Blackthorn Primary School</v>
          </cell>
          <cell r="H4604" t="str">
            <v>East Midlands</v>
          </cell>
          <cell r="I4604" t="str">
            <v>Waingrove</v>
          </cell>
          <cell r="J4604" t="str">
            <v>Blackthorn</v>
          </cell>
          <cell r="L4604" t="str">
            <v>Northampton</v>
          </cell>
          <cell r="M4604" t="str">
            <v>Northamptonshire</v>
          </cell>
          <cell r="N4604" t="str">
            <v>NN3 8EP</v>
          </cell>
        </row>
        <row r="4605">
          <cell r="A4605">
            <v>3174033</v>
          </cell>
          <cell r="B4605">
            <v>102857</v>
          </cell>
          <cell r="C4605">
            <v>317</v>
          </cell>
          <cell r="D4605" t="str">
            <v>Redbridge</v>
          </cell>
          <cell r="E4605">
            <v>4033</v>
          </cell>
          <cell r="F4605" t="str">
            <v>Not yet assigned</v>
          </cell>
          <cell r="G4605" t="str">
            <v>Valentines High School</v>
          </cell>
          <cell r="H4605" t="str">
            <v>London</v>
          </cell>
          <cell r="I4605" t="str">
            <v>Cranbrook Road</v>
          </cell>
          <cell r="L4605" t="str">
            <v>Ilford</v>
          </cell>
          <cell r="M4605" t="str">
            <v>Essex</v>
          </cell>
          <cell r="N4605" t="str">
            <v>IG2 6HX</v>
          </cell>
          <cell r="O4605" t="str">
            <v>sjo@valentines-sch.org.uk</v>
          </cell>
          <cell r="P4605">
            <v>40346</v>
          </cell>
        </row>
        <row r="4606">
          <cell r="A4606">
            <v>9082222</v>
          </cell>
          <cell r="B4606">
            <v>111842</v>
          </cell>
          <cell r="C4606">
            <v>908</v>
          </cell>
          <cell r="D4606" t="str">
            <v>Cornwall</v>
          </cell>
          <cell r="E4606">
            <v>2222</v>
          </cell>
          <cell r="F4606" t="str">
            <v>Kate Bosher</v>
          </cell>
          <cell r="G4606" t="str">
            <v>Trewirgie Junior School</v>
          </cell>
          <cell r="H4606" t="str">
            <v>South West</v>
          </cell>
          <cell r="I4606" t="str">
            <v>Falmouth Road</v>
          </cell>
          <cell r="L4606" t="str">
            <v>Redruth</v>
          </cell>
          <cell r="M4606" t="str">
            <v>Cornwall</v>
          </cell>
          <cell r="N4606" t="str">
            <v>TR15 2QN</v>
          </cell>
          <cell r="O4606" t="str">
            <v>head@trewirgie-jnr.cornwall.sch.uk</v>
          </cell>
          <cell r="P4606">
            <v>40592</v>
          </cell>
        </row>
        <row r="4607">
          <cell r="A4607">
            <v>9364765</v>
          </cell>
          <cell r="B4607">
            <v>125281</v>
          </cell>
          <cell r="C4607">
            <v>936</v>
          </cell>
          <cell r="D4607" t="str">
            <v>Surrey</v>
          </cell>
          <cell r="E4607">
            <v>4765</v>
          </cell>
          <cell r="F4607" t="str">
            <v>Gabriela Grimley</v>
          </cell>
          <cell r="G4607" t="str">
            <v>The Priory C of E Aided School</v>
          </cell>
          <cell r="H4607" t="str">
            <v>South East</v>
          </cell>
          <cell r="I4607" t="str">
            <v>West Bank</v>
          </cell>
          <cell r="L4607" t="str">
            <v>Dorking</v>
          </cell>
          <cell r="M4607" t="str">
            <v>Surrey</v>
          </cell>
          <cell r="N4607" t="str">
            <v>RH4 3DG</v>
          </cell>
          <cell r="O4607" t="str">
            <v>asi@priorycofe.com</v>
          </cell>
        </row>
        <row r="4608">
          <cell r="A4608">
            <v>8262301</v>
          </cell>
          <cell r="B4608">
            <v>110365</v>
          </cell>
          <cell r="C4608">
            <v>826</v>
          </cell>
          <cell r="D4608" t="str">
            <v>Milton Keynes</v>
          </cell>
          <cell r="E4608">
            <v>2301</v>
          </cell>
          <cell r="F4608" t="str">
            <v>Sarah Nairne</v>
          </cell>
          <cell r="G4608" t="str">
            <v>Stanton School</v>
          </cell>
          <cell r="H4608" t="str">
            <v>South East</v>
          </cell>
          <cell r="I4608" t="str">
            <v>Fairfax</v>
          </cell>
          <cell r="J4608" t="str">
            <v>Bradville</v>
          </cell>
          <cell r="L4608" t="str">
            <v>Milton Keynes</v>
          </cell>
          <cell r="M4608" t="str">
            <v>Buckinghamshire</v>
          </cell>
          <cell r="N4608" t="str">
            <v>MK13 7BE</v>
          </cell>
          <cell r="O4608" t="str">
            <v>hnicholson@stantonmiddle.milton-keynes.sch.uk</v>
          </cell>
        </row>
        <row r="4609">
          <cell r="A4609">
            <v>8552142</v>
          </cell>
          <cell r="B4609">
            <v>119964</v>
          </cell>
          <cell r="C4609">
            <v>855</v>
          </cell>
          <cell r="D4609" t="str">
            <v>Leicestershire</v>
          </cell>
          <cell r="E4609">
            <v>2142</v>
          </cell>
          <cell r="F4609" t="str">
            <v>Sue Harp</v>
          </cell>
          <cell r="G4609" t="str">
            <v>Burbage Junior School</v>
          </cell>
          <cell r="H4609" t="str">
            <v>East Midlands</v>
          </cell>
          <cell r="I4609" t="str">
            <v>Grove Road</v>
          </cell>
          <cell r="J4609" t="str">
            <v>Burbage</v>
          </cell>
          <cell r="L4609" t="str">
            <v>Hinckley</v>
          </cell>
          <cell r="M4609" t="str">
            <v>Leicestershire</v>
          </cell>
          <cell r="N4609" t="str">
            <v>LE10 2AD</v>
          </cell>
          <cell r="O4609" t="str">
            <v>shayes@burbage-jun.leics.sch.uk</v>
          </cell>
        </row>
        <row r="4610">
          <cell r="A4610">
            <v>9357006</v>
          </cell>
          <cell r="B4610">
            <v>124907</v>
          </cell>
          <cell r="C4610">
            <v>935</v>
          </cell>
          <cell r="D4610" t="str">
            <v>Suffolk</v>
          </cell>
          <cell r="E4610">
            <v>7006</v>
          </cell>
          <cell r="F4610" t="str">
            <v>Lin Houston</v>
          </cell>
          <cell r="G4610" t="str">
            <v>Thomas Wolsey School</v>
          </cell>
          <cell r="H4610" t="str">
            <v>East of England</v>
          </cell>
          <cell r="I4610" t="str">
            <v>Defoe Road</v>
          </cell>
          <cell r="L4610" t="str">
            <v>Ipswich</v>
          </cell>
          <cell r="M4610" t="str">
            <v>Suffolk</v>
          </cell>
          <cell r="N4610" t="str">
            <v>IP1 6SG</v>
          </cell>
          <cell r="O4610" t="str">
            <v>headteacher@thomaswolsey.com</v>
          </cell>
          <cell r="P4610">
            <v>40625</v>
          </cell>
        </row>
        <row r="4611">
          <cell r="A4611">
            <v>9165214</v>
          </cell>
          <cell r="B4611">
            <v>115744</v>
          </cell>
          <cell r="C4611">
            <v>916</v>
          </cell>
          <cell r="D4611" t="str">
            <v>Gloucestershire</v>
          </cell>
          <cell r="E4611">
            <v>5214</v>
          </cell>
          <cell r="F4611" t="str">
            <v>Barbara Scorer</v>
          </cell>
          <cell r="G4611" t="str">
            <v>Swindon Village Primary School</v>
          </cell>
          <cell r="H4611" t="str">
            <v>South West</v>
          </cell>
          <cell r="I4611" t="str">
            <v>Church Road</v>
          </cell>
          <cell r="J4611" t="str">
            <v>Swindon Village</v>
          </cell>
          <cell r="L4611" t="str">
            <v>Cheltenham</v>
          </cell>
          <cell r="M4611" t="str">
            <v>Gloucestershire</v>
          </cell>
          <cell r="N4611" t="str">
            <v>GL51 9QP</v>
          </cell>
          <cell r="O4611" t="str">
            <v>head@swindonvillage.gloucs.sch.uk</v>
          </cell>
          <cell r="P4611">
            <v>40792</v>
          </cell>
        </row>
        <row r="4612">
          <cell r="A4612">
            <v>3065403</v>
          </cell>
          <cell r="B4612">
            <v>101821</v>
          </cell>
          <cell r="C4612">
            <v>306</v>
          </cell>
          <cell r="D4612" t="str">
            <v>Croydon</v>
          </cell>
          <cell r="E4612">
            <v>5403</v>
          </cell>
          <cell r="F4612" t="str">
            <v>Helen Barry</v>
          </cell>
          <cell r="G4612" t="str">
            <v>Thomas More Catholic School</v>
          </cell>
          <cell r="H4612" t="str">
            <v>London</v>
          </cell>
          <cell r="I4612" t="str">
            <v>Russell Hill Road</v>
          </cell>
          <cell r="L4612" t="str">
            <v>Purley</v>
          </cell>
          <cell r="M4612" t="str">
            <v>Surrey</v>
          </cell>
          <cell r="N4612" t="str">
            <v>CR8 2XP</v>
          </cell>
          <cell r="O4612" t="str">
            <v>mmulchrone1.306@lgflmail.org</v>
          </cell>
        </row>
        <row r="4613">
          <cell r="A4613">
            <v>3332113</v>
          </cell>
          <cell r="B4613">
            <v>103937</v>
          </cell>
          <cell r="C4613">
            <v>333</v>
          </cell>
          <cell r="D4613" t="str">
            <v>Sandwell</v>
          </cell>
          <cell r="E4613">
            <v>2113</v>
          </cell>
          <cell r="F4613" t="str">
            <v>Hannah Copp</v>
          </cell>
          <cell r="G4613" t="str">
            <v>Cape Primary School</v>
          </cell>
          <cell r="H4613" t="str">
            <v>West Midlands</v>
          </cell>
          <cell r="I4613" t="str">
            <v>Cape Hill</v>
          </cell>
          <cell r="L4613" t="str">
            <v>Smethwick</v>
          </cell>
          <cell r="M4613" t="str">
            <v>West Midlands</v>
          </cell>
          <cell r="N4613" t="str">
            <v>B66 4SH</v>
          </cell>
          <cell r="O4613" t="str">
            <v>richard.kentish@cape.sandwell.sch.uk</v>
          </cell>
        </row>
        <row r="4614">
          <cell r="A4614">
            <v>9165207</v>
          </cell>
          <cell r="B4614">
            <v>115737</v>
          </cell>
          <cell r="C4614">
            <v>916</v>
          </cell>
          <cell r="D4614" t="str">
            <v>Gloucestershire</v>
          </cell>
          <cell r="E4614">
            <v>5207</v>
          </cell>
          <cell r="F4614" t="str">
            <v>John Goodwin</v>
          </cell>
          <cell r="G4614" t="str">
            <v>Charlton Kings Infant School</v>
          </cell>
          <cell r="H4614" t="str">
            <v>South West</v>
          </cell>
          <cell r="I4614" t="str">
            <v>Lyefield Road East</v>
          </cell>
          <cell r="J4614" t="str">
            <v>Charlton Kings</v>
          </cell>
          <cell r="L4614" t="str">
            <v>Cheltenham</v>
          </cell>
          <cell r="M4614" t="str">
            <v>Gloucestershire</v>
          </cell>
          <cell r="N4614" t="str">
            <v>GL53 8AY</v>
          </cell>
          <cell r="O4614" t="str">
            <v>head@charltonkings-inf.gloucs.sch.uk</v>
          </cell>
          <cell r="P4614">
            <v>40638</v>
          </cell>
        </row>
        <row r="4615">
          <cell r="A4615">
            <v>8835437</v>
          </cell>
          <cell r="B4615">
            <v>115353</v>
          </cell>
          <cell r="C4615">
            <v>883</v>
          </cell>
          <cell r="D4615" t="str">
            <v>Thurrock</v>
          </cell>
          <cell r="E4615">
            <v>5437</v>
          </cell>
          <cell r="F4615" t="str">
            <v>Pam Osborne</v>
          </cell>
          <cell r="G4615" t="str">
            <v>The Grays School Media Arts College</v>
          </cell>
          <cell r="H4615" t="str">
            <v>East of England</v>
          </cell>
          <cell r="I4615" t="str">
            <v>Hathaway Road</v>
          </cell>
          <cell r="L4615" t="str">
            <v>Grays</v>
          </cell>
          <cell r="M4615" t="str">
            <v>Essex</v>
          </cell>
          <cell r="N4615" t="str">
            <v>RM17 5LL</v>
          </cell>
          <cell r="O4615" t="str">
            <v>j.marchant@thegrays.thurrock.sch.uk</v>
          </cell>
        </row>
        <row r="4616">
          <cell r="A4616">
            <v>9163096</v>
          </cell>
          <cell r="B4616">
            <v>115668</v>
          </cell>
          <cell r="C4616">
            <v>916</v>
          </cell>
          <cell r="D4616" t="str">
            <v>Gloucestershire</v>
          </cell>
          <cell r="E4616">
            <v>3096</v>
          </cell>
          <cell r="F4616" t="str">
            <v>Not yet assigned</v>
          </cell>
          <cell r="G4616" t="str">
            <v>St. James' Church of England Primary School</v>
          </cell>
          <cell r="H4616" t="str">
            <v>South West</v>
          </cell>
          <cell r="I4616" t="str">
            <v>Merestones Road</v>
          </cell>
          <cell r="L4616" t="str">
            <v>Cheltenham</v>
          </cell>
          <cell r="M4616" t="str">
            <v>Gloucestershire</v>
          </cell>
          <cell r="N4616" t="str">
            <v>GL50 2RS</v>
          </cell>
          <cell r="O4616" t="str">
            <v>admin@st-james-pri.gloucs.sch.uk</v>
          </cell>
        </row>
        <row r="4617">
          <cell r="A4617">
            <v>3055206</v>
          </cell>
          <cell r="B4617">
            <v>101642</v>
          </cell>
          <cell r="C4617">
            <v>305</v>
          </cell>
          <cell r="D4617" t="str">
            <v>Bromley</v>
          </cell>
          <cell r="E4617">
            <v>5206</v>
          </cell>
          <cell r="F4617" t="str">
            <v>Helen Fisher</v>
          </cell>
          <cell r="G4617" t="str">
            <v>Raglan Primary School</v>
          </cell>
          <cell r="H4617" t="str">
            <v>London</v>
          </cell>
          <cell r="I4617" t="str">
            <v>Raglan Road</v>
          </cell>
          <cell r="L4617" t="str">
            <v>Bromley</v>
          </cell>
          <cell r="M4617" t="str">
            <v>Kent</v>
          </cell>
          <cell r="N4617" t="str">
            <v>BR2 9NL</v>
          </cell>
          <cell r="O4617" t="str">
            <v>csutton5.305@lgflmail.org</v>
          </cell>
          <cell r="P4617">
            <v>40893</v>
          </cell>
        </row>
        <row r="4618">
          <cell r="A4618">
            <v>9352126</v>
          </cell>
          <cell r="B4618">
            <v>124620</v>
          </cell>
          <cell r="C4618">
            <v>935</v>
          </cell>
          <cell r="D4618" t="str">
            <v>Suffolk</v>
          </cell>
          <cell r="E4618">
            <v>2126</v>
          </cell>
          <cell r="F4618" t="str">
            <v>June Laughton</v>
          </cell>
          <cell r="G4618" t="str">
            <v>Wortham Primary School</v>
          </cell>
          <cell r="H4618" t="str">
            <v>East of England</v>
          </cell>
          <cell r="I4618" t="str">
            <v>Wortham</v>
          </cell>
          <cell r="J4618" t="str">
            <v>Bury Road</v>
          </cell>
          <cell r="L4618" t="str">
            <v>Diss</v>
          </cell>
          <cell r="M4618" t="str">
            <v>Norfolk</v>
          </cell>
          <cell r="N4618" t="str">
            <v>IP22 1PX</v>
          </cell>
          <cell r="O4618" t="str">
            <v>ht.wortham.p@talk21.com</v>
          </cell>
          <cell r="P4618">
            <v>40819</v>
          </cell>
        </row>
        <row r="4619">
          <cell r="A4619">
            <v>9282070</v>
          </cell>
          <cell r="B4619">
            <v>121846</v>
          </cell>
          <cell r="C4619">
            <v>928</v>
          </cell>
          <cell r="D4619" t="str">
            <v>Northamptonshire</v>
          </cell>
          <cell r="E4619">
            <v>2070</v>
          </cell>
          <cell r="F4619" t="str">
            <v>Sue Harp</v>
          </cell>
          <cell r="G4619" t="str">
            <v>Middleton Cheney Community Primary School</v>
          </cell>
          <cell r="H4619" t="str">
            <v>East Midlands</v>
          </cell>
          <cell r="I4619" t="str">
            <v>Main Road</v>
          </cell>
          <cell r="J4619" t="str">
            <v>Middleton Cheney</v>
          </cell>
          <cell r="L4619" t="str">
            <v>Banbury</v>
          </cell>
          <cell r="M4619" t="str">
            <v>Oxfordshire</v>
          </cell>
          <cell r="N4619" t="str">
            <v>OX17 2PD</v>
          </cell>
          <cell r="O4619" t="str">
            <v>head@middletoncheney.northants-ecl.gov.uk</v>
          </cell>
        </row>
        <row r="4620">
          <cell r="A4620">
            <v>3331107</v>
          </cell>
          <cell r="B4620">
            <v>135254</v>
          </cell>
          <cell r="C4620">
            <v>333</v>
          </cell>
          <cell r="D4620" t="str">
            <v>Sandwell</v>
          </cell>
          <cell r="E4620">
            <v>1107</v>
          </cell>
          <cell r="F4620" t="str">
            <v>Eric Mcewen</v>
          </cell>
          <cell r="G4620" t="str">
            <v>Wodensborough PRU</v>
          </cell>
          <cell r="H4620" t="str">
            <v>West Midlands</v>
          </cell>
          <cell r="I4620" t="str">
            <v>Hydes Road</v>
          </cell>
          <cell r="J4620" t="str">
            <v>Wodensborough Community Technology Colle</v>
          </cell>
          <cell r="K4620" t="str">
            <v>West Midlands</v>
          </cell>
          <cell r="L4620" t="str">
            <v>Wednesbury</v>
          </cell>
          <cell r="M4620" t="str">
            <v>West Midlands</v>
          </cell>
          <cell r="N4620" t="str">
            <v>WS10 0DR</v>
          </cell>
          <cell r="O4620" t="str">
            <v>graham.angell@wodensrise.sandwell.sch.uk</v>
          </cell>
        </row>
        <row r="4621">
          <cell r="A4621">
            <v>8304172</v>
          </cell>
          <cell r="B4621">
            <v>112948</v>
          </cell>
          <cell r="C4621">
            <v>830</v>
          </cell>
          <cell r="D4621" t="str">
            <v>Derbyshire</v>
          </cell>
          <cell r="E4621">
            <v>4172</v>
          </cell>
          <cell r="F4621" t="str">
            <v>Stephen Standret</v>
          </cell>
          <cell r="G4621" t="str">
            <v>John Flamsteed Community School</v>
          </cell>
          <cell r="H4621" t="str">
            <v>East Midlands</v>
          </cell>
          <cell r="I4621" t="str">
            <v>Derby Road</v>
          </cell>
          <cell r="J4621" t="str">
            <v>Denby</v>
          </cell>
          <cell r="L4621" t="str">
            <v>Ripley</v>
          </cell>
          <cell r="M4621" t="str">
            <v>Derbyshire</v>
          </cell>
          <cell r="N4621" t="str">
            <v>DE5 8NP</v>
          </cell>
          <cell r="O4621" t="str">
            <v>holdend@jfcs.org.uk</v>
          </cell>
        </row>
        <row r="4622">
          <cell r="A4622">
            <v>3055412</v>
          </cell>
          <cell r="B4622">
            <v>101678</v>
          </cell>
          <cell r="C4622">
            <v>305</v>
          </cell>
          <cell r="D4622" t="str">
            <v>Bromley</v>
          </cell>
          <cell r="E4622">
            <v>5412</v>
          </cell>
          <cell r="F4622" t="str">
            <v>Sheila Longstaff</v>
          </cell>
          <cell r="G4622" t="str">
            <v>Langley Park School for Girls</v>
          </cell>
          <cell r="H4622" t="str">
            <v>London</v>
          </cell>
          <cell r="I4622" t="str">
            <v>Hawksbrook Lane</v>
          </cell>
          <cell r="J4622" t="str">
            <v>South Eden Park Road</v>
          </cell>
          <cell r="L4622" t="str">
            <v>Beckenham</v>
          </cell>
          <cell r="M4622" t="str">
            <v>Kent</v>
          </cell>
          <cell r="N4622" t="str">
            <v>BR3 3BE</v>
          </cell>
          <cell r="O4622" t="str">
            <v>ahudson@lpgs.bromley.sch.uk</v>
          </cell>
          <cell r="P4622">
            <v>40620</v>
          </cell>
        </row>
        <row r="4623">
          <cell r="A4623">
            <v>9163019</v>
          </cell>
          <cell r="B4623">
            <v>115611</v>
          </cell>
          <cell r="C4623">
            <v>916</v>
          </cell>
          <cell r="D4623" t="str">
            <v>Gloucestershire</v>
          </cell>
          <cell r="E4623">
            <v>3019</v>
          </cell>
          <cell r="F4623" t="str">
            <v>Not yet assigned</v>
          </cell>
          <cell r="G4623" t="str">
            <v>Bibury Church of England Primary School</v>
          </cell>
          <cell r="H4623" t="str">
            <v>South West</v>
          </cell>
          <cell r="I4623" t="str">
            <v>Bibury</v>
          </cell>
          <cell r="L4623" t="str">
            <v>Cirencester</v>
          </cell>
          <cell r="M4623" t="str">
            <v>Gloucestershire</v>
          </cell>
          <cell r="N4623" t="str">
            <v>GL7 5NR</v>
          </cell>
          <cell r="O4623" t="str">
            <v>head@bibury.gloucs.sch.uk</v>
          </cell>
        </row>
        <row r="4624">
          <cell r="A4624">
            <v>3305404</v>
          </cell>
          <cell r="B4624">
            <v>103551</v>
          </cell>
          <cell r="C4624">
            <v>330</v>
          </cell>
          <cell r="D4624" t="str">
            <v>Birmingham</v>
          </cell>
          <cell r="E4624">
            <v>5404</v>
          </cell>
          <cell r="F4624" t="str">
            <v>Lilian Da Cunha</v>
          </cell>
          <cell r="G4624" t="str">
            <v>King Edward VI Handsworth School</v>
          </cell>
          <cell r="H4624" t="str">
            <v>West Midlands</v>
          </cell>
          <cell r="I4624" t="str">
            <v>Rose Hill Road</v>
          </cell>
          <cell r="L4624" t="str">
            <v>Birmingham</v>
          </cell>
          <cell r="M4624" t="str">
            <v>West Midlands</v>
          </cell>
          <cell r="N4624" t="str">
            <v>B21 9AR</v>
          </cell>
          <cell r="O4624" t="str">
            <v>einsch@kingedwardvi.bham.sch.uk</v>
          </cell>
          <cell r="P4624">
            <v>40511</v>
          </cell>
        </row>
        <row r="4625">
          <cell r="A4625">
            <v>8722227</v>
          </cell>
          <cell r="B4625">
            <v>109921</v>
          </cell>
          <cell r="C4625">
            <v>872</v>
          </cell>
          <cell r="D4625" t="str">
            <v>Wokingham</v>
          </cell>
          <cell r="E4625">
            <v>2227</v>
          </cell>
          <cell r="F4625" t="str">
            <v>Sarah Nairne</v>
          </cell>
          <cell r="G4625" t="str">
            <v>The Hawthorns Primary School</v>
          </cell>
          <cell r="H4625" t="str">
            <v>South East</v>
          </cell>
          <cell r="I4625" t="str">
            <v>Northway</v>
          </cell>
          <cell r="J4625" t="str">
            <v>Woosehill</v>
          </cell>
          <cell r="L4625" t="str">
            <v>Wokingham</v>
          </cell>
          <cell r="M4625" t="str">
            <v>Berkshire</v>
          </cell>
          <cell r="N4625" t="str">
            <v>RG41 3PQ</v>
          </cell>
          <cell r="O4625" t="str">
            <v>head@hawthorns.wokingham.sch.uk</v>
          </cell>
        </row>
        <row r="4626">
          <cell r="A4626">
            <v>3034009</v>
          </cell>
          <cell r="B4626">
            <v>101466</v>
          </cell>
          <cell r="C4626">
            <v>303</v>
          </cell>
          <cell r="D4626" t="str">
            <v>Bexley</v>
          </cell>
          <cell r="E4626">
            <v>4009</v>
          </cell>
          <cell r="F4626" t="str">
            <v>Helen Barry</v>
          </cell>
          <cell r="G4626" t="str">
            <v>Chislehurst and Sidcup Grammar School</v>
          </cell>
          <cell r="H4626" t="str">
            <v>London</v>
          </cell>
          <cell r="I4626" t="str">
            <v>Hurst Road</v>
          </cell>
          <cell r="L4626" t="str">
            <v>Sidcup</v>
          </cell>
          <cell r="M4626" t="str">
            <v>Kent</v>
          </cell>
          <cell r="N4626" t="str">
            <v>DA15 9AG</v>
          </cell>
          <cell r="O4626" t="str">
            <v>nigel.walker@csgrammar.com</v>
          </cell>
          <cell r="P4626">
            <v>40571</v>
          </cell>
        </row>
        <row r="4627">
          <cell r="A4627">
            <v>8554017</v>
          </cell>
          <cell r="B4627">
            <v>120246</v>
          </cell>
          <cell r="C4627">
            <v>855</v>
          </cell>
          <cell r="D4627" t="str">
            <v>Leicestershire</v>
          </cell>
          <cell r="E4627">
            <v>4017</v>
          </cell>
          <cell r="F4627" t="str">
            <v>Stephen Standret</v>
          </cell>
          <cell r="G4627" t="str">
            <v>Welland Park Community College</v>
          </cell>
          <cell r="H4627" t="str">
            <v>East Midlands</v>
          </cell>
          <cell r="I4627" t="str">
            <v>Welland Park Road</v>
          </cell>
          <cell r="L4627" t="str">
            <v>Market Harborough</v>
          </cell>
          <cell r="M4627" t="str">
            <v>Leicestershire</v>
          </cell>
          <cell r="N4627" t="str">
            <v>LE16 9DR</v>
          </cell>
          <cell r="O4627" t="str">
            <v>ppowell@wellandpark.leics.sch.uk</v>
          </cell>
          <cell r="P4627">
            <v>40604</v>
          </cell>
        </row>
        <row r="4628">
          <cell r="A4628">
            <v>8255200</v>
          </cell>
          <cell r="B4628">
            <v>110518</v>
          </cell>
          <cell r="C4628">
            <v>825</v>
          </cell>
          <cell r="D4628" t="str">
            <v>Buckinghamshire</v>
          </cell>
          <cell r="E4628">
            <v>5200</v>
          </cell>
          <cell r="F4628" t="str">
            <v>Darren Francis</v>
          </cell>
          <cell r="G4628" t="str">
            <v>Brookmead School</v>
          </cell>
          <cell r="H4628" t="str">
            <v>South East</v>
          </cell>
          <cell r="I4628" t="str">
            <v>High Street</v>
          </cell>
          <cell r="J4628" t="str">
            <v>Ivinghoe</v>
          </cell>
          <cell r="L4628" t="str">
            <v>Leighton Buzzard</v>
          </cell>
          <cell r="M4628" t="str">
            <v>Bedfordshire</v>
          </cell>
          <cell r="N4628" t="str">
            <v>LU7 9EX</v>
          </cell>
        </row>
        <row r="4629">
          <cell r="A4629">
            <v>9193015</v>
          </cell>
          <cell r="B4629">
            <v>117393</v>
          </cell>
          <cell r="C4629">
            <v>919</v>
          </cell>
          <cell r="D4629" t="str">
            <v>Hertfordshire</v>
          </cell>
          <cell r="E4629">
            <v>3015</v>
          </cell>
          <cell r="G4629" t="str">
            <v>Essendon CofE (VC) Primary School</v>
          </cell>
          <cell r="H4629" t="str">
            <v>East of England</v>
          </cell>
          <cell r="I4629" t="str">
            <v>School Lane</v>
          </cell>
          <cell r="L4629" t="str">
            <v>Essendon</v>
          </cell>
          <cell r="M4629" t="str">
            <v>Hertfordshire</v>
          </cell>
          <cell r="N4629" t="str">
            <v>AL9 6HD</v>
          </cell>
          <cell r="O4629" t="str">
            <v>head@essendon.herts.sch.uk</v>
          </cell>
        </row>
        <row r="4630">
          <cell r="A4630">
            <v>8862095</v>
          </cell>
          <cell r="B4630">
            <v>118258</v>
          </cell>
          <cell r="C4630">
            <v>886</v>
          </cell>
          <cell r="D4630" t="str">
            <v>Kent</v>
          </cell>
          <cell r="E4630">
            <v>2095</v>
          </cell>
          <cell r="F4630" t="str">
            <v>Nicky Edwards</v>
          </cell>
          <cell r="G4630" t="str">
            <v>Cecil Road Primary and Nursery School</v>
          </cell>
          <cell r="H4630" t="str">
            <v>South East</v>
          </cell>
          <cell r="I4630" t="str">
            <v>Cecil Road</v>
          </cell>
          <cell r="L4630" t="str">
            <v>Gravesend</v>
          </cell>
          <cell r="M4630" t="str">
            <v>Kent</v>
          </cell>
          <cell r="N4630" t="str">
            <v>DA11 7BT</v>
          </cell>
          <cell r="O4630" t="str">
            <v>altsparks7@hotmail.co.uk</v>
          </cell>
        </row>
        <row r="4631">
          <cell r="A4631">
            <v>8862662</v>
          </cell>
          <cell r="B4631">
            <v>118575</v>
          </cell>
          <cell r="C4631">
            <v>886</v>
          </cell>
          <cell r="D4631" t="str">
            <v>Kent</v>
          </cell>
          <cell r="E4631">
            <v>2662</v>
          </cell>
          <cell r="F4631" t="str">
            <v>Not yet assigned</v>
          </cell>
          <cell r="G4631" t="str">
            <v>Long Mead Community Primary School</v>
          </cell>
          <cell r="H4631" t="str">
            <v>South East</v>
          </cell>
          <cell r="I4631" t="str">
            <v>Waveney Road</v>
          </cell>
          <cell r="L4631" t="str">
            <v>Tonbridge</v>
          </cell>
          <cell r="M4631" t="str">
            <v>Kent</v>
          </cell>
          <cell r="N4631" t="str">
            <v>TN10 3JU</v>
          </cell>
          <cell r="O4631" t="str">
            <v>headteacher@long-mead.kent.sch.uk</v>
          </cell>
        </row>
        <row r="4632">
          <cell r="A4632">
            <v>8813101</v>
          </cell>
          <cell r="B4632">
            <v>115089</v>
          </cell>
          <cell r="C4632">
            <v>881</v>
          </cell>
          <cell r="D4632" t="str">
            <v>Essex</v>
          </cell>
          <cell r="E4632">
            <v>3101</v>
          </cell>
          <cell r="F4632" t="str">
            <v>David Rudd</v>
          </cell>
          <cell r="G4632" t="str">
            <v>Wickford Church of England Voluntary Controlled Infant School</v>
          </cell>
          <cell r="H4632" t="str">
            <v>East of England</v>
          </cell>
          <cell r="I4632" t="str">
            <v>Mount Road</v>
          </cell>
          <cell r="L4632" t="str">
            <v>Wickford</v>
          </cell>
          <cell r="M4632" t="str">
            <v>Essex</v>
          </cell>
          <cell r="N4632" t="str">
            <v>SS11 8HE</v>
          </cell>
          <cell r="O4632" t="str">
            <v>debbierogan@hotmail.co.uk</v>
          </cell>
          <cell r="P4632">
            <v>40742</v>
          </cell>
        </row>
        <row r="4633">
          <cell r="A4633">
            <v>8701004</v>
          </cell>
          <cell r="B4633">
            <v>109751</v>
          </cell>
          <cell r="C4633">
            <v>870</v>
          </cell>
          <cell r="D4633" t="str">
            <v>Reading</v>
          </cell>
          <cell r="E4633">
            <v>1004</v>
          </cell>
          <cell r="F4633" t="str">
            <v>Darren Francis</v>
          </cell>
          <cell r="G4633" t="str">
            <v>Norcot Early Years Centre</v>
          </cell>
          <cell r="H4633" t="str">
            <v>South East</v>
          </cell>
          <cell r="I4633" t="str">
            <v>82 Lyndhurst Road</v>
          </cell>
          <cell r="J4633" t="str">
            <v>Tilehurst</v>
          </cell>
          <cell r="L4633" t="str">
            <v>Reading</v>
          </cell>
          <cell r="M4633" t="str">
            <v>Berkshire</v>
          </cell>
          <cell r="N4633" t="str">
            <v>RG30 6UB</v>
          </cell>
          <cell r="O4633" t="str">
            <v>head.norcot@reading.gov.uk</v>
          </cell>
        </row>
        <row r="4634">
          <cell r="A4634">
            <v>9192093</v>
          </cell>
          <cell r="B4634">
            <v>117137</v>
          </cell>
          <cell r="C4634">
            <v>919</v>
          </cell>
          <cell r="D4634" t="str">
            <v>Hertfordshire</v>
          </cell>
          <cell r="E4634">
            <v>2093</v>
          </cell>
          <cell r="F4634" t="str">
            <v>Claire Ivie</v>
          </cell>
          <cell r="G4634" t="str">
            <v>Fleetville Junior School</v>
          </cell>
          <cell r="H4634" t="str">
            <v>East of England</v>
          </cell>
          <cell r="I4634" t="str">
            <v>228 Hatfield Road</v>
          </cell>
          <cell r="L4634" t="str">
            <v>St Albans</v>
          </cell>
          <cell r="M4634" t="str">
            <v>Hertfordshire</v>
          </cell>
          <cell r="N4634" t="str">
            <v>AL1 4LW</v>
          </cell>
          <cell r="O4634" t="str">
            <v>head@fleetvillejm.herts.sch.uk</v>
          </cell>
          <cell r="P4634">
            <v>40896</v>
          </cell>
        </row>
        <row r="4635">
          <cell r="A4635">
            <v>8954127</v>
          </cell>
          <cell r="B4635">
            <v>111410</v>
          </cell>
          <cell r="C4635">
            <v>895</v>
          </cell>
          <cell r="D4635" t="str">
            <v>Cheshire East</v>
          </cell>
          <cell r="E4635">
            <v>4127</v>
          </cell>
          <cell r="F4635" t="str">
            <v>Jane McCusker</v>
          </cell>
          <cell r="G4635" t="str">
            <v>Middlewich High School</v>
          </cell>
          <cell r="H4635" t="str">
            <v>North West</v>
          </cell>
          <cell r="I4635" t="str">
            <v>King Edward Street</v>
          </cell>
          <cell r="L4635" t="str">
            <v>Middlewich</v>
          </cell>
          <cell r="M4635" t="str">
            <v>Cheshire</v>
          </cell>
          <cell r="N4635" t="str">
            <v>CW10 9BU</v>
          </cell>
          <cell r="O4635" t="str">
            <v>Head@middlewichhigh.cheshire.sch.uk</v>
          </cell>
        </row>
        <row r="4636">
          <cell r="A4636">
            <v>8694054</v>
          </cell>
          <cell r="B4636">
            <v>110065</v>
          </cell>
          <cell r="C4636">
            <v>869</v>
          </cell>
          <cell r="D4636" t="str">
            <v>West Berkshire</v>
          </cell>
          <cell r="E4636">
            <v>4054</v>
          </cell>
          <cell r="F4636" t="str">
            <v>Darren Francis</v>
          </cell>
          <cell r="G4636" t="str">
            <v>Theale Green Community School</v>
          </cell>
          <cell r="H4636" t="str">
            <v>South East</v>
          </cell>
          <cell r="I4636" t="str">
            <v>Theale</v>
          </cell>
          <cell r="L4636" t="str">
            <v>Reading</v>
          </cell>
          <cell r="M4636" t="str">
            <v>Berkshire</v>
          </cell>
          <cell r="N4636" t="str">
            <v>RG7 5DA</v>
          </cell>
          <cell r="O4636" t="str">
            <v>smarshall@thealegreen.org.uk</v>
          </cell>
        </row>
        <row r="4637">
          <cell r="A4637">
            <v>8113049</v>
          </cell>
          <cell r="B4637">
            <v>118002</v>
          </cell>
          <cell r="C4637">
            <v>811</v>
          </cell>
          <cell r="D4637" t="str">
            <v>East Riding of Yorkshire</v>
          </cell>
          <cell r="E4637">
            <v>3049</v>
          </cell>
          <cell r="F4637" t="str">
            <v>Anita Turnbull</v>
          </cell>
          <cell r="G4637" t="str">
            <v>Cherry Burton Church of England Voluntary Controlled Primary School</v>
          </cell>
          <cell r="H4637" t="str">
            <v>Yorkshire and the Humber</v>
          </cell>
          <cell r="I4637" t="str">
            <v>Cherry Burton</v>
          </cell>
          <cell r="L4637" t="str">
            <v>Beverley</v>
          </cell>
          <cell r="N4637" t="str">
            <v>HU17 7RF</v>
          </cell>
          <cell r="O4637" t="str">
            <v>cherryburton.head.primary@eastriding.gov.uk</v>
          </cell>
        </row>
        <row r="4638">
          <cell r="A4638">
            <v>9334504</v>
          </cell>
          <cell r="B4638">
            <v>123892</v>
          </cell>
          <cell r="C4638">
            <v>933</v>
          </cell>
          <cell r="D4638" t="str">
            <v>Somerset</v>
          </cell>
          <cell r="E4638">
            <v>4504</v>
          </cell>
          <cell r="F4638" t="str">
            <v>Niko Thomas</v>
          </cell>
          <cell r="G4638" t="str">
            <v>The Blue School</v>
          </cell>
          <cell r="H4638" t="str">
            <v>South West</v>
          </cell>
          <cell r="I4638" t="str">
            <v>Kennion Road</v>
          </cell>
          <cell r="L4638" t="str">
            <v>Wells</v>
          </cell>
          <cell r="M4638" t="str">
            <v>Somerset</v>
          </cell>
          <cell r="N4638" t="str">
            <v>BA5 2NR</v>
          </cell>
          <cell r="O4638" t="str">
            <v>sdjackson@educ.somerset.gov.uk</v>
          </cell>
          <cell r="P4638">
            <v>40633</v>
          </cell>
        </row>
        <row r="4639">
          <cell r="A4639">
            <v>3162092</v>
          </cell>
          <cell r="B4639">
            <v>102761</v>
          </cell>
          <cell r="C4639">
            <v>316</v>
          </cell>
          <cell r="D4639" t="str">
            <v>Newham</v>
          </cell>
          <cell r="E4639">
            <v>2092</v>
          </cell>
          <cell r="F4639" t="str">
            <v>Sheila Longstaff</v>
          </cell>
          <cell r="G4639" t="str">
            <v>North Beckton Primary School</v>
          </cell>
          <cell r="H4639" t="str">
            <v>London</v>
          </cell>
          <cell r="I4639" t="str">
            <v>Harrier Way</v>
          </cell>
          <cell r="J4639" t="str">
            <v>Beckton</v>
          </cell>
          <cell r="L4639" t="str">
            <v>London</v>
          </cell>
          <cell r="N4639" t="str">
            <v>E6 5XG</v>
          </cell>
          <cell r="O4639" t="str">
            <v>manjit.rai@northbeckton.newham.sch.uk</v>
          </cell>
        </row>
        <row r="4640">
          <cell r="A4640">
            <v>8792636</v>
          </cell>
          <cell r="B4640">
            <v>113274</v>
          </cell>
          <cell r="C4640">
            <v>879</v>
          </cell>
          <cell r="D4640" t="str">
            <v>Plymouth</v>
          </cell>
          <cell r="E4640">
            <v>2636</v>
          </cell>
          <cell r="F4640" t="str">
            <v>Ali Bushell</v>
          </cell>
          <cell r="G4640" t="str">
            <v>Hyde Park Junior School</v>
          </cell>
          <cell r="H4640" t="str">
            <v>South West</v>
          </cell>
          <cell r="I4640" t="str">
            <v>Hyde Park Road</v>
          </cell>
          <cell r="J4640" t="str">
            <v>Mutley</v>
          </cell>
          <cell r="L4640" t="str">
            <v>Plymouth</v>
          </cell>
          <cell r="M4640" t="str">
            <v>Devon</v>
          </cell>
          <cell r="N4640" t="str">
            <v>PL3 4RH</v>
          </cell>
          <cell r="O4640" t="str">
            <v>bevans@hpjs.plymouth.sch.uk</v>
          </cell>
        </row>
        <row r="4641">
          <cell r="A4641">
            <v>8735400</v>
          </cell>
          <cell r="B4641">
            <v>110894</v>
          </cell>
          <cell r="C4641">
            <v>873</v>
          </cell>
          <cell r="D4641" t="str">
            <v>Cambridgeshire</v>
          </cell>
          <cell r="E4641">
            <v>5400</v>
          </cell>
          <cell r="F4641" t="str">
            <v>Yvonne Reddington</v>
          </cell>
          <cell r="G4641" t="str">
            <v>Gamlingay Village College</v>
          </cell>
          <cell r="H4641" t="str">
            <v>East of England</v>
          </cell>
          <cell r="I4641" t="str">
            <v>Station Road</v>
          </cell>
          <cell r="J4641" t="str">
            <v>Gamlingay</v>
          </cell>
          <cell r="L4641" t="str">
            <v>Sandy</v>
          </cell>
          <cell r="M4641" t="str">
            <v>Bedfordshire</v>
          </cell>
          <cell r="N4641" t="str">
            <v>SG19 3HD</v>
          </cell>
          <cell r="O4641" t="str">
            <v>michael@dodson-jones.co.uk</v>
          </cell>
          <cell r="P4641">
            <v>40805</v>
          </cell>
        </row>
        <row r="4642">
          <cell r="A4642">
            <v>8944438</v>
          </cell>
          <cell r="B4642">
            <v>123585</v>
          </cell>
          <cell r="C4642">
            <v>894</v>
          </cell>
          <cell r="D4642" t="str">
            <v>Telford and Wrekin</v>
          </cell>
          <cell r="E4642">
            <v>4438</v>
          </cell>
          <cell r="F4642" t="str">
            <v>Liz Robinson</v>
          </cell>
          <cell r="G4642" t="str">
            <v>Sutherland Business and Enterprise College</v>
          </cell>
          <cell r="H4642" t="str">
            <v>West Midlands</v>
          </cell>
          <cell r="I4642" t="str">
            <v>Gibbons Road</v>
          </cell>
          <cell r="J4642" t="str">
            <v>Trench</v>
          </cell>
          <cell r="L4642" t="str">
            <v>Telford</v>
          </cell>
          <cell r="M4642" t="str">
            <v>Shropshire</v>
          </cell>
          <cell r="N4642" t="str">
            <v>TF2 7JR</v>
          </cell>
          <cell r="O4642" t="str">
            <v>Steve.wall@taw.org.uk</v>
          </cell>
          <cell r="P4642">
            <v>41236</v>
          </cell>
        </row>
        <row r="4643">
          <cell r="A4643">
            <v>8825446</v>
          </cell>
          <cell r="B4643">
            <v>115362</v>
          </cell>
          <cell r="C4643">
            <v>882</v>
          </cell>
          <cell r="D4643" t="str">
            <v>Southend-on-Sea</v>
          </cell>
          <cell r="E4643">
            <v>5446</v>
          </cell>
          <cell r="F4643" t="str">
            <v>Claire Ivie</v>
          </cell>
          <cell r="G4643" t="str">
            <v>Southend High School for Boys</v>
          </cell>
          <cell r="H4643" t="str">
            <v>East of England</v>
          </cell>
          <cell r="I4643" t="str">
            <v>Prittlewell Chase</v>
          </cell>
          <cell r="L4643" t="str">
            <v>Southend-on-Sea</v>
          </cell>
          <cell r="M4643" t="str">
            <v>Essex</v>
          </cell>
          <cell r="N4643" t="str">
            <v>SS0 0RG</v>
          </cell>
          <cell r="O4643" t="str">
            <v>ht@shsb.demon.co.uk</v>
          </cell>
          <cell r="P4643">
            <v>40512</v>
          </cell>
        </row>
        <row r="4644">
          <cell r="A4644">
            <v>3332122</v>
          </cell>
          <cell r="B4644">
            <v>103940</v>
          </cell>
          <cell r="C4644">
            <v>333</v>
          </cell>
          <cell r="D4644" t="str">
            <v>Sandwell</v>
          </cell>
          <cell r="E4644">
            <v>2122</v>
          </cell>
          <cell r="F4644" t="str">
            <v>Ruth Pallister</v>
          </cell>
          <cell r="G4644" t="str">
            <v>Victoria Park Primary</v>
          </cell>
          <cell r="H4644" t="str">
            <v>West Midlands</v>
          </cell>
          <cell r="I4644" t="str">
            <v>Ballot Street</v>
          </cell>
          <cell r="L4644" t="str">
            <v>Smethwick</v>
          </cell>
          <cell r="M4644" t="str">
            <v>West Midlands</v>
          </cell>
          <cell r="N4644" t="str">
            <v>B66 3HH</v>
          </cell>
          <cell r="O4644" t="str">
            <v>andrew.morrish@victoriapark.sandwell.sch.uk</v>
          </cell>
          <cell r="P4644">
            <v>40849</v>
          </cell>
        </row>
        <row r="4645">
          <cell r="A4645">
            <v>8232195</v>
          </cell>
          <cell r="B4645">
            <v>109520</v>
          </cell>
          <cell r="C4645">
            <v>823</v>
          </cell>
          <cell r="D4645" t="str">
            <v>Central Bedfordshire</v>
          </cell>
          <cell r="E4645">
            <v>2195</v>
          </cell>
          <cell r="F4645" t="str">
            <v>Kish Chetty</v>
          </cell>
          <cell r="G4645" t="str">
            <v>The Firs Lower School</v>
          </cell>
          <cell r="H4645" t="str">
            <v>East of England</v>
          </cell>
          <cell r="I4645" t="str">
            <v>Station Road</v>
          </cell>
          <cell r="J4645" t="str">
            <v>Ampthill</v>
          </cell>
          <cell r="L4645" t="str">
            <v>Bedford</v>
          </cell>
          <cell r="M4645" t="str">
            <v>Bedfordshire</v>
          </cell>
          <cell r="N4645" t="str">
            <v>MK45 2QR</v>
          </cell>
          <cell r="O4645" t="str">
            <v>adam.campbell5@gmail.com</v>
          </cell>
          <cell r="P4645">
            <v>40567</v>
          </cell>
        </row>
        <row r="4646">
          <cell r="A4646">
            <v>9195405</v>
          </cell>
          <cell r="B4646">
            <v>117577</v>
          </cell>
          <cell r="C4646">
            <v>919</v>
          </cell>
          <cell r="D4646" t="str">
            <v>Hertfordshire</v>
          </cell>
          <cell r="E4646">
            <v>5405</v>
          </cell>
          <cell r="F4646" t="str">
            <v>Joe Farrell</v>
          </cell>
          <cell r="G4646" t="str">
            <v>The Bishop's Stortford High School</v>
          </cell>
          <cell r="H4646" t="str">
            <v>East of England</v>
          </cell>
          <cell r="I4646" t="str">
            <v>London Road</v>
          </cell>
          <cell r="L4646" t="str">
            <v>Bishop's Stortford</v>
          </cell>
          <cell r="M4646" t="str">
            <v>Hertfordshire</v>
          </cell>
          <cell r="N4646" t="str">
            <v>CM23 3LU</v>
          </cell>
          <cell r="O4646" t="str">
            <v>office@tbshs.herts.sch.uk</v>
          </cell>
          <cell r="P4646">
            <v>40352</v>
          </cell>
        </row>
        <row r="4647">
          <cell r="A4647">
            <v>8962182</v>
          </cell>
          <cell r="B4647">
            <v>111051</v>
          </cell>
          <cell r="C4647">
            <v>896</v>
          </cell>
          <cell r="D4647" t="str">
            <v>Cheshire West and Chester</v>
          </cell>
          <cell r="E4647">
            <v>2182</v>
          </cell>
          <cell r="F4647" t="str">
            <v>Kris Nursiah</v>
          </cell>
          <cell r="G4647" t="str">
            <v>Little Leigh Primary School</v>
          </cell>
          <cell r="H4647" t="str">
            <v>North West</v>
          </cell>
          <cell r="I4647" t="str">
            <v>Shutley Lane</v>
          </cell>
          <cell r="J4647" t="str">
            <v>Little Leigh</v>
          </cell>
          <cell r="L4647" t="str">
            <v>Northwich</v>
          </cell>
          <cell r="M4647" t="str">
            <v>Cheshire</v>
          </cell>
          <cell r="N4647" t="str">
            <v>CW8 4RN</v>
          </cell>
          <cell r="O4647" t="str">
            <v>head@littleleighprimary.cheshire.sch.uk</v>
          </cell>
        </row>
        <row r="4648">
          <cell r="A4648">
            <v>8914008</v>
          </cell>
          <cell r="B4648">
            <v>122826</v>
          </cell>
          <cell r="C4648">
            <v>891</v>
          </cell>
          <cell r="D4648" t="str">
            <v>Nottinghamshire</v>
          </cell>
          <cell r="E4648">
            <v>4008</v>
          </cell>
          <cell r="F4648" t="str">
            <v>Sue Harp</v>
          </cell>
          <cell r="G4648" t="str">
            <v>Kirkby College</v>
          </cell>
          <cell r="H4648" t="str">
            <v>East Midlands</v>
          </cell>
          <cell r="I4648" t="str">
            <v>Tennyson Street</v>
          </cell>
          <cell r="J4648" t="str">
            <v>Kirkby-in-Ashfield</v>
          </cell>
          <cell r="L4648" t="str">
            <v>Nottingham</v>
          </cell>
          <cell r="M4648" t="str">
            <v>Nottinghamshire</v>
          </cell>
          <cell r="N4648" t="str">
            <v>NG17 7DH</v>
          </cell>
          <cell r="O4648" t="str">
            <v>staylor@kirkbycollege.notts.sch.uk</v>
          </cell>
          <cell r="P4648">
            <v>40876</v>
          </cell>
        </row>
        <row r="4649">
          <cell r="A4649">
            <v>9313244</v>
          </cell>
          <cell r="B4649">
            <v>123163</v>
          </cell>
          <cell r="C4649">
            <v>931</v>
          </cell>
          <cell r="D4649" t="str">
            <v>Oxfordshire</v>
          </cell>
          <cell r="E4649">
            <v>3244</v>
          </cell>
          <cell r="F4649" t="str">
            <v>Darren Francis</v>
          </cell>
          <cell r="G4649" t="str">
            <v>St Nicholas' Church of England Infants' School and Nursery Class, Wallingford</v>
          </cell>
          <cell r="H4649" t="str">
            <v>South East</v>
          </cell>
          <cell r="I4649" t="str">
            <v>St Nicholas Road</v>
          </cell>
          <cell r="L4649" t="str">
            <v>Wallingford</v>
          </cell>
          <cell r="M4649" t="str">
            <v>Oxfordshire</v>
          </cell>
          <cell r="N4649" t="str">
            <v>OX10 8HX</v>
          </cell>
          <cell r="O4649" t="str">
            <v>office.3244@st-nicholas.oxon.sch.uk</v>
          </cell>
        </row>
        <row r="4650">
          <cell r="A4650">
            <v>3503368</v>
          </cell>
          <cell r="B4650">
            <v>105251</v>
          </cell>
          <cell r="C4650">
            <v>350</v>
          </cell>
          <cell r="D4650" t="str">
            <v>Bolton</v>
          </cell>
          <cell r="E4650">
            <v>3368</v>
          </cell>
          <cell r="F4650" t="str">
            <v>Christine West</v>
          </cell>
          <cell r="G4650" t="str">
            <v>St Bede CofE Primary School</v>
          </cell>
          <cell r="H4650" t="str">
            <v>North West</v>
          </cell>
          <cell r="I4650" t="str">
            <v>Morris Green Lane</v>
          </cell>
          <cell r="L4650" t="str">
            <v>Bolton</v>
          </cell>
          <cell r="M4650" t="str">
            <v>Lancashire</v>
          </cell>
          <cell r="N4650" t="str">
            <v>BL3 3LJ</v>
          </cell>
          <cell r="O4650" t="str">
            <v>hatchj@st-bede.bolton.sch.uk</v>
          </cell>
          <cell r="P4650">
            <v>40352</v>
          </cell>
        </row>
        <row r="4651">
          <cell r="A4651">
            <v>3515201</v>
          </cell>
          <cell r="B4651">
            <v>105346</v>
          </cell>
          <cell r="C4651">
            <v>351</v>
          </cell>
          <cell r="D4651" t="str">
            <v>Bury</v>
          </cell>
          <cell r="E4651">
            <v>5201</v>
          </cell>
          <cell r="F4651" t="str">
            <v>Struan Mackenzie</v>
          </cell>
          <cell r="G4651" t="str">
            <v>Yesoiday Hatorah School</v>
          </cell>
          <cell r="H4651" t="str">
            <v>North West</v>
          </cell>
          <cell r="I4651" t="str">
            <v>Sedgley Park Road</v>
          </cell>
          <cell r="J4651" t="str">
            <v>Prestwich</v>
          </cell>
          <cell r="L4651" t="str">
            <v>Manchester</v>
          </cell>
          <cell r="M4651" t="str">
            <v>Lancashire</v>
          </cell>
          <cell r="N4651" t="str">
            <v>M25 0JW</v>
          </cell>
          <cell r="O4651" t="str">
            <v>info@yhs.org.uk</v>
          </cell>
          <cell r="P4651">
            <v>40521</v>
          </cell>
        </row>
        <row r="4652">
          <cell r="A4652">
            <v>9084165</v>
          </cell>
          <cell r="B4652">
            <v>112059</v>
          </cell>
          <cell r="C4652">
            <v>908</v>
          </cell>
          <cell r="D4652" t="str">
            <v>Cornwall</v>
          </cell>
          <cell r="E4652">
            <v>4165</v>
          </cell>
          <cell r="F4652" t="str">
            <v>Tahamina Khan</v>
          </cell>
          <cell r="G4652" t="str">
            <v>Newquay Tretherras School</v>
          </cell>
          <cell r="H4652" t="str">
            <v>South West</v>
          </cell>
          <cell r="I4652" t="str">
            <v>Trevenson Road</v>
          </cell>
          <cell r="L4652" t="str">
            <v>Newquay</v>
          </cell>
          <cell r="M4652" t="str">
            <v>Cornwall</v>
          </cell>
          <cell r="N4652" t="str">
            <v>TR7 3BH</v>
          </cell>
          <cell r="O4652" t="str">
            <v>head@tretherras.cornwall.sch.uk</v>
          </cell>
          <cell r="P4652">
            <v>40514</v>
          </cell>
        </row>
        <row r="4653">
          <cell r="A4653">
            <v>8952145</v>
          </cell>
          <cell r="B4653">
            <v>111019</v>
          </cell>
          <cell r="C4653">
            <v>895</v>
          </cell>
          <cell r="D4653" t="str">
            <v>Cheshire East</v>
          </cell>
          <cell r="E4653">
            <v>2145</v>
          </cell>
          <cell r="F4653" t="str">
            <v>Jane McCusker</v>
          </cell>
          <cell r="G4653" t="str">
            <v>Nether Alderley Primary School</v>
          </cell>
          <cell r="H4653" t="str">
            <v>North West</v>
          </cell>
          <cell r="I4653" t="str">
            <v>Bradford Lane</v>
          </cell>
          <cell r="J4653" t="str">
            <v>Nether Alderley</v>
          </cell>
          <cell r="L4653" t="str">
            <v>Macclesfield</v>
          </cell>
          <cell r="M4653" t="str">
            <v>Cheshire</v>
          </cell>
          <cell r="N4653" t="str">
            <v>SK10 4TR</v>
          </cell>
          <cell r="O4653" t="str">
            <v>head@netheralderley.cheshire.sch.uk</v>
          </cell>
        </row>
        <row r="4654">
          <cell r="A4654">
            <v>8722245</v>
          </cell>
          <cell r="B4654">
            <v>109936</v>
          </cell>
          <cell r="C4654">
            <v>872</v>
          </cell>
          <cell r="D4654" t="str">
            <v>Wokingham</v>
          </cell>
          <cell r="E4654">
            <v>2245</v>
          </cell>
          <cell r="F4654" t="str">
            <v>Sarah Nairne</v>
          </cell>
          <cell r="G4654" t="str">
            <v>Beechwood Primary School</v>
          </cell>
          <cell r="H4654" t="str">
            <v>South East</v>
          </cell>
          <cell r="I4654" t="str">
            <v>Ambleside Close</v>
          </cell>
          <cell r="J4654" t="str">
            <v>Woodley</v>
          </cell>
          <cell r="L4654" t="str">
            <v>Reading</v>
          </cell>
          <cell r="M4654" t="str">
            <v>Berkshire</v>
          </cell>
          <cell r="N4654" t="str">
            <v>RG5 4JJ</v>
          </cell>
          <cell r="O4654" t="str">
            <v>head@beechwood.wokingham.sch.uk</v>
          </cell>
        </row>
        <row r="4655">
          <cell r="A4655">
            <v>9163074</v>
          </cell>
          <cell r="B4655">
            <v>115655</v>
          </cell>
          <cell r="C4655">
            <v>916</v>
          </cell>
          <cell r="D4655" t="str">
            <v>Gloucestershire</v>
          </cell>
          <cell r="E4655">
            <v>3074</v>
          </cell>
          <cell r="F4655" t="str">
            <v>Theresa Oddelm</v>
          </cell>
          <cell r="G4655" t="str">
            <v>Tutshill Church of England Primary School</v>
          </cell>
          <cell r="H4655" t="str">
            <v>South West</v>
          </cell>
          <cell r="I4655" t="str">
            <v>Coleford Road</v>
          </cell>
          <cell r="J4655" t="str">
            <v>Tutshill</v>
          </cell>
          <cell r="L4655" t="str">
            <v>Chepstow</v>
          </cell>
          <cell r="M4655" t="str">
            <v>Gloucestershire</v>
          </cell>
          <cell r="N4655" t="str">
            <v>NP16 7BJ</v>
          </cell>
          <cell r="O4655" t="str">
            <v>head@tutshillcofe.gloucs.sch.uk</v>
          </cell>
        </row>
        <row r="4656">
          <cell r="A4656">
            <v>8404694</v>
          </cell>
          <cell r="B4656">
            <v>114328</v>
          </cell>
          <cell r="C4656">
            <v>840</v>
          </cell>
          <cell r="D4656" t="str">
            <v>Durham</v>
          </cell>
          <cell r="E4656">
            <v>4694</v>
          </cell>
          <cell r="F4656" t="str">
            <v>Bev Mullin</v>
          </cell>
          <cell r="G4656" t="str">
            <v>St Bede's Catholic Comprehensive School and Sixth Form College, Lanchester</v>
          </cell>
          <cell r="H4656" t="str">
            <v>North East</v>
          </cell>
          <cell r="I4656" t="str">
            <v>Consett Road</v>
          </cell>
          <cell r="J4656" t="str">
            <v>Lanchester</v>
          </cell>
          <cell r="L4656" t="str">
            <v>Durham</v>
          </cell>
          <cell r="N4656" t="str">
            <v>DH7 0RD</v>
          </cell>
          <cell r="O4656" t="str">
            <v>mmatthews@stbedes.durham.sch.uk</v>
          </cell>
          <cell r="P4656">
            <v>40959</v>
          </cell>
        </row>
        <row r="4657">
          <cell r="A4657">
            <v>9252210</v>
          </cell>
          <cell r="B4657">
            <v>120491</v>
          </cell>
          <cell r="C4657">
            <v>925</v>
          </cell>
          <cell r="D4657" t="str">
            <v>Lincolnshire</v>
          </cell>
          <cell r="E4657">
            <v>2210</v>
          </cell>
          <cell r="F4657" t="str">
            <v>Grant Dyson</v>
          </cell>
          <cell r="G4657" t="str">
            <v>Hemswell Cliff Primary School</v>
          </cell>
          <cell r="H4657" t="str">
            <v>East Midlands</v>
          </cell>
          <cell r="I4657" t="str">
            <v>Capper Avenue</v>
          </cell>
          <cell r="J4657" t="str">
            <v>Hemswell Cliff</v>
          </cell>
          <cell r="L4657" t="str">
            <v>Gainsborough</v>
          </cell>
          <cell r="M4657" t="str">
            <v>Lincolnshire</v>
          </cell>
          <cell r="N4657" t="str">
            <v>DN21 5XS</v>
          </cell>
          <cell r="O4657" t="str">
            <v>suzanne.scott@hemswellcliff.lincs.sch.uk</v>
          </cell>
        </row>
        <row r="4658">
          <cell r="A4658">
            <v>9095401</v>
          </cell>
          <cell r="B4658">
            <v>112428</v>
          </cell>
          <cell r="C4658">
            <v>909</v>
          </cell>
          <cell r="D4658" t="str">
            <v>Cumbria</v>
          </cell>
          <cell r="E4658">
            <v>5401</v>
          </cell>
          <cell r="F4658" t="str">
            <v>Hannah Copp</v>
          </cell>
          <cell r="G4658" t="str">
            <v>Queen Elizabeth Grammar School</v>
          </cell>
          <cell r="H4658" t="str">
            <v>North West</v>
          </cell>
          <cell r="I4658" t="str">
            <v>Ullswater Road</v>
          </cell>
          <cell r="L4658" t="str">
            <v>Penrith</v>
          </cell>
          <cell r="M4658" t="str">
            <v>Cumbria</v>
          </cell>
          <cell r="N4658" t="str">
            <v>CA11 7EG</v>
          </cell>
          <cell r="O4658" t="str">
            <v>ckirkup@qegs.cumbria.sch.uk</v>
          </cell>
          <cell r="P4658">
            <v>40345</v>
          </cell>
        </row>
        <row r="4659">
          <cell r="A4659">
            <v>3812081</v>
          </cell>
          <cell r="B4659">
            <v>107528</v>
          </cell>
          <cell r="C4659">
            <v>381</v>
          </cell>
          <cell r="D4659" t="str">
            <v>Calderdale</v>
          </cell>
          <cell r="E4659">
            <v>2081</v>
          </cell>
          <cell r="F4659" t="str">
            <v>Bev Annables</v>
          </cell>
          <cell r="G4659" t="str">
            <v>Woodhouse Primary</v>
          </cell>
          <cell r="H4659" t="str">
            <v>Yorkshire and the Humber</v>
          </cell>
          <cell r="I4659" t="str">
            <v>Daisy Road</v>
          </cell>
          <cell r="L4659" t="str">
            <v>Brighouse</v>
          </cell>
          <cell r="M4659" t="str">
            <v>West Yorkshire</v>
          </cell>
          <cell r="N4659" t="str">
            <v>HD6 3SX</v>
          </cell>
          <cell r="O4659" t="str">
            <v>deputyhead@woodhouse.calderdale.sch.uk</v>
          </cell>
        </row>
        <row r="4660">
          <cell r="A4660">
            <v>8844428</v>
          </cell>
          <cell r="B4660">
            <v>116975</v>
          </cell>
          <cell r="C4660">
            <v>884</v>
          </cell>
          <cell r="D4660" t="str">
            <v>Herefordshire</v>
          </cell>
          <cell r="E4660">
            <v>4428</v>
          </cell>
          <cell r="F4660" t="str">
            <v>Pamela Stenson</v>
          </cell>
          <cell r="G4660" t="str">
            <v>John Kyrle High School and Sixth Form Centre</v>
          </cell>
          <cell r="H4660" t="str">
            <v>West Midlands</v>
          </cell>
          <cell r="I4660" t="str">
            <v>Ledbury Road</v>
          </cell>
          <cell r="L4660" t="str">
            <v>Ross-on-Wye</v>
          </cell>
          <cell r="M4660" t="str">
            <v>Herefordshire</v>
          </cell>
          <cell r="N4660" t="str">
            <v>HR9 7ET</v>
          </cell>
          <cell r="O4660" t="str">
            <v>ngriffiths@john-kyrle.hereford.sch.uk</v>
          </cell>
          <cell r="P4660">
            <v>40367</v>
          </cell>
        </row>
        <row r="4661">
          <cell r="A4661">
            <v>3823409</v>
          </cell>
          <cell r="B4661">
            <v>130941</v>
          </cell>
          <cell r="C4661">
            <v>382</v>
          </cell>
          <cell r="D4661" t="str">
            <v>Kirklees</v>
          </cell>
          <cell r="E4661">
            <v>3409</v>
          </cell>
          <cell r="F4661" t="str">
            <v>Janet Coatsworth</v>
          </cell>
          <cell r="G4661" t="str">
            <v>Christ Church Woodhouse C of E (Voluntary Aided) Junior, Infant &amp; Early Years School</v>
          </cell>
          <cell r="H4661" t="str">
            <v>Yorkshire and the Humber</v>
          </cell>
          <cell r="I4661" t="str">
            <v>Deighton Road</v>
          </cell>
          <cell r="J4661" t="str">
            <v>Deighton</v>
          </cell>
          <cell r="L4661" t="str">
            <v>Huddersfield</v>
          </cell>
          <cell r="M4661" t="str">
            <v>West Yorkshire</v>
          </cell>
          <cell r="N4661" t="str">
            <v>HD2 1JP</v>
          </cell>
        </row>
        <row r="4662">
          <cell r="A4662">
            <v>9365216</v>
          </cell>
          <cell r="B4662">
            <v>125298</v>
          </cell>
          <cell r="C4662">
            <v>936</v>
          </cell>
          <cell r="D4662" t="str">
            <v>Surrey</v>
          </cell>
          <cell r="E4662">
            <v>5216</v>
          </cell>
          <cell r="F4662" t="str">
            <v>Gabriela Grimley</v>
          </cell>
          <cell r="G4662" t="str">
            <v>Wallace Fields Junior School</v>
          </cell>
          <cell r="H4662" t="str">
            <v>South East</v>
          </cell>
          <cell r="I4662" t="str">
            <v>Dorling Drive</v>
          </cell>
          <cell r="J4662" t="str">
            <v>Ewell</v>
          </cell>
          <cell r="L4662" t="str">
            <v>Epsom</v>
          </cell>
          <cell r="M4662" t="str">
            <v>Surrey</v>
          </cell>
          <cell r="N4662" t="str">
            <v>KT17 3BH</v>
          </cell>
          <cell r="O4662" t="str">
            <v>head@wallacefields-jun.surrey.sch.uk</v>
          </cell>
        </row>
        <row r="4663">
          <cell r="A4663">
            <v>3594501</v>
          </cell>
          <cell r="B4663">
            <v>106533</v>
          </cell>
          <cell r="C4663">
            <v>359</v>
          </cell>
          <cell r="D4663" t="str">
            <v>Wigan</v>
          </cell>
          <cell r="E4663">
            <v>4501</v>
          </cell>
          <cell r="F4663" t="str">
            <v>Felicity Price</v>
          </cell>
          <cell r="G4663" t="str">
            <v>The Byrchall High School</v>
          </cell>
          <cell r="H4663" t="str">
            <v>North West</v>
          </cell>
          <cell r="I4663" t="str">
            <v>Warrington Road</v>
          </cell>
          <cell r="J4663" t="str">
            <v>Ashton-in-Makerfield</v>
          </cell>
          <cell r="L4663" t="str">
            <v>Wigan</v>
          </cell>
          <cell r="M4663" t="str">
            <v>Lancashire</v>
          </cell>
          <cell r="N4663" t="str">
            <v>WN4 9PQ</v>
          </cell>
          <cell r="O4663" t="str">
            <v>enquiries@admin.byrchall.wigan.sch.uk</v>
          </cell>
          <cell r="P4663">
            <v>41068</v>
          </cell>
        </row>
        <row r="4664">
          <cell r="A4664">
            <v>3504805</v>
          </cell>
          <cell r="B4664">
            <v>134646</v>
          </cell>
          <cell r="C4664">
            <v>350</v>
          </cell>
          <cell r="D4664" t="str">
            <v>Bolton</v>
          </cell>
          <cell r="E4664">
            <v>4805</v>
          </cell>
          <cell r="F4664" t="str">
            <v>Elaine Howard</v>
          </cell>
          <cell r="G4664" t="str">
            <v>Ladybridge High School</v>
          </cell>
          <cell r="H4664" t="str">
            <v>North West</v>
          </cell>
          <cell r="I4664" t="str">
            <v>New York</v>
          </cell>
          <cell r="J4664" t="str">
            <v>Junction Road</v>
          </cell>
          <cell r="K4664" t="str">
            <v>Deane</v>
          </cell>
          <cell r="L4664" t="str">
            <v>Bolton</v>
          </cell>
          <cell r="M4664" t="str">
            <v>Lancashire</v>
          </cell>
          <cell r="N4664" t="str">
            <v>BL3 4NG</v>
          </cell>
          <cell r="O4664" t="str">
            <v>slatera@ladybridgehigh.co.uk</v>
          </cell>
        </row>
        <row r="4665">
          <cell r="A4665">
            <v>8504000</v>
          </cell>
          <cell r="B4665">
            <v>116404</v>
          </cell>
          <cell r="C4665">
            <v>850</v>
          </cell>
          <cell r="D4665" t="str">
            <v>Hampshire</v>
          </cell>
          <cell r="E4665">
            <v>4000</v>
          </cell>
          <cell r="F4665" t="str">
            <v>Amanda Barrett</v>
          </cell>
          <cell r="G4665" t="str">
            <v>Eggar's School</v>
          </cell>
          <cell r="H4665" t="str">
            <v>South East</v>
          </cell>
          <cell r="I4665" t="str">
            <v>London Road</v>
          </cell>
          <cell r="J4665" t="str">
            <v>Holybourne</v>
          </cell>
          <cell r="L4665" t="str">
            <v>Alton</v>
          </cell>
          <cell r="M4665" t="str">
            <v>Hampshire</v>
          </cell>
          <cell r="N4665" t="str">
            <v>GU34 4EQ</v>
          </cell>
          <cell r="O4665" t="str">
            <v>patjsullivanuk@yahoo.com</v>
          </cell>
          <cell r="P4665">
            <v>40746</v>
          </cell>
        </row>
        <row r="4666">
          <cell r="A4666">
            <v>8904060</v>
          </cell>
          <cell r="B4666">
            <v>119737</v>
          </cell>
          <cell r="C4666">
            <v>890</v>
          </cell>
          <cell r="D4666" t="str">
            <v>Blackpool</v>
          </cell>
          <cell r="E4666">
            <v>4060</v>
          </cell>
          <cell r="F4666" t="str">
            <v>Viv Clutton</v>
          </cell>
          <cell r="G4666" t="str">
            <v>Collegiate High School</v>
          </cell>
          <cell r="H4666" t="str">
            <v>North West</v>
          </cell>
          <cell r="I4666" t="str">
            <v>Blackpool Old Road</v>
          </cell>
          <cell r="L4666" t="str">
            <v>Blackpool</v>
          </cell>
          <cell r="M4666" t="str">
            <v>Lancashire</v>
          </cell>
          <cell r="N4666" t="str">
            <v>FY3 7LS</v>
          </cell>
          <cell r="O4666" t="str">
            <v>cherry.ridgway@collegiate.blackpool.sch.uk</v>
          </cell>
        </row>
        <row r="4667">
          <cell r="A4667">
            <v>3304057</v>
          </cell>
          <cell r="B4667">
            <v>103484</v>
          </cell>
          <cell r="C4667">
            <v>330</v>
          </cell>
          <cell r="D4667" t="str">
            <v>Birmingham</v>
          </cell>
          <cell r="E4667">
            <v>4057</v>
          </cell>
          <cell r="F4667" t="str">
            <v>Ruth Pallister</v>
          </cell>
          <cell r="G4667" t="str">
            <v>Lordswood Boys' School</v>
          </cell>
          <cell r="H4667" t="str">
            <v>West Midlands</v>
          </cell>
          <cell r="I4667" t="str">
            <v>Hagley Road</v>
          </cell>
          <cell r="L4667" t="str">
            <v>Birmingham</v>
          </cell>
          <cell r="M4667" t="str">
            <v>West Midlands</v>
          </cell>
          <cell r="N4667" t="str">
            <v>B17 8BJ</v>
          </cell>
          <cell r="O4667" t="str">
            <v>j.gotschel@lordswoodgirls.co.uk</v>
          </cell>
          <cell r="P4667">
            <v>40998</v>
          </cell>
        </row>
        <row r="4668">
          <cell r="A4668">
            <v>8554036</v>
          </cell>
          <cell r="B4668">
            <v>120259</v>
          </cell>
          <cell r="C4668">
            <v>855</v>
          </cell>
          <cell r="D4668" t="str">
            <v>Leicestershire</v>
          </cell>
          <cell r="E4668">
            <v>4036</v>
          </cell>
          <cell r="F4668" t="str">
            <v>Helen Whetter</v>
          </cell>
          <cell r="G4668" t="str">
            <v>Belvoir High School</v>
          </cell>
          <cell r="H4668" t="str">
            <v>East Midlands</v>
          </cell>
          <cell r="I4668" t="str">
            <v>Barkestone Lane</v>
          </cell>
          <cell r="J4668" t="str">
            <v>Bottesford</v>
          </cell>
          <cell r="L4668" t="str">
            <v>Nottingham</v>
          </cell>
          <cell r="M4668" t="str">
            <v>Nottinghamshire</v>
          </cell>
          <cell r="N4668" t="str">
            <v>NG13 0AX</v>
          </cell>
          <cell r="O4668" t="str">
            <v>jon.sherwin@mv16.org.uk</v>
          </cell>
          <cell r="P4668">
            <v>41149</v>
          </cell>
        </row>
        <row r="4669">
          <cell r="A4669">
            <v>8662214</v>
          </cell>
          <cell r="B4669">
            <v>126283</v>
          </cell>
          <cell r="C4669">
            <v>866</v>
          </cell>
          <cell r="D4669" t="str">
            <v>Swindon</v>
          </cell>
          <cell r="E4669">
            <v>2214</v>
          </cell>
          <cell r="F4669" t="str">
            <v>Theresa Oddelm</v>
          </cell>
          <cell r="G4669" t="str">
            <v>Brook Field Primary School</v>
          </cell>
          <cell r="H4669" t="str">
            <v>South West</v>
          </cell>
          <cell r="I4669" t="str">
            <v>Cartwright Drive</v>
          </cell>
          <cell r="J4669" t="str">
            <v>Shaw</v>
          </cell>
          <cell r="L4669" t="str">
            <v>Swindon</v>
          </cell>
          <cell r="M4669" t="str">
            <v>Wiltshire</v>
          </cell>
          <cell r="N4669" t="str">
            <v>SN5 5SB</v>
          </cell>
          <cell r="O4669" t="str">
            <v>head@brookfield.swindon.sch.uk</v>
          </cell>
          <cell r="P4669">
            <v>41255</v>
          </cell>
        </row>
        <row r="4670">
          <cell r="A4670">
            <v>3947004</v>
          </cell>
          <cell r="B4670">
            <v>108879</v>
          </cell>
          <cell r="C4670">
            <v>394</v>
          </cell>
          <cell r="D4670" t="str">
            <v>Sunderland</v>
          </cell>
          <cell r="E4670">
            <v>7004</v>
          </cell>
          <cell r="F4670" t="str">
            <v>Bev Mullin</v>
          </cell>
          <cell r="G4670" t="str">
            <v>Barbara Priestman School</v>
          </cell>
          <cell r="H4670" t="str">
            <v>North East</v>
          </cell>
          <cell r="I4670" t="str">
            <v>Meadowside</v>
          </cell>
          <cell r="L4670" t="str">
            <v>Sunderland</v>
          </cell>
          <cell r="M4670" t="str">
            <v>Tyne and Wear</v>
          </cell>
          <cell r="N4670" t="str">
            <v>SR2 7QN</v>
          </cell>
          <cell r="O4670" t="str">
            <v>carolyn.barker@schools.sunderland.gov.uk</v>
          </cell>
          <cell r="P4670">
            <v>40994</v>
          </cell>
        </row>
        <row r="4671">
          <cell r="A4671">
            <v>8812591</v>
          </cell>
          <cell r="B4671">
            <v>114905</v>
          </cell>
          <cell r="C4671">
            <v>881</v>
          </cell>
          <cell r="D4671" t="str">
            <v>Essex</v>
          </cell>
          <cell r="E4671">
            <v>2591</v>
          </cell>
          <cell r="F4671" t="str">
            <v>Claire Ivie</v>
          </cell>
          <cell r="G4671" t="str">
            <v>Fairhouse Community Infant School</v>
          </cell>
          <cell r="H4671" t="str">
            <v>East of England</v>
          </cell>
          <cell r="I4671" t="str">
            <v>Long Riding</v>
          </cell>
          <cell r="L4671" t="str">
            <v>Basildon</v>
          </cell>
          <cell r="M4671" t="str">
            <v>Essex</v>
          </cell>
          <cell r="N4671" t="str">
            <v>SS14 1QP</v>
          </cell>
          <cell r="O4671" t="str">
            <v>admin@fairhouse-ci.essex.sch.uk</v>
          </cell>
        </row>
        <row r="4672">
          <cell r="A4672">
            <v>3805208</v>
          </cell>
          <cell r="B4672">
            <v>107315</v>
          </cell>
          <cell r="C4672">
            <v>380</v>
          </cell>
          <cell r="D4672" t="str">
            <v>Bradford</v>
          </cell>
          <cell r="E4672">
            <v>5208</v>
          </cell>
          <cell r="F4672" t="str">
            <v>Glyn Newton</v>
          </cell>
          <cell r="G4672" t="str">
            <v>St John's CofE Primary School</v>
          </cell>
          <cell r="H4672" t="str">
            <v>Yorkshire and the Humber</v>
          </cell>
          <cell r="I4672" t="str">
            <v>Dawson Lane</v>
          </cell>
          <cell r="J4672" t="str">
            <v>Bierley</v>
          </cell>
          <cell r="L4672" t="str">
            <v>Bradford</v>
          </cell>
          <cell r="M4672" t="str">
            <v>West Yorkshire</v>
          </cell>
          <cell r="N4672" t="str">
            <v>BD4 6JF</v>
          </cell>
          <cell r="O4672" t="str">
            <v>e.lawley@stjohns.bradford.sch.uk</v>
          </cell>
        </row>
        <row r="4673">
          <cell r="A4673">
            <v>3523040</v>
          </cell>
          <cell r="B4673">
            <v>105499</v>
          </cell>
          <cell r="C4673">
            <v>352</v>
          </cell>
          <cell r="D4673" t="str">
            <v>Manchester</v>
          </cell>
          <cell r="E4673">
            <v>3040</v>
          </cell>
          <cell r="F4673" t="str">
            <v>Elaine Howard</v>
          </cell>
          <cell r="G4673" t="str">
            <v>Cheetham CofE Community School</v>
          </cell>
          <cell r="H4673" t="str">
            <v>North West</v>
          </cell>
          <cell r="I4673" t="str">
            <v>Halliwell Lane</v>
          </cell>
          <cell r="J4673" t="str">
            <v>Cheetham Hill</v>
          </cell>
          <cell r="L4673" t="str">
            <v>Manchester</v>
          </cell>
          <cell r="N4673" t="str">
            <v>M8 9FR</v>
          </cell>
          <cell r="O4673" t="str">
            <v>K.carter@cheetham.manchester.sch.uk</v>
          </cell>
          <cell r="P4673">
            <v>40354</v>
          </cell>
        </row>
        <row r="4674">
          <cell r="A4674">
            <v>3574018</v>
          </cell>
          <cell r="B4674">
            <v>106266</v>
          </cell>
          <cell r="C4674">
            <v>357</v>
          </cell>
          <cell r="D4674" t="str">
            <v>Tameside</v>
          </cell>
          <cell r="E4674">
            <v>4018</v>
          </cell>
          <cell r="F4674" t="str">
            <v>Stuart Mepham</v>
          </cell>
          <cell r="G4674" t="str">
            <v>Mossley Hollins High School</v>
          </cell>
          <cell r="H4674" t="str">
            <v>North West</v>
          </cell>
          <cell r="I4674" t="str">
            <v>Huddersfield Road</v>
          </cell>
          <cell r="J4674" t="str">
            <v>Mossley</v>
          </cell>
          <cell r="L4674" t="str">
            <v>Ashton-under-Lyne</v>
          </cell>
          <cell r="M4674" t="str">
            <v>Lancashire</v>
          </cell>
          <cell r="N4674" t="str">
            <v>OL5 9DJ</v>
          </cell>
          <cell r="O4674" t="str">
            <v>drew.duncan@mossleyhollins.tameside.sch.uk</v>
          </cell>
          <cell r="P4674">
            <v>40837</v>
          </cell>
        </row>
        <row r="4675">
          <cell r="A4675">
            <v>3072185</v>
          </cell>
          <cell r="B4675">
            <v>101915</v>
          </cell>
          <cell r="C4675">
            <v>307</v>
          </cell>
          <cell r="D4675" t="str">
            <v>Ealing</v>
          </cell>
          <cell r="E4675">
            <v>2185</v>
          </cell>
          <cell r="F4675" t="str">
            <v>Martin Rowley</v>
          </cell>
          <cell r="G4675" t="str">
            <v>Brentside Primary School</v>
          </cell>
          <cell r="H4675" t="str">
            <v>London</v>
          </cell>
          <cell r="I4675" t="str">
            <v>Kennedy Road</v>
          </cell>
          <cell r="J4675" t="str">
            <v>Hanwell</v>
          </cell>
          <cell r="L4675" t="str">
            <v>London</v>
          </cell>
          <cell r="N4675" t="str">
            <v>W7 1JL</v>
          </cell>
          <cell r="O4675" t="str">
            <v>melodymoran@gmail.com</v>
          </cell>
          <cell r="P4675">
            <v>41166</v>
          </cell>
        </row>
        <row r="4676">
          <cell r="A4676">
            <v>8734083</v>
          </cell>
          <cell r="B4676">
            <v>110883</v>
          </cell>
          <cell r="C4676">
            <v>873</v>
          </cell>
          <cell r="D4676" t="str">
            <v>Cambridgeshire</v>
          </cell>
          <cell r="E4676">
            <v>4083</v>
          </cell>
          <cell r="F4676" t="str">
            <v>Yvonne Reddington</v>
          </cell>
          <cell r="G4676" t="str">
            <v>City of Ely Community College</v>
          </cell>
          <cell r="H4676" t="str">
            <v>East of England</v>
          </cell>
          <cell r="I4676" t="str">
            <v>Downham Road</v>
          </cell>
          <cell r="L4676" t="str">
            <v>Ely</v>
          </cell>
          <cell r="M4676" t="str">
            <v>Cambridgeshire</v>
          </cell>
          <cell r="N4676" t="str">
            <v>CB6 2SH</v>
          </cell>
          <cell r="O4676" t="str">
            <v>cjenkinson-dix@elycollege.co.uk</v>
          </cell>
          <cell r="P4676">
            <v>40633</v>
          </cell>
        </row>
        <row r="4677">
          <cell r="A4677">
            <v>8454000</v>
          </cell>
          <cell r="B4677">
            <v>131601</v>
          </cell>
          <cell r="C4677">
            <v>845</v>
          </cell>
          <cell r="D4677" t="str">
            <v>East Sussex</v>
          </cell>
          <cell r="E4677">
            <v>4000</v>
          </cell>
          <cell r="F4677" t="str">
            <v>Sarah Mitchell</v>
          </cell>
          <cell r="G4677" t="str">
            <v>Peacehaven Community School</v>
          </cell>
          <cell r="H4677" t="str">
            <v>South East</v>
          </cell>
          <cell r="I4677" t="str">
            <v>Greenwich Way</v>
          </cell>
          <cell r="L4677" t="str">
            <v>Peacehaven</v>
          </cell>
          <cell r="M4677" t="str">
            <v>East Sussex</v>
          </cell>
          <cell r="N4677" t="str">
            <v>BN10 8RB</v>
          </cell>
          <cell r="O4677" t="str">
            <v>hcryer@phcs.org.uk</v>
          </cell>
        </row>
        <row r="4678">
          <cell r="A4678">
            <v>9194010</v>
          </cell>
          <cell r="B4678">
            <v>117504</v>
          </cell>
          <cell r="C4678">
            <v>919</v>
          </cell>
          <cell r="D4678" t="str">
            <v>Hertfordshire</v>
          </cell>
          <cell r="E4678">
            <v>4010</v>
          </cell>
          <cell r="F4678" t="str">
            <v>Joe Farrell</v>
          </cell>
          <cell r="G4678" t="str">
            <v>Fearnhill School</v>
          </cell>
          <cell r="H4678" t="str">
            <v>East of England</v>
          </cell>
          <cell r="I4678" t="str">
            <v>Icknield Way West</v>
          </cell>
          <cell r="L4678" t="str">
            <v>Letchworth</v>
          </cell>
          <cell r="M4678" t="str">
            <v>Hertfordshire</v>
          </cell>
          <cell r="N4678" t="str">
            <v>SG6 4BA</v>
          </cell>
          <cell r="O4678" t="str">
            <v>head@fearnhill.herts.sch.uk</v>
          </cell>
        </row>
        <row r="4679">
          <cell r="A4679">
            <v>8787002</v>
          </cell>
          <cell r="B4679">
            <v>113633</v>
          </cell>
          <cell r="C4679">
            <v>878</v>
          </cell>
          <cell r="D4679" t="str">
            <v>Devon</v>
          </cell>
          <cell r="E4679">
            <v>7002</v>
          </cell>
          <cell r="F4679" t="str">
            <v>Ed Schuldt</v>
          </cell>
          <cell r="G4679" t="str">
            <v>Ellen Tinkham School</v>
          </cell>
          <cell r="H4679" t="str">
            <v>South West</v>
          </cell>
          <cell r="I4679" t="str">
            <v>Hollow Lane</v>
          </cell>
          <cell r="J4679" t="str">
            <v>Pinhoe</v>
          </cell>
          <cell r="L4679" t="str">
            <v>Exeter</v>
          </cell>
          <cell r="M4679" t="str">
            <v>Devon</v>
          </cell>
          <cell r="N4679" t="str">
            <v>EX1 3RW</v>
          </cell>
          <cell r="O4679" t="str">
            <v xml:space="preserve"> jacqui.warne@exeter-ellen-tinkham.devon.sch.uk</v>
          </cell>
        </row>
        <row r="4680">
          <cell r="A4680">
            <v>9253001</v>
          </cell>
          <cell r="B4680">
            <v>120512</v>
          </cell>
          <cell r="C4680">
            <v>925</v>
          </cell>
          <cell r="D4680" t="str">
            <v>Lincolnshire</v>
          </cell>
          <cell r="E4680">
            <v>3001</v>
          </cell>
          <cell r="F4680" t="str">
            <v>Sue Harp</v>
          </cell>
          <cell r="G4680" t="str">
            <v>Ancaster CofE Primary School</v>
          </cell>
          <cell r="H4680" t="str">
            <v>East Midlands</v>
          </cell>
          <cell r="I4680" t="str">
            <v>Mercia Drive</v>
          </cell>
          <cell r="J4680" t="str">
            <v>Ancaster</v>
          </cell>
          <cell r="L4680" t="str">
            <v>Grantham</v>
          </cell>
          <cell r="M4680" t="str">
            <v>Lincolnshire</v>
          </cell>
          <cell r="N4680" t="str">
            <v>NG32 3QQ</v>
          </cell>
        </row>
        <row r="4681">
          <cell r="A4681">
            <v>9193991</v>
          </cell>
          <cell r="B4681">
            <v>135339</v>
          </cell>
          <cell r="C4681">
            <v>919</v>
          </cell>
          <cell r="D4681" t="str">
            <v>Hertfordshire</v>
          </cell>
          <cell r="E4681">
            <v>3991</v>
          </cell>
          <cell r="G4681" t="str">
            <v>Broadfield Primary School</v>
          </cell>
          <cell r="H4681" t="str">
            <v>East of England</v>
          </cell>
          <cell r="I4681" t="str">
            <v>Windmill Road</v>
          </cell>
          <cell r="L4681" t="str">
            <v>Hemel Hempstead</v>
          </cell>
          <cell r="M4681" t="str">
            <v>Hertfordshire</v>
          </cell>
          <cell r="N4681" t="str">
            <v>HP2 4BX</v>
          </cell>
          <cell r="O4681" t="str">
            <v>head@broadfieldprimary.herts.sch.uk</v>
          </cell>
        </row>
        <row r="4682">
          <cell r="A4682">
            <v>2052089</v>
          </cell>
          <cell r="B4682">
            <v>100325</v>
          </cell>
          <cell r="C4682">
            <v>205</v>
          </cell>
          <cell r="D4682" t="str">
            <v>Hammersmith and Fulham</v>
          </cell>
          <cell r="E4682">
            <v>2089</v>
          </cell>
          <cell r="F4682" t="str">
            <v>Sheila Longstaff</v>
          </cell>
          <cell r="G4682" t="str">
            <v>Canberra Primary School</v>
          </cell>
          <cell r="H4682" t="str">
            <v>London</v>
          </cell>
          <cell r="I4682" t="str">
            <v>Australia Road</v>
          </cell>
          <cell r="L4682" t="str">
            <v>London</v>
          </cell>
          <cell r="N4682" t="str">
            <v>W12 7PT</v>
          </cell>
          <cell r="P4682">
            <v>41059</v>
          </cell>
        </row>
        <row r="4683">
          <cell r="A4683">
            <v>8734055</v>
          </cell>
          <cell r="B4683">
            <v>110871</v>
          </cell>
          <cell r="C4683">
            <v>873</v>
          </cell>
          <cell r="D4683" t="str">
            <v>Cambridgeshire</v>
          </cell>
          <cell r="E4683">
            <v>4055</v>
          </cell>
          <cell r="F4683" t="str">
            <v>Yvonne Reddington</v>
          </cell>
          <cell r="G4683" t="str">
            <v>Witchford Village College</v>
          </cell>
          <cell r="H4683" t="str">
            <v>East of England</v>
          </cell>
          <cell r="I4683" t="str">
            <v>Manor Road</v>
          </cell>
          <cell r="J4683" t="str">
            <v>Witchford</v>
          </cell>
          <cell r="L4683" t="str">
            <v>Ely</v>
          </cell>
          <cell r="M4683" t="str">
            <v>Cambridgeshire</v>
          </cell>
          <cell r="N4683" t="str">
            <v>CB6 2JA</v>
          </cell>
          <cell r="O4683" t="str">
            <v>dtaylor@witchfordvillage.cambs.sch.uk</v>
          </cell>
          <cell r="P4683">
            <v>40690</v>
          </cell>
        </row>
        <row r="4684">
          <cell r="A4684">
            <v>9264044</v>
          </cell>
          <cell r="B4684">
            <v>121163</v>
          </cell>
          <cell r="C4684">
            <v>926</v>
          </cell>
          <cell r="D4684" t="str">
            <v>Norfolk</v>
          </cell>
          <cell r="E4684">
            <v>4044</v>
          </cell>
          <cell r="F4684" t="str">
            <v>Beverley Samuel</v>
          </cell>
          <cell r="G4684" t="str">
            <v>Framingham Earl High School</v>
          </cell>
          <cell r="H4684" t="str">
            <v>East of England</v>
          </cell>
          <cell r="I4684" t="str">
            <v>Norwich Road</v>
          </cell>
          <cell r="J4684" t="str">
            <v>Framingham Earl</v>
          </cell>
          <cell r="L4684" t="str">
            <v>Norwich</v>
          </cell>
          <cell r="M4684" t="str">
            <v>Norfolk</v>
          </cell>
          <cell r="N4684" t="str">
            <v>NR14 7QP</v>
          </cell>
          <cell r="O4684" t="str">
            <v>nicola.furneaux@framinghamearl.net</v>
          </cell>
        </row>
        <row r="4685">
          <cell r="A4685">
            <v>9163327</v>
          </cell>
          <cell r="B4685">
            <v>115685</v>
          </cell>
          <cell r="C4685">
            <v>916</v>
          </cell>
          <cell r="D4685" t="str">
            <v>Gloucestershire</v>
          </cell>
          <cell r="E4685">
            <v>3327</v>
          </cell>
          <cell r="F4685" t="str">
            <v>Theresa Oddelm</v>
          </cell>
          <cell r="G4685" t="str">
            <v>Horsley Church of England Primary School</v>
          </cell>
          <cell r="H4685" t="str">
            <v>South West</v>
          </cell>
          <cell r="I4685" t="str">
            <v>The Street</v>
          </cell>
          <cell r="J4685" t="str">
            <v>Horsley</v>
          </cell>
          <cell r="L4685" t="str">
            <v>Stroud</v>
          </cell>
          <cell r="M4685" t="str">
            <v>Gloucestershire</v>
          </cell>
          <cell r="N4685" t="str">
            <v>GL6 0PU</v>
          </cell>
        </row>
        <row r="4686">
          <cell r="A4686">
            <v>8745404</v>
          </cell>
          <cell r="B4686">
            <v>110898</v>
          </cell>
          <cell r="C4686">
            <v>874</v>
          </cell>
          <cell r="D4686" t="str">
            <v>Peterborough</v>
          </cell>
          <cell r="E4686">
            <v>5404</v>
          </cell>
          <cell r="F4686" t="str">
            <v>Mark Wheeler</v>
          </cell>
          <cell r="G4686" t="str">
            <v>The King's School</v>
          </cell>
          <cell r="H4686" t="str">
            <v>East of England</v>
          </cell>
          <cell r="I4686" t="str">
            <v>Park Road</v>
          </cell>
          <cell r="L4686" t="str">
            <v>Peterborough</v>
          </cell>
          <cell r="M4686" t="str">
            <v>Cambridgeshire</v>
          </cell>
          <cell r="N4686" t="str">
            <v>PE1 2UE</v>
          </cell>
          <cell r="O4686" t="str">
            <v>longman.g@kings.peterborough.sch.uk</v>
          </cell>
          <cell r="P4686">
            <v>40448</v>
          </cell>
        </row>
        <row r="4687">
          <cell r="A4687">
            <v>8825268</v>
          </cell>
          <cell r="B4687">
            <v>115308</v>
          </cell>
          <cell r="C4687">
            <v>882</v>
          </cell>
          <cell r="D4687" t="str">
            <v>Southend-on-Sea</v>
          </cell>
          <cell r="E4687">
            <v>5268</v>
          </cell>
          <cell r="F4687" t="str">
            <v>Claire Ivie</v>
          </cell>
          <cell r="G4687" t="str">
            <v>Prince Avenue Primary Foundation School and Nursery</v>
          </cell>
          <cell r="H4687" t="str">
            <v>East of England</v>
          </cell>
          <cell r="I4687" t="str">
            <v>Hornby Avenue</v>
          </cell>
          <cell r="L4687" t="str">
            <v>Westcliff-on-Sea</v>
          </cell>
          <cell r="M4687" t="str">
            <v>Essex</v>
          </cell>
          <cell r="N4687" t="str">
            <v>SS0 0LG</v>
          </cell>
          <cell r="O4687" t="str">
            <v>headteacher@princeavenue.southend.sch.uk</v>
          </cell>
        </row>
        <row r="4688">
          <cell r="A4688">
            <v>9292032</v>
          </cell>
          <cell r="B4688">
            <v>122177</v>
          </cell>
          <cell r="C4688">
            <v>929</v>
          </cell>
          <cell r="D4688" t="str">
            <v>Northumberland</v>
          </cell>
          <cell r="E4688">
            <v>2032</v>
          </cell>
          <cell r="F4688" t="str">
            <v>Lisa Sargeant</v>
          </cell>
          <cell r="G4688" t="str">
            <v>Bedlington Station First School</v>
          </cell>
          <cell r="H4688" t="str">
            <v>North East</v>
          </cell>
          <cell r="I4688" t="str">
            <v>School Road</v>
          </cell>
          <cell r="L4688" t="str">
            <v>Bedlington</v>
          </cell>
          <cell r="M4688" t="str">
            <v>Northumberland</v>
          </cell>
          <cell r="N4688" t="str">
            <v>NE22 7JQ</v>
          </cell>
          <cell r="O4688" t="str">
            <v>pauline.mulholland@northumberland.gov.uk</v>
          </cell>
        </row>
        <row r="4689">
          <cell r="A4689">
            <v>3322130</v>
          </cell>
          <cell r="B4689">
            <v>103810</v>
          </cell>
          <cell r="C4689">
            <v>332</v>
          </cell>
          <cell r="D4689" t="str">
            <v>Dudley</v>
          </cell>
          <cell r="E4689">
            <v>2130</v>
          </cell>
          <cell r="F4689" t="str">
            <v>Stephen Bagnall</v>
          </cell>
          <cell r="G4689" t="str">
            <v>Cotwall End Primary School</v>
          </cell>
          <cell r="H4689" t="str">
            <v>West Midlands</v>
          </cell>
          <cell r="I4689" t="str">
            <v>Cotwall End Road</v>
          </cell>
          <cell r="J4689" t="str">
            <v>Sedgley</v>
          </cell>
          <cell r="L4689" t="str">
            <v>Dudley</v>
          </cell>
          <cell r="M4689" t="str">
            <v>West Midlands</v>
          </cell>
          <cell r="N4689" t="str">
            <v>DY3 3YG</v>
          </cell>
          <cell r="O4689" t="str">
            <v>mnanderton@cotwall.dudley.sch.uk</v>
          </cell>
        </row>
        <row r="4690">
          <cell r="A4690">
            <v>3312124</v>
          </cell>
          <cell r="B4690">
            <v>103675</v>
          </cell>
          <cell r="C4690">
            <v>331</v>
          </cell>
          <cell r="D4690" t="str">
            <v>Coventry</v>
          </cell>
          <cell r="E4690">
            <v>2124</v>
          </cell>
          <cell r="F4690" t="str">
            <v>Alison Middleton</v>
          </cell>
          <cell r="G4690" t="str">
            <v>Finham Primary School</v>
          </cell>
          <cell r="H4690" t="str">
            <v>West Midlands</v>
          </cell>
          <cell r="I4690" t="str">
            <v>Green Lane</v>
          </cell>
          <cell r="L4690" t="str">
            <v>Coventry</v>
          </cell>
          <cell r="M4690" t="str">
            <v>West Midlands</v>
          </cell>
          <cell r="N4690" t="str">
            <v>CV3 6EJ</v>
          </cell>
          <cell r="O4690" t="str">
            <v>headteacher@finham.coventry.sch.uk</v>
          </cell>
        </row>
        <row r="4691">
          <cell r="A4691">
            <v>3355405</v>
          </cell>
          <cell r="B4691">
            <v>104263</v>
          </cell>
          <cell r="C4691">
            <v>335</v>
          </cell>
          <cell r="D4691" t="str">
            <v>Walsall</v>
          </cell>
          <cell r="E4691">
            <v>5405</v>
          </cell>
          <cell r="F4691" t="str">
            <v>Stephen Bagnall</v>
          </cell>
          <cell r="G4691" t="str">
            <v>Aldridge School - A Science College</v>
          </cell>
          <cell r="H4691" t="str">
            <v>West Midlands</v>
          </cell>
          <cell r="I4691" t="str">
            <v>Tynings Lane</v>
          </cell>
          <cell r="J4691" t="str">
            <v>Aldridge</v>
          </cell>
          <cell r="L4691" t="str">
            <v>Walsall</v>
          </cell>
          <cell r="M4691" t="str">
            <v>West Midlands</v>
          </cell>
          <cell r="N4691" t="str">
            <v>WS9 0BG</v>
          </cell>
          <cell r="O4691" t="str">
            <v>dmountney@aldridge.walsall.sch.uk</v>
          </cell>
          <cell r="P4691">
            <v>40892</v>
          </cell>
        </row>
        <row r="4692">
          <cell r="A4692">
            <v>3942177</v>
          </cell>
          <cell r="B4692">
            <v>108831</v>
          </cell>
          <cell r="C4692">
            <v>394</v>
          </cell>
          <cell r="D4692" t="str">
            <v>Sunderland</v>
          </cell>
          <cell r="E4692">
            <v>2177</v>
          </cell>
          <cell r="F4692" t="str">
            <v>Glyn Newton</v>
          </cell>
          <cell r="G4692" t="str">
            <v>Redby Primary School</v>
          </cell>
          <cell r="H4692" t="str">
            <v>North East</v>
          </cell>
          <cell r="I4692" t="str">
            <v>Fulwell Road</v>
          </cell>
          <cell r="L4692" t="str">
            <v>Sunderland</v>
          </cell>
          <cell r="M4692" t="str">
            <v>Tyne and Wear</v>
          </cell>
          <cell r="N4692" t="str">
            <v>SR6 9QP</v>
          </cell>
          <cell r="O4692" t="str">
            <v>val.shield@schools.sunderland.gov.uk</v>
          </cell>
          <cell r="P4692">
            <v>40660</v>
          </cell>
        </row>
        <row r="4693">
          <cell r="A4693">
            <v>8832137</v>
          </cell>
          <cell r="B4693">
            <v>114796</v>
          </cell>
          <cell r="C4693">
            <v>883</v>
          </cell>
          <cell r="D4693" t="str">
            <v>Thurrock</v>
          </cell>
          <cell r="E4693">
            <v>2137</v>
          </cell>
          <cell r="F4693" t="str">
            <v>Claire Ivie</v>
          </cell>
          <cell r="G4693" t="str">
            <v>Graham James Primary School</v>
          </cell>
          <cell r="H4693" t="str">
            <v>East of England</v>
          </cell>
          <cell r="I4693" t="str">
            <v>The Sorrells</v>
          </cell>
          <cell r="J4693" t="str">
            <v>Corringham</v>
          </cell>
          <cell r="L4693" t="str">
            <v>Stanford-le-Hope</v>
          </cell>
          <cell r="M4693" t="str">
            <v>Essex</v>
          </cell>
          <cell r="N4693" t="str">
            <v>SS17 7ES</v>
          </cell>
          <cell r="O4693" t="str">
            <v>headteacher@grahamjamesprimary.thurrock.sch.uk</v>
          </cell>
          <cell r="P4693">
            <v>41054</v>
          </cell>
        </row>
        <row r="4694">
          <cell r="A4694">
            <v>8102825</v>
          </cell>
          <cell r="B4694">
            <v>117900</v>
          </cell>
          <cell r="C4694">
            <v>810</v>
          </cell>
          <cell r="D4694" t="str">
            <v>Kingston upon Hull City of</v>
          </cell>
          <cell r="E4694">
            <v>2825</v>
          </cell>
          <cell r="F4694" t="str">
            <v>Adriarna Goodinson</v>
          </cell>
          <cell r="G4694" t="str">
            <v>Sutton Park Primary School</v>
          </cell>
          <cell r="H4694" t="str">
            <v>Yorkshire and the Humber</v>
          </cell>
          <cell r="I4694" t="str">
            <v>Marsdale</v>
          </cell>
          <cell r="J4694" t="str">
            <v>Sutton Park</v>
          </cell>
          <cell r="L4694" t="str">
            <v>Hull</v>
          </cell>
          <cell r="N4694" t="str">
            <v>HU7 4AH</v>
          </cell>
          <cell r="O4694" t="str">
            <v>head@suttonpark.hull.sch.uk</v>
          </cell>
          <cell r="P4694">
            <v>41051</v>
          </cell>
        </row>
        <row r="4695">
          <cell r="A4695">
            <v>3187007</v>
          </cell>
          <cell r="B4695">
            <v>102954</v>
          </cell>
          <cell r="C4695">
            <v>318</v>
          </cell>
          <cell r="D4695" t="str">
            <v>Richmond upon Thames</v>
          </cell>
          <cell r="E4695">
            <v>7007</v>
          </cell>
          <cell r="F4695" t="str">
            <v>Anita Bihal</v>
          </cell>
          <cell r="G4695" t="str">
            <v>Strathmore School</v>
          </cell>
          <cell r="H4695" t="str">
            <v>London</v>
          </cell>
          <cell r="I4695" t="str">
            <v>Meadlands Drive</v>
          </cell>
          <cell r="J4695" t="str">
            <v>Petersham</v>
          </cell>
          <cell r="L4695" t="str">
            <v>Richmond</v>
          </cell>
          <cell r="M4695" t="str">
            <v>Surrey</v>
          </cell>
          <cell r="N4695" t="str">
            <v>TW10 7ED</v>
          </cell>
          <cell r="O4695" t="str">
            <v>ipryce@strathmore.richmond.sch.uk</v>
          </cell>
        </row>
        <row r="4696">
          <cell r="A4696">
            <v>8854579</v>
          </cell>
          <cell r="B4696">
            <v>116987</v>
          </cell>
          <cell r="C4696">
            <v>885</v>
          </cell>
          <cell r="D4696" t="str">
            <v>Worcestershire</v>
          </cell>
          <cell r="E4696">
            <v>4579</v>
          </cell>
          <cell r="F4696" t="str">
            <v>Nicole Felicien</v>
          </cell>
          <cell r="G4696" t="str">
            <v>Walkwood CofE Middle School</v>
          </cell>
          <cell r="H4696" t="str">
            <v>West Midlands</v>
          </cell>
          <cell r="I4696" t="str">
            <v>Feckenham Road</v>
          </cell>
          <cell r="J4696" t="str">
            <v>Headless Cross</v>
          </cell>
          <cell r="L4696" t="str">
            <v>Redditch</v>
          </cell>
          <cell r="M4696" t="str">
            <v>Worcestershire</v>
          </cell>
          <cell r="N4696" t="str">
            <v>B97 5AQ</v>
          </cell>
          <cell r="O4696" t="str">
            <v>dld12@walkwoodms.worcs.sch.uk</v>
          </cell>
          <cell r="P4696">
            <v>40948</v>
          </cell>
        </row>
        <row r="4697">
          <cell r="A4697">
            <v>9092618</v>
          </cell>
          <cell r="B4697">
            <v>112224</v>
          </cell>
          <cell r="C4697">
            <v>909</v>
          </cell>
          <cell r="D4697" t="str">
            <v>Cumbria</v>
          </cell>
          <cell r="E4697">
            <v>2618</v>
          </cell>
          <cell r="F4697" t="str">
            <v>Linda Tiley</v>
          </cell>
          <cell r="G4697" t="str">
            <v>Newlaithes Junior School</v>
          </cell>
          <cell r="H4697" t="str">
            <v>North West</v>
          </cell>
          <cell r="I4697" t="str">
            <v>Langrigg Road</v>
          </cell>
          <cell r="L4697" t="str">
            <v>Carlisle</v>
          </cell>
          <cell r="M4697" t="str">
            <v>Cumbria</v>
          </cell>
          <cell r="N4697" t="str">
            <v>CA2 6DX</v>
          </cell>
          <cell r="O4697" t="str">
            <v>head@newlaithes-jun.cumbria.sch.uk</v>
          </cell>
        </row>
        <row r="4698">
          <cell r="A4698">
            <v>9162046</v>
          </cell>
          <cell r="B4698">
            <v>115506</v>
          </cell>
          <cell r="C4698">
            <v>916</v>
          </cell>
          <cell r="D4698" t="str">
            <v>Gloucestershire</v>
          </cell>
          <cell r="E4698">
            <v>2046</v>
          </cell>
          <cell r="F4698" t="str">
            <v>Simon Foster</v>
          </cell>
          <cell r="G4698" t="str">
            <v>Bourton-on-the-Water Primary School</v>
          </cell>
          <cell r="H4698" t="str">
            <v>South West</v>
          </cell>
          <cell r="I4698" t="str">
            <v>School Hill</v>
          </cell>
          <cell r="J4698" t="str">
            <v>Bourton-on-the-Water</v>
          </cell>
          <cell r="L4698" t="str">
            <v>Cheltenham</v>
          </cell>
          <cell r="M4698" t="str">
            <v>Gloucestershire</v>
          </cell>
          <cell r="N4698" t="str">
            <v>GL54 2AW</v>
          </cell>
          <cell r="O4698" t="str">
            <v>head@bourton-on-the-water.gloucs.sch.uk</v>
          </cell>
          <cell r="P4698">
            <v>40725</v>
          </cell>
        </row>
        <row r="4699">
          <cell r="A4699">
            <v>8612088</v>
          </cell>
          <cell r="B4699">
            <v>124015</v>
          </cell>
          <cell r="C4699">
            <v>861</v>
          </cell>
          <cell r="D4699" t="str">
            <v>Stoke-on-Trent</v>
          </cell>
          <cell r="E4699">
            <v>2088</v>
          </cell>
          <cell r="F4699" t="str">
            <v>Julia Waterhouse</v>
          </cell>
          <cell r="G4699" t="str">
            <v>Mill Hill Primary School</v>
          </cell>
          <cell r="H4699" t="str">
            <v>West Midlands</v>
          </cell>
          <cell r="I4699" t="str">
            <v>Sunnyside Avenue</v>
          </cell>
          <cell r="J4699" t="str">
            <v>Tunstall</v>
          </cell>
          <cell r="L4699" t="str">
            <v>Stoke-on-Trent</v>
          </cell>
          <cell r="M4699" t="str">
            <v>Staffordshire</v>
          </cell>
          <cell r="N4699" t="str">
            <v>ST6 6ED</v>
          </cell>
          <cell r="O4699" t="str">
            <v>dheavey@sgfl.org.uk</v>
          </cell>
        </row>
        <row r="4700">
          <cell r="A4700">
            <v>9264089</v>
          </cell>
          <cell r="B4700">
            <v>121184</v>
          </cell>
          <cell r="C4700">
            <v>926</v>
          </cell>
          <cell r="D4700" t="str">
            <v>Norfolk</v>
          </cell>
          <cell r="E4700">
            <v>4089</v>
          </cell>
          <cell r="F4700" t="str">
            <v>Janet Coatsworth</v>
          </cell>
          <cell r="G4700" t="str">
            <v>Diss High School</v>
          </cell>
          <cell r="H4700" t="str">
            <v>East of England</v>
          </cell>
          <cell r="I4700" t="str">
            <v>Walcot Road</v>
          </cell>
          <cell r="L4700" t="str">
            <v>Diss</v>
          </cell>
          <cell r="M4700" t="str">
            <v>Norfolk</v>
          </cell>
          <cell r="N4700" t="str">
            <v>IP22 4DH</v>
          </cell>
          <cell r="O4700" t="str">
            <v>head@disshigh.norfolk.sch.uk</v>
          </cell>
          <cell r="P4700">
            <v>40619</v>
          </cell>
        </row>
        <row r="4701">
          <cell r="A4701">
            <v>8102403</v>
          </cell>
          <cell r="B4701">
            <v>117800</v>
          </cell>
          <cell r="C4701">
            <v>810</v>
          </cell>
          <cell r="D4701" t="str">
            <v>Kingston upon Hull City of</v>
          </cell>
          <cell r="E4701">
            <v>2403</v>
          </cell>
          <cell r="F4701" t="str">
            <v>Jayne Turner</v>
          </cell>
          <cell r="G4701" t="str">
            <v>Longhill Primary School</v>
          </cell>
          <cell r="H4701" t="str">
            <v>Yorkshire and the Humber</v>
          </cell>
          <cell r="I4701" t="str">
            <v>Shannon Road</v>
          </cell>
          <cell r="J4701" t="str">
            <v>Longhill Estate</v>
          </cell>
          <cell r="L4701" t="str">
            <v>Hull</v>
          </cell>
          <cell r="N4701" t="str">
            <v>HU8 9RW</v>
          </cell>
          <cell r="O4701" t="str">
            <v>head@longhill.hull.sch.uk</v>
          </cell>
        </row>
        <row r="4702">
          <cell r="A4702">
            <v>3307013</v>
          </cell>
          <cell r="B4702">
            <v>103604</v>
          </cell>
          <cell r="C4702">
            <v>330</v>
          </cell>
          <cell r="D4702" t="str">
            <v>Birmingham</v>
          </cell>
          <cell r="E4702">
            <v>7013</v>
          </cell>
          <cell r="F4702" t="str">
            <v>Hannah Copp</v>
          </cell>
          <cell r="G4702" t="str">
            <v>Calthorpe School Sports College</v>
          </cell>
          <cell r="H4702" t="str">
            <v>West Midlands</v>
          </cell>
          <cell r="I4702" t="str">
            <v>Darwin Street</v>
          </cell>
          <cell r="J4702" t="str">
            <v>Highgate</v>
          </cell>
          <cell r="L4702" t="str">
            <v>Birmingham</v>
          </cell>
          <cell r="M4702" t="str">
            <v>West Midlands</v>
          </cell>
          <cell r="N4702" t="str">
            <v>B12 0TJ</v>
          </cell>
          <cell r="O4702" t="str">
            <v>jsi@calthorpe.bham.sch.uk</v>
          </cell>
        </row>
        <row r="4703">
          <cell r="A4703">
            <v>8664065</v>
          </cell>
          <cell r="B4703">
            <v>126453</v>
          </cell>
          <cell r="C4703">
            <v>866</v>
          </cell>
          <cell r="D4703" t="str">
            <v>Swindon</v>
          </cell>
          <cell r="E4703">
            <v>4065</v>
          </cell>
          <cell r="F4703" t="str">
            <v>Nigel Mills</v>
          </cell>
          <cell r="G4703" t="str">
            <v>Churchfields School</v>
          </cell>
          <cell r="H4703" t="str">
            <v>South West</v>
          </cell>
          <cell r="I4703" t="str">
            <v>Salcombe Grove</v>
          </cell>
          <cell r="L4703" t="str">
            <v>Swindon</v>
          </cell>
          <cell r="M4703" t="str">
            <v>Wiltshire</v>
          </cell>
          <cell r="N4703" t="str">
            <v>SN3 1HQ</v>
          </cell>
          <cell r="O4703" t="str">
            <v>sflavin@churchfields.org</v>
          </cell>
          <cell r="P4703">
            <v>40604</v>
          </cell>
        </row>
        <row r="4704">
          <cell r="A4704">
            <v>8653300</v>
          </cell>
          <cell r="B4704">
            <v>126392</v>
          </cell>
          <cell r="C4704">
            <v>865</v>
          </cell>
          <cell r="D4704" t="str">
            <v>Wiltshire</v>
          </cell>
          <cell r="E4704">
            <v>3300</v>
          </cell>
          <cell r="F4704" t="str">
            <v>Theresa Oddelm</v>
          </cell>
          <cell r="G4704" t="str">
            <v>St Michael's CofE Aided Primary</v>
          </cell>
          <cell r="H4704" t="str">
            <v>South West</v>
          </cell>
          <cell r="I4704" t="str">
            <v>Back Lane</v>
          </cell>
          <cell r="J4704" t="str">
            <v>Aldbourne</v>
          </cell>
          <cell r="L4704" t="str">
            <v>Marlborough</v>
          </cell>
          <cell r="M4704" t="str">
            <v>Wiltshire</v>
          </cell>
          <cell r="N4704" t="str">
            <v>SN8 2BP</v>
          </cell>
          <cell r="O4704" t="str">
            <v>head@st-michaels-aldbourne.wilts.sch.uk</v>
          </cell>
        </row>
        <row r="4705">
          <cell r="A4705">
            <v>8352003</v>
          </cell>
          <cell r="B4705">
            <v>113660</v>
          </cell>
          <cell r="C4705">
            <v>835</v>
          </cell>
          <cell r="D4705" t="str">
            <v>Dorset</v>
          </cell>
          <cell r="E4705">
            <v>2003</v>
          </cell>
          <cell r="F4705" t="str">
            <v>Tahamina Khan</v>
          </cell>
          <cell r="G4705" t="str">
            <v>Bridport Primary School</v>
          </cell>
          <cell r="H4705" t="str">
            <v>South West</v>
          </cell>
          <cell r="I4705" t="str">
            <v>St Andrew's Road</v>
          </cell>
          <cell r="L4705" t="str">
            <v>Bridport</v>
          </cell>
          <cell r="M4705" t="str">
            <v>Dorset</v>
          </cell>
          <cell r="N4705" t="str">
            <v>DT6 3BJ</v>
          </cell>
          <cell r="O4705" t="str">
            <v>ewilsonchalon@bridport.dorset.sch.uk</v>
          </cell>
        </row>
        <row r="4706">
          <cell r="A4706">
            <v>8944408</v>
          </cell>
          <cell r="B4706">
            <v>123576</v>
          </cell>
          <cell r="C4706">
            <v>894</v>
          </cell>
          <cell r="D4706" t="str">
            <v>Telford and Wrekin</v>
          </cell>
          <cell r="E4706">
            <v>4408</v>
          </cell>
          <cell r="F4706" t="str">
            <v>Liz Robinson</v>
          </cell>
          <cell r="G4706" t="str">
            <v>The Phoenix School</v>
          </cell>
          <cell r="H4706" t="str">
            <v>West Midlands</v>
          </cell>
          <cell r="I4706" t="str">
            <v>Manor Road</v>
          </cell>
          <cell r="J4706" t="str">
            <v>Dawley</v>
          </cell>
          <cell r="L4706" t="str">
            <v>Telford</v>
          </cell>
          <cell r="M4706" t="str">
            <v>Shropshire</v>
          </cell>
          <cell r="N4706" t="str">
            <v>TF4 3DZ</v>
          </cell>
          <cell r="O4706" t="str">
            <v>neil.stonehouse@taw.org.uk</v>
          </cell>
          <cell r="P4706">
            <v>41236</v>
          </cell>
        </row>
        <row r="4707">
          <cell r="A4707">
            <v>8784184</v>
          </cell>
          <cell r="B4707">
            <v>113541</v>
          </cell>
          <cell r="C4707">
            <v>878</v>
          </cell>
          <cell r="D4707" t="str">
            <v>Devon</v>
          </cell>
          <cell r="E4707">
            <v>4184</v>
          </cell>
          <cell r="F4707" t="str">
            <v>Nigel Hutchins</v>
          </cell>
          <cell r="G4707" t="str">
            <v>Ivybridge Community College</v>
          </cell>
          <cell r="H4707" t="str">
            <v>South West</v>
          </cell>
          <cell r="I4707" t="str">
            <v>Harford Road</v>
          </cell>
          <cell r="L4707" t="str">
            <v>Ivybridge</v>
          </cell>
          <cell r="M4707" t="str">
            <v>Devon</v>
          </cell>
          <cell r="N4707" t="str">
            <v>PL21 0JA</v>
          </cell>
          <cell r="O4707" t="str">
            <v>rharing@ivybridge.devon.sch.uk</v>
          </cell>
          <cell r="P4707">
            <v>40344</v>
          </cell>
        </row>
        <row r="4708">
          <cell r="A4708">
            <v>8684055</v>
          </cell>
          <cell r="B4708">
            <v>110066</v>
          </cell>
          <cell r="C4708">
            <v>868</v>
          </cell>
          <cell r="D4708" t="str">
            <v>Windsor and Maidenhead</v>
          </cell>
          <cell r="E4708">
            <v>4055</v>
          </cell>
          <cell r="F4708" t="str">
            <v>Darren Francis</v>
          </cell>
          <cell r="G4708" t="str">
            <v>Furze Platt Senior School</v>
          </cell>
          <cell r="H4708" t="str">
            <v>South East</v>
          </cell>
          <cell r="I4708" t="str">
            <v>Furze Platt Road</v>
          </cell>
          <cell r="L4708" t="str">
            <v>Maidenhead</v>
          </cell>
          <cell r="M4708" t="str">
            <v>Berkshire</v>
          </cell>
          <cell r="N4708" t="str">
            <v>SL6 7NQ</v>
          </cell>
          <cell r="O4708" t="str">
            <v>whitt008@rbwm.org</v>
          </cell>
          <cell r="P4708">
            <v>40750</v>
          </cell>
        </row>
        <row r="4709">
          <cell r="A4709">
            <v>3363305</v>
          </cell>
          <cell r="B4709">
            <v>104376</v>
          </cell>
          <cell r="C4709">
            <v>336</v>
          </cell>
          <cell r="D4709" t="str">
            <v>Wolverhampton</v>
          </cell>
          <cell r="E4709">
            <v>3305</v>
          </cell>
          <cell r="F4709" t="str">
            <v>Hannah Copp</v>
          </cell>
          <cell r="G4709" t="str">
            <v>St Mary and St John Catholic Primary School</v>
          </cell>
          <cell r="H4709" t="str">
            <v>West Midlands</v>
          </cell>
          <cell r="I4709" t="str">
            <v>Caledonia Road</v>
          </cell>
          <cell r="L4709" t="str">
            <v>Wolverhampton</v>
          </cell>
          <cell r="M4709" t="str">
            <v>West Midlands</v>
          </cell>
          <cell r="N4709" t="str">
            <v>WV2 1HZ</v>
          </cell>
          <cell r="O4709" t="str">
            <v>ssmaryandjohnsprimaryschool@wolverhampton.gov.uk</v>
          </cell>
        </row>
        <row r="4710">
          <cell r="A4710">
            <v>9374620</v>
          </cell>
          <cell r="B4710">
            <v>125753</v>
          </cell>
          <cell r="C4710">
            <v>937</v>
          </cell>
          <cell r="D4710" t="str">
            <v>Warwickshire</v>
          </cell>
          <cell r="E4710">
            <v>4620</v>
          </cell>
          <cell r="F4710" t="str">
            <v>Carla Spink</v>
          </cell>
          <cell r="G4710" t="str">
            <v>Lawrence Sheriff School</v>
          </cell>
          <cell r="H4710" t="str">
            <v>West Midlands</v>
          </cell>
          <cell r="I4710" t="str">
            <v>Clifton Road</v>
          </cell>
          <cell r="L4710" t="str">
            <v>Rugby</v>
          </cell>
          <cell r="M4710" t="str">
            <v>Warwickshire</v>
          </cell>
          <cell r="N4710" t="str">
            <v>CV21 3AG</v>
          </cell>
          <cell r="O4710" t="str">
            <v>headmaster@lawrencesheriffschool.com</v>
          </cell>
        </row>
        <row r="4711">
          <cell r="A4711">
            <v>8862636</v>
          </cell>
          <cell r="B4711">
            <v>118554</v>
          </cell>
          <cell r="C4711">
            <v>886</v>
          </cell>
          <cell r="D4711" t="str">
            <v>Kent</v>
          </cell>
          <cell r="E4711">
            <v>2636</v>
          </cell>
          <cell r="F4711" t="str">
            <v>Tony Dunne</v>
          </cell>
          <cell r="G4711" t="str">
            <v>Edenbridge Primary School</v>
          </cell>
          <cell r="H4711" t="str">
            <v>South East</v>
          </cell>
          <cell r="I4711" t="str">
            <v>High Street</v>
          </cell>
          <cell r="L4711" t="str">
            <v>Edenbridge</v>
          </cell>
          <cell r="M4711" t="str">
            <v>Kent</v>
          </cell>
          <cell r="N4711" t="str">
            <v>TN8 5AB</v>
          </cell>
          <cell r="O4711" t="str">
            <v>headteacher@edenbridge.kent.sch.uk</v>
          </cell>
        </row>
        <row r="4712">
          <cell r="A4712">
            <v>8052237</v>
          </cell>
          <cell r="B4712">
            <v>111613</v>
          </cell>
          <cell r="C4712">
            <v>805</v>
          </cell>
          <cell r="D4712" t="str">
            <v>Hartlepool</v>
          </cell>
          <cell r="E4712">
            <v>2237</v>
          </cell>
          <cell r="F4712" t="str">
            <v>Bev Mullin</v>
          </cell>
          <cell r="G4712" t="str">
            <v>West Park Primary School</v>
          </cell>
          <cell r="H4712" t="str">
            <v>North East</v>
          </cell>
          <cell r="I4712" t="str">
            <v>Coniscliffe Road</v>
          </cell>
          <cell r="L4712" t="str">
            <v>Hartlepool</v>
          </cell>
          <cell r="N4712" t="str">
            <v>TS26 0BU</v>
          </cell>
          <cell r="O4712" t="str">
            <v>headteacher.westpark@school.hartlepool.gov.uk</v>
          </cell>
          <cell r="P4712">
            <v>40648</v>
          </cell>
        </row>
        <row r="4713">
          <cell r="A4713">
            <v>8012321</v>
          </cell>
          <cell r="B4713">
            <v>109125</v>
          </cell>
          <cell r="C4713">
            <v>801</v>
          </cell>
          <cell r="D4713" t="str">
            <v>Bristol City of</v>
          </cell>
          <cell r="E4713">
            <v>2321</v>
          </cell>
          <cell r="F4713" t="str">
            <v>Ed Schuldt</v>
          </cell>
          <cell r="G4713" t="str">
            <v>Hareclive Primary School</v>
          </cell>
          <cell r="H4713" t="str">
            <v>South West</v>
          </cell>
          <cell r="I4713" t="str">
            <v>Moxham Drive</v>
          </cell>
          <cell r="J4713" t="str">
            <v>Hartcliffe</v>
          </cell>
          <cell r="L4713" t="str">
            <v>Bristol</v>
          </cell>
          <cell r="N4713" t="str">
            <v>BS13 0HP</v>
          </cell>
          <cell r="O4713" t="str">
            <v xml:space="preserve"> headhareclivep@bristol.gov.uk</v>
          </cell>
          <cell r="P4713">
            <v>40826</v>
          </cell>
        </row>
        <row r="4714">
          <cell r="A4714">
            <v>8023116</v>
          </cell>
          <cell r="B4714">
            <v>109218</v>
          </cell>
          <cell r="C4714">
            <v>802</v>
          </cell>
          <cell r="D4714" t="str">
            <v>North Somerset</v>
          </cell>
          <cell r="E4714">
            <v>3116</v>
          </cell>
          <cell r="F4714" t="str">
            <v>Theresa Oddelm</v>
          </cell>
          <cell r="G4714" t="str">
            <v>Hutton Church of England Primary School</v>
          </cell>
          <cell r="H4714" t="str">
            <v>South West</v>
          </cell>
          <cell r="I4714" t="str">
            <v>Church Lane</v>
          </cell>
          <cell r="J4714" t="str">
            <v>Hutton</v>
          </cell>
          <cell r="L4714" t="str">
            <v>Weston-super-Mare</v>
          </cell>
          <cell r="M4714" t="str">
            <v>Somerset</v>
          </cell>
          <cell r="N4714" t="str">
            <v>BS24 9SN</v>
          </cell>
          <cell r="O4714" t="str">
            <v>hutton.pri@n-somerset.gov.uk</v>
          </cell>
        </row>
        <row r="4715">
          <cell r="A4715">
            <v>8815407</v>
          </cell>
          <cell r="B4715">
            <v>115323</v>
          </cell>
          <cell r="C4715">
            <v>881</v>
          </cell>
          <cell r="D4715" t="str">
            <v>Essex</v>
          </cell>
          <cell r="E4715">
            <v>5407</v>
          </cell>
          <cell r="F4715" t="str">
            <v>Aminat Alli</v>
          </cell>
          <cell r="G4715" t="str">
            <v>The Bromfords School</v>
          </cell>
          <cell r="H4715" t="str">
            <v>East of England</v>
          </cell>
          <cell r="I4715" t="str">
            <v>Grange Avenue</v>
          </cell>
          <cell r="L4715" t="str">
            <v>Wickford</v>
          </cell>
          <cell r="M4715" t="str">
            <v>Essex</v>
          </cell>
          <cell r="N4715" t="str">
            <v>SS12 0LZ</v>
          </cell>
          <cell r="O4715" t="str">
            <v>spinksm@bromfords.essex.sch.uk</v>
          </cell>
          <cell r="P4715">
            <v>41109</v>
          </cell>
        </row>
        <row r="4716">
          <cell r="A4716">
            <v>8735415</v>
          </cell>
          <cell r="B4716">
            <v>110909</v>
          </cell>
          <cell r="C4716">
            <v>873</v>
          </cell>
          <cell r="D4716" t="str">
            <v>Cambridgeshire</v>
          </cell>
          <cell r="E4716">
            <v>5415</v>
          </cell>
          <cell r="F4716" t="str">
            <v>Yvonne Reddington</v>
          </cell>
          <cell r="G4716" t="str">
            <v>Soham Village College</v>
          </cell>
          <cell r="H4716" t="str">
            <v>East of England</v>
          </cell>
          <cell r="I4716" t="str">
            <v>Sand Street</v>
          </cell>
          <cell r="J4716" t="str">
            <v>Soham</v>
          </cell>
          <cell r="L4716" t="str">
            <v>Ely</v>
          </cell>
          <cell r="M4716" t="str">
            <v>Cambridgeshire</v>
          </cell>
          <cell r="N4716" t="str">
            <v>CB7 5AA</v>
          </cell>
          <cell r="O4716" t="str">
            <v>CTaylor@soham-college.org.uk</v>
          </cell>
          <cell r="P4716">
            <v>40525</v>
          </cell>
        </row>
        <row r="4717">
          <cell r="A4717">
            <v>8232282</v>
          </cell>
          <cell r="B4717">
            <v>109587</v>
          </cell>
          <cell r="C4717">
            <v>823</v>
          </cell>
          <cell r="D4717" t="str">
            <v>Central Bedfordshire</v>
          </cell>
          <cell r="E4717">
            <v>2282</v>
          </cell>
          <cell r="F4717" t="str">
            <v>Michael Cook</v>
          </cell>
          <cell r="G4717" t="str">
            <v>Ramsey Manor Lower School</v>
          </cell>
          <cell r="H4717" t="str">
            <v>East of England</v>
          </cell>
          <cell r="I4717" t="str">
            <v>Manor Road</v>
          </cell>
          <cell r="J4717" t="str">
            <v>Barton-le-Clay</v>
          </cell>
          <cell r="L4717" t="str">
            <v>Bedford</v>
          </cell>
          <cell r="M4717" t="str">
            <v>Bedfordshire</v>
          </cell>
          <cell r="N4717" t="str">
            <v>MK45 4NS</v>
          </cell>
          <cell r="O4717" t="str">
            <v>afreaks@rmls.cbeds.co.uk</v>
          </cell>
        </row>
        <row r="4718">
          <cell r="A4718">
            <v>3555400</v>
          </cell>
          <cell r="B4718">
            <v>105989</v>
          </cell>
          <cell r="C4718">
            <v>355</v>
          </cell>
          <cell r="D4718" t="str">
            <v>Salford</v>
          </cell>
          <cell r="E4718">
            <v>5400</v>
          </cell>
          <cell r="F4718" t="str">
            <v>Jane McCusker</v>
          </cell>
          <cell r="G4718" t="str">
            <v>St Ambrose Barlow RC High School</v>
          </cell>
          <cell r="H4718" t="str">
            <v>North West</v>
          </cell>
          <cell r="I4718" t="str">
            <v>Shaftesbury Road</v>
          </cell>
          <cell r="J4718" t="str">
            <v>Swinton</v>
          </cell>
          <cell r="L4718" t="str">
            <v>Manchester</v>
          </cell>
          <cell r="N4718" t="str">
            <v>M27 5SZ</v>
          </cell>
          <cell r="O4718" t="str">
            <v>marie.garside@salford.gov.uk</v>
          </cell>
        </row>
        <row r="4719">
          <cell r="A4719">
            <v>8767202</v>
          </cell>
          <cell r="B4719">
            <v>111515</v>
          </cell>
          <cell r="C4719">
            <v>876</v>
          </cell>
          <cell r="D4719" t="str">
            <v>Halton</v>
          </cell>
          <cell r="E4719">
            <v>7202</v>
          </cell>
          <cell r="F4719" t="str">
            <v>Maria Sabberton</v>
          </cell>
          <cell r="G4719" t="str">
            <v>Ashley School</v>
          </cell>
          <cell r="H4719" t="str">
            <v>North West</v>
          </cell>
          <cell r="I4719" t="str">
            <v>Cawfield Avenue</v>
          </cell>
          <cell r="L4719" t="str">
            <v>Widnes</v>
          </cell>
          <cell r="M4719" t="str">
            <v>Cheshire</v>
          </cell>
          <cell r="N4719" t="str">
            <v>WA8 7HG</v>
          </cell>
          <cell r="O4719" t="str">
            <v>head.ashley@halton.gov.uk</v>
          </cell>
        </row>
        <row r="4720">
          <cell r="A4720">
            <v>8954227</v>
          </cell>
          <cell r="B4720">
            <v>132747</v>
          </cell>
          <cell r="C4720">
            <v>895</v>
          </cell>
          <cell r="D4720" t="str">
            <v>Cheshire East</v>
          </cell>
          <cell r="E4720">
            <v>4227</v>
          </cell>
          <cell r="F4720" t="str">
            <v>Jane McCusker</v>
          </cell>
          <cell r="G4720" t="str">
            <v>Eaton Bank School</v>
          </cell>
          <cell r="H4720" t="str">
            <v>North West</v>
          </cell>
          <cell r="I4720" t="str">
            <v>Jackson Road</v>
          </cell>
          <cell r="L4720" t="str">
            <v>Congleton</v>
          </cell>
          <cell r="M4720" t="str">
            <v>Cheshire</v>
          </cell>
          <cell r="N4720" t="str">
            <v>CW12 1NT</v>
          </cell>
          <cell r="O4720" t="str">
            <v>wb@eatonbank.cheshire.sch.uk</v>
          </cell>
          <cell r="P4720">
            <v>40939</v>
          </cell>
        </row>
        <row r="4721">
          <cell r="A4721">
            <v>8604710</v>
          </cell>
          <cell r="B4721">
            <v>124459</v>
          </cell>
          <cell r="C4721">
            <v>860</v>
          </cell>
          <cell r="D4721" t="str">
            <v>Staffordshire</v>
          </cell>
          <cell r="E4721">
            <v>4710</v>
          </cell>
          <cell r="F4721" t="str">
            <v>Stephen Bagnall</v>
          </cell>
          <cell r="G4721" t="str">
            <v>Blessed Robert Sutton Catholic Sports College</v>
          </cell>
          <cell r="H4721" t="str">
            <v>West Midlands</v>
          </cell>
          <cell r="I4721" t="str">
            <v>Bluestone Lane</v>
          </cell>
          <cell r="J4721" t="str">
            <v>Stapenhill</v>
          </cell>
          <cell r="L4721" t="str">
            <v>Burton-on-Trent</v>
          </cell>
          <cell r="M4721" t="str">
            <v>Staffordshire</v>
          </cell>
          <cell r="N4721" t="str">
            <v>DE15 9SD</v>
          </cell>
          <cell r="O4721" t="str">
            <v>bursar@robertsutton.staffs.sch.uk</v>
          </cell>
        </row>
        <row r="4722">
          <cell r="A4722">
            <v>9193400</v>
          </cell>
          <cell r="B4722">
            <v>117477</v>
          </cell>
          <cell r="C4722">
            <v>919</v>
          </cell>
          <cell r="D4722" t="str">
            <v>Hertfordshire</v>
          </cell>
          <cell r="E4722">
            <v>3400</v>
          </cell>
          <cell r="F4722" t="str">
            <v>William Thursfield</v>
          </cell>
          <cell r="G4722" t="str">
            <v>St Thomas More Catholic Primary</v>
          </cell>
          <cell r="H4722" t="str">
            <v>East of England</v>
          </cell>
          <cell r="I4722" t="str">
            <v>Highfield</v>
          </cell>
          <cell r="L4722" t="str">
            <v>Letchworth Garden City</v>
          </cell>
          <cell r="M4722" t="str">
            <v>Hertfordshire</v>
          </cell>
          <cell r="N4722" t="str">
            <v>SG6 3QB</v>
          </cell>
          <cell r="O4722" t="str">
            <v>head@strcjmi.herts.sch.uk</v>
          </cell>
          <cell r="P4722">
            <v>40970</v>
          </cell>
        </row>
        <row r="4723">
          <cell r="A4723">
            <v>8604096</v>
          </cell>
          <cell r="B4723">
            <v>124413</v>
          </cell>
          <cell r="C4723">
            <v>860</v>
          </cell>
          <cell r="D4723" t="str">
            <v>Staffordshire</v>
          </cell>
          <cell r="E4723">
            <v>4096</v>
          </cell>
          <cell r="G4723" t="str">
            <v>NCHS The Science College</v>
          </cell>
          <cell r="H4723" t="str">
            <v>West Midlands</v>
          </cell>
          <cell r="I4723" t="str">
            <v>Ostend Place</v>
          </cell>
          <cell r="L4723" t="str">
            <v>Newcastle</v>
          </cell>
          <cell r="M4723" t="str">
            <v>Staffordshire</v>
          </cell>
          <cell r="N4723" t="str">
            <v>ST5 2QY</v>
          </cell>
          <cell r="O4723" t="str">
            <v>headteacher@nchs.staffs.sch.uk</v>
          </cell>
        </row>
        <row r="4724">
          <cell r="A4724">
            <v>3833361</v>
          </cell>
          <cell r="B4724">
            <v>108015</v>
          </cell>
          <cell r="C4724">
            <v>383</v>
          </cell>
          <cell r="D4724" t="str">
            <v>Leeds</v>
          </cell>
          <cell r="E4724">
            <v>3361</v>
          </cell>
          <cell r="F4724" t="str">
            <v>Tony Bretherick</v>
          </cell>
          <cell r="G4724" t="str">
            <v>St Joseph's Catholic Primary School, Pudsey</v>
          </cell>
          <cell r="H4724" t="str">
            <v>Yorkshire and the Humber</v>
          </cell>
          <cell r="I4724" t="str">
            <v>Mount Pleasant Road</v>
          </cell>
          <cell r="L4724" t="str">
            <v>Pudsey</v>
          </cell>
          <cell r="M4724" t="str">
            <v>West Yorkshire</v>
          </cell>
          <cell r="N4724" t="str">
            <v>LS28 7AZ</v>
          </cell>
          <cell r="O4724" t="str">
            <v>ashwora02@leedslearning.net</v>
          </cell>
          <cell r="P4724">
            <v>41232</v>
          </cell>
        </row>
        <row r="4725">
          <cell r="A4725">
            <v>3844020</v>
          </cell>
          <cell r="B4725">
            <v>108275</v>
          </cell>
          <cell r="C4725">
            <v>384</v>
          </cell>
          <cell r="D4725" t="str">
            <v>Wakefield</v>
          </cell>
          <cell r="E4725">
            <v>4020</v>
          </cell>
          <cell r="F4725" t="str">
            <v>Jayne Turner</v>
          </cell>
          <cell r="G4725" t="str">
            <v>The King's School Specialising in Mathematics and Computing</v>
          </cell>
          <cell r="H4725" t="str">
            <v>Yorkshire and the Humber</v>
          </cell>
          <cell r="I4725" t="str">
            <v>Mill Hill Lane</v>
          </cell>
          <cell r="L4725" t="str">
            <v>Pontefract</v>
          </cell>
          <cell r="M4725" t="str">
            <v>West Yorkshire</v>
          </cell>
          <cell r="N4725" t="str">
            <v>WF8 4JF</v>
          </cell>
          <cell r="O4725" t="str">
            <v>jcraig@kings.wakefield.sch.uk</v>
          </cell>
          <cell r="P4725">
            <v>41176</v>
          </cell>
        </row>
        <row r="4726">
          <cell r="A4726">
            <v>3052022</v>
          </cell>
          <cell r="B4726">
            <v>101601</v>
          </cell>
          <cell r="C4726">
            <v>305</v>
          </cell>
          <cell r="D4726" t="str">
            <v>Bromley</v>
          </cell>
          <cell r="E4726">
            <v>2022</v>
          </cell>
          <cell r="F4726" t="str">
            <v>Sheila Longstaff</v>
          </cell>
          <cell r="G4726" t="str">
            <v>Southborough Primary School</v>
          </cell>
          <cell r="H4726" t="str">
            <v>London</v>
          </cell>
          <cell r="I4726" t="str">
            <v>Southborough Lane</v>
          </cell>
          <cell r="L4726" t="str">
            <v>Bromley</v>
          </cell>
          <cell r="M4726" t="str">
            <v>Kent</v>
          </cell>
          <cell r="N4726" t="str">
            <v>BR2 8AA</v>
          </cell>
          <cell r="O4726" t="str">
            <v>admin@southborough.bromley.sch.uk</v>
          </cell>
        </row>
        <row r="4727">
          <cell r="A4727">
            <v>9364058</v>
          </cell>
          <cell r="B4727">
            <v>125249</v>
          </cell>
          <cell r="C4727">
            <v>936</v>
          </cell>
          <cell r="D4727" t="str">
            <v>Surrey</v>
          </cell>
          <cell r="E4727">
            <v>4058</v>
          </cell>
          <cell r="F4727" t="str">
            <v>Tony Dunne</v>
          </cell>
          <cell r="G4727" t="str">
            <v>Broadwater School</v>
          </cell>
          <cell r="H4727" t="str">
            <v>South East</v>
          </cell>
          <cell r="I4727" t="str">
            <v>Summers Road</v>
          </cell>
          <cell r="L4727" t="str">
            <v>Godalming</v>
          </cell>
          <cell r="M4727" t="str">
            <v>Surrey</v>
          </cell>
          <cell r="N4727" t="str">
            <v>GU7 3BW</v>
          </cell>
          <cell r="O4727" t="str">
            <v>c.lee@broadwater.surrey.sch.uk</v>
          </cell>
          <cell r="P4727">
            <v>40739</v>
          </cell>
        </row>
        <row r="4728">
          <cell r="A4728">
            <v>3834115</v>
          </cell>
          <cell r="B4728">
            <v>108092</v>
          </cell>
          <cell r="C4728">
            <v>383</v>
          </cell>
          <cell r="D4728" t="str">
            <v>Leeds</v>
          </cell>
          <cell r="E4728">
            <v>4115</v>
          </cell>
          <cell r="F4728" t="str">
            <v>Bev Annables</v>
          </cell>
          <cell r="G4728" t="str">
            <v>Horsforth Specialist Science School</v>
          </cell>
          <cell r="H4728" t="str">
            <v>Yorkshire and the Humber</v>
          </cell>
          <cell r="I4728" t="str">
            <v>Lee Lane East</v>
          </cell>
          <cell r="J4728" t="str">
            <v>Horsforth</v>
          </cell>
          <cell r="L4728" t="str">
            <v>Leeds</v>
          </cell>
          <cell r="M4728" t="str">
            <v>West Yorkshire</v>
          </cell>
          <cell r="N4728" t="str">
            <v>LS18 5RF</v>
          </cell>
          <cell r="O4728" t="str">
            <v>greyja01@leedslearning.net</v>
          </cell>
          <cell r="P4728">
            <v>40742</v>
          </cell>
        </row>
        <row r="4729">
          <cell r="A4729">
            <v>8663000</v>
          </cell>
          <cell r="B4729">
            <v>132193</v>
          </cell>
          <cell r="C4729">
            <v>866</v>
          </cell>
          <cell r="D4729" t="str">
            <v>Swindon</v>
          </cell>
          <cell r="E4729">
            <v>3000</v>
          </cell>
          <cell r="F4729" t="str">
            <v>Sean Cox</v>
          </cell>
          <cell r="G4729" t="str">
            <v>Lethbridge Primary School</v>
          </cell>
          <cell r="H4729" t="str">
            <v>South West</v>
          </cell>
          <cell r="I4729" t="str">
            <v>Lethbridge Road</v>
          </cell>
          <cell r="L4729" t="str">
            <v>Swindon</v>
          </cell>
          <cell r="M4729" t="str">
            <v>Wiltshire</v>
          </cell>
          <cell r="N4729" t="str">
            <v>SN1 4BY</v>
          </cell>
          <cell r="O4729" t="str">
            <v>head@lethbridge.swindon.sch.uk</v>
          </cell>
          <cell r="P4729">
            <v>40638</v>
          </cell>
        </row>
        <row r="4730">
          <cell r="A4730">
            <v>8255202</v>
          </cell>
          <cell r="B4730">
            <v>110520</v>
          </cell>
          <cell r="C4730">
            <v>825</v>
          </cell>
          <cell r="D4730" t="str">
            <v>Buckinghamshire</v>
          </cell>
          <cell r="E4730">
            <v>5202</v>
          </cell>
          <cell r="F4730" t="str">
            <v>Tony Dunne</v>
          </cell>
          <cell r="G4730" t="str">
            <v>Hamilton Primary School</v>
          </cell>
          <cell r="H4730" t="str">
            <v>South East</v>
          </cell>
          <cell r="I4730" t="str">
            <v>Priory Avenue</v>
          </cell>
          <cell r="L4730" t="str">
            <v>High Wycombe</v>
          </cell>
          <cell r="M4730" t="str">
            <v>Buckinghamshire</v>
          </cell>
          <cell r="N4730" t="str">
            <v>HP13 6SG</v>
          </cell>
          <cell r="O4730" t="str">
            <v>galdous@bucksgfl.org.uk</v>
          </cell>
          <cell r="P4730">
            <v>40858</v>
          </cell>
        </row>
        <row r="4731">
          <cell r="A4731">
            <v>3824013</v>
          </cell>
          <cell r="B4731">
            <v>107757</v>
          </cell>
          <cell r="C4731">
            <v>382</v>
          </cell>
          <cell r="D4731" t="str">
            <v>Kirklees</v>
          </cell>
          <cell r="E4731">
            <v>4013</v>
          </cell>
          <cell r="F4731" t="str">
            <v>Bev Annables</v>
          </cell>
          <cell r="G4731" t="str">
            <v>Salendine Nook High School</v>
          </cell>
          <cell r="H4731" t="str">
            <v>Yorkshire and the Humber</v>
          </cell>
          <cell r="I4731" t="str">
            <v>New Hey Road</v>
          </cell>
          <cell r="L4731" t="str">
            <v>Huddersfield</v>
          </cell>
          <cell r="M4731" t="str">
            <v>West Yorkshire</v>
          </cell>
          <cell r="N4731" t="str">
            <v>HD3 4GN</v>
          </cell>
          <cell r="O4731" t="str">
            <v>christine.spencer@edukirklees.net</v>
          </cell>
          <cell r="P4731">
            <v>40739</v>
          </cell>
        </row>
        <row r="4732">
          <cell r="A4732">
            <v>8074001</v>
          </cell>
          <cell r="B4732">
            <v>111723</v>
          </cell>
          <cell r="C4732">
            <v>807</v>
          </cell>
          <cell r="D4732" t="str">
            <v>Redcar and Cleveland</v>
          </cell>
          <cell r="E4732">
            <v>4001</v>
          </cell>
          <cell r="F4732" t="str">
            <v>Anita Turnbull</v>
          </cell>
          <cell r="G4732" t="str">
            <v>Eston Park School</v>
          </cell>
          <cell r="H4732" t="str">
            <v>North East</v>
          </cell>
          <cell r="I4732" t="str">
            <v>Burns Road</v>
          </cell>
          <cell r="J4732" t="str">
            <v>Eston</v>
          </cell>
          <cell r="L4732" t="str">
            <v>Middlesbrough</v>
          </cell>
          <cell r="N4732" t="str">
            <v>TS6 9AW</v>
          </cell>
          <cell r="O4732" t="str">
            <v>dhaig@estonparkacademy.org</v>
          </cell>
          <cell r="P4732">
            <v>40514</v>
          </cell>
        </row>
        <row r="4733">
          <cell r="A4733">
            <v>9195201</v>
          </cell>
          <cell r="B4733">
            <v>117561</v>
          </cell>
          <cell r="C4733">
            <v>919</v>
          </cell>
          <cell r="D4733" t="str">
            <v>Hertfordshire</v>
          </cell>
          <cell r="E4733">
            <v>5201</v>
          </cell>
          <cell r="F4733" t="str">
            <v>Beverley Samuel</v>
          </cell>
          <cell r="G4733" t="str">
            <v>Christ Church Church of England School</v>
          </cell>
          <cell r="H4733" t="str">
            <v>East of England</v>
          </cell>
          <cell r="I4733" t="str">
            <v>The Common</v>
          </cell>
          <cell r="J4733" t="str">
            <v>Rickmansworth Road</v>
          </cell>
          <cell r="K4733" t="str">
            <v>Chorleywood</v>
          </cell>
          <cell r="L4733" t="str">
            <v>Rickmansworth</v>
          </cell>
          <cell r="M4733" t="str">
            <v>Hertfordshire</v>
          </cell>
          <cell r="N4733" t="str">
            <v>WD3 5SG</v>
          </cell>
          <cell r="P4733">
            <v>41089</v>
          </cell>
        </row>
        <row r="4734">
          <cell r="A4734">
            <v>8255409</v>
          </cell>
          <cell r="B4734">
            <v>110535</v>
          </cell>
          <cell r="C4734">
            <v>825</v>
          </cell>
          <cell r="D4734" t="str">
            <v>Buckinghamshire</v>
          </cell>
          <cell r="E4734">
            <v>5409</v>
          </cell>
          <cell r="F4734" t="str">
            <v>Darren Francis</v>
          </cell>
          <cell r="G4734" t="str">
            <v>Great Marlow School</v>
          </cell>
          <cell r="H4734" t="str">
            <v>South East</v>
          </cell>
          <cell r="I4734" t="str">
            <v>Bobmore Lane</v>
          </cell>
          <cell r="L4734" t="str">
            <v>Marlow</v>
          </cell>
          <cell r="M4734" t="str">
            <v>Buckinghamshire</v>
          </cell>
          <cell r="N4734" t="str">
            <v>SL7 1JE</v>
          </cell>
          <cell r="O4734" t="str">
            <v>gwilson@bucksgfl.org.uk</v>
          </cell>
          <cell r="P4734">
            <v>40625</v>
          </cell>
        </row>
        <row r="4735">
          <cell r="A4735">
            <v>9163366</v>
          </cell>
          <cell r="B4735">
            <v>115715</v>
          </cell>
          <cell r="C4735">
            <v>916</v>
          </cell>
          <cell r="D4735" t="str">
            <v>Gloucestershire</v>
          </cell>
          <cell r="E4735">
            <v>3366</v>
          </cell>
          <cell r="F4735" t="str">
            <v>Nigel Mills</v>
          </cell>
          <cell r="G4735" t="str">
            <v>Staunton and Corse Church of England Primary School</v>
          </cell>
          <cell r="H4735" t="str">
            <v>South West</v>
          </cell>
          <cell r="I4735" t="str">
            <v>Gloucester Road</v>
          </cell>
          <cell r="J4735" t="str">
            <v>Corse</v>
          </cell>
          <cell r="K4735" t="str">
            <v>Staunton</v>
          </cell>
          <cell r="L4735" t="str">
            <v>Gloucester</v>
          </cell>
          <cell r="M4735" t="str">
            <v>Gloucestershire</v>
          </cell>
          <cell r="N4735" t="str">
            <v>GL19 3RA</v>
          </cell>
          <cell r="O4735" t="str">
            <v>head@stauntoncorse.gloucs.sch.uk</v>
          </cell>
          <cell r="P4735">
            <v>40568</v>
          </cell>
        </row>
        <row r="4736">
          <cell r="A4736">
            <v>8305408</v>
          </cell>
          <cell r="B4736">
            <v>112993</v>
          </cell>
          <cell r="C4736">
            <v>830</v>
          </cell>
          <cell r="D4736" t="str">
            <v>Derbyshire</v>
          </cell>
          <cell r="E4736">
            <v>5408</v>
          </cell>
          <cell r="F4736" t="str">
            <v>Sue Harp</v>
          </cell>
          <cell r="G4736" t="str">
            <v>Heanor Gate Science College</v>
          </cell>
          <cell r="H4736" t="str">
            <v>East Midlands</v>
          </cell>
          <cell r="I4736" t="str">
            <v>Kirkley Drive</v>
          </cell>
          <cell r="L4736" t="str">
            <v>Heanor</v>
          </cell>
          <cell r="M4736" t="str">
            <v>Derbyshire</v>
          </cell>
          <cell r="N4736" t="str">
            <v>DE75 7RA</v>
          </cell>
          <cell r="O4736" t="str">
            <v>rhoward@heanorgate.derbyshire.sch.uk</v>
          </cell>
          <cell r="P4736">
            <v>40633</v>
          </cell>
        </row>
        <row r="4737">
          <cell r="A4737">
            <v>3102073</v>
          </cell>
          <cell r="B4737">
            <v>102204</v>
          </cell>
          <cell r="C4737">
            <v>310</v>
          </cell>
          <cell r="D4737" t="str">
            <v>Harrow</v>
          </cell>
          <cell r="E4737">
            <v>2073</v>
          </cell>
          <cell r="F4737" t="str">
            <v>Selina White</v>
          </cell>
          <cell r="G4737" t="str">
            <v>Cannon Lane First School</v>
          </cell>
          <cell r="H4737" t="str">
            <v>London</v>
          </cell>
          <cell r="I4737" t="str">
            <v>Cannonbury Avenue</v>
          </cell>
          <cell r="L4737" t="str">
            <v>Pinner</v>
          </cell>
          <cell r="N4737" t="str">
            <v>HA5 1TS</v>
          </cell>
          <cell r="O4737" t="str">
            <v>rkeeble@btinternet.com</v>
          </cell>
        </row>
        <row r="4738">
          <cell r="A4738">
            <v>8212270</v>
          </cell>
          <cell r="B4738">
            <v>109577</v>
          </cell>
          <cell r="C4738">
            <v>821</v>
          </cell>
          <cell r="D4738" t="str">
            <v>Luton</v>
          </cell>
          <cell r="E4738">
            <v>2270</v>
          </cell>
          <cell r="F4738" t="str">
            <v>Yvonne Reddington</v>
          </cell>
          <cell r="G4738" t="str">
            <v>Foxdell Junior School</v>
          </cell>
          <cell r="H4738" t="str">
            <v>East of England</v>
          </cell>
          <cell r="I4738" t="str">
            <v>Dallow Road</v>
          </cell>
          <cell r="L4738" t="str">
            <v>Luton</v>
          </cell>
          <cell r="M4738" t="str">
            <v>Bedfordshire</v>
          </cell>
          <cell r="N4738" t="str">
            <v>LU1 1UP</v>
          </cell>
          <cell r="O4738" t="str">
            <v>foxdell.junior.head@luton.gov.uk</v>
          </cell>
        </row>
        <row r="4739">
          <cell r="A4739">
            <v>9093521</v>
          </cell>
          <cell r="B4739">
            <v>112355</v>
          </cell>
          <cell r="C4739">
            <v>909</v>
          </cell>
          <cell r="D4739" t="str">
            <v>Cumbria</v>
          </cell>
          <cell r="E4739">
            <v>3521</v>
          </cell>
          <cell r="F4739" t="str">
            <v>Steve Bibby</v>
          </cell>
          <cell r="G4739" t="str">
            <v>St Gregory &amp; St Patrick's Catholic Community School</v>
          </cell>
          <cell r="H4739" t="str">
            <v>North West</v>
          </cell>
          <cell r="I4739" t="str">
            <v>Esk Avenue</v>
          </cell>
          <cell r="J4739" t="str">
            <v>Corkickle</v>
          </cell>
          <cell r="L4739" t="str">
            <v>Whitehaven</v>
          </cell>
          <cell r="M4739" t="str">
            <v>Cumbria</v>
          </cell>
          <cell r="N4739" t="str">
            <v>CA28 8AJ</v>
          </cell>
          <cell r="O4739" t="str">
            <v>head@ss-greg-pat.cumbria.sch.uk</v>
          </cell>
        </row>
        <row r="4740">
          <cell r="A4740">
            <v>3585402</v>
          </cell>
          <cell r="B4740">
            <v>106375</v>
          </cell>
          <cell r="C4740">
            <v>358</v>
          </cell>
          <cell r="D4740" t="str">
            <v>Trafford</v>
          </cell>
          <cell r="E4740">
            <v>5402</v>
          </cell>
          <cell r="F4740" t="str">
            <v>Jane McCusker</v>
          </cell>
          <cell r="G4740" t="str">
            <v>Sale High School</v>
          </cell>
          <cell r="H4740" t="str">
            <v>North West</v>
          </cell>
          <cell r="I4740" t="str">
            <v>Norris Road</v>
          </cell>
          <cell r="L4740" t="str">
            <v>Sale</v>
          </cell>
          <cell r="M4740" t="str">
            <v>Cheshire</v>
          </cell>
          <cell r="N4740" t="str">
            <v>M33 3JR</v>
          </cell>
          <cell r="O4740" t="str">
            <v>lynn.nicholls@salehighschool.co.uk</v>
          </cell>
          <cell r="P4740">
            <v>40749</v>
          </cell>
        </row>
        <row r="4741">
          <cell r="A4741">
            <v>8782008</v>
          </cell>
          <cell r="B4741">
            <v>113065</v>
          </cell>
          <cell r="C4741">
            <v>878</v>
          </cell>
          <cell r="D4741" t="str">
            <v>Devon</v>
          </cell>
          <cell r="E4741">
            <v>2008</v>
          </cell>
          <cell r="F4741" t="str">
            <v>Nigel Hutchins</v>
          </cell>
          <cell r="G4741" t="str">
            <v>Clyst Hydon Primary School</v>
          </cell>
          <cell r="H4741" t="str">
            <v>South West</v>
          </cell>
          <cell r="I4741" t="str">
            <v>Clyst Hydon</v>
          </cell>
          <cell r="L4741" t="str">
            <v>Cullompton</v>
          </cell>
          <cell r="M4741" t="str">
            <v>Devon</v>
          </cell>
          <cell r="N4741" t="str">
            <v>EX15 2ND</v>
          </cell>
          <cell r="O4741" t="str">
            <v>headteacher@clyst-hydon-primary.devon.sch.uk</v>
          </cell>
        </row>
        <row r="4742">
          <cell r="A4742">
            <v>8945400</v>
          </cell>
          <cell r="B4742">
            <v>123593</v>
          </cell>
          <cell r="C4742">
            <v>894</v>
          </cell>
          <cell r="D4742" t="str">
            <v>Telford and Wrekin</v>
          </cell>
          <cell r="E4742">
            <v>5400</v>
          </cell>
          <cell r="F4742" t="str">
            <v>Susan Shakespeare</v>
          </cell>
          <cell r="G4742" t="str">
            <v>Adam's Grammar School  boarding</v>
          </cell>
          <cell r="H4742" t="str">
            <v>West Midlands</v>
          </cell>
          <cell r="I4742" t="str">
            <v>High Street</v>
          </cell>
          <cell r="L4742" t="str">
            <v>Newport</v>
          </cell>
          <cell r="M4742" t="str">
            <v>Shropshire</v>
          </cell>
          <cell r="N4742" t="str">
            <v>TF10 7BD</v>
          </cell>
          <cell r="O4742" t="str">
            <v>michael.barratt@adamsgs.org.uk</v>
          </cell>
          <cell r="P4742">
            <v>40700</v>
          </cell>
        </row>
        <row r="4743">
          <cell r="A4743">
            <v>8522421</v>
          </cell>
          <cell r="B4743">
            <v>116101</v>
          </cell>
          <cell r="C4743">
            <v>852</v>
          </cell>
          <cell r="D4743" t="str">
            <v>Southampton</v>
          </cell>
          <cell r="E4743">
            <v>2421</v>
          </cell>
          <cell r="F4743" t="str">
            <v>Lindsay Morris</v>
          </cell>
          <cell r="G4743" t="str">
            <v>Portswood Primary School</v>
          </cell>
          <cell r="H4743" t="str">
            <v>South East</v>
          </cell>
          <cell r="I4743" t="str">
            <v>Somerset Road</v>
          </cell>
          <cell r="L4743" t="str">
            <v>Southampton</v>
          </cell>
          <cell r="M4743" t="str">
            <v>Hampshire</v>
          </cell>
          <cell r="N4743" t="str">
            <v>SO17 3AA</v>
          </cell>
          <cell r="O4743" t="str">
            <v>head@portswood.southampton.sch.uk</v>
          </cell>
          <cell r="P4743">
            <v>40892</v>
          </cell>
        </row>
        <row r="4744">
          <cell r="A4744">
            <v>8863299</v>
          </cell>
          <cell r="B4744">
            <v>133627</v>
          </cell>
          <cell r="C4744">
            <v>886</v>
          </cell>
          <cell r="D4744" t="str">
            <v>Kent</v>
          </cell>
          <cell r="E4744">
            <v>3299</v>
          </cell>
          <cell r="F4744" t="str">
            <v>Nicky Edwards</v>
          </cell>
          <cell r="G4744" t="str">
            <v>The John Wesley Church of England Methodist Voluntary Aided Primary School</v>
          </cell>
          <cell r="H4744" t="str">
            <v>South East</v>
          </cell>
          <cell r="I4744" t="str">
            <v>Wesley School Road</v>
          </cell>
          <cell r="J4744" t="str">
            <v>Cuckoo Lane</v>
          </cell>
          <cell r="K4744" t="str">
            <v>Singleton</v>
          </cell>
          <cell r="L4744" t="str">
            <v>Ashford</v>
          </cell>
          <cell r="M4744" t="str">
            <v>Kent</v>
          </cell>
          <cell r="N4744" t="str">
            <v>TN23 5LW</v>
          </cell>
          <cell r="O4744" t="str">
            <v>headteacher@john-wesley.kent.sch.uk</v>
          </cell>
        </row>
        <row r="4745">
          <cell r="A4745">
            <v>8554048</v>
          </cell>
          <cell r="B4745">
            <v>120266</v>
          </cell>
          <cell r="C4745">
            <v>855</v>
          </cell>
          <cell r="D4745" t="str">
            <v>Leicestershire</v>
          </cell>
          <cell r="E4745">
            <v>4048</v>
          </cell>
          <cell r="F4745" t="str">
            <v>Sue Harp</v>
          </cell>
          <cell r="G4745" t="str">
            <v>Bosworth Community College</v>
          </cell>
          <cell r="H4745" t="str">
            <v>East Midlands</v>
          </cell>
          <cell r="I4745" t="str">
            <v>Leicester Lane</v>
          </cell>
          <cell r="J4745" t="str">
            <v>Desford</v>
          </cell>
          <cell r="L4745" t="str">
            <v>Leicester</v>
          </cell>
          <cell r="M4745" t="str">
            <v>Leicestershire</v>
          </cell>
          <cell r="N4745" t="str">
            <v>LE9 9JL</v>
          </cell>
          <cell r="O4745" t="str">
            <v>cparkinson@boscol.leics.sch.uk</v>
          </cell>
          <cell r="P4745">
            <v>40882</v>
          </cell>
        </row>
        <row r="4746">
          <cell r="A4746">
            <v>2034250</v>
          </cell>
          <cell r="B4746">
            <v>100187</v>
          </cell>
          <cell r="C4746">
            <v>203</v>
          </cell>
          <cell r="D4746" t="str">
            <v>Greenwich</v>
          </cell>
          <cell r="E4746">
            <v>4250</v>
          </cell>
          <cell r="F4746" t="str">
            <v>Helen Barry</v>
          </cell>
          <cell r="G4746" t="str">
            <v>Woolwich Polytechnic School for Boys</v>
          </cell>
          <cell r="H4746" t="str">
            <v>London</v>
          </cell>
          <cell r="I4746" t="str">
            <v>Hutchins Road</v>
          </cell>
          <cell r="J4746" t="str">
            <v>Thamesmead</v>
          </cell>
          <cell r="L4746" t="str">
            <v>London</v>
          </cell>
          <cell r="N4746" t="str">
            <v>SE28 8AT</v>
          </cell>
          <cell r="O4746" t="str">
            <v>bparker@woolwichpoly.greenwich.sch.uk</v>
          </cell>
        </row>
        <row r="4747">
          <cell r="A4747">
            <v>8364104</v>
          </cell>
          <cell r="B4747">
            <v>113865</v>
          </cell>
          <cell r="C4747">
            <v>836</v>
          </cell>
          <cell r="D4747" t="str">
            <v>Poole</v>
          </cell>
          <cell r="E4747">
            <v>4104</v>
          </cell>
          <cell r="F4747" t="str">
            <v>Not yet assigned</v>
          </cell>
          <cell r="G4747" t="str">
            <v>Carter Community School</v>
          </cell>
          <cell r="H4747" t="str">
            <v>South West</v>
          </cell>
          <cell r="I4747" t="str">
            <v>Blandford Close</v>
          </cell>
          <cell r="J4747" t="str">
            <v>Hamworthy</v>
          </cell>
          <cell r="L4747" t="str">
            <v>Poole</v>
          </cell>
          <cell r="M4747" t="str">
            <v>Dorset</v>
          </cell>
          <cell r="N4747" t="str">
            <v>BH15 4BQ</v>
          </cell>
          <cell r="O4747" t="str">
            <v>Daviesr@carter.poole.sch.uk</v>
          </cell>
        </row>
        <row r="4748">
          <cell r="A4748">
            <v>8812655</v>
          </cell>
          <cell r="B4748">
            <v>114935</v>
          </cell>
          <cell r="C4748">
            <v>881</v>
          </cell>
          <cell r="D4748" t="str">
            <v>Essex</v>
          </cell>
          <cell r="E4748">
            <v>2655</v>
          </cell>
          <cell r="F4748" t="str">
            <v>Claire Ivie</v>
          </cell>
          <cell r="G4748" t="str">
            <v>Hereward Primary School</v>
          </cell>
          <cell r="H4748" t="str">
            <v>East of England</v>
          </cell>
          <cell r="I4748" t="str">
            <v>Colebrook Lane</v>
          </cell>
          <cell r="L4748" t="str">
            <v>Loughton</v>
          </cell>
          <cell r="M4748" t="str">
            <v>Essex</v>
          </cell>
          <cell r="N4748" t="str">
            <v>IG10 2HR</v>
          </cell>
          <cell r="O4748" t="str">
            <v>admin@hereward.essex.sch.uk</v>
          </cell>
        </row>
        <row r="4749">
          <cell r="A4749">
            <v>8613416</v>
          </cell>
          <cell r="B4749">
            <v>124325</v>
          </cell>
          <cell r="C4749">
            <v>861</v>
          </cell>
          <cell r="D4749" t="str">
            <v>Stoke-on-Trent</v>
          </cell>
          <cell r="E4749">
            <v>3416</v>
          </cell>
          <cell r="F4749" t="str">
            <v>Sally Gardiner</v>
          </cell>
          <cell r="G4749" t="str">
            <v>St Maria Goretti Catholic Primary School</v>
          </cell>
          <cell r="H4749" t="str">
            <v>West Midlands</v>
          </cell>
          <cell r="I4749" t="str">
            <v>Aylesbury Road</v>
          </cell>
          <cell r="J4749" t="str">
            <v>Bucknall</v>
          </cell>
          <cell r="L4749" t="str">
            <v>Stoke-on-Trent</v>
          </cell>
          <cell r="M4749" t="str">
            <v>Staffordshire</v>
          </cell>
          <cell r="N4749" t="str">
            <v>ST2 0LY</v>
          </cell>
          <cell r="O4749" t="str">
            <v>myates@sgfl.org.uk</v>
          </cell>
        </row>
        <row r="4750">
          <cell r="A4750">
            <v>8133055</v>
          </cell>
          <cell r="B4750">
            <v>118004</v>
          </cell>
          <cell r="C4750">
            <v>813</v>
          </cell>
          <cell r="D4750" t="str">
            <v>North Lincolnshire</v>
          </cell>
          <cell r="E4750">
            <v>3055</v>
          </cell>
          <cell r="F4750" t="str">
            <v>Debbie Garbutt</v>
          </cell>
          <cell r="G4750" t="str">
            <v>St Barnabas Church of England Primary School</v>
          </cell>
          <cell r="H4750" t="str">
            <v>Yorkshire and the Humber</v>
          </cell>
          <cell r="I4750" t="str">
            <v>St Barnaba's Road</v>
          </cell>
          <cell r="L4750" t="str">
            <v>Barnetby</v>
          </cell>
          <cell r="M4750" t="str">
            <v>Lincolnshire</v>
          </cell>
          <cell r="N4750" t="str">
            <v>DN38 6JD</v>
          </cell>
          <cell r="O4750" t="str">
            <v>head@st-barnabas.n-lincs.sch.uk</v>
          </cell>
        </row>
        <row r="4751">
          <cell r="A4751">
            <v>8923319</v>
          </cell>
          <cell r="B4751">
            <v>122783</v>
          </cell>
          <cell r="C4751">
            <v>892</v>
          </cell>
          <cell r="D4751" t="str">
            <v>Nottingham</v>
          </cell>
          <cell r="E4751">
            <v>3319</v>
          </cell>
          <cell r="F4751" t="str">
            <v>Helen Whetter</v>
          </cell>
          <cell r="G4751" t="str">
            <v>Blessed Robert Widmerpool Catholic Primary and Nursery School</v>
          </cell>
          <cell r="H4751" t="str">
            <v>East Midlands</v>
          </cell>
          <cell r="I4751" t="str">
            <v>Listowel Crescent</v>
          </cell>
          <cell r="J4751" t="str">
            <v>Clifton</v>
          </cell>
          <cell r="L4751" t="str">
            <v>Nottingham</v>
          </cell>
          <cell r="M4751" t="str">
            <v>Nottinghamshire</v>
          </cell>
          <cell r="N4751" t="str">
            <v>NG11 9BH</v>
          </cell>
          <cell r="O4751" t="str">
            <v>headteacher@brw.nottingham.sch.uk</v>
          </cell>
          <cell r="P4751">
            <v>40715</v>
          </cell>
        </row>
        <row r="4752">
          <cell r="A4752">
            <v>3362114</v>
          </cell>
          <cell r="B4752">
            <v>104353</v>
          </cell>
          <cell r="C4752">
            <v>336</v>
          </cell>
          <cell r="D4752" t="str">
            <v>Wolverhampton</v>
          </cell>
          <cell r="E4752">
            <v>2114</v>
          </cell>
          <cell r="F4752" t="str">
            <v>Hannah Copp</v>
          </cell>
          <cell r="G4752" t="str">
            <v>Woden Primary School</v>
          </cell>
          <cell r="H4752" t="str">
            <v>West Midlands</v>
          </cell>
          <cell r="I4752" t="str">
            <v>Springfield Road</v>
          </cell>
          <cell r="L4752" t="str">
            <v>Wolverhampton</v>
          </cell>
          <cell r="M4752" t="str">
            <v>West Midlands</v>
          </cell>
          <cell r="N4752" t="str">
            <v>WV10 0LH</v>
          </cell>
          <cell r="O4752" t="str">
            <v>wodenprimaryschool@wolverhampton.gov.uk</v>
          </cell>
          <cell r="P4752">
            <v>40989</v>
          </cell>
        </row>
        <row r="4753">
          <cell r="A4753">
            <v>3202075</v>
          </cell>
          <cell r="B4753">
            <v>103078</v>
          </cell>
          <cell r="C4753">
            <v>320</v>
          </cell>
          <cell r="D4753" t="str">
            <v>Waltham Forest</v>
          </cell>
          <cell r="E4753">
            <v>2075</v>
          </cell>
          <cell r="F4753" t="str">
            <v>Tahir Shams</v>
          </cell>
          <cell r="G4753" t="str">
            <v>Coppermill Primary School</v>
          </cell>
          <cell r="H4753" t="str">
            <v>London</v>
          </cell>
          <cell r="I4753" t="str">
            <v>Edward Road</v>
          </cell>
          <cell r="J4753" t="str">
            <v>Walthamstow</v>
          </cell>
          <cell r="L4753" t="str">
            <v>London</v>
          </cell>
          <cell r="N4753" t="str">
            <v>E17 6PB</v>
          </cell>
          <cell r="O4753" t="str">
            <v>Gary.Bennell@coppermill.waltham.sch.uk</v>
          </cell>
        </row>
        <row r="4754">
          <cell r="A4754">
            <v>2073417</v>
          </cell>
          <cell r="B4754">
            <v>100493</v>
          </cell>
          <cell r="C4754">
            <v>207</v>
          </cell>
          <cell r="D4754" t="str">
            <v>Kensington and Chelsea</v>
          </cell>
          <cell r="E4754">
            <v>3417</v>
          </cell>
          <cell r="F4754" t="str">
            <v>Tahir Shams</v>
          </cell>
          <cell r="G4754" t="str">
            <v>St Barnabas &amp; St Philip's School</v>
          </cell>
          <cell r="H4754" t="str">
            <v>London</v>
          </cell>
          <cell r="I4754" t="str">
            <v>58 Earls Court Road</v>
          </cell>
          <cell r="J4754" t="str">
            <v>Kensington</v>
          </cell>
          <cell r="L4754" t="str">
            <v>London</v>
          </cell>
          <cell r="N4754" t="str">
            <v>W8 6EJ</v>
          </cell>
          <cell r="O4754" t="str">
            <v>christopher.doyle@sbsp.rbkc.sch.uk</v>
          </cell>
        </row>
        <row r="4755">
          <cell r="A4755">
            <v>3833038</v>
          </cell>
          <cell r="B4755">
            <v>107990</v>
          </cell>
          <cell r="C4755">
            <v>383</v>
          </cell>
          <cell r="D4755" t="str">
            <v>Leeds</v>
          </cell>
          <cell r="E4755">
            <v>3038</v>
          </cell>
          <cell r="F4755" t="str">
            <v>Bev Annables</v>
          </cell>
          <cell r="G4755" t="str">
            <v>St Margaret's Church of England Voluntary Controlled Primary School</v>
          </cell>
          <cell r="H4755" t="str">
            <v>Yorkshire and the Humber</v>
          </cell>
          <cell r="I4755" t="str">
            <v>Town Street</v>
          </cell>
          <cell r="J4755" t="str">
            <v>Horsforth</v>
          </cell>
          <cell r="L4755" t="str">
            <v>Leeds</v>
          </cell>
          <cell r="M4755" t="str">
            <v>West Yorkshire</v>
          </cell>
          <cell r="N4755" t="str">
            <v>LS18 5BL</v>
          </cell>
          <cell r="O4755" t="str">
            <v>willeyam01@leedslearning.net</v>
          </cell>
        </row>
        <row r="4756">
          <cell r="A4756">
            <v>8253322</v>
          </cell>
          <cell r="B4756">
            <v>110456</v>
          </cell>
          <cell r="C4756">
            <v>825</v>
          </cell>
          <cell r="D4756" t="str">
            <v>Buckinghamshire</v>
          </cell>
          <cell r="E4756">
            <v>3322</v>
          </cell>
          <cell r="F4756" t="str">
            <v>Darren Francis</v>
          </cell>
          <cell r="G4756" t="str">
            <v>Chalfont St Peter CofE School</v>
          </cell>
          <cell r="H4756" t="str">
            <v>South East</v>
          </cell>
          <cell r="I4756" t="str">
            <v>Penn Road</v>
          </cell>
          <cell r="J4756" t="str">
            <v>Chalfont St Peter</v>
          </cell>
          <cell r="L4756" t="str">
            <v>Gerrards Cross</v>
          </cell>
          <cell r="M4756" t="str">
            <v>Buckinghamshire</v>
          </cell>
          <cell r="N4756" t="str">
            <v>SL9 9SS</v>
          </cell>
          <cell r="O4756" t="str">
            <v>headteacher@chalfont-st-petercofe.bucks.sch.uk</v>
          </cell>
          <cell r="P4756">
            <v>40576</v>
          </cell>
        </row>
        <row r="4757">
          <cell r="A4757">
            <v>3052011</v>
          </cell>
          <cell r="B4757">
            <v>101594</v>
          </cell>
          <cell r="C4757">
            <v>305</v>
          </cell>
          <cell r="D4757" t="str">
            <v>Bromley</v>
          </cell>
          <cell r="E4757">
            <v>2011</v>
          </cell>
          <cell r="F4757" t="str">
            <v>Sheila Longstaff</v>
          </cell>
          <cell r="G4757" t="str">
            <v>Stewart Fleming Primary School The Pioneer Academy</v>
          </cell>
          <cell r="H4757" t="str">
            <v>London</v>
          </cell>
          <cell r="I4757" t="str">
            <v>Witham Road</v>
          </cell>
          <cell r="J4757" t="str">
            <v>Anerley</v>
          </cell>
          <cell r="L4757" t="str">
            <v>London</v>
          </cell>
          <cell r="N4757" t="str">
            <v>SE20 7YB</v>
          </cell>
          <cell r="O4757" t="str">
            <v>head@stewartfleming.bromley.sch.uk</v>
          </cell>
          <cell r="P4757">
            <v>40604</v>
          </cell>
        </row>
        <row r="4758">
          <cell r="A4758">
            <v>3302485</v>
          </cell>
          <cell r="B4758">
            <v>133729</v>
          </cell>
          <cell r="C4758">
            <v>330</v>
          </cell>
          <cell r="D4758" t="str">
            <v>Birmingham</v>
          </cell>
          <cell r="E4758">
            <v>2485</v>
          </cell>
          <cell r="F4758" t="str">
            <v>Alison Middleton</v>
          </cell>
          <cell r="G4758" t="str">
            <v>Yenton Primary School</v>
          </cell>
          <cell r="H4758" t="str">
            <v>West Midlands</v>
          </cell>
          <cell r="I4758" t="str">
            <v>Chester Road</v>
          </cell>
          <cell r="J4758" t="str">
            <v>Erdington</v>
          </cell>
          <cell r="L4758" t="str">
            <v>Birmingham</v>
          </cell>
          <cell r="M4758" t="str">
            <v>West Midlands</v>
          </cell>
          <cell r="N4758" t="str">
            <v>B24 0ED</v>
          </cell>
          <cell r="O4758" t="str">
            <v>mark@yenton.bham.sch.uk</v>
          </cell>
        </row>
        <row r="4759">
          <cell r="A4759">
            <v>8682186</v>
          </cell>
          <cell r="B4759">
            <v>109900</v>
          </cell>
          <cell r="C4759">
            <v>868</v>
          </cell>
          <cell r="D4759" t="str">
            <v>Windsor and Maidenhead</v>
          </cell>
          <cell r="E4759">
            <v>2186</v>
          </cell>
          <cell r="F4759" t="str">
            <v>Darren Francis</v>
          </cell>
          <cell r="G4759" t="str">
            <v>Lowbrook Primary School</v>
          </cell>
          <cell r="H4759" t="str">
            <v>South East</v>
          </cell>
          <cell r="I4759" t="str">
            <v>The Fairway</v>
          </cell>
          <cell r="J4759" t="str">
            <v>Cox Green</v>
          </cell>
          <cell r="L4759" t="str">
            <v>Maidenhead</v>
          </cell>
          <cell r="M4759" t="str">
            <v>Berkshire</v>
          </cell>
          <cell r="N4759" t="str">
            <v>SL6 3AR</v>
          </cell>
          <cell r="O4759" t="str">
            <v>lowbrook@rbwm.org</v>
          </cell>
          <cell r="P4759">
            <v>40359</v>
          </cell>
        </row>
        <row r="4760">
          <cell r="A4760">
            <v>8232051</v>
          </cell>
          <cell r="B4760">
            <v>109453</v>
          </cell>
          <cell r="C4760">
            <v>823</v>
          </cell>
          <cell r="D4760" t="str">
            <v>Central Bedfordshire</v>
          </cell>
          <cell r="E4760">
            <v>2051</v>
          </cell>
          <cell r="F4760" t="str">
            <v>Beverley Samuel</v>
          </cell>
          <cell r="G4760" t="str">
            <v>Gravenhurst Lower School</v>
          </cell>
          <cell r="H4760" t="str">
            <v>East of England</v>
          </cell>
          <cell r="I4760" t="str">
            <v>High Street</v>
          </cell>
          <cell r="J4760" t="str">
            <v>Gravenhurst</v>
          </cell>
          <cell r="L4760" t="str">
            <v>Bedford</v>
          </cell>
          <cell r="M4760" t="str">
            <v>Bedfordshire</v>
          </cell>
          <cell r="N4760" t="str">
            <v>MK45 4HY</v>
          </cell>
          <cell r="O4760" t="str">
            <v>gravenhurstlower@schools.bedfordshire.gov.uk</v>
          </cell>
          <cell r="P4760">
            <v>40998</v>
          </cell>
        </row>
        <row r="4761">
          <cell r="A4761">
            <v>3815406</v>
          </cell>
          <cell r="B4761">
            <v>107580</v>
          </cell>
          <cell r="C4761">
            <v>381</v>
          </cell>
          <cell r="D4761" t="str">
            <v>Calderdale</v>
          </cell>
          <cell r="E4761">
            <v>5406</v>
          </cell>
          <cell r="F4761" t="str">
            <v>Adriarna Goodinson</v>
          </cell>
          <cell r="G4761" t="str">
            <v>Brighouse High School</v>
          </cell>
          <cell r="H4761" t="str">
            <v>Yorkshire and the Humber</v>
          </cell>
          <cell r="I4761" t="str">
            <v>Finkil Street</v>
          </cell>
          <cell r="L4761" t="str">
            <v>Brighouse</v>
          </cell>
          <cell r="M4761" t="str">
            <v>West Yorkshire</v>
          </cell>
          <cell r="N4761" t="str">
            <v>HD6 2NY</v>
          </cell>
          <cell r="O4761" t="str">
            <v>lizziecresswell@yahoo.co.uk</v>
          </cell>
          <cell r="P4761">
            <v>40515</v>
          </cell>
        </row>
        <row r="4762">
          <cell r="A4762">
            <v>2043000</v>
          </cell>
          <cell r="B4762">
            <v>132137</v>
          </cell>
          <cell r="C4762">
            <v>204</v>
          </cell>
          <cell r="D4762" t="str">
            <v>Hackney</v>
          </cell>
          <cell r="E4762">
            <v>3000</v>
          </cell>
          <cell r="F4762" t="str">
            <v>Bola Bakrin</v>
          </cell>
          <cell r="G4762" t="str">
            <v>St John and St James CofE Primary School</v>
          </cell>
          <cell r="H4762" t="str">
            <v>London</v>
          </cell>
          <cell r="I4762" t="str">
            <v>Isabella Road</v>
          </cell>
          <cell r="J4762" t="str">
            <v>Hackney</v>
          </cell>
          <cell r="L4762" t="str">
            <v>London</v>
          </cell>
          <cell r="N4762" t="str">
            <v>E9 6DX</v>
          </cell>
          <cell r="O4762" t="str">
            <v>sdavies@johnjames.hackney.sch.uk</v>
          </cell>
        </row>
        <row r="4763">
          <cell r="A4763">
            <v>9357004</v>
          </cell>
          <cell r="B4763">
            <v>124905</v>
          </cell>
          <cell r="C4763">
            <v>935</v>
          </cell>
          <cell r="D4763" t="str">
            <v>Suffolk</v>
          </cell>
          <cell r="E4763">
            <v>7004</v>
          </cell>
          <cell r="F4763" t="str">
            <v>Joe Farrell</v>
          </cell>
          <cell r="G4763" t="str">
            <v>Warren School</v>
          </cell>
          <cell r="H4763" t="str">
            <v>East of England</v>
          </cell>
          <cell r="I4763" t="str">
            <v>Clarkes Lane</v>
          </cell>
          <cell r="J4763" t="str">
            <v>Oulton Broad</v>
          </cell>
          <cell r="L4763" t="str">
            <v>Lowestoft</v>
          </cell>
          <cell r="M4763" t="str">
            <v>Suffolk</v>
          </cell>
          <cell r="N4763" t="str">
            <v>NR33 8HT</v>
          </cell>
          <cell r="O4763" t="str">
            <v>ht.warren.s@talk21.com</v>
          </cell>
        </row>
        <row r="4764">
          <cell r="A4764">
            <v>8735203</v>
          </cell>
          <cell r="B4764">
            <v>110891</v>
          </cell>
          <cell r="C4764">
            <v>873</v>
          </cell>
          <cell r="D4764" t="str">
            <v>Cambridgeshire</v>
          </cell>
          <cell r="E4764">
            <v>5203</v>
          </cell>
          <cell r="F4764" t="str">
            <v>Lynne Smith</v>
          </cell>
          <cell r="G4764" t="str">
            <v>Crosshall Infant School</v>
          </cell>
          <cell r="H4764" t="str">
            <v>East of England</v>
          </cell>
          <cell r="I4764" t="str">
            <v>446 Great North Road</v>
          </cell>
          <cell r="J4764" t="str">
            <v>Eaton Ford</v>
          </cell>
          <cell r="L4764" t="str">
            <v>St Neots</v>
          </cell>
          <cell r="M4764" t="str">
            <v>Cambridgeshire</v>
          </cell>
          <cell r="N4764" t="str">
            <v>PE19 7GG</v>
          </cell>
          <cell r="O4764" t="str">
            <v>djames@crosshallinfant.co.uk</v>
          </cell>
          <cell r="P4764">
            <v>40345</v>
          </cell>
        </row>
        <row r="4765">
          <cell r="A4765">
            <v>8262310</v>
          </cell>
          <cell r="B4765">
            <v>110370</v>
          </cell>
          <cell r="C4765">
            <v>826</v>
          </cell>
          <cell r="D4765" t="str">
            <v>Milton Keynes</v>
          </cell>
          <cell r="E4765">
            <v>2310</v>
          </cell>
          <cell r="F4765" t="str">
            <v>Nicky Edwards</v>
          </cell>
          <cell r="G4765" t="str">
            <v>Orchard School</v>
          </cell>
          <cell r="H4765" t="str">
            <v>South East</v>
          </cell>
          <cell r="I4765" t="str">
            <v>Springfield Boulevard</v>
          </cell>
          <cell r="J4765" t="str">
            <v>Springfield</v>
          </cell>
          <cell r="L4765" t="str">
            <v>Milton Keynes</v>
          </cell>
          <cell r="M4765" t="str">
            <v>Buckinghamshire</v>
          </cell>
          <cell r="N4765" t="str">
            <v>MK6 3HW</v>
          </cell>
        </row>
        <row r="4766">
          <cell r="A4766">
            <v>9354024</v>
          </cell>
          <cell r="B4766">
            <v>124802</v>
          </cell>
          <cell r="C4766">
            <v>935</v>
          </cell>
          <cell r="D4766" t="str">
            <v>Suffolk</v>
          </cell>
          <cell r="E4766">
            <v>4024</v>
          </cell>
          <cell r="F4766" t="str">
            <v>Joe Farrell</v>
          </cell>
          <cell r="G4766" t="str">
            <v>Thurston Community College</v>
          </cell>
          <cell r="H4766" t="str">
            <v>East of England</v>
          </cell>
          <cell r="I4766" t="str">
            <v>Norton Road</v>
          </cell>
          <cell r="J4766" t="str">
            <v>Thurston</v>
          </cell>
          <cell r="L4766" t="str">
            <v>Bury St Edmunds</v>
          </cell>
          <cell r="M4766" t="str">
            <v>Suffolk</v>
          </cell>
          <cell r="N4766" t="str">
            <v>IP31 3PB</v>
          </cell>
          <cell r="O4766" t="str">
            <v>helen.wilson@thurstoncollege.suffolk.sch.uk</v>
          </cell>
        </row>
        <row r="4767">
          <cell r="A4767">
            <v>9084151</v>
          </cell>
          <cell r="B4767">
            <v>112046</v>
          </cell>
          <cell r="C4767">
            <v>908</v>
          </cell>
          <cell r="D4767" t="str">
            <v>Cornwall</v>
          </cell>
          <cell r="E4767">
            <v>4151</v>
          </cell>
          <cell r="F4767" t="str">
            <v>Ed Schuldt</v>
          </cell>
          <cell r="G4767" t="str">
            <v>Callington Community College</v>
          </cell>
          <cell r="H4767" t="str">
            <v>South West</v>
          </cell>
          <cell r="I4767" t="str">
            <v>Launceston Road</v>
          </cell>
          <cell r="L4767" t="str">
            <v>Callington</v>
          </cell>
          <cell r="M4767" t="str">
            <v>Cornwall</v>
          </cell>
          <cell r="N4767" t="str">
            <v>PL17 7DR</v>
          </cell>
          <cell r="O4767" t="str">
            <v>head@callington-comm.cornwall.sch.uk</v>
          </cell>
          <cell r="P4767">
            <v>40557</v>
          </cell>
        </row>
        <row r="4768">
          <cell r="A4768">
            <v>9253331</v>
          </cell>
          <cell r="B4768">
            <v>120609</v>
          </cell>
          <cell r="C4768">
            <v>925</v>
          </cell>
          <cell r="D4768" t="str">
            <v>Lincolnshire</v>
          </cell>
          <cell r="E4768">
            <v>3331</v>
          </cell>
          <cell r="F4768" t="str">
            <v>Sue Harp</v>
          </cell>
          <cell r="G4768" t="str">
            <v>Our Lady of Good Counsel Catholic Primary School</v>
          </cell>
          <cell r="H4768" t="str">
            <v>East Midlands</v>
          </cell>
          <cell r="I4768" t="str">
            <v>The Drove</v>
          </cell>
          <cell r="L4768" t="str">
            <v>Sleaford</v>
          </cell>
          <cell r="M4768" t="str">
            <v>Lincolnshire</v>
          </cell>
          <cell r="N4768" t="str">
            <v>NG34 7AT</v>
          </cell>
          <cell r="O4768" t="str">
            <v>sarah.weldon@our-lady.lincs.sch.uk</v>
          </cell>
          <cell r="P4768">
            <v>41254</v>
          </cell>
        </row>
        <row r="4769">
          <cell r="A4769">
            <v>8612095</v>
          </cell>
          <cell r="B4769">
            <v>124018</v>
          </cell>
          <cell r="C4769">
            <v>861</v>
          </cell>
          <cell r="D4769" t="str">
            <v>Stoke-on-Trent</v>
          </cell>
          <cell r="E4769">
            <v>2095</v>
          </cell>
          <cell r="F4769" t="str">
            <v>Julia Waterhouse</v>
          </cell>
          <cell r="G4769" t="str">
            <v>Maple Court Primary School</v>
          </cell>
          <cell r="H4769" t="str">
            <v>West Midlands</v>
          </cell>
          <cell r="I4769" t="str">
            <v>Beverley Drive</v>
          </cell>
          <cell r="J4769" t="str">
            <v>Bentilee</v>
          </cell>
          <cell r="L4769" t="str">
            <v>Stoke-on-Trent</v>
          </cell>
          <cell r="M4769" t="str">
            <v>Staffordshire</v>
          </cell>
          <cell r="N4769" t="str">
            <v>ST2 0QD</v>
          </cell>
          <cell r="O4769" t="str">
            <v>maplecourt@sgfl.org.uk</v>
          </cell>
        </row>
        <row r="4770">
          <cell r="A4770">
            <v>8137019</v>
          </cell>
          <cell r="B4770">
            <v>118146</v>
          </cell>
          <cell r="C4770">
            <v>813</v>
          </cell>
          <cell r="D4770" t="str">
            <v>North Lincolnshire</v>
          </cell>
          <cell r="E4770">
            <v>7019</v>
          </cell>
          <cell r="F4770" t="str">
            <v>Bev Annables</v>
          </cell>
          <cell r="G4770" t="str">
            <v>St Hugh's Communication and Interaction College</v>
          </cell>
          <cell r="H4770" t="str">
            <v>Yorkshire and the Humber</v>
          </cell>
          <cell r="I4770" t="str">
            <v>Bushfield Road</v>
          </cell>
          <cell r="L4770" t="str">
            <v>Scunthorpe</v>
          </cell>
          <cell r="N4770" t="str">
            <v>DN16 1NB</v>
          </cell>
          <cell r="O4770" t="str">
            <v>tracy.millard@northlincs.gov.uk</v>
          </cell>
        </row>
        <row r="4771">
          <cell r="A4771">
            <v>9362492</v>
          </cell>
          <cell r="B4771">
            <v>125082</v>
          </cell>
          <cell r="C4771">
            <v>936</v>
          </cell>
          <cell r="D4771" t="str">
            <v>Surrey</v>
          </cell>
          <cell r="E4771">
            <v>2492</v>
          </cell>
          <cell r="F4771" t="str">
            <v>Eric Mcewen</v>
          </cell>
          <cell r="G4771" t="str">
            <v>New Monument School</v>
          </cell>
          <cell r="H4771" t="str">
            <v>South East</v>
          </cell>
          <cell r="I4771" t="str">
            <v>Alpha Road</v>
          </cell>
          <cell r="J4771" t="str">
            <v>Maybury</v>
          </cell>
          <cell r="L4771" t="str">
            <v>Woking</v>
          </cell>
          <cell r="M4771" t="str">
            <v>Surrey</v>
          </cell>
          <cell r="N4771" t="str">
            <v>GU22 8HA</v>
          </cell>
          <cell r="O4771" t="str">
            <v>Head@newmonument.surrey.sch.uk</v>
          </cell>
          <cell r="P4771">
            <v>40998</v>
          </cell>
        </row>
        <row r="4772">
          <cell r="A4772">
            <v>8885402</v>
          </cell>
          <cell r="B4772">
            <v>119811</v>
          </cell>
          <cell r="C4772">
            <v>888</v>
          </cell>
          <cell r="D4772" t="str">
            <v>Lancashire</v>
          </cell>
          <cell r="E4772">
            <v>5402</v>
          </cell>
          <cell r="F4772" t="str">
            <v>Christine West</v>
          </cell>
          <cell r="G4772" t="str">
            <v>Lancaster Girls' Grammar School</v>
          </cell>
          <cell r="H4772" t="str">
            <v>North West</v>
          </cell>
          <cell r="I4772" t="str">
            <v>Regent Street</v>
          </cell>
          <cell r="L4772" t="str">
            <v>Lancaster</v>
          </cell>
          <cell r="M4772" t="str">
            <v>Lancashire</v>
          </cell>
          <cell r="N4772" t="str">
            <v>LA1 1SF</v>
          </cell>
          <cell r="O4772" t="str">
            <v xml:space="preserve"> j.cahalin@lggs.lancs.sch.uk</v>
          </cell>
          <cell r="P4772">
            <v>40357</v>
          </cell>
        </row>
        <row r="4773">
          <cell r="A4773">
            <v>9084156</v>
          </cell>
          <cell r="B4773">
            <v>112051</v>
          </cell>
          <cell r="C4773">
            <v>908</v>
          </cell>
          <cell r="D4773" t="str">
            <v>Cornwall</v>
          </cell>
          <cell r="E4773">
            <v>4156</v>
          </cell>
          <cell r="F4773" t="str">
            <v>Tahamina Khan</v>
          </cell>
          <cell r="G4773" t="str">
            <v>Penrice Community College</v>
          </cell>
          <cell r="H4773" t="str">
            <v>South West</v>
          </cell>
          <cell r="I4773" t="str">
            <v>Charlestown Road</v>
          </cell>
          <cell r="L4773" t="str">
            <v>St Austell</v>
          </cell>
          <cell r="M4773" t="str">
            <v>Cornwall</v>
          </cell>
          <cell r="N4773" t="str">
            <v>PL25 3NR</v>
          </cell>
          <cell r="O4773" t="str">
            <v>head@penrice.cornwall.sch.uk</v>
          </cell>
          <cell r="P4773">
            <v>40557</v>
          </cell>
        </row>
        <row r="4774">
          <cell r="A4774">
            <v>8553090</v>
          </cell>
          <cell r="B4774">
            <v>120163</v>
          </cell>
          <cell r="C4774">
            <v>855</v>
          </cell>
          <cell r="D4774" t="str">
            <v>Leicestershire</v>
          </cell>
          <cell r="E4774">
            <v>3090</v>
          </cell>
          <cell r="F4774" t="str">
            <v>Sue Harp</v>
          </cell>
          <cell r="G4774" t="str">
            <v>Swithland St Leonard's CofE Primary School</v>
          </cell>
          <cell r="H4774" t="str">
            <v>East Midlands</v>
          </cell>
          <cell r="I4774" t="str">
            <v>Main Street</v>
          </cell>
          <cell r="J4774" t="str">
            <v>Swithland</v>
          </cell>
          <cell r="L4774" t="str">
            <v>Loughborough</v>
          </cell>
          <cell r="M4774" t="str">
            <v>Leicestershire</v>
          </cell>
          <cell r="N4774" t="str">
            <v>LE12 8TQ</v>
          </cell>
          <cell r="O4774" t="str">
            <v>christine.lethbridge@st-leonards.leics.sch.uk</v>
          </cell>
        </row>
        <row r="4775">
          <cell r="A4775">
            <v>8662219</v>
          </cell>
          <cell r="B4775">
            <v>126288</v>
          </cell>
          <cell r="C4775">
            <v>866</v>
          </cell>
          <cell r="D4775" t="str">
            <v>Swindon</v>
          </cell>
          <cell r="E4775">
            <v>2219</v>
          </cell>
          <cell r="F4775" t="str">
            <v>Nigel Mills</v>
          </cell>
          <cell r="G4775" t="str">
            <v>Tregoze Primary School</v>
          </cell>
          <cell r="H4775" t="str">
            <v>South West</v>
          </cell>
          <cell r="I4775" t="str">
            <v>Sleaford Close</v>
          </cell>
          <cell r="J4775" t="str">
            <v>Grange Park</v>
          </cell>
          <cell r="L4775" t="str">
            <v>Swindon</v>
          </cell>
          <cell r="M4775" t="str">
            <v>Wiltshire</v>
          </cell>
          <cell r="N4775" t="str">
            <v>SN5 6JU</v>
          </cell>
          <cell r="O4775" t="str">
            <v>head@tregoze-pri.swindon.sch.uk</v>
          </cell>
          <cell r="P4775">
            <v>40865</v>
          </cell>
        </row>
        <row r="4776">
          <cell r="A4776">
            <v>3353805</v>
          </cell>
          <cell r="B4776">
            <v>130153</v>
          </cell>
          <cell r="C4776">
            <v>335</v>
          </cell>
          <cell r="D4776" t="str">
            <v>Walsall</v>
          </cell>
          <cell r="E4776">
            <v>3805</v>
          </cell>
          <cell r="F4776" t="str">
            <v>Hannah Copp</v>
          </cell>
          <cell r="G4776" t="str">
            <v>Edgar Stammers Primary School</v>
          </cell>
          <cell r="H4776" t="str">
            <v>West Midlands</v>
          </cell>
          <cell r="I4776" t="str">
            <v>Harden Road</v>
          </cell>
          <cell r="J4776" t="str">
            <v>Coalpool</v>
          </cell>
          <cell r="L4776" t="str">
            <v>Walsall</v>
          </cell>
          <cell r="M4776" t="str">
            <v>West Midlands</v>
          </cell>
          <cell r="N4776" t="str">
            <v>WS3 1RQ</v>
          </cell>
          <cell r="O4776" t="str">
            <v>jmason@edgarstammers.walsall.sch.uk</v>
          </cell>
          <cell r="P4776">
            <v>41255</v>
          </cell>
        </row>
        <row r="4777">
          <cell r="A4777">
            <v>3802086</v>
          </cell>
          <cell r="B4777">
            <v>107239</v>
          </cell>
          <cell r="C4777">
            <v>380</v>
          </cell>
          <cell r="D4777" t="str">
            <v>Bradford</v>
          </cell>
          <cell r="E4777">
            <v>2086</v>
          </cell>
          <cell r="F4777" t="str">
            <v>Glyn Newton</v>
          </cell>
          <cell r="G4777" t="str">
            <v>Princeville Primary School</v>
          </cell>
          <cell r="H4777" t="str">
            <v>Yorkshire and the Humber</v>
          </cell>
          <cell r="I4777" t="str">
            <v>Willowfield Street</v>
          </cell>
          <cell r="L4777" t="str">
            <v>Bradford</v>
          </cell>
          <cell r="M4777" t="str">
            <v>West Yorkshire</v>
          </cell>
          <cell r="N4777" t="str">
            <v>BD7 2AH</v>
          </cell>
          <cell r="O4777" t="str">
            <v>slrawnsley@live.co.uk</v>
          </cell>
        </row>
        <row r="4778">
          <cell r="A4778">
            <v>9313822</v>
          </cell>
          <cell r="B4778">
            <v>123205</v>
          </cell>
          <cell r="C4778">
            <v>931</v>
          </cell>
          <cell r="D4778" t="str">
            <v>Oxfordshire</v>
          </cell>
          <cell r="E4778">
            <v>3822</v>
          </cell>
          <cell r="F4778" t="str">
            <v>Sarah Nairne</v>
          </cell>
          <cell r="G4778" t="str">
            <v>Our Lady of Lourdes Catholic Primary School, Witney</v>
          </cell>
          <cell r="H4778" t="str">
            <v>South East</v>
          </cell>
          <cell r="I4778" t="str">
            <v>Curbridge Road</v>
          </cell>
          <cell r="L4778" t="str">
            <v>Witney</v>
          </cell>
          <cell r="M4778" t="str">
            <v>Oxfordshire</v>
          </cell>
          <cell r="N4778" t="str">
            <v>OX28 5JZ</v>
          </cell>
          <cell r="P4778">
            <v>41207</v>
          </cell>
        </row>
        <row r="4779">
          <cell r="A4779">
            <v>9334553</v>
          </cell>
          <cell r="B4779">
            <v>123895</v>
          </cell>
          <cell r="C4779">
            <v>933</v>
          </cell>
          <cell r="D4779" t="str">
            <v>Somerset</v>
          </cell>
          <cell r="E4779">
            <v>4553</v>
          </cell>
          <cell r="F4779" t="str">
            <v>Theresa Oddelm</v>
          </cell>
          <cell r="G4779" t="str">
            <v>Danesfield Church of England School</v>
          </cell>
          <cell r="H4779" t="str">
            <v>South West</v>
          </cell>
          <cell r="I4779" t="str">
            <v>North Road</v>
          </cell>
          <cell r="J4779" t="str">
            <v>Williton</v>
          </cell>
          <cell r="L4779" t="str">
            <v>Taunton</v>
          </cell>
          <cell r="M4779" t="str">
            <v>Somerset</v>
          </cell>
          <cell r="N4779" t="str">
            <v>TA4 4SW</v>
          </cell>
          <cell r="O4779" t="str">
            <v>ibradbury@educ.somerset.gov.uk</v>
          </cell>
        </row>
        <row r="4780">
          <cell r="A4780">
            <v>3305410</v>
          </cell>
          <cell r="B4780">
            <v>103557</v>
          </cell>
          <cell r="C4780">
            <v>330</v>
          </cell>
          <cell r="D4780" t="str">
            <v>Birmingham</v>
          </cell>
          <cell r="E4780">
            <v>5410</v>
          </cell>
          <cell r="F4780" t="str">
            <v>Hannah Copp</v>
          </cell>
          <cell r="G4780" t="str">
            <v>Fairfax School</v>
          </cell>
          <cell r="H4780" t="str">
            <v>West Midlands</v>
          </cell>
          <cell r="I4780" t="str">
            <v>Fairfax Road</v>
          </cell>
          <cell r="L4780" t="str">
            <v>Sutton Coldfield</v>
          </cell>
          <cell r="M4780" t="str">
            <v>West Midlands</v>
          </cell>
          <cell r="N4780" t="str">
            <v>B75 7JT</v>
          </cell>
          <cell r="O4780" t="str">
            <v>s.calvert@fairfax.bham.sch.uk</v>
          </cell>
          <cell r="P4780">
            <v>40620</v>
          </cell>
        </row>
        <row r="4781">
          <cell r="A4781">
            <v>9354064</v>
          </cell>
          <cell r="B4781">
            <v>124824</v>
          </cell>
          <cell r="C4781">
            <v>935</v>
          </cell>
          <cell r="D4781" t="str">
            <v>Suffolk</v>
          </cell>
          <cell r="E4781">
            <v>4064</v>
          </cell>
          <cell r="F4781" t="str">
            <v>Not yet assigned</v>
          </cell>
          <cell r="G4781" t="str">
            <v>Saxmundham Middle School</v>
          </cell>
          <cell r="H4781" t="str">
            <v>East of England</v>
          </cell>
          <cell r="I4781" t="str">
            <v>Seaman Avenue</v>
          </cell>
          <cell r="L4781" t="str">
            <v>Saxmundham</v>
          </cell>
          <cell r="M4781" t="str">
            <v>Suffolk</v>
          </cell>
          <cell r="N4781" t="str">
            <v>IP17 1DZ</v>
          </cell>
        </row>
        <row r="4782">
          <cell r="A4782">
            <v>8552358</v>
          </cell>
          <cell r="B4782">
            <v>120083</v>
          </cell>
          <cell r="C4782">
            <v>855</v>
          </cell>
          <cell r="D4782" t="str">
            <v>Leicestershire</v>
          </cell>
          <cell r="E4782">
            <v>2358</v>
          </cell>
          <cell r="F4782" t="str">
            <v>Stephen Standret</v>
          </cell>
          <cell r="G4782" t="str">
            <v>Red Hill Field Primary School</v>
          </cell>
          <cell r="H4782" t="str">
            <v>East Midlands</v>
          </cell>
          <cell r="I4782" t="str">
            <v>Copt Oak Road</v>
          </cell>
          <cell r="J4782" t="str">
            <v>Narborough</v>
          </cell>
          <cell r="L4782" t="str">
            <v>Leicester</v>
          </cell>
          <cell r="M4782" t="str">
            <v>Leicestershire</v>
          </cell>
          <cell r="N4782" t="str">
            <v>LE19 3EF</v>
          </cell>
          <cell r="O4782" t="str">
            <v>head@redhill.leics.sch.uk</v>
          </cell>
          <cell r="P4782">
            <v>41201</v>
          </cell>
        </row>
        <row r="4783">
          <cell r="A4783">
            <v>3803030</v>
          </cell>
          <cell r="B4783">
            <v>107312</v>
          </cell>
          <cell r="C4783">
            <v>380</v>
          </cell>
          <cell r="D4783" t="str">
            <v>Bradford</v>
          </cell>
          <cell r="E4783">
            <v>3030</v>
          </cell>
          <cell r="F4783" t="str">
            <v>Adriarna Goodinson</v>
          </cell>
          <cell r="G4783" t="str">
            <v>Windhill CofE Primary School</v>
          </cell>
          <cell r="H4783" t="str">
            <v>Yorkshire and the Humber</v>
          </cell>
          <cell r="I4783" t="str">
            <v>Wrose Brow Road</v>
          </cell>
          <cell r="L4783" t="str">
            <v>Shipley</v>
          </cell>
          <cell r="M4783" t="str">
            <v>West Yorkshire</v>
          </cell>
          <cell r="N4783" t="str">
            <v>BD18 2NT</v>
          </cell>
        </row>
        <row r="4784">
          <cell r="A4784">
            <v>9364067</v>
          </cell>
          <cell r="B4784">
            <v>125251</v>
          </cell>
          <cell r="C4784">
            <v>936</v>
          </cell>
          <cell r="D4784" t="str">
            <v>Surrey</v>
          </cell>
          <cell r="E4784">
            <v>4067</v>
          </cell>
          <cell r="F4784" t="str">
            <v>Amanda Barrett</v>
          </cell>
          <cell r="G4784" t="str">
            <v>Woolmer Hill Technology College</v>
          </cell>
          <cell r="H4784" t="str">
            <v>South East</v>
          </cell>
          <cell r="I4784" t="str">
            <v>Woolmer Hill</v>
          </cell>
          <cell r="L4784" t="str">
            <v>Haslemere</v>
          </cell>
          <cell r="M4784" t="str">
            <v>Surrey</v>
          </cell>
          <cell r="N4784" t="str">
            <v>GU27 1QB</v>
          </cell>
          <cell r="O4784" t="str">
            <v>head@woolmerhill.surrey.sch.uk</v>
          </cell>
          <cell r="P4784">
            <v>40633</v>
          </cell>
        </row>
        <row r="4785">
          <cell r="A4785">
            <v>8553018</v>
          </cell>
          <cell r="B4785">
            <v>120121</v>
          </cell>
          <cell r="C4785">
            <v>855</v>
          </cell>
          <cell r="D4785" t="str">
            <v>Leicestershire</v>
          </cell>
          <cell r="E4785">
            <v>3018</v>
          </cell>
          <cell r="F4785" t="str">
            <v>Sue Harp</v>
          </cell>
          <cell r="G4785" t="str">
            <v>Burbage Church of England Infant School</v>
          </cell>
          <cell r="H4785" t="str">
            <v>East Midlands</v>
          </cell>
          <cell r="I4785" t="str">
            <v>Grove Road</v>
          </cell>
          <cell r="J4785" t="str">
            <v>Burbage</v>
          </cell>
          <cell r="L4785" t="str">
            <v>Hinckley</v>
          </cell>
          <cell r="M4785" t="str">
            <v>Leicestershire</v>
          </cell>
          <cell r="N4785" t="str">
            <v>LE10 2AE</v>
          </cell>
          <cell r="O4785" t="str">
            <v>karen.allen@burbage-inf.leics.sch.uk</v>
          </cell>
        </row>
        <row r="4786">
          <cell r="A4786">
            <v>8702254</v>
          </cell>
          <cell r="B4786">
            <v>132109</v>
          </cell>
          <cell r="C4786">
            <v>870</v>
          </cell>
          <cell r="D4786" t="str">
            <v>Reading</v>
          </cell>
          <cell r="E4786">
            <v>2254</v>
          </cell>
          <cell r="F4786" t="str">
            <v>Darren Francis</v>
          </cell>
          <cell r="G4786" t="str">
            <v>New Christ Church Church of England (VA) Primary School</v>
          </cell>
          <cell r="H4786" t="str">
            <v>South East</v>
          </cell>
          <cell r="I4786" t="str">
            <v>Milman Road</v>
          </cell>
          <cell r="L4786" t="str">
            <v>Reading</v>
          </cell>
          <cell r="M4786" t="str">
            <v>Berkshire</v>
          </cell>
          <cell r="N4786" t="str">
            <v>RG2 0AY</v>
          </cell>
          <cell r="O4786" t="str">
            <v>head.newchristchurch@reading.gov.uk</v>
          </cell>
        </row>
        <row r="4787">
          <cell r="A4787">
            <v>8133323</v>
          </cell>
          <cell r="B4787">
            <v>118039</v>
          </cell>
          <cell r="C4787">
            <v>813</v>
          </cell>
          <cell r="D4787" t="str">
            <v>North Lincolnshire</v>
          </cell>
          <cell r="E4787">
            <v>3323</v>
          </cell>
          <cell r="F4787" t="str">
            <v>Nick Monton</v>
          </cell>
          <cell r="G4787" t="str">
            <v>St Mary's Catholic Primary School</v>
          </cell>
          <cell r="H4787" t="str">
            <v>Yorkshire and the Humber</v>
          </cell>
          <cell r="I4787" t="str">
            <v>Grammar School Road</v>
          </cell>
          <cell r="L4787" t="str">
            <v>Brigg</v>
          </cell>
          <cell r="M4787" t="str">
            <v>Lincolnshire</v>
          </cell>
          <cell r="N4787" t="str">
            <v>DN20 8BB</v>
          </cell>
          <cell r="O4787" t="str">
            <v>head.briggstmarys@northlincs.gov.uk</v>
          </cell>
          <cell r="P4787">
            <v>40883</v>
          </cell>
        </row>
        <row r="4788">
          <cell r="A4788">
            <v>3702140</v>
          </cell>
          <cell r="B4788">
            <v>131160</v>
          </cell>
          <cell r="C4788">
            <v>370</v>
          </cell>
          <cell r="D4788" t="str">
            <v>Barnsley</v>
          </cell>
          <cell r="E4788">
            <v>2140</v>
          </cell>
          <cell r="F4788" t="str">
            <v>Lisa Sargeant</v>
          </cell>
          <cell r="G4788" t="str">
            <v>Athersley South Primary School</v>
          </cell>
          <cell r="H4788" t="str">
            <v>Yorkshire and the Humber</v>
          </cell>
          <cell r="I4788" t="str">
            <v>Wakefield Road</v>
          </cell>
          <cell r="J4788" t="str">
            <v>Smithies</v>
          </cell>
          <cell r="L4788" t="str">
            <v>Barnsley</v>
          </cell>
          <cell r="M4788" t="str">
            <v>South Yorkshire</v>
          </cell>
          <cell r="N4788" t="str">
            <v>S71 3TP</v>
          </cell>
          <cell r="O4788" t="str">
            <v>steve.iredale@barnsley.org</v>
          </cell>
        </row>
        <row r="4789">
          <cell r="A4789">
            <v>3305402</v>
          </cell>
          <cell r="B4789">
            <v>103549</v>
          </cell>
          <cell r="C4789">
            <v>330</v>
          </cell>
          <cell r="D4789" t="str">
            <v>Birmingham</v>
          </cell>
          <cell r="E4789">
            <v>5402</v>
          </cell>
          <cell r="F4789" t="str">
            <v>Hannah Copp</v>
          </cell>
          <cell r="G4789" t="str">
            <v>Handsworth Grammar School</v>
          </cell>
          <cell r="H4789" t="str">
            <v>West Midlands</v>
          </cell>
          <cell r="I4789" t="str">
            <v>Grove Lane</v>
          </cell>
          <cell r="J4789" t="str">
            <v>Handsworth</v>
          </cell>
          <cell r="L4789" t="str">
            <v>Birmingham</v>
          </cell>
          <cell r="M4789" t="str">
            <v>West Midlands</v>
          </cell>
          <cell r="N4789" t="str">
            <v>B21 9ET</v>
          </cell>
          <cell r="O4789" t="str">
            <v>richard.shephard@handsworth.bham.sch.uk</v>
          </cell>
        </row>
        <row r="4790">
          <cell r="A4790">
            <v>8862603</v>
          </cell>
          <cell r="B4790">
            <v>118534</v>
          </cell>
          <cell r="C4790">
            <v>886</v>
          </cell>
          <cell r="D4790" t="str">
            <v>Kent</v>
          </cell>
          <cell r="E4790">
            <v>2603</v>
          </cell>
          <cell r="F4790" t="str">
            <v>Maryam Jabbari</v>
          </cell>
          <cell r="G4790" t="str">
            <v>Bromstone Primary School, Broadstairs</v>
          </cell>
          <cell r="H4790" t="str">
            <v>South East</v>
          </cell>
          <cell r="I4790" t="str">
            <v>Rumfields Road</v>
          </cell>
          <cell r="L4790" t="str">
            <v>Broadstairs</v>
          </cell>
          <cell r="M4790" t="str">
            <v>Kent</v>
          </cell>
          <cell r="N4790" t="str">
            <v>CT10 2PW</v>
          </cell>
          <cell r="O4790" t="str">
            <v>headteacher@bromstone.kent.sch.uk</v>
          </cell>
          <cell r="P4790">
            <v>41233</v>
          </cell>
        </row>
        <row r="4791">
          <cell r="A4791">
            <v>3325405</v>
          </cell>
          <cell r="B4791">
            <v>103875</v>
          </cell>
          <cell r="C4791">
            <v>332</v>
          </cell>
          <cell r="D4791" t="str">
            <v>Dudley</v>
          </cell>
          <cell r="E4791">
            <v>5405</v>
          </cell>
          <cell r="F4791" t="str">
            <v>Christine West</v>
          </cell>
          <cell r="G4791" t="str">
            <v>Holly Hall Maths and Computing College</v>
          </cell>
          <cell r="H4791" t="str">
            <v>West Midlands</v>
          </cell>
          <cell r="I4791" t="str">
            <v>Scotts Green Close</v>
          </cell>
          <cell r="J4791" t="str">
            <v>Russells Hall Estate</v>
          </cell>
          <cell r="L4791" t="str">
            <v>Dudley</v>
          </cell>
          <cell r="M4791" t="str">
            <v>West Midlands</v>
          </cell>
          <cell r="N4791" t="str">
            <v>DY1 2DU</v>
          </cell>
          <cell r="O4791" t="str">
            <v>glloyd@holly-hall.dudley.sch.uk</v>
          </cell>
          <cell r="P4791">
            <v>40613</v>
          </cell>
        </row>
        <row r="4792">
          <cell r="A4792">
            <v>2085400</v>
          </cell>
          <cell r="B4792">
            <v>100637</v>
          </cell>
          <cell r="C4792">
            <v>208</v>
          </cell>
          <cell r="D4792" t="str">
            <v>Lambeth</v>
          </cell>
          <cell r="E4792">
            <v>5400</v>
          </cell>
          <cell r="F4792" t="str">
            <v>Suzanne Farrell</v>
          </cell>
          <cell r="G4792" t="str">
            <v>La Retraite RC Girls' School</v>
          </cell>
          <cell r="H4792" t="str">
            <v>London</v>
          </cell>
          <cell r="I4792" t="str">
            <v>Atkins Road</v>
          </cell>
          <cell r="L4792" t="str">
            <v>London</v>
          </cell>
          <cell r="N4792" t="str">
            <v>SW12 0AB</v>
          </cell>
          <cell r="O4792" t="str">
            <v>s.powell@laretraite.lambeth.sch.uk</v>
          </cell>
        </row>
        <row r="4793">
          <cell r="A4793">
            <v>3154701</v>
          </cell>
          <cell r="B4793">
            <v>102681</v>
          </cell>
          <cell r="C4793">
            <v>315</v>
          </cell>
          <cell r="D4793" t="str">
            <v>Merton</v>
          </cell>
          <cell r="E4793">
            <v>4701</v>
          </cell>
          <cell r="F4793" t="str">
            <v>Tahir Shams</v>
          </cell>
          <cell r="G4793" t="str">
            <v>Wimbledon College</v>
          </cell>
          <cell r="H4793" t="str">
            <v>London</v>
          </cell>
          <cell r="I4793" t="str">
            <v>Edge Hill</v>
          </cell>
          <cell r="L4793" t="str">
            <v>London</v>
          </cell>
          <cell r="N4793" t="str">
            <v>SW19 4NS</v>
          </cell>
          <cell r="O4793" t="str">
            <v>headmaster@wimbledoncollege.org.uk</v>
          </cell>
        </row>
        <row r="4794">
          <cell r="A4794">
            <v>3363008</v>
          </cell>
          <cell r="B4794">
            <v>104359</v>
          </cell>
          <cell r="C4794">
            <v>336</v>
          </cell>
          <cell r="D4794" t="str">
            <v>Wolverhampton</v>
          </cell>
          <cell r="E4794">
            <v>3008</v>
          </cell>
          <cell r="F4794" t="str">
            <v>Stephen Bagnall</v>
          </cell>
          <cell r="G4794" t="str">
            <v>St Bartholomew's Church of England Primary School</v>
          </cell>
          <cell r="H4794" t="str">
            <v>West Midlands</v>
          </cell>
          <cell r="I4794" t="str">
            <v>Sedgley Road</v>
          </cell>
          <cell r="J4794" t="str">
            <v>Penn</v>
          </cell>
          <cell r="L4794" t="str">
            <v>Wolverhampton</v>
          </cell>
          <cell r="M4794" t="str">
            <v>West Midlands</v>
          </cell>
          <cell r="N4794" t="str">
            <v>WV4 5LG</v>
          </cell>
          <cell r="O4794" t="str">
            <v>k.kent@wolverhamptoncyp.org.uk</v>
          </cell>
        </row>
        <row r="4795">
          <cell r="A4795">
            <v>9373047</v>
          </cell>
          <cell r="B4795">
            <v>125643</v>
          </cell>
          <cell r="C4795">
            <v>937</v>
          </cell>
          <cell r="D4795" t="str">
            <v>Warwickshire</v>
          </cell>
          <cell r="E4795">
            <v>3047</v>
          </cell>
          <cell r="F4795" t="str">
            <v>Liz Robinson</v>
          </cell>
          <cell r="G4795" t="str">
            <v>Newton Regis CofE Primary School</v>
          </cell>
          <cell r="H4795" t="str">
            <v>West Midlands</v>
          </cell>
          <cell r="I4795" t="str">
            <v>Austrey Lane</v>
          </cell>
          <cell r="J4795" t="str">
            <v>Newton Regis</v>
          </cell>
          <cell r="L4795" t="str">
            <v>Tamworth</v>
          </cell>
          <cell r="M4795" t="str">
            <v>Staffordshire</v>
          </cell>
          <cell r="N4795" t="str">
            <v>B79 0NL</v>
          </cell>
          <cell r="O4795" t="str">
            <v>head3047@we-learn.com</v>
          </cell>
          <cell r="P4795">
            <v>41199</v>
          </cell>
        </row>
        <row r="4796">
          <cell r="A4796">
            <v>9282081</v>
          </cell>
          <cell r="B4796">
            <v>121856</v>
          </cell>
          <cell r="C4796">
            <v>928</v>
          </cell>
          <cell r="D4796" t="str">
            <v>Northamptonshire</v>
          </cell>
          <cell r="E4796">
            <v>2081</v>
          </cell>
          <cell r="F4796" t="str">
            <v>Sue Harp</v>
          </cell>
          <cell r="G4796" t="str">
            <v>Rothwell Victoria Infant School</v>
          </cell>
          <cell r="H4796" t="str">
            <v>East Midlands</v>
          </cell>
          <cell r="I4796" t="str">
            <v>School Lane</v>
          </cell>
          <cell r="J4796" t="str">
            <v>Rothwell</v>
          </cell>
          <cell r="L4796" t="str">
            <v>Kettering</v>
          </cell>
          <cell r="M4796" t="str">
            <v>Northamptonshire</v>
          </cell>
          <cell r="N4796" t="str">
            <v>NN14 6HZ</v>
          </cell>
          <cell r="O4796" t="str">
            <v>head@rothwell-jun.northants-ecl.gov.uk</v>
          </cell>
        </row>
        <row r="4797">
          <cell r="A4797">
            <v>8553007</v>
          </cell>
          <cell r="B4797">
            <v>120111</v>
          </cell>
          <cell r="C4797">
            <v>855</v>
          </cell>
          <cell r="D4797" t="str">
            <v>Leicestershire</v>
          </cell>
          <cell r="E4797">
            <v>3007</v>
          </cell>
          <cell r="F4797" t="str">
            <v>Sue Harp</v>
          </cell>
          <cell r="G4797" t="str">
            <v>Barlestone Church of England Primary School</v>
          </cell>
          <cell r="H4797" t="str">
            <v>East Midlands</v>
          </cell>
          <cell r="I4797" t="str">
            <v>Barton Road</v>
          </cell>
          <cell r="J4797" t="str">
            <v>Barlestone</v>
          </cell>
          <cell r="L4797" t="str">
            <v>Nuneaton</v>
          </cell>
          <cell r="M4797" t="str">
            <v>Warwickshire</v>
          </cell>
          <cell r="N4797" t="str">
            <v>CV13 0EP</v>
          </cell>
          <cell r="O4797" t="str">
            <v>barbra.hewitt@barlestone.leics.sch.uk</v>
          </cell>
        </row>
        <row r="4798">
          <cell r="A4798">
            <v>3023516</v>
          </cell>
          <cell r="B4798">
            <v>130998</v>
          </cell>
          <cell r="C4798">
            <v>302</v>
          </cell>
          <cell r="D4798" t="str">
            <v>Barnet</v>
          </cell>
          <cell r="E4798">
            <v>3516</v>
          </cell>
          <cell r="F4798" t="str">
            <v>Bola Bakrin</v>
          </cell>
          <cell r="G4798" t="str">
            <v>Hasmonean Primary School</v>
          </cell>
          <cell r="H4798" t="str">
            <v>London</v>
          </cell>
          <cell r="I4798" t="str">
            <v>8-10 Shirehall Lane</v>
          </cell>
          <cell r="J4798" t="str">
            <v>Hendon</v>
          </cell>
          <cell r="L4798" t="str">
            <v>London</v>
          </cell>
          <cell r="N4798" t="str">
            <v>NW4 2PD</v>
          </cell>
          <cell r="O4798" t="str">
            <v>boydenhb@yahoo.co.uk</v>
          </cell>
        </row>
        <row r="4799">
          <cell r="A4799">
            <v>9283511</v>
          </cell>
          <cell r="B4799">
            <v>135063</v>
          </cell>
          <cell r="C4799">
            <v>928</v>
          </cell>
          <cell r="D4799" t="str">
            <v>Northamptonshire</v>
          </cell>
          <cell r="E4799">
            <v>3511</v>
          </cell>
          <cell r="F4799" t="str">
            <v>Stephen Standret</v>
          </cell>
          <cell r="G4799" t="str">
            <v>Hackleton CofE Primary School</v>
          </cell>
          <cell r="H4799" t="str">
            <v>East Midlands</v>
          </cell>
          <cell r="I4799" t="str">
            <v>Main Road</v>
          </cell>
          <cell r="K4799" t="str">
            <v>Hackleton</v>
          </cell>
          <cell r="L4799" t="str">
            <v>Northampton</v>
          </cell>
          <cell r="M4799" t="str">
            <v>Northamptonshire</v>
          </cell>
          <cell r="N4799" t="str">
            <v>NN7 2AB</v>
          </cell>
          <cell r="O4799" t="str">
            <v>head@hackleton.northants-ecl.gov.uk</v>
          </cell>
          <cell r="P4799">
            <v>40893</v>
          </cell>
        </row>
        <row r="4800">
          <cell r="A4800">
            <v>3194019</v>
          </cell>
          <cell r="B4800">
            <v>131104</v>
          </cell>
          <cell r="C4800">
            <v>319</v>
          </cell>
          <cell r="D4800" t="str">
            <v>Sutton</v>
          </cell>
          <cell r="E4800">
            <v>4019</v>
          </cell>
          <cell r="F4800" t="str">
            <v>Bola Bakrin</v>
          </cell>
          <cell r="G4800" t="str">
            <v>Overton Grange School</v>
          </cell>
          <cell r="H4800" t="str">
            <v>London</v>
          </cell>
          <cell r="I4800" t="str">
            <v>36 Stanley Road</v>
          </cell>
          <cell r="L4800" t="str">
            <v>Sutton</v>
          </cell>
          <cell r="M4800" t="str">
            <v>Surrey</v>
          </cell>
          <cell r="N4800" t="str">
            <v>SM2 6TQ</v>
          </cell>
          <cell r="O4800" t="str">
            <v>pbutterworth@suttonlea.org</v>
          </cell>
          <cell r="P4800">
            <v>40634</v>
          </cell>
        </row>
        <row r="4801">
          <cell r="A4801">
            <v>8884178</v>
          </cell>
          <cell r="B4801">
            <v>119752</v>
          </cell>
          <cell r="C4801">
            <v>888</v>
          </cell>
          <cell r="D4801" t="str">
            <v>Lancashire</v>
          </cell>
          <cell r="E4801">
            <v>4178</v>
          </cell>
          <cell r="F4801" t="str">
            <v>Linda Tiley</v>
          </cell>
          <cell r="G4801" t="str">
            <v>Tarleton High School, A Community Technology College</v>
          </cell>
          <cell r="H4801" t="str">
            <v>North West</v>
          </cell>
          <cell r="I4801" t="str">
            <v>Hesketh Lane</v>
          </cell>
          <cell r="J4801" t="str">
            <v>Tarleton</v>
          </cell>
          <cell r="L4801" t="str">
            <v>Preston</v>
          </cell>
          <cell r="M4801" t="str">
            <v>Lancashire</v>
          </cell>
          <cell r="N4801" t="str">
            <v>PR4 6AQ</v>
          </cell>
          <cell r="O4801" t="str">
            <v>bursar@tarletonhigh.lancs.sch.uk</v>
          </cell>
          <cell r="P4801">
            <v>40749</v>
          </cell>
        </row>
        <row r="4802">
          <cell r="A4802">
            <v>3302229</v>
          </cell>
          <cell r="B4802">
            <v>103282</v>
          </cell>
          <cell r="C4802">
            <v>330</v>
          </cell>
          <cell r="D4802" t="str">
            <v>Birmingham</v>
          </cell>
          <cell r="E4802">
            <v>2229</v>
          </cell>
          <cell r="F4802" t="str">
            <v>Alison Middleton</v>
          </cell>
          <cell r="G4802" t="str">
            <v>Yarnfield Primary School</v>
          </cell>
          <cell r="H4802" t="str">
            <v>West Midlands</v>
          </cell>
          <cell r="I4802" t="str">
            <v>Yarnfield Road</v>
          </cell>
          <cell r="J4802" t="str">
            <v>Tyseley</v>
          </cell>
          <cell r="L4802" t="str">
            <v>Birmingham</v>
          </cell>
          <cell r="M4802" t="str">
            <v>West Midlands</v>
          </cell>
          <cell r="N4802" t="str">
            <v>B11 3PJ</v>
          </cell>
          <cell r="O4802" t="str">
            <v>enquiry@yarnfld.bham.sch.uk</v>
          </cell>
        </row>
        <row r="4803">
          <cell r="A4803">
            <v>9362436</v>
          </cell>
          <cell r="B4803">
            <v>125061</v>
          </cell>
          <cell r="C4803">
            <v>936</v>
          </cell>
          <cell r="D4803" t="str">
            <v>Surrey</v>
          </cell>
          <cell r="E4803">
            <v>2436</v>
          </cell>
          <cell r="F4803" t="str">
            <v>Gabriela Grimley</v>
          </cell>
          <cell r="G4803" t="str">
            <v>Ravenscote Community Junior School</v>
          </cell>
          <cell r="H4803" t="str">
            <v>South East</v>
          </cell>
          <cell r="I4803" t="str">
            <v>Old Bisley Road</v>
          </cell>
          <cell r="J4803" t="str">
            <v>Frimley</v>
          </cell>
          <cell r="L4803" t="str">
            <v>Camberley</v>
          </cell>
          <cell r="M4803" t="str">
            <v>Surrey</v>
          </cell>
          <cell r="N4803" t="str">
            <v>GU16 9RE</v>
          </cell>
          <cell r="O4803" t="str">
            <v>head@ravenscote.surrey.sch.uk</v>
          </cell>
        </row>
        <row r="4804">
          <cell r="A4804">
            <v>8222135</v>
          </cell>
          <cell r="B4804">
            <v>109486</v>
          </cell>
          <cell r="C4804">
            <v>822</v>
          </cell>
          <cell r="D4804" t="str">
            <v>Bedford</v>
          </cell>
          <cell r="E4804">
            <v>2135</v>
          </cell>
          <cell r="F4804" t="str">
            <v>Valerie Manning</v>
          </cell>
          <cell r="G4804" t="str">
            <v>Thurleigh Lower School</v>
          </cell>
          <cell r="H4804" t="str">
            <v>East of England</v>
          </cell>
          <cell r="I4804" t="str">
            <v>High Street</v>
          </cell>
          <cell r="J4804" t="str">
            <v>Thurleigh</v>
          </cell>
          <cell r="L4804" t="str">
            <v>Bedford</v>
          </cell>
          <cell r="M4804" t="str">
            <v>Bedfordshire</v>
          </cell>
          <cell r="N4804" t="str">
            <v>MK44 2DB</v>
          </cell>
          <cell r="O4804" t="str">
            <v>chair@kymbrook.beds.sch.uk</v>
          </cell>
        </row>
        <row r="4805">
          <cell r="A4805">
            <v>8842160</v>
          </cell>
          <cell r="B4805">
            <v>116748</v>
          </cell>
          <cell r="C4805">
            <v>884</v>
          </cell>
          <cell r="D4805" t="str">
            <v>Herefordshire</v>
          </cell>
          <cell r="E4805">
            <v>2160</v>
          </cell>
          <cell r="F4805" t="str">
            <v>Christine West</v>
          </cell>
          <cell r="G4805" t="str">
            <v>Withington Primary School</v>
          </cell>
          <cell r="H4805" t="str">
            <v>West Midlands</v>
          </cell>
          <cell r="I4805" t="str">
            <v>Lock Road</v>
          </cell>
          <cell r="J4805" t="str">
            <v>Withington</v>
          </cell>
          <cell r="L4805" t="str">
            <v>Hereford</v>
          </cell>
          <cell r="M4805" t="str">
            <v>Herefordshire</v>
          </cell>
          <cell r="N4805" t="str">
            <v>HR1 3QE</v>
          </cell>
          <cell r="O4805" t="str">
            <v>swoodrow@aylestone.hereford.sch.uk</v>
          </cell>
          <cell r="P4805">
            <v>41074</v>
          </cell>
        </row>
        <row r="4806">
          <cell r="A4806">
            <v>8012061</v>
          </cell>
          <cell r="B4806">
            <v>108951</v>
          </cell>
          <cell r="C4806">
            <v>801</v>
          </cell>
          <cell r="D4806" t="str">
            <v>Bristol City of</v>
          </cell>
          <cell r="E4806">
            <v>2061</v>
          </cell>
          <cell r="F4806" t="str">
            <v>Lilian Da Cunha</v>
          </cell>
          <cell r="G4806" t="str">
            <v>Parson Street Primary School</v>
          </cell>
          <cell r="H4806" t="str">
            <v>South West</v>
          </cell>
          <cell r="I4806" t="str">
            <v>Bedminster Road</v>
          </cell>
          <cell r="J4806" t="str">
            <v>Bedminster</v>
          </cell>
          <cell r="L4806" t="str">
            <v>Bristol</v>
          </cell>
          <cell r="N4806" t="str">
            <v>BS3 5NR</v>
          </cell>
          <cell r="O4806" t="str">
            <v>mark.lacey@bristol.gov.uk</v>
          </cell>
          <cell r="P4806">
            <v>40994</v>
          </cell>
        </row>
        <row r="4807">
          <cell r="A4807">
            <v>8782603</v>
          </cell>
          <cell r="B4807">
            <v>113249</v>
          </cell>
          <cell r="C4807">
            <v>878</v>
          </cell>
          <cell r="D4807" t="str">
            <v>Devon</v>
          </cell>
          <cell r="E4807">
            <v>2603</v>
          </cell>
          <cell r="F4807" t="str">
            <v>Not yet assigned</v>
          </cell>
          <cell r="G4807" t="str">
            <v>Ermington Primary School</v>
          </cell>
          <cell r="H4807" t="str">
            <v>South West</v>
          </cell>
          <cell r="I4807" t="str">
            <v>School Road</v>
          </cell>
          <cell r="J4807" t="str">
            <v>Ermington</v>
          </cell>
          <cell r="L4807" t="str">
            <v>Ivybridge</v>
          </cell>
          <cell r="M4807" t="str">
            <v>Devon</v>
          </cell>
          <cell r="N4807" t="str">
            <v>PL21 9NH</v>
          </cell>
          <cell r="O4807" t="str">
            <v>head@ermington.devon.sch.uk</v>
          </cell>
        </row>
        <row r="4808">
          <cell r="A4808">
            <v>9287017</v>
          </cell>
          <cell r="B4808">
            <v>122161</v>
          </cell>
          <cell r="C4808">
            <v>928</v>
          </cell>
          <cell r="D4808" t="str">
            <v>Northamptonshire</v>
          </cell>
          <cell r="E4808">
            <v>7017</v>
          </cell>
          <cell r="F4808" t="str">
            <v>Jamie Kelly</v>
          </cell>
          <cell r="G4808" t="str">
            <v>Northgate School Arts College</v>
          </cell>
          <cell r="H4808" t="str">
            <v>East Midlands</v>
          </cell>
          <cell r="I4808" t="str">
            <v>Queen's Park Parade</v>
          </cell>
          <cell r="J4808" t="str">
            <v>Kingsthorpe</v>
          </cell>
          <cell r="L4808" t="str">
            <v>Northampton</v>
          </cell>
          <cell r="M4808" t="str">
            <v>Northamptonshire</v>
          </cell>
          <cell r="N4808" t="str">
            <v>NN2 6LR</v>
          </cell>
          <cell r="O4808" t="str">
            <v>head@northgate.northants-ecl.gov.uk</v>
          </cell>
          <cell r="P4808">
            <v>40612</v>
          </cell>
        </row>
        <row r="4809">
          <cell r="A4809">
            <v>9267013</v>
          </cell>
          <cell r="B4809">
            <v>121261</v>
          </cell>
          <cell r="C4809">
            <v>926</v>
          </cell>
          <cell r="D4809" t="str">
            <v>Norfolk</v>
          </cell>
          <cell r="E4809">
            <v>7013</v>
          </cell>
          <cell r="F4809" t="str">
            <v>Not yet assigned</v>
          </cell>
          <cell r="G4809" t="str">
            <v>The Clare School</v>
          </cell>
          <cell r="H4809" t="str">
            <v>East of England</v>
          </cell>
          <cell r="I4809" t="str">
            <v>South Park Avenue</v>
          </cell>
          <cell r="L4809" t="str">
            <v>Norwich</v>
          </cell>
          <cell r="M4809" t="str">
            <v>Norfolk</v>
          </cell>
          <cell r="N4809" t="str">
            <v>NR4 7AU</v>
          </cell>
          <cell r="O4809" t="str">
            <v>office@clare.norfolk.sch.uk</v>
          </cell>
        </row>
        <row r="4810">
          <cell r="A4810">
            <v>8783303</v>
          </cell>
          <cell r="B4810">
            <v>113424</v>
          </cell>
          <cell r="C4810">
            <v>878</v>
          </cell>
          <cell r="D4810" t="str">
            <v>Devon</v>
          </cell>
          <cell r="E4810">
            <v>3303</v>
          </cell>
          <cell r="F4810" t="str">
            <v>Nigel Hutchins</v>
          </cell>
          <cell r="G4810" t="str">
            <v>Beer C of E Primary School</v>
          </cell>
          <cell r="H4810" t="str">
            <v>South West</v>
          </cell>
          <cell r="I4810" t="str">
            <v>Mare Lane</v>
          </cell>
          <cell r="J4810" t="str">
            <v>Beer</v>
          </cell>
          <cell r="L4810" t="str">
            <v>Seaton</v>
          </cell>
          <cell r="M4810" t="str">
            <v>Devon</v>
          </cell>
          <cell r="N4810" t="str">
            <v>EX12 3NB</v>
          </cell>
          <cell r="O4810" t="str">
            <v>head@beer-ce-primary.devon.sch.uk</v>
          </cell>
        </row>
        <row r="4811">
          <cell r="A4811">
            <v>9293447</v>
          </cell>
          <cell r="B4811">
            <v>122294</v>
          </cell>
          <cell r="C4811">
            <v>929</v>
          </cell>
          <cell r="D4811" t="str">
            <v>Northumberland</v>
          </cell>
          <cell r="E4811">
            <v>3447</v>
          </cell>
          <cell r="F4811" t="str">
            <v>Lisa Sargeant</v>
          </cell>
          <cell r="G4811" t="str">
            <v>Holy Island Church of England First School</v>
          </cell>
          <cell r="H4811" t="str">
            <v>North East</v>
          </cell>
          <cell r="I4811" t="str">
            <v>30 Main Street</v>
          </cell>
          <cell r="J4811" t="str">
            <v>Lowick</v>
          </cell>
          <cell r="L4811" t="str">
            <v>Berwick-upon-Tweed</v>
          </cell>
          <cell r="M4811" t="str">
            <v>Northumberland</v>
          </cell>
          <cell r="N4811" t="str">
            <v>TD15 2UA</v>
          </cell>
          <cell r="O4811" t="str">
            <v>Admin@lowick.northumberland.sch.uk</v>
          </cell>
        </row>
        <row r="4812">
          <cell r="A4812">
            <v>8914117</v>
          </cell>
          <cell r="B4812">
            <v>122851</v>
          </cell>
          <cell r="C4812">
            <v>891</v>
          </cell>
          <cell r="D4812" t="str">
            <v>Nottinghamshire</v>
          </cell>
          <cell r="E4812">
            <v>4117</v>
          </cell>
          <cell r="F4812" t="str">
            <v>Stephen Standret</v>
          </cell>
          <cell r="G4812" t="str">
            <v>Alderman White School and Language College</v>
          </cell>
          <cell r="H4812" t="str">
            <v>East Midlands</v>
          </cell>
          <cell r="I4812" t="str">
            <v>Chilwell Lane</v>
          </cell>
          <cell r="J4812" t="str">
            <v>Bramcote</v>
          </cell>
          <cell r="L4812" t="str">
            <v>Nottingham</v>
          </cell>
          <cell r="M4812" t="str">
            <v>Nottinghamshire</v>
          </cell>
          <cell r="N4812" t="str">
            <v>NG9 3DU</v>
          </cell>
          <cell r="O4812" t="str">
            <v>kdean@whpfederation.org</v>
          </cell>
          <cell r="P4812">
            <v>40990</v>
          </cell>
        </row>
        <row r="4813">
          <cell r="A4813">
            <v>8554051</v>
          </cell>
          <cell r="B4813">
            <v>120269</v>
          </cell>
          <cell r="C4813">
            <v>855</v>
          </cell>
          <cell r="D4813" t="str">
            <v>Leicestershire</v>
          </cell>
          <cell r="E4813">
            <v>4051</v>
          </cell>
          <cell r="F4813" t="str">
            <v>Pauline Cole</v>
          </cell>
          <cell r="G4813" t="str">
            <v>Brookvale High School Groby</v>
          </cell>
          <cell r="H4813" t="str">
            <v>East Midlands</v>
          </cell>
          <cell r="I4813" t="str">
            <v>Ratby Road</v>
          </cell>
          <cell r="J4813" t="str">
            <v>Groby</v>
          </cell>
          <cell r="L4813" t="str">
            <v>Leicester</v>
          </cell>
          <cell r="M4813" t="str">
            <v>Leicestershire</v>
          </cell>
          <cell r="N4813" t="str">
            <v>LE6 0GF</v>
          </cell>
          <cell r="P4813">
            <v>40941</v>
          </cell>
        </row>
        <row r="4814">
          <cell r="A4814">
            <v>9194200</v>
          </cell>
          <cell r="B4814">
            <v>117549</v>
          </cell>
          <cell r="C4814">
            <v>919</v>
          </cell>
          <cell r="D4814" t="str">
            <v>Hertfordshire</v>
          </cell>
          <cell r="E4814">
            <v>4200</v>
          </cell>
          <cell r="F4814" t="str">
            <v>Kish Chetty</v>
          </cell>
          <cell r="G4814" t="str">
            <v>Birchwood High School</v>
          </cell>
          <cell r="H4814" t="str">
            <v>East of England</v>
          </cell>
          <cell r="I4814" t="str">
            <v>Parsonage Lane</v>
          </cell>
          <cell r="L4814" t="str">
            <v>Bishop's Stortford</v>
          </cell>
          <cell r="M4814" t="str">
            <v>Hertfordshire</v>
          </cell>
          <cell r="N4814" t="str">
            <v>CM23 5BD</v>
          </cell>
          <cell r="O4814" t="str">
            <v>cingate@birchwoodhigh.org.uk</v>
          </cell>
          <cell r="P4814">
            <v>40688</v>
          </cell>
        </row>
        <row r="4815">
          <cell r="A4815">
            <v>8404214</v>
          </cell>
          <cell r="B4815">
            <v>114313</v>
          </cell>
          <cell r="C4815">
            <v>840</v>
          </cell>
          <cell r="D4815" t="str">
            <v>Durham</v>
          </cell>
          <cell r="E4815">
            <v>4214</v>
          </cell>
          <cell r="F4815" t="str">
            <v>Alan Large</v>
          </cell>
          <cell r="G4815" t="str">
            <v>Dene Community School of Technology</v>
          </cell>
          <cell r="H4815" t="str">
            <v>North East</v>
          </cell>
          <cell r="I4815" t="str">
            <v>Manor Way</v>
          </cell>
          <cell r="L4815" t="str">
            <v>Peterlee</v>
          </cell>
          <cell r="M4815" t="str">
            <v>County Durham</v>
          </cell>
          <cell r="N4815" t="str">
            <v>SR8 5RL</v>
          </cell>
          <cell r="O4815" t="str">
            <v>george.harris@denecst.org.uk</v>
          </cell>
          <cell r="P4815">
            <v>41068</v>
          </cell>
        </row>
        <row r="4816">
          <cell r="A4816">
            <v>3732345</v>
          </cell>
          <cell r="B4816">
            <v>107088</v>
          </cell>
          <cell r="C4816">
            <v>373</v>
          </cell>
          <cell r="D4816" t="str">
            <v>Sheffield</v>
          </cell>
          <cell r="E4816">
            <v>2345</v>
          </cell>
          <cell r="F4816" t="str">
            <v>Bev Annables</v>
          </cell>
          <cell r="G4816" t="str">
            <v>Mansel Primary School</v>
          </cell>
          <cell r="H4816" t="str">
            <v>Yorkshire and the Humber</v>
          </cell>
          <cell r="I4816" t="str">
            <v>Mansel Crescent</v>
          </cell>
          <cell r="L4816" t="str">
            <v>Sheffield</v>
          </cell>
          <cell r="M4816" t="str">
            <v>South Yorkshire</v>
          </cell>
          <cell r="N4816" t="str">
            <v>S5 9QS</v>
          </cell>
        </row>
        <row r="4817">
          <cell r="A4817">
            <v>8912316</v>
          </cell>
          <cell r="B4817">
            <v>122554</v>
          </cell>
          <cell r="C4817">
            <v>891</v>
          </cell>
          <cell r="D4817" t="str">
            <v>Nottinghamshire</v>
          </cell>
          <cell r="E4817">
            <v>2316</v>
          </cell>
          <cell r="F4817" t="str">
            <v>Sue Harp</v>
          </cell>
          <cell r="G4817" t="str">
            <v>Toton Bispham Drive Junior School</v>
          </cell>
          <cell r="H4817" t="str">
            <v>East Midlands</v>
          </cell>
          <cell r="I4817" t="str">
            <v>Bispham Drive</v>
          </cell>
          <cell r="J4817" t="str">
            <v>Toton</v>
          </cell>
          <cell r="L4817" t="str">
            <v>Nottingham</v>
          </cell>
          <cell r="M4817" t="str">
            <v>Nottinghamshire</v>
          </cell>
          <cell r="N4817" t="str">
            <v>NG9 6GJ</v>
          </cell>
          <cell r="O4817" t="str">
            <v>head@bisphamdrive.notts.sch.uk</v>
          </cell>
        </row>
        <row r="4818">
          <cell r="A4818">
            <v>8912134</v>
          </cell>
          <cell r="B4818">
            <v>122467</v>
          </cell>
          <cell r="C4818">
            <v>891</v>
          </cell>
          <cell r="D4818" t="str">
            <v>Nottinghamshire</v>
          </cell>
          <cell r="E4818">
            <v>2134</v>
          </cell>
          <cell r="F4818" t="str">
            <v>Sue Harp</v>
          </cell>
          <cell r="G4818" t="str">
            <v>Leamington Primary and Nursery School</v>
          </cell>
          <cell r="H4818" t="str">
            <v>East Midlands</v>
          </cell>
          <cell r="I4818" t="str">
            <v>Clare Road</v>
          </cell>
          <cell r="L4818" t="str">
            <v>Sutton-in-Ashfield</v>
          </cell>
          <cell r="M4818" t="str">
            <v>Nottinghamshire</v>
          </cell>
          <cell r="N4818" t="str">
            <v>NG17 5BB</v>
          </cell>
          <cell r="O4818" t="str">
            <v>peterh@leamington.notts.sch.uk</v>
          </cell>
        </row>
        <row r="4819">
          <cell r="A4819">
            <v>8853041</v>
          </cell>
          <cell r="B4819">
            <v>116809</v>
          </cell>
          <cell r="C4819">
            <v>885</v>
          </cell>
          <cell r="D4819" t="str">
            <v>Worcestershire</v>
          </cell>
          <cell r="E4819">
            <v>3041</v>
          </cell>
          <cell r="F4819" t="str">
            <v>Alison Middleton</v>
          </cell>
          <cell r="G4819" t="str">
            <v>Bengeworth First School</v>
          </cell>
          <cell r="H4819" t="str">
            <v>West Midlands</v>
          </cell>
          <cell r="I4819" t="str">
            <v>Burford Road</v>
          </cell>
          <cell r="L4819" t="str">
            <v>Evesham</v>
          </cell>
          <cell r="M4819" t="str">
            <v>Worcestershire</v>
          </cell>
          <cell r="N4819" t="str">
            <v>WR11 3HB</v>
          </cell>
          <cell r="O4819" t="str">
            <v>head@bengeworth.worcs.sch.uk</v>
          </cell>
        </row>
        <row r="4820">
          <cell r="A4820">
            <v>9162091</v>
          </cell>
          <cell r="B4820">
            <v>115540</v>
          </cell>
          <cell r="C4820">
            <v>916</v>
          </cell>
          <cell r="D4820" t="str">
            <v>Gloucestershire</v>
          </cell>
          <cell r="E4820">
            <v>2091</v>
          </cell>
          <cell r="F4820" t="str">
            <v>Simon Foster</v>
          </cell>
          <cell r="G4820" t="str">
            <v>Stow-on-the-Wold Primary School</v>
          </cell>
          <cell r="H4820" t="str">
            <v>South West</v>
          </cell>
          <cell r="I4820" t="str">
            <v>St Edward's Drive</v>
          </cell>
          <cell r="J4820" t="str">
            <v>Stow-on-the-Wold</v>
          </cell>
          <cell r="L4820" t="str">
            <v>Cheltenham</v>
          </cell>
          <cell r="M4820" t="str">
            <v>Gloucestershire</v>
          </cell>
          <cell r="N4820" t="str">
            <v>GL54 1AW</v>
          </cell>
          <cell r="O4820" t="str">
            <v>d.scutt07@btinternet.com</v>
          </cell>
          <cell r="P4820">
            <v>40724</v>
          </cell>
        </row>
        <row r="4821">
          <cell r="A4821">
            <v>3364601</v>
          </cell>
          <cell r="B4821">
            <v>104399</v>
          </cell>
          <cell r="C4821">
            <v>336</v>
          </cell>
          <cell r="D4821" t="str">
            <v>Wolverhampton</v>
          </cell>
          <cell r="E4821">
            <v>4601</v>
          </cell>
          <cell r="F4821" t="str">
            <v>Hannah Copp</v>
          </cell>
          <cell r="G4821" t="str">
            <v>St Peter's Collegiate Church of England School</v>
          </cell>
          <cell r="H4821" t="str">
            <v>West Midlands</v>
          </cell>
          <cell r="I4821" t="str">
            <v>Compton Park</v>
          </cell>
          <cell r="J4821" t="str">
            <v>Compton Road West</v>
          </cell>
          <cell r="L4821" t="str">
            <v>Wolverhampton</v>
          </cell>
          <cell r="M4821" t="str">
            <v>West Midlands</v>
          </cell>
          <cell r="N4821" t="str">
            <v>WV3 9DU</v>
          </cell>
          <cell r="O4821" t="str">
            <v>arichards@speters.org.uk</v>
          </cell>
          <cell r="P4821">
            <v>41001</v>
          </cell>
        </row>
        <row r="4822">
          <cell r="A4822">
            <v>8553016</v>
          </cell>
          <cell r="B4822">
            <v>120119</v>
          </cell>
          <cell r="C4822">
            <v>855</v>
          </cell>
          <cell r="D4822" t="str">
            <v>Leicestershire</v>
          </cell>
          <cell r="E4822">
            <v>3016</v>
          </cell>
          <cell r="F4822" t="str">
            <v>Sue Harp</v>
          </cell>
          <cell r="G4822" t="str">
            <v>Breedon on the Hill St Hardulph's Church of England Primary School</v>
          </cell>
          <cell r="H4822" t="str">
            <v>East Midlands</v>
          </cell>
          <cell r="I4822" t="str">
            <v>Main Street</v>
          </cell>
          <cell r="J4822" t="str">
            <v>Breedon-on-the-Hill</v>
          </cell>
          <cell r="L4822" t="str">
            <v>Derby</v>
          </cell>
          <cell r="M4822" t="str">
            <v>Derbyshire</v>
          </cell>
          <cell r="N4822" t="str">
            <v>DE73 8AN</v>
          </cell>
          <cell r="O4822" t="str">
            <v>office@st-hardulphs.leics.sch.uk</v>
          </cell>
        </row>
        <row r="4823">
          <cell r="A4823">
            <v>3302054</v>
          </cell>
          <cell r="B4823">
            <v>103189</v>
          </cell>
          <cell r="C4823">
            <v>330</v>
          </cell>
          <cell r="D4823" t="str">
            <v>Birmingham</v>
          </cell>
          <cell r="E4823">
            <v>2054</v>
          </cell>
          <cell r="F4823" t="str">
            <v>Hannah Copp</v>
          </cell>
          <cell r="G4823" t="str">
            <v>Colmore Infant and Nursery School</v>
          </cell>
          <cell r="H4823" t="str">
            <v>West Midlands</v>
          </cell>
          <cell r="I4823" t="str">
            <v>Colmore Road</v>
          </cell>
          <cell r="L4823" t="str">
            <v>Birmingham</v>
          </cell>
          <cell r="M4823" t="str">
            <v>West Midlands</v>
          </cell>
          <cell r="N4823" t="str">
            <v>B14 6AJ</v>
          </cell>
          <cell r="O4823" t="str">
            <v>viv.randall@colmore-inf.bham.sch.uk</v>
          </cell>
        </row>
        <row r="4824">
          <cell r="A4824">
            <v>3522057</v>
          </cell>
          <cell r="B4824">
            <v>105403</v>
          </cell>
          <cell r="C4824">
            <v>352</v>
          </cell>
          <cell r="D4824" t="str">
            <v>Manchester</v>
          </cell>
          <cell r="E4824">
            <v>2057</v>
          </cell>
          <cell r="F4824" t="str">
            <v>Elaine Howard</v>
          </cell>
          <cell r="G4824" t="str">
            <v>Cavendish Primary School</v>
          </cell>
          <cell r="H4824" t="str">
            <v>North West</v>
          </cell>
          <cell r="I4824" t="str">
            <v>Cavendish Road</v>
          </cell>
          <cell r="J4824" t="str">
            <v>West Didsbury</v>
          </cell>
          <cell r="L4824" t="str">
            <v>Manchester</v>
          </cell>
          <cell r="M4824" t="str">
            <v>Greater Manchester</v>
          </cell>
          <cell r="N4824" t="str">
            <v>M20 1JG</v>
          </cell>
          <cell r="O4824" t="str">
            <v>head@cavendish.manchester.sch.uk</v>
          </cell>
        </row>
        <row r="4825">
          <cell r="A4825">
            <v>9265410</v>
          </cell>
          <cell r="B4825">
            <v>121218</v>
          </cell>
          <cell r="C4825">
            <v>926</v>
          </cell>
          <cell r="D4825" t="str">
            <v>Norfolk</v>
          </cell>
          <cell r="E4825">
            <v>5410</v>
          </cell>
          <cell r="F4825" t="str">
            <v>Stella Aina</v>
          </cell>
          <cell r="G4825" t="str">
            <v>Flegg High School</v>
          </cell>
          <cell r="H4825" t="str">
            <v>East of England</v>
          </cell>
          <cell r="I4825" t="str">
            <v>Somerton Road</v>
          </cell>
          <cell r="J4825" t="str">
            <v>Martham</v>
          </cell>
          <cell r="L4825" t="str">
            <v>Great Yarmouth</v>
          </cell>
          <cell r="M4825" t="str">
            <v>Norfolk</v>
          </cell>
          <cell r="N4825" t="str">
            <v>NR29 4QD</v>
          </cell>
          <cell r="O4825" t="str">
            <v>head@flegg.norfolk.sch.uk</v>
          </cell>
          <cell r="P4825">
            <v>40998</v>
          </cell>
        </row>
        <row r="4826">
          <cell r="A4826">
            <v>9313837</v>
          </cell>
          <cell r="B4826">
            <v>134033</v>
          </cell>
          <cell r="C4826">
            <v>931</v>
          </cell>
          <cell r="D4826" t="str">
            <v>Oxfordshire</v>
          </cell>
          <cell r="E4826">
            <v>3837</v>
          </cell>
          <cell r="F4826" t="str">
            <v>Bukky Sawyerr</v>
          </cell>
          <cell r="G4826" t="str">
            <v>Hanwell Fields Community School</v>
          </cell>
          <cell r="H4826" t="str">
            <v>South East</v>
          </cell>
          <cell r="I4826" t="str">
            <v>Rotary Way</v>
          </cell>
          <cell r="L4826" t="str">
            <v>Banbury</v>
          </cell>
          <cell r="M4826" t="str">
            <v>Oxfordshire</v>
          </cell>
          <cell r="N4826" t="str">
            <v>OX16 1ER</v>
          </cell>
          <cell r="O4826" t="str">
            <v>headteacher.3837@hanwell-fields.oxon.sch.uk</v>
          </cell>
          <cell r="P4826">
            <v>40742</v>
          </cell>
        </row>
        <row r="4827">
          <cell r="A4827">
            <v>8237009</v>
          </cell>
          <cell r="B4827">
            <v>109739</v>
          </cell>
          <cell r="C4827">
            <v>823</v>
          </cell>
          <cell r="D4827" t="str">
            <v>Central Bedfordshire</v>
          </cell>
          <cell r="E4827">
            <v>7009</v>
          </cell>
          <cell r="F4827" t="str">
            <v>Michael Cook</v>
          </cell>
          <cell r="G4827" t="str">
            <v>Sunnyside School</v>
          </cell>
          <cell r="H4827" t="str">
            <v>East of England</v>
          </cell>
          <cell r="I4827" t="str">
            <v>The Baulk</v>
          </cell>
          <cell r="L4827" t="str">
            <v>Biggleswade</v>
          </cell>
          <cell r="M4827" t="str">
            <v>Bedfordshire</v>
          </cell>
          <cell r="N4827" t="str">
            <v>SG18 0PT</v>
          </cell>
          <cell r="O4827" t="str">
            <v>juliemudd@msn.com</v>
          </cell>
        </row>
        <row r="4828">
          <cell r="A4828">
            <v>3433361</v>
          </cell>
          <cell r="B4828">
            <v>104931</v>
          </cell>
          <cell r="C4828">
            <v>343</v>
          </cell>
          <cell r="D4828" t="str">
            <v>Sefton</v>
          </cell>
          <cell r="E4828">
            <v>3361</v>
          </cell>
          <cell r="F4828" t="str">
            <v>Maria Sabberton</v>
          </cell>
          <cell r="G4828" t="str">
            <v>English Martyrs Catholic Primary School</v>
          </cell>
          <cell r="H4828" t="str">
            <v>North West</v>
          </cell>
          <cell r="I4828" t="str">
            <v>School Lane</v>
          </cell>
          <cell r="J4828" t="str">
            <v>Litherland</v>
          </cell>
          <cell r="L4828" t="str">
            <v>Liverpool</v>
          </cell>
          <cell r="M4828" t="str">
            <v>Merseyside</v>
          </cell>
          <cell r="N4828" t="str">
            <v>L21 7LX</v>
          </cell>
          <cell r="O4828" t="str">
            <v>pobrien@englishmartyrs.co.uk</v>
          </cell>
        </row>
        <row r="4829">
          <cell r="A4829">
            <v>9333009</v>
          </cell>
          <cell r="B4829">
            <v>123743</v>
          </cell>
          <cell r="C4829">
            <v>933</v>
          </cell>
          <cell r="D4829" t="str">
            <v>Somerset</v>
          </cell>
          <cell r="E4829">
            <v>3009</v>
          </cell>
          <cell r="F4829" t="str">
            <v>Ali Bushell</v>
          </cell>
          <cell r="G4829" t="str">
            <v>Berkley Church of England First School</v>
          </cell>
          <cell r="H4829" t="str">
            <v>South West</v>
          </cell>
          <cell r="I4829" t="str">
            <v>Berkley</v>
          </cell>
          <cell r="L4829" t="str">
            <v>Frome</v>
          </cell>
          <cell r="M4829" t="str">
            <v>Somerset</v>
          </cell>
          <cell r="N4829" t="str">
            <v>BA11 5JH</v>
          </cell>
          <cell r="O4829" t="str">
            <v>cbrautigam@educ.somerset.gov.uk</v>
          </cell>
        </row>
        <row r="4830">
          <cell r="A4830">
            <v>3594027</v>
          </cell>
          <cell r="B4830">
            <v>106529</v>
          </cell>
          <cell r="C4830">
            <v>359</v>
          </cell>
          <cell r="D4830" t="str">
            <v>Wigan</v>
          </cell>
          <cell r="E4830">
            <v>4027</v>
          </cell>
          <cell r="F4830" t="str">
            <v>Viv Clutton</v>
          </cell>
          <cell r="G4830" t="str">
            <v>Shevington High School</v>
          </cell>
          <cell r="H4830" t="str">
            <v>North West</v>
          </cell>
          <cell r="I4830" t="str">
            <v>Shevington Lane</v>
          </cell>
          <cell r="J4830" t="str">
            <v>Shevington</v>
          </cell>
          <cell r="L4830" t="str">
            <v>Wigan</v>
          </cell>
          <cell r="M4830" t="str">
            <v>Lancashire</v>
          </cell>
          <cell r="N4830" t="str">
            <v>WN6 8AB</v>
          </cell>
          <cell r="O4830" t="str">
            <v>hmackenzie@shevingtonhigh.org.uk</v>
          </cell>
        </row>
        <row r="4831">
          <cell r="A4831">
            <v>8952151</v>
          </cell>
          <cell r="B4831">
            <v>111022</v>
          </cell>
          <cell r="C4831">
            <v>895</v>
          </cell>
          <cell r="D4831" t="str">
            <v>Cheshire East</v>
          </cell>
          <cell r="E4831">
            <v>2151</v>
          </cell>
          <cell r="F4831" t="str">
            <v>Jane McCusker</v>
          </cell>
          <cell r="G4831" t="str">
            <v>Ivy Bank Primary School</v>
          </cell>
          <cell r="H4831" t="str">
            <v>North West</v>
          </cell>
          <cell r="I4831" t="str">
            <v>Valley Road</v>
          </cell>
          <cell r="L4831" t="str">
            <v>Macclesfield</v>
          </cell>
          <cell r="M4831" t="str">
            <v>Cheshire</v>
          </cell>
          <cell r="N4831" t="str">
            <v>SK11 8PB</v>
          </cell>
          <cell r="O4831" t="str">
            <v xml:space="preserve"> admin@ivybank.cheshire.sch.uk</v>
          </cell>
        </row>
        <row r="4832">
          <cell r="A4832">
            <v>9335203</v>
          </cell>
          <cell r="B4832">
            <v>123787</v>
          </cell>
          <cell r="C4832">
            <v>933</v>
          </cell>
          <cell r="D4832" t="str">
            <v>Somerset</v>
          </cell>
          <cell r="E4832">
            <v>5203</v>
          </cell>
          <cell r="F4832" t="str">
            <v>Ali Bushell</v>
          </cell>
          <cell r="G4832" t="str">
            <v>Enmore Church of England Primary School</v>
          </cell>
          <cell r="H4832" t="str">
            <v>South West</v>
          </cell>
          <cell r="I4832" t="str">
            <v>Enmore</v>
          </cell>
          <cell r="L4832" t="str">
            <v>Bridgwater</v>
          </cell>
          <cell r="M4832" t="str">
            <v>Somerset</v>
          </cell>
          <cell r="N4832" t="str">
            <v>TA5 2DX</v>
          </cell>
          <cell r="O4832" t="str">
            <v>dmacrae@educ.somerset.gov.uk</v>
          </cell>
          <cell r="P4832">
            <v>40689</v>
          </cell>
        </row>
        <row r="4833">
          <cell r="A4833">
            <v>9285200</v>
          </cell>
          <cell r="B4833">
            <v>122102</v>
          </cell>
          <cell r="C4833">
            <v>928</v>
          </cell>
          <cell r="D4833" t="str">
            <v>Northamptonshire</v>
          </cell>
          <cell r="E4833">
            <v>5200</v>
          </cell>
          <cell r="F4833" t="str">
            <v>Sue Harp</v>
          </cell>
          <cell r="G4833" t="str">
            <v>Moulton Primary School</v>
          </cell>
          <cell r="H4833" t="str">
            <v>East Midlands</v>
          </cell>
          <cell r="I4833" t="str">
            <v>Church Hill</v>
          </cell>
          <cell r="J4833" t="str">
            <v>Moulton</v>
          </cell>
          <cell r="L4833" t="str">
            <v>Northampton</v>
          </cell>
          <cell r="M4833" t="str">
            <v>Northamptonshire</v>
          </cell>
          <cell r="N4833" t="str">
            <v>NN3 7SW</v>
          </cell>
        </row>
        <row r="4834">
          <cell r="A4834">
            <v>2122034</v>
          </cell>
          <cell r="B4834">
            <v>100997</v>
          </cell>
          <cell r="C4834">
            <v>212</v>
          </cell>
          <cell r="D4834" t="str">
            <v>Wandsworth</v>
          </cell>
          <cell r="E4834">
            <v>2034</v>
          </cell>
          <cell r="F4834" t="str">
            <v>Tahir Shams</v>
          </cell>
          <cell r="G4834" t="str">
            <v>Beatrix Potter Primary School</v>
          </cell>
          <cell r="H4834" t="str">
            <v>London</v>
          </cell>
          <cell r="I4834" t="str">
            <v>Magdalen Road</v>
          </cell>
          <cell r="J4834" t="str">
            <v>Earlsfield</v>
          </cell>
          <cell r="L4834" t="str">
            <v>London</v>
          </cell>
          <cell r="N4834" t="str">
            <v>SW18 3ER</v>
          </cell>
          <cell r="O4834" t="str">
            <v>head@beatrixpotter.wandsworth.sch.uk</v>
          </cell>
        </row>
        <row r="4835">
          <cell r="A4835">
            <v>8832814</v>
          </cell>
          <cell r="B4835">
            <v>115010</v>
          </cell>
          <cell r="C4835">
            <v>883</v>
          </cell>
          <cell r="D4835" t="str">
            <v>Thurrock</v>
          </cell>
          <cell r="E4835">
            <v>2814</v>
          </cell>
          <cell r="F4835" t="str">
            <v>Bev Mullin</v>
          </cell>
          <cell r="G4835" t="str">
            <v>East Tilbury Junior School</v>
          </cell>
          <cell r="H4835" t="str">
            <v>East of England</v>
          </cell>
          <cell r="I4835" t="str">
            <v>Princess Margaret Road</v>
          </cell>
          <cell r="J4835" t="str">
            <v>East Tilbury</v>
          </cell>
          <cell r="L4835" t="str">
            <v>Tilbury</v>
          </cell>
          <cell r="M4835" t="str">
            <v>Essex</v>
          </cell>
          <cell r="N4835" t="str">
            <v>RM18 8SB</v>
          </cell>
          <cell r="P4835">
            <v>40946</v>
          </cell>
        </row>
        <row r="4836">
          <cell r="A4836">
            <v>9314580</v>
          </cell>
          <cell r="B4836">
            <v>123268</v>
          </cell>
          <cell r="C4836">
            <v>931</v>
          </cell>
          <cell r="D4836" t="str">
            <v>Oxfordshire</v>
          </cell>
          <cell r="E4836">
            <v>4580</v>
          </cell>
          <cell r="F4836" t="str">
            <v>Maryam Jabbari</v>
          </cell>
          <cell r="G4836" t="str">
            <v>Lord Williams's School</v>
          </cell>
          <cell r="H4836" t="str">
            <v>South East</v>
          </cell>
          <cell r="I4836" t="str">
            <v>Oxford Road</v>
          </cell>
          <cell r="L4836" t="str">
            <v>Thame</v>
          </cell>
          <cell r="M4836" t="str">
            <v>Oxfordshire</v>
          </cell>
          <cell r="N4836" t="str">
            <v>OX9 2AQ</v>
          </cell>
          <cell r="O4836" t="str">
            <v>d.wybron@lordwilliams.oxon.sch.uk</v>
          </cell>
          <cell r="P4836">
            <v>40990</v>
          </cell>
        </row>
        <row r="4837">
          <cell r="A4837">
            <v>3155400</v>
          </cell>
          <cell r="B4837">
            <v>102683</v>
          </cell>
          <cell r="C4837">
            <v>315</v>
          </cell>
          <cell r="D4837" t="str">
            <v>Merton</v>
          </cell>
          <cell r="E4837">
            <v>5400</v>
          </cell>
          <cell r="F4837" t="str">
            <v>Bola Bakrin</v>
          </cell>
          <cell r="G4837" t="str">
            <v>Ursuline High School Wimbledon</v>
          </cell>
          <cell r="H4837" t="str">
            <v>London</v>
          </cell>
          <cell r="I4837" t="str">
            <v>Crescent Road</v>
          </cell>
          <cell r="J4837" t="str">
            <v>Wimbledon</v>
          </cell>
          <cell r="L4837" t="str">
            <v>London</v>
          </cell>
          <cell r="N4837" t="str">
            <v>SW20 8HA</v>
          </cell>
          <cell r="O4837" t="str">
            <v>juliaw@ursulinehigh.merton.sch.uk</v>
          </cell>
          <cell r="P4837">
            <v>40666</v>
          </cell>
        </row>
        <row r="4838">
          <cell r="A4838">
            <v>3125202</v>
          </cell>
          <cell r="B4838">
            <v>102432</v>
          </cell>
          <cell r="C4838">
            <v>312</v>
          </cell>
          <cell r="D4838" t="str">
            <v>Hillingdon</v>
          </cell>
          <cell r="E4838">
            <v>5202</v>
          </cell>
          <cell r="F4838" t="str">
            <v>Bola Bakrin</v>
          </cell>
          <cell r="G4838" t="str">
            <v>Grange Park Junior School</v>
          </cell>
          <cell r="H4838" t="str">
            <v>London</v>
          </cell>
          <cell r="I4838" t="str">
            <v>Lansbury Drive</v>
          </cell>
          <cell r="L4838" t="str">
            <v>Hayes</v>
          </cell>
          <cell r="N4838" t="str">
            <v>UB4 8SF</v>
          </cell>
        </row>
        <row r="4839">
          <cell r="A4839">
            <v>8032188</v>
          </cell>
          <cell r="B4839">
            <v>109026</v>
          </cell>
          <cell r="C4839">
            <v>803</v>
          </cell>
          <cell r="D4839" t="str">
            <v>South Gloucestershire</v>
          </cell>
          <cell r="E4839">
            <v>2188</v>
          </cell>
          <cell r="F4839" t="str">
            <v>Not yet assigned</v>
          </cell>
          <cell r="G4839" t="str">
            <v>The Ridge Junior School</v>
          </cell>
          <cell r="H4839" t="str">
            <v>South West</v>
          </cell>
          <cell r="I4839" t="str">
            <v>Melrose Avenue</v>
          </cell>
          <cell r="J4839" t="str">
            <v>Yate</v>
          </cell>
          <cell r="L4839" t="str">
            <v>Bristol</v>
          </cell>
          <cell r="M4839" t="str">
            <v>Gloucestershire</v>
          </cell>
          <cell r="N4839" t="str">
            <v>BS37 7AP</v>
          </cell>
          <cell r="O4839" t="str">
            <v>philip.boult@southglos.gov.uk</v>
          </cell>
        </row>
        <row r="4840">
          <cell r="A4840">
            <v>9254050</v>
          </cell>
          <cell r="B4840">
            <v>120650</v>
          </cell>
          <cell r="C4840">
            <v>925</v>
          </cell>
          <cell r="D4840" t="str">
            <v>Lincolnshire</v>
          </cell>
          <cell r="E4840">
            <v>4050</v>
          </cell>
          <cell r="F4840" t="str">
            <v>Stephen Standret</v>
          </cell>
          <cell r="G4840" t="str">
            <v>Banovallum School</v>
          </cell>
          <cell r="H4840" t="str">
            <v>East Midlands</v>
          </cell>
          <cell r="I4840" t="str">
            <v>Boston Road</v>
          </cell>
          <cell r="L4840" t="str">
            <v>Horncastle</v>
          </cell>
          <cell r="M4840" t="str">
            <v>Lincolnshire</v>
          </cell>
          <cell r="N4840" t="str">
            <v>LN9 6DA</v>
          </cell>
        </row>
        <row r="4841">
          <cell r="A4841">
            <v>8413306</v>
          </cell>
          <cell r="B4841">
            <v>114238</v>
          </cell>
          <cell r="C4841">
            <v>841</v>
          </cell>
          <cell r="D4841" t="str">
            <v>Darlington</v>
          </cell>
          <cell r="E4841">
            <v>3306</v>
          </cell>
          <cell r="F4841" t="str">
            <v>Alan Large</v>
          </cell>
          <cell r="G4841" t="str">
            <v>St John's CofE (Aided) Primary School</v>
          </cell>
          <cell r="H4841" t="str">
            <v>North East</v>
          </cell>
          <cell r="I4841" t="str">
            <v>Fenby Avenue</v>
          </cell>
          <cell r="J4841" t="str">
            <v>Lascelles Park</v>
          </cell>
          <cell r="L4841" t="str">
            <v>Darlington</v>
          </cell>
          <cell r="M4841" t="str">
            <v>County Durham</v>
          </cell>
          <cell r="N4841" t="str">
            <v>DL1 4UB</v>
          </cell>
          <cell r="O4841" t="str">
            <v>admin@stjohnsce.darlington.sch.uk</v>
          </cell>
          <cell r="P4841">
            <v>40928</v>
          </cell>
        </row>
        <row r="4842">
          <cell r="A4842">
            <v>3062053</v>
          </cell>
          <cell r="B4842">
            <v>101748</v>
          </cell>
          <cell r="C4842">
            <v>306</v>
          </cell>
          <cell r="D4842" t="str">
            <v>Croydon</v>
          </cell>
          <cell r="E4842">
            <v>2053</v>
          </cell>
          <cell r="F4842" t="str">
            <v>Helen Barry</v>
          </cell>
          <cell r="G4842" t="str">
            <v>Wolsey Infant School</v>
          </cell>
          <cell r="H4842" t="str">
            <v>London</v>
          </cell>
          <cell r="I4842" t="str">
            <v>King Henry's Drive</v>
          </cell>
          <cell r="J4842" t="str">
            <v>New Addington</v>
          </cell>
          <cell r="L4842" t="str">
            <v>Croydon</v>
          </cell>
          <cell r="M4842" t="str">
            <v>Surrey</v>
          </cell>
          <cell r="N4842" t="str">
            <v>CR0 0PA</v>
          </cell>
          <cell r="O4842" t="str">
            <v>terryc57@yahoo.co.uk</v>
          </cell>
        </row>
        <row r="4843">
          <cell r="A4843">
            <v>8602409</v>
          </cell>
          <cell r="B4843">
            <v>124205</v>
          </cell>
          <cell r="C4843">
            <v>860</v>
          </cell>
          <cell r="D4843" t="str">
            <v>Staffordshire</v>
          </cell>
          <cell r="E4843">
            <v>2409</v>
          </cell>
          <cell r="F4843" t="str">
            <v>Stephen Bagnall</v>
          </cell>
          <cell r="G4843" t="str">
            <v>Flash Ley Community Primary School</v>
          </cell>
          <cell r="H4843" t="str">
            <v>West Midlands</v>
          </cell>
          <cell r="I4843" t="str">
            <v>Hawksmoor Road</v>
          </cell>
          <cell r="L4843" t="str">
            <v>Stafford</v>
          </cell>
          <cell r="M4843" t="str">
            <v>Staffordshire</v>
          </cell>
          <cell r="N4843" t="str">
            <v>ST17 9DR</v>
          </cell>
          <cell r="O4843" t="str">
            <v>headteacher@flashley.staffs.sch.uk</v>
          </cell>
        </row>
        <row r="4844">
          <cell r="A4844">
            <v>8865463</v>
          </cell>
          <cell r="B4844">
            <v>118935</v>
          </cell>
          <cell r="C4844">
            <v>886</v>
          </cell>
          <cell r="D4844" t="str">
            <v>Kent</v>
          </cell>
          <cell r="E4844">
            <v>5463</v>
          </cell>
          <cell r="F4844" t="str">
            <v>Bukky Sawyerr</v>
          </cell>
          <cell r="G4844" t="str">
            <v>Sandwich Technology School</v>
          </cell>
          <cell r="H4844" t="str">
            <v>South East</v>
          </cell>
          <cell r="I4844" t="str">
            <v>Deal Road</v>
          </cell>
          <cell r="L4844" t="str">
            <v>Sandwich</v>
          </cell>
          <cell r="M4844" t="str">
            <v>Kent</v>
          </cell>
          <cell r="N4844" t="str">
            <v>CT13 0FA</v>
          </cell>
          <cell r="O4844" t="str">
            <v>veronica.gomez@sandwich-tech.kent.sch.uk</v>
          </cell>
          <cell r="P4844">
            <v>40359</v>
          </cell>
        </row>
        <row r="4845">
          <cell r="A4845">
            <v>8154518</v>
          </cell>
          <cell r="B4845">
            <v>121712</v>
          </cell>
          <cell r="C4845">
            <v>815</v>
          </cell>
          <cell r="D4845" t="str">
            <v>North Yorkshire</v>
          </cell>
          <cell r="E4845">
            <v>4518</v>
          </cell>
          <cell r="F4845" t="str">
            <v>John Edmunds</v>
          </cell>
          <cell r="G4845" t="str">
            <v>Skipton Girls' High School</v>
          </cell>
          <cell r="H4845" t="str">
            <v>Yorkshire and the Humber</v>
          </cell>
          <cell r="I4845" t="str">
            <v>Gargrave Road</v>
          </cell>
          <cell r="L4845" t="str">
            <v>Skipton</v>
          </cell>
          <cell r="M4845" t="str">
            <v>North Yorkshire</v>
          </cell>
          <cell r="N4845" t="str">
            <v>BD23 1QL</v>
          </cell>
          <cell r="O4845" t="str">
            <v>renouj@sghs.org.uk</v>
          </cell>
          <cell r="P4845">
            <v>40522</v>
          </cell>
        </row>
        <row r="4846">
          <cell r="A4846">
            <v>3302195</v>
          </cell>
          <cell r="B4846">
            <v>103269</v>
          </cell>
          <cell r="C4846">
            <v>330</v>
          </cell>
          <cell r="D4846" t="str">
            <v>Birmingham</v>
          </cell>
          <cell r="E4846">
            <v>2195</v>
          </cell>
          <cell r="F4846" t="str">
            <v>Nicole Felicien</v>
          </cell>
          <cell r="G4846" t="str">
            <v>Timberley Primary School</v>
          </cell>
          <cell r="H4846" t="str">
            <v>West Midlands</v>
          </cell>
          <cell r="I4846" t="str">
            <v>Bradley Road</v>
          </cell>
          <cell r="J4846" t="str">
            <v>Shard End</v>
          </cell>
          <cell r="L4846" t="str">
            <v>Birmingham</v>
          </cell>
          <cell r="M4846" t="str">
            <v>West Midlands</v>
          </cell>
          <cell r="N4846" t="str">
            <v>B34 7RL</v>
          </cell>
          <cell r="O4846" t="str">
            <v>m.rose@timberly.bham.sch.uk</v>
          </cell>
          <cell r="P4846">
            <v>40941</v>
          </cell>
        </row>
        <row r="4847">
          <cell r="A4847">
            <v>8872215</v>
          </cell>
          <cell r="B4847">
            <v>118329</v>
          </cell>
          <cell r="C4847">
            <v>887</v>
          </cell>
          <cell r="D4847" t="str">
            <v>Medway</v>
          </cell>
          <cell r="E4847">
            <v>2215</v>
          </cell>
          <cell r="F4847" t="str">
            <v>Sarah Mitchell</v>
          </cell>
          <cell r="G4847" t="str">
            <v>Balfour Infant School</v>
          </cell>
          <cell r="H4847" t="str">
            <v>South East</v>
          </cell>
          <cell r="I4847" t="str">
            <v>Pattens Lane</v>
          </cell>
          <cell r="L4847" t="str">
            <v>Rochester</v>
          </cell>
          <cell r="M4847" t="str">
            <v>Kent</v>
          </cell>
          <cell r="N4847" t="str">
            <v>ME1 2QT</v>
          </cell>
          <cell r="O4847" t="str">
            <v>padmb001@medway.org.uk</v>
          </cell>
        </row>
        <row r="4848">
          <cell r="A4848">
            <v>3834063</v>
          </cell>
          <cell r="B4848">
            <v>108076</v>
          </cell>
          <cell r="C4848">
            <v>383</v>
          </cell>
          <cell r="D4848" t="str">
            <v>Leeds</v>
          </cell>
          <cell r="E4848">
            <v>4063</v>
          </cell>
          <cell r="F4848" t="str">
            <v>Bev Annables</v>
          </cell>
          <cell r="G4848" t="str">
            <v>Roundhay School Technology College</v>
          </cell>
          <cell r="H4848" t="str">
            <v>Yorkshire and the Humber</v>
          </cell>
          <cell r="I4848" t="str">
            <v>Gledhow Lane</v>
          </cell>
          <cell r="L4848" t="str">
            <v>Leeds</v>
          </cell>
          <cell r="M4848" t="str">
            <v>West Yorkshire</v>
          </cell>
          <cell r="N4848" t="str">
            <v>LS8 1ND</v>
          </cell>
          <cell r="O4848" t="str">
            <v>clephan01@leedslearning.net</v>
          </cell>
        </row>
        <row r="4849">
          <cell r="A4849">
            <v>8865461</v>
          </cell>
          <cell r="B4849">
            <v>118933</v>
          </cell>
          <cell r="C4849">
            <v>886</v>
          </cell>
          <cell r="D4849" t="str">
            <v>Kent</v>
          </cell>
          <cell r="E4849">
            <v>5461</v>
          </cell>
          <cell r="F4849" t="str">
            <v>Tony Dunne</v>
          </cell>
          <cell r="G4849" t="str">
            <v>St John's Catholic Comprehensive School</v>
          </cell>
          <cell r="H4849" t="str">
            <v>South East</v>
          </cell>
          <cell r="I4849" t="str">
            <v>Rochester Road</v>
          </cell>
          <cell r="L4849" t="str">
            <v>Gravesend</v>
          </cell>
          <cell r="M4849" t="str">
            <v>Kent</v>
          </cell>
          <cell r="N4849" t="str">
            <v>DA12 2JW</v>
          </cell>
          <cell r="O4849" t="str">
            <v>ajs@st-johns-gravesend.kent.sch.uk</v>
          </cell>
          <cell r="P4849">
            <v>41254</v>
          </cell>
        </row>
        <row r="4850">
          <cell r="A4850">
            <v>8012017</v>
          </cell>
          <cell r="B4850">
            <v>131500</v>
          </cell>
          <cell r="C4850">
            <v>801</v>
          </cell>
          <cell r="D4850" t="str">
            <v>Bristol City of</v>
          </cell>
          <cell r="E4850">
            <v>2017</v>
          </cell>
          <cell r="F4850" t="str">
            <v>Ed Schuldt</v>
          </cell>
          <cell r="G4850" t="str">
            <v>Waycroft Primary School</v>
          </cell>
          <cell r="H4850" t="str">
            <v>South West</v>
          </cell>
          <cell r="I4850" t="str">
            <v>Selden Road</v>
          </cell>
          <cell r="J4850" t="str">
            <v>Stockwood</v>
          </cell>
          <cell r="L4850" t="str">
            <v>Bristol</v>
          </cell>
          <cell r="N4850" t="str">
            <v>BS14 8PS</v>
          </cell>
          <cell r="O4850" t="str">
            <v>simon.rowe@bristol.gov.uk</v>
          </cell>
          <cell r="P4850">
            <v>40633</v>
          </cell>
        </row>
        <row r="4851">
          <cell r="A4851">
            <v>8922183</v>
          </cell>
          <cell r="B4851">
            <v>122504</v>
          </cell>
          <cell r="C4851">
            <v>892</v>
          </cell>
          <cell r="D4851" t="str">
            <v>Nottingham</v>
          </cell>
          <cell r="E4851">
            <v>2183</v>
          </cell>
          <cell r="F4851" t="str">
            <v>Grant Dyson</v>
          </cell>
          <cell r="G4851" t="str">
            <v>Blue Bell Hill Primary and Nursery School</v>
          </cell>
          <cell r="H4851" t="str">
            <v>East Midlands</v>
          </cell>
          <cell r="I4851" t="str">
            <v>Gordon Road</v>
          </cell>
          <cell r="L4851" t="str">
            <v>Nottingham</v>
          </cell>
          <cell r="M4851" t="str">
            <v>Nottinghamshire</v>
          </cell>
          <cell r="N4851" t="str">
            <v>NG3 2LE</v>
          </cell>
          <cell r="O4851" t="str">
            <v>headteacher@bluebellhill.nottingham.sch.uk</v>
          </cell>
        </row>
        <row r="4852">
          <cell r="A4852">
            <v>8605200</v>
          </cell>
          <cell r="B4852">
            <v>124462</v>
          </cell>
          <cell r="C4852">
            <v>860</v>
          </cell>
          <cell r="D4852" t="str">
            <v>Staffordshire</v>
          </cell>
          <cell r="E4852">
            <v>5200</v>
          </cell>
          <cell r="F4852" t="str">
            <v>Hannah Copp</v>
          </cell>
          <cell r="G4852" t="str">
            <v>Hollinsclough C of E (VA) Primary</v>
          </cell>
          <cell r="H4852" t="str">
            <v>West Midlands</v>
          </cell>
          <cell r="I4852" t="str">
            <v>Carr Lane</v>
          </cell>
          <cell r="J4852" t="str">
            <v>Hollinsclough</v>
          </cell>
          <cell r="K4852" t="str">
            <v>Longnor</v>
          </cell>
          <cell r="L4852" t="str">
            <v>Buxton</v>
          </cell>
          <cell r="M4852" t="str">
            <v>Derbyshire</v>
          </cell>
          <cell r="N4852" t="str">
            <v>SK17 0RH</v>
          </cell>
          <cell r="O4852" t="str">
            <v>office@hollinsclough.staffs.sch.uk</v>
          </cell>
        </row>
        <row r="4853">
          <cell r="A4853">
            <v>3737024</v>
          </cell>
          <cell r="B4853">
            <v>107178</v>
          </cell>
          <cell r="C4853">
            <v>373</v>
          </cell>
          <cell r="D4853" t="str">
            <v>Sheffield</v>
          </cell>
          <cell r="E4853">
            <v>7024</v>
          </cell>
          <cell r="F4853" t="str">
            <v>Bev Annables</v>
          </cell>
          <cell r="G4853" t="str">
            <v>Talbot Specialist School</v>
          </cell>
          <cell r="H4853" t="str">
            <v>Yorkshire and the Humber</v>
          </cell>
          <cell r="I4853" t="str">
            <v>Lees Hall Road</v>
          </cell>
          <cell r="L4853" t="str">
            <v>Sheffield</v>
          </cell>
          <cell r="M4853" t="str">
            <v>South Yorkshire</v>
          </cell>
          <cell r="N4853" t="str">
            <v>S8 9JP</v>
          </cell>
          <cell r="O4853" t="str">
            <v>headteacher@talbot.sheffield.sch.uk</v>
          </cell>
        </row>
        <row r="4854">
          <cell r="A4854">
            <v>9287029</v>
          </cell>
          <cell r="B4854">
            <v>130957</v>
          </cell>
          <cell r="C4854">
            <v>928</v>
          </cell>
          <cell r="D4854" t="str">
            <v>Northamptonshire</v>
          </cell>
          <cell r="E4854">
            <v>7029</v>
          </cell>
          <cell r="F4854" t="str">
            <v>Helen Whetter</v>
          </cell>
          <cell r="G4854" t="str">
            <v>Friars School</v>
          </cell>
          <cell r="H4854" t="str">
            <v>East Midlands</v>
          </cell>
          <cell r="I4854" t="str">
            <v>Friars Close</v>
          </cell>
          <cell r="L4854" t="str">
            <v>Wellingborough</v>
          </cell>
          <cell r="M4854" t="str">
            <v>Northamptonshire</v>
          </cell>
          <cell r="N4854" t="str">
            <v>NN8 2LA</v>
          </cell>
          <cell r="O4854" t="str">
            <v>head@friars.northants-ecl.gov.uk</v>
          </cell>
          <cell r="P4854">
            <v>41198</v>
          </cell>
        </row>
        <row r="4855">
          <cell r="A4855">
            <v>3842142</v>
          </cell>
          <cell r="B4855">
            <v>108201</v>
          </cell>
          <cell r="C4855">
            <v>384</v>
          </cell>
          <cell r="D4855" t="str">
            <v>Wakefield</v>
          </cell>
          <cell r="E4855">
            <v>2142</v>
          </cell>
          <cell r="F4855" t="str">
            <v>Glyn Newton</v>
          </cell>
          <cell r="G4855" t="str">
            <v>Stanley Wrenthorpe Jerry Clay Lane Junior and Infant School</v>
          </cell>
          <cell r="H4855" t="str">
            <v>Yorkshire and the Humber</v>
          </cell>
          <cell r="I4855" t="str">
            <v>Jerry Clay Lane</v>
          </cell>
          <cell r="J4855" t="str">
            <v>Wrenthorpe</v>
          </cell>
          <cell r="L4855" t="str">
            <v>Wakefield</v>
          </cell>
          <cell r="M4855" t="str">
            <v>West Yorkshire</v>
          </cell>
          <cell r="N4855" t="str">
            <v>WF2 0NP</v>
          </cell>
          <cell r="O4855" t="str">
            <v>headteacher@jerryclaylane.wakefield.sch.uk</v>
          </cell>
          <cell r="P4855">
            <v>40632</v>
          </cell>
        </row>
        <row r="4856">
          <cell r="A4856">
            <v>8955205</v>
          </cell>
          <cell r="B4856">
            <v>135820</v>
          </cell>
          <cell r="C4856">
            <v>895</v>
          </cell>
          <cell r="D4856" t="str">
            <v>Cheshire East</v>
          </cell>
          <cell r="E4856">
            <v>5205</v>
          </cell>
          <cell r="F4856" t="str">
            <v>Jane McCusker</v>
          </cell>
          <cell r="G4856" t="str">
            <v>Christ the King Catholic and Church of England Primary School</v>
          </cell>
          <cell r="H4856" t="str">
            <v>North West</v>
          </cell>
          <cell r="I4856" t="str">
            <v>Fir Grove</v>
          </cell>
          <cell r="L4856" t="str">
            <v>Macclesfield</v>
          </cell>
          <cell r="M4856" t="str">
            <v>Cheshire</v>
          </cell>
          <cell r="N4856" t="str">
            <v>SK11 7SF</v>
          </cell>
          <cell r="O4856" t="str">
            <v>head@christtheking.cheshire.sch.uk</v>
          </cell>
        </row>
        <row r="4857">
          <cell r="A4857">
            <v>2074320</v>
          </cell>
          <cell r="B4857">
            <v>100501</v>
          </cell>
          <cell r="C4857">
            <v>207</v>
          </cell>
          <cell r="D4857" t="str">
            <v>Kensington and Chelsea</v>
          </cell>
          <cell r="E4857">
            <v>4320</v>
          </cell>
          <cell r="F4857" t="str">
            <v>Tahir Shams</v>
          </cell>
          <cell r="G4857" t="str">
            <v>Holland Park School</v>
          </cell>
          <cell r="H4857" t="str">
            <v>London</v>
          </cell>
          <cell r="I4857" t="str">
            <v>Airlie Gardens</v>
          </cell>
          <cell r="J4857" t="str">
            <v>Campden Hill Road</v>
          </cell>
          <cell r="L4857" t="str">
            <v>London</v>
          </cell>
          <cell r="N4857" t="str">
            <v>W8 7AF</v>
          </cell>
          <cell r="O4857" t="str">
            <v>david.chappell@hollandpark.rbkc.sch.uk</v>
          </cell>
        </row>
        <row r="4858">
          <cell r="A4858">
            <v>8772685</v>
          </cell>
          <cell r="B4858">
            <v>111206</v>
          </cell>
          <cell r="C4858">
            <v>877</v>
          </cell>
          <cell r="D4858" t="str">
            <v>Warrington</v>
          </cell>
          <cell r="E4858">
            <v>2685</v>
          </cell>
          <cell r="F4858" t="str">
            <v>Maria Sabberton</v>
          </cell>
          <cell r="G4858" t="str">
            <v>Westbrook Old Hall Community Primary School</v>
          </cell>
          <cell r="H4858" t="str">
            <v>North West</v>
          </cell>
          <cell r="I4858" t="str">
            <v>Old Hall Road</v>
          </cell>
          <cell r="J4858" t="str">
            <v>Old Hall</v>
          </cell>
          <cell r="L4858" t="str">
            <v>Warrington</v>
          </cell>
          <cell r="M4858" t="str">
            <v>Cheshire</v>
          </cell>
          <cell r="N4858" t="str">
            <v>WA5 9QA</v>
          </cell>
          <cell r="O4858" t="str">
            <v>old-hall.j.thomson@virgin.net</v>
          </cell>
        </row>
        <row r="4859">
          <cell r="A4859">
            <v>9212016</v>
          </cell>
          <cell r="B4859">
            <v>118166</v>
          </cell>
          <cell r="C4859">
            <v>921</v>
          </cell>
          <cell r="D4859" t="str">
            <v>Isle of Wight</v>
          </cell>
          <cell r="E4859">
            <v>2016</v>
          </cell>
          <cell r="F4859" t="str">
            <v>Lindsay Morris</v>
          </cell>
          <cell r="G4859" t="str">
            <v>Northwood Primary School</v>
          </cell>
          <cell r="H4859" t="str">
            <v>South East</v>
          </cell>
          <cell r="I4859" t="str">
            <v>Wyatts Lane</v>
          </cell>
          <cell r="J4859" t="str">
            <v>Northwood</v>
          </cell>
          <cell r="L4859" t="str">
            <v>Cowes</v>
          </cell>
          <cell r="M4859" t="str">
            <v>Isle of Wight</v>
          </cell>
          <cell r="N4859" t="str">
            <v>PO31 8PU</v>
          </cell>
          <cell r="O4859" t="str">
            <v>head.northwoodpri@lineone.net</v>
          </cell>
          <cell r="P4859">
            <v>41232</v>
          </cell>
        </row>
        <row r="4860">
          <cell r="A4860">
            <v>8122176</v>
          </cell>
          <cell r="B4860">
            <v>117783</v>
          </cell>
          <cell r="C4860">
            <v>812</v>
          </cell>
          <cell r="D4860" t="str">
            <v>North East Lincolnshire</v>
          </cell>
          <cell r="E4860">
            <v>2176</v>
          </cell>
          <cell r="F4860" t="str">
            <v>Bev Annables</v>
          </cell>
          <cell r="G4860" t="str">
            <v>Signhills Junior School</v>
          </cell>
          <cell r="H4860" t="str">
            <v>Yorkshire and the Humber</v>
          </cell>
          <cell r="I4860" t="str">
            <v>Hardys Road</v>
          </cell>
          <cell r="L4860" t="str">
            <v>Cleethorpes</v>
          </cell>
          <cell r="M4860" t="str">
            <v>Lincolnshire</v>
          </cell>
          <cell r="N4860" t="str">
            <v>DN35 0DN</v>
          </cell>
          <cell r="O4860" t="str">
            <v>head@signhills.nelcmail.co.uk</v>
          </cell>
          <cell r="P4860">
            <v>40640</v>
          </cell>
        </row>
        <row r="4861">
          <cell r="A4861">
            <v>8913790</v>
          </cell>
          <cell r="B4861">
            <v>123351</v>
          </cell>
          <cell r="C4861">
            <v>891</v>
          </cell>
          <cell r="D4861" t="str">
            <v>Nottinghamshire</v>
          </cell>
          <cell r="E4861">
            <v>3790</v>
          </cell>
          <cell r="F4861" t="str">
            <v>Helen Whetter</v>
          </cell>
          <cell r="G4861" t="str">
            <v>Cotgrave Candleby Lane School</v>
          </cell>
          <cell r="H4861" t="str">
            <v>East Midlands</v>
          </cell>
          <cell r="I4861" t="str">
            <v>Candleby Lane</v>
          </cell>
          <cell r="J4861" t="str">
            <v>Cotgrave</v>
          </cell>
          <cell r="L4861" t="str">
            <v>Nottingham</v>
          </cell>
          <cell r="M4861" t="str">
            <v>Nottinghamshire</v>
          </cell>
          <cell r="N4861" t="str">
            <v>NG12 3JG</v>
          </cell>
          <cell r="O4861" t="str">
            <v>head@ccls.notts.sch.uk</v>
          </cell>
          <cell r="P4861">
            <v>40896</v>
          </cell>
        </row>
        <row r="4862">
          <cell r="A4862">
            <v>3934019</v>
          </cell>
          <cell r="B4862">
            <v>108730</v>
          </cell>
          <cell r="C4862">
            <v>393</v>
          </cell>
          <cell r="D4862" t="str">
            <v>South Tyneside</v>
          </cell>
          <cell r="E4862">
            <v>4019</v>
          </cell>
          <cell r="F4862" t="str">
            <v>Carol Blain</v>
          </cell>
          <cell r="G4862" t="str">
            <v>Boldon School</v>
          </cell>
          <cell r="H4862" t="str">
            <v>North East</v>
          </cell>
          <cell r="I4862" t="str">
            <v>New Road</v>
          </cell>
          <cell r="L4862" t="str">
            <v>Boldon Colliery</v>
          </cell>
          <cell r="M4862" t="str">
            <v>Tyne and Wear</v>
          </cell>
          <cell r="N4862" t="str">
            <v>NE35 9DZ</v>
          </cell>
        </row>
        <row r="4863">
          <cell r="A4863">
            <v>3802150</v>
          </cell>
          <cell r="B4863">
            <v>107277</v>
          </cell>
          <cell r="C4863">
            <v>380</v>
          </cell>
          <cell r="D4863" t="str">
            <v>Bradford</v>
          </cell>
          <cell r="E4863">
            <v>2150</v>
          </cell>
          <cell r="F4863" t="str">
            <v>Glyn Newton</v>
          </cell>
          <cell r="G4863" t="str">
            <v>Ashlands Primary School</v>
          </cell>
          <cell r="H4863" t="str">
            <v>Yorkshire and the Humber</v>
          </cell>
          <cell r="I4863" t="str">
            <v>Leeds Road</v>
          </cell>
          <cell r="L4863" t="str">
            <v>Ilkley</v>
          </cell>
          <cell r="M4863" t="str">
            <v>West Yorkshire</v>
          </cell>
          <cell r="N4863" t="str">
            <v>LS29 8JY</v>
          </cell>
          <cell r="O4863" t="str">
            <v>eileen.fitzpatrick@yahoo.co.uk</v>
          </cell>
        </row>
        <row r="4864">
          <cell r="A4864">
            <v>8742445</v>
          </cell>
          <cell r="B4864">
            <v>110774</v>
          </cell>
          <cell r="C4864">
            <v>874</v>
          </cell>
          <cell r="D4864" t="str">
            <v>Peterborough</v>
          </cell>
          <cell r="E4864">
            <v>2445</v>
          </cell>
          <cell r="F4864" t="str">
            <v>Joe Farrell</v>
          </cell>
          <cell r="G4864" t="str">
            <v>Thorpe Primary School</v>
          </cell>
          <cell r="H4864" t="str">
            <v>East of England</v>
          </cell>
          <cell r="I4864" t="str">
            <v>Atherstone Avenue</v>
          </cell>
          <cell r="J4864" t="str">
            <v>Netherton</v>
          </cell>
          <cell r="L4864" t="str">
            <v>Peterborough</v>
          </cell>
          <cell r="M4864" t="str">
            <v>Cambridgeshire</v>
          </cell>
          <cell r="N4864" t="str">
            <v>PE3 9UG</v>
          </cell>
          <cell r="O4864" t="str">
            <v>office@thorpe.peterborough.sch.uk</v>
          </cell>
        </row>
        <row r="4865">
          <cell r="A4865">
            <v>3703323</v>
          </cell>
          <cell r="B4865">
            <v>134686</v>
          </cell>
          <cell r="C4865">
            <v>370</v>
          </cell>
          <cell r="D4865" t="str">
            <v>Barnsley</v>
          </cell>
          <cell r="E4865">
            <v>3323</v>
          </cell>
          <cell r="F4865" t="str">
            <v>Lisa Sargeant</v>
          </cell>
          <cell r="G4865" t="str">
            <v>High View Primary Learning Centre</v>
          </cell>
          <cell r="H4865" t="str">
            <v>Yorkshire and the Humber</v>
          </cell>
          <cell r="I4865" t="str">
            <v>Newsome Avenue</v>
          </cell>
          <cell r="J4865" t="str">
            <v>Wombwell</v>
          </cell>
          <cell r="L4865" t="str">
            <v>Barnsley</v>
          </cell>
          <cell r="M4865" t="str">
            <v>South Yorkshire</v>
          </cell>
          <cell r="N4865" t="str">
            <v>S73 8QS</v>
          </cell>
          <cell r="O4865" t="str">
            <v>g.fosterwilson@barnsley.org</v>
          </cell>
        </row>
        <row r="4866">
          <cell r="A4866">
            <v>9092320</v>
          </cell>
          <cell r="B4866">
            <v>112189</v>
          </cell>
          <cell r="C4866">
            <v>909</v>
          </cell>
          <cell r="D4866" t="str">
            <v>Cumbria</v>
          </cell>
          <cell r="E4866">
            <v>2320</v>
          </cell>
          <cell r="G4866" t="str">
            <v>Castle Park School</v>
          </cell>
          <cell r="H4866" t="str">
            <v>North West</v>
          </cell>
          <cell r="I4866" t="str">
            <v>Sedbergh Drive</v>
          </cell>
          <cell r="L4866" t="str">
            <v>Kendal</v>
          </cell>
          <cell r="M4866" t="str">
            <v>Cumbria</v>
          </cell>
          <cell r="N4866" t="str">
            <v>LA9 6BE</v>
          </cell>
          <cell r="O4866" t="str">
            <v>head@castle-park.cumbria.sch.uk</v>
          </cell>
        </row>
        <row r="4867">
          <cell r="A4867">
            <v>9082756</v>
          </cell>
          <cell r="B4867">
            <v>131612</v>
          </cell>
          <cell r="C4867">
            <v>908</v>
          </cell>
          <cell r="D4867" t="str">
            <v>Cornwall</v>
          </cell>
          <cell r="E4867">
            <v>2756</v>
          </cell>
          <cell r="F4867" t="str">
            <v>Kate Bosher</v>
          </cell>
          <cell r="G4867" t="str">
            <v>St Breock Primary School</v>
          </cell>
          <cell r="H4867" t="str">
            <v>South West</v>
          </cell>
          <cell r="I4867" t="str">
            <v>Tremarren Road</v>
          </cell>
          <cell r="L4867" t="str">
            <v>Wadebridge</v>
          </cell>
          <cell r="M4867" t="str">
            <v>Cornwall</v>
          </cell>
          <cell r="N4867" t="str">
            <v>PL27 7XL</v>
          </cell>
          <cell r="O4867" t="str">
            <v>head@st-breock.cornwall.sch.uk</v>
          </cell>
          <cell r="P4867">
            <v>40631</v>
          </cell>
        </row>
        <row r="4868">
          <cell r="A4868">
            <v>8865432</v>
          </cell>
          <cell r="B4868">
            <v>118904</v>
          </cell>
          <cell r="C4868">
            <v>886</v>
          </cell>
          <cell r="D4868" t="str">
            <v>Kent</v>
          </cell>
          <cell r="E4868">
            <v>5432</v>
          </cell>
          <cell r="F4868" t="str">
            <v>Maryam Jabbari</v>
          </cell>
          <cell r="G4868" t="str">
            <v>St Simon Stock Catholic School</v>
          </cell>
          <cell r="H4868" t="str">
            <v>South East</v>
          </cell>
          <cell r="I4868" t="str">
            <v>Oakwood Park</v>
          </cell>
          <cell r="L4868" t="str">
            <v>Maidstone</v>
          </cell>
          <cell r="M4868" t="str">
            <v>Kent</v>
          </cell>
          <cell r="N4868" t="str">
            <v>ME16 0JP</v>
          </cell>
          <cell r="O4868" t="str">
            <v>wallb@ssscs.co.uk</v>
          </cell>
          <cell r="P4868">
            <v>41208</v>
          </cell>
        </row>
        <row r="4869">
          <cell r="A4869">
            <v>3842080</v>
          </cell>
          <cell r="B4869">
            <v>108165</v>
          </cell>
          <cell r="C4869">
            <v>384</v>
          </cell>
          <cell r="D4869" t="str">
            <v>Wakefield</v>
          </cell>
          <cell r="E4869">
            <v>2080</v>
          </cell>
          <cell r="F4869" t="str">
            <v>Jayne Turner</v>
          </cell>
          <cell r="G4869" t="str">
            <v>Outwood Ledger Lane Junior and Infant School</v>
          </cell>
          <cell r="H4869" t="str">
            <v>Yorkshire and the Humber</v>
          </cell>
          <cell r="I4869" t="str">
            <v>Ledger Lane</v>
          </cell>
          <cell r="J4869" t="str">
            <v>Outwood</v>
          </cell>
          <cell r="L4869" t="str">
            <v>Wakefield</v>
          </cell>
          <cell r="M4869" t="str">
            <v>West Yorkshire</v>
          </cell>
          <cell r="N4869" t="str">
            <v>WF1 2PH</v>
          </cell>
          <cell r="O4869" t="str">
            <v>headteacher@ledgerlane.wakefield.sch.uk</v>
          </cell>
          <cell r="P4869">
            <v>41071</v>
          </cell>
        </row>
        <row r="4870">
          <cell r="A4870">
            <v>9332089</v>
          </cell>
          <cell r="B4870">
            <v>123670</v>
          </cell>
          <cell r="C4870">
            <v>933</v>
          </cell>
          <cell r="D4870" t="str">
            <v>Somerset</v>
          </cell>
          <cell r="E4870">
            <v>2089</v>
          </cell>
          <cell r="F4870" t="str">
            <v>Ali Bushell</v>
          </cell>
          <cell r="G4870" t="str">
            <v>Manor Court Community Primary School</v>
          </cell>
          <cell r="H4870" t="str">
            <v>South West</v>
          </cell>
          <cell r="I4870" t="str">
            <v>Duck Lane</v>
          </cell>
          <cell r="L4870" t="str">
            <v>Chard</v>
          </cell>
          <cell r="M4870" t="str">
            <v>Somerset</v>
          </cell>
          <cell r="N4870" t="str">
            <v>TA20 2ES</v>
          </cell>
          <cell r="O4870" t="str">
            <v>sch.091@educ.somerset.gov.uk</v>
          </cell>
          <cell r="P4870">
            <v>40686</v>
          </cell>
        </row>
        <row r="4871">
          <cell r="A4871">
            <v>3714021</v>
          </cell>
          <cell r="B4871">
            <v>106782</v>
          </cell>
          <cell r="C4871">
            <v>371</v>
          </cell>
          <cell r="D4871" t="str">
            <v>Doncaster</v>
          </cell>
          <cell r="E4871">
            <v>4021</v>
          </cell>
          <cell r="F4871" t="str">
            <v>Adriarna Goodinson</v>
          </cell>
          <cell r="G4871" t="str">
            <v>The Armthorpe School</v>
          </cell>
          <cell r="H4871" t="str">
            <v>Yorkshire and the Humber</v>
          </cell>
          <cell r="I4871" t="str">
            <v>Mere Lane</v>
          </cell>
          <cell r="J4871" t="str">
            <v>Armthorpe</v>
          </cell>
          <cell r="L4871" t="str">
            <v>Doncaster</v>
          </cell>
          <cell r="M4871" t="str">
            <v>South Yorkshire</v>
          </cell>
          <cell r="N4871" t="str">
            <v>DN3 2DA</v>
          </cell>
          <cell r="O4871" t="str">
            <v>copeand@armthorpe.doncaster.sch.uk</v>
          </cell>
          <cell r="P4871">
            <v>40749</v>
          </cell>
        </row>
        <row r="4872">
          <cell r="A4872">
            <v>3103505</v>
          </cell>
          <cell r="B4872">
            <v>102232</v>
          </cell>
          <cell r="C4872">
            <v>310</v>
          </cell>
          <cell r="D4872" t="str">
            <v>Harrow</v>
          </cell>
          <cell r="E4872">
            <v>3505</v>
          </cell>
          <cell r="F4872" t="str">
            <v>Helen Fisher</v>
          </cell>
          <cell r="G4872" t="str">
            <v>St John Fisher Catholic Primary School</v>
          </cell>
          <cell r="H4872" t="str">
            <v>London</v>
          </cell>
          <cell r="I4872" t="str">
            <v>Melrose Road</v>
          </cell>
          <cell r="L4872" t="str">
            <v>Pinner</v>
          </cell>
          <cell r="N4872" t="str">
            <v>HA5 5RA</v>
          </cell>
          <cell r="O4872" t="str">
            <v>head@st-johnfisher.harrow.sch.uk</v>
          </cell>
        </row>
        <row r="4873">
          <cell r="A4873">
            <v>9165412</v>
          </cell>
          <cell r="B4873">
            <v>115763</v>
          </cell>
          <cell r="C4873">
            <v>916</v>
          </cell>
          <cell r="D4873" t="str">
            <v>Gloucestershire</v>
          </cell>
          <cell r="E4873">
            <v>5412</v>
          </cell>
          <cell r="F4873" t="str">
            <v>Nigel Mills</v>
          </cell>
          <cell r="G4873" t="str">
            <v>Chosen Hill School</v>
          </cell>
          <cell r="H4873" t="str">
            <v>South West</v>
          </cell>
          <cell r="I4873" t="str">
            <v>Brookfield Road</v>
          </cell>
          <cell r="J4873" t="str">
            <v>Churchdown</v>
          </cell>
          <cell r="L4873" t="str">
            <v>Gloucester</v>
          </cell>
          <cell r="M4873" t="str">
            <v>Gloucestershire</v>
          </cell>
          <cell r="N4873" t="str">
            <v>GL3 2PL</v>
          </cell>
          <cell r="O4873" t="str">
            <v>ht@chosen-hill.gloucs.sch.uk</v>
          </cell>
          <cell r="P4873">
            <v>40553</v>
          </cell>
        </row>
        <row r="4874">
          <cell r="A4874">
            <v>8875420</v>
          </cell>
          <cell r="B4874">
            <v>118892</v>
          </cell>
          <cell r="C4874">
            <v>887</v>
          </cell>
          <cell r="D4874" t="str">
            <v>Medway</v>
          </cell>
          <cell r="E4874">
            <v>5420</v>
          </cell>
          <cell r="F4874" t="str">
            <v>Sarah Mitchell</v>
          </cell>
          <cell r="G4874" t="str">
            <v>Rainham Mark Grammar School</v>
          </cell>
          <cell r="H4874" t="str">
            <v>South East</v>
          </cell>
          <cell r="I4874" t="str">
            <v>Pump Lane</v>
          </cell>
          <cell r="J4874" t="str">
            <v>Rainham</v>
          </cell>
          <cell r="L4874" t="str">
            <v>Gillingham</v>
          </cell>
          <cell r="M4874" t="str">
            <v>Kent</v>
          </cell>
          <cell r="N4874" t="str">
            <v>ME8 7AJ</v>
          </cell>
          <cell r="O4874" t="str">
            <v>decks001@medway.org.uk</v>
          </cell>
          <cell r="P4874">
            <v>40585</v>
          </cell>
        </row>
        <row r="4875">
          <cell r="A4875">
            <v>9282150</v>
          </cell>
          <cell r="B4875">
            <v>121907</v>
          </cell>
          <cell r="C4875">
            <v>928</v>
          </cell>
          <cell r="D4875" t="str">
            <v>Northamptonshire</v>
          </cell>
          <cell r="E4875">
            <v>2150</v>
          </cell>
          <cell r="F4875" t="str">
            <v>Pauline Cole</v>
          </cell>
          <cell r="G4875" t="str">
            <v>Southfield Primary</v>
          </cell>
          <cell r="H4875" t="str">
            <v>East Midlands</v>
          </cell>
          <cell r="I4875" t="str">
            <v>Banbury Road</v>
          </cell>
          <cell r="L4875" t="str">
            <v>Brackley</v>
          </cell>
          <cell r="M4875" t="str">
            <v>Northamptonshire</v>
          </cell>
          <cell r="N4875" t="str">
            <v>NN13 6AU</v>
          </cell>
          <cell r="O4875" t="str">
            <v>head@southfield-pri.northants-ecl.gov.uk</v>
          </cell>
          <cell r="P4875">
            <v>40998</v>
          </cell>
        </row>
        <row r="4876">
          <cell r="A4876">
            <v>8854437</v>
          </cell>
          <cell r="B4876">
            <v>132819</v>
          </cell>
          <cell r="C4876">
            <v>885</v>
          </cell>
          <cell r="D4876" t="str">
            <v>Worcestershire</v>
          </cell>
          <cell r="E4876">
            <v>4437</v>
          </cell>
          <cell r="F4876" t="str">
            <v>Carla Spink</v>
          </cell>
          <cell r="G4876" t="str">
            <v>Trinity High School and Sixth Form Centre</v>
          </cell>
          <cell r="H4876" t="str">
            <v>West Midlands</v>
          </cell>
          <cell r="I4876" t="str">
            <v>Easemore Road</v>
          </cell>
          <cell r="L4876" t="str">
            <v>Redditch</v>
          </cell>
          <cell r="M4876" t="str">
            <v>Worcestershire</v>
          </cell>
          <cell r="N4876" t="str">
            <v>B98 8HB</v>
          </cell>
          <cell r="O4876" t="str">
            <v>trinityhigh6th@aol.com _x000D_
 trinityhigh6th@aol.com</v>
          </cell>
          <cell r="P4876">
            <v>40632</v>
          </cell>
        </row>
        <row r="4877">
          <cell r="A4877">
            <v>8612057</v>
          </cell>
          <cell r="B4877">
            <v>123998</v>
          </cell>
          <cell r="C4877">
            <v>861</v>
          </cell>
          <cell r="D4877" t="str">
            <v>Stoke-on-Trent</v>
          </cell>
          <cell r="E4877">
            <v>2057</v>
          </cell>
          <cell r="F4877" t="str">
            <v>Julia Waterhouse</v>
          </cell>
          <cell r="G4877" t="str">
            <v>Harpfield Primary School</v>
          </cell>
          <cell r="H4877" t="str">
            <v>West Midlands</v>
          </cell>
          <cell r="I4877" t="str">
            <v>Palmers Green</v>
          </cell>
          <cell r="J4877" t="str">
            <v>Hartshill</v>
          </cell>
          <cell r="L4877" t="str">
            <v>Stoke-on-Trent</v>
          </cell>
          <cell r="M4877" t="str">
            <v>Staffordshire</v>
          </cell>
          <cell r="N4877" t="str">
            <v>ST4 6AP</v>
          </cell>
          <cell r="O4877" t="str">
            <v>harpfield@sgfl.org.uk</v>
          </cell>
        </row>
        <row r="4878">
          <cell r="A4878">
            <v>8874530</v>
          </cell>
          <cell r="B4878">
            <v>118839</v>
          </cell>
          <cell r="C4878">
            <v>887</v>
          </cell>
          <cell r="D4878" t="str">
            <v>Medway</v>
          </cell>
          <cell r="E4878">
            <v>4530</v>
          </cell>
          <cell r="F4878" t="str">
            <v>Elizabeth Rouse</v>
          </cell>
          <cell r="G4878" t="str">
            <v>Sir Joseph Williamson's Mathematical School</v>
          </cell>
          <cell r="H4878" t="str">
            <v>South East</v>
          </cell>
          <cell r="I4878" t="str">
            <v>Maidstone Road</v>
          </cell>
          <cell r="L4878" t="str">
            <v>Rochester</v>
          </cell>
          <cell r="M4878" t="str">
            <v>Kent</v>
          </cell>
          <cell r="N4878" t="str">
            <v>ME1 3EL</v>
          </cell>
          <cell r="O4878" t="str">
            <v>holdeng@sirjosephwilliamson.medway.sch.uk</v>
          </cell>
          <cell r="P4878">
            <v>40501</v>
          </cell>
        </row>
        <row r="4879">
          <cell r="A4879">
            <v>9083461</v>
          </cell>
          <cell r="B4879">
            <v>112006</v>
          </cell>
          <cell r="C4879">
            <v>908</v>
          </cell>
          <cell r="D4879" t="str">
            <v>Cornwall</v>
          </cell>
          <cell r="E4879">
            <v>3461</v>
          </cell>
          <cell r="F4879" t="str">
            <v>Kate Bosher</v>
          </cell>
          <cell r="G4879" t="str">
            <v>St Meriadoc CofE Junior School</v>
          </cell>
          <cell r="H4879" t="str">
            <v>South West</v>
          </cell>
          <cell r="I4879" t="str">
            <v>Cranfield Road</v>
          </cell>
          <cell r="L4879" t="str">
            <v>Camborne</v>
          </cell>
          <cell r="M4879" t="str">
            <v>Cornwall</v>
          </cell>
          <cell r="N4879" t="str">
            <v>TR14 7PJ</v>
          </cell>
          <cell r="O4879" t="str">
            <v>head@st-meriadoc-jnr.cornwall.sch.uk</v>
          </cell>
        </row>
        <row r="4880">
          <cell r="A4880">
            <v>8602230</v>
          </cell>
          <cell r="B4880">
            <v>124100</v>
          </cell>
          <cell r="C4880">
            <v>860</v>
          </cell>
          <cell r="D4880" t="str">
            <v>Staffordshire</v>
          </cell>
          <cell r="E4880">
            <v>2230</v>
          </cell>
          <cell r="F4880" t="str">
            <v>Alison Middleton</v>
          </cell>
          <cell r="G4880" t="str">
            <v>Chadsmead Primary School</v>
          </cell>
          <cell r="H4880" t="str">
            <v>West Midlands</v>
          </cell>
          <cell r="I4880" t="str">
            <v>Friday Acre</v>
          </cell>
          <cell r="L4880" t="str">
            <v>Lichfield</v>
          </cell>
          <cell r="M4880" t="str">
            <v>Staffordshire</v>
          </cell>
          <cell r="N4880" t="str">
            <v>WS13 7HJ</v>
          </cell>
          <cell r="O4880" t="str">
            <v>headteacher@chadsmead.staffs.sch.uk</v>
          </cell>
          <cell r="P4880">
            <v>40592</v>
          </cell>
        </row>
        <row r="4881">
          <cell r="A4881">
            <v>9292229</v>
          </cell>
          <cell r="B4881">
            <v>122224</v>
          </cell>
          <cell r="C4881">
            <v>929</v>
          </cell>
          <cell r="D4881" t="str">
            <v>Northumberland</v>
          </cell>
          <cell r="E4881">
            <v>2229</v>
          </cell>
          <cell r="F4881" t="str">
            <v>Lisa Sargeant</v>
          </cell>
          <cell r="G4881" t="str">
            <v>New Hartley First School</v>
          </cell>
          <cell r="H4881" t="str">
            <v>North East</v>
          </cell>
          <cell r="I4881" t="str">
            <v>New Hartley</v>
          </cell>
          <cell r="L4881" t="str">
            <v>Whitley Bay</v>
          </cell>
          <cell r="M4881" t="str">
            <v>Tyne and Wear</v>
          </cell>
          <cell r="N4881" t="str">
            <v>NE25 0RD</v>
          </cell>
          <cell r="O4881" t="str">
            <v>anthony.wright01@northumberland.gov.uk</v>
          </cell>
        </row>
        <row r="4882">
          <cell r="A4882">
            <v>9195206</v>
          </cell>
          <cell r="B4882">
            <v>117566</v>
          </cell>
          <cell r="C4882">
            <v>919</v>
          </cell>
          <cell r="D4882" t="str">
            <v>Hertfordshire</v>
          </cell>
          <cell r="E4882">
            <v>5206</v>
          </cell>
          <cell r="F4882" t="str">
            <v>Beverley Samuel</v>
          </cell>
          <cell r="G4882" t="str">
            <v>The Wroxham School</v>
          </cell>
          <cell r="H4882" t="str">
            <v>East of England</v>
          </cell>
          <cell r="I4882" t="str">
            <v>Wroxham Gardens</v>
          </cell>
          <cell r="L4882" t="str">
            <v>Potters Bar</v>
          </cell>
          <cell r="M4882" t="str">
            <v>Hertfordshire</v>
          </cell>
          <cell r="N4882" t="str">
            <v>EN6 3DJ</v>
          </cell>
          <cell r="O4882" t="str">
            <v>head@wroxham.herts.sch.uk</v>
          </cell>
          <cell r="P4882">
            <v>40932</v>
          </cell>
        </row>
        <row r="4883">
          <cell r="A4883">
            <v>8863461</v>
          </cell>
          <cell r="B4883">
            <v>134921</v>
          </cell>
          <cell r="C4883">
            <v>886</v>
          </cell>
          <cell r="D4883" t="str">
            <v>Kent</v>
          </cell>
          <cell r="E4883">
            <v>3461</v>
          </cell>
          <cell r="F4883" t="str">
            <v>Tony Dunne</v>
          </cell>
          <cell r="G4883" t="str">
            <v>Archbishop Courtenay Primary School</v>
          </cell>
          <cell r="H4883" t="str">
            <v>South East</v>
          </cell>
          <cell r="I4883" t="str">
            <v>College Road</v>
          </cell>
          <cell r="L4883" t="str">
            <v>Maidstone</v>
          </cell>
          <cell r="M4883" t="str">
            <v>Kent</v>
          </cell>
          <cell r="N4883" t="str">
            <v>ME15 6YH</v>
          </cell>
          <cell r="O4883" t="str">
            <v>headteacher@archbishopcourtenay.kent.sch.uk</v>
          </cell>
        </row>
        <row r="4884">
          <cell r="A4884">
            <v>9082030</v>
          </cell>
          <cell r="B4884">
            <v>111807</v>
          </cell>
          <cell r="C4884">
            <v>908</v>
          </cell>
          <cell r="D4884" t="str">
            <v>Cornwall</v>
          </cell>
          <cell r="E4884">
            <v>2030</v>
          </cell>
          <cell r="F4884" t="str">
            <v>Maria Whiting</v>
          </cell>
          <cell r="G4884" t="str">
            <v>St Ives Infant School</v>
          </cell>
          <cell r="H4884" t="str">
            <v>South West</v>
          </cell>
          <cell r="I4884" t="str">
            <v>The Burrows</v>
          </cell>
          <cell r="L4884" t="str">
            <v>St Ives</v>
          </cell>
          <cell r="M4884" t="str">
            <v>Cornwall</v>
          </cell>
          <cell r="N4884" t="str">
            <v>TR26 1DH</v>
          </cell>
          <cell r="O4884" t="str">
            <v>head@st-ives-inf.cornwall.sch.uk</v>
          </cell>
          <cell r="P4884">
            <v>40676</v>
          </cell>
        </row>
        <row r="4885">
          <cell r="A4885">
            <v>9087002</v>
          </cell>
          <cell r="B4885">
            <v>112084</v>
          </cell>
          <cell r="C4885">
            <v>908</v>
          </cell>
          <cell r="D4885" t="str">
            <v>Cornwall</v>
          </cell>
          <cell r="E4885">
            <v>7002</v>
          </cell>
          <cell r="F4885" t="str">
            <v>Lin Houston</v>
          </cell>
          <cell r="G4885" t="str">
            <v>Pencalenick School</v>
          </cell>
          <cell r="H4885" t="str">
            <v>South West</v>
          </cell>
          <cell r="I4885" t="str">
            <v>St Clement</v>
          </cell>
          <cell r="L4885" t="str">
            <v>Truro</v>
          </cell>
          <cell r="N4885" t="str">
            <v>TR1 1TE</v>
          </cell>
          <cell r="O4885" t="str">
            <v>head@pencalenick.org</v>
          </cell>
          <cell r="P4885">
            <v>40564</v>
          </cell>
        </row>
        <row r="4886">
          <cell r="A4886">
            <v>3712163</v>
          </cell>
          <cell r="B4886">
            <v>106726</v>
          </cell>
          <cell r="C4886">
            <v>371</v>
          </cell>
          <cell r="D4886" t="str">
            <v>Doncaster</v>
          </cell>
          <cell r="E4886">
            <v>2163</v>
          </cell>
          <cell r="F4886" t="str">
            <v>Glyn Newton</v>
          </cell>
          <cell r="G4886" t="str">
            <v>Windhill Primary School</v>
          </cell>
          <cell r="H4886" t="str">
            <v>Yorkshire and the Humber</v>
          </cell>
          <cell r="I4886" t="str">
            <v>Hollingworth Close</v>
          </cell>
          <cell r="L4886" t="str">
            <v>Mexborough</v>
          </cell>
          <cell r="M4886" t="str">
            <v>South Yorkshire</v>
          </cell>
          <cell r="N4886" t="str">
            <v>S64 0PQ</v>
          </cell>
          <cell r="O4886" t="str">
            <v xml:space="preserve"> head@windhill-primary.doncaster.sch.uk</v>
          </cell>
        </row>
        <row r="4887">
          <cell r="A4887">
            <v>9283073</v>
          </cell>
          <cell r="B4887">
            <v>121999</v>
          </cell>
          <cell r="C4887">
            <v>928</v>
          </cell>
          <cell r="D4887" t="str">
            <v>Northamptonshire</v>
          </cell>
          <cell r="E4887">
            <v>3073</v>
          </cell>
          <cell r="F4887" t="str">
            <v>Helen Whetter</v>
          </cell>
          <cell r="G4887" t="str">
            <v>Freemans Endowed Church of England Junior School</v>
          </cell>
          <cell r="H4887" t="str">
            <v>East Midlands</v>
          </cell>
          <cell r="I4887" t="str">
            <v>Westfield Road</v>
          </cell>
          <cell r="L4887" t="str">
            <v>Wellingborough</v>
          </cell>
          <cell r="M4887" t="str">
            <v>Northamptonshire</v>
          </cell>
          <cell r="N4887" t="str">
            <v>NN8 3HD</v>
          </cell>
          <cell r="O4887" t="str">
            <v>head@freemans-ce.northants-ecl.gov.uk</v>
          </cell>
          <cell r="P4887">
            <v>41114</v>
          </cell>
        </row>
        <row r="4888">
          <cell r="A4888">
            <v>3314027</v>
          </cell>
          <cell r="B4888">
            <v>103730</v>
          </cell>
          <cell r="C4888">
            <v>331</v>
          </cell>
          <cell r="D4888" t="str">
            <v>Coventry</v>
          </cell>
          <cell r="E4888">
            <v>4027</v>
          </cell>
          <cell r="F4888" t="str">
            <v>Alison Middleton</v>
          </cell>
          <cell r="G4888" t="str">
            <v>The Woodlands School</v>
          </cell>
          <cell r="H4888" t="str">
            <v>West Midlands</v>
          </cell>
          <cell r="I4888" t="str">
            <v>Broad Lane</v>
          </cell>
          <cell r="L4888" t="str">
            <v>Coventry</v>
          </cell>
          <cell r="M4888" t="str">
            <v>West Midlands</v>
          </cell>
          <cell r="N4888" t="str">
            <v>CV5 7FF</v>
          </cell>
          <cell r="O4888" t="str">
            <v>neil.charlton@woodlands.coventry.sch.uk</v>
          </cell>
          <cell r="P4888">
            <v>40638</v>
          </cell>
        </row>
        <row r="4889">
          <cell r="A4889">
            <v>8745410</v>
          </cell>
          <cell r="B4889">
            <v>110904</v>
          </cell>
          <cell r="C4889">
            <v>874</v>
          </cell>
          <cell r="D4889" t="str">
            <v>Peterborough</v>
          </cell>
          <cell r="E4889">
            <v>5410</v>
          </cell>
          <cell r="G4889" t="str">
            <v>Stanground College</v>
          </cell>
          <cell r="H4889" t="str">
            <v>East of England</v>
          </cell>
          <cell r="I4889" t="str">
            <v>Peterborough Road</v>
          </cell>
          <cell r="L4889" t="str">
            <v>Peterborough</v>
          </cell>
          <cell r="M4889" t="str">
            <v>Cambridgeshire</v>
          </cell>
          <cell r="N4889" t="str">
            <v>PE7 3BY</v>
          </cell>
          <cell r="O4889" t="str">
            <v>astory@stangroundcollege.co.uk</v>
          </cell>
        </row>
        <row r="4890">
          <cell r="A4890">
            <v>3302226</v>
          </cell>
          <cell r="B4890">
            <v>103280</v>
          </cell>
          <cell r="C4890">
            <v>330</v>
          </cell>
          <cell r="D4890" t="str">
            <v>Birmingham</v>
          </cell>
          <cell r="E4890">
            <v>2226</v>
          </cell>
          <cell r="F4890" t="str">
            <v>Alison Middleton</v>
          </cell>
          <cell r="G4890" t="str">
            <v>Cottesbrooke Junior School</v>
          </cell>
          <cell r="H4890" t="str">
            <v>West Midlands</v>
          </cell>
          <cell r="I4890" t="str">
            <v>Cedars Avenue</v>
          </cell>
          <cell r="L4890" t="str">
            <v>Birmingham</v>
          </cell>
          <cell r="M4890" t="str">
            <v>West Midlands</v>
          </cell>
          <cell r="N4890" t="str">
            <v>B27 6JL</v>
          </cell>
        </row>
        <row r="4891">
          <cell r="A4891">
            <v>8573114</v>
          </cell>
          <cell r="B4891">
            <v>120180</v>
          </cell>
          <cell r="C4891">
            <v>857</v>
          </cell>
          <cell r="D4891" t="str">
            <v>Rutland</v>
          </cell>
          <cell r="E4891">
            <v>3114</v>
          </cell>
          <cell r="F4891" t="str">
            <v>Gabriela Grimley</v>
          </cell>
          <cell r="G4891" t="str">
            <v>Langham C of E Primary School</v>
          </cell>
          <cell r="H4891" t="str">
            <v>East Midlands</v>
          </cell>
          <cell r="I4891" t="str">
            <v>1 Burley Road</v>
          </cell>
          <cell r="J4891" t="str">
            <v>Langham</v>
          </cell>
          <cell r="L4891" t="str">
            <v>Oakham</v>
          </cell>
          <cell r="M4891" t="str">
            <v>Rutland</v>
          </cell>
          <cell r="N4891" t="str">
            <v>LE15 7HY</v>
          </cell>
          <cell r="O4891" t="str">
            <v>head@langham.rutland.sch.uk</v>
          </cell>
        </row>
        <row r="4892">
          <cell r="A4892">
            <v>9354060</v>
          </cell>
          <cell r="B4892">
            <v>124820</v>
          </cell>
          <cell r="C4892">
            <v>935</v>
          </cell>
          <cell r="D4892" t="str">
            <v>Suffolk</v>
          </cell>
          <cell r="E4892">
            <v>4060</v>
          </cell>
          <cell r="F4892" t="str">
            <v>Claire Ivie</v>
          </cell>
          <cell r="G4892" t="str">
            <v>Combs Middle School</v>
          </cell>
          <cell r="H4892" t="str">
            <v>East of England</v>
          </cell>
          <cell r="I4892" t="str">
            <v>Lavenham Way</v>
          </cell>
          <cell r="L4892" t="str">
            <v>Stowmarket</v>
          </cell>
          <cell r="M4892" t="str">
            <v>Suffolk</v>
          </cell>
          <cell r="N4892" t="str">
            <v>IP14 2BZ</v>
          </cell>
          <cell r="O4892" t="str">
            <v>head@combs.suffolk.sch.uk</v>
          </cell>
          <cell r="P4892">
            <v>40581</v>
          </cell>
        </row>
        <row r="4893">
          <cell r="A4893">
            <v>8655201</v>
          </cell>
          <cell r="B4893">
            <v>126475</v>
          </cell>
          <cell r="C4893">
            <v>865</v>
          </cell>
          <cell r="D4893" t="str">
            <v>Wiltshire</v>
          </cell>
          <cell r="E4893">
            <v>5201</v>
          </cell>
          <cell r="F4893" t="str">
            <v>Theresa Oddelm</v>
          </cell>
          <cell r="G4893" t="str">
            <v>Downton CofE VA Primary School</v>
          </cell>
          <cell r="H4893" t="str">
            <v>South West</v>
          </cell>
          <cell r="I4893" t="str">
            <v>Gravel Close</v>
          </cell>
          <cell r="J4893" t="str">
            <v>Downton</v>
          </cell>
          <cell r="L4893" t="str">
            <v>Salisbury</v>
          </cell>
          <cell r="M4893" t="str">
            <v>Wiltshire</v>
          </cell>
          <cell r="N4893" t="str">
            <v>SP5 3LZ</v>
          </cell>
          <cell r="O4893" t="str">
            <v>head@downton-pri.wilts.sch.uk</v>
          </cell>
        </row>
        <row r="4894">
          <cell r="A4894">
            <v>3324020</v>
          </cell>
          <cell r="B4894">
            <v>103854</v>
          </cell>
          <cell r="C4894">
            <v>332</v>
          </cell>
          <cell r="D4894" t="str">
            <v>Dudley</v>
          </cell>
          <cell r="E4894">
            <v>4020</v>
          </cell>
          <cell r="F4894" t="str">
            <v>Stephen Bagnall</v>
          </cell>
          <cell r="G4894" t="str">
            <v>Summerhill School</v>
          </cell>
          <cell r="H4894" t="str">
            <v>West Midlands</v>
          </cell>
          <cell r="I4894" t="str">
            <v>Lodge Lane</v>
          </cell>
          <cell r="L4894" t="str">
            <v>Kingswinford</v>
          </cell>
          <cell r="M4894" t="str">
            <v>West Midlands</v>
          </cell>
          <cell r="N4894" t="str">
            <v>DY6 9XE</v>
          </cell>
          <cell r="O4894" t="str">
            <v>bwarren@summerhill.dudley.sch.uk</v>
          </cell>
        </row>
        <row r="4895">
          <cell r="A4895">
            <v>9282122</v>
          </cell>
          <cell r="B4895">
            <v>121884</v>
          </cell>
          <cell r="C4895">
            <v>928</v>
          </cell>
          <cell r="D4895" t="str">
            <v>Northamptonshire</v>
          </cell>
          <cell r="E4895">
            <v>2122</v>
          </cell>
          <cell r="F4895" t="str">
            <v>Helen Whetter</v>
          </cell>
          <cell r="G4895" t="str">
            <v>Warwick Primary School</v>
          </cell>
          <cell r="H4895" t="str">
            <v>East Midlands</v>
          </cell>
          <cell r="I4895" t="str">
            <v>Dulley Avenue</v>
          </cell>
          <cell r="L4895" t="str">
            <v>Wellingborough</v>
          </cell>
          <cell r="M4895" t="str">
            <v>Northamptonshire</v>
          </cell>
          <cell r="N4895" t="str">
            <v>NN8 2PS</v>
          </cell>
        </row>
        <row r="4896">
          <cell r="A4896">
            <v>8154047</v>
          </cell>
          <cell r="B4896">
            <v>121669</v>
          </cell>
          <cell r="C4896">
            <v>815</v>
          </cell>
          <cell r="D4896" t="str">
            <v>North Yorkshire</v>
          </cell>
          <cell r="E4896">
            <v>4047</v>
          </cell>
          <cell r="F4896" t="str">
            <v>Jane Moore</v>
          </cell>
          <cell r="G4896" t="str">
            <v>Stokesley School</v>
          </cell>
          <cell r="H4896" t="str">
            <v>Yorkshire and the Humber</v>
          </cell>
          <cell r="I4896" t="str">
            <v>Station Road</v>
          </cell>
          <cell r="L4896" t="str">
            <v>Stokesley</v>
          </cell>
          <cell r="M4896" t="str">
            <v>North Yorkshire</v>
          </cell>
          <cell r="N4896" t="str">
            <v>TS9 5AL</v>
          </cell>
          <cell r="O4896" t="str">
            <v>user13@stokesleyschool.org</v>
          </cell>
        </row>
        <row r="4897">
          <cell r="A4897">
            <v>2134809</v>
          </cell>
          <cell r="B4897">
            <v>101155</v>
          </cell>
          <cell r="C4897">
            <v>213</v>
          </cell>
          <cell r="D4897" t="str">
            <v>Westminster</v>
          </cell>
          <cell r="E4897">
            <v>4809</v>
          </cell>
          <cell r="F4897" t="str">
            <v>Sheila Longstaff</v>
          </cell>
          <cell r="G4897" t="str">
            <v>St George RC School</v>
          </cell>
          <cell r="H4897" t="str">
            <v>London</v>
          </cell>
          <cell r="I4897" t="str">
            <v>Lanark Road</v>
          </cell>
          <cell r="J4897" t="str">
            <v>Maida Vale</v>
          </cell>
          <cell r="L4897" t="str">
            <v>London</v>
          </cell>
          <cell r="N4897" t="str">
            <v>W9 1RB</v>
          </cell>
          <cell r="O4897" t="str">
            <v>s.williams@stgeorgesrc.org</v>
          </cell>
        </row>
        <row r="4898">
          <cell r="A4898">
            <v>8784108</v>
          </cell>
          <cell r="B4898">
            <v>113519</v>
          </cell>
          <cell r="C4898">
            <v>878</v>
          </cell>
          <cell r="D4898" t="str">
            <v>Devon</v>
          </cell>
          <cell r="E4898">
            <v>4108</v>
          </cell>
          <cell r="F4898" t="str">
            <v>Susan Phillips</v>
          </cell>
          <cell r="G4898" t="str">
            <v>South Dartmoor Community College</v>
          </cell>
          <cell r="H4898" t="str">
            <v>South West</v>
          </cell>
          <cell r="I4898" t="str">
            <v>Balland Lane</v>
          </cell>
          <cell r="J4898" t="str">
            <v>Ashburton</v>
          </cell>
          <cell r="L4898" t="str">
            <v>Newton Abbot</v>
          </cell>
          <cell r="M4898" t="str">
            <v>Devon</v>
          </cell>
          <cell r="N4898" t="str">
            <v>TQ13 7EW</v>
          </cell>
          <cell r="O4898" t="str">
            <v xml:space="preserve">atapper@southdartmoor.devon.sch.uk </v>
          </cell>
          <cell r="P4898">
            <v>40578</v>
          </cell>
        </row>
        <row r="4899">
          <cell r="A4899">
            <v>8932099</v>
          </cell>
          <cell r="B4899">
            <v>123396</v>
          </cell>
          <cell r="C4899">
            <v>893</v>
          </cell>
          <cell r="D4899" t="str">
            <v>Shropshire</v>
          </cell>
          <cell r="E4899">
            <v>2099</v>
          </cell>
          <cell r="F4899" t="str">
            <v>Julia Waterhouse</v>
          </cell>
          <cell r="G4899" t="str">
            <v>Sheriffhales Primary School</v>
          </cell>
          <cell r="H4899" t="str">
            <v>West Midlands</v>
          </cell>
          <cell r="I4899" t="str">
            <v>Sheriffhales</v>
          </cell>
          <cell r="L4899" t="str">
            <v>Shifnal</v>
          </cell>
          <cell r="M4899" t="str">
            <v>Shropshire</v>
          </cell>
          <cell r="N4899" t="str">
            <v>TF11 8RA</v>
          </cell>
          <cell r="O4899" t="str">
            <v>head.sheriffhales@shropshirelg.net</v>
          </cell>
        </row>
        <row r="4900">
          <cell r="A4900">
            <v>8354615</v>
          </cell>
          <cell r="B4900">
            <v>113895</v>
          </cell>
          <cell r="C4900">
            <v>835</v>
          </cell>
          <cell r="D4900" t="str">
            <v>Dorset</v>
          </cell>
          <cell r="E4900">
            <v>4615</v>
          </cell>
          <cell r="F4900" t="str">
            <v>Tahamina Khan</v>
          </cell>
          <cell r="G4900" t="str">
            <v>The Thomas Hardye School</v>
          </cell>
          <cell r="H4900" t="str">
            <v>South West</v>
          </cell>
          <cell r="I4900" t="str">
            <v>Queen's Avenue</v>
          </cell>
          <cell r="L4900" t="str">
            <v>Dorchester</v>
          </cell>
          <cell r="M4900" t="str">
            <v>Dorset</v>
          </cell>
          <cell r="N4900" t="str">
            <v>DT1 2ET</v>
          </cell>
          <cell r="O4900" t="str">
            <v>mfoley@thomas-hardye.dorset.sch.uk</v>
          </cell>
          <cell r="P4900">
            <v>40570</v>
          </cell>
        </row>
        <row r="4901">
          <cell r="A4901">
            <v>9095218</v>
          </cell>
          <cell r="B4901">
            <v>112420</v>
          </cell>
          <cell r="C4901">
            <v>909</v>
          </cell>
          <cell r="D4901" t="str">
            <v>Cumbria</v>
          </cell>
          <cell r="E4901">
            <v>5218</v>
          </cell>
          <cell r="F4901" t="str">
            <v>Linda Tiley</v>
          </cell>
          <cell r="G4901" t="str">
            <v>Fir Ends Primary School</v>
          </cell>
          <cell r="H4901" t="str">
            <v>North West</v>
          </cell>
          <cell r="I4901" t="str">
            <v>Smithfield</v>
          </cell>
          <cell r="J4901" t="str">
            <v>Kirklinton</v>
          </cell>
          <cell r="L4901" t="str">
            <v>Carlisle</v>
          </cell>
          <cell r="M4901" t="str">
            <v>Cumbria</v>
          </cell>
          <cell r="N4901" t="str">
            <v>CA6 6AY</v>
          </cell>
          <cell r="O4901" t="str">
            <v>suehatt@fir-ends.cumbria.sch.uk</v>
          </cell>
        </row>
        <row r="4902">
          <cell r="A4902">
            <v>3055407</v>
          </cell>
          <cell r="B4902">
            <v>101673</v>
          </cell>
          <cell r="C4902">
            <v>305</v>
          </cell>
          <cell r="D4902" t="str">
            <v>Bromley</v>
          </cell>
          <cell r="E4902">
            <v>5407</v>
          </cell>
          <cell r="F4902" t="str">
            <v>Dervise Ali-Riza</v>
          </cell>
          <cell r="G4902" t="str">
            <v>Hayes School</v>
          </cell>
          <cell r="H4902" t="str">
            <v>London</v>
          </cell>
          <cell r="I4902" t="str">
            <v>West Common Road</v>
          </cell>
          <cell r="J4902" t="str">
            <v>Hayes</v>
          </cell>
          <cell r="L4902" t="str">
            <v>Bromley</v>
          </cell>
          <cell r="M4902" t="str">
            <v>Kent</v>
          </cell>
          <cell r="N4902" t="str">
            <v>BR2 7DB</v>
          </cell>
          <cell r="O4902" t="str">
            <v>k.osborne@hayes.bromley.sch.uk</v>
          </cell>
          <cell r="P4902">
            <v>40532</v>
          </cell>
        </row>
        <row r="4903">
          <cell r="A4903">
            <v>3517009</v>
          </cell>
          <cell r="B4903">
            <v>105376</v>
          </cell>
          <cell r="C4903">
            <v>351</v>
          </cell>
          <cell r="D4903" t="str">
            <v>Bury</v>
          </cell>
          <cell r="E4903">
            <v>7009</v>
          </cell>
          <cell r="F4903" t="str">
            <v>Viv Clutton</v>
          </cell>
          <cell r="G4903" t="str">
            <v>Cloughside College</v>
          </cell>
          <cell r="H4903" t="str">
            <v>North West</v>
          </cell>
          <cell r="I4903" t="str">
            <v>Bury New Road</v>
          </cell>
          <cell r="J4903" t="str">
            <v>Prestwich</v>
          </cell>
          <cell r="L4903" t="str">
            <v>Manchester</v>
          </cell>
          <cell r="N4903" t="str">
            <v>M25 3BL</v>
          </cell>
          <cell r="O4903" t="str">
            <v>bursar_cloughside@hotmail.com</v>
          </cell>
        </row>
        <row r="4904">
          <cell r="A4904">
            <v>8013411</v>
          </cell>
          <cell r="B4904">
            <v>109250</v>
          </cell>
          <cell r="C4904">
            <v>801</v>
          </cell>
          <cell r="D4904" t="str">
            <v>Bristol City of</v>
          </cell>
          <cell r="E4904">
            <v>3411</v>
          </cell>
          <cell r="F4904" t="str">
            <v>Maria Whiting</v>
          </cell>
          <cell r="G4904" t="str">
            <v>St Patrick's Catholic Primary School</v>
          </cell>
          <cell r="H4904" t="str">
            <v>South West</v>
          </cell>
          <cell r="I4904" t="str">
            <v>Blackswarth Road</v>
          </cell>
          <cell r="J4904" t="str">
            <v>Redfield</v>
          </cell>
          <cell r="L4904" t="str">
            <v>Bristol</v>
          </cell>
          <cell r="N4904" t="str">
            <v>BS5 8AS</v>
          </cell>
          <cell r="O4904" t="str">
            <v>Headstpatricksp@bristol.gov.uk</v>
          </cell>
          <cell r="P4904">
            <v>40998</v>
          </cell>
        </row>
        <row r="4905">
          <cell r="A4905">
            <v>9082406</v>
          </cell>
          <cell r="B4905">
            <v>111885</v>
          </cell>
          <cell r="C4905">
            <v>908</v>
          </cell>
          <cell r="D4905" t="str">
            <v>Cornwall</v>
          </cell>
          <cell r="E4905">
            <v>2406</v>
          </cell>
          <cell r="F4905" t="str">
            <v>Vicky Dare</v>
          </cell>
          <cell r="G4905" t="str">
            <v>Newquay Junior School</v>
          </cell>
          <cell r="H4905" t="str">
            <v>South West</v>
          </cell>
          <cell r="I4905" t="str">
            <v>Edgcumbe Avenue</v>
          </cell>
          <cell r="L4905" t="str">
            <v>Newquay</v>
          </cell>
          <cell r="M4905" t="str">
            <v>Cornwall</v>
          </cell>
          <cell r="N4905" t="str">
            <v>TR7 2NL</v>
          </cell>
          <cell r="O4905" t="str">
            <v>head@newquay-jnr.cornwall.sch.uk</v>
          </cell>
          <cell r="P4905">
            <v>40458</v>
          </cell>
        </row>
        <row r="4906">
          <cell r="A4906">
            <v>3514005</v>
          </cell>
          <cell r="B4906">
            <v>134195</v>
          </cell>
          <cell r="C4906">
            <v>351</v>
          </cell>
          <cell r="D4906" t="str">
            <v>Bury</v>
          </cell>
          <cell r="E4906">
            <v>4005</v>
          </cell>
          <cell r="F4906" t="str">
            <v>Viv Clutton</v>
          </cell>
          <cell r="G4906" t="str">
            <v>Manchester Mesivta</v>
          </cell>
          <cell r="H4906" t="str">
            <v>North West</v>
          </cell>
          <cell r="I4906" t="str">
            <v>Beechwood</v>
          </cell>
          <cell r="J4906" t="str">
            <v>Charlton Avenue</v>
          </cell>
          <cell r="L4906" t="str">
            <v>Prestwich</v>
          </cell>
          <cell r="M4906" t="str">
            <v>Greater Manchester</v>
          </cell>
          <cell r="N4906" t="str">
            <v>M25 0PH</v>
          </cell>
          <cell r="O4906" t="str">
            <v>p.pink@bury.gov.uk</v>
          </cell>
          <cell r="P4906">
            <v>40548</v>
          </cell>
        </row>
        <row r="4907">
          <cell r="A4907">
            <v>3305416</v>
          </cell>
          <cell r="B4907">
            <v>103563</v>
          </cell>
          <cell r="C4907">
            <v>330</v>
          </cell>
          <cell r="D4907" t="str">
            <v>Birmingham</v>
          </cell>
          <cell r="E4907">
            <v>5416</v>
          </cell>
          <cell r="F4907" t="str">
            <v>Hannah Copp</v>
          </cell>
          <cell r="G4907" t="str">
            <v xml:space="preserve">Colmers School </v>
          </cell>
          <cell r="H4907" t="str">
            <v>West Midlands</v>
          </cell>
          <cell r="I4907" t="str">
            <v>Bristol Road South</v>
          </cell>
          <cell r="J4907" t="str">
            <v>Rednal</v>
          </cell>
          <cell r="L4907" t="str">
            <v>Birmingham</v>
          </cell>
          <cell r="M4907" t="str">
            <v>West Midlands</v>
          </cell>
          <cell r="N4907" t="str">
            <v>B45 9NY</v>
          </cell>
          <cell r="O4907" t="str">
            <v>enquiries@colmers.bham.sch.uk</v>
          </cell>
        </row>
        <row r="4908">
          <cell r="A4908">
            <v>8222120</v>
          </cell>
          <cell r="B4908">
            <v>109478</v>
          </cell>
          <cell r="C4908">
            <v>822</v>
          </cell>
          <cell r="D4908" t="str">
            <v>Bedford</v>
          </cell>
          <cell r="E4908">
            <v>2120</v>
          </cell>
          <cell r="F4908" t="str">
            <v>Michael Cook</v>
          </cell>
          <cell r="G4908" t="str">
            <v>Sharnbrook John Gibbard Lower School</v>
          </cell>
          <cell r="H4908" t="str">
            <v>East of England</v>
          </cell>
          <cell r="I4908" t="str">
            <v>High Street</v>
          </cell>
          <cell r="J4908" t="str">
            <v>Sharnbrook</v>
          </cell>
          <cell r="L4908" t="str">
            <v>Bedford</v>
          </cell>
          <cell r="M4908" t="str">
            <v>Bedfordshire</v>
          </cell>
          <cell r="N4908" t="str">
            <v>MK44 1PF</v>
          </cell>
          <cell r="O4908" t="str">
            <v xml:space="preserve"> johngib@deal.bedfordshire.gov.uk</v>
          </cell>
          <cell r="P4908">
            <v>41095</v>
          </cell>
        </row>
        <row r="4909">
          <cell r="A4909">
            <v>3125404</v>
          </cell>
          <cell r="B4909">
            <v>102444</v>
          </cell>
          <cell r="C4909">
            <v>312</v>
          </cell>
          <cell r="D4909" t="str">
            <v>Hillingdon</v>
          </cell>
          <cell r="E4909">
            <v>5404</v>
          </cell>
          <cell r="F4909" t="str">
            <v>Sheila Longstaff</v>
          </cell>
          <cell r="G4909" t="str">
            <v>Uxbridge High School</v>
          </cell>
          <cell r="H4909" t="str">
            <v>London</v>
          </cell>
          <cell r="I4909" t="str">
            <v>The Greenway</v>
          </cell>
          <cell r="L4909" t="str">
            <v>Uxbridge</v>
          </cell>
          <cell r="N4909" t="str">
            <v>UB8 2PR</v>
          </cell>
          <cell r="O4909" t="str">
            <v>lcarroll@hillingdongrid.org</v>
          </cell>
          <cell r="P4909">
            <v>40570</v>
          </cell>
        </row>
        <row r="4910">
          <cell r="A4910">
            <v>8872646</v>
          </cell>
          <cell r="B4910">
            <v>118561</v>
          </cell>
          <cell r="C4910">
            <v>887</v>
          </cell>
          <cell r="D4910" t="str">
            <v>Medway</v>
          </cell>
          <cell r="E4910">
            <v>2646</v>
          </cell>
          <cell r="F4910" t="str">
            <v>Dilu Chowdhury</v>
          </cell>
          <cell r="G4910" t="str">
            <v>Brompton-Westbrook Primary School</v>
          </cell>
          <cell r="H4910" t="str">
            <v>South East</v>
          </cell>
          <cell r="I4910" t="str">
            <v>Kings Bastion</v>
          </cell>
          <cell r="J4910" t="str">
            <v>Brompton</v>
          </cell>
          <cell r="L4910" t="str">
            <v>Gillingham</v>
          </cell>
          <cell r="M4910" t="str">
            <v>Kent</v>
          </cell>
          <cell r="N4910" t="str">
            <v>ME7 5DQ</v>
          </cell>
          <cell r="O4910" t="str">
            <v>heyej002@medway.org.uk</v>
          </cell>
        </row>
        <row r="4911">
          <cell r="A4911">
            <v>8735204</v>
          </cell>
          <cell r="B4911">
            <v>110892</v>
          </cell>
          <cell r="C4911">
            <v>873</v>
          </cell>
          <cell r="D4911" t="str">
            <v>Cambridgeshire</v>
          </cell>
          <cell r="E4911">
            <v>5204</v>
          </cell>
          <cell r="F4911" t="str">
            <v>Lynne Smith</v>
          </cell>
          <cell r="G4911" t="str">
            <v>Crosshall Junior School</v>
          </cell>
          <cell r="H4911" t="str">
            <v>East of England</v>
          </cell>
          <cell r="I4911" t="str">
            <v>Great North Road</v>
          </cell>
          <cell r="J4911" t="str">
            <v>Eaton Ford</v>
          </cell>
          <cell r="L4911" t="str">
            <v>St Neots</v>
          </cell>
          <cell r="M4911" t="str">
            <v>Cambridgeshire</v>
          </cell>
          <cell r="N4911" t="str">
            <v>PE19 7GG</v>
          </cell>
          <cell r="O4911" t="str">
            <v xml:space="preserve"> jelliott@crosshalljunior.co.uk</v>
          </cell>
          <cell r="P4911">
            <v>40368</v>
          </cell>
        </row>
        <row r="4912">
          <cell r="A4912">
            <v>9294424</v>
          </cell>
          <cell r="B4912">
            <v>122357</v>
          </cell>
          <cell r="C4912">
            <v>929</v>
          </cell>
          <cell r="D4912" t="str">
            <v>Northumberland</v>
          </cell>
          <cell r="E4912">
            <v>4424</v>
          </cell>
          <cell r="F4912" t="str">
            <v>Elinor Harman</v>
          </cell>
          <cell r="G4912" t="str">
            <v>Cramlington Learning Village</v>
          </cell>
          <cell r="H4912" t="str">
            <v>North East</v>
          </cell>
          <cell r="I4912" t="str">
            <v>Highburn</v>
          </cell>
          <cell r="L4912" t="str">
            <v>Cramlington</v>
          </cell>
          <cell r="M4912" t="str">
            <v>Northumberland</v>
          </cell>
          <cell r="N4912" t="str">
            <v>NE23 6BN</v>
          </cell>
          <cell r="O4912" t="str">
            <v>wheslop@cramlingtonlv.co.uk</v>
          </cell>
          <cell r="P4912">
            <v>40701</v>
          </cell>
        </row>
        <row r="4913">
          <cell r="A4913">
            <v>9163028</v>
          </cell>
          <cell r="B4913">
            <v>115618</v>
          </cell>
          <cell r="C4913">
            <v>916</v>
          </cell>
          <cell r="D4913" t="str">
            <v>Gloucestershire</v>
          </cell>
          <cell r="E4913">
            <v>3028</v>
          </cell>
          <cell r="F4913" t="str">
            <v>Kate Bosher</v>
          </cell>
          <cell r="G4913" t="str">
            <v>St John's Church of England Primary School</v>
          </cell>
          <cell r="H4913" t="str">
            <v>South West</v>
          </cell>
          <cell r="I4913" t="str">
            <v>Bowens Hill Road</v>
          </cell>
          <cell r="L4913" t="str">
            <v>Coleford</v>
          </cell>
          <cell r="M4913" t="str">
            <v>Gloucestershire</v>
          </cell>
          <cell r="N4913" t="str">
            <v>GL16 8DU</v>
          </cell>
          <cell r="O4913" t="str">
            <v>head@st-johns.gloucs.sch.uk</v>
          </cell>
          <cell r="P4913">
            <v>41022</v>
          </cell>
        </row>
        <row r="4914">
          <cell r="A4914">
            <v>9334273</v>
          </cell>
          <cell r="B4914">
            <v>123869</v>
          </cell>
          <cell r="C4914">
            <v>933</v>
          </cell>
          <cell r="D4914" t="str">
            <v>Somerset</v>
          </cell>
          <cell r="E4914">
            <v>4273</v>
          </cell>
          <cell r="F4914" t="str">
            <v>Ali Bushell</v>
          </cell>
          <cell r="G4914" t="str">
            <v>King Arthur's Community School</v>
          </cell>
          <cell r="H4914" t="str">
            <v>South West</v>
          </cell>
          <cell r="I4914" t="str">
            <v>West Hill</v>
          </cell>
          <cell r="L4914" t="str">
            <v>Wincanton</v>
          </cell>
          <cell r="M4914" t="str">
            <v>Somerset</v>
          </cell>
          <cell r="N4914" t="str">
            <v>BA9 9BX</v>
          </cell>
        </row>
        <row r="4915">
          <cell r="A4915">
            <v>3352028</v>
          </cell>
          <cell r="B4915">
            <v>104160</v>
          </cell>
          <cell r="C4915">
            <v>335</v>
          </cell>
          <cell r="D4915" t="str">
            <v>Walsall</v>
          </cell>
          <cell r="E4915">
            <v>2028</v>
          </cell>
          <cell r="F4915" t="str">
            <v>Not yet assigned</v>
          </cell>
          <cell r="G4915" t="str">
            <v>Palfrey Junior School</v>
          </cell>
          <cell r="H4915" t="str">
            <v>West Midlands</v>
          </cell>
          <cell r="I4915" t="str">
            <v>Milton Street</v>
          </cell>
          <cell r="L4915" t="str">
            <v>Walsall</v>
          </cell>
          <cell r="M4915" t="str">
            <v>West Midlands</v>
          </cell>
          <cell r="N4915" t="str">
            <v>WS1 4LA</v>
          </cell>
          <cell r="O4915" t="str">
            <v>gthornton@palfrey-j.walsall.sch.uk</v>
          </cell>
        </row>
        <row r="4916">
          <cell r="A4916">
            <v>9267015</v>
          </cell>
          <cell r="B4916">
            <v>121263</v>
          </cell>
          <cell r="C4916">
            <v>926</v>
          </cell>
          <cell r="D4916" t="str">
            <v>Norfolk</v>
          </cell>
          <cell r="E4916">
            <v>7015</v>
          </cell>
          <cell r="F4916" t="str">
            <v>Sanjiv Jhalla</v>
          </cell>
          <cell r="G4916" t="str">
            <v>Eaton Hall School, Norwich</v>
          </cell>
          <cell r="H4916" t="str">
            <v>East of England</v>
          </cell>
          <cell r="I4916" t="str">
            <v>Pettus Road</v>
          </cell>
          <cell r="L4916" t="str">
            <v>Norwich</v>
          </cell>
          <cell r="M4916" t="str">
            <v>Norfolk</v>
          </cell>
          <cell r="N4916" t="str">
            <v>NR4 7BU</v>
          </cell>
          <cell r="O4916" t="str">
            <v>head@eatonhall.norfolk.sch.uk</v>
          </cell>
          <cell r="P4916">
            <v>41103</v>
          </cell>
        </row>
        <row r="4917">
          <cell r="A4917">
            <v>9374601</v>
          </cell>
          <cell r="B4917">
            <v>125752</v>
          </cell>
          <cell r="C4917">
            <v>937</v>
          </cell>
          <cell r="D4917" t="str">
            <v>Warwickshire</v>
          </cell>
          <cell r="E4917">
            <v>4601</v>
          </cell>
          <cell r="F4917" t="str">
            <v>Carla Spink</v>
          </cell>
          <cell r="G4917" t="str">
            <v>King Edward VI School</v>
          </cell>
          <cell r="H4917" t="str">
            <v>West Midlands</v>
          </cell>
          <cell r="I4917" t="str">
            <v>Church Street</v>
          </cell>
          <cell r="L4917" t="str">
            <v>Stratford-upon-Avon</v>
          </cell>
          <cell r="M4917" t="str">
            <v>Warwickshire</v>
          </cell>
          <cell r="N4917" t="str">
            <v>CV37 6HB</v>
          </cell>
          <cell r="O4917" t="str">
            <v>head@kes.net</v>
          </cell>
          <cell r="P4917">
            <v>40527</v>
          </cell>
        </row>
        <row r="4918">
          <cell r="A4918">
            <v>8264000</v>
          </cell>
          <cell r="B4918">
            <v>131396</v>
          </cell>
          <cell r="C4918">
            <v>826</v>
          </cell>
          <cell r="D4918" t="str">
            <v>Milton Keynes</v>
          </cell>
          <cell r="E4918">
            <v>4000</v>
          </cell>
          <cell r="F4918" t="str">
            <v>Sarah Nairne</v>
          </cell>
          <cell r="G4918" t="str">
            <v>Walton High</v>
          </cell>
          <cell r="H4918" t="str">
            <v>South East</v>
          </cell>
          <cell r="I4918" t="str">
            <v>Fyfield Barrow</v>
          </cell>
          <cell r="J4918" t="str">
            <v>Walnut Tree</v>
          </cell>
          <cell r="L4918" t="str">
            <v>Milton Keynes</v>
          </cell>
          <cell r="M4918" t="str">
            <v>Buckinghamshire</v>
          </cell>
          <cell r="N4918" t="str">
            <v>MK7 7WH</v>
          </cell>
          <cell r="O4918" t="str">
            <v>mCURRIE@waltonhigh.org.uk</v>
          </cell>
          <cell r="P4918">
            <v>40578</v>
          </cell>
        </row>
        <row r="4919">
          <cell r="A4919">
            <v>8734603</v>
          </cell>
          <cell r="B4919">
            <v>131205</v>
          </cell>
          <cell r="C4919">
            <v>873</v>
          </cell>
          <cell r="D4919" t="str">
            <v>Cambridgeshire</v>
          </cell>
          <cell r="E4919">
            <v>4603</v>
          </cell>
          <cell r="F4919" t="str">
            <v>Yvonne Reddington</v>
          </cell>
          <cell r="G4919" t="str">
            <v>Abbey College, Ramsey</v>
          </cell>
          <cell r="H4919" t="str">
            <v>East of England</v>
          </cell>
          <cell r="I4919" t="str">
            <v>Abbey Road</v>
          </cell>
          <cell r="L4919" t="str">
            <v>Ramsey</v>
          </cell>
          <cell r="M4919" t="str">
            <v>Cambridgeshire</v>
          </cell>
          <cell r="N4919" t="str">
            <v>PE26 1DG</v>
          </cell>
          <cell r="O4919" t="str">
            <v>wayne.birks@abbeycollege.cambs.sch.uk</v>
          </cell>
          <cell r="P4919">
            <v>40634</v>
          </cell>
        </row>
        <row r="4920">
          <cell r="A4920">
            <v>8154022</v>
          </cell>
          <cell r="B4920">
            <v>121665</v>
          </cell>
          <cell r="C4920">
            <v>815</v>
          </cell>
          <cell r="D4920" t="str">
            <v>North Yorkshire</v>
          </cell>
          <cell r="E4920">
            <v>4022</v>
          </cell>
          <cell r="F4920" t="str">
            <v>Jane Moore</v>
          </cell>
          <cell r="G4920" t="str">
            <v>Ryedale School</v>
          </cell>
          <cell r="H4920" t="str">
            <v>Yorkshire and the Humber</v>
          </cell>
          <cell r="I4920" t="str">
            <v>Gale Lane</v>
          </cell>
          <cell r="J4920" t="str">
            <v>Nawton</v>
          </cell>
          <cell r="L4920" t="str">
            <v>York</v>
          </cell>
          <cell r="M4920" t="str">
            <v>North Yorkshire</v>
          </cell>
          <cell r="N4920" t="str">
            <v>YO62 7SL</v>
          </cell>
          <cell r="O4920" t="str">
            <v>rcrane@ryedale.n-yorks.sch.uk</v>
          </cell>
        </row>
        <row r="4921">
          <cell r="A4921">
            <v>8023108</v>
          </cell>
          <cell r="B4921">
            <v>109211</v>
          </cell>
          <cell r="C4921">
            <v>802</v>
          </cell>
          <cell r="D4921" t="str">
            <v>North Somerset</v>
          </cell>
          <cell r="E4921">
            <v>3108</v>
          </cell>
          <cell r="F4921" t="str">
            <v>Theresa Oddelm</v>
          </cell>
          <cell r="G4921" t="str">
            <v>Winford Church of England Primary School</v>
          </cell>
          <cell r="H4921" t="str">
            <v>South West</v>
          </cell>
          <cell r="I4921" t="str">
            <v>Felton Lane</v>
          </cell>
          <cell r="L4921" t="str">
            <v>Bristol</v>
          </cell>
          <cell r="N4921" t="str">
            <v>BS40 8AD</v>
          </cell>
        </row>
        <row r="4922">
          <cell r="A4922">
            <v>3093300</v>
          </cell>
          <cell r="B4922">
            <v>102133</v>
          </cell>
          <cell r="C4922">
            <v>309</v>
          </cell>
          <cell r="D4922" t="str">
            <v>Haringey</v>
          </cell>
          <cell r="E4922">
            <v>3300</v>
          </cell>
          <cell r="F4922" t="str">
            <v>Anita Bihal</v>
          </cell>
          <cell r="G4922" t="str">
            <v>St Paul's and All Hallows CofE Infant School</v>
          </cell>
          <cell r="H4922" t="str">
            <v>London</v>
          </cell>
          <cell r="I4922" t="str">
            <v>Park Lane</v>
          </cell>
          <cell r="L4922" t="str">
            <v>London</v>
          </cell>
          <cell r="N4922" t="str">
            <v>N17 0HH</v>
          </cell>
          <cell r="O4922" t="str">
            <v>sharon.easton@stpaulsinf.haringey.sch.uk</v>
          </cell>
          <cell r="P4922">
            <v>41197</v>
          </cell>
        </row>
        <row r="4923">
          <cell r="A4923">
            <v>9195421</v>
          </cell>
          <cell r="B4923">
            <v>117593</v>
          </cell>
          <cell r="C4923">
            <v>919</v>
          </cell>
          <cell r="D4923" t="str">
            <v>Hertfordshire</v>
          </cell>
          <cell r="E4923">
            <v>5421</v>
          </cell>
          <cell r="F4923" t="str">
            <v>Joe Farrell</v>
          </cell>
          <cell r="G4923" t="str">
            <v>St Clement Danes School</v>
          </cell>
          <cell r="H4923" t="str">
            <v>East of England</v>
          </cell>
          <cell r="I4923" t="str">
            <v>Chenies Road</v>
          </cell>
          <cell r="J4923" t="str">
            <v>Chorleywood</v>
          </cell>
          <cell r="L4923" t="str">
            <v>Rickmansworth</v>
          </cell>
          <cell r="M4923" t="str">
            <v>Hertfordshire</v>
          </cell>
          <cell r="N4923" t="str">
            <v>WD3 6EW</v>
          </cell>
          <cell r="O4923" t="str">
            <v>head@stclementdanes.herts.sch.uk</v>
          </cell>
          <cell r="P4923">
            <v>40631</v>
          </cell>
        </row>
        <row r="4924">
          <cell r="A4924">
            <v>8863744</v>
          </cell>
          <cell r="B4924">
            <v>118773</v>
          </cell>
          <cell r="C4924">
            <v>886</v>
          </cell>
          <cell r="D4924" t="str">
            <v>Kent</v>
          </cell>
          <cell r="E4924">
            <v>3744</v>
          </cell>
          <cell r="F4924" t="str">
            <v>Tony Dunne</v>
          </cell>
          <cell r="G4924" t="str">
            <v>St Margaret Clitherow Catholic Primary School</v>
          </cell>
          <cell r="H4924" t="str">
            <v>South East</v>
          </cell>
          <cell r="I4924" t="str">
            <v>Trench Road</v>
          </cell>
          <cell r="L4924" t="str">
            <v>Tonbridge</v>
          </cell>
          <cell r="M4924" t="str">
            <v>Kent</v>
          </cell>
          <cell r="N4924" t="str">
            <v>TN11 9NG</v>
          </cell>
          <cell r="O4924" t="str">
            <v xml:space="preserve"> headteacher@st-margaret-tonbridge.kent.sch.uk</v>
          </cell>
        </row>
        <row r="4925">
          <cell r="A4925">
            <v>3063409</v>
          </cell>
          <cell r="B4925">
            <v>101801</v>
          </cell>
          <cell r="C4925">
            <v>306</v>
          </cell>
          <cell r="D4925" t="str">
            <v>Croydon</v>
          </cell>
          <cell r="E4925">
            <v>3409</v>
          </cell>
          <cell r="F4925" t="str">
            <v>Bola Bakrin</v>
          </cell>
          <cell r="G4925" t="str">
            <v>St Aidan's Catholic Primary School</v>
          </cell>
          <cell r="H4925" t="str">
            <v>London</v>
          </cell>
          <cell r="I4925" t="str">
            <v>Portnalls Road</v>
          </cell>
          <cell r="L4925" t="str">
            <v>Coulsdon</v>
          </cell>
          <cell r="M4925" t="str">
            <v>Surrey</v>
          </cell>
          <cell r="N4925" t="str">
            <v>CR5 3DE</v>
          </cell>
          <cell r="O4925" t="str">
            <v>k.hughes@st-aidans.croydon.sch.uk</v>
          </cell>
        </row>
        <row r="4926">
          <cell r="A4926">
            <v>3062048</v>
          </cell>
          <cell r="B4926">
            <v>101743</v>
          </cell>
          <cell r="C4926">
            <v>306</v>
          </cell>
          <cell r="D4926" t="str">
            <v>Croydon</v>
          </cell>
          <cell r="E4926">
            <v>2048</v>
          </cell>
          <cell r="F4926" t="str">
            <v>Helen Barry</v>
          </cell>
          <cell r="G4926" t="str">
            <v>Whitehorse Manor Infant School</v>
          </cell>
          <cell r="H4926" t="str">
            <v>London</v>
          </cell>
          <cell r="I4926" t="str">
            <v>Whitehorse Road</v>
          </cell>
          <cell r="L4926" t="str">
            <v>Thornton Heath</v>
          </cell>
          <cell r="M4926" t="str">
            <v>Surrey</v>
          </cell>
          <cell r="N4926" t="str">
            <v>CR7 8SB</v>
          </cell>
          <cell r="O4926" t="str">
            <v>infanthead@whitehorse.croydon.sch.uk</v>
          </cell>
          <cell r="P4926">
            <v>40507</v>
          </cell>
        </row>
        <row r="4927">
          <cell r="A4927">
            <v>8452143</v>
          </cell>
          <cell r="B4927">
            <v>114467</v>
          </cell>
          <cell r="C4927">
            <v>845</v>
          </cell>
          <cell r="D4927" t="str">
            <v>East Sussex</v>
          </cell>
          <cell r="E4927">
            <v>2143</v>
          </cell>
          <cell r="F4927" t="str">
            <v>Sarah Mitchell</v>
          </cell>
          <cell r="G4927" t="str">
            <v>West Rise Junior School</v>
          </cell>
          <cell r="H4927" t="str">
            <v>South East</v>
          </cell>
          <cell r="I4927" t="str">
            <v>Chaffinch Road</v>
          </cell>
          <cell r="J4927" t="str">
            <v>Langney</v>
          </cell>
          <cell r="L4927" t="str">
            <v>Eastbourne</v>
          </cell>
          <cell r="M4927" t="str">
            <v>East Sussex</v>
          </cell>
          <cell r="N4927" t="str">
            <v>BN23 7SL</v>
          </cell>
          <cell r="O4927" t="str">
            <v>mikef@westrise-jun.e-sussex.sch.uk</v>
          </cell>
        </row>
        <row r="4928">
          <cell r="A4928">
            <v>9212038</v>
          </cell>
          <cell r="B4928">
            <v>118176</v>
          </cell>
          <cell r="C4928">
            <v>921</v>
          </cell>
          <cell r="D4928" t="str">
            <v>Isle of Wight</v>
          </cell>
          <cell r="E4928">
            <v>2038</v>
          </cell>
          <cell r="F4928" t="str">
            <v>Lindsay Morris</v>
          </cell>
          <cell r="G4928" t="str">
            <v>Binstead Primary School</v>
          </cell>
          <cell r="H4928" t="str">
            <v>South East</v>
          </cell>
          <cell r="I4928" t="str">
            <v>Hazlemere Avenue</v>
          </cell>
          <cell r="J4928" t="str">
            <v>Binstead</v>
          </cell>
          <cell r="L4928" t="str">
            <v>Ryde</v>
          </cell>
          <cell r="M4928" t="str">
            <v>Isle of Wight</v>
          </cell>
          <cell r="N4928" t="str">
            <v>PO33 3SA</v>
          </cell>
          <cell r="O4928" t="str">
            <v>Headteacher@binsteadpri.iow.sch.uk</v>
          </cell>
        </row>
        <row r="4929">
          <cell r="A4929">
            <v>8262002</v>
          </cell>
          <cell r="B4929">
            <v>131718</v>
          </cell>
          <cell r="C4929">
            <v>826</v>
          </cell>
          <cell r="D4929" t="str">
            <v>Milton Keynes</v>
          </cell>
          <cell r="E4929">
            <v>2002</v>
          </cell>
          <cell r="F4929" t="str">
            <v>Nicky Edwards</v>
          </cell>
          <cell r="G4929" t="str">
            <v>Portfields Combined School</v>
          </cell>
          <cell r="H4929" t="str">
            <v>South East</v>
          </cell>
          <cell r="I4929" t="str">
            <v>Westbury Lane</v>
          </cell>
          <cell r="L4929" t="str">
            <v>Newport Pagnell</v>
          </cell>
          <cell r="M4929" t="str">
            <v>Buckinghamshire</v>
          </cell>
          <cell r="N4929" t="str">
            <v>MK16 8PS</v>
          </cell>
          <cell r="O4929" t="str">
            <v>portfields@milton-keynes.gov.uk</v>
          </cell>
        </row>
        <row r="4930">
          <cell r="A4930">
            <v>9082307</v>
          </cell>
          <cell r="B4930">
            <v>111864</v>
          </cell>
          <cell r="C4930">
            <v>908</v>
          </cell>
          <cell r="D4930" t="str">
            <v>Cornwall</v>
          </cell>
          <cell r="E4930">
            <v>2307</v>
          </cell>
          <cell r="F4930" t="str">
            <v>Tahamina Khan</v>
          </cell>
          <cell r="G4930" t="str">
            <v>Goonhavern Primary School</v>
          </cell>
          <cell r="H4930" t="str">
            <v>South West</v>
          </cell>
          <cell r="I4930" t="str">
            <v>Goonhavern</v>
          </cell>
          <cell r="L4930" t="str">
            <v>Truro</v>
          </cell>
          <cell r="M4930" t="str">
            <v>Cornwall</v>
          </cell>
          <cell r="N4930" t="str">
            <v>TR4 9QD</v>
          </cell>
          <cell r="O4930" t="str">
            <v>head@goonhavern.cornwall.sch.uk</v>
          </cell>
        </row>
        <row r="4931">
          <cell r="A4931">
            <v>3134024</v>
          </cell>
          <cell r="B4931">
            <v>102536</v>
          </cell>
          <cell r="C4931">
            <v>313</v>
          </cell>
          <cell r="D4931" t="str">
            <v>Hounslow</v>
          </cell>
          <cell r="E4931">
            <v>4024</v>
          </cell>
          <cell r="F4931" t="str">
            <v>Kiran Teli</v>
          </cell>
          <cell r="G4931" t="str">
            <v>Brentford School for Girls</v>
          </cell>
          <cell r="H4931" t="str">
            <v>London</v>
          </cell>
          <cell r="I4931" t="str">
            <v>5 Boston Manor Road</v>
          </cell>
          <cell r="L4931" t="str">
            <v>Brentford</v>
          </cell>
          <cell r="N4931" t="str">
            <v>TW8 0PG</v>
          </cell>
          <cell r="O4931" t="str">
            <v>MLEENDERS@brentford.hounslow.sch.uk</v>
          </cell>
          <cell r="P4931">
            <v>41082</v>
          </cell>
        </row>
      </sheetData>
      <sheetData sheetId="6" refreshError="1">
        <row r="1">
          <cell r="A1" t="str">
            <v>LEAESTAB</v>
          </cell>
          <cell r="B1" t="str">
            <v>URN</v>
          </cell>
          <cell r="C1" t="str">
            <v>EstablishmentName</v>
          </cell>
          <cell r="D1" t="str">
            <v>LA (name)</v>
          </cell>
          <cell r="E1" t="str">
            <v>TypeOfEstablishment (name)</v>
          </cell>
          <cell r="F1" t="str">
            <v>PhaseOfEducation (name)</v>
          </cell>
        </row>
        <row r="2">
          <cell r="A2">
            <v>8262004</v>
          </cell>
          <cell r="B2">
            <v>136929</v>
          </cell>
          <cell r="C2" t="str">
            <v># New com pri @ Falmouth Place and Fishermead Boulevard</v>
          </cell>
          <cell r="D2" t="str">
            <v>Milton Keynes</v>
          </cell>
          <cell r="E2" t="str">
            <v>Community School</v>
          </cell>
          <cell r="F2" t="str">
            <v>Primary</v>
          </cell>
        </row>
        <row r="3">
          <cell r="A3">
            <v>8783780</v>
          </cell>
          <cell r="B3">
            <v>135441</v>
          </cell>
          <cell r="C3" t="str">
            <v># New Comm Pri @ Cranbrook</v>
          </cell>
          <cell r="D3" t="str">
            <v>Devon</v>
          </cell>
          <cell r="E3" t="str">
            <v>Community School</v>
          </cell>
          <cell r="F3" t="str">
            <v>Primary</v>
          </cell>
        </row>
        <row r="4">
          <cell r="A4">
            <v>8655226</v>
          </cell>
          <cell r="B4">
            <v>135802</v>
          </cell>
          <cell r="C4" t="str">
            <v># New Comm Pri @ East Trowbridge</v>
          </cell>
          <cell r="D4" t="str">
            <v>Wiltshire</v>
          </cell>
          <cell r="E4" t="str">
            <v>Community School</v>
          </cell>
          <cell r="F4" t="str">
            <v>Primary</v>
          </cell>
        </row>
        <row r="5">
          <cell r="A5">
            <v>3933319</v>
          </cell>
          <cell r="B5">
            <v>136163</v>
          </cell>
          <cell r="C5" t="str">
            <v># New Comm Pri @ Hebburn</v>
          </cell>
          <cell r="D5" t="str">
            <v>South Tyneside</v>
          </cell>
          <cell r="E5" t="str">
            <v>Community School</v>
          </cell>
          <cell r="F5" t="str">
            <v>Primary</v>
          </cell>
        </row>
        <row r="6">
          <cell r="A6">
            <v>8263396</v>
          </cell>
          <cell r="B6">
            <v>136679</v>
          </cell>
          <cell r="C6" t="str">
            <v># New Comm Pri @ Queensway, Bletchley</v>
          </cell>
          <cell r="D6" t="str">
            <v>Milton Keynes</v>
          </cell>
          <cell r="E6" t="str">
            <v>Community School</v>
          </cell>
          <cell r="F6" t="str">
            <v>Primary</v>
          </cell>
        </row>
        <row r="7">
          <cell r="A7">
            <v>8263395</v>
          </cell>
          <cell r="B7">
            <v>135276</v>
          </cell>
          <cell r="C7" t="str">
            <v># New Comm Pri @ Western Expansion Area</v>
          </cell>
          <cell r="D7" t="str">
            <v>Milton Keynes</v>
          </cell>
          <cell r="E7" t="str">
            <v>Community School</v>
          </cell>
          <cell r="F7" t="str">
            <v>Primary</v>
          </cell>
        </row>
        <row r="8">
          <cell r="A8">
            <v>8263390</v>
          </cell>
          <cell r="B8">
            <v>135270</v>
          </cell>
          <cell r="C8" t="str">
            <v># New Comm Pri Sch @ Newton Leys Site</v>
          </cell>
          <cell r="D8" t="str">
            <v>Milton Keynes</v>
          </cell>
          <cell r="E8" t="str">
            <v>Community School</v>
          </cell>
          <cell r="F8" t="str">
            <v>Primary</v>
          </cell>
        </row>
        <row r="9">
          <cell r="A9">
            <v>8263394</v>
          </cell>
          <cell r="B9">
            <v>135274</v>
          </cell>
          <cell r="C9" t="str">
            <v># New Comm Pri Sch @ West End Site Central</v>
          </cell>
          <cell r="D9" t="str">
            <v>Milton Keynes</v>
          </cell>
          <cell r="E9" t="str">
            <v>Community School</v>
          </cell>
          <cell r="F9" t="str">
            <v>Primary</v>
          </cell>
        </row>
        <row r="10">
          <cell r="A10">
            <v>8263393</v>
          </cell>
          <cell r="B10">
            <v>135273</v>
          </cell>
          <cell r="C10" t="str">
            <v># New Comm Pri Sch @ Western Expansion Area (Fairfields)</v>
          </cell>
          <cell r="D10" t="str">
            <v>Milton Keynes</v>
          </cell>
          <cell r="E10" t="str">
            <v>Community School</v>
          </cell>
          <cell r="F10" t="str">
            <v>Primary</v>
          </cell>
        </row>
        <row r="11">
          <cell r="A11">
            <v>3574605</v>
          </cell>
          <cell r="B11">
            <v>135123</v>
          </cell>
          <cell r="C11" t="str">
            <v># New Comm Sec @ Manor Road</v>
          </cell>
          <cell r="D11" t="str">
            <v>Tameside</v>
          </cell>
          <cell r="E11" t="str">
            <v>Community School</v>
          </cell>
          <cell r="F11" t="str">
            <v>Secondary</v>
          </cell>
        </row>
        <row r="12">
          <cell r="A12">
            <v>3704804</v>
          </cell>
          <cell r="B12">
            <v>136403</v>
          </cell>
          <cell r="C12" t="str">
            <v># New Comm Sec @ off George Street</v>
          </cell>
          <cell r="D12" t="str">
            <v>Barnsley</v>
          </cell>
          <cell r="E12" t="str">
            <v>Community School</v>
          </cell>
          <cell r="F12" t="str">
            <v>Secondary</v>
          </cell>
        </row>
        <row r="13">
          <cell r="A13">
            <v>8732000</v>
          </cell>
          <cell r="B13">
            <v>136802</v>
          </cell>
          <cell r="C13" t="str">
            <v># New Foundation Pri @ Trumpington Meadows</v>
          </cell>
          <cell r="D13" t="str">
            <v>Cambridgeshire</v>
          </cell>
          <cell r="E13" t="str">
            <v>Foundation School</v>
          </cell>
          <cell r="F13" t="str">
            <v>Primary</v>
          </cell>
        </row>
        <row r="14">
          <cell r="A14">
            <v>8737000</v>
          </cell>
          <cell r="B14">
            <v>137494</v>
          </cell>
          <cell r="C14" t="str">
            <v># New Multi Site Community SS Cambridgeshire #</v>
          </cell>
          <cell r="D14" t="str">
            <v>Cambridgeshire</v>
          </cell>
          <cell r="E14" t="str">
            <v>Community Special School</v>
          </cell>
          <cell r="F14" t="str">
            <v>Special</v>
          </cell>
        </row>
        <row r="15">
          <cell r="A15">
            <v>8503673</v>
          </cell>
          <cell r="B15">
            <v>136407</v>
          </cell>
          <cell r="C15" t="str">
            <v># New VA Pri @ Picket Twenty</v>
          </cell>
          <cell r="D15" t="str">
            <v>Hampshire</v>
          </cell>
          <cell r="E15" t="str">
            <v>Voluntary Aided School</v>
          </cell>
          <cell r="F15" t="str">
            <v>Primary</v>
          </cell>
        </row>
        <row r="16">
          <cell r="A16">
            <v>8862000</v>
          </cell>
          <cell r="B16">
            <v>137071</v>
          </cell>
          <cell r="C16" t="str">
            <v># New VC CofE Primary @ St John's Place, Canterbury</v>
          </cell>
          <cell r="D16" t="str">
            <v>Kent</v>
          </cell>
          <cell r="E16" t="str">
            <v>Voluntary Controlled School</v>
          </cell>
          <cell r="F16" t="str">
            <v>Primary</v>
          </cell>
        </row>
        <row r="17">
          <cell r="A17">
            <v>3553807</v>
          </cell>
          <cell r="B17">
            <v>136240</v>
          </cell>
          <cell r="C17" t="str">
            <v># New VC Pri @ on Lewis Street Primary School site</v>
          </cell>
          <cell r="D17" t="str">
            <v>Salford</v>
          </cell>
          <cell r="E17" t="str">
            <v>Voluntary Controlled School</v>
          </cell>
          <cell r="F17" t="str">
            <v>Primary</v>
          </cell>
        </row>
        <row r="18">
          <cell r="A18">
            <v>9283516</v>
          </cell>
          <cell r="B18">
            <v>135636</v>
          </cell>
          <cell r="C18" t="str">
            <v># S7 New Found Pri Woodnewton and Brooke Weston @ Priors Hall</v>
          </cell>
          <cell r="D18" t="str">
            <v>Northamptonshire</v>
          </cell>
          <cell r="E18" t="str">
            <v>Foundation School</v>
          </cell>
          <cell r="F18" t="str">
            <v>Primary</v>
          </cell>
        </row>
        <row r="19">
          <cell r="A19">
            <v>8734028</v>
          </cell>
          <cell r="B19">
            <v>135739</v>
          </cell>
          <cell r="C19" t="str">
            <v># S7 New Foundation Sec Swavesey Village College</v>
          </cell>
          <cell r="D19" t="str">
            <v>Cambridgeshire</v>
          </cell>
          <cell r="E19" t="str">
            <v>Foundation School</v>
          </cell>
          <cell r="F19" t="str">
            <v>Secondary</v>
          </cell>
        </row>
        <row r="20">
          <cell r="A20">
            <v>8733302</v>
          </cell>
          <cell r="B20">
            <v>135740</v>
          </cell>
          <cell r="C20" t="str">
            <v># S7 New VA Pri Diocese of Ely</v>
          </cell>
          <cell r="D20" t="str">
            <v>Cambridgeshire</v>
          </cell>
          <cell r="E20" t="str">
            <v>Voluntary Aided School</v>
          </cell>
          <cell r="F20" t="str">
            <v>Primary</v>
          </cell>
        </row>
        <row r="21">
          <cell r="A21">
            <v>2097183</v>
          </cell>
          <cell r="B21">
            <v>136423</v>
          </cell>
          <cell r="C21" t="str">
            <v># SS ESTABLISH NEW 5-19 ASD SCHOOL #</v>
          </cell>
          <cell r="D21" t="str">
            <v>Lewisham</v>
          </cell>
          <cell r="E21" t="str">
            <v>Community Special School</v>
          </cell>
          <cell r="F21" t="str">
            <v>Special</v>
          </cell>
        </row>
        <row r="22">
          <cell r="A22">
            <v>3937007</v>
          </cell>
          <cell r="B22">
            <v>136252</v>
          </cell>
          <cell r="C22" t="str">
            <v># SS New Foundation with a Foundation @ Coleridge Square</v>
          </cell>
          <cell r="D22" t="str">
            <v>South Tyneside</v>
          </cell>
          <cell r="E22" t="str">
            <v>Foundation Special School</v>
          </cell>
          <cell r="F22" t="str">
            <v>Special</v>
          </cell>
        </row>
        <row r="23">
          <cell r="A23">
            <v>8223024</v>
          </cell>
          <cell r="B23">
            <v>135996</v>
          </cell>
          <cell r="C23" t="str">
            <v>#S7 New Found Pri @ Biddenham Loop</v>
          </cell>
          <cell r="D23" t="str">
            <v>Bedford</v>
          </cell>
          <cell r="E23" t="str">
            <v>Foundation School</v>
          </cell>
          <cell r="F23" t="str">
            <v>Primary</v>
          </cell>
        </row>
        <row r="24">
          <cell r="A24">
            <v>3142006</v>
          </cell>
          <cell r="B24">
            <v>137575</v>
          </cell>
          <cell r="C24" t="str">
            <v>*S7 Lime Tree Primary School</v>
          </cell>
          <cell r="D24" t="str">
            <v>Kingston upon Thames</v>
          </cell>
          <cell r="E24" t="str">
            <v>Foundation School</v>
          </cell>
          <cell r="F24" t="str">
            <v>Primary</v>
          </cell>
        </row>
        <row r="25">
          <cell r="A25">
            <v>3144015</v>
          </cell>
          <cell r="B25">
            <v>136429</v>
          </cell>
          <cell r="C25" t="str">
            <v>*S7 New Found Sec @ North Kingston Centre</v>
          </cell>
          <cell r="D25" t="str">
            <v>Kingston upon Thames</v>
          </cell>
          <cell r="E25" t="str">
            <v>Foundation School</v>
          </cell>
          <cell r="F25" t="str">
            <v>Secondary</v>
          </cell>
        </row>
        <row r="26">
          <cell r="A26">
            <v>8252002</v>
          </cell>
          <cell r="B26">
            <v>137570</v>
          </cell>
          <cell r="C26" t="str">
            <v>*S7 New S7 VA CofE Pri @ Buckingham Park Aylesbury</v>
          </cell>
          <cell r="D26" t="str">
            <v>Buckinghamshire</v>
          </cell>
          <cell r="E26" t="str">
            <v>Voluntary Aided School</v>
          </cell>
          <cell r="F26" t="str">
            <v>Primary</v>
          </cell>
        </row>
        <row r="27">
          <cell r="A27">
            <v>8743386</v>
          </cell>
          <cell r="B27">
            <v>136514</v>
          </cell>
          <cell r="C27" t="str">
            <v>*S7 New VA Pri @ Stanground South</v>
          </cell>
          <cell r="D27" t="str">
            <v>Peterborough</v>
          </cell>
          <cell r="E27" t="str">
            <v>Voluntary Aided School</v>
          </cell>
          <cell r="F27" t="str">
            <v>Primary</v>
          </cell>
        </row>
        <row r="28">
          <cell r="A28">
            <v>8766006</v>
          </cell>
          <cell r="B28">
            <v>135354</v>
          </cell>
          <cell r="C28" t="str">
            <v>110 Peel House Lane Green Corns</v>
          </cell>
          <cell r="D28" t="str">
            <v>Halton</v>
          </cell>
          <cell r="E28" t="str">
            <v>Other Independent Special School</v>
          </cell>
          <cell r="F28" t="str">
            <v>Not applicable</v>
          </cell>
        </row>
        <row r="29">
          <cell r="A29">
            <v>8941106</v>
          </cell>
          <cell r="B29">
            <v>135950</v>
          </cell>
          <cell r="C29" t="str">
            <v>14-19 King Street Alternative Provision</v>
          </cell>
          <cell r="D29" t="str">
            <v>Telford and Wrekin</v>
          </cell>
          <cell r="E29" t="str">
            <v>Pupil Referral Unit</v>
          </cell>
          <cell r="F29" t="str">
            <v>PRU</v>
          </cell>
        </row>
        <row r="30">
          <cell r="A30">
            <v>9314901</v>
          </cell>
          <cell r="B30">
            <v>133226</v>
          </cell>
          <cell r="C30" t="str">
            <v>16-19 Abingdon</v>
          </cell>
          <cell r="D30" t="str">
            <v>Oxfordshire</v>
          </cell>
          <cell r="E30" t="str">
            <v>Sixth Form Centres</v>
          </cell>
          <cell r="F30" t="str">
            <v>16 Plus</v>
          </cell>
        </row>
        <row r="31">
          <cell r="A31">
            <v>3206063</v>
          </cell>
          <cell r="B31">
            <v>134418</v>
          </cell>
          <cell r="C31" t="str">
            <v>21st Century Academy</v>
          </cell>
          <cell r="D31" t="str">
            <v>Waltham Forest</v>
          </cell>
          <cell r="E31" t="str">
            <v>Other Independent Special School</v>
          </cell>
          <cell r="F31" t="str">
            <v>Not applicable</v>
          </cell>
        </row>
        <row r="32">
          <cell r="A32">
            <v>8786201</v>
          </cell>
          <cell r="B32">
            <v>131816</v>
          </cell>
          <cell r="C32" t="str">
            <v>24/7 College</v>
          </cell>
          <cell r="D32" t="str">
            <v>Devon</v>
          </cell>
          <cell r="E32" t="str">
            <v>Other Independent Special School</v>
          </cell>
          <cell r="F32" t="str">
            <v>Not applicable</v>
          </cell>
        </row>
        <row r="33">
          <cell r="A33">
            <v>9336207</v>
          </cell>
          <cell r="B33">
            <v>134909</v>
          </cell>
          <cell r="C33" t="str">
            <v>3 Dimensions</v>
          </cell>
          <cell r="D33" t="str">
            <v>Somerset</v>
          </cell>
          <cell r="E33" t="str">
            <v>Other Independent Special School</v>
          </cell>
          <cell r="F33" t="str">
            <v>Not applicable</v>
          </cell>
        </row>
        <row r="34">
          <cell r="A34">
            <v>8766009</v>
          </cell>
          <cell r="B34">
            <v>135425</v>
          </cell>
          <cell r="C34" t="str">
            <v>47 Lowerhouse Lane - Green Corns</v>
          </cell>
          <cell r="D34" t="str">
            <v>Halton</v>
          </cell>
          <cell r="E34" t="str">
            <v>Other Independent Special School</v>
          </cell>
          <cell r="F34" t="str">
            <v>Not applicable</v>
          </cell>
        </row>
        <row r="35">
          <cell r="A35">
            <v>8551102</v>
          </cell>
          <cell r="B35">
            <v>136754</v>
          </cell>
          <cell r="C35" t="str">
            <v>5 -14 Short Stay School</v>
          </cell>
          <cell r="D35" t="str">
            <v>Leicestershire</v>
          </cell>
          <cell r="E35" t="str">
            <v>Pupil Referral Unit</v>
          </cell>
          <cell r="F35" t="str">
            <v>PRU</v>
          </cell>
        </row>
        <row r="36">
          <cell r="A36">
            <v>8766010</v>
          </cell>
          <cell r="B36">
            <v>135426</v>
          </cell>
          <cell r="C36" t="str">
            <v>62 Peelhouse - Green Corns</v>
          </cell>
          <cell r="D36" t="str">
            <v>Halton</v>
          </cell>
          <cell r="E36" t="str">
            <v>Other Independent Special School</v>
          </cell>
          <cell r="F36" t="str">
            <v>Not applicable</v>
          </cell>
        </row>
        <row r="37">
          <cell r="A37">
            <v>8066002</v>
          </cell>
          <cell r="B37">
            <v>136259</v>
          </cell>
          <cell r="C37" t="str">
            <v>7KS Tees Valley Youth Achievement Foundation</v>
          </cell>
          <cell r="D37" t="str">
            <v>Middlesbrough</v>
          </cell>
          <cell r="E37" t="str">
            <v>Other Independent School</v>
          </cell>
          <cell r="F37" t="str">
            <v>Not applicable</v>
          </cell>
        </row>
        <row r="38">
          <cell r="A38">
            <v>8791106</v>
          </cell>
          <cell r="B38">
            <v>136155</v>
          </cell>
          <cell r="C38" t="str">
            <v>A.C.E - Alternative Complimentary Education</v>
          </cell>
          <cell r="D38" t="str">
            <v>Plymouth</v>
          </cell>
          <cell r="E38" t="str">
            <v>Pupil Referral Unit</v>
          </cell>
          <cell r="F38" t="str">
            <v>PRU</v>
          </cell>
        </row>
        <row r="39">
          <cell r="A39">
            <v>3501108</v>
          </cell>
          <cell r="B39">
            <v>134290</v>
          </cell>
          <cell r="C39" t="str">
            <v>A.CofE Project</v>
          </cell>
          <cell r="D39" t="str">
            <v>Bolton</v>
          </cell>
          <cell r="E39" t="str">
            <v>Pupil Referral Unit</v>
          </cell>
          <cell r="F39" t="str">
            <v>PRU</v>
          </cell>
        </row>
        <row r="40">
          <cell r="A40">
            <v>8137904</v>
          </cell>
          <cell r="B40">
            <v>131832</v>
          </cell>
          <cell r="C40" t="str">
            <v>AALPS College</v>
          </cell>
          <cell r="D40" t="str">
            <v>North Lincolnshire</v>
          </cell>
          <cell r="E40" t="str">
            <v>Special College</v>
          </cell>
          <cell r="F40" t="str">
            <v>16 Plus</v>
          </cell>
        </row>
        <row r="41">
          <cell r="A41">
            <v>6691106</v>
          </cell>
          <cell r="B41">
            <v>402177</v>
          </cell>
          <cell r="C41" t="str">
            <v>Aalton House Tuition Centre</v>
          </cell>
          <cell r="D41" t="str">
            <v>Carmarthenshire</v>
          </cell>
          <cell r="E41" t="str">
            <v>Welsh Establishment</v>
          </cell>
          <cell r="F41" t="str">
            <v>Not applicable</v>
          </cell>
        </row>
        <row r="42">
          <cell r="A42">
            <v>8552000</v>
          </cell>
          <cell r="B42">
            <v>119902</v>
          </cell>
          <cell r="C42" t="str">
            <v>Ab Kettleby Community Primary School</v>
          </cell>
          <cell r="D42" t="str">
            <v>Leicestershire</v>
          </cell>
          <cell r="E42" t="str">
            <v>Community School</v>
          </cell>
          <cell r="F42" t="str">
            <v>Primary</v>
          </cell>
        </row>
        <row r="43">
          <cell r="A43">
            <v>9316113</v>
          </cell>
          <cell r="B43">
            <v>123325</v>
          </cell>
          <cell r="C43" t="str">
            <v>Abacus College At Threeways House</v>
          </cell>
          <cell r="D43" t="str">
            <v>Oxfordshire</v>
          </cell>
          <cell r="E43" t="str">
            <v>Other Independent School</v>
          </cell>
          <cell r="F43" t="str">
            <v>Not applicable</v>
          </cell>
        </row>
        <row r="44">
          <cell r="A44">
            <v>8813257</v>
          </cell>
          <cell r="B44">
            <v>133312</v>
          </cell>
          <cell r="C44" t="str">
            <v>Abacus Primary School</v>
          </cell>
          <cell r="D44" t="str">
            <v>Essex</v>
          </cell>
          <cell r="E44" t="str">
            <v>Community School</v>
          </cell>
          <cell r="F44" t="str">
            <v>Primary</v>
          </cell>
        </row>
        <row r="45">
          <cell r="A45">
            <v>9333105</v>
          </cell>
          <cell r="B45">
            <v>123775</v>
          </cell>
          <cell r="C45" t="str">
            <v>Abbas and Templecombe Church of England Primary School</v>
          </cell>
          <cell r="D45" t="str">
            <v>Somerset</v>
          </cell>
          <cell r="E45" t="str">
            <v>Voluntary Controlled School</v>
          </cell>
          <cell r="F45" t="str">
            <v>Primary</v>
          </cell>
        </row>
        <row r="46">
          <cell r="A46">
            <v>8856005</v>
          </cell>
          <cell r="B46">
            <v>117011</v>
          </cell>
          <cell r="C46" t="str">
            <v>Abberley Hall School</v>
          </cell>
          <cell r="D46" t="str">
            <v>Worcestershire</v>
          </cell>
          <cell r="E46" t="str">
            <v>Other Independent School</v>
          </cell>
          <cell r="F46" t="str">
            <v>Not applicable</v>
          </cell>
        </row>
        <row r="47">
          <cell r="A47">
            <v>8853000</v>
          </cell>
          <cell r="B47">
            <v>116780</v>
          </cell>
          <cell r="C47" t="str">
            <v>Abberley Parochial VC Primary School</v>
          </cell>
          <cell r="D47" t="str">
            <v>Worcestershire</v>
          </cell>
          <cell r="E47" t="str">
            <v>Voluntary Controlled School</v>
          </cell>
          <cell r="F47" t="str">
            <v>Primary</v>
          </cell>
        </row>
        <row r="48">
          <cell r="A48">
            <v>3321103</v>
          </cell>
          <cell r="B48">
            <v>103770</v>
          </cell>
          <cell r="C48" t="str">
            <v>Abberley Street Pupil Referral Unit</v>
          </cell>
          <cell r="D48" t="str">
            <v>Dudley</v>
          </cell>
          <cell r="E48" t="str">
            <v>Pupil Referral Unit</v>
          </cell>
          <cell r="F48" t="str">
            <v>PRU</v>
          </cell>
        </row>
        <row r="49">
          <cell r="A49">
            <v>9373103</v>
          </cell>
          <cell r="B49">
            <v>125654</v>
          </cell>
          <cell r="C49" t="str">
            <v>Abbey CofE Infant School</v>
          </cell>
          <cell r="D49" t="str">
            <v>Warwickshire</v>
          </cell>
          <cell r="E49" t="str">
            <v>Voluntary Controlled School</v>
          </cell>
          <cell r="F49" t="str">
            <v>Primary</v>
          </cell>
        </row>
        <row r="50">
          <cell r="A50">
            <v>9303051</v>
          </cell>
          <cell r="B50">
            <v>129724</v>
          </cell>
          <cell r="C50" t="str">
            <v>Abbey CofE Infant School</v>
          </cell>
          <cell r="D50" t="str">
            <v>Pre LGR (1998) Nottinghamshire</v>
          </cell>
          <cell r="E50" t="str">
            <v>Voluntary Controlled School</v>
          </cell>
          <cell r="F50" t="str">
            <v>Primary</v>
          </cell>
        </row>
        <row r="51">
          <cell r="A51">
            <v>9303052</v>
          </cell>
          <cell r="B51">
            <v>133184</v>
          </cell>
          <cell r="C51" t="str">
            <v>Abbey CofE Infant School</v>
          </cell>
          <cell r="D51" t="str">
            <v>Pre LGR (1998) Nottinghamshire</v>
          </cell>
          <cell r="E51" t="str">
            <v>Community School</v>
          </cell>
          <cell r="F51" t="str">
            <v>Primary</v>
          </cell>
        </row>
        <row r="52">
          <cell r="A52">
            <v>9303050</v>
          </cell>
          <cell r="B52">
            <v>129723</v>
          </cell>
          <cell r="C52" t="str">
            <v>Abbey CofE Junior School</v>
          </cell>
          <cell r="D52" t="str">
            <v>Pre LGR (1998) Nottinghamshire</v>
          </cell>
          <cell r="E52" t="str">
            <v>Voluntary Controlled School</v>
          </cell>
          <cell r="F52" t="str">
            <v>Primary</v>
          </cell>
        </row>
        <row r="53">
          <cell r="A53">
            <v>3306092</v>
          </cell>
          <cell r="B53">
            <v>103599</v>
          </cell>
          <cell r="C53" t="str">
            <v>Abbey College</v>
          </cell>
          <cell r="D53" t="str">
            <v>Birmingham</v>
          </cell>
          <cell r="E53" t="str">
            <v>Other Independent School</v>
          </cell>
          <cell r="F53" t="str">
            <v>Not applicable</v>
          </cell>
        </row>
        <row r="54">
          <cell r="A54">
            <v>3526044</v>
          </cell>
          <cell r="B54">
            <v>105601</v>
          </cell>
          <cell r="C54" t="str">
            <v>Abbey College</v>
          </cell>
          <cell r="D54" t="str">
            <v>Manchester</v>
          </cell>
          <cell r="E54" t="str">
            <v>Other Independent School</v>
          </cell>
          <cell r="F54" t="str">
            <v>Not applicable</v>
          </cell>
        </row>
        <row r="55">
          <cell r="A55">
            <v>8856026</v>
          </cell>
          <cell r="B55">
            <v>117035</v>
          </cell>
          <cell r="C55" t="str">
            <v>Abbey College</v>
          </cell>
          <cell r="D55" t="str">
            <v>Worcestershire</v>
          </cell>
          <cell r="E55" t="str">
            <v>Other Independent School</v>
          </cell>
          <cell r="F55" t="str">
            <v>Not applicable</v>
          </cell>
        </row>
        <row r="56">
          <cell r="A56">
            <v>2136048</v>
          </cell>
          <cell r="B56">
            <v>136054</v>
          </cell>
          <cell r="C56" t="str">
            <v>Abbey College</v>
          </cell>
          <cell r="D56" t="str">
            <v>Westminster</v>
          </cell>
          <cell r="E56" t="str">
            <v>Other Independent School</v>
          </cell>
          <cell r="F56" t="str">
            <v>Not applicable</v>
          </cell>
        </row>
        <row r="57">
          <cell r="A57">
            <v>8736049</v>
          </cell>
          <cell r="B57">
            <v>136083</v>
          </cell>
          <cell r="C57" t="str">
            <v>Abbey College Cambridge</v>
          </cell>
          <cell r="D57" t="str">
            <v>Cambridgeshire</v>
          </cell>
          <cell r="E57" t="str">
            <v>Other Independent School</v>
          </cell>
          <cell r="F57" t="str">
            <v>Not applicable</v>
          </cell>
        </row>
        <row r="58">
          <cell r="A58">
            <v>8734603</v>
          </cell>
          <cell r="B58">
            <v>131205</v>
          </cell>
          <cell r="C58" t="str">
            <v>Abbey College, Ramsey</v>
          </cell>
          <cell r="D58" t="str">
            <v>Cambridgeshire</v>
          </cell>
          <cell r="E58" t="str">
            <v>Voluntary Controlled School</v>
          </cell>
          <cell r="F58" t="str">
            <v>Secondary</v>
          </cell>
        </row>
        <row r="59">
          <cell r="A59">
            <v>8734603</v>
          </cell>
          <cell r="B59">
            <v>137377</v>
          </cell>
          <cell r="C59" t="str">
            <v>Abbey College, Ramsey</v>
          </cell>
          <cell r="D59" t="str">
            <v>Cambridgeshire</v>
          </cell>
          <cell r="E59" t="str">
            <v>Academy Converters</v>
          </cell>
          <cell r="F59" t="str">
            <v>Secondary</v>
          </cell>
        </row>
        <row r="60">
          <cell r="A60">
            <v>8877053</v>
          </cell>
          <cell r="B60">
            <v>119052</v>
          </cell>
          <cell r="C60" t="str">
            <v>Abbey Court Community Special School</v>
          </cell>
          <cell r="D60" t="str">
            <v>Medway</v>
          </cell>
          <cell r="E60" t="str">
            <v>Community Special School</v>
          </cell>
          <cell r="F60" t="str">
            <v>Special</v>
          </cell>
        </row>
        <row r="61">
          <cell r="A61">
            <v>8966018</v>
          </cell>
          <cell r="B61">
            <v>111484</v>
          </cell>
          <cell r="C61" t="str">
            <v>Abbey Gate College</v>
          </cell>
          <cell r="D61" t="str">
            <v>Cheshire West and Chester</v>
          </cell>
          <cell r="E61" t="str">
            <v>Other Independent School</v>
          </cell>
          <cell r="F61" t="str">
            <v>Not applicable</v>
          </cell>
        </row>
        <row r="62">
          <cell r="A62">
            <v>8966000</v>
          </cell>
          <cell r="B62">
            <v>111466</v>
          </cell>
          <cell r="C62" t="str">
            <v>Abbey Gate School</v>
          </cell>
          <cell r="D62" t="str">
            <v>Cheshire West and Chester</v>
          </cell>
          <cell r="E62" t="str">
            <v>Other Independent School</v>
          </cell>
          <cell r="F62" t="str">
            <v>Not applicable</v>
          </cell>
        </row>
        <row r="63">
          <cell r="A63">
            <v>8912788</v>
          </cell>
          <cell r="B63">
            <v>122659</v>
          </cell>
          <cell r="C63" t="str">
            <v>Abbey Gates Primary School</v>
          </cell>
          <cell r="D63" t="str">
            <v>Nottinghamshire</v>
          </cell>
          <cell r="E63" t="str">
            <v>Community School</v>
          </cell>
          <cell r="F63" t="str">
            <v>Primary</v>
          </cell>
        </row>
        <row r="64">
          <cell r="A64">
            <v>3835400</v>
          </cell>
          <cell r="B64">
            <v>137083</v>
          </cell>
          <cell r="C64" t="str">
            <v>Abbey Grange Church of England Academy</v>
          </cell>
          <cell r="D64" t="str">
            <v>Leeds</v>
          </cell>
          <cell r="E64" t="str">
            <v>Academy Converters</v>
          </cell>
          <cell r="F64" t="str">
            <v>Secondary</v>
          </cell>
        </row>
        <row r="65">
          <cell r="A65">
            <v>3835400</v>
          </cell>
          <cell r="B65">
            <v>108101</v>
          </cell>
          <cell r="C65" t="str">
            <v>Abbey Grange Church of England High School</v>
          </cell>
          <cell r="D65" t="str">
            <v>Leeds</v>
          </cell>
          <cell r="E65" t="str">
            <v>Voluntary Aided School</v>
          </cell>
          <cell r="F65" t="str">
            <v>Secondary</v>
          </cell>
        </row>
        <row r="66">
          <cell r="A66">
            <v>3801008</v>
          </cell>
          <cell r="B66">
            <v>107188</v>
          </cell>
          <cell r="C66" t="str">
            <v>Abbey Green Nursery School</v>
          </cell>
          <cell r="D66" t="str">
            <v>Bradford</v>
          </cell>
          <cell r="E66" t="str">
            <v>LA Nursery School</v>
          </cell>
          <cell r="F66" t="str">
            <v>Nursery</v>
          </cell>
        </row>
        <row r="67">
          <cell r="A67">
            <v>3522306</v>
          </cell>
          <cell r="B67">
            <v>105473</v>
          </cell>
          <cell r="C67" t="str">
            <v>Abbey Hey Infant School</v>
          </cell>
          <cell r="D67" t="str">
            <v>Manchester</v>
          </cell>
          <cell r="E67" t="str">
            <v>Community School</v>
          </cell>
          <cell r="F67" t="str">
            <v>Primary</v>
          </cell>
        </row>
        <row r="68">
          <cell r="A68">
            <v>3522000</v>
          </cell>
          <cell r="B68">
            <v>105386</v>
          </cell>
          <cell r="C68" t="str">
            <v>Abbey Hey Primary School</v>
          </cell>
          <cell r="D68" t="str">
            <v>Manchester</v>
          </cell>
          <cell r="E68" t="str">
            <v>Community School</v>
          </cell>
          <cell r="F68" t="str">
            <v>Primary</v>
          </cell>
        </row>
        <row r="69">
          <cell r="A69">
            <v>3521101</v>
          </cell>
          <cell r="B69">
            <v>132740</v>
          </cell>
          <cell r="C69" t="str">
            <v>Abbey Hey Pupil Referral Unit</v>
          </cell>
          <cell r="D69" t="str">
            <v>Manchester</v>
          </cell>
          <cell r="E69" t="str">
            <v>Pupil Referral Unit</v>
          </cell>
          <cell r="F69" t="str">
            <v>PRU</v>
          </cell>
        </row>
        <row r="70">
          <cell r="A70">
            <v>8913797</v>
          </cell>
          <cell r="B70">
            <v>136006</v>
          </cell>
          <cell r="C70" t="str">
            <v>Abbey Hill Primary &amp; Nursery</v>
          </cell>
          <cell r="D70" t="str">
            <v>Nottinghamshire</v>
          </cell>
          <cell r="E70" t="str">
            <v>Community School</v>
          </cell>
          <cell r="F70" t="str">
            <v>Primary</v>
          </cell>
        </row>
        <row r="71">
          <cell r="A71">
            <v>8617007</v>
          </cell>
          <cell r="B71">
            <v>124500</v>
          </cell>
          <cell r="C71" t="str">
            <v>Abbey Hill School and Performing Arts College</v>
          </cell>
          <cell r="D71" t="str">
            <v>Stoke-on-Trent</v>
          </cell>
          <cell r="E71" t="str">
            <v>Community Special School</v>
          </cell>
          <cell r="F71" t="str">
            <v>Special</v>
          </cell>
        </row>
        <row r="72">
          <cell r="A72">
            <v>8087029</v>
          </cell>
          <cell r="B72">
            <v>111787</v>
          </cell>
          <cell r="C72" t="str">
            <v>Abbey Hill School and Technology College</v>
          </cell>
          <cell r="D72" t="str">
            <v>Stockton-on-Tees</v>
          </cell>
          <cell r="E72" t="str">
            <v>Community Special School</v>
          </cell>
          <cell r="F72" t="str">
            <v>Special</v>
          </cell>
        </row>
        <row r="73">
          <cell r="A73">
            <v>8611000</v>
          </cell>
          <cell r="B73">
            <v>123947</v>
          </cell>
          <cell r="C73" t="str">
            <v>Abbey Hulton Nursery School</v>
          </cell>
          <cell r="D73" t="str">
            <v>Stoke-on-Trent</v>
          </cell>
          <cell r="E73" t="str">
            <v>LA Nursery School</v>
          </cell>
          <cell r="F73" t="str">
            <v>Nursery</v>
          </cell>
        </row>
        <row r="74">
          <cell r="A74">
            <v>8612033</v>
          </cell>
          <cell r="B74">
            <v>123989</v>
          </cell>
          <cell r="C74" t="str">
            <v>Abbey Hulton Primary School</v>
          </cell>
          <cell r="D74" t="str">
            <v>Stoke-on-Trent</v>
          </cell>
          <cell r="E74" t="str">
            <v>Community School</v>
          </cell>
          <cell r="F74" t="str">
            <v>Primary</v>
          </cell>
        </row>
        <row r="75">
          <cell r="A75">
            <v>3332102</v>
          </cell>
          <cell r="B75">
            <v>103930</v>
          </cell>
          <cell r="C75" t="str">
            <v>Abbey Infant School</v>
          </cell>
          <cell r="D75" t="str">
            <v>Sandwell</v>
          </cell>
          <cell r="E75" t="str">
            <v>Community School</v>
          </cell>
          <cell r="F75" t="str">
            <v>Primary</v>
          </cell>
        </row>
        <row r="76">
          <cell r="A76">
            <v>8412666</v>
          </cell>
          <cell r="B76">
            <v>114181</v>
          </cell>
          <cell r="C76" t="str">
            <v>Abbey Infants' School</v>
          </cell>
          <cell r="D76" t="str">
            <v>Darlington</v>
          </cell>
          <cell r="E76" t="str">
            <v>Community School</v>
          </cell>
          <cell r="F76" t="str">
            <v>Primary</v>
          </cell>
        </row>
        <row r="77">
          <cell r="A77">
            <v>8412666</v>
          </cell>
          <cell r="B77">
            <v>136988</v>
          </cell>
          <cell r="C77" t="str">
            <v>Abbey Infants' School</v>
          </cell>
          <cell r="D77" t="str">
            <v>Darlington</v>
          </cell>
          <cell r="E77" t="str">
            <v>Academy Converters</v>
          </cell>
          <cell r="F77" t="str">
            <v>Primary</v>
          </cell>
        </row>
        <row r="78">
          <cell r="A78">
            <v>3332101</v>
          </cell>
          <cell r="B78">
            <v>103929</v>
          </cell>
          <cell r="C78" t="str">
            <v>Abbey Junior School</v>
          </cell>
          <cell r="D78" t="str">
            <v>Sandwell</v>
          </cell>
          <cell r="E78" t="str">
            <v>Community School</v>
          </cell>
          <cell r="F78" t="str">
            <v>Primary</v>
          </cell>
        </row>
        <row r="79">
          <cell r="A79">
            <v>8412647</v>
          </cell>
          <cell r="B79">
            <v>114165</v>
          </cell>
          <cell r="C79" t="str">
            <v>Abbey Junior School</v>
          </cell>
          <cell r="D79" t="str">
            <v>Darlington</v>
          </cell>
          <cell r="E79" t="str">
            <v>Community School</v>
          </cell>
          <cell r="F79" t="str">
            <v>Primary</v>
          </cell>
        </row>
        <row r="80">
          <cell r="A80">
            <v>9262400</v>
          </cell>
          <cell r="B80">
            <v>121008</v>
          </cell>
          <cell r="C80" t="str">
            <v>Abbey Junior School</v>
          </cell>
          <cell r="D80" t="str">
            <v>Norfolk</v>
          </cell>
          <cell r="E80" t="str">
            <v>Community School</v>
          </cell>
          <cell r="F80" t="str">
            <v>Primary</v>
          </cell>
        </row>
        <row r="81">
          <cell r="A81">
            <v>8412647</v>
          </cell>
          <cell r="B81">
            <v>136989</v>
          </cell>
          <cell r="C81" t="str">
            <v>Abbey Junior School</v>
          </cell>
          <cell r="D81" t="str">
            <v>Darlington</v>
          </cell>
          <cell r="E81" t="str">
            <v>Academy Converters</v>
          </cell>
          <cell r="F81" t="str">
            <v>Primary</v>
          </cell>
        </row>
        <row r="82">
          <cell r="A82">
            <v>3732001</v>
          </cell>
          <cell r="B82">
            <v>106982</v>
          </cell>
          <cell r="C82" t="str">
            <v>Abbey Lane Primary School</v>
          </cell>
          <cell r="D82" t="str">
            <v>Sheffield</v>
          </cell>
          <cell r="E82" t="str">
            <v>Community School</v>
          </cell>
          <cell r="F82" t="str">
            <v>Primary</v>
          </cell>
        </row>
        <row r="83">
          <cell r="A83">
            <v>2091103</v>
          </cell>
          <cell r="B83">
            <v>130856</v>
          </cell>
          <cell r="C83" t="str">
            <v>Abbey Manor College</v>
          </cell>
          <cell r="D83" t="str">
            <v>Lewisham</v>
          </cell>
          <cell r="E83" t="str">
            <v>Pupil Referral Unit</v>
          </cell>
          <cell r="F83" t="str">
            <v>PRU</v>
          </cell>
        </row>
        <row r="84">
          <cell r="A84">
            <v>8732450</v>
          </cell>
          <cell r="B84">
            <v>132127</v>
          </cell>
          <cell r="C84" t="str">
            <v>Abbey Meadows Primary School</v>
          </cell>
          <cell r="D84" t="str">
            <v>Cambridgeshire</v>
          </cell>
          <cell r="E84" t="str">
            <v>Community School</v>
          </cell>
          <cell r="F84" t="str">
            <v>Primary</v>
          </cell>
        </row>
        <row r="85">
          <cell r="A85">
            <v>8662000</v>
          </cell>
          <cell r="B85">
            <v>131573</v>
          </cell>
          <cell r="C85" t="str">
            <v>Abbey Meads Community Primary School</v>
          </cell>
          <cell r="D85" t="str">
            <v>Swindon</v>
          </cell>
          <cell r="E85" t="str">
            <v>Community School</v>
          </cell>
          <cell r="F85" t="str">
            <v>Primary</v>
          </cell>
        </row>
        <row r="86">
          <cell r="A86">
            <v>8224037</v>
          </cell>
          <cell r="B86">
            <v>109654</v>
          </cell>
          <cell r="C86" t="str">
            <v>Abbey Middle School</v>
          </cell>
          <cell r="D86" t="str">
            <v>Bedford</v>
          </cell>
          <cell r="E86" t="str">
            <v>Community School</v>
          </cell>
          <cell r="F86" t="str">
            <v>Middle Deemed Secondary</v>
          </cell>
        </row>
        <row r="87">
          <cell r="A87">
            <v>8852119</v>
          </cell>
          <cell r="B87">
            <v>116716</v>
          </cell>
          <cell r="C87" t="str">
            <v>Abbey Park First and Nursery School</v>
          </cell>
          <cell r="D87" t="str">
            <v>Worcestershire</v>
          </cell>
          <cell r="E87" t="str">
            <v>Community School</v>
          </cell>
          <cell r="F87" t="str">
            <v>Primary</v>
          </cell>
        </row>
        <row r="88">
          <cell r="A88">
            <v>3812036</v>
          </cell>
          <cell r="B88">
            <v>107498</v>
          </cell>
          <cell r="C88" t="str">
            <v>Abbey Park Junior, Infant and Nursery School</v>
          </cell>
          <cell r="D88" t="str">
            <v>Calderdale</v>
          </cell>
          <cell r="E88" t="str">
            <v>Community School</v>
          </cell>
          <cell r="F88" t="str">
            <v>Primary</v>
          </cell>
        </row>
        <row r="89">
          <cell r="A89">
            <v>8852906</v>
          </cell>
          <cell r="B89">
            <v>116774</v>
          </cell>
          <cell r="C89" t="str">
            <v>Abbey Park Middle School</v>
          </cell>
          <cell r="D89" t="str">
            <v>Worcestershire</v>
          </cell>
          <cell r="E89" t="str">
            <v>Community School</v>
          </cell>
          <cell r="F89" t="str">
            <v>Middle Deemed Primary</v>
          </cell>
        </row>
        <row r="90">
          <cell r="A90">
            <v>8562337</v>
          </cell>
          <cell r="B90">
            <v>120063</v>
          </cell>
          <cell r="C90" t="str">
            <v>Abbey Primary Community School</v>
          </cell>
          <cell r="D90" t="str">
            <v>Leicester</v>
          </cell>
          <cell r="E90" t="str">
            <v>Community School</v>
          </cell>
          <cell r="F90" t="str">
            <v>Primary</v>
          </cell>
        </row>
        <row r="91">
          <cell r="A91">
            <v>3032053</v>
          </cell>
          <cell r="B91">
            <v>101432</v>
          </cell>
          <cell r="C91" t="str">
            <v>Abbey Primary School</v>
          </cell>
          <cell r="D91" t="str">
            <v>Bexley</v>
          </cell>
          <cell r="E91" t="str">
            <v>Community School</v>
          </cell>
          <cell r="F91" t="str">
            <v>Primary</v>
          </cell>
        </row>
        <row r="92">
          <cell r="A92">
            <v>3192012</v>
          </cell>
          <cell r="B92">
            <v>102967</v>
          </cell>
          <cell r="C92" t="str">
            <v>Abbey Primary School</v>
          </cell>
          <cell r="D92" t="str">
            <v>Sutton</v>
          </cell>
          <cell r="E92" t="str">
            <v>Community School</v>
          </cell>
          <cell r="F92" t="str">
            <v>Primary</v>
          </cell>
        </row>
        <row r="93">
          <cell r="A93">
            <v>3352041</v>
          </cell>
          <cell r="B93">
            <v>104168</v>
          </cell>
          <cell r="C93" t="str">
            <v>Abbey Primary School</v>
          </cell>
          <cell r="D93" t="str">
            <v>Walsall</v>
          </cell>
          <cell r="E93" t="str">
            <v>Community School</v>
          </cell>
          <cell r="F93" t="str">
            <v>Primary</v>
          </cell>
        </row>
        <row r="94">
          <cell r="A94">
            <v>8913297</v>
          </cell>
          <cell r="B94">
            <v>133280</v>
          </cell>
          <cell r="C94" t="str">
            <v>Abbey Primary School</v>
          </cell>
          <cell r="D94" t="str">
            <v>Nottinghamshire</v>
          </cell>
          <cell r="E94" t="str">
            <v>Community School</v>
          </cell>
          <cell r="F94" t="str">
            <v>Primary</v>
          </cell>
        </row>
        <row r="95">
          <cell r="A95">
            <v>8912571</v>
          </cell>
          <cell r="B95">
            <v>122599</v>
          </cell>
          <cell r="C95" t="str">
            <v>Abbey Road Primary School</v>
          </cell>
          <cell r="D95" t="str">
            <v>Nottinghamshire</v>
          </cell>
          <cell r="E95" t="str">
            <v>Community School</v>
          </cell>
          <cell r="F95" t="str">
            <v>Primary</v>
          </cell>
        </row>
        <row r="96">
          <cell r="A96">
            <v>3727001</v>
          </cell>
          <cell r="B96">
            <v>106967</v>
          </cell>
          <cell r="C96" t="str">
            <v>Abbey School</v>
          </cell>
          <cell r="D96" t="str">
            <v>Rotherham</v>
          </cell>
          <cell r="E96" t="str">
            <v>Community Special School</v>
          </cell>
          <cell r="F96" t="str">
            <v>Special</v>
          </cell>
        </row>
        <row r="97">
          <cell r="A97">
            <v>8806000</v>
          </cell>
          <cell r="B97">
            <v>113566</v>
          </cell>
          <cell r="C97" t="str">
            <v>Abbey School</v>
          </cell>
          <cell r="D97" t="str">
            <v>Torbay</v>
          </cell>
          <cell r="E97" t="str">
            <v>Other Independent School</v>
          </cell>
          <cell r="F97" t="str">
            <v>Not applicable</v>
          </cell>
        </row>
        <row r="98">
          <cell r="A98">
            <v>9166060</v>
          </cell>
          <cell r="B98">
            <v>115806</v>
          </cell>
          <cell r="C98" t="str">
            <v>Abbey School</v>
          </cell>
          <cell r="D98" t="str">
            <v>Gloucestershire</v>
          </cell>
          <cell r="E98" t="str">
            <v>Other Independent School</v>
          </cell>
          <cell r="F98" t="str">
            <v>Not applicable</v>
          </cell>
        </row>
        <row r="99">
          <cell r="A99">
            <v>8882565</v>
          </cell>
          <cell r="B99">
            <v>119307</v>
          </cell>
          <cell r="C99" t="str">
            <v>Abbey Village Primary School</v>
          </cell>
          <cell r="D99" t="str">
            <v>Lancashire</v>
          </cell>
          <cell r="E99" t="str">
            <v>Community School</v>
          </cell>
          <cell r="F99" t="str">
            <v>Primary</v>
          </cell>
        </row>
        <row r="100">
          <cell r="A100">
            <v>2031016</v>
          </cell>
          <cell r="B100">
            <v>100099</v>
          </cell>
          <cell r="C100" t="str">
            <v>Abbey Wood Nursery School</v>
          </cell>
          <cell r="D100" t="str">
            <v>Greenwich</v>
          </cell>
          <cell r="E100" t="str">
            <v>LA Nursery School</v>
          </cell>
          <cell r="F100" t="str">
            <v>Nursery</v>
          </cell>
        </row>
        <row r="101">
          <cell r="A101">
            <v>2034245</v>
          </cell>
          <cell r="B101">
            <v>100186</v>
          </cell>
          <cell r="C101" t="str">
            <v>Abbey Wood School</v>
          </cell>
          <cell r="D101" t="str">
            <v>Greenwich</v>
          </cell>
          <cell r="E101" t="str">
            <v>Community School</v>
          </cell>
          <cell r="F101" t="str">
            <v>Secondary</v>
          </cell>
        </row>
        <row r="102">
          <cell r="A102">
            <v>3734254</v>
          </cell>
          <cell r="B102">
            <v>107137</v>
          </cell>
          <cell r="C102" t="str">
            <v>Abbeydale Grange School</v>
          </cell>
          <cell r="D102" t="str">
            <v>Sheffield</v>
          </cell>
          <cell r="E102" t="str">
            <v>Foundation School</v>
          </cell>
          <cell r="F102" t="str">
            <v>Secondary</v>
          </cell>
        </row>
        <row r="103">
          <cell r="A103">
            <v>9284069</v>
          </cell>
          <cell r="B103">
            <v>122077</v>
          </cell>
          <cell r="C103" t="str">
            <v>Abbeyfield School</v>
          </cell>
          <cell r="D103" t="str">
            <v>Northamptonshire</v>
          </cell>
          <cell r="E103" t="str">
            <v>Community School</v>
          </cell>
          <cell r="F103" t="str">
            <v>Secondary</v>
          </cell>
        </row>
        <row r="104">
          <cell r="A104">
            <v>8654000</v>
          </cell>
          <cell r="B104">
            <v>131969</v>
          </cell>
          <cell r="C104" t="str">
            <v>Abbeyfield School</v>
          </cell>
          <cell r="D104" t="str">
            <v>Wiltshire</v>
          </cell>
          <cell r="E104" t="str">
            <v>Community School</v>
          </cell>
          <cell r="F104" t="str">
            <v>Secondary</v>
          </cell>
        </row>
        <row r="105">
          <cell r="A105">
            <v>9292354</v>
          </cell>
          <cell r="B105">
            <v>122245</v>
          </cell>
          <cell r="C105" t="str">
            <v>Abbeyfields First School</v>
          </cell>
          <cell r="D105" t="str">
            <v>Northumberland</v>
          </cell>
          <cell r="E105" t="str">
            <v>Community School</v>
          </cell>
          <cell r="F105" t="str">
            <v>Primary</v>
          </cell>
        </row>
        <row r="106">
          <cell r="A106">
            <v>9364461</v>
          </cell>
          <cell r="B106">
            <v>125269</v>
          </cell>
          <cell r="C106" t="str">
            <v>Abbeylands School</v>
          </cell>
          <cell r="D106" t="str">
            <v>Surrey</v>
          </cell>
          <cell r="E106" t="str">
            <v>Community School</v>
          </cell>
          <cell r="F106" t="str">
            <v>Secondary</v>
          </cell>
        </row>
        <row r="107">
          <cell r="A107">
            <v>9162172</v>
          </cell>
          <cell r="B107">
            <v>115601</v>
          </cell>
          <cell r="C107" t="str">
            <v>Abbeymead Primary School</v>
          </cell>
          <cell r="D107" t="str">
            <v>Gloucestershire</v>
          </cell>
          <cell r="E107" t="str">
            <v>Community School</v>
          </cell>
          <cell r="F107" t="str">
            <v>Primary</v>
          </cell>
        </row>
        <row r="108">
          <cell r="A108">
            <v>9042215</v>
          </cell>
          <cell r="B108">
            <v>128330</v>
          </cell>
          <cell r="C108" t="str">
            <v>Abbeys First School</v>
          </cell>
          <cell r="D108" t="str">
            <v>Pre LGR (1997) Buckinghamshire</v>
          </cell>
          <cell r="E108" t="str">
            <v>Community School</v>
          </cell>
          <cell r="F108" t="str">
            <v>Primary</v>
          </cell>
        </row>
        <row r="109">
          <cell r="A109">
            <v>9042195</v>
          </cell>
          <cell r="B109">
            <v>128327</v>
          </cell>
          <cell r="C109" t="str">
            <v>Abbeys Middle School</v>
          </cell>
          <cell r="D109" t="str">
            <v>Pre LGR (1997) Buckinghamshire</v>
          </cell>
          <cell r="E109" t="str">
            <v>Community School</v>
          </cell>
          <cell r="F109" t="str">
            <v>Middle Deemed Primary</v>
          </cell>
        </row>
        <row r="110">
          <cell r="A110">
            <v>8262348</v>
          </cell>
          <cell r="B110">
            <v>110401</v>
          </cell>
          <cell r="C110" t="str">
            <v>Abbeys Primary School</v>
          </cell>
          <cell r="D110" t="str">
            <v>Milton Keynes</v>
          </cell>
          <cell r="E110" t="str">
            <v>Community School</v>
          </cell>
          <cell r="F110" t="str">
            <v>Primary</v>
          </cell>
        </row>
        <row r="111">
          <cell r="A111">
            <v>8034113</v>
          </cell>
          <cell r="B111">
            <v>109295</v>
          </cell>
          <cell r="C111" t="str">
            <v>Abbeywood Community School</v>
          </cell>
          <cell r="D111" t="str">
            <v>South Gloucestershire</v>
          </cell>
          <cell r="E111" t="str">
            <v>Community School</v>
          </cell>
          <cell r="F111" t="str">
            <v>Secondary</v>
          </cell>
        </row>
        <row r="112">
          <cell r="A112">
            <v>8853398</v>
          </cell>
          <cell r="B112">
            <v>131275</v>
          </cell>
          <cell r="C112" t="str">
            <v>Abbeywood First School</v>
          </cell>
          <cell r="D112" t="str">
            <v>Worcestershire</v>
          </cell>
          <cell r="E112" t="str">
            <v>Community School</v>
          </cell>
          <cell r="F112" t="str">
            <v>Primary</v>
          </cell>
        </row>
        <row r="113">
          <cell r="A113">
            <v>8604500</v>
          </cell>
          <cell r="B113">
            <v>124449</v>
          </cell>
          <cell r="C113" t="str">
            <v>Abbot Beyne School</v>
          </cell>
          <cell r="D113" t="str">
            <v>Staffordshire</v>
          </cell>
          <cell r="E113" t="str">
            <v>Voluntary Controlled School</v>
          </cell>
          <cell r="F113" t="str">
            <v>Secondary</v>
          </cell>
        </row>
        <row r="114">
          <cell r="A114">
            <v>8606013</v>
          </cell>
          <cell r="B114">
            <v>124470</v>
          </cell>
          <cell r="C114" t="str">
            <v>Abbots Bromley School for Girls</v>
          </cell>
          <cell r="D114" t="str">
            <v>Staffordshire</v>
          </cell>
          <cell r="E114" t="str">
            <v>Other Independent School</v>
          </cell>
          <cell r="F114" t="str">
            <v>Not applicable</v>
          </cell>
        </row>
        <row r="115">
          <cell r="A115">
            <v>9372410</v>
          </cell>
          <cell r="B115">
            <v>125573</v>
          </cell>
          <cell r="C115" t="str">
            <v>Abbots Farm Infant School</v>
          </cell>
          <cell r="D115" t="str">
            <v>Warwickshire</v>
          </cell>
          <cell r="E115" t="str">
            <v>Community School</v>
          </cell>
          <cell r="F115" t="str">
            <v>Primary</v>
          </cell>
        </row>
        <row r="116">
          <cell r="A116">
            <v>9372421</v>
          </cell>
          <cell r="B116">
            <v>125580</v>
          </cell>
          <cell r="C116" t="str">
            <v>Abbots Farm Junior School</v>
          </cell>
          <cell r="D116" t="str">
            <v>Warwickshire</v>
          </cell>
          <cell r="E116" t="str">
            <v>Community School</v>
          </cell>
          <cell r="F116" t="str">
            <v>Primary</v>
          </cell>
        </row>
        <row r="117">
          <cell r="A117">
            <v>9353343</v>
          </cell>
          <cell r="B117">
            <v>134362</v>
          </cell>
          <cell r="C117" t="str">
            <v>Abbots Green Community Primary School</v>
          </cell>
          <cell r="D117" t="str">
            <v>Suffolk</v>
          </cell>
          <cell r="E117" t="str">
            <v>Community School</v>
          </cell>
          <cell r="F117" t="str">
            <v>Primary</v>
          </cell>
        </row>
        <row r="118">
          <cell r="A118">
            <v>9352138</v>
          </cell>
          <cell r="B118">
            <v>124631</v>
          </cell>
          <cell r="C118" t="str">
            <v>Abbot's Hall Community Primary School</v>
          </cell>
          <cell r="D118" t="str">
            <v>Suffolk</v>
          </cell>
          <cell r="E118" t="str">
            <v>Community School</v>
          </cell>
          <cell r="F118" t="str">
            <v>Primary</v>
          </cell>
        </row>
        <row r="119">
          <cell r="A119">
            <v>8832654</v>
          </cell>
          <cell r="B119">
            <v>114934</v>
          </cell>
          <cell r="C119" t="str">
            <v>Abbots Hall Infant School</v>
          </cell>
          <cell r="D119" t="str">
            <v>Thurrock</v>
          </cell>
          <cell r="E119" t="str">
            <v>Community School</v>
          </cell>
          <cell r="F119" t="str">
            <v>Primary</v>
          </cell>
        </row>
        <row r="120">
          <cell r="A120">
            <v>8832634</v>
          </cell>
          <cell r="B120">
            <v>114927</v>
          </cell>
          <cell r="C120" t="str">
            <v>Abbots Hall Junior School</v>
          </cell>
          <cell r="D120" t="str">
            <v>Thurrock</v>
          </cell>
          <cell r="E120" t="str">
            <v>Community School</v>
          </cell>
          <cell r="F120" t="str">
            <v>Primary</v>
          </cell>
        </row>
        <row r="121">
          <cell r="A121">
            <v>8833822</v>
          </cell>
          <cell r="B121">
            <v>109308</v>
          </cell>
          <cell r="C121" t="str">
            <v>Abbots Hall Primary School</v>
          </cell>
          <cell r="D121" t="str">
            <v>Thurrock</v>
          </cell>
          <cell r="E121" t="str">
            <v>Community School</v>
          </cell>
          <cell r="F121" t="str">
            <v>Primary</v>
          </cell>
        </row>
        <row r="122">
          <cell r="A122">
            <v>9196000</v>
          </cell>
          <cell r="B122">
            <v>117600</v>
          </cell>
          <cell r="C122" t="str">
            <v>Abbot's Hill School</v>
          </cell>
          <cell r="D122" t="str">
            <v>Hertfordshire</v>
          </cell>
          <cell r="E122" t="str">
            <v>Other Independent School</v>
          </cell>
          <cell r="F122" t="str">
            <v>Not applicable</v>
          </cell>
        </row>
        <row r="123">
          <cell r="A123">
            <v>6642231</v>
          </cell>
          <cell r="B123">
            <v>400371</v>
          </cell>
          <cell r="C123" t="str">
            <v>Abbots Lane C.P. School</v>
          </cell>
          <cell r="D123" t="str">
            <v>Flintshire</v>
          </cell>
          <cell r="E123" t="str">
            <v>Welsh Establishment</v>
          </cell>
          <cell r="F123" t="str">
            <v>Primary</v>
          </cell>
        </row>
        <row r="124">
          <cell r="A124">
            <v>9192000</v>
          </cell>
          <cell r="B124">
            <v>117083</v>
          </cell>
          <cell r="C124" t="str">
            <v>Abbots Langley School</v>
          </cell>
          <cell r="D124" t="str">
            <v>Hertfordshire</v>
          </cell>
          <cell r="E124" t="str">
            <v>Community School</v>
          </cell>
          <cell r="F124" t="str">
            <v>Primary</v>
          </cell>
        </row>
        <row r="125">
          <cell r="A125">
            <v>3417025</v>
          </cell>
          <cell r="B125">
            <v>104736</v>
          </cell>
          <cell r="C125" t="str">
            <v>Abbot's Lea School</v>
          </cell>
          <cell r="D125" t="str">
            <v>Liverpool</v>
          </cell>
          <cell r="E125" t="str">
            <v>Community Special School</v>
          </cell>
          <cell r="F125" t="str">
            <v>Special</v>
          </cell>
        </row>
        <row r="126">
          <cell r="A126">
            <v>8733373</v>
          </cell>
          <cell r="B126">
            <v>110850</v>
          </cell>
          <cell r="C126" t="str">
            <v>Abbots Ripton CofE Primary School</v>
          </cell>
          <cell r="D126" t="str">
            <v>Cambridgeshire</v>
          </cell>
          <cell r="E126" t="str">
            <v>Voluntary Aided School</v>
          </cell>
          <cell r="F126" t="str">
            <v>Primary</v>
          </cell>
        </row>
        <row r="127">
          <cell r="A127">
            <v>3152077</v>
          </cell>
          <cell r="B127">
            <v>102649</v>
          </cell>
          <cell r="C127" t="str">
            <v>Abbotsbury Primary School</v>
          </cell>
          <cell r="D127" t="str">
            <v>Merton</v>
          </cell>
          <cell r="E127" t="str">
            <v>Community School</v>
          </cell>
          <cell r="F127" t="str">
            <v>Primary</v>
          </cell>
        </row>
        <row r="128">
          <cell r="A128">
            <v>8786027</v>
          </cell>
          <cell r="B128">
            <v>113601</v>
          </cell>
          <cell r="C128" t="str">
            <v>Abbotsbury School</v>
          </cell>
          <cell r="D128" t="str">
            <v>Devon</v>
          </cell>
          <cell r="E128" t="str">
            <v>Other Independent School</v>
          </cell>
          <cell r="F128" t="str">
            <v>Not applicable</v>
          </cell>
        </row>
        <row r="129">
          <cell r="A129">
            <v>3124951</v>
          </cell>
          <cell r="B129">
            <v>132847</v>
          </cell>
          <cell r="C129" t="str">
            <v>Abbotsfield - Swakeleys Post 16 Centre</v>
          </cell>
          <cell r="D129" t="str">
            <v>Hillingdon</v>
          </cell>
          <cell r="E129" t="str">
            <v>Sixth Form Centres</v>
          </cell>
          <cell r="F129" t="str">
            <v>16 Plus</v>
          </cell>
        </row>
        <row r="130">
          <cell r="A130">
            <v>3125409</v>
          </cell>
          <cell r="B130">
            <v>102449</v>
          </cell>
          <cell r="C130" t="str">
            <v>Abbotsfield School</v>
          </cell>
          <cell r="D130" t="str">
            <v>Hillingdon</v>
          </cell>
          <cell r="E130" t="str">
            <v>Foundation School</v>
          </cell>
          <cell r="F130" t="str">
            <v>Secondary</v>
          </cell>
        </row>
        <row r="131">
          <cell r="A131">
            <v>9387020</v>
          </cell>
          <cell r="B131">
            <v>126168</v>
          </cell>
          <cell r="C131" t="str">
            <v>Abbotsford Community Special School</v>
          </cell>
          <cell r="D131" t="str">
            <v>West Sussex</v>
          </cell>
          <cell r="E131" t="str">
            <v>Community Special School</v>
          </cell>
          <cell r="F131" t="str">
            <v>Special</v>
          </cell>
        </row>
        <row r="132">
          <cell r="A132">
            <v>3586012</v>
          </cell>
          <cell r="B132">
            <v>106386</v>
          </cell>
          <cell r="C132" t="str">
            <v>Abbotsford Preparatory School</v>
          </cell>
          <cell r="D132" t="str">
            <v>Trafford</v>
          </cell>
          <cell r="E132" t="str">
            <v>Other Independent School</v>
          </cell>
          <cell r="F132" t="str">
            <v>Not applicable</v>
          </cell>
        </row>
        <row r="133">
          <cell r="A133">
            <v>9376029</v>
          </cell>
          <cell r="B133">
            <v>125783</v>
          </cell>
          <cell r="C133" t="str">
            <v>Abbotsford School</v>
          </cell>
          <cell r="D133" t="str">
            <v>Warwickshire</v>
          </cell>
          <cell r="E133" t="str">
            <v>Other Independent School</v>
          </cell>
          <cell r="F133" t="str">
            <v>Not applicable</v>
          </cell>
        </row>
        <row r="134">
          <cell r="A134">
            <v>8306005</v>
          </cell>
          <cell r="B134">
            <v>113003</v>
          </cell>
          <cell r="C134" t="str">
            <v>Abbotsholme School</v>
          </cell>
          <cell r="D134" t="str">
            <v>Derbyshire</v>
          </cell>
          <cell r="E134" t="str">
            <v>Other Independent School</v>
          </cell>
          <cell r="F134" t="str">
            <v>Not applicable</v>
          </cell>
        </row>
        <row r="135">
          <cell r="A135">
            <v>8782400</v>
          </cell>
          <cell r="B135">
            <v>113183</v>
          </cell>
          <cell r="C135" t="str">
            <v>Abbotskerswell Primary School</v>
          </cell>
          <cell r="D135" t="str">
            <v>Devon</v>
          </cell>
          <cell r="E135" t="str">
            <v>Community School</v>
          </cell>
          <cell r="F135" t="str">
            <v>Primary</v>
          </cell>
        </row>
        <row r="136">
          <cell r="A136">
            <v>9092504</v>
          </cell>
          <cell r="B136">
            <v>112201</v>
          </cell>
          <cell r="C136" t="str">
            <v>Abbotsmead Junior School</v>
          </cell>
          <cell r="D136" t="str">
            <v>Cumbria</v>
          </cell>
          <cell r="E136" t="str">
            <v>Community School</v>
          </cell>
          <cell r="F136" t="str">
            <v>Primary</v>
          </cell>
        </row>
        <row r="137">
          <cell r="A137">
            <v>9052266</v>
          </cell>
          <cell r="B137">
            <v>132866</v>
          </cell>
          <cell r="C137" t="str">
            <v>Abbotsmede Infant School</v>
          </cell>
          <cell r="D137" t="str">
            <v>Pre LGR (1998) Cambridgeshire</v>
          </cell>
          <cell r="E137" t="str">
            <v>Community School</v>
          </cell>
          <cell r="F137" t="str">
            <v>Primary</v>
          </cell>
        </row>
        <row r="138">
          <cell r="A138">
            <v>9052265</v>
          </cell>
          <cell r="B138">
            <v>132867</v>
          </cell>
          <cell r="C138" t="str">
            <v>Abbotsmede Junior School</v>
          </cell>
          <cell r="D138" t="str">
            <v>Pre LGR (1998) Cambridgeshire</v>
          </cell>
          <cell r="E138" t="str">
            <v>Community School</v>
          </cell>
          <cell r="F138" t="str">
            <v>Primary</v>
          </cell>
        </row>
        <row r="139">
          <cell r="A139">
            <v>8742450</v>
          </cell>
          <cell r="B139">
            <v>110779</v>
          </cell>
          <cell r="C139" t="str">
            <v>Abbotsmede Primary School</v>
          </cell>
          <cell r="D139" t="str">
            <v>Peterborough</v>
          </cell>
          <cell r="E139" t="str">
            <v>Community School</v>
          </cell>
          <cell r="F139" t="str">
            <v>Primary</v>
          </cell>
        </row>
        <row r="140">
          <cell r="A140">
            <v>9152813</v>
          </cell>
          <cell r="B140">
            <v>128898</v>
          </cell>
          <cell r="C140" t="str">
            <v>Abbotsweld County Infant School</v>
          </cell>
          <cell r="D140" t="str">
            <v>Pre LGR (1998) Essex</v>
          </cell>
          <cell r="E140" t="str">
            <v>Community School</v>
          </cell>
          <cell r="F140" t="str">
            <v>Primary</v>
          </cell>
        </row>
        <row r="141">
          <cell r="A141">
            <v>8812803</v>
          </cell>
          <cell r="B141">
            <v>115003</v>
          </cell>
          <cell r="C141" t="str">
            <v>Abbotsweld Primary School</v>
          </cell>
          <cell r="D141" t="str">
            <v>Essex</v>
          </cell>
          <cell r="E141" t="str">
            <v>Community School</v>
          </cell>
          <cell r="F141" t="str">
            <v>Primary</v>
          </cell>
        </row>
        <row r="142">
          <cell r="A142">
            <v>8032230</v>
          </cell>
          <cell r="B142">
            <v>109056</v>
          </cell>
          <cell r="C142" t="str">
            <v>Abbotswood Infant School</v>
          </cell>
          <cell r="D142" t="str">
            <v>South Gloucestershire</v>
          </cell>
          <cell r="E142" t="str">
            <v>Community School</v>
          </cell>
          <cell r="F142" t="str">
            <v>Primary</v>
          </cell>
        </row>
        <row r="143">
          <cell r="A143">
            <v>8032229</v>
          </cell>
          <cell r="B143">
            <v>109055</v>
          </cell>
          <cell r="C143" t="str">
            <v>Abbotswood Junior School</v>
          </cell>
          <cell r="D143" t="str">
            <v>South Gloucestershire</v>
          </cell>
          <cell r="E143" t="str">
            <v>Community School</v>
          </cell>
          <cell r="F143" t="str">
            <v>Primary</v>
          </cell>
        </row>
        <row r="144">
          <cell r="A144">
            <v>8505202</v>
          </cell>
          <cell r="B144">
            <v>116482</v>
          </cell>
          <cell r="C144" t="str">
            <v>Abbotswood Junior School</v>
          </cell>
          <cell r="D144" t="str">
            <v>Hampshire</v>
          </cell>
          <cell r="E144" t="str">
            <v>Foundation School</v>
          </cell>
          <cell r="F144" t="str">
            <v>Primary</v>
          </cell>
        </row>
        <row r="145">
          <cell r="A145">
            <v>8032008</v>
          </cell>
          <cell r="B145">
            <v>132199</v>
          </cell>
          <cell r="C145" t="str">
            <v>Abbotswood Primary School</v>
          </cell>
          <cell r="D145" t="str">
            <v>South Gloucestershire</v>
          </cell>
          <cell r="E145" t="str">
            <v>Community School</v>
          </cell>
          <cell r="F145" t="str">
            <v>Primary</v>
          </cell>
        </row>
        <row r="146">
          <cell r="A146">
            <v>3522001</v>
          </cell>
          <cell r="B146">
            <v>105387</v>
          </cell>
          <cell r="C146" t="str">
            <v>Abbott Community Primary School</v>
          </cell>
          <cell r="D146" t="str">
            <v>Manchester</v>
          </cell>
          <cell r="E146" t="str">
            <v>Community School</v>
          </cell>
          <cell r="F146" t="str">
            <v>Primary</v>
          </cell>
        </row>
        <row r="147">
          <cell r="A147">
            <v>8503000</v>
          </cell>
          <cell r="B147">
            <v>116266</v>
          </cell>
          <cell r="C147" t="str">
            <v>Abbotts Ann Church of England Primary School</v>
          </cell>
          <cell r="D147" t="str">
            <v>Hampshire</v>
          </cell>
          <cell r="E147" t="str">
            <v>Voluntary Controlled School</v>
          </cell>
          <cell r="F147" t="str">
            <v>Primary</v>
          </cell>
        </row>
        <row r="148">
          <cell r="A148">
            <v>3115401</v>
          </cell>
          <cell r="B148">
            <v>136663</v>
          </cell>
          <cell r="C148" t="str">
            <v>Abbs Cross Academy and Arts College</v>
          </cell>
          <cell r="D148" t="str">
            <v>Havering</v>
          </cell>
          <cell r="E148" t="str">
            <v>Academy Converters</v>
          </cell>
          <cell r="F148" t="str">
            <v>Secondary</v>
          </cell>
        </row>
        <row r="149">
          <cell r="A149">
            <v>3115401</v>
          </cell>
          <cell r="B149">
            <v>102352</v>
          </cell>
          <cell r="C149" t="str">
            <v>Abbs Cross School and Arts College</v>
          </cell>
          <cell r="D149" t="str">
            <v>Havering</v>
          </cell>
          <cell r="E149" t="str">
            <v>Foundation School</v>
          </cell>
          <cell r="F149" t="str">
            <v>Secondary</v>
          </cell>
        </row>
        <row r="150">
          <cell r="A150">
            <v>9192050</v>
          </cell>
          <cell r="B150">
            <v>117111</v>
          </cell>
          <cell r="C150" t="str">
            <v>Abel Smith School</v>
          </cell>
          <cell r="D150" t="str">
            <v>Hertfordshire</v>
          </cell>
          <cell r="E150" t="str">
            <v>Community School</v>
          </cell>
          <cell r="F150" t="str">
            <v>Primary</v>
          </cell>
        </row>
        <row r="151">
          <cell r="A151">
            <v>3176074</v>
          </cell>
          <cell r="B151">
            <v>132761</v>
          </cell>
          <cell r="C151" t="str">
            <v>Abeng International Independent School</v>
          </cell>
          <cell r="D151" t="str">
            <v>Redbridge</v>
          </cell>
          <cell r="E151" t="str">
            <v>Other Independent School</v>
          </cell>
          <cell r="F151" t="str">
            <v>Not applicable</v>
          </cell>
        </row>
        <row r="152">
          <cell r="A152">
            <v>6722048</v>
          </cell>
          <cell r="B152">
            <v>401025</v>
          </cell>
          <cell r="C152" t="str">
            <v>Aber Infants School</v>
          </cell>
          <cell r="D152" t="str">
            <v>Bridgend</v>
          </cell>
          <cell r="E152" t="str">
            <v>Welsh Establishment</v>
          </cell>
          <cell r="F152" t="str">
            <v>Not applicable</v>
          </cell>
        </row>
        <row r="153">
          <cell r="A153">
            <v>6762321</v>
          </cell>
          <cell r="B153">
            <v>401362</v>
          </cell>
          <cell r="C153" t="str">
            <v>Aberbargoed Infant School</v>
          </cell>
          <cell r="D153" t="str">
            <v>Caerphilly</v>
          </cell>
          <cell r="E153" t="str">
            <v>Welsh Establishment</v>
          </cell>
          <cell r="F153" t="str">
            <v>Not applicable</v>
          </cell>
        </row>
        <row r="154">
          <cell r="A154">
            <v>6762320</v>
          </cell>
          <cell r="B154">
            <v>401361</v>
          </cell>
          <cell r="C154" t="str">
            <v>Aberbargoed Junior School</v>
          </cell>
          <cell r="D154" t="str">
            <v>Caerphilly</v>
          </cell>
          <cell r="E154" t="str">
            <v>Welsh Establishment</v>
          </cell>
          <cell r="F154" t="str">
            <v>Not applicable</v>
          </cell>
        </row>
        <row r="155">
          <cell r="A155">
            <v>6762382</v>
          </cell>
          <cell r="B155">
            <v>402040</v>
          </cell>
          <cell r="C155" t="str">
            <v>Aberbargoed Primary School</v>
          </cell>
          <cell r="D155" t="str">
            <v>Caerphilly</v>
          </cell>
          <cell r="E155" t="str">
            <v>Welsh Establishment</v>
          </cell>
          <cell r="F155" t="str">
            <v>Primary</v>
          </cell>
        </row>
        <row r="156">
          <cell r="A156">
            <v>6752000</v>
          </cell>
          <cell r="B156">
            <v>401269</v>
          </cell>
          <cell r="C156" t="str">
            <v>Abercanaid Community School</v>
          </cell>
          <cell r="D156" t="str">
            <v>Merthyr Tydfil</v>
          </cell>
          <cell r="E156" t="str">
            <v>Welsh Establishment</v>
          </cell>
          <cell r="F156" t="str">
            <v>Primary</v>
          </cell>
        </row>
        <row r="157">
          <cell r="A157">
            <v>6762264</v>
          </cell>
          <cell r="B157">
            <v>401344</v>
          </cell>
          <cell r="C157" t="str">
            <v>Abercarn Primary School</v>
          </cell>
          <cell r="D157" t="str">
            <v>Caerphilly</v>
          </cell>
          <cell r="E157" t="str">
            <v>Welsh Establishment</v>
          </cell>
          <cell r="F157" t="str">
            <v>Primary</v>
          </cell>
        </row>
        <row r="158">
          <cell r="A158">
            <v>6722046</v>
          </cell>
          <cell r="B158">
            <v>401024</v>
          </cell>
          <cell r="C158" t="str">
            <v>Abercerdin Primary School</v>
          </cell>
          <cell r="D158" t="str">
            <v>Bridgend</v>
          </cell>
          <cell r="E158" t="str">
            <v>Welsh Establishment</v>
          </cell>
          <cell r="F158" t="str">
            <v>Primary</v>
          </cell>
        </row>
        <row r="159">
          <cell r="A159">
            <v>2136364</v>
          </cell>
          <cell r="B159">
            <v>101177</v>
          </cell>
          <cell r="C159" t="str">
            <v>Abercorn School</v>
          </cell>
          <cell r="D159" t="str">
            <v>Westminster</v>
          </cell>
          <cell r="E159" t="str">
            <v>Other Independent School</v>
          </cell>
          <cell r="F159" t="str">
            <v>Not applicable</v>
          </cell>
        </row>
        <row r="160">
          <cell r="A160">
            <v>6662106</v>
          </cell>
          <cell r="B160">
            <v>400521</v>
          </cell>
          <cell r="C160" t="str">
            <v>Abercrave C.P. School</v>
          </cell>
          <cell r="D160" t="str">
            <v>Powys</v>
          </cell>
          <cell r="E160" t="str">
            <v>Welsh Establishment</v>
          </cell>
          <cell r="F160" t="str">
            <v>Primary</v>
          </cell>
        </row>
        <row r="161">
          <cell r="A161">
            <v>8302296</v>
          </cell>
          <cell r="B161">
            <v>112670</v>
          </cell>
          <cell r="C161" t="str">
            <v>Abercrombie Primary School</v>
          </cell>
          <cell r="D161" t="str">
            <v>Derbyshire</v>
          </cell>
          <cell r="E161" t="str">
            <v>Community School</v>
          </cell>
          <cell r="F161" t="str">
            <v>Primary</v>
          </cell>
        </row>
        <row r="162">
          <cell r="A162">
            <v>3411006</v>
          </cell>
          <cell r="B162">
            <v>104507</v>
          </cell>
          <cell r="C162" t="str">
            <v>Abercromby Nursery School</v>
          </cell>
          <cell r="D162" t="str">
            <v>Liverpool</v>
          </cell>
          <cell r="E162" t="str">
            <v>LA Nursery School</v>
          </cell>
          <cell r="F162" t="str">
            <v>Nursery</v>
          </cell>
        </row>
        <row r="163">
          <cell r="A163">
            <v>6742049</v>
          </cell>
          <cell r="B163">
            <v>401136</v>
          </cell>
          <cell r="C163" t="str">
            <v>Abercynon Infants School</v>
          </cell>
          <cell r="D163" t="str">
            <v>Rhondda, Cynon, Taff</v>
          </cell>
          <cell r="E163" t="str">
            <v>Welsh Establishment</v>
          </cell>
          <cell r="F163" t="str">
            <v>Primary</v>
          </cell>
        </row>
        <row r="164">
          <cell r="A164">
            <v>6744100</v>
          </cell>
          <cell r="B164">
            <v>401820</v>
          </cell>
          <cell r="C164" t="str">
            <v>Aberdare Boys' School</v>
          </cell>
          <cell r="D164" t="str">
            <v>Rhondda, Cynon, Taff</v>
          </cell>
          <cell r="E164" t="str">
            <v>Welsh Establishment</v>
          </cell>
          <cell r="F164" t="str">
            <v>Secondary</v>
          </cell>
        </row>
        <row r="165">
          <cell r="A165">
            <v>6744101</v>
          </cell>
          <cell r="B165">
            <v>401821</v>
          </cell>
          <cell r="C165" t="str">
            <v>Aberdare Girls' Comprehensive School</v>
          </cell>
          <cell r="D165" t="str">
            <v>Rhondda, Cynon, Taff</v>
          </cell>
          <cell r="E165" t="str">
            <v>Welsh Establishment</v>
          </cell>
          <cell r="F165" t="str">
            <v>Secondary</v>
          </cell>
        </row>
        <row r="166">
          <cell r="A166">
            <v>6742381</v>
          </cell>
          <cell r="B166">
            <v>402236</v>
          </cell>
          <cell r="C166" t="str">
            <v>Aberdare Park Primary</v>
          </cell>
          <cell r="D166" t="str">
            <v>Rhondda, Cynon, Taff</v>
          </cell>
          <cell r="E166" t="str">
            <v>Welsh Establishment</v>
          </cell>
          <cell r="F166" t="str">
            <v>Primary</v>
          </cell>
        </row>
        <row r="167">
          <cell r="A167">
            <v>6743317</v>
          </cell>
          <cell r="B167">
            <v>401267</v>
          </cell>
          <cell r="C167" t="str">
            <v>Aberdare Town C.I.W. Primary School</v>
          </cell>
          <cell r="D167" t="str">
            <v>Rhondda, Cynon, Taff</v>
          </cell>
          <cell r="E167" t="str">
            <v>Welsh Establishment</v>
          </cell>
          <cell r="F167" t="str">
            <v>Primary</v>
          </cell>
        </row>
        <row r="168">
          <cell r="A168">
            <v>9366000</v>
          </cell>
          <cell r="B168">
            <v>125317</v>
          </cell>
          <cell r="C168" t="str">
            <v>Aberdour Preparatory School</v>
          </cell>
          <cell r="D168" t="str">
            <v>Surrey</v>
          </cell>
          <cell r="E168" t="str">
            <v>Other Independent School</v>
          </cell>
          <cell r="F168" t="str">
            <v>Not applicable</v>
          </cell>
        </row>
        <row r="169">
          <cell r="A169">
            <v>3833030</v>
          </cell>
          <cell r="B169">
            <v>107985</v>
          </cell>
          <cell r="C169" t="str">
            <v>Aberford Church of England Voluntary Controlled Primary School</v>
          </cell>
          <cell r="D169" t="str">
            <v>Leeds</v>
          </cell>
          <cell r="E169" t="str">
            <v>Voluntary Controlled School</v>
          </cell>
          <cell r="F169" t="str">
            <v>Primary</v>
          </cell>
        </row>
        <row r="170">
          <cell r="A170">
            <v>6693000</v>
          </cell>
          <cell r="B170">
            <v>400843</v>
          </cell>
          <cell r="C170" t="str">
            <v>Abergwili VCP</v>
          </cell>
          <cell r="D170" t="str">
            <v>Carmarthenshire</v>
          </cell>
          <cell r="E170" t="str">
            <v>Welsh Establishment</v>
          </cell>
          <cell r="F170" t="str">
            <v>Primary</v>
          </cell>
        </row>
        <row r="171">
          <cell r="A171">
            <v>6712116</v>
          </cell>
          <cell r="B171">
            <v>400957</v>
          </cell>
          <cell r="C171" t="str">
            <v>Abergwynfi Infant School</v>
          </cell>
          <cell r="D171" t="str">
            <v>Neath Port Talbot</v>
          </cell>
          <cell r="E171" t="str">
            <v>Welsh Establishment</v>
          </cell>
          <cell r="F171" t="str">
            <v>Primary</v>
          </cell>
        </row>
        <row r="172">
          <cell r="A172">
            <v>6712111</v>
          </cell>
          <cell r="B172">
            <v>400955</v>
          </cell>
          <cell r="C172" t="str">
            <v>Abergwynfi Junior School</v>
          </cell>
          <cell r="D172" t="str">
            <v>Neath Port Talbot</v>
          </cell>
          <cell r="E172" t="str">
            <v>Welsh Establishment</v>
          </cell>
          <cell r="F172" t="str">
            <v>Primary</v>
          </cell>
        </row>
        <row r="173">
          <cell r="A173">
            <v>6662000</v>
          </cell>
          <cell r="B173">
            <v>400463</v>
          </cell>
          <cell r="C173" t="str">
            <v>Aberhafesp C.P. School</v>
          </cell>
          <cell r="D173" t="str">
            <v>Powys</v>
          </cell>
          <cell r="E173" t="str">
            <v>Welsh Establishment</v>
          </cell>
          <cell r="F173" t="str">
            <v>Primary</v>
          </cell>
        </row>
        <row r="174">
          <cell r="A174">
            <v>6742047</v>
          </cell>
          <cell r="B174">
            <v>401135</v>
          </cell>
          <cell r="C174" t="str">
            <v>Aberllechau Primary School</v>
          </cell>
          <cell r="D174" t="str">
            <v>Rhondda, Cynon, Taff</v>
          </cell>
          <cell r="E174" t="str">
            <v>Welsh Establishment</v>
          </cell>
          <cell r="F174" t="str">
            <v>Primary</v>
          </cell>
        </row>
        <row r="175">
          <cell r="A175">
            <v>6642084</v>
          </cell>
          <cell r="B175">
            <v>400361</v>
          </cell>
          <cell r="C175" t="str">
            <v>Abermorddu C.P. School</v>
          </cell>
          <cell r="D175" t="str">
            <v>Flintshire</v>
          </cell>
          <cell r="E175" t="str">
            <v>Welsh Establishment</v>
          </cell>
          <cell r="F175" t="str">
            <v>Primary</v>
          </cell>
        </row>
        <row r="176">
          <cell r="A176">
            <v>6662002</v>
          </cell>
          <cell r="B176">
            <v>400464</v>
          </cell>
          <cell r="C176" t="str">
            <v>Abermule Primary School</v>
          </cell>
          <cell r="D176" t="str">
            <v>Powys</v>
          </cell>
          <cell r="E176" t="str">
            <v>Welsh Establishment</v>
          </cell>
          <cell r="F176" t="str">
            <v>Primary</v>
          </cell>
        </row>
        <row r="177">
          <cell r="A177">
            <v>6692170</v>
          </cell>
          <cell r="B177">
            <v>400809</v>
          </cell>
          <cell r="C177" t="str">
            <v>Abernant C.P. School</v>
          </cell>
          <cell r="D177" t="str">
            <v>Carmarthenshire</v>
          </cell>
          <cell r="E177" t="str">
            <v>Welsh Establishment</v>
          </cell>
          <cell r="F177" t="str">
            <v>Primary</v>
          </cell>
        </row>
        <row r="178">
          <cell r="A178">
            <v>6742053</v>
          </cell>
          <cell r="B178">
            <v>401138</v>
          </cell>
          <cell r="C178" t="str">
            <v>Abernant Primary School</v>
          </cell>
          <cell r="D178" t="str">
            <v>Rhondda, Cynon, Taff</v>
          </cell>
          <cell r="E178" t="str">
            <v>Welsh Establishment</v>
          </cell>
          <cell r="F178" t="str">
            <v>Primary</v>
          </cell>
        </row>
        <row r="179">
          <cell r="A179">
            <v>6784070</v>
          </cell>
          <cell r="B179">
            <v>401855</v>
          </cell>
          <cell r="C179" t="str">
            <v>Abersychan Comprehensive School</v>
          </cell>
          <cell r="D179" t="str">
            <v>Torfaen</v>
          </cell>
          <cell r="E179" t="str">
            <v>Welsh Establishment</v>
          </cell>
          <cell r="F179" t="str">
            <v>Secondary</v>
          </cell>
        </row>
        <row r="180">
          <cell r="A180">
            <v>6742057</v>
          </cell>
          <cell r="B180">
            <v>401140</v>
          </cell>
          <cell r="C180" t="str">
            <v>Abertaf Primary School</v>
          </cell>
          <cell r="D180" t="str">
            <v>Rhondda, Cynon, Taff</v>
          </cell>
          <cell r="E180" t="str">
            <v>Welsh Establishment</v>
          </cell>
          <cell r="F180" t="str">
            <v>Primary</v>
          </cell>
        </row>
        <row r="181">
          <cell r="A181">
            <v>6774074</v>
          </cell>
          <cell r="B181">
            <v>401850</v>
          </cell>
          <cell r="C181" t="str">
            <v>Abertillery Comprehensive School</v>
          </cell>
          <cell r="D181" t="str">
            <v>Blaenau Gwent</v>
          </cell>
          <cell r="E181" t="str">
            <v>Welsh Establishment</v>
          </cell>
          <cell r="F181" t="str">
            <v>Secondary</v>
          </cell>
        </row>
        <row r="182">
          <cell r="A182">
            <v>6772165</v>
          </cell>
          <cell r="B182">
            <v>401391</v>
          </cell>
          <cell r="C182" t="str">
            <v>Abertillery Primary School</v>
          </cell>
          <cell r="D182" t="str">
            <v>Blaenau Gwent</v>
          </cell>
          <cell r="E182" t="str">
            <v>Welsh Establishment</v>
          </cell>
          <cell r="F182" t="str">
            <v>Primary</v>
          </cell>
        </row>
        <row r="183">
          <cell r="A183">
            <v>6762312</v>
          </cell>
          <cell r="B183">
            <v>401356</v>
          </cell>
          <cell r="C183" t="str">
            <v>Abertysswg Primary School</v>
          </cell>
          <cell r="D183" t="str">
            <v>Caerphilly</v>
          </cell>
          <cell r="E183" t="str">
            <v>Welsh Establishment</v>
          </cell>
          <cell r="F183" t="str">
            <v>Primary</v>
          </cell>
        </row>
        <row r="184">
          <cell r="A184">
            <v>6671105</v>
          </cell>
          <cell r="B184">
            <v>402211</v>
          </cell>
          <cell r="C184" t="str">
            <v>Aberystwyth Teaching and Learning Centre Craft</v>
          </cell>
          <cell r="D184" t="str">
            <v>Ceredigion</v>
          </cell>
          <cell r="E184" t="str">
            <v>Welsh Establishment</v>
          </cell>
          <cell r="F184" t="str">
            <v>Not applicable</v>
          </cell>
        </row>
        <row r="185">
          <cell r="A185">
            <v>9318007</v>
          </cell>
          <cell r="B185">
            <v>130793</v>
          </cell>
          <cell r="C185" t="str">
            <v>Abingdon and Witney College</v>
          </cell>
          <cell r="D185" t="str">
            <v>Oxfordshire</v>
          </cell>
          <cell r="E185" t="str">
            <v>Further Education</v>
          </cell>
          <cell r="F185" t="str">
            <v>16 Plus</v>
          </cell>
        </row>
        <row r="186">
          <cell r="A186">
            <v>2136405</v>
          </cell>
          <cell r="B186">
            <v>134911</v>
          </cell>
          <cell r="C186" t="str">
            <v>Abingdon House School</v>
          </cell>
          <cell r="D186" t="str">
            <v>Westminster</v>
          </cell>
          <cell r="E186" t="str">
            <v>Other Independent Special School</v>
          </cell>
          <cell r="F186" t="str">
            <v>Not applicable</v>
          </cell>
        </row>
        <row r="187">
          <cell r="A187">
            <v>8062123</v>
          </cell>
          <cell r="B187">
            <v>111579</v>
          </cell>
          <cell r="C187" t="str">
            <v>Abingdon Infant School</v>
          </cell>
          <cell r="D187" t="str">
            <v>Middlesbrough</v>
          </cell>
          <cell r="E187" t="str">
            <v>Community School</v>
          </cell>
          <cell r="F187" t="str">
            <v>Primary</v>
          </cell>
        </row>
        <row r="188">
          <cell r="A188">
            <v>8062122</v>
          </cell>
          <cell r="B188">
            <v>111578</v>
          </cell>
          <cell r="C188" t="str">
            <v>Abingdon Junior School</v>
          </cell>
          <cell r="D188" t="str">
            <v>Middlesbrough</v>
          </cell>
          <cell r="E188" t="str">
            <v>Community School</v>
          </cell>
          <cell r="F188" t="str">
            <v>Primary</v>
          </cell>
        </row>
        <row r="189">
          <cell r="A189">
            <v>3562082</v>
          </cell>
          <cell r="B189">
            <v>106074</v>
          </cell>
          <cell r="C189" t="str">
            <v>Abingdon Primary School</v>
          </cell>
          <cell r="D189" t="str">
            <v>Stockport</v>
          </cell>
          <cell r="E189" t="str">
            <v>Community School</v>
          </cell>
          <cell r="F189" t="str">
            <v>Primary</v>
          </cell>
        </row>
        <row r="190">
          <cell r="A190">
            <v>8062000</v>
          </cell>
          <cell r="B190">
            <v>131519</v>
          </cell>
          <cell r="C190" t="str">
            <v>Abingdon Primary School</v>
          </cell>
          <cell r="D190" t="str">
            <v>Middlesbrough</v>
          </cell>
          <cell r="E190" t="str">
            <v>Community School</v>
          </cell>
          <cell r="F190" t="str">
            <v>Primary</v>
          </cell>
        </row>
        <row r="191">
          <cell r="A191">
            <v>9316095</v>
          </cell>
          <cell r="B191">
            <v>123312</v>
          </cell>
          <cell r="C191" t="str">
            <v>Abingdon School</v>
          </cell>
          <cell r="D191" t="str">
            <v>Oxfordshire</v>
          </cell>
          <cell r="E191" t="str">
            <v>Other Independent School</v>
          </cell>
          <cell r="F191" t="str">
            <v>Not applicable</v>
          </cell>
        </row>
        <row r="192">
          <cell r="A192">
            <v>9362000</v>
          </cell>
          <cell r="B192">
            <v>124934</v>
          </cell>
          <cell r="C192" t="str">
            <v>Abinger Common First School</v>
          </cell>
          <cell r="D192" t="str">
            <v>Surrey</v>
          </cell>
          <cell r="E192" t="str">
            <v>Community School</v>
          </cell>
          <cell r="F192" t="str">
            <v>Primary</v>
          </cell>
        </row>
        <row r="193">
          <cell r="A193">
            <v>9366545</v>
          </cell>
          <cell r="B193">
            <v>125430</v>
          </cell>
          <cell r="C193" t="str">
            <v>Abinger Hammer Village School</v>
          </cell>
          <cell r="D193" t="str">
            <v>Surrey</v>
          </cell>
          <cell r="E193" t="str">
            <v>Other Independent School</v>
          </cell>
          <cell r="F193" t="str">
            <v>Not applicable</v>
          </cell>
        </row>
        <row r="194">
          <cell r="A194">
            <v>8555403</v>
          </cell>
          <cell r="B194">
            <v>120311</v>
          </cell>
          <cell r="C194" t="str">
            <v>Abington High School</v>
          </cell>
          <cell r="D194" t="str">
            <v>Leicestershire</v>
          </cell>
          <cell r="E194" t="str">
            <v>Foundation School</v>
          </cell>
          <cell r="F194" t="str">
            <v>Middle Deemed Secondary</v>
          </cell>
        </row>
        <row r="195">
          <cell r="A195">
            <v>9282177</v>
          </cell>
          <cell r="B195">
            <v>121923</v>
          </cell>
          <cell r="C195" t="str">
            <v>Abington Vale Primary School</v>
          </cell>
          <cell r="D195" t="str">
            <v>Northamptonshire</v>
          </cell>
          <cell r="E195" t="str">
            <v>Community School</v>
          </cell>
          <cell r="F195" t="str">
            <v>Primary</v>
          </cell>
        </row>
        <row r="196">
          <cell r="A196">
            <v>9192098</v>
          </cell>
          <cell r="B196">
            <v>117141</v>
          </cell>
          <cell r="C196" t="str">
            <v>Aboyne Lodge Junior Mixed and Infant School</v>
          </cell>
          <cell r="D196" t="str">
            <v>Hertfordshire</v>
          </cell>
          <cell r="E196" t="str">
            <v>Community School</v>
          </cell>
          <cell r="F196" t="str">
            <v>Primary</v>
          </cell>
        </row>
        <row r="197">
          <cell r="A197">
            <v>8946906</v>
          </cell>
          <cell r="B197">
            <v>135582</v>
          </cell>
          <cell r="C197" t="str">
            <v>Abraham Darby Academy</v>
          </cell>
          <cell r="D197" t="str">
            <v>Telford and Wrekin</v>
          </cell>
          <cell r="E197" t="str">
            <v>Academy Sponsor Led</v>
          </cell>
          <cell r="F197" t="str">
            <v>Secondary</v>
          </cell>
        </row>
        <row r="198">
          <cell r="A198">
            <v>8945403</v>
          </cell>
          <cell r="B198">
            <v>123596</v>
          </cell>
          <cell r="C198" t="str">
            <v>Abraham Darby Specialist School for Performing Arts</v>
          </cell>
          <cell r="D198" t="str">
            <v>Telford and Wrekin</v>
          </cell>
          <cell r="E198" t="str">
            <v>Foundation School</v>
          </cell>
          <cell r="F198" t="str">
            <v>Secondary</v>
          </cell>
        </row>
        <row r="199">
          <cell r="A199">
            <v>3594001</v>
          </cell>
          <cell r="B199">
            <v>137210</v>
          </cell>
          <cell r="C199" t="str">
            <v>Abraham Guest Academy</v>
          </cell>
          <cell r="D199" t="str">
            <v>Wigan</v>
          </cell>
          <cell r="E199" t="str">
            <v>Academy Sponsor Led</v>
          </cell>
          <cell r="F199" t="str">
            <v>Secondary</v>
          </cell>
        </row>
        <row r="200">
          <cell r="A200">
            <v>3594023</v>
          </cell>
          <cell r="B200">
            <v>106526</v>
          </cell>
          <cell r="C200" t="str">
            <v>Abraham Guest High School</v>
          </cell>
          <cell r="D200" t="str">
            <v>Wigan</v>
          </cell>
          <cell r="E200" t="str">
            <v>Foundation School</v>
          </cell>
          <cell r="F200" t="str">
            <v>Secondary</v>
          </cell>
        </row>
        <row r="201">
          <cell r="A201">
            <v>3524271</v>
          </cell>
          <cell r="B201">
            <v>105560</v>
          </cell>
          <cell r="C201" t="str">
            <v>Abraham Moss High School</v>
          </cell>
          <cell r="D201" t="str">
            <v>Manchester</v>
          </cell>
          <cell r="E201" t="str">
            <v>Community School</v>
          </cell>
          <cell r="F201" t="str">
            <v>Secondary</v>
          </cell>
        </row>
        <row r="202">
          <cell r="A202">
            <v>3592030</v>
          </cell>
          <cell r="B202">
            <v>106414</v>
          </cell>
          <cell r="C202" t="str">
            <v>Abram Bryn Gates Primary School</v>
          </cell>
          <cell r="D202" t="str">
            <v>Wigan</v>
          </cell>
          <cell r="E202" t="str">
            <v>Community School</v>
          </cell>
          <cell r="F202" t="str">
            <v>Primary</v>
          </cell>
        </row>
        <row r="203">
          <cell r="A203">
            <v>3593360</v>
          </cell>
          <cell r="B203">
            <v>106469</v>
          </cell>
          <cell r="C203" t="str">
            <v>Abram CofE Primary School</v>
          </cell>
          <cell r="D203" t="str">
            <v>Wigan</v>
          </cell>
          <cell r="E203" t="str">
            <v>Voluntary Aided School</v>
          </cell>
          <cell r="F203" t="str">
            <v>Primary</v>
          </cell>
        </row>
        <row r="204">
          <cell r="A204">
            <v>8886109</v>
          </cell>
          <cell r="B204">
            <v>135822</v>
          </cell>
          <cell r="C204" t="str">
            <v>Abrar Academy</v>
          </cell>
          <cell r="D204" t="str">
            <v>Lancashire</v>
          </cell>
          <cell r="E204" t="str">
            <v>Other Independent School</v>
          </cell>
          <cell r="F204" t="str">
            <v>Not applicable</v>
          </cell>
        </row>
        <row r="205">
          <cell r="A205">
            <v>3356013</v>
          </cell>
          <cell r="B205">
            <v>135483</v>
          </cell>
          <cell r="C205" t="str">
            <v>Abu Bakr Boys School</v>
          </cell>
          <cell r="D205" t="str">
            <v>Walsall</v>
          </cell>
          <cell r="E205" t="str">
            <v>Other Independent School</v>
          </cell>
          <cell r="F205" t="str">
            <v>Not applicable</v>
          </cell>
        </row>
        <row r="206">
          <cell r="A206">
            <v>3356010</v>
          </cell>
          <cell r="B206">
            <v>132750</v>
          </cell>
          <cell r="C206" t="str">
            <v>Abu Bakr Girls School</v>
          </cell>
          <cell r="D206" t="str">
            <v>Walsall</v>
          </cell>
          <cell r="E206" t="str">
            <v>Other Independent School</v>
          </cell>
          <cell r="F206" t="str">
            <v>Not applicable</v>
          </cell>
        </row>
        <row r="207">
          <cell r="A207">
            <v>9146169</v>
          </cell>
          <cell r="B207">
            <v>128875</v>
          </cell>
          <cell r="C207" t="str">
            <v>Abundant Life School</v>
          </cell>
          <cell r="D207" t="str">
            <v>Pre LGR (1997) East Sussex</v>
          </cell>
          <cell r="E207" t="str">
            <v>Other Independent School</v>
          </cell>
          <cell r="F207" t="str">
            <v>Not applicable</v>
          </cell>
        </row>
        <row r="208">
          <cell r="A208">
            <v>9253115</v>
          </cell>
          <cell r="B208">
            <v>120564</v>
          </cell>
          <cell r="C208" t="str">
            <v>Aby Church of England Primary School</v>
          </cell>
          <cell r="D208" t="str">
            <v>Lincolnshire</v>
          </cell>
          <cell r="E208" t="str">
            <v>Voluntary Controlled School</v>
          </cell>
          <cell r="F208" t="str">
            <v>Primary</v>
          </cell>
        </row>
        <row r="209">
          <cell r="A209">
            <v>9256044</v>
          </cell>
          <cell r="B209">
            <v>132135</v>
          </cell>
          <cell r="C209" t="str">
            <v>Acacia Hall Therapeutic Community</v>
          </cell>
          <cell r="D209" t="str">
            <v>Lincolnshire</v>
          </cell>
          <cell r="E209" t="str">
            <v>Other Independent School</v>
          </cell>
          <cell r="F209" t="str">
            <v>Not applicable</v>
          </cell>
        </row>
        <row r="210">
          <cell r="A210">
            <v>3201004</v>
          </cell>
          <cell r="B210">
            <v>103030</v>
          </cell>
          <cell r="C210" t="str">
            <v>Acacia Nursery</v>
          </cell>
          <cell r="D210" t="str">
            <v>Waltham Forest</v>
          </cell>
          <cell r="E210" t="str">
            <v>LA Nursery School</v>
          </cell>
          <cell r="F210" t="str">
            <v>Nursery</v>
          </cell>
        </row>
        <row r="211">
          <cell r="A211">
            <v>3522048</v>
          </cell>
          <cell r="B211">
            <v>105401</v>
          </cell>
          <cell r="C211" t="str">
            <v>Acacias Community Primary School</v>
          </cell>
          <cell r="D211" t="str">
            <v>Manchester</v>
          </cell>
          <cell r="E211" t="str">
            <v>Community School</v>
          </cell>
          <cell r="F211" t="str">
            <v>Primary</v>
          </cell>
        </row>
        <row r="212">
          <cell r="A212">
            <v>3946905</v>
          </cell>
          <cell r="B212">
            <v>135622</v>
          </cell>
          <cell r="C212" t="str">
            <v>Academy 360</v>
          </cell>
          <cell r="D212" t="str">
            <v>Sunderland</v>
          </cell>
          <cell r="E212" t="str">
            <v>Academy Sponsor Led</v>
          </cell>
          <cell r="F212" t="str">
            <v>Not applicable</v>
          </cell>
        </row>
        <row r="213">
          <cell r="A213">
            <v>3306110</v>
          </cell>
          <cell r="B213">
            <v>134819</v>
          </cell>
          <cell r="C213" t="str">
            <v>Academy Al-Ansaar</v>
          </cell>
          <cell r="D213" t="str">
            <v>Birmingham</v>
          </cell>
          <cell r="E213" t="str">
            <v>Other Independent School</v>
          </cell>
          <cell r="F213" t="str">
            <v>Not applicable</v>
          </cell>
        </row>
        <row r="214">
          <cell r="A214">
            <v>3206001</v>
          </cell>
          <cell r="B214">
            <v>137489</v>
          </cell>
          <cell r="C214" t="str">
            <v>Academy De London</v>
          </cell>
          <cell r="D214" t="str">
            <v>Waltham Forest</v>
          </cell>
          <cell r="E214" t="str">
            <v>Other Independent School</v>
          </cell>
          <cell r="F214" t="str">
            <v>Not applicable</v>
          </cell>
        </row>
        <row r="215">
          <cell r="A215">
            <v>3804006</v>
          </cell>
          <cell r="B215">
            <v>137576</v>
          </cell>
          <cell r="C215" t="str">
            <v>Academy In Bradford</v>
          </cell>
          <cell r="D215" t="str">
            <v>Bradford</v>
          </cell>
          <cell r="E215" t="str">
            <v>Academy Sponsor Led</v>
          </cell>
          <cell r="F215" t="str">
            <v>Secondary</v>
          </cell>
        </row>
        <row r="216">
          <cell r="A216">
            <v>8003447</v>
          </cell>
          <cell r="B216">
            <v>136804</v>
          </cell>
          <cell r="C216" t="str">
            <v>Academy of Trinity CofE Primary</v>
          </cell>
          <cell r="D216" t="str">
            <v>Bath and North East Somerset</v>
          </cell>
          <cell r="E216" t="str">
            <v>Academy Converters</v>
          </cell>
          <cell r="F216" t="str">
            <v>Primary</v>
          </cell>
        </row>
        <row r="217">
          <cell r="A217">
            <v>3921104</v>
          </cell>
          <cell r="B217">
            <v>134024</v>
          </cell>
          <cell r="C217" t="str">
            <v>Accelerated Learning Service</v>
          </cell>
          <cell r="D217" t="str">
            <v>North Tyneside</v>
          </cell>
          <cell r="E217" t="str">
            <v>Pupil Referral Unit</v>
          </cell>
          <cell r="F217" t="str">
            <v>PRU</v>
          </cell>
        </row>
        <row r="218">
          <cell r="A218">
            <v>3306099</v>
          </cell>
          <cell r="B218">
            <v>131997</v>
          </cell>
          <cell r="C218" t="str">
            <v>Accelerated Tutorial School</v>
          </cell>
          <cell r="D218" t="str">
            <v>Birmingham</v>
          </cell>
          <cell r="E218" t="str">
            <v>Other Independent School</v>
          </cell>
          <cell r="F218" t="str">
            <v>Not applicable</v>
          </cell>
        </row>
        <row r="219">
          <cell r="A219">
            <v>8936096</v>
          </cell>
          <cell r="B219">
            <v>132772</v>
          </cell>
          <cell r="C219" t="str">
            <v>Access School</v>
          </cell>
          <cell r="D219" t="str">
            <v>Shropshire</v>
          </cell>
          <cell r="E219" t="str">
            <v>Other Independent Special School</v>
          </cell>
          <cell r="F219" t="str">
            <v>Not applicable</v>
          </cell>
        </row>
        <row r="220">
          <cell r="A220">
            <v>8886905</v>
          </cell>
          <cell r="B220">
            <v>135649</v>
          </cell>
          <cell r="C220" t="str">
            <v>Accrington Academy</v>
          </cell>
          <cell r="D220" t="str">
            <v>Lancashire</v>
          </cell>
          <cell r="E220" t="str">
            <v>Academy Sponsor Led</v>
          </cell>
          <cell r="F220" t="str">
            <v>Secondary</v>
          </cell>
        </row>
        <row r="221">
          <cell r="A221">
            <v>8888000</v>
          </cell>
          <cell r="B221">
            <v>130734</v>
          </cell>
          <cell r="C221" t="str">
            <v>Accrington and Rossendale College</v>
          </cell>
          <cell r="D221" t="str">
            <v>Lancashire</v>
          </cell>
          <cell r="E221" t="str">
            <v>Further Education</v>
          </cell>
          <cell r="F221" t="str">
            <v>16 Plus</v>
          </cell>
        </row>
        <row r="222">
          <cell r="A222">
            <v>8883336</v>
          </cell>
          <cell r="B222">
            <v>119441</v>
          </cell>
          <cell r="C222" t="str">
            <v>Accrington Benjamin Hargreaves Voluntary Aided Church of England Primary School</v>
          </cell>
          <cell r="D222" t="str">
            <v>Lancashire</v>
          </cell>
          <cell r="E222" t="str">
            <v>Voluntary Aided School</v>
          </cell>
          <cell r="F222" t="str">
            <v>Primary</v>
          </cell>
        </row>
        <row r="223">
          <cell r="A223">
            <v>8882096</v>
          </cell>
          <cell r="B223">
            <v>119182</v>
          </cell>
          <cell r="C223" t="str">
            <v>Accrington Huncoat Primary School</v>
          </cell>
          <cell r="D223" t="str">
            <v>Lancashire</v>
          </cell>
          <cell r="E223" t="str">
            <v>Community School</v>
          </cell>
          <cell r="F223" t="str">
            <v>Primary</v>
          </cell>
        </row>
        <row r="224">
          <cell r="A224">
            <v>8882097</v>
          </cell>
          <cell r="B224">
            <v>119183</v>
          </cell>
          <cell r="C224" t="str">
            <v>Accrington Hyndburn Park Primary School</v>
          </cell>
          <cell r="D224" t="str">
            <v>Lancashire</v>
          </cell>
          <cell r="E224" t="str">
            <v>Community School</v>
          </cell>
          <cell r="F224" t="str">
            <v>Primary</v>
          </cell>
        </row>
        <row r="225">
          <cell r="A225">
            <v>8884238</v>
          </cell>
          <cell r="B225">
            <v>119760</v>
          </cell>
          <cell r="C225" t="str">
            <v>Accrington Moorhead Sports College</v>
          </cell>
          <cell r="D225" t="str">
            <v>Lancashire</v>
          </cell>
          <cell r="E225" t="str">
            <v>Community School</v>
          </cell>
          <cell r="F225" t="str">
            <v>Secondary</v>
          </cell>
        </row>
        <row r="226">
          <cell r="A226">
            <v>8882099</v>
          </cell>
          <cell r="B226">
            <v>119184</v>
          </cell>
          <cell r="C226" t="str">
            <v>Accrington Peel Park Primary School</v>
          </cell>
          <cell r="D226" t="str">
            <v>Lancashire</v>
          </cell>
          <cell r="E226" t="str">
            <v>Foundation School</v>
          </cell>
          <cell r="F226" t="str">
            <v>Primary</v>
          </cell>
        </row>
        <row r="227">
          <cell r="A227">
            <v>8881014</v>
          </cell>
          <cell r="B227">
            <v>119077</v>
          </cell>
          <cell r="C227" t="str">
            <v>Accrington Road Nursery School</v>
          </cell>
          <cell r="D227" t="str">
            <v>Lancashire</v>
          </cell>
          <cell r="E227" t="str">
            <v>LA Nursery School</v>
          </cell>
          <cell r="F227" t="str">
            <v>Nursery</v>
          </cell>
        </row>
        <row r="228">
          <cell r="A228">
            <v>8882101</v>
          </cell>
          <cell r="B228">
            <v>119185</v>
          </cell>
          <cell r="C228" t="str">
            <v>Accrington Spring Hill Community Primary School</v>
          </cell>
          <cell r="D228" t="str">
            <v>Lancashire</v>
          </cell>
          <cell r="E228" t="str">
            <v>Community School</v>
          </cell>
          <cell r="F228" t="str">
            <v>Primary</v>
          </cell>
        </row>
        <row r="229">
          <cell r="A229">
            <v>8884630</v>
          </cell>
          <cell r="B229">
            <v>119791</v>
          </cell>
          <cell r="C229" t="str">
            <v>Accrington St Christopher's Church of England High School</v>
          </cell>
          <cell r="D229" t="str">
            <v>Lancashire</v>
          </cell>
          <cell r="E229" t="str">
            <v>Voluntary Aided School</v>
          </cell>
          <cell r="F229" t="str">
            <v>Secondary</v>
          </cell>
        </row>
        <row r="230">
          <cell r="A230">
            <v>8884630</v>
          </cell>
          <cell r="B230">
            <v>137421</v>
          </cell>
          <cell r="C230" t="str">
            <v>Accrington St Christopher's Church of England High School</v>
          </cell>
          <cell r="D230" t="str">
            <v>Lancashire</v>
          </cell>
          <cell r="E230" t="str">
            <v>Academy Converters</v>
          </cell>
          <cell r="F230" t="str">
            <v>Secondary</v>
          </cell>
        </row>
        <row r="231">
          <cell r="A231">
            <v>8883340</v>
          </cell>
          <cell r="B231">
            <v>119445</v>
          </cell>
          <cell r="C231" t="str">
            <v>Accrington St John with St Augustine Church of England Primary School</v>
          </cell>
          <cell r="D231" t="str">
            <v>Lancashire</v>
          </cell>
          <cell r="E231" t="str">
            <v>Voluntary Aided School</v>
          </cell>
          <cell r="F231" t="str">
            <v>Primary</v>
          </cell>
        </row>
        <row r="232">
          <cell r="A232">
            <v>8883342</v>
          </cell>
          <cell r="B232">
            <v>119446</v>
          </cell>
          <cell r="C232" t="str">
            <v>Accrington St Mary Magdalen's Church of England Primary School</v>
          </cell>
          <cell r="D232" t="str">
            <v>Lancashire</v>
          </cell>
          <cell r="E232" t="str">
            <v>Voluntary Aided School</v>
          </cell>
          <cell r="F232" t="str">
            <v>Primary</v>
          </cell>
        </row>
        <row r="233">
          <cell r="A233">
            <v>8881104</v>
          </cell>
          <cell r="B233">
            <v>119107</v>
          </cell>
          <cell r="C233" t="str">
            <v>Accrington Tutorial Centre</v>
          </cell>
          <cell r="D233" t="str">
            <v>Lancashire</v>
          </cell>
          <cell r="E233" t="str">
            <v>Pupil Referral Unit</v>
          </cell>
          <cell r="F233" t="str">
            <v>PRU</v>
          </cell>
        </row>
        <row r="234">
          <cell r="A234">
            <v>8882820</v>
          </cell>
          <cell r="B234">
            <v>119341</v>
          </cell>
          <cell r="C234" t="str">
            <v>Accrington Woodnook Primary School</v>
          </cell>
          <cell r="D234" t="str">
            <v>Lancashire</v>
          </cell>
          <cell r="E234" t="str">
            <v>Community School</v>
          </cell>
          <cell r="F234" t="str">
            <v>Primary</v>
          </cell>
        </row>
        <row r="235">
          <cell r="A235">
            <v>8611100</v>
          </cell>
          <cell r="B235">
            <v>123971</v>
          </cell>
          <cell r="C235" t="str">
            <v>ACE Centre (Penkhull Education Centre)</v>
          </cell>
          <cell r="D235" t="str">
            <v>Stoke-on-Trent</v>
          </cell>
          <cell r="E235" t="str">
            <v>Pupil Referral Unit</v>
          </cell>
          <cell r="F235" t="str">
            <v>PRU</v>
          </cell>
        </row>
        <row r="236">
          <cell r="A236">
            <v>8064136</v>
          </cell>
          <cell r="B236">
            <v>111751</v>
          </cell>
          <cell r="C236" t="str">
            <v>Acklam Grange School A Specialist Technology College for Maths and Computing</v>
          </cell>
          <cell r="D236" t="str">
            <v>Middlesbrough</v>
          </cell>
          <cell r="E236" t="str">
            <v>Community School</v>
          </cell>
          <cell r="F236" t="str">
            <v>Secondary</v>
          </cell>
        </row>
        <row r="237">
          <cell r="A237">
            <v>9078603</v>
          </cell>
          <cell r="B237">
            <v>128517</v>
          </cell>
          <cell r="C237" t="str">
            <v>Acklam Sixth Form College</v>
          </cell>
          <cell r="D237" t="str">
            <v>Pre LGR (1996) Cleveland</v>
          </cell>
          <cell r="E237" t="str">
            <v>Further Education</v>
          </cell>
          <cell r="F237" t="str">
            <v>16 Plus</v>
          </cell>
        </row>
        <row r="238">
          <cell r="A238">
            <v>8062139</v>
          </cell>
          <cell r="B238">
            <v>111586</v>
          </cell>
          <cell r="C238" t="str">
            <v>Acklam Whin Primary School</v>
          </cell>
          <cell r="D238" t="str">
            <v>Middlesbrough</v>
          </cell>
          <cell r="E238" t="str">
            <v>Community School</v>
          </cell>
          <cell r="F238" t="str">
            <v>Primary</v>
          </cell>
        </row>
        <row r="239">
          <cell r="A239">
            <v>9293001</v>
          </cell>
          <cell r="B239">
            <v>122270</v>
          </cell>
          <cell r="C239" t="str">
            <v>Acklington Church of England Controlled First School</v>
          </cell>
          <cell r="D239" t="str">
            <v>Northumberland</v>
          </cell>
          <cell r="E239" t="str">
            <v>Voluntary Controlled School</v>
          </cell>
          <cell r="F239" t="str">
            <v>Primary</v>
          </cell>
        </row>
        <row r="240">
          <cell r="A240">
            <v>3842185</v>
          </cell>
          <cell r="B240">
            <v>108241</v>
          </cell>
          <cell r="C240" t="str">
            <v>Ackton Pastures Primary School</v>
          </cell>
          <cell r="D240" t="str">
            <v>Wakefield</v>
          </cell>
          <cell r="E240" t="str">
            <v>Community School</v>
          </cell>
          <cell r="F240" t="str">
            <v>Primary</v>
          </cell>
        </row>
        <row r="241">
          <cell r="A241">
            <v>3842000</v>
          </cell>
          <cell r="B241">
            <v>108140</v>
          </cell>
          <cell r="C241" t="str">
            <v>Ackworth Bell Lane First School</v>
          </cell>
          <cell r="D241" t="str">
            <v>Wakefield</v>
          </cell>
          <cell r="E241" t="str">
            <v>Community School</v>
          </cell>
          <cell r="F241" t="str">
            <v>Primary</v>
          </cell>
        </row>
        <row r="242">
          <cell r="A242">
            <v>3843023</v>
          </cell>
          <cell r="B242">
            <v>130977</v>
          </cell>
          <cell r="C242" t="str">
            <v>Ackworth Howard Church of England Voluntary Controlled Junior and Infant School</v>
          </cell>
          <cell r="D242" t="str">
            <v>Wakefield</v>
          </cell>
          <cell r="E242" t="str">
            <v>Voluntary Controlled School</v>
          </cell>
          <cell r="F242" t="str">
            <v>Primary</v>
          </cell>
        </row>
        <row r="243">
          <cell r="A243">
            <v>3843001</v>
          </cell>
          <cell r="B243">
            <v>108242</v>
          </cell>
          <cell r="C243" t="str">
            <v>Ackworth Howard CofE First School</v>
          </cell>
          <cell r="D243" t="str">
            <v>Wakefield</v>
          </cell>
          <cell r="E243" t="str">
            <v>Voluntary Controlled School</v>
          </cell>
          <cell r="F243" t="str">
            <v>Primary</v>
          </cell>
        </row>
        <row r="244">
          <cell r="A244">
            <v>3844032</v>
          </cell>
          <cell r="B244">
            <v>108284</v>
          </cell>
          <cell r="C244" t="str">
            <v>Ackworth Middle School</v>
          </cell>
          <cell r="D244" t="str">
            <v>Wakefield</v>
          </cell>
          <cell r="E244" t="str">
            <v>Community School</v>
          </cell>
          <cell r="F244" t="str">
            <v>Middle Deemed Secondary</v>
          </cell>
        </row>
        <row r="245">
          <cell r="A245">
            <v>3842201</v>
          </cell>
          <cell r="B245">
            <v>130966</v>
          </cell>
          <cell r="C245" t="str">
            <v>Ackworth Mill Dam Junior and Infant School</v>
          </cell>
          <cell r="D245" t="str">
            <v>Wakefield</v>
          </cell>
          <cell r="E245" t="str">
            <v>Community School</v>
          </cell>
          <cell r="F245" t="str">
            <v>Primary</v>
          </cell>
        </row>
        <row r="246">
          <cell r="A246">
            <v>3846000</v>
          </cell>
          <cell r="B246">
            <v>108300</v>
          </cell>
          <cell r="C246" t="str">
            <v>Ackworth School</v>
          </cell>
          <cell r="D246" t="str">
            <v>Wakefield</v>
          </cell>
          <cell r="E246" t="str">
            <v>Other Independent School</v>
          </cell>
          <cell r="F246" t="str">
            <v>Not applicable</v>
          </cell>
        </row>
        <row r="247">
          <cell r="A247">
            <v>2024285</v>
          </cell>
          <cell r="B247">
            <v>100053</v>
          </cell>
          <cell r="C247" t="str">
            <v>Acland Burghley School</v>
          </cell>
          <cell r="D247" t="str">
            <v>Camden</v>
          </cell>
          <cell r="E247" t="str">
            <v>Community School</v>
          </cell>
          <cell r="F247" t="str">
            <v>Secondary</v>
          </cell>
        </row>
        <row r="248">
          <cell r="A248">
            <v>9265405</v>
          </cell>
          <cell r="B248">
            <v>121213</v>
          </cell>
          <cell r="C248" t="str">
            <v>Acle High School</v>
          </cell>
          <cell r="D248" t="str">
            <v>Norfolk</v>
          </cell>
          <cell r="E248" t="str">
            <v>Foundation School</v>
          </cell>
          <cell r="F248" t="str">
            <v>Secondary</v>
          </cell>
        </row>
        <row r="249">
          <cell r="A249">
            <v>9263000</v>
          </cell>
          <cell r="B249">
            <v>121024</v>
          </cell>
          <cell r="C249" t="str">
            <v>Acle St Edmund Voluntary Controlled Primary School</v>
          </cell>
          <cell r="D249" t="str">
            <v>Norfolk</v>
          </cell>
          <cell r="E249" t="str">
            <v>Voluntary Controlled School</v>
          </cell>
          <cell r="F249" t="str">
            <v>Primary</v>
          </cell>
        </row>
        <row r="250">
          <cell r="A250">
            <v>8401018</v>
          </cell>
          <cell r="B250">
            <v>113972</v>
          </cell>
          <cell r="C250" t="str">
            <v>Aclet Close Nursery School</v>
          </cell>
          <cell r="D250" t="str">
            <v>Durham</v>
          </cell>
          <cell r="E250" t="str">
            <v>LA Nursery School</v>
          </cell>
          <cell r="F250" t="str">
            <v>Nursery</v>
          </cell>
        </row>
        <row r="251">
          <cell r="A251">
            <v>3302001</v>
          </cell>
          <cell r="B251">
            <v>103152</v>
          </cell>
          <cell r="C251" t="str">
            <v>Acocks Green Infant and Nursery School</v>
          </cell>
          <cell r="D251" t="str">
            <v>Birmingham</v>
          </cell>
          <cell r="E251" t="str">
            <v>Community School</v>
          </cell>
          <cell r="F251" t="str">
            <v>Primary</v>
          </cell>
        </row>
        <row r="252">
          <cell r="A252">
            <v>3302000</v>
          </cell>
          <cell r="B252">
            <v>103151</v>
          </cell>
          <cell r="C252" t="str">
            <v>Acocks Green Junior School</v>
          </cell>
          <cell r="D252" t="str">
            <v>Birmingham</v>
          </cell>
          <cell r="E252" t="str">
            <v>Community School</v>
          </cell>
          <cell r="F252" t="str">
            <v>Primary</v>
          </cell>
        </row>
        <row r="253">
          <cell r="A253">
            <v>3302020</v>
          </cell>
          <cell r="B253">
            <v>134280</v>
          </cell>
          <cell r="C253" t="str">
            <v>Acocks Green Primary School</v>
          </cell>
          <cell r="D253" t="str">
            <v>Birmingham</v>
          </cell>
          <cell r="E253" t="str">
            <v>Community School</v>
          </cell>
          <cell r="F253" t="str">
            <v>Primary</v>
          </cell>
        </row>
        <row r="254">
          <cell r="A254">
            <v>9292002</v>
          </cell>
          <cell r="B254">
            <v>122170</v>
          </cell>
          <cell r="C254" t="str">
            <v>Acomb First School</v>
          </cell>
          <cell r="D254" t="str">
            <v>Northumberland</v>
          </cell>
          <cell r="E254" t="str">
            <v>Community School</v>
          </cell>
          <cell r="F254" t="str">
            <v>Primary</v>
          </cell>
        </row>
        <row r="255">
          <cell r="A255">
            <v>8162000</v>
          </cell>
          <cell r="B255">
            <v>121271</v>
          </cell>
          <cell r="C255" t="str">
            <v>Acomb Primary School</v>
          </cell>
          <cell r="D255" t="str">
            <v>York</v>
          </cell>
          <cell r="E255" t="str">
            <v>Community School</v>
          </cell>
          <cell r="F255" t="str">
            <v>Primary</v>
          </cell>
        </row>
        <row r="256">
          <cell r="A256">
            <v>9356084</v>
          </cell>
          <cell r="B256">
            <v>130854</v>
          </cell>
          <cell r="C256" t="str">
            <v>Acorn Cottage</v>
          </cell>
          <cell r="D256" t="str">
            <v>Suffolk</v>
          </cell>
          <cell r="E256" t="str">
            <v>Other Independent Special School</v>
          </cell>
          <cell r="F256" t="str">
            <v>Not applicable</v>
          </cell>
        </row>
        <row r="257">
          <cell r="A257">
            <v>3076081</v>
          </cell>
          <cell r="B257">
            <v>131982</v>
          </cell>
          <cell r="C257" t="str">
            <v>Acorn Independent College</v>
          </cell>
          <cell r="D257" t="str">
            <v>Ealing</v>
          </cell>
          <cell r="E257" t="str">
            <v>Other Independent School</v>
          </cell>
          <cell r="F257" t="str">
            <v>Not applicable</v>
          </cell>
        </row>
        <row r="258">
          <cell r="A258">
            <v>3417750</v>
          </cell>
          <cell r="B258">
            <v>104755</v>
          </cell>
          <cell r="C258" t="str">
            <v>Acorn Nursery School</v>
          </cell>
          <cell r="D258" t="str">
            <v>Liverpool</v>
          </cell>
          <cell r="E258" t="str">
            <v>Miscellaneous</v>
          </cell>
          <cell r="F258" t="str">
            <v>Not applicable</v>
          </cell>
        </row>
        <row r="259">
          <cell r="A259">
            <v>9266152</v>
          </cell>
          <cell r="B259">
            <v>135066</v>
          </cell>
          <cell r="C259" t="str">
            <v>Acorn Park School</v>
          </cell>
          <cell r="D259" t="str">
            <v>Norfolk</v>
          </cell>
          <cell r="E259" t="str">
            <v>Other Independent Special School</v>
          </cell>
          <cell r="F259" t="str">
            <v>Not applicable</v>
          </cell>
        </row>
        <row r="260">
          <cell r="A260">
            <v>9166069</v>
          </cell>
          <cell r="B260">
            <v>128973</v>
          </cell>
          <cell r="C260" t="str">
            <v>Acorn School</v>
          </cell>
          <cell r="D260" t="str">
            <v>Gloucestershire</v>
          </cell>
          <cell r="E260" t="str">
            <v>Other Independent School</v>
          </cell>
          <cell r="F260" t="str">
            <v>Not applicable</v>
          </cell>
        </row>
        <row r="261">
          <cell r="A261">
            <v>8946006</v>
          </cell>
          <cell r="B261">
            <v>134301</v>
          </cell>
          <cell r="C261" t="str">
            <v>Acorn School</v>
          </cell>
          <cell r="D261" t="str">
            <v>Telford and Wrekin</v>
          </cell>
          <cell r="E261" t="str">
            <v>Other Independent Special School</v>
          </cell>
          <cell r="F261" t="str">
            <v>Not applicable</v>
          </cell>
        </row>
        <row r="262">
          <cell r="A262">
            <v>8786061</v>
          </cell>
          <cell r="B262">
            <v>135773</v>
          </cell>
          <cell r="C262" t="str">
            <v>Acorn School</v>
          </cell>
          <cell r="D262" t="str">
            <v>Devon</v>
          </cell>
          <cell r="E262" t="str">
            <v>Other Independent Special School</v>
          </cell>
          <cell r="F262" t="str">
            <v>Not applicable</v>
          </cell>
        </row>
        <row r="263">
          <cell r="A263">
            <v>9372639</v>
          </cell>
          <cell r="B263">
            <v>130873</v>
          </cell>
          <cell r="C263" t="str">
            <v>Acorns Primary School</v>
          </cell>
          <cell r="D263" t="str">
            <v>Warwickshire</v>
          </cell>
          <cell r="E263" t="str">
            <v>Community School</v>
          </cell>
          <cell r="F263" t="str">
            <v>Primary</v>
          </cell>
        </row>
        <row r="264">
          <cell r="A264">
            <v>8887119</v>
          </cell>
          <cell r="B264">
            <v>135347</v>
          </cell>
          <cell r="C264" t="str">
            <v>Acorns Primary School</v>
          </cell>
          <cell r="D264" t="str">
            <v>Lancashire</v>
          </cell>
          <cell r="E264" t="str">
            <v>Community Special School</v>
          </cell>
          <cell r="F264" t="str">
            <v>Special</v>
          </cell>
        </row>
        <row r="265">
          <cell r="A265">
            <v>3566027</v>
          </cell>
          <cell r="B265">
            <v>131551</v>
          </cell>
          <cell r="C265" t="str">
            <v>Acorns School</v>
          </cell>
          <cell r="D265" t="str">
            <v>Stockport</v>
          </cell>
          <cell r="E265" t="str">
            <v>Other Independent Special School</v>
          </cell>
          <cell r="F265" t="str">
            <v>Not applicable</v>
          </cell>
        </row>
        <row r="266">
          <cell r="A266">
            <v>3582078</v>
          </cell>
          <cell r="B266">
            <v>133642</v>
          </cell>
          <cell r="C266" t="str">
            <v>Acre Hall Primary School</v>
          </cell>
          <cell r="D266" t="str">
            <v>Trafford</v>
          </cell>
          <cell r="E266" t="str">
            <v>Community School</v>
          </cell>
          <cell r="F266" t="str">
            <v>Primary</v>
          </cell>
        </row>
        <row r="267">
          <cell r="A267">
            <v>8402540</v>
          </cell>
          <cell r="B267">
            <v>114154</v>
          </cell>
          <cell r="C267" t="str">
            <v>Acre Rigg Infant School</v>
          </cell>
          <cell r="D267" t="str">
            <v>Durham</v>
          </cell>
          <cell r="E267" t="str">
            <v>Community School</v>
          </cell>
          <cell r="F267" t="str">
            <v>Primary</v>
          </cell>
        </row>
        <row r="268">
          <cell r="A268">
            <v>8402539</v>
          </cell>
          <cell r="B268">
            <v>114153</v>
          </cell>
          <cell r="C268" t="str">
            <v>Acre Rigg Junior School</v>
          </cell>
          <cell r="D268" t="str">
            <v>Durham</v>
          </cell>
          <cell r="E268" t="str">
            <v>Community School</v>
          </cell>
          <cell r="F268" t="str">
            <v>Primary</v>
          </cell>
        </row>
        <row r="269">
          <cell r="A269">
            <v>8736006</v>
          </cell>
          <cell r="B269">
            <v>110917</v>
          </cell>
          <cell r="C269" t="str">
            <v>Acremont House Kings School Ely</v>
          </cell>
          <cell r="D269" t="str">
            <v>Cambridgeshire</v>
          </cell>
          <cell r="E269" t="str">
            <v>Other Independent School</v>
          </cell>
          <cell r="F269" t="str">
            <v>Not applicable</v>
          </cell>
        </row>
        <row r="270">
          <cell r="A270">
            <v>3732318</v>
          </cell>
          <cell r="B270">
            <v>107063</v>
          </cell>
          <cell r="C270" t="str">
            <v>Acres Hill Community Primary School</v>
          </cell>
          <cell r="D270" t="str">
            <v>Sheffield</v>
          </cell>
          <cell r="E270" t="str">
            <v>Community School</v>
          </cell>
          <cell r="F270" t="str">
            <v>Primary</v>
          </cell>
        </row>
        <row r="271">
          <cell r="A271">
            <v>3732201</v>
          </cell>
          <cell r="B271">
            <v>127671</v>
          </cell>
          <cell r="C271" t="str">
            <v>Acres Hill Middle School</v>
          </cell>
          <cell r="D271" t="str">
            <v>Sheffield</v>
          </cell>
          <cell r="E271" t="str">
            <v>Community School</v>
          </cell>
          <cell r="F271" t="str">
            <v>Middle Deemed Primary</v>
          </cell>
        </row>
        <row r="272">
          <cell r="A272">
            <v>3732202</v>
          </cell>
          <cell r="B272">
            <v>127672</v>
          </cell>
          <cell r="C272" t="str">
            <v>Acres Hill Nursery and First School</v>
          </cell>
          <cell r="D272" t="str">
            <v>Sheffield</v>
          </cell>
          <cell r="E272" t="str">
            <v>Community School</v>
          </cell>
          <cell r="F272" t="str">
            <v>Primary</v>
          </cell>
        </row>
        <row r="273">
          <cell r="A273">
            <v>8962678</v>
          </cell>
          <cell r="B273">
            <v>111205</v>
          </cell>
          <cell r="C273" t="str">
            <v>Acresfield Community Primary School</v>
          </cell>
          <cell r="D273" t="str">
            <v>Cheshire West and Chester</v>
          </cell>
          <cell r="E273" t="str">
            <v>Community School</v>
          </cell>
          <cell r="F273" t="str">
            <v>Primary</v>
          </cell>
        </row>
        <row r="274">
          <cell r="A274">
            <v>3541007</v>
          </cell>
          <cell r="B274">
            <v>105762</v>
          </cell>
          <cell r="C274" t="str">
            <v>Acresfield Nursery School</v>
          </cell>
          <cell r="D274" t="str">
            <v>Rochdale</v>
          </cell>
          <cell r="E274" t="str">
            <v>LA Nursery School</v>
          </cell>
          <cell r="F274" t="str">
            <v>Nursery</v>
          </cell>
        </row>
        <row r="275">
          <cell r="A275">
            <v>9366529</v>
          </cell>
          <cell r="B275">
            <v>125421</v>
          </cell>
          <cell r="C275" t="str">
            <v>ACS Cobham International School</v>
          </cell>
          <cell r="D275" t="str">
            <v>Surrey</v>
          </cell>
          <cell r="E275" t="str">
            <v>Other Independent School</v>
          </cell>
          <cell r="F275" t="str">
            <v>Not applicable</v>
          </cell>
        </row>
        <row r="276">
          <cell r="A276">
            <v>9366577</v>
          </cell>
          <cell r="B276">
            <v>131173</v>
          </cell>
          <cell r="C276" t="str">
            <v>ACS Egham International School</v>
          </cell>
          <cell r="D276" t="str">
            <v>Surrey</v>
          </cell>
          <cell r="E276" t="str">
            <v>Other Independent School</v>
          </cell>
          <cell r="F276" t="str">
            <v>Not applicable</v>
          </cell>
        </row>
        <row r="277">
          <cell r="A277">
            <v>3126060</v>
          </cell>
          <cell r="B277">
            <v>102458</v>
          </cell>
          <cell r="C277" t="str">
            <v>ACS Hillingdon International School</v>
          </cell>
          <cell r="D277" t="str">
            <v>Hillingdon</v>
          </cell>
          <cell r="E277" t="str">
            <v>Other Independent School</v>
          </cell>
          <cell r="F277" t="str">
            <v>Not applicable</v>
          </cell>
        </row>
        <row r="278">
          <cell r="A278">
            <v>8867071</v>
          </cell>
          <cell r="B278">
            <v>133739</v>
          </cell>
          <cell r="C278" t="str">
            <v>Action for Children Westwood School</v>
          </cell>
          <cell r="D278" t="str">
            <v>Kent</v>
          </cell>
          <cell r="E278" t="str">
            <v>Non-Maintained Special School</v>
          </cell>
          <cell r="F278" t="str">
            <v>Special</v>
          </cell>
        </row>
        <row r="279">
          <cell r="A279">
            <v>9317026</v>
          </cell>
          <cell r="B279">
            <v>123341</v>
          </cell>
          <cell r="C279" t="str">
            <v>Action for Children, Spires School</v>
          </cell>
          <cell r="D279" t="str">
            <v>Oxfordshire</v>
          </cell>
          <cell r="E279" t="str">
            <v>Non-Maintained Special School</v>
          </cell>
          <cell r="F279" t="str">
            <v>Special</v>
          </cell>
        </row>
        <row r="280">
          <cell r="A280">
            <v>9323000</v>
          </cell>
          <cell r="B280">
            <v>129793</v>
          </cell>
          <cell r="C280" t="str">
            <v>Acton Burnell Primary School</v>
          </cell>
          <cell r="D280" t="str">
            <v>Pre LGR (1998) Shropshire</v>
          </cell>
          <cell r="E280" t="str">
            <v>Voluntary Controlled School</v>
          </cell>
          <cell r="F280" t="str">
            <v>Primary</v>
          </cell>
        </row>
        <row r="281">
          <cell r="A281">
            <v>9353000</v>
          </cell>
          <cell r="B281">
            <v>124686</v>
          </cell>
          <cell r="C281" t="str">
            <v>Acton Church of England Voluntary Controlled Primary School</v>
          </cell>
          <cell r="D281" t="str">
            <v>Suffolk</v>
          </cell>
          <cell r="E281" t="str">
            <v>Voluntary Controlled School</v>
          </cell>
          <cell r="F281" t="str">
            <v>Primary</v>
          </cell>
        </row>
        <row r="282">
          <cell r="A282">
            <v>8953139</v>
          </cell>
          <cell r="B282">
            <v>111265</v>
          </cell>
          <cell r="C282" t="str">
            <v>Acton CofE Primary School</v>
          </cell>
          <cell r="D282" t="str">
            <v>Cheshire East</v>
          </cell>
          <cell r="E282" t="str">
            <v>Voluntary Controlled School</v>
          </cell>
          <cell r="F282" t="str">
            <v>Primary</v>
          </cell>
        </row>
        <row r="283">
          <cell r="A283">
            <v>3072152</v>
          </cell>
          <cell r="B283">
            <v>126870</v>
          </cell>
          <cell r="C283" t="str">
            <v>Acton Green County First and Middle School</v>
          </cell>
          <cell r="D283" t="str">
            <v>Ealing</v>
          </cell>
          <cell r="E283" t="str">
            <v>Community School</v>
          </cell>
          <cell r="F283" t="str">
            <v>Middle Deemed Primary</v>
          </cell>
        </row>
        <row r="284">
          <cell r="A284">
            <v>3074035</v>
          </cell>
          <cell r="B284">
            <v>101932</v>
          </cell>
          <cell r="C284" t="str">
            <v>Acton High School</v>
          </cell>
          <cell r="D284" t="str">
            <v>Ealing</v>
          </cell>
          <cell r="E284" t="str">
            <v>Community School</v>
          </cell>
          <cell r="F284" t="str">
            <v>Secondary</v>
          </cell>
        </row>
        <row r="285">
          <cell r="A285">
            <v>6652202</v>
          </cell>
          <cell r="B285">
            <v>400426</v>
          </cell>
          <cell r="C285" t="str">
            <v>Acton Park Infants School</v>
          </cell>
          <cell r="D285" t="str">
            <v>Wrexham</v>
          </cell>
          <cell r="E285" t="str">
            <v>Welsh Establishment</v>
          </cell>
          <cell r="F285" t="str">
            <v>Primary</v>
          </cell>
        </row>
        <row r="286">
          <cell r="A286">
            <v>6652172</v>
          </cell>
          <cell r="B286">
            <v>400406</v>
          </cell>
          <cell r="C286" t="str">
            <v>Acton Park Junior School</v>
          </cell>
          <cell r="D286" t="str">
            <v>Wrexham</v>
          </cell>
          <cell r="E286" t="str">
            <v>Welsh Establishment</v>
          </cell>
          <cell r="F286" t="str">
            <v>Primary</v>
          </cell>
        </row>
        <row r="287">
          <cell r="A287">
            <v>6652276</v>
          </cell>
          <cell r="B287">
            <v>402224</v>
          </cell>
          <cell r="C287" t="str">
            <v>Acton Primary</v>
          </cell>
          <cell r="D287" t="str">
            <v>Wrexham</v>
          </cell>
          <cell r="E287" t="str">
            <v>Welsh Establishment</v>
          </cell>
          <cell r="F287" t="str">
            <v>Primary</v>
          </cell>
        </row>
        <row r="288">
          <cell r="A288">
            <v>9326011</v>
          </cell>
          <cell r="B288">
            <v>129816</v>
          </cell>
          <cell r="C288" t="str">
            <v>Acton Reynald School</v>
          </cell>
          <cell r="D288" t="str">
            <v>Pre LGR (1998) Shropshire</v>
          </cell>
          <cell r="E288" t="str">
            <v>Other Independent School</v>
          </cell>
          <cell r="F288" t="str">
            <v>Not applicable</v>
          </cell>
        </row>
        <row r="289">
          <cell r="A289">
            <v>8362251</v>
          </cell>
          <cell r="B289">
            <v>113742</v>
          </cell>
          <cell r="C289" t="str">
            <v>Ad Astra First School</v>
          </cell>
          <cell r="D289" t="str">
            <v>Poole</v>
          </cell>
          <cell r="E289" t="str">
            <v>Community School</v>
          </cell>
          <cell r="F289" t="str">
            <v>Primary</v>
          </cell>
        </row>
        <row r="290">
          <cell r="A290">
            <v>2116393</v>
          </cell>
          <cell r="B290">
            <v>134149</v>
          </cell>
          <cell r="C290" t="str">
            <v>Adam Primary School</v>
          </cell>
          <cell r="D290" t="str">
            <v>Tower Hamlets</v>
          </cell>
          <cell r="E290" t="str">
            <v>Other Independent School</v>
          </cell>
          <cell r="F290" t="str">
            <v>Not applicable</v>
          </cell>
        </row>
        <row r="291">
          <cell r="A291">
            <v>8945400</v>
          </cell>
          <cell r="B291">
            <v>123593</v>
          </cell>
          <cell r="C291" t="str">
            <v>Adams' Grammar School</v>
          </cell>
          <cell r="D291" t="str">
            <v>Telford and Wrekin</v>
          </cell>
          <cell r="E291" t="str">
            <v>Voluntary Aided School</v>
          </cell>
          <cell r="F291" t="str">
            <v>Secondary</v>
          </cell>
        </row>
        <row r="292">
          <cell r="A292">
            <v>8945400</v>
          </cell>
          <cell r="B292">
            <v>137446</v>
          </cell>
          <cell r="C292" t="str">
            <v>Adams' Grammar School</v>
          </cell>
          <cell r="D292" t="str">
            <v>Telford and Wrekin</v>
          </cell>
          <cell r="E292" t="str">
            <v>Academy Converters</v>
          </cell>
          <cell r="F292" t="str">
            <v>Secondary</v>
          </cell>
        </row>
        <row r="293">
          <cell r="A293">
            <v>6812003</v>
          </cell>
          <cell r="B293">
            <v>401559</v>
          </cell>
          <cell r="C293" t="str">
            <v>Adamsdown Primary School</v>
          </cell>
          <cell r="D293" t="str">
            <v>Cardiff</v>
          </cell>
          <cell r="E293" t="str">
            <v>Welsh Establishment</v>
          </cell>
          <cell r="F293" t="str">
            <v>Primary</v>
          </cell>
        </row>
        <row r="294">
          <cell r="A294">
            <v>2092000</v>
          </cell>
          <cell r="B294">
            <v>100671</v>
          </cell>
          <cell r="C294" t="str">
            <v>Adamsrill Primary School</v>
          </cell>
          <cell r="D294" t="str">
            <v>Lewisham</v>
          </cell>
          <cell r="E294" t="str">
            <v>Community School</v>
          </cell>
          <cell r="F294" t="str">
            <v>Primary</v>
          </cell>
        </row>
        <row r="295">
          <cell r="A295">
            <v>3116059</v>
          </cell>
          <cell r="B295">
            <v>126928</v>
          </cell>
          <cell r="C295" t="str">
            <v>Adanac Commercial College</v>
          </cell>
          <cell r="D295" t="str">
            <v>Havering</v>
          </cell>
          <cell r="E295" t="str">
            <v>Other Independent School</v>
          </cell>
          <cell r="F295" t="str">
            <v>Not applicable</v>
          </cell>
        </row>
        <row r="296">
          <cell r="A296">
            <v>8671104</v>
          </cell>
          <cell r="B296">
            <v>109770</v>
          </cell>
          <cell r="C296" t="str">
            <v>Adastron House Pupil Referral Unit</v>
          </cell>
          <cell r="D296" t="str">
            <v>Bracknell Forest</v>
          </cell>
          <cell r="E296" t="str">
            <v>Pupil Referral Unit</v>
          </cell>
          <cell r="F296" t="str">
            <v>PRU</v>
          </cell>
        </row>
        <row r="297">
          <cell r="A297">
            <v>9342151</v>
          </cell>
          <cell r="B297">
            <v>129872</v>
          </cell>
          <cell r="C297" t="str">
            <v>Adbaston First School</v>
          </cell>
          <cell r="D297" t="str">
            <v>Pre LGR (1997) Staffordshire</v>
          </cell>
          <cell r="E297" t="str">
            <v>Community School</v>
          </cell>
          <cell r="F297" t="str">
            <v>Primary</v>
          </cell>
        </row>
        <row r="298">
          <cell r="A298">
            <v>8602398</v>
          </cell>
          <cell r="B298">
            <v>124194</v>
          </cell>
          <cell r="C298" t="str">
            <v>Adbaston Infants' School</v>
          </cell>
          <cell r="D298" t="str">
            <v>Staffordshire</v>
          </cell>
          <cell r="E298" t="str">
            <v>Community School</v>
          </cell>
          <cell r="F298" t="str">
            <v>Primary</v>
          </cell>
        </row>
        <row r="299">
          <cell r="A299">
            <v>8936003</v>
          </cell>
          <cell r="B299">
            <v>123602</v>
          </cell>
          <cell r="C299" t="str">
            <v>Adcote School for Girls</v>
          </cell>
          <cell r="D299" t="str">
            <v>Shropshire</v>
          </cell>
          <cell r="E299" t="str">
            <v>Other Independent School</v>
          </cell>
          <cell r="F299" t="str">
            <v>Not applicable</v>
          </cell>
        </row>
        <row r="300">
          <cell r="A300">
            <v>3176079</v>
          </cell>
          <cell r="B300">
            <v>136004</v>
          </cell>
          <cell r="C300" t="str">
            <v>Ad-Deen Primary School</v>
          </cell>
          <cell r="D300" t="str">
            <v>Redbridge</v>
          </cell>
          <cell r="E300" t="str">
            <v>Other Independent School</v>
          </cell>
          <cell r="F300" t="str">
            <v>Not applicable</v>
          </cell>
        </row>
        <row r="301">
          <cell r="A301">
            <v>9292243</v>
          </cell>
          <cell r="B301">
            <v>122230</v>
          </cell>
          <cell r="C301" t="str">
            <v>Adderlane First School</v>
          </cell>
          <cell r="D301" t="str">
            <v>Northumberland</v>
          </cell>
          <cell r="E301" t="str">
            <v>Community School</v>
          </cell>
          <cell r="F301" t="str">
            <v>Primary</v>
          </cell>
        </row>
        <row r="302">
          <cell r="A302">
            <v>8933001</v>
          </cell>
          <cell r="B302">
            <v>123457</v>
          </cell>
          <cell r="C302" t="str">
            <v>Adderley CofE Primary School</v>
          </cell>
          <cell r="D302" t="str">
            <v>Shropshire</v>
          </cell>
          <cell r="E302" t="str">
            <v>Voluntary Controlled School</v>
          </cell>
          <cell r="F302" t="str">
            <v>Primary</v>
          </cell>
        </row>
        <row r="303">
          <cell r="A303">
            <v>8612071</v>
          </cell>
          <cell r="B303">
            <v>124006</v>
          </cell>
          <cell r="C303" t="str">
            <v>Adderley Green Infants' School</v>
          </cell>
          <cell r="D303" t="str">
            <v>Stoke-on-Trent</v>
          </cell>
          <cell r="E303" t="str">
            <v>Community School</v>
          </cell>
          <cell r="F303" t="str">
            <v>Primary</v>
          </cell>
        </row>
        <row r="304">
          <cell r="A304">
            <v>3301027</v>
          </cell>
          <cell r="B304">
            <v>103140</v>
          </cell>
          <cell r="C304" t="str">
            <v>Adderley Nursery School</v>
          </cell>
          <cell r="D304" t="str">
            <v>Birmingham</v>
          </cell>
          <cell r="E304" t="str">
            <v>LA Nursery School</v>
          </cell>
          <cell r="F304" t="str">
            <v>Nursery</v>
          </cell>
        </row>
        <row r="305">
          <cell r="A305">
            <v>3302010</v>
          </cell>
          <cell r="B305">
            <v>103159</v>
          </cell>
          <cell r="C305" t="str">
            <v>Adderley Primary School</v>
          </cell>
          <cell r="D305" t="str">
            <v>Birmingham</v>
          </cell>
          <cell r="E305" t="str">
            <v>Community School</v>
          </cell>
          <cell r="F305" t="str">
            <v>Primary</v>
          </cell>
        </row>
        <row r="306">
          <cell r="A306">
            <v>2094600</v>
          </cell>
          <cell r="B306">
            <v>100748</v>
          </cell>
          <cell r="C306" t="str">
            <v>Addey and Stanhope School</v>
          </cell>
          <cell r="D306" t="str">
            <v>Lewisham</v>
          </cell>
          <cell r="E306" t="str">
            <v>Voluntary Aided School</v>
          </cell>
          <cell r="F306" t="str">
            <v>Secondary</v>
          </cell>
        </row>
        <row r="307">
          <cell r="A307">
            <v>3804095</v>
          </cell>
          <cell r="B307">
            <v>107408</v>
          </cell>
          <cell r="C307" t="str">
            <v>Addingham Middle School</v>
          </cell>
          <cell r="D307" t="str">
            <v>Bradford</v>
          </cell>
          <cell r="E307" t="str">
            <v>Community School</v>
          </cell>
          <cell r="F307" t="str">
            <v>Middle Deemed Secondary</v>
          </cell>
        </row>
        <row r="308">
          <cell r="A308">
            <v>3802173</v>
          </cell>
          <cell r="B308">
            <v>107286</v>
          </cell>
          <cell r="C308" t="str">
            <v>Addingham Primary School</v>
          </cell>
          <cell r="D308" t="str">
            <v>Bradford</v>
          </cell>
          <cell r="E308" t="str">
            <v>Community School</v>
          </cell>
          <cell r="F308" t="str">
            <v>Primary</v>
          </cell>
        </row>
        <row r="309">
          <cell r="A309">
            <v>3064042</v>
          </cell>
          <cell r="B309">
            <v>101810</v>
          </cell>
          <cell r="C309" t="str">
            <v>Addington High School</v>
          </cell>
          <cell r="D309" t="str">
            <v>Croydon</v>
          </cell>
          <cell r="E309" t="str">
            <v>Community School</v>
          </cell>
          <cell r="F309" t="str">
            <v>Secondary</v>
          </cell>
        </row>
        <row r="310">
          <cell r="A310">
            <v>8727029</v>
          </cell>
          <cell r="B310">
            <v>110187</v>
          </cell>
          <cell r="C310" t="str">
            <v>Addington School</v>
          </cell>
          <cell r="D310" t="str">
            <v>Wokingham</v>
          </cell>
          <cell r="E310" t="str">
            <v>Community Special School</v>
          </cell>
          <cell r="F310" t="str">
            <v>Special</v>
          </cell>
        </row>
        <row r="311">
          <cell r="A311">
            <v>2052002</v>
          </cell>
          <cell r="B311">
            <v>100321</v>
          </cell>
          <cell r="C311" t="str">
            <v>Addison Primary School</v>
          </cell>
          <cell r="D311" t="str">
            <v>Hammersmith and Fulham</v>
          </cell>
          <cell r="E311" t="str">
            <v>Community School</v>
          </cell>
          <cell r="F311" t="str">
            <v>Primary</v>
          </cell>
        </row>
        <row r="312">
          <cell r="A312">
            <v>3833301</v>
          </cell>
          <cell r="B312">
            <v>127923</v>
          </cell>
          <cell r="C312" t="str">
            <v>Adel CofE First School</v>
          </cell>
          <cell r="D312" t="str">
            <v>Leeds</v>
          </cell>
          <cell r="E312" t="str">
            <v>Voluntary Aided School</v>
          </cell>
          <cell r="F312" t="str">
            <v>Primary</v>
          </cell>
        </row>
        <row r="313">
          <cell r="A313">
            <v>3832416</v>
          </cell>
          <cell r="B313">
            <v>107892</v>
          </cell>
          <cell r="C313" t="str">
            <v>Adel Primary School</v>
          </cell>
          <cell r="D313" t="str">
            <v>Leeds</v>
          </cell>
          <cell r="E313" t="str">
            <v>Community School</v>
          </cell>
          <cell r="F313" t="str">
            <v>Primary</v>
          </cell>
        </row>
        <row r="314">
          <cell r="A314">
            <v>3833902</v>
          </cell>
          <cell r="B314">
            <v>108041</v>
          </cell>
          <cell r="C314" t="str">
            <v>Adel St John the Baptist Church of England Primary School</v>
          </cell>
          <cell r="D314" t="str">
            <v>Leeds</v>
          </cell>
          <cell r="E314" t="str">
            <v>Voluntary Aided School</v>
          </cell>
          <cell r="F314" t="str">
            <v>Primary</v>
          </cell>
        </row>
        <row r="315">
          <cell r="A315">
            <v>8102005</v>
          </cell>
          <cell r="B315">
            <v>117714</v>
          </cell>
          <cell r="C315" t="str">
            <v>Adelaide Primary School</v>
          </cell>
          <cell r="D315" t="str">
            <v>Kingston upon Hull City of</v>
          </cell>
          <cell r="E315" t="str">
            <v>Community School</v>
          </cell>
          <cell r="F315" t="str">
            <v>Primary</v>
          </cell>
        </row>
        <row r="316">
          <cell r="A316">
            <v>8957209</v>
          </cell>
          <cell r="B316">
            <v>131558</v>
          </cell>
          <cell r="C316" t="str">
            <v>Adelaide School</v>
          </cell>
          <cell r="D316" t="str">
            <v>Cheshire East</v>
          </cell>
          <cell r="E316" t="str">
            <v>Community Special School</v>
          </cell>
          <cell r="F316" t="str">
            <v>Special</v>
          </cell>
        </row>
        <row r="317">
          <cell r="A317">
            <v>9194029</v>
          </cell>
          <cell r="B317">
            <v>117512</v>
          </cell>
          <cell r="C317" t="str">
            <v>Adeyfield School</v>
          </cell>
          <cell r="D317" t="str">
            <v>Hertfordshire</v>
          </cell>
          <cell r="E317" t="str">
            <v>Community School</v>
          </cell>
          <cell r="F317" t="str">
            <v>Secondary</v>
          </cell>
        </row>
        <row r="318">
          <cell r="A318">
            <v>8466021</v>
          </cell>
          <cell r="B318">
            <v>131352</v>
          </cell>
          <cell r="C318" t="str">
            <v>Adina School</v>
          </cell>
          <cell r="D318" t="str">
            <v>Brighton and Hove</v>
          </cell>
          <cell r="E318" t="str">
            <v>Other Independent Special School</v>
          </cell>
          <cell r="F318" t="str">
            <v>Not applicable</v>
          </cell>
        </row>
        <row r="319">
          <cell r="A319">
            <v>8863119</v>
          </cell>
          <cell r="B319">
            <v>118652</v>
          </cell>
          <cell r="C319" t="str">
            <v>Adisham Church of England Primary School</v>
          </cell>
          <cell r="D319" t="str">
            <v>Kent</v>
          </cell>
          <cell r="E319" t="str">
            <v>Voluntary Controlled School</v>
          </cell>
          <cell r="F319" t="str">
            <v>Primary</v>
          </cell>
        </row>
        <row r="320">
          <cell r="A320">
            <v>9166061</v>
          </cell>
          <cell r="B320">
            <v>128971</v>
          </cell>
          <cell r="C320" t="str">
            <v>Adlestrop Park School</v>
          </cell>
          <cell r="D320" t="str">
            <v>Gloucestershire</v>
          </cell>
          <cell r="E320" t="str">
            <v>Other Independent School</v>
          </cell>
          <cell r="F320" t="str">
            <v>Not applicable</v>
          </cell>
        </row>
        <row r="321">
          <cell r="A321">
            <v>8952143</v>
          </cell>
          <cell r="B321">
            <v>111018</v>
          </cell>
          <cell r="C321" t="str">
            <v>Adlington Primary School</v>
          </cell>
          <cell r="D321" t="str">
            <v>Cheshire East</v>
          </cell>
          <cell r="E321" t="str">
            <v>Community School</v>
          </cell>
          <cell r="F321" t="str">
            <v>Primary</v>
          </cell>
        </row>
        <row r="322">
          <cell r="A322">
            <v>8882698</v>
          </cell>
          <cell r="B322">
            <v>119330</v>
          </cell>
          <cell r="C322" t="str">
            <v>Adlington Primary School</v>
          </cell>
          <cell r="D322" t="str">
            <v>Lancashire</v>
          </cell>
          <cell r="E322" t="str">
            <v>Community School</v>
          </cell>
          <cell r="F322" t="str">
            <v>Primary</v>
          </cell>
        </row>
        <row r="323">
          <cell r="A323">
            <v>8883384</v>
          </cell>
          <cell r="B323">
            <v>119460</v>
          </cell>
          <cell r="C323" t="str">
            <v>Adlington St Paul's Church of England Primary School</v>
          </cell>
          <cell r="D323" t="str">
            <v>Lancashire</v>
          </cell>
          <cell r="E323" t="str">
            <v>Voluntary Aided School</v>
          </cell>
          <cell r="F323" t="str">
            <v>Primary</v>
          </cell>
        </row>
        <row r="324">
          <cell r="A324">
            <v>8514320</v>
          </cell>
          <cell r="B324">
            <v>116476</v>
          </cell>
          <cell r="C324" t="str">
            <v>Admiral Lord Nelson School</v>
          </cell>
          <cell r="D324" t="str">
            <v>Portsmouth</v>
          </cell>
          <cell r="E324" t="str">
            <v>Community School</v>
          </cell>
          <cell r="F324" t="str">
            <v>Secondary</v>
          </cell>
        </row>
        <row r="325">
          <cell r="A325">
            <v>9262376</v>
          </cell>
          <cell r="B325">
            <v>120994</v>
          </cell>
          <cell r="C325" t="str">
            <v>Admirals' Junior School</v>
          </cell>
          <cell r="D325" t="str">
            <v>Norfolk</v>
          </cell>
          <cell r="E325" t="str">
            <v>Community School</v>
          </cell>
          <cell r="F325" t="str">
            <v>Primary</v>
          </cell>
        </row>
        <row r="326">
          <cell r="A326">
            <v>6701104</v>
          </cell>
          <cell r="B326">
            <v>401952</v>
          </cell>
          <cell r="C326" t="str">
            <v>Adolescent Girls' Group  Bonymaen Family Centre</v>
          </cell>
          <cell r="D326" t="str">
            <v>Swansea</v>
          </cell>
          <cell r="E326" t="str">
            <v>Welsh Establishment</v>
          </cell>
          <cell r="F326" t="str">
            <v>Not applicable</v>
          </cell>
        </row>
        <row r="327">
          <cell r="A327">
            <v>3561000</v>
          </cell>
          <cell r="B327">
            <v>106013</v>
          </cell>
          <cell r="C327" t="str">
            <v>Adswood Nursery School</v>
          </cell>
          <cell r="D327" t="str">
            <v>Stockport</v>
          </cell>
          <cell r="E327" t="str">
            <v>LA Nursery School</v>
          </cell>
          <cell r="F327" t="str">
            <v>Nursery</v>
          </cell>
        </row>
        <row r="328">
          <cell r="A328">
            <v>3562000</v>
          </cell>
          <cell r="B328">
            <v>106024</v>
          </cell>
          <cell r="C328" t="str">
            <v>Adswood Primary School</v>
          </cell>
          <cell r="D328" t="str">
            <v>Stockport</v>
          </cell>
          <cell r="E328" t="str">
            <v>Community School</v>
          </cell>
          <cell r="F328" t="str">
            <v>Primary</v>
          </cell>
        </row>
        <row r="329">
          <cell r="A329">
            <v>2126900</v>
          </cell>
          <cell r="B329">
            <v>101092</v>
          </cell>
          <cell r="C329" t="str">
            <v>ADT College</v>
          </cell>
          <cell r="D329" t="str">
            <v>Wandsworth</v>
          </cell>
          <cell r="E329" t="str">
            <v>City Technology College</v>
          </cell>
          <cell r="F329" t="str">
            <v>Not applicable</v>
          </cell>
        </row>
        <row r="330">
          <cell r="A330">
            <v>3201103</v>
          </cell>
          <cell r="B330">
            <v>133921</v>
          </cell>
          <cell r="C330" t="str">
            <v>Advantage Davis</v>
          </cell>
          <cell r="D330" t="str">
            <v>Waltham Forest</v>
          </cell>
          <cell r="E330" t="str">
            <v>Pupil Referral Unit</v>
          </cell>
          <cell r="F330" t="str">
            <v>PRU</v>
          </cell>
        </row>
        <row r="331">
          <cell r="A331">
            <v>3201100</v>
          </cell>
          <cell r="B331">
            <v>133765</v>
          </cell>
          <cell r="C331" t="str">
            <v>Advantage Hawkwood</v>
          </cell>
          <cell r="D331" t="str">
            <v>Waltham Forest</v>
          </cell>
          <cell r="E331" t="str">
            <v>Pupil Referral Unit</v>
          </cell>
          <cell r="F331" t="str">
            <v>PRU</v>
          </cell>
        </row>
        <row r="332">
          <cell r="A332">
            <v>9086098</v>
          </cell>
          <cell r="B332">
            <v>135984</v>
          </cell>
          <cell r="C332" t="str">
            <v>Advent Centre for Rural Education</v>
          </cell>
          <cell r="D332" t="str">
            <v>Cornwall</v>
          </cell>
          <cell r="E332" t="str">
            <v>Other Independent Special School</v>
          </cell>
          <cell r="F332" t="str">
            <v>Not applicable</v>
          </cell>
        </row>
        <row r="333">
          <cell r="A333">
            <v>8306041</v>
          </cell>
          <cell r="B333">
            <v>136705</v>
          </cell>
          <cell r="C333" t="str">
            <v>Adventure Care Ltd</v>
          </cell>
          <cell r="D333" t="str">
            <v>Derbyshire</v>
          </cell>
          <cell r="E333" t="str">
            <v>Other Independent Special School</v>
          </cell>
          <cell r="F333" t="str">
            <v>Not applicable</v>
          </cell>
        </row>
        <row r="334">
          <cell r="A334">
            <v>3712053</v>
          </cell>
          <cell r="B334">
            <v>106669</v>
          </cell>
          <cell r="C334" t="str">
            <v>Adwick Park Junior School</v>
          </cell>
          <cell r="D334" t="str">
            <v>Doncaster</v>
          </cell>
          <cell r="E334" t="str">
            <v>Community School</v>
          </cell>
          <cell r="F334" t="str">
            <v>Primary</v>
          </cell>
        </row>
        <row r="335">
          <cell r="A335">
            <v>3712054</v>
          </cell>
          <cell r="B335">
            <v>106670</v>
          </cell>
          <cell r="C335" t="str">
            <v>Adwick Washington Infant School</v>
          </cell>
          <cell r="D335" t="str">
            <v>Doncaster</v>
          </cell>
          <cell r="E335" t="str">
            <v>Community School</v>
          </cell>
          <cell r="F335" t="str">
            <v>Primary</v>
          </cell>
        </row>
        <row r="336">
          <cell r="A336">
            <v>9257034</v>
          </cell>
          <cell r="B336">
            <v>135362</v>
          </cell>
          <cell r="C336" t="str">
            <v>Aegir Community School</v>
          </cell>
          <cell r="D336" t="str">
            <v>Lincolnshire</v>
          </cell>
          <cell r="E336" t="str">
            <v>Community Special School</v>
          </cell>
          <cell r="F336" t="str">
            <v>Special</v>
          </cell>
        </row>
        <row r="337">
          <cell r="A337">
            <v>8604901</v>
          </cell>
          <cell r="B337">
            <v>132919</v>
          </cell>
          <cell r="C337" t="str">
            <v>Aelfgar Centre</v>
          </cell>
          <cell r="D337" t="str">
            <v>Staffordshire</v>
          </cell>
          <cell r="E337" t="str">
            <v>Sixth Form Centres</v>
          </cell>
          <cell r="F337" t="str">
            <v>16 Plus</v>
          </cell>
        </row>
        <row r="338">
          <cell r="A338">
            <v>9336216</v>
          </cell>
          <cell r="B338">
            <v>135673</v>
          </cell>
          <cell r="C338" t="str">
            <v>Aethelstan College</v>
          </cell>
          <cell r="D338" t="str">
            <v>Somerset</v>
          </cell>
          <cell r="E338" t="str">
            <v>Other Independent Special School</v>
          </cell>
          <cell r="F338" t="str">
            <v>Not applicable</v>
          </cell>
        </row>
        <row r="339">
          <cell r="A339">
            <v>894942</v>
          </cell>
          <cell r="B339">
            <v>135722</v>
          </cell>
          <cell r="C339" t="str">
            <v>AFC Telford Study Centre</v>
          </cell>
          <cell r="D339" t="str">
            <v>Telford and Wrekin</v>
          </cell>
          <cell r="E339" t="str">
            <v>Playing for Success Centres</v>
          </cell>
          <cell r="F339" t="str">
            <v>Not applicable</v>
          </cell>
        </row>
        <row r="340">
          <cell r="A340">
            <v>3513020</v>
          </cell>
          <cell r="B340">
            <v>105328</v>
          </cell>
          <cell r="C340" t="str">
            <v>Affetside Primary School</v>
          </cell>
          <cell r="D340" t="str">
            <v>Bury</v>
          </cell>
          <cell r="E340" t="str">
            <v>Voluntary Controlled School</v>
          </cell>
          <cell r="F340" t="str">
            <v>Primary</v>
          </cell>
        </row>
        <row r="341">
          <cell r="A341">
            <v>3586018</v>
          </cell>
          <cell r="B341">
            <v>134469</v>
          </cell>
          <cell r="C341" t="str">
            <v>Afifah High School for Girls</v>
          </cell>
          <cell r="D341" t="str">
            <v>Trafford</v>
          </cell>
          <cell r="E341" t="str">
            <v>Other Independent School</v>
          </cell>
          <cell r="F341" t="str">
            <v>Not applicable</v>
          </cell>
        </row>
        <row r="342">
          <cell r="A342">
            <v>7022001</v>
          </cell>
          <cell r="B342">
            <v>132412</v>
          </cell>
          <cell r="C342" t="str">
            <v>AFNORTH International School</v>
          </cell>
          <cell r="D342" t="str">
            <v>BFPO Overseas Establishments</v>
          </cell>
          <cell r="E342" t="str">
            <v>Service Childrens Education</v>
          </cell>
          <cell r="F342" t="str">
            <v>Not applicable</v>
          </cell>
        </row>
        <row r="343">
          <cell r="A343">
            <v>6754011</v>
          </cell>
          <cell r="B343">
            <v>401825</v>
          </cell>
          <cell r="C343" t="str">
            <v>Afon Taf High School</v>
          </cell>
          <cell r="D343" t="str">
            <v>Merthyr Tydfil</v>
          </cell>
          <cell r="E343" t="str">
            <v>Welsh Establishment</v>
          </cell>
          <cell r="F343" t="str">
            <v>Secondary</v>
          </cell>
        </row>
        <row r="344">
          <cell r="A344">
            <v>6722304</v>
          </cell>
          <cell r="B344">
            <v>401069</v>
          </cell>
          <cell r="C344" t="str">
            <v>Afon-Y-Felin Primary School</v>
          </cell>
          <cell r="D344" t="str">
            <v>Bridgend</v>
          </cell>
          <cell r="E344" t="str">
            <v>Welsh Establishment</v>
          </cell>
          <cell r="F344" t="str">
            <v>Primary</v>
          </cell>
        </row>
        <row r="345">
          <cell r="A345">
            <v>2021100</v>
          </cell>
          <cell r="B345">
            <v>100006</v>
          </cell>
          <cell r="C345" t="str">
            <v>Agincourt House</v>
          </cell>
          <cell r="D345" t="str">
            <v>Camden</v>
          </cell>
          <cell r="E345" t="str">
            <v>Pupil Referral Unit</v>
          </cell>
          <cell r="F345" t="str">
            <v>PRU</v>
          </cell>
        </row>
        <row r="346">
          <cell r="A346">
            <v>3702002</v>
          </cell>
          <cell r="B346">
            <v>127565</v>
          </cell>
          <cell r="C346" t="str">
            <v>Agnes Road Infant School</v>
          </cell>
          <cell r="D346" t="str">
            <v>Barnsley</v>
          </cell>
          <cell r="E346" t="str">
            <v>Community School</v>
          </cell>
          <cell r="F346" t="str">
            <v>Primary</v>
          </cell>
        </row>
        <row r="347">
          <cell r="A347">
            <v>3834757</v>
          </cell>
          <cell r="B347">
            <v>108099</v>
          </cell>
          <cell r="C347" t="str">
            <v>Agnes Stewart Church of England High School</v>
          </cell>
          <cell r="D347" t="str">
            <v>Leeds</v>
          </cell>
          <cell r="E347" t="str">
            <v>Voluntary Aided School</v>
          </cell>
          <cell r="F347" t="str">
            <v>Secondary</v>
          </cell>
        </row>
        <row r="348">
          <cell r="A348">
            <v>3834610</v>
          </cell>
          <cell r="B348">
            <v>128016</v>
          </cell>
          <cell r="C348" t="str">
            <v>Agnes Stewart CofE School</v>
          </cell>
          <cell r="D348" t="str">
            <v>Leeds</v>
          </cell>
          <cell r="E348" t="str">
            <v>Voluntary Aided School</v>
          </cell>
          <cell r="F348" t="str">
            <v>Secondary</v>
          </cell>
        </row>
        <row r="349">
          <cell r="A349">
            <v>8616003</v>
          </cell>
          <cell r="B349">
            <v>125814</v>
          </cell>
          <cell r="C349" t="str">
            <v>Aidenswood</v>
          </cell>
          <cell r="D349" t="str">
            <v>Stoke-on-Trent</v>
          </cell>
          <cell r="E349" t="str">
            <v>Other Independent Special School</v>
          </cell>
          <cell r="F349" t="str">
            <v>Not applicable</v>
          </cell>
        </row>
        <row r="350">
          <cell r="A350">
            <v>3417069</v>
          </cell>
          <cell r="B350">
            <v>134658</v>
          </cell>
          <cell r="C350" t="str">
            <v>Aigburth High School</v>
          </cell>
          <cell r="D350" t="str">
            <v>Liverpool</v>
          </cell>
          <cell r="E350" t="str">
            <v>Community Special School</v>
          </cell>
          <cell r="F350" t="str">
            <v>Special</v>
          </cell>
        </row>
        <row r="351">
          <cell r="A351">
            <v>8735409</v>
          </cell>
          <cell r="B351">
            <v>110903</v>
          </cell>
          <cell r="C351" t="str">
            <v>Ailwyn School</v>
          </cell>
          <cell r="D351" t="str">
            <v>Cambridgeshire</v>
          </cell>
          <cell r="E351" t="str">
            <v>Foundation School</v>
          </cell>
          <cell r="F351" t="str">
            <v>Secondary</v>
          </cell>
        </row>
        <row r="352">
          <cell r="A352">
            <v>3556056</v>
          </cell>
          <cell r="B352">
            <v>135633</v>
          </cell>
          <cell r="C352" t="str">
            <v>Aim Habonim</v>
          </cell>
          <cell r="D352" t="str">
            <v>Salford</v>
          </cell>
          <cell r="E352" t="str">
            <v>Other Independent Special School</v>
          </cell>
          <cell r="F352" t="str">
            <v>Not applicable</v>
          </cell>
        </row>
        <row r="353">
          <cell r="A353">
            <v>3526004</v>
          </cell>
          <cell r="B353">
            <v>137672</v>
          </cell>
          <cell r="C353" t="str">
            <v>Aim Learning Centre</v>
          </cell>
          <cell r="D353" t="str">
            <v>Manchester</v>
          </cell>
          <cell r="E353" t="str">
            <v>Other Independent School</v>
          </cell>
          <cell r="F353" t="str">
            <v>Not applicable</v>
          </cell>
        </row>
        <row r="354">
          <cell r="A354">
            <v>8153000</v>
          </cell>
          <cell r="B354">
            <v>121471</v>
          </cell>
          <cell r="C354" t="str">
            <v>Ainderby Steeple Church of England Primary School</v>
          </cell>
          <cell r="D354" t="str">
            <v>North Yorkshire</v>
          </cell>
          <cell r="E354" t="str">
            <v>Voluntary Controlled School</v>
          </cell>
          <cell r="F354" t="str">
            <v>Primary</v>
          </cell>
        </row>
        <row r="355">
          <cell r="A355">
            <v>3434007</v>
          </cell>
          <cell r="B355">
            <v>104945</v>
          </cell>
          <cell r="C355" t="str">
            <v>Ainsdale High School</v>
          </cell>
          <cell r="D355" t="str">
            <v>Sefton</v>
          </cell>
          <cell r="E355" t="str">
            <v>Community School</v>
          </cell>
          <cell r="F355" t="str">
            <v>Secondary</v>
          </cell>
        </row>
        <row r="356">
          <cell r="A356">
            <v>3434803</v>
          </cell>
          <cell r="B356">
            <v>134711</v>
          </cell>
          <cell r="C356" t="str">
            <v>Ainsdale Hope Church of England High School</v>
          </cell>
          <cell r="D356" t="str">
            <v>Sefton</v>
          </cell>
          <cell r="E356" t="str">
            <v>Voluntary Aided School</v>
          </cell>
          <cell r="F356" t="str">
            <v>Secondary</v>
          </cell>
        </row>
        <row r="357">
          <cell r="A357">
            <v>3433335</v>
          </cell>
          <cell r="B357">
            <v>127370</v>
          </cell>
          <cell r="C357" t="str">
            <v>Ainsdale RC Infant School</v>
          </cell>
          <cell r="D357" t="str">
            <v>Sefton</v>
          </cell>
          <cell r="E357" t="str">
            <v>Voluntary Aided School</v>
          </cell>
          <cell r="F357" t="str">
            <v>Primary</v>
          </cell>
        </row>
        <row r="358">
          <cell r="A358">
            <v>3433307</v>
          </cell>
          <cell r="B358">
            <v>104903</v>
          </cell>
          <cell r="C358" t="str">
            <v>Ainsdale St John's Church of England Primary School</v>
          </cell>
          <cell r="D358" t="str">
            <v>Sefton</v>
          </cell>
          <cell r="E358" t="str">
            <v>Voluntary Aided School</v>
          </cell>
          <cell r="F358" t="str">
            <v>Primary</v>
          </cell>
        </row>
        <row r="359">
          <cell r="A359">
            <v>3202082</v>
          </cell>
          <cell r="B359">
            <v>130343</v>
          </cell>
          <cell r="C359" t="str">
            <v>Ainslie Wood Primary School</v>
          </cell>
          <cell r="D359" t="str">
            <v>Waltham Forest</v>
          </cell>
          <cell r="E359" t="str">
            <v>Community School</v>
          </cell>
          <cell r="F359" t="str">
            <v>Primary</v>
          </cell>
        </row>
        <row r="360">
          <cell r="A360">
            <v>9204100</v>
          </cell>
          <cell r="B360">
            <v>129272</v>
          </cell>
          <cell r="C360" t="str">
            <v>Ainthorpe Junior High School</v>
          </cell>
          <cell r="D360" t="str">
            <v>Pre LGR (1996) Humberside</v>
          </cell>
          <cell r="E360" t="str">
            <v>Community School</v>
          </cell>
          <cell r="F360" t="str">
            <v>Secondary</v>
          </cell>
        </row>
        <row r="361">
          <cell r="A361">
            <v>8102000</v>
          </cell>
          <cell r="B361">
            <v>117712</v>
          </cell>
          <cell r="C361" t="str">
            <v>Ainthorpe Primary School</v>
          </cell>
          <cell r="D361" t="str">
            <v>Kingston upon Hull City of</v>
          </cell>
          <cell r="E361" t="str">
            <v>Community School</v>
          </cell>
          <cell r="F361" t="str">
            <v>Primary</v>
          </cell>
        </row>
        <row r="362">
          <cell r="A362">
            <v>3432050</v>
          </cell>
          <cell r="B362">
            <v>104868</v>
          </cell>
          <cell r="C362" t="str">
            <v>Aintree Davenhill Primary School</v>
          </cell>
          <cell r="D362" t="str">
            <v>Sefton</v>
          </cell>
          <cell r="E362" t="str">
            <v>Community School</v>
          </cell>
          <cell r="F362" t="str">
            <v>Primary</v>
          </cell>
        </row>
        <row r="363">
          <cell r="A363">
            <v>8012143</v>
          </cell>
          <cell r="B363">
            <v>108994</v>
          </cell>
          <cell r="C363" t="str">
            <v>Air Balloon Hill Infant School</v>
          </cell>
          <cell r="D363" t="str">
            <v>Bristol City of</v>
          </cell>
          <cell r="E363" t="str">
            <v>Community School</v>
          </cell>
          <cell r="F363" t="str">
            <v>Primary</v>
          </cell>
        </row>
        <row r="364">
          <cell r="A364">
            <v>8012000</v>
          </cell>
          <cell r="B364">
            <v>108909</v>
          </cell>
          <cell r="C364" t="str">
            <v>Air Balloon Hill Junior School</v>
          </cell>
          <cell r="D364" t="str">
            <v>Bristol City of</v>
          </cell>
          <cell r="E364" t="str">
            <v>Community School</v>
          </cell>
          <cell r="F364" t="str">
            <v>Primary</v>
          </cell>
        </row>
        <row r="365">
          <cell r="A365">
            <v>8013441</v>
          </cell>
          <cell r="B365">
            <v>135867</v>
          </cell>
          <cell r="C365" t="str">
            <v>Air Balloon Hill Primary School</v>
          </cell>
          <cell r="D365" t="str">
            <v>Bristol City of</v>
          </cell>
          <cell r="E365" t="str">
            <v>Community School</v>
          </cell>
          <cell r="F365" t="str">
            <v>Primary</v>
          </cell>
        </row>
        <row r="366">
          <cell r="A366">
            <v>3804077</v>
          </cell>
          <cell r="B366">
            <v>107397</v>
          </cell>
          <cell r="C366" t="str">
            <v>Aire Valley School</v>
          </cell>
          <cell r="D366" t="str">
            <v>Bradford</v>
          </cell>
          <cell r="E366" t="str">
            <v>Foundation School</v>
          </cell>
          <cell r="F366" t="str">
            <v>Secondary</v>
          </cell>
        </row>
        <row r="367">
          <cell r="A367">
            <v>3802146</v>
          </cell>
          <cell r="B367">
            <v>107273</v>
          </cell>
          <cell r="C367" t="str">
            <v>Aire View Infant School</v>
          </cell>
          <cell r="D367" t="str">
            <v>Bradford</v>
          </cell>
          <cell r="E367" t="str">
            <v>Community School</v>
          </cell>
          <cell r="F367" t="str">
            <v>Primary</v>
          </cell>
        </row>
        <row r="368">
          <cell r="A368">
            <v>3834100</v>
          </cell>
          <cell r="B368">
            <v>127985</v>
          </cell>
          <cell r="C368" t="str">
            <v>Aireborough Grammar School</v>
          </cell>
          <cell r="D368" t="str">
            <v>Leeds</v>
          </cell>
          <cell r="E368" t="str">
            <v>Community School</v>
          </cell>
          <cell r="F368" t="str">
            <v>Secondary</v>
          </cell>
        </row>
        <row r="369">
          <cell r="A369">
            <v>3844026</v>
          </cell>
          <cell r="B369">
            <v>136613</v>
          </cell>
          <cell r="C369" t="str">
            <v>Airedale Academy</v>
          </cell>
          <cell r="D369" t="str">
            <v>Wakefield</v>
          </cell>
          <cell r="E369" t="str">
            <v>Academy Converters</v>
          </cell>
          <cell r="F369" t="str">
            <v>Secondary</v>
          </cell>
        </row>
        <row r="370">
          <cell r="A370">
            <v>3838009</v>
          </cell>
          <cell r="B370">
            <v>130543</v>
          </cell>
          <cell r="C370" t="str">
            <v>Airedale and Wharfedale College</v>
          </cell>
          <cell r="D370" t="str">
            <v>Leeds</v>
          </cell>
          <cell r="E370" t="str">
            <v>Further Education</v>
          </cell>
          <cell r="F370" t="str">
            <v>16 Plus</v>
          </cell>
        </row>
        <row r="371">
          <cell r="A371">
            <v>3844026</v>
          </cell>
          <cell r="B371">
            <v>108278</v>
          </cell>
          <cell r="C371" t="str">
            <v>Airedale High School</v>
          </cell>
          <cell r="D371" t="str">
            <v>Wakefield</v>
          </cell>
          <cell r="E371" t="str">
            <v>Community School</v>
          </cell>
          <cell r="F371" t="str">
            <v>Secondary</v>
          </cell>
        </row>
        <row r="372">
          <cell r="A372">
            <v>3842172</v>
          </cell>
          <cell r="B372">
            <v>108228</v>
          </cell>
          <cell r="C372" t="str">
            <v>Airedale Infant School</v>
          </cell>
          <cell r="D372" t="str">
            <v>Wakefield</v>
          </cell>
          <cell r="E372" t="str">
            <v>Community School</v>
          </cell>
          <cell r="F372" t="str">
            <v>Primary</v>
          </cell>
        </row>
        <row r="373">
          <cell r="A373">
            <v>3832500</v>
          </cell>
          <cell r="B373">
            <v>107976</v>
          </cell>
          <cell r="C373" t="str">
            <v>Aireview Primary School</v>
          </cell>
          <cell r="D373" t="str">
            <v>Leeds</v>
          </cell>
          <cell r="E373" t="str">
            <v>Community School</v>
          </cell>
          <cell r="F373" t="str">
            <v>Primary</v>
          </cell>
        </row>
        <row r="374">
          <cell r="A374">
            <v>8154208</v>
          </cell>
          <cell r="B374">
            <v>121691</v>
          </cell>
          <cell r="C374" t="str">
            <v>Aireville School</v>
          </cell>
          <cell r="D374" t="str">
            <v>North Yorkshire</v>
          </cell>
          <cell r="E374" t="str">
            <v>Community School</v>
          </cell>
          <cell r="F374" t="str">
            <v>Secondary</v>
          </cell>
        </row>
        <row r="375">
          <cell r="A375">
            <v>9202019</v>
          </cell>
          <cell r="B375">
            <v>129187</v>
          </cell>
          <cell r="C375" t="str">
            <v>Airmyn First School</v>
          </cell>
          <cell r="D375" t="str">
            <v>Pre LGR (1996) Humberside</v>
          </cell>
          <cell r="E375" t="str">
            <v>Community School</v>
          </cell>
          <cell r="F375" t="str">
            <v>Primary</v>
          </cell>
        </row>
        <row r="376">
          <cell r="A376">
            <v>8112913</v>
          </cell>
          <cell r="B376">
            <v>117940</v>
          </cell>
          <cell r="C376" t="str">
            <v>Airmyn Park Primary School</v>
          </cell>
          <cell r="D376" t="str">
            <v>East Riding of Yorkshire</v>
          </cell>
          <cell r="E376" t="str">
            <v>Community School</v>
          </cell>
          <cell r="F376" t="str">
            <v>Primary</v>
          </cell>
        </row>
        <row r="377">
          <cell r="A377">
            <v>9166037</v>
          </cell>
          <cell r="B377">
            <v>115799</v>
          </cell>
          <cell r="C377" t="str">
            <v>Airthrie and Hillfield Dyslexia Trust</v>
          </cell>
          <cell r="D377" t="str">
            <v>Gloucestershire</v>
          </cell>
          <cell r="E377" t="str">
            <v>Other Independent School</v>
          </cell>
          <cell r="F377" t="str">
            <v>Not applicable</v>
          </cell>
        </row>
        <row r="378">
          <cell r="A378">
            <v>3801100</v>
          </cell>
          <cell r="B378">
            <v>107191</v>
          </cell>
          <cell r="C378" t="str">
            <v>Airview Pre-Assessment Centre</v>
          </cell>
          <cell r="D378" t="str">
            <v>Bradford</v>
          </cell>
          <cell r="E378" t="str">
            <v>Pupil Referral Unit</v>
          </cell>
          <cell r="F378" t="str">
            <v>PRU</v>
          </cell>
        </row>
        <row r="379">
          <cell r="A379">
            <v>8153001</v>
          </cell>
          <cell r="B379">
            <v>121472</v>
          </cell>
          <cell r="C379" t="str">
            <v>Aiskew, Leeming Bar Church of England Primary School</v>
          </cell>
          <cell r="D379" t="str">
            <v>North Yorkshire</v>
          </cell>
          <cell r="E379" t="str">
            <v>Voluntary Controlled School</v>
          </cell>
          <cell r="F379" t="str">
            <v>Primary</v>
          </cell>
        </row>
        <row r="380">
          <cell r="A380">
            <v>9286045</v>
          </cell>
          <cell r="B380">
            <v>122138</v>
          </cell>
          <cell r="C380" t="str">
            <v>Akeley Wood Junior School</v>
          </cell>
          <cell r="D380" t="str">
            <v>Northamptonshire</v>
          </cell>
          <cell r="E380" t="str">
            <v>Other Independent School</v>
          </cell>
          <cell r="F380" t="str">
            <v>Not applicable</v>
          </cell>
        </row>
        <row r="381">
          <cell r="A381">
            <v>8256032</v>
          </cell>
          <cell r="B381">
            <v>131764</v>
          </cell>
          <cell r="C381" t="str">
            <v>Akeley Wood Lower School</v>
          </cell>
          <cell r="D381" t="str">
            <v>Buckinghamshire</v>
          </cell>
          <cell r="E381" t="str">
            <v>Other Independent School</v>
          </cell>
          <cell r="F381" t="str">
            <v>Not applicable</v>
          </cell>
        </row>
        <row r="382">
          <cell r="A382">
            <v>8256015</v>
          </cell>
          <cell r="B382">
            <v>110536</v>
          </cell>
          <cell r="C382" t="str">
            <v>Akeley Wood Senior School</v>
          </cell>
          <cell r="D382" t="str">
            <v>Buckinghamshire</v>
          </cell>
          <cell r="E382" t="str">
            <v>Other Independent School</v>
          </cell>
          <cell r="F382" t="str">
            <v>Not applicable</v>
          </cell>
        </row>
        <row r="383">
          <cell r="A383">
            <v>3916004</v>
          </cell>
          <cell r="B383">
            <v>108541</v>
          </cell>
          <cell r="C383" t="str">
            <v>Akhurst Private School</v>
          </cell>
          <cell r="D383" t="str">
            <v>Newcastle upon Tyne</v>
          </cell>
          <cell r="E383" t="str">
            <v>Other Independent School</v>
          </cell>
          <cell r="F383" t="str">
            <v>Not applicable</v>
          </cell>
        </row>
        <row r="384">
          <cell r="A384">
            <v>3023520</v>
          </cell>
          <cell r="B384">
            <v>135086</v>
          </cell>
          <cell r="C384" t="str">
            <v>Akiva School</v>
          </cell>
          <cell r="D384" t="str">
            <v>Barnet</v>
          </cell>
          <cell r="E384" t="str">
            <v>Voluntary Aided School</v>
          </cell>
          <cell r="F384" t="str">
            <v>Primary</v>
          </cell>
        </row>
        <row r="385">
          <cell r="A385">
            <v>3026093</v>
          </cell>
          <cell r="B385">
            <v>101389</v>
          </cell>
          <cell r="C385" t="str">
            <v>Akiva School At Levy House</v>
          </cell>
          <cell r="D385" t="str">
            <v>Barnet</v>
          </cell>
          <cell r="E385" t="str">
            <v>Other Independent School</v>
          </cell>
          <cell r="F385" t="str">
            <v>Not applicable</v>
          </cell>
        </row>
        <row r="386">
          <cell r="A386">
            <v>7022071</v>
          </cell>
          <cell r="B386">
            <v>132415</v>
          </cell>
          <cell r="C386" t="str">
            <v>Akrotiri Primary School</v>
          </cell>
          <cell r="D386" t="str">
            <v>BFPO Overseas Establishments</v>
          </cell>
          <cell r="E386" t="str">
            <v>Service Childrens Education</v>
          </cell>
          <cell r="F386" t="str">
            <v>Not applicable</v>
          </cell>
        </row>
        <row r="387">
          <cell r="A387">
            <v>8886035</v>
          </cell>
          <cell r="B387">
            <v>131550</v>
          </cell>
          <cell r="C387" t="str">
            <v>Al Farooq Private School</v>
          </cell>
          <cell r="D387" t="str">
            <v>Lancashire</v>
          </cell>
          <cell r="E387" t="str">
            <v>Other Independent School</v>
          </cell>
          <cell r="F387" t="str">
            <v>Not applicable</v>
          </cell>
        </row>
        <row r="388">
          <cell r="A388">
            <v>3096083</v>
          </cell>
          <cell r="B388">
            <v>134581</v>
          </cell>
          <cell r="C388" t="str">
            <v>Al Hidayah Primary School At Unit 1f, N17 Studios</v>
          </cell>
          <cell r="D388" t="str">
            <v>Haringey</v>
          </cell>
          <cell r="E388" t="str">
            <v>Other Independent School</v>
          </cell>
          <cell r="F388" t="str">
            <v>Not applicable</v>
          </cell>
        </row>
        <row r="389">
          <cell r="A389">
            <v>3306088</v>
          </cell>
          <cell r="B389">
            <v>103595</v>
          </cell>
          <cell r="C389" t="str">
            <v>Al Huda Girls' School</v>
          </cell>
          <cell r="D389" t="str">
            <v>Birmingham</v>
          </cell>
          <cell r="E389" t="str">
            <v>Other Independent School</v>
          </cell>
          <cell r="F389" t="str">
            <v>Not applicable</v>
          </cell>
        </row>
        <row r="390">
          <cell r="A390">
            <v>8896004</v>
          </cell>
          <cell r="B390">
            <v>119856</v>
          </cell>
          <cell r="C390" t="str">
            <v>Al Islah Girls' High School</v>
          </cell>
          <cell r="D390" t="str">
            <v>Blackburn with Darwen</v>
          </cell>
          <cell r="E390" t="str">
            <v>Other Independent School</v>
          </cell>
          <cell r="F390" t="str">
            <v>Not applicable</v>
          </cell>
        </row>
        <row r="391">
          <cell r="A391">
            <v>3506017</v>
          </cell>
          <cell r="B391">
            <v>130285</v>
          </cell>
          <cell r="C391" t="str">
            <v>Al Jamiah Al Islamiyyah</v>
          </cell>
          <cell r="D391" t="str">
            <v>Bolton</v>
          </cell>
          <cell r="E391" t="str">
            <v>Other Independent School</v>
          </cell>
          <cell r="F391" t="str">
            <v>Not applicable</v>
          </cell>
        </row>
        <row r="392">
          <cell r="A392">
            <v>7046004</v>
          </cell>
          <cell r="B392">
            <v>132553</v>
          </cell>
          <cell r="C392" t="str">
            <v>Al Kafilah Damascus Shell School</v>
          </cell>
          <cell r="D392" t="str">
            <v>Fieldwork Overseas Establishments</v>
          </cell>
          <cell r="E392" t="str">
            <v>Service Childrens Education</v>
          </cell>
          <cell r="F392" t="str">
            <v>Not applicable</v>
          </cell>
        </row>
        <row r="393">
          <cell r="A393">
            <v>8916021</v>
          </cell>
          <cell r="B393">
            <v>122945</v>
          </cell>
          <cell r="C393" t="str">
            <v>Al Karam Secondary School</v>
          </cell>
          <cell r="D393" t="str">
            <v>Nottinghamshire</v>
          </cell>
          <cell r="E393" t="str">
            <v>Other Independent School</v>
          </cell>
          <cell r="F393" t="str">
            <v>Not applicable</v>
          </cell>
        </row>
        <row r="394">
          <cell r="A394">
            <v>3806117</v>
          </cell>
          <cell r="B394">
            <v>134429</v>
          </cell>
          <cell r="C394" t="str">
            <v>Al Mumin Primary School</v>
          </cell>
          <cell r="D394" t="str">
            <v>Bradford</v>
          </cell>
          <cell r="E394" t="str">
            <v>Other Independent School</v>
          </cell>
          <cell r="F394" t="str">
            <v>Not applicable</v>
          </cell>
        </row>
        <row r="395">
          <cell r="A395">
            <v>3526052</v>
          </cell>
          <cell r="B395">
            <v>132114</v>
          </cell>
          <cell r="C395" t="str">
            <v>Al Taqwa Islamic School</v>
          </cell>
          <cell r="D395" t="str">
            <v>Manchester</v>
          </cell>
          <cell r="E395" t="str">
            <v>Other Independent School</v>
          </cell>
          <cell r="F395" t="str">
            <v>Not applicable</v>
          </cell>
        </row>
        <row r="396">
          <cell r="A396">
            <v>8234099</v>
          </cell>
          <cell r="B396">
            <v>109680</v>
          </cell>
          <cell r="C396" t="str">
            <v>Alameda Middle School</v>
          </cell>
          <cell r="D396" t="str">
            <v>Central Bedfordshire</v>
          </cell>
          <cell r="E396" t="str">
            <v>Community School</v>
          </cell>
          <cell r="F396" t="str">
            <v>Middle Deemed Secondary</v>
          </cell>
        </row>
        <row r="397">
          <cell r="A397">
            <v>8234099</v>
          </cell>
          <cell r="B397">
            <v>137249</v>
          </cell>
          <cell r="C397" t="str">
            <v>Alameda Middle School</v>
          </cell>
          <cell r="D397" t="str">
            <v>Central Bedfordshire</v>
          </cell>
          <cell r="E397" t="str">
            <v>Academy Converters</v>
          </cell>
          <cell r="F397" t="str">
            <v>Middle Deemed Secondary</v>
          </cell>
        </row>
        <row r="398">
          <cell r="A398">
            <v>3306113</v>
          </cell>
          <cell r="B398">
            <v>130244</v>
          </cell>
          <cell r="C398" t="str">
            <v>Al-Ameen Primary School</v>
          </cell>
          <cell r="D398" t="str">
            <v>Birmingham</v>
          </cell>
          <cell r="E398" t="str">
            <v>Other Independent School</v>
          </cell>
          <cell r="F398" t="str">
            <v>Not applicable</v>
          </cell>
        </row>
        <row r="399">
          <cell r="A399">
            <v>8152150</v>
          </cell>
          <cell r="B399">
            <v>121326</v>
          </cell>
          <cell r="C399" t="str">
            <v>Alanbrooke School</v>
          </cell>
          <cell r="D399" t="str">
            <v>North Yorkshire</v>
          </cell>
          <cell r="E399" t="str">
            <v>Community School</v>
          </cell>
          <cell r="F399" t="str">
            <v>Primary</v>
          </cell>
        </row>
        <row r="400">
          <cell r="A400">
            <v>8556016</v>
          </cell>
          <cell r="B400">
            <v>131665</v>
          </cell>
          <cell r="C400" t="str">
            <v>Al-Aqsa Primary School</v>
          </cell>
          <cell r="D400" t="str">
            <v>Leicestershire</v>
          </cell>
          <cell r="E400" t="str">
            <v>Other Independent School</v>
          </cell>
          <cell r="F400" t="str">
            <v>Not applicable</v>
          </cell>
        </row>
        <row r="401">
          <cell r="A401">
            <v>8566017</v>
          </cell>
          <cell r="B401">
            <v>134809</v>
          </cell>
          <cell r="C401" t="str">
            <v>Al-Aqsa Primary School</v>
          </cell>
          <cell r="D401" t="str">
            <v>Leicester</v>
          </cell>
          <cell r="E401" t="str">
            <v>Other Independent School</v>
          </cell>
          <cell r="F401" t="str">
            <v>Not applicable</v>
          </cell>
        </row>
        <row r="402">
          <cell r="A402">
            <v>9166081</v>
          </cell>
          <cell r="B402">
            <v>135097</v>
          </cell>
          <cell r="C402" t="str">
            <v>Al-Ashraf Primary School</v>
          </cell>
          <cell r="D402" t="str">
            <v>Gloucestershire</v>
          </cell>
          <cell r="E402" t="str">
            <v>Other Independent School</v>
          </cell>
          <cell r="F402" t="str">
            <v>Not applicable</v>
          </cell>
        </row>
        <row r="403">
          <cell r="A403">
            <v>9166073</v>
          </cell>
          <cell r="B403">
            <v>115810</v>
          </cell>
          <cell r="C403" t="str">
            <v>Al-Ashraf Secondary School for Girls</v>
          </cell>
          <cell r="D403" t="str">
            <v>Gloucestershire</v>
          </cell>
          <cell r="E403" t="str">
            <v>Other Independent School</v>
          </cell>
          <cell r="F403" t="str">
            <v>Not applicable</v>
          </cell>
        </row>
        <row r="404">
          <cell r="A404">
            <v>8896006</v>
          </cell>
          <cell r="B404">
            <v>131983</v>
          </cell>
          <cell r="C404" t="str">
            <v>Al-Asr Primary School</v>
          </cell>
          <cell r="D404" t="str">
            <v>Blackburn with Darwen</v>
          </cell>
          <cell r="E404" t="str">
            <v>Other Independent School</v>
          </cell>
          <cell r="F404" t="str">
            <v>Not applicable</v>
          </cell>
        </row>
        <row r="405">
          <cell r="A405">
            <v>6742052</v>
          </cell>
          <cell r="B405">
            <v>401137</v>
          </cell>
          <cell r="C405" t="str">
            <v>Alaw Primary School</v>
          </cell>
          <cell r="D405" t="str">
            <v>Rhondda, Cynon, Taff</v>
          </cell>
          <cell r="E405" t="str">
            <v>Welsh Establishment</v>
          </cell>
          <cell r="F405" t="str">
            <v>Primary</v>
          </cell>
        </row>
        <row r="406">
          <cell r="A406">
            <v>2116396</v>
          </cell>
          <cell r="B406">
            <v>135978</v>
          </cell>
          <cell r="C406" t="str">
            <v>Al-Azhar Primary School</v>
          </cell>
          <cell r="D406" t="str">
            <v>Tower Hamlets</v>
          </cell>
          <cell r="E406" t="str">
            <v>Other Independent School</v>
          </cell>
          <cell r="F406" t="str">
            <v>Not applicable</v>
          </cell>
        </row>
        <row r="407">
          <cell r="A407">
            <v>8224604</v>
          </cell>
          <cell r="B407">
            <v>136550</v>
          </cell>
          <cell r="C407" t="str">
            <v>Alban VA Church of England  Academy</v>
          </cell>
          <cell r="D407" t="str">
            <v>Bedford</v>
          </cell>
          <cell r="E407" t="str">
            <v>Academy Converters</v>
          </cell>
          <cell r="F407" t="str">
            <v>Middle Deemed Secondary</v>
          </cell>
        </row>
        <row r="408">
          <cell r="A408">
            <v>8224604</v>
          </cell>
          <cell r="B408">
            <v>109697</v>
          </cell>
          <cell r="C408" t="str">
            <v>Alban VA Church of England Middle School</v>
          </cell>
          <cell r="D408" t="str">
            <v>Bedford</v>
          </cell>
          <cell r="E408" t="str">
            <v>Voluntary Aided School</v>
          </cell>
          <cell r="F408" t="str">
            <v>Middle Deemed Secondary</v>
          </cell>
        </row>
        <row r="409">
          <cell r="A409">
            <v>9192396</v>
          </cell>
          <cell r="B409">
            <v>117318</v>
          </cell>
          <cell r="C409" t="str">
            <v>Alban Wood Infant and Nursery School</v>
          </cell>
          <cell r="D409" t="str">
            <v>Hertfordshire</v>
          </cell>
          <cell r="E409" t="str">
            <v>Community School</v>
          </cell>
          <cell r="F409" t="str">
            <v>Primary</v>
          </cell>
        </row>
        <row r="410">
          <cell r="A410">
            <v>9192173</v>
          </cell>
          <cell r="B410">
            <v>117191</v>
          </cell>
          <cell r="C410" t="str">
            <v>Alban Wood Junior School</v>
          </cell>
          <cell r="D410" t="str">
            <v>Hertfordshire</v>
          </cell>
          <cell r="E410" t="str">
            <v>Community School</v>
          </cell>
          <cell r="F410" t="str">
            <v>Primary</v>
          </cell>
        </row>
        <row r="411">
          <cell r="A411">
            <v>9193981</v>
          </cell>
          <cell r="B411">
            <v>134685</v>
          </cell>
          <cell r="C411" t="str">
            <v>Alban Wood Primary School and Nursery</v>
          </cell>
          <cell r="D411" t="str">
            <v>Hertfordshire</v>
          </cell>
          <cell r="E411" t="str">
            <v>Community School</v>
          </cell>
          <cell r="F411" t="str">
            <v>Primary</v>
          </cell>
        </row>
        <row r="412">
          <cell r="A412">
            <v>3526051</v>
          </cell>
          <cell r="B412">
            <v>132040</v>
          </cell>
          <cell r="C412" t="str">
            <v>Alban's Independent School</v>
          </cell>
          <cell r="D412" t="str">
            <v>Manchester</v>
          </cell>
          <cell r="E412" t="str">
            <v>Other Independent School</v>
          </cell>
          <cell r="F412" t="str">
            <v>Not applicable</v>
          </cell>
        </row>
        <row r="413">
          <cell r="A413">
            <v>9351103</v>
          </cell>
          <cell r="B413">
            <v>124529</v>
          </cell>
          <cell r="C413" t="str">
            <v>Albany Centre</v>
          </cell>
          <cell r="D413" t="str">
            <v>Suffolk</v>
          </cell>
          <cell r="E413" t="str">
            <v>Pupil Referral Unit</v>
          </cell>
          <cell r="F413" t="str">
            <v>PRU</v>
          </cell>
        </row>
        <row r="414">
          <cell r="A414">
            <v>8912301</v>
          </cell>
          <cell r="B414">
            <v>122547</v>
          </cell>
          <cell r="C414" t="str">
            <v>Albany Infant and Nursery School</v>
          </cell>
          <cell r="D414" t="str">
            <v>Nottinghamshire</v>
          </cell>
          <cell r="E414" t="str">
            <v>Community School</v>
          </cell>
          <cell r="F414" t="str">
            <v>Primary</v>
          </cell>
        </row>
        <row r="415">
          <cell r="A415">
            <v>3942147</v>
          </cell>
          <cell r="B415">
            <v>108812</v>
          </cell>
          <cell r="C415" t="str">
            <v>Albany Infant School</v>
          </cell>
          <cell r="D415" t="str">
            <v>Sunderland</v>
          </cell>
          <cell r="E415" t="str">
            <v>Community School</v>
          </cell>
          <cell r="F415" t="str">
            <v>Primary</v>
          </cell>
        </row>
        <row r="416">
          <cell r="A416">
            <v>3942146</v>
          </cell>
          <cell r="B416">
            <v>108811</v>
          </cell>
          <cell r="C416" t="str">
            <v>Albany Junior School</v>
          </cell>
          <cell r="D416" t="str">
            <v>Sunderland</v>
          </cell>
          <cell r="E416" t="str">
            <v>Community School</v>
          </cell>
          <cell r="F416" t="str">
            <v>Primary</v>
          </cell>
        </row>
        <row r="417">
          <cell r="A417">
            <v>8912300</v>
          </cell>
          <cell r="B417">
            <v>122546</v>
          </cell>
          <cell r="C417" t="str">
            <v>Albany Junior School</v>
          </cell>
          <cell r="D417" t="str">
            <v>Nottinghamshire</v>
          </cell>
          <cell r="E417" t="str">
            <v>Community School</v>
          </cell>
          <cell r="F417" t="str">
            <v>Primary</v>
          </cell>
        </row>
        <row r="418">
          <cell r="A418">
            <v>6812005</v>
          </cell>
          <cell r="B418">
            <v>401560</v>
          </cell>
          <cell r="C418" t="str">
            <v>Albany Primary School</v>
          </cell>
          <cell r="D418" t="str">
            <v>Cardiff</v>
          </cell>
          <cell r="E418" t="str">
            <v>Welsh Establishment</v>
          </cell>
          <cell r="F418" t="str">
            <v>Primary</v>
          </cell>
        </row>
        <row r="419">
          <cell r="A419">
            <v>3085402</v>
          </cell>
          <cell r="B419">
            <v>102057</v>
          </cell>
          <cell r="C419" t="str">
            <v>Albany School</v>
          </cell>
          <cell r="D419" t="str">
            <v>Enfield</v>
          </cell>
          <cell r="E419" t="str">
            <v>Foundation School</v>
          </cell>
          <cell r="F419" t="str">
            <v>Secondary</v>
          </cell>
        </row>
        <row r="420">
          <cell r="A420">
            <v>8884403</v>
          </cell>
          <cell r="B420">
            <v>119768</v>
          </cell>
          <cell r="C420" t="str">
            <v>Albany Science College</v>
          </cell>
          <cell r="D420" t="str">
            <v>Lancashire</v>
          </cell>
          <cell r="E420" t="str">
            <v>Community School</v>
          </cell>
          <cell r="F420" t="str">
            <v>Secondary</v>
          </cell>
        </row>
        <row r="421">
          <cell r="A421">
            <v>3942182</v>
          </cell>
          <cell r="B421">
            <v>131036</v>
          </cell>
          <cell r="C421" t="str">
            <v>Albany Village Primary School</v>
          </cell>
          <cell r="D421" t="str">
            <v>Sunderland</v>
          </cell>
          <cell r="E421" t="str">
            <v>Community School</v>
          </cell>
          <cell r="F421" t="str">
            <v>Primary</v>
          </cell>
        </row>
        <row r="422">
          <cell r="A422">
            <v>2125205</v>
          </cell>
          <cell r="B422">
            <v>101032</v>
          </cell>
          <cell r="C422" t="str">
            <v>Albemarle Primary School</v>
          </cell>
          <cell r="D422" t="str">
            <v>Wandsworth</v>
          </cell>
          <cell r="E422" t="str">
            <v>Foundation School</v>
          </cell>
          <cell r="F422" t="str">
            <v>Primary</v>
          </cell>
        </row>
        <row r="423">
          <cell r="A423">
            <v>3302242</v>
          </cell>
          <cell r="B423">
            <v>103292</v>
          </cell>
          <cell r="C423" t="str">
            <v>Albert Bradbeer Infant and Nursery Community School</v>
          </cell>
          <cell r="D423" t="str">
            <v>Birmingham</v>
          </cell>
          <cell r="E423" t="str">
            <v>Community School</v>
          </cell>
          <cell r="F423" t="str">
            <v>Primary</v>
          </cell>
        </row>
        <row r="424">
          <cell r="A424">
            <v>3302125</v>
          </cell>
          <cell r="B424">
            <v>103226</v>
          </cell>
          <cell r="C424" t="str">
            <v>Albert Bradbeer Junior School</v>
          </cell>
          <cell r="D424" t="str">
            <v>Birmingham</v>
          </cell>
          <cell r="E424" t="str">
            <v>Community School</v>
          </cell>
          <cell r="F424" t="str">
            <v>Primary</v>
          </cell>
        </row>
        <row r="425">
          <cell r="A425">
            <v>3303433</v>
          </cell>
          <cell r="B425">
            <v>131759</v>
          </cell>
          <cell r="C425" t="str">
            <v>Albert Bradbeer Primary</v>
          </cell>
          <cell r="D425" t="str">
            <v>Birmingham</v>
          </cell>
          <cell r="E425" t="str">
            <v>Community School</v>
          </cell>
          <cell r="F425" t="str">
            <v>Primary</v>
          </cell>
        </row>
        <row r="426">
          <cell r="A426">
            <v>3337015</v>
          </cell>
          <cell r="B426">
            <v>104034</v>
          </cell>
          <cell r="C426" t="str">
            <v>Albert Bradford School</v>
          </cell>
          <cell r="D426" t="str">
            <v>Sandwell</v>
          </cell>
          <cell r="E426" t="str">
            <v>Community Special School</v>
          </cell>
          <cell r="F426" t="str">
            <v>Special</v>
          </cell>
        </row>
        <row r="427">
          <cell r="A427">
            <v>6732109</v>
          </cell>
          <cell r="B427">
            <v>401084</v>
          </cell>
          <cell r="C427" t="str">
            <v>Albert C.P. School</v>
          </cell>
          <cell r="D427" t="str">
            <v>The Vale of Glamorgan</v>
          </cell>
          <cell r="E427" t="str">
            <v>Welsh Establishment</v>
          </cell>
          <cell r="F427" t="str">
            <v>Primary</v>
          </cell>
        </row>
        <row r="428">
          <cell r="A428">
            <v>3932081</v>
          </cell>
          <cell r="B428">
            <v>108702</v>
          </cell>
          <cell r="C428" t="str">
            <v>Albert Elliott Primary School</v>
          </cell>
          <cell r="D428" t="str">
            <v>South Tyneside</v>
          </cell>
          <cell r="E428" t="str">
            <v>Community School</v>
          </cell>
          <cell r="F428" t="str">
            <v>Primary</v>
          </cell>
        </row>
        <row r="429">
          <cell r="A429">
            <v>3407000</v>
          </cell>
          <cell r="B429">
            <v>127248</v>
          </cell>
          <cell r="C429" t="str">
            <v>Albert Hambleton School</v>
          </cell>
          <cell r="D429" t="str">
            <v>Knowsley</v>
          </cell>
          <cell r="E429" t="str">
            <v>Community Special School</v>
          </cell>
          <cell r="F429" t="str">
            <v>Special</v>
          </cell>
        </row>
        <row r="430">
          <cell r="A430">
            <v>8411026</v>
          </cell>
          <cell r="B430">
            <v>113978</v>
          </cell>
          <cell r="C430" t="str">
            <v>Albert Hill Nursery School</v>
          </cell>
          <cell r="D430" t="str">
            <v>Darlington</v>
          </cell>
          <cell r="E430" t="str">
            <v>LA Nursery School</v>
          </cell>
          <cell r="F430" t="str">
            <v>Nursery</v>
          </cell>
        </row>
        <row r="431">
          <cell r="A431">
            <v>3332042</v>
          </cell>
          <cell r="B431">
            <v>103906</v>
          </cell>
          <cell r="C431" t="str">
            <v>Albert Pritchard Infant School</v>
          </cell>
          <cell r="D431" t="str">
            <v>Sandwell</v>
          </cell>
          <cell r="E431" t="str">
            <v>Foundation School</v>
          </cell>
          <cell r="F431" t="str">
            <v>Primary</v>
          </cell>
        </row>
        <row r="432">
          <cell r="A432">
            <v>7053102</v>
          </cell>
          <cell r="B432">
            <v>132453</v>
          </cell>
          <cell r="C432" t="str">
            <v>Albert Road Junior School</v>
          </cell>
          <cell r="D432" t="str">
            <v>Isle of Man Offshore Establishments</v>
          </cell>
          <cell r="E432" t="str">
            <v>Offshore Schools</v>
          </cell>
          <cell r="F432" t="str">
            <v>Not applicable</v>
          </cell>
        </row>
        <row r="433">
          <cell r="A433">
            <v>3111101</v>
          </cell>
          <cell r="B433">
            <v>102264</v>
          </cell>
          <cell r="C433" t="str">
            <v>Albert Road Unit</v>
          </cell>
          <cell r="D433" t="str">
            <v>Havering</v>
          </cell>
          <cell r="E433" t="str">
            <v>Pupil Referral Unit</v>
          </cell>
          <cell r="F433" t="str">
            <v>PRU</v>
          </cell>
        </row>
        <row r="434">
          <cell r="A434">
            <v>8552006</v>
          </cell>
          <cell r="B434">
            <v>119905</v>
          </cell>
          <cell r="C434" t="str">
            <v>Albert Village Community Primary School</v>
          </cell>
          <cell r="D434" t="str">
            <v>Leicestershire</v>
          </cell>
          <cell r="E434" t="str">
            <v>Community School</v>
          </cell>
          <cell r="F434" t="str">
            <v>Primary</v>
          </cell>
        </row>
        <row r="435">
          <cell r="A435">
            <v>3806112</v>
          </cell>
          <cell r="B435">
            <v>132737</v>
          </cell>
          <cell r="C435" t="str">
            <v>Al-Bilal Academy for Girls</v>
          </cell>
          <cell r="D435" t="str">
            <v>Bradford</v>
          </cell>
          <cell r="E435" t="str">
            <v>Other Independent School</v>
          </cell>
          <cell r="F435" t="str">
            <v>Not applicable</v>
          </cell>
        </row>
        <row r="436">
          <cell r="A436">
            <v>3332103</v>
          </cell>
          <cell r="B436">
            <v>103931</v>
          </cell>
          <cell r="C436" t="str">
            <v>Albion Junior School</v>
          </cell>
          <cell r="D436" t="str">
            <v>Sandwell</v>
          </cell>
          <cell r="E436" t="str">
            <v>Community School</v>
          </cell>
          <cell r="F436" t="str">
            <v>Primary</v>
          </cell>
        </row>
        <row r="437">
          <cell r="A437">
            <v>2102003</v>
          </cell>
          <cell r="B437">
            <v>100774</v>
          </cell>
          <cell r="C437" t="str">
            <v>Albion Primary School</v>
          </cell>
          <cell r="D437" t="str">
            <v>Southwark</v>
          </cell>
          <cell r="E437" t="str">
            <v>Community School</v>
          </cell>
          <cell r="F437" t="str">
            <v>Primary</v>
          </cell>
        </row>
        <row r="438">
          <cell r="A438">
            <v>3352108</v>
          </cell>
          <cell r="B438">
            <v>104181</v>
          </cell>
          <cell r="C438" t="str">
            <v>Albion Road Junior School</v>
          </cell>
          <cell r="D438" t="str">
            <v>Walsall</v>
          </cell>
          <cell r="E438" t="str">
            <v>Community School</v>
          </cell>
          <cell r="F438" t="str">
            <v>Primary</v>
          </cell>
        </row>
        <row r="439">
          <cell r="A439">
            <v>6682246</v>
          </cell>
          <cell r="B439">
            <v>400675</v>
          </cell>
          <cell r="C439" t="str">
            <v>Albion Square C.P. Infant School</v>
          </cell>
          <cell r="D439" t="str">
            <v>Pembrokeshire</v>
          </cell>
          <cell r="E439" t="str">
            <v>Welsh Establishment</v>
          </cell>
          <cell r="F439" t="str">
            <v>Primary</v>
          </cell>
        </row>
        <row r="440">
          <cell r="A440">
            <v>3306206</v>
          </cell>
          <cell r="B440">
            <v>135882</v>
          </cell>
          <cell r="C440" t="str">
            <v>Al-Birr Independent School</v>
          </cell>
          <cell r="D440" t="str">
            <v>Birmingham</v>
          </cell>
          <cell r="E440" t="str">
            <v>Other Independent School</v>
          </cell>
          <cell r="F440" t="str">
            <v>Not applicable</v>
          </cell>
        </row>
        <row r="441">
          <cell r="A441">
            <v>9383060</v>
          </cell>
          <cell r="B441">
            <v>126014</v>
          </cell>
          <cell r="C441" t="str">
            <v>Albourne CofE Primary School</v>
          </cell>
          <cell r="D441" t="str">
            <v>West Sussex</v>
          </cell>
          <cell r="E441" t="str">
            <v>Voluntary Controlled School</v>
          </cell>
          <cell r="F441" t="str">
            <v>Primary</v>
          </cell>
        </row>
        <row r="442">
          <cell r="A442">
            <v>8932026</v>
          </cell>
          <cell r="B442">
            <v>123352</v>
          </cell>
          <cell r="C442" t="str">
            <v>Albrighton Junior School</v>
          </cell>
          <cell r="D442" t="str">
            <v>Shropshire</v>
          </cell>
          <cell r="E442" t="str">
            <v>Community School</v>
          </cell>
          <cell r="F442" t="str">
            <v>Primary</v>
          </cell>
        </row>
        <row r="443">
          <cell r="A443">
            <v>8932120</v>
          </cell>
          <cell r="B443">
            <v>123410</v>
          </cell>
          <cell r="C443" t="str">
            <v>Albrighton Primary School</v>
          </cell>
          <cell r="D443" t="str">
            <v>Shropshire</v>
          </cell>
          <cell r="E443" t="str">
            <v>Community School</v>
          </cell>
          <cell r="F443" t="str">
            <v>Primary</v>
          </cell>
        </row>
        <row r="444">
          <cell r="A444">
            <v>9263001</v>
          </cell>
          <cell r="B444">
            <v>121025</v>
          </cell>
          <cell r="C444" t="str">
            <v>Alburgh with Denton Church of England Primary School</v>
          </cell>
          <cell r="D444" t="str">
            <v>Norfolk</v>
          </cell>
          <cell r="E444" t="str">
            <v>Voluntary Controlled School</v>
          </cell>
          <cell r="F444" t="str">
            <v>Primary</v>
          </cell>
        </row>
        <row r="445">
          <cell r="A445">
            <v>3306104</v>
          </cell>
          <cell r="B445">
            <v>134034</v>
          </cell>
          <cell r="C445" t="str">
            <v>Al-Burhan Grammar School</v>
          </cell>
          <cell r="D445" t="str">
            <v>Birmingham</v>
          </cell>
          <cell r="E445" t="str">
            <v>Other Independent School</v>
          </cell>
          <cell r="F445" t="str">
            <v>Not applicable</v>
          </cell>
        </row>
        <row r="446">
          <cell r="A446">
            <v>9193303</v>
          </cell>
          <cell r="B446">
            <v>117419</v>
          </cell>
          <cell r="C446" t="str">
            <v>Albury Church of England Voluntary Aided Primary School</v>
          </cell>
          <cell r="D446" t="str">
            <v>Hertfordshire</v>
          </cell>
          <cell r="E446" t="str">
            <v>Voluntary Aided School</v>
          </cell>
          <cell r="F446" t="str">
            <v>Primary</v>
          </cell>
        </row>
        <row r="447">
          <cell r="A447">
            <v>9374240</v>
          </cell>
          <cell r="B447">
            <v>137172</v>
          </cell>
          <cell r="C447" t="str">
            <v>Alcester Academy</v>
          </cell>
          <cell r="D447" t="str">
            <v>Warwickshire</v>
          </cell>
          <cell r="E447" t="str">
            <v>Academy Converters</v>
          </cell>
          <cell r="F447" t="str">
            <v>Secondary</v>
          </cell>
        </row>
        <row r="448">
          <cell r="A448">
            <v>9375407</v>
          </cell>
          <cell r="B448">
            <v>125770</v>
          </cell>
          <cell r="C448" t="str">
            <v>Alcester Grammar School</v>
          </cell>
          <cell r="D448" t="str">
            <v>Warwickshire</v>
          </cell>
          <cell r="E448" t="str">
            <v>Foundation School</v>
          </cell>
          <cell r="F448" t="str">
            <v>Secondary</v>
          </cell>
        </row>
        <row r="449">
          <cell r="A449">
            <v>9375407</v>
          </cell>
          <cell r="B449">
            <v>136622</v>
          </cell>
          <cell r="C449" t="str">
            <v>Alcester Grammar School</v>
          </cell>
          <cell r="D449" t="str">
            <v>Warwickshire</v>
          </cell>
          <cell r="E449" t="str">
            <v>Academy Converters</v>
          </cell>
          <cell r="F449" t="str">
            <v>Secondary</v>
          </cell>
        </row>
        <row r="450">
          <cell r="A450">
            <v>9374240</v>
          </cell>
          <cell r="B450">
            <v>125750</v>
          </cell>
          <cell r="C450" t="str">
            <v>Alcester High School Technology College</v>
          </cell>
          <cell r="D450" t="str">
            <v>Warwickshire</v>
          </cell>
          <cell r="E450" t="str">
            <v>Community School</v>
          </cell>
          <cell r="F450" t="str">
            <v>Secondary</v>
          </cell>
        </row>
        <row r="451">
          <cell r="A451">
            <v>9372074</v>
          </cell>
          <cell r="B451">
            <v>125532</v>
          </cell>
          <cell r="C451" t="str">
            <v>Alcester Infant School</v>
          </cell>
          <cell r="D451" t="str">
            <v>Warwickshire</v>
          </cell>
          <cell r="E451" t="str">
            <v>Community School</v>
          </cell>
          <cell r="F451" t="str">
            <v>Primary</v>
          </cell>
        </row>
        <row r="452">
          <cell r="A452">
            <v>8733061</v>
          </cell>
          <cell r="B452">
            <v>110809</v>
          </cell>
          <cell r="C452" t="str">
            <v>Alconbury CofE Primary School</v>
          </cell>
          <cell r="D452" t="str">
            <v>Cambridgeshire</v>
          </cell>
          <cell r="E452" t="str">
            <v>Voluntary Controlled School</v>
          </cell>
          <cell r="F452" t="str">
            <v>Primary</v>
          </cell>
        </row>
        <row r="453">
          <cell r="A453">
            <v>8736020</v>
          </cell>
          <cell r="B453">
            <v>110933</v>
          </cell>
          <cell r="C453" t="str">
            <v>Alconbury House School At Alconbury House</v>
          </cell>
          <cell r="D453" t="str">
            <v>Cambridgeshire</v>
          </cell>
          <cell r="E453" t="str">
            <v>Other Independent School</v>
          </cell>
          <cell r="F453" t="str">
            <v>Not applicable</v>
          </cell>
        </row>
        <row r="454">
          <cell r="A454">
            <v>3342064</v>
          </cell>
          <cell r="B454">
            <v>104069</v>
          </cell>
          <cell r="C454" t="str">
            <v>Alcott Hall Junior and Infant School</v>
          </cell>
          <cell r="D454" t="str">
            <v>Solihull</v>
          </cell>
          <cell r="E454" t="str">
            <v>Community School</v>
          </cell>
          <cell r="F454" t="str">
            <v>Primary</v>
          </cell>
        </row>
        <row r="455">
          <cell r="A455">
            <v>3172000</v>
          </cell>
          <cell r="B455">
            <v>136934</v>
          </cell>
          <cell r="C455" t="str">
            <v>Aldborough E-ACT Free School</v>
          </cell>
          <cell r="D455" t="str">
            <v>Redbridge</v>
          </cell>
          <cell r="E455" t="str">
            <v>Academy Free Schools</v>
          </cell>
          <cell r="F455" t="str">
            <v>Primary</v>
          </cell>
        </row>
        <row r="456">
          <cell r="A456">
            <v>9262000</v>
          </cell>
          <cell r="B456">
            <v>120777</v>
          </cell>
          <cell r="C456" t="str">
            <v>Aldborough Primary School</v>
          </cell>
          <cell r="D456" t="str">
            <v>Norfolk</v>
          </cell>
          <cell r="E456" t="str">
            <v>Foundation School</v>
          </cell>
          <cell r="F456" t="str">
            <v>Primary</v>
          </cell>
        </row>
        <row r="457">
          <cell r="A457">
            <v>8112700</v>
          </cell>
          <cell r="B457">
            <v>117823</v>
          </cell>
          <cell r="C457" t="str">
            <v>Aldbrough Primary School</v>
          </cell>
          <cell r="D457" t="str">
            <v>East Riding of Yorkshire</v>
          </cell>
          <cell r="E457" t="str">
            <v>Community School</v>
          </cell>
          <cell r="F457" t="str">
            <v>Primary</v>
          </cell>
        </row>
        <row r="458">
          <cell r="A458">
            <v>9273004</v>
          </cell>
          <cell r="B458">
            <v>129659</v>
          </cell>
          <cell r="C458" t="str">
            <v>Aldbrough St John CofE School</v>
          </cell>
          <cell r="D458" t="str">
            <v>Pre LGR (1996) North Yorkshire</v>
          </cell>
          <cell r="E458" t="str">
            <v>Voluntary Controlled School</v>
          </cell>
          <cell r="F458" t="str">
            <v>Primary</v>
          </cell>
        </row>
        <row r="459">
          <cell r="A459">
            <v>9193000</v>
          </cell>
          <cell r="B459">
            <v>117382</v>
          </cell>
          <cell r="C459" t="str">
            <v>Aldbury Church of England Primary School</v>
          </cell>
          <cell r="D459" t="str">
            <v>Hertfordshire</v>
          </cell>
          <cell r="E459" t="str">
            <v>Voluntary Controlled School</v>
          </cell>
          <cell r="F459" t="str">
            <v>Primary</v>
          </cell>
        </row>
        <row r="460">
          <cell r="A460">
            <v>9352058</v>
          </cell>
          <cell r="B460">
            <v>124566</v>
          </cell>
          <cell r="C460" t="str">
            <v>Aldeburgh Primary School</v>
          </cell>
          <cell r="D460" t="str">
            <v>Suffolk</v>
          </cell>
          <cell r="E460" t="str">
            <v>Community School</v>
          </cell>
          <cell r="F460" t="str">
            <v>Primary</v>
          </cell>
        </row>
        <row r="461">
          <cell r="A461">
            <v>9196003</v>
          </cell>
          <cell r="B461">
            <v>117602</v>
          </cell>
          <cell r="C461" t="str">
            <v>Aldenham School</v>
          </cell>
          <cell r="D461" t="str">
            <v>Hertfordshire</v>
          </cell>
          <cell r="E461" t="str">
            <v>Other Independent School</v>
          </cell>
          <cell r="F461" t="str">
            <v>Not applicable</v>
          </cell>
        </row>
        <row r="462">
          <cell r="A462">
            <v>8696013</v>
          </cell>
          <cell r="B462">
            <v>110175</v>
          </cell>
          <cell r="C462" t="str">
            <v>Alder Bridge School</v>
          </cell>
          <cell r="D462" t="str">
            <v>West Berkshire</v>
          </cell>
          <cell r="E462" t="str">
            <v>Other Independent School</v>
          </cell>
          <cell r="F462" t="str">
            <v>Not applicable</v>
          </cell>
        </row>
        <row r="463">
          <cell r="A463">
            <v>3551103</v>
          </cell>
          <cell r="B463">
            <v>133678</v>
          </cell>
          <cell r="C463" t="str">
            <v>Alder Brook Primary Partnership Centre</v>
          </cell>
          <cell r="D463" t="str">
            <v>Salford</v>
          </cell>
          <cell r="E463" t="str">
            <v>Pupil Referral Unit</v>
          </cell>
          <cell r="F463" t="str">
            <v>PRU</v>
          </cell>
        </row>
        <row r="464">
          <cell r="A464">
            <v>3574027</v>
          </cell>
          <cell r="B464">
            <v>106258</v>
          </cell>
          <cell r="C464" t="str">
            <v>Alder Community High School</v>
          </cell>
          <cell r="D464" t="str">
            <v>Tameside</v>
          </cell>
          <cell r="E464" t="str">
            <v>Community School</v>
          </cell>
          <cell r="F464" t="str">
            <v>Secondary</v>
          </cell>
        </row>
        <row r="465">
          <cell r="A465">
            <v>3574006</v>
          </cell>
          <cell r="B465">
            <v>134283</v>
          </cell>
          <cell r="C465" t="str">
            <v>Alder Community High School</v>
          </cell>
          <cell r="D465" t="str">
            <v>Tameside</v>
          </cell>
          <cell r="E465" t="str">
            <v>Community School</v>
          </cell>
          <cell r="F465" t="str">
            <v>Secondary</v>
          </cell>
        </row>
        <row r="466">
          <cell r="A466">
            <v>3322071</v>
          </cell>
          <cell r="B466">
            <v>127138</v>
          </cell>
          <cell r="C466" t="str">
            <v>Alder Coppice First School</v>
          </cell>
          <cell r="D466" t="str">
            <v>Dudley</v>
          </cell>
          <cell r="E466" t="str">
            <v>Community School</v>
          </cell>
          <cell r="F466" t="str">
            <v>Primary</v>
          </cell>
        </row>
        <row r="467">
          <cell r="A467">
            <v>3322062</v>
          </cell>
          <cell r="B467">
            <v>127137</v>
          </cell>
          <cell r="C467" t="str">
            <v>Alder Coppice Middle School</v>
          </cell>
          <cell r="D467" t="str">
            <v>Dudley</v>
          </cell>
          <cell r="E467" t="str">
            <v>Community School</v>
          </cell>
          <cell r="F467" t="str">
            <v>Middle Deemed Primary</v>
          </cell>
        </row>
        <row r="468">
          <cell r="A468">
            <v>3325200</v>
          </cell>
          <cell r="B468">
            <v>103869</v>
          </cell>
          <cell r="C468" t="str">
            <v>Alder Coppice Primary School</v>
          </cell>
          <cell r="D468" t="str">
            <v>Dudley</v>
          </cell>
          <cell r="E468" t="str">
            <v>Foundation School</v>
          </cell>
          <cell r="F468" t="str">
            <v>Primary</v>
          </cell>
        </row>
        <row r="469">
          <cell r="A469">
            <v>8884030</v>
          </cell>
          <cell r="B469">
            <v>119722</v>
          </cell>
          <cell r="C469" t="str">
            <v>Alder Grange Community and Technology School</v>
          </cell>
          <cell r="D469" t="str">
            <v>Lancashire</v>
          </cell>
          <cell r="E469" t="str">
            <v>Community School</v>
          </cell>
          <cell r="F469" t="str">
            <v>Secondary</v>
          </cell>
        </row>
        <row r="470">
          <cell r="A470">
            <v>3417015</v>
          </cell>
          <cell r="B470">
            <v>104733</v>
          </cell>
          <cell r="C470" t="str">
            <v>Alder Hey Children's Hospital School</v>
          </cell>
          <cell r="D470" t="str">
            <v>Liverpool</v>
          </cell>
          <cell r="E470" t="str">
            <v>Community Special School</v>
          </cell>
          <cell r="F470" t="str">
            <v>Special</v>
          </cell>
        </row>
        <row r="471">
          <cell r="A471">
            <v>3546092</v>
          </cell>
          <cell r="B471">
            <v>135473</v>
          </cell>
          <cell r="C471" t="str">
            <v>Alder Meadow Green Corns Independent School</v>
          </cell>
          <cell r="D471" t="str">
            <v>Rochdale</v>
          </cell>
          <cell r="E471" t="str">
            <v>Other Independent Special School</v>
          </cell>
          <cell r="F471" t="str">
            <v>Not applicable</v>
          </cell>
        </row>
        <row r="472">
          <cell r="A472">
            <v>3551012</v>
          </cell>
          <cell r="B472">
            <v>105874</v>
          </cell>
          <cell r="C472" t="str">
            <v>Alder Park Nursery School</v>
          </cell>
          <cell r="D472" t="str">
            <v>Salford</v>
          </cell>
          <cell r="E472" t="str">
            <v>LA Nursery School</v>
          </cell>
          <cell r="F472" t="str">
            <v>Nursery</v>
          </cell>
        </row>
        <row r="473">
          <cell r="A473">
            <v>3552056</v>
          </cell>
          <cell r="B473">
            <v>105901</v>
          </cell>
          <cell r="C473" t="str">
            <v>Alder Park Primary School</v>
          </cell>
          <cell r="D473" t="str">
            <v>Salford</v>
          </cell>
          <cell r="E473" t="str">
            <v>Community School</v>
          </cell>
          <cell r="F473" t="str">
            <v>Primary</v>
          </cell>
        </row>
        <row r="474">
          <cell r="A474">
            <v>9342268</v>
          </cell>
          <cell r="B474">
            <v>129887</v>
          </cell>
          <cell r="C474" t="str">
            <v>Alderbrook Junior School</v>
          </cell>
          <cell r="D474" t="str">
            <v>Pre LGR (1997) Staffordshire</v>
          </cell>
          <cell r="E474" t="str">
            <v>Community School</v>
          </cell>
          <cell r="F474" t="str">
            <v>Primary</v>
          </cell>
        </row>
        <row r="475">
          <cell r="A475">
            <v>3344015</v>
          </cell>
          <cell r="B475">
            <v>104110</v>
          </cell>
          <cell r="C475" t="str">
            <v>Alderbrook Leading Edge School and Arts College</v>
          </cell>
          <cell r="D475" t="str">
            <v>Solihull</v>
          </cell>
          <cell r="E475" t="str">
            <v>Community School</v>
          </cell>
          <cell r="F475" t="str">
            <v>Secondary</v>
          </cell>
        </row>
        <row r="476">
          <cell r="A476">
            <v>3344015</v>
          </cell>
          <cell r="B476">
            <v>136994</v>
          </cell>
          <cell r="C476" t="str">
            <v>Alderbrook Leading Edge School and Arts College</v>
          </cell>
          <cell r="D476" t="str">
            <v>Solihull</v>
          </cell>
          <cell r="E476" t="str">
            <v>Academy Converters</v>
          </cell>
          <cell r="F476" t="str">
            <v>Secondary</v>
          </cell>
        </row>
        <row r="477">
          <cell r="A477">
            <v>2122004</v>
          </cell>
          <cell r="B477">
            <v>100995</v>
          </cell>
          <cell r="C477" t="str">
            <v>Alderbrook Primary School</v>
          </cell>
          <cell r="D477" t="str">
            <v>Wandsworth</v>
          </cell>
          <cell r="E477" t="str">
            <v>Community School</v>
          </cell>
          <cell r="F477" t="str">
            <v>Primary</v>
          </cell>
        </row>
        <row r="478">
          <cell r="A478">
            <v>8653460</v>
          </cell>
          <cell r="B478">
            <v>126445</v>
          </cell>
          <cell r="C478" t="str">
            <v>Alderbury and West Grimstead Church of England Primary School</v>
          </cell>
          <cell r="D478" t="str">
            <v>Wiltshire</v>
          </cell>
          <cell r="E478" t="str">
            <v>Voluntary Aided School</v>
          </cell>
          <cell r="F478" t="str">
            <v>Primary</v>
          </cell>
        </row>
        <row r="479">
          <cell r="A479">
            <v>9392000</v>
          </cell>
          <cell r="B479">
            <v>130207</v>
          </cell>
          <cell r="C479" t="str">
            <v>Alderbury County Primary School</v>
          </cell>
          <cell r="D479" t="str">
            <v>Pre LGR (1997) Wiltshire</v>
          </cell>
          <cell r="E479" t="str">
            <v>Community School</v>
          </cell>
          <cell r="F479" t="str">
            <v>Primary</v>
          </cell>
        </row>
        <row r="480">
          <cell r="A480">
            <v>8304089</v>
          </cell>
          <cell r="B480">
            <v>112939</v>
          </cell>
          <cell r="C480" t="str">
            <v>Aldercar Community Language College</v>
          </cell>
          <cell r="D480" t="str">
            <v>Derbyshire</v>
          </cell>
          <cell r="E480" t="str">
            <v>Community School</v>
          </cell>
          <cell r="F480" t="str">
            <v>Secondary</v>
          </cell>
        </row>
        <row r="481">
          <cell r="A481">
            <v>8302116</v>
          </cell>
          <cell r="B481">
            <v>112555</v>
          </cell>
          <cell r="C481" t="str">
            <v>Aldercar Infant School</v>
          </cell>
          <cell r="D481" t="str">
            <v>Derbyshire</v>
          </cell>
          <cell r="E481" t="str">
            <v>Community School</v>
          </cell>
          <cell r="F481" t="str">
            <v>Primary</v>
          </cell>
        </row>
        <row r="482">
          <cell r="A482">
            <v>8952129</v>
          </cell>
          <cell r="B482">
            <v>111008</v>
          </cell>
          <cell r="C482" t="str">
            <v>Alderley Edge Community Primary School</v>
          </cell>
          <cell r="D482" t="str">
            <v>Cheshire East</v>
          </cell>
          <cell r="E482" t="str">
            <v>Community School</v>
          </cell>
          <cell r="F482" t="str">
            <v>Primary</v>
          </cell>
        </row>
        <row r="483">
          <cell r="A483">
            <v>8956012</v>
          </cell>
          <cell r="B483">
            <v>111478</v>
          </cell>
          <cell r="C483" t="str">
            <v>Alderley Edge School for Girls</v>
          </cell>
          <cell r="D483" t="str">
            <v>Cheshire East</v>
          </cell>
          <cell r="E483" t="str">
            <v>Other Independent School</v>
          </cell>
          <cell r="F483" t="str">
            <v>Not applicable</v>
          </cell>
        </row>
        <row r="484">
          <cell r="A484">
            <v>8815464</v>
          </cell>
          <cell r="B484">
            <v>115380</v>
          </cell>
          <cell r="C484" t="str">
            <v>Alderman Blaxill School</v>
          </cell>
          <cell r="D484" t="str">
            <v>Essex</v>
          </cell>
          <cell r="E484" t="str">
            <v>Foundation School</v>
          </cell>
          <cell r="F484" t="str">
            <v>Secondary</v>
          </cell>
        </row>
        <row r="485">
          <cell r="A485">
            <v>8772731</v>
          </cell>
          <cell r="B485">
            <v>133677</v>
          </cell>
          <cell r="C485" t="str">
            <v>Alderman Bolton Community Primary School</v>
          </cell>
          <cell r="D485" t="str">
            <v>Warrington</v>
          </cell>
          <cell r="E485" t="str">
            <v>Community School</v>
          </cell>
          <cell r="F485" t="str">
            <v>Primary</v>
          </cell>
        </row>
        <row r="486">
          <cell r="A486">
            <v>8772004</v>
          </cell>
          <cell r="B486">
            <v>110967</v>
          </cell>
          <cell r="C486" t="str">
            <v>Alderman Bolton Infant School</v>
          </cell>
          <cell r="D486" t="str">
            <v>Warrington</v>
          </cell>
          <cell r="E486" t="str">
            <v>Community School</v>
          </cell>
          <cell r="F486" t="str">
            <v>Primary</v>
          </cell>
        </row>
        <row r="487">
          <cell r="A487">
            <v>8772002</v>
          </cell>
          <cell r="B487">
            <v>110966</v>
          </cell>
          <cell r="C487" t="str">
            <v>Alderman Bolton Junior School</v>
          </cell>
          <cell r="D487" t="str">
            <v>Warrington</v>
          </cell>
          <cell r="E487" t="str">
            <v>Community School</v>
          </cell>
          <cell r="F487" t="str">
            <v>Primary</v>
          </cell>
        </row>
        <row r="488">
          <cell r="A488">
            <v>9204800</v>
          </cell>
          <cell r="B488">
            <v>129331</v>
          </cell>
          <cell r="C488" t="str">
            <v>Alderman Cogan CofE Junior High School</v>
          </cell>
          <cell r="D488" t="str">
            <v>Pre LGR (1996) Humberside</v>
          </cell>
          <cell r="E488" t="str">
            <v>Legacy types</v>
          </cell>
          <cell r="F488" t="str">
            <v>Secondary</v>
          </cell>
        </row>
        <row r="489">
          <cell r="A489">
            <v>8103509</v>
          </cell>
          <cell r="B489">
            <v>118053</v>
          </cell>
          <cell r="C489" t="str">
            <v>Alderman Cogan's CofE Primary School</v>
          </cell>
          <cell r="D489" t="str">
            <v>Kingston upon Hull City of</v>
          </cell>
          <cell r="E489" t="str">
            <v>Voluntary Aided School</v>
          </cell>
          <cell r="F489" t="str">
            <v>Primary</v>
          </cell>
        </row>
        <row r="490">
          <cell r="A490">
            <v>6713313</v>
          </cell>
          <cell r="B490">
            <v>401021</v>
          </cell>
          <cell r="C490" t="str">
            <v>Alderman Davies C.I.W. School</v>
          </cell>
          <cell r="D490" t="str">
            <v>Neath Port Talbot</v>
          </cell>
          <cell r="E490" t="str">
            <v>Welsh Establishment</v>
          </cell>
          <cell r="F490" t="str">
            <v>Primary</v>
          </cell>
        </row>
        <row r="491">
          <cell r="A491">
            <v>8924055</v>
          </cell>
          <cell r="B491">
            <v>122836</v>
          </cell>
          <cell r="C491" t="str">
            <v>Alderman Derbyshire Comprehensive School</v>
          </cell>
          <cell r="D491" t="str">
            <v>Nottingham</v>
          </cell>
          <cell r="E491" t="str">
            <v>Community School</v>
          </cell>
          <cell r="F491" t="str">
            <v>Secondary</v>
          </cell>
        </row>
        <row r="492">
          <cell r="A492">
            <v>3312080</v>
          </cell>
          <cell r="B492">
            <v>103660</v>
          </cell>
          <cell r="C492" t="str">
            <v>Alderman Harris Primary School</v>
          </cell>
          <cell r="D492" t="str">
            <v>Coventry</v>
          </cell>
          <cell r="E492" t="str">
            <v>Community School</v>
          </cell>
          <cell r="F492" t="str">
            <v>Primary</v>
          </cell>
        </row>
        <row r="493">
          <cell r="A493">
            <v>9267009</v>
          </cell>
          <cell r="B493">
            <v>121259</v>
          </cell>
          <cell r="C493" t="str">
            <v>Alderman Jackson School</v>
          </cell>
          <cell r="D493" t="str">
            <v>Norfolk</v>
          </cell>
          <cell r="E493" t="str">
            <v>Community Special School</v>
          </cell>
          <cell r="F493" t="str">
            <v>Special</v>
          </cell>
        </row>
        <row r="494">
          <cell r="A494">
            <v>8732087</v>
          </cell>
          <cell r="B494">
            <v>110646</v>
          </cell>
          <cell r="C494" t="str">
            <v>Alderman Jacobs Primary School</v>
          </cell>
          <cell r="D494" t="str">
            <v>Cambridgeshire</v>
          </cell>
          <cell r="E494" t="str">
            <v>Community School</v>
          </cell>
          <cell r="F494" t="str">
            <v>Primary</v>
          </cell>
        </row>
        <row r="495">
          <cell r="A495">
            <v>8732087</v>
          </cell>
          <cell r="B495">
            <v>136653</v>
          </cell>
          <cell r="C495" t="str">
            <v>Alderman Jacobs School</v>
          </cell>
          <cell r="D495" t="str">
            <v>Cambridgeshire</v>
          </cell>
          <cell r="E495" t="str">
            <v>Academy Converters</v>
          </cell>
          <cell r="F495" t="str">
            <v>Primary</v>
          </cell>
        </row>
        <row r="496">
          <cell r="A496">
            <v>3547008</v>
          </cell>
          <cell r="B496">
            <v>105862</v>
          </cell>
          <cell r="C496" t="str">
            <v>Alderman Kay School</v>
          </cell>
          <cell r="D496" t="str">
            <v>Rochdale</v>
          </cell>
          <cell r="E496" t="str">
            <v>Community Special School</v>
          </cell>
          <cell r="F496" t="str">
            <v>Special</v>
          </cell>
        </row>
        <row r="497">
          <cell r="A497">
            <v>9167019</v>
          </cell>
          <cell r="B497">
            <v>115825</v>
          </cell>
          <cell r="C497" t="str">
            <v>Alderman Knight School</v>
          </cell>
          <cell r="D497" t="str">
            <v>Gloucestershire</v>
          </cell>
          <cell r="E497" t="str">
            <v>Community Special School</v>
          </cell>
          <cell r="F497" t="str">
            <v>Special</v>
          </cell>
        </row>
        <row r="498">
          <cell r="A498">
            <v>8412646</v>
          </cell>
          <cell r="B498">
            <v>114164</v>
          </cell>
          <cell r="C498" t="str">
            <v>Alderman Leach Infants' School</v>
          </cell>
          <cell r="D498" t="str">
            <v>Darlington</v>
          </cell>
          <cell r="E498" t="str">
            <v>Community School</v>
          </cell>
          <cell r="F498" t="str">
            <v>Primary</v>
          </cell>
        </row>
        <row r="499">
          <cell r="A499">
            <v>8412645</v>
          </cell>
          <cell r="B499">
            <v>114163</v>
          </cell>
          <cell r="C499" t="str">
            <v>Alderman Leach Junior School</v>
          </cell>
          <cell r="D499" t="str">
            <v>Darlington</v>
          </cell>
          <cell r="E499" t="str">
            <v>Community School</v>
          </cell>
          <cell r="F499" t="str">
            <v>Primary</v>
          </cell>
        </row>
        <row r="500">
          <cell r="A500">
            <v>8412002</v>
          </cell>
          <cell r="B500">
            <v>132204</v>
          </cell>
          <cell r="C500" t="str">
            <v>Alderman Leach Primary School</v>
          </cell>
          <cell r="D500" t="str">
            <v>Darlington</v>
          </cell>
          <cell r="E500" t="str">
            <v>Community School</v>
          </cell>
          <cell r="F500" t="str">
            <v>Primary</v>
          </cell>
        </row>
        <row r="501">
          <cell r="A501">
            <v>8564265</v>
          </cell>
          <cell r="B501">
            <v>120291</v>
          </cell>
          <cell r="C501" t="str">
            <v>Alderman Newton's School</v>
          </cell>
          <cell r="D501" t="str">
            <v>Leicester</v>
          </cell>
          <cell r="E501" t="str">
            <v>Community School</v>
          </cell>
          <cell r="F501" t="str">
            <v>Secondary</v>
          </cell>
        </row>
        <row r="502">
          <cell r="A502">
            <v>9264056</v>
          </cell>
          <cell r="B502">
            <v>121170</v>
          </cell>
          <cell r="C502" t="str">
            <v>Alderman Peel High School</v>
          </cell>
          <cell r="D502" t="str">
            <v>Norfolk</v>
          </cell>
          <cell r="E502" t="str">
            <v>Community School</v>
          </cell>
          <cell r="F502" t="str">
            <v>Secondary</v>
          </cell>
        </row>
        <row r="503">
          <cell r="A503">
            <v>8912302</v>
          </cell>
          <cell r="B503">
            <v>122548</v>
          </cell>
          <cell r="C503" t="str">
            <v>Alderman Pounder Infant and Nursery School</v>
          </cell>
          <cell r="D503" t="str">
            <v>Nottinghamshire</v>
          </cell>
          <cell r="E503" t="str">
            <v>Community School</v>
          </cell>
          <cell r="F503" t="str">
            <v>Primary</v>
          </cell>
        </row>
        <row r="504">
          <cell r="A504">
            <v>9242200</v>
          </cell>
          <cell r="B504">
            <v>129519</v>
          </cell>
          <cell r="C504" t="str">
            <v>Alderman Richard Hallam Infant School</v>
          </cell>
          <cell r="D504" t="str">
            <v>Pre LGR (1997) Leicestershire</v>
          </cell>
          <cell r="E504" t="str">
            <v>Community School</v>
          </cell>
          <cell r="F504" t="str">
            <v>Primary</v>
          </cell>
        </row>
        <row r="505">
          <cell r="A505">
            <v>9242201</v>
          </cell>
          <cell r="B505">
            <v>129520</v>
          </cell>
          <cell r="C505" t="str">
            <v>Alderman Richard Hallam Junior School</v>
          </cell>
          <cell r="D505" t="str">
            <v>Pre LGR (1997) Leicestershire</v>
          </cell>
          <cell r="E505" t="str">
            <v>Community School</v>
          </cell>
          <cell r="F505" t="str">
            <v>Primary</v>
          </cell>
        </row>
        <row r="506">
          <cell r="A506">
            <v>8562385</v>
          </cell>
          <cell r="B506">
            <v>120107</v>
          </cell>
          <cell r="C506" t="str">
            <v>Alderman Richard Hallam Primary School</v>
          </cell>
          <cell r="D506" t="str">
            <v>Leicester</v>
          </cell>
          <cell r="E506" t="str">
            <v>Community School</v>
          </cell>
          <cell r="F506" t="str">
            <v>Primary</v>
          </cell>
        </row>
        <row r="507">
          <cell r="A507">
            <v>3512000</v>
          </cell>
          <cell r="B507">
            <v>105284</v>
          </cell>
          <cell r="C507" t="str">
            <v>Alderman Smith Infants' School</v>
          </cell>
          <cell r="D507" t="str">
            <v>Bury</v>
          </cell>
          <cell r="E507" t="str">
            <v>Community School</v>
          </cell>
          <cell r="F507" t="str">
            <v>Primary</v>
          </cell>
        </row>
        <row r="508">
          <cell r="A508">
            <v>9374150</v>
          </cell>
          <cell r="B508">
            <v>125740</v>
          </cell>
          <cell r="C508" t="str">
            <v>Alderman Smith School and Sports College</v>
          </cell>
          <cell r="D508" t="str">
            <v>Warwickshire</v>
          </cell>
          <cell r="E508" t="str">
            <v>Community School</v>
          </cell>
          <cell r="F508" t="str">
            <v>Secondary</v>
          </cell>
        </row>
        <row r="509">
          <cell r="A509">
            <v>9262347</v>
          </cell>
          <cell r="B509">
            <v>120974</v>
          </cell>
          <cell r="C509" t="str">
            <v>Alderman Swindell Infant School</v>
          </cell>
          <cell r="D509" t="str">
            <v>Norfolk</v>
          </cell>
          <cell r="E509" t="str">
            <v>Community School</v>
          </cell>
          <cell r="F509" t="str">
            <v>Primary</v>
          </cell>
        </row>
        <row r="510">
          <cell r="A510">
            <v>8914117</v>
          </cell>
          <cell r="B510">
            <v>122851</v>
          </cell>
          <cell r="C510" t="str">
            <v>Alderman White School and Language College</v>
          </cell>
          <cell r="D510" t="str">
            <v>Nottinghamshire</v>
          </cell>
          <cell r="E510" t="str">
            <v>Community School</v>
          </cell>
          <cell r="F510" t="str">
            <v>Secondary</v>
          </cell>
        </row>
        <row r="511">
          <cell r="A511">
            <v>8072351</v>
          </cell>
          <cell r="B511">
            <v>111649</v>
          </cell>
          <cell r="C511" t="str">
            <v>Alderman William Jones Primary School</v>
          </cell>
          <cell r="D511" t="str">
            <v>Redcar and Cleveland</v>
          </cell>
          <cell r="E511" t="str">
            <v>Community School</v>
          </cell>
          <cell r="F511" t="str">
            <v>Primary</v>
          </cell>
        </row>
        <row r="512">
          <cell r="A512">
            <v>3312000</v>
          </cell>
          <cell r="B512">
            <v>103638</v>
          </cell>
          <cell r="C512" t="str">
            <v>Aldermans Green Community Primary School</v>
          </cell>
          <cell r="D512" t="str">
            <v>Coventry</v>
          </cell>
          <cell r="E512" t="str">
            <v>Community School</v>
          </cell>
          <cell r="F512" t="str">
            <v>Primary</v>
          </cell>
        </row>
        <row r="513">
          <cell r="A513">
            <v>8693004</v>
          </cell>
          <cell r="B513">
            <v>109947</v>
          </cell>
          <cell r="C513" t="str">
            <v>Aldermaston C.E. Primary School</v>
          </cell>
          <cell r="D513" t="str">
            <v>West Berkshire</v>
          </cell>
          <cell r="E513" t="str">
            <v>Voluntary Controlled School</v>
          </cell>
          <cell r="F513" t="str">
            <v>Primary</v>
          </cell>
        </row>
        <row r="514">
          <cell r="A514">
            <v>8521003</v>
          </cell>
          <cell r="B514">
            <v>115832</v>
          </cell>
          <cell r="C514" t="str">
            <v>Aldermoor Early Years Centre</v>
          </cell>
          <cell r="D514" t="str">
            <v>Southampton</v>
          </cell>
          <cell r="E514" t="str">
            <v>LA Nursery School</v>
          </cell>
          <cell r="F514" t="str">
            <v>Nursery</v>
          </cell>
        </row>
        <row r="515">
          <cell r="A515">
            <v>3312104</v>
          </cell>
          <cell r="B515">
            <v>127118</v>
          </cell>
          <cell r="C515" t="str">
            <v>Aldermoor Farm Infant School</v>
          </cell>
          <cell r="D515" t="str">
            <v>Coventry</v>
          </cell>
          <cell r="E515" t="str">
            <v>Community School</v>
          </cell>
          <cell r="F515" t="str">
            <v>Primary</v>
          </cell>
        </row>
        <row r="516">
          <cell r="A516">
            <v>3312074</v>
          </cell>
          <cell r="B516">
            <v>127110</v>
          </cell>
          <cell r="C516" t="str">
            <v>Aldermoor Farm Junior School</v>
          </cell>
          <cell r="D516" t="str">
            <v>Coventry</v>
          </cell>
          <cell r="E516" t="str">
            <v>Community School</v>
          </cell>
          <cell r="F516" t="str">
            <v>Primary</v>
          </cell>
        </row>
        <row r="517">
          <cell r="A517">
            <v>3312131</v>
          </cell>
          <cell r="B517">
            <v>103681</v>
          </cell>
          <cell r="C517" t="str">
            <v>Aldermoor Farm Primary School</v>
          </cell>
          <cell r="D517" t="str">
            <v>Coventry</v>
          </cell>
          <cell r="E517" t="str">
            <v>Community School</v>
          </cell>
          <cell r="F517" t="str">
            <v>Primary</v>
          </cell>
        </row>
        <row r="518">
          <cell r="A518">
            <v>9172401</v>
          </cell>
          <cell r="B518">
            <v>128995</v>
          </cell>
          <cell r="C518" t="str">
            <v>Aldermoor First School</v>
          </cell>
          <cell r="D518" t="str">
            <v>Pre LGR (1997) Hampshire</v>
          </cell>
          <cell r="E518" t="str">
            <v>Community School</v>
          </cell>
          <cell r="F518" t="str">
            <v>Primary</v>
          </cell>
        </row>
        <row r="519">
          <cell r="A519">
            <v>9172400</v>
          </cell>
          <cell r="B519">
            <v>128994</v>
          </cell>
          <cell r="C519" t="str">
            <v>Aldermoor Middle School</v>
          </cell>
          <cell r="D519" t="str">
            <v>Pre LGR (1997) Hampshire</v>
          </cell>
          <cell r="E519" t="str">
            <v>Community School</v>
          </cell>
          <cell r="F519" t="str">
            <v>Middle Deemed Primary</v>
          </cell>
        </row>
        <row r="520">
          <cell r="A520">
            <v>8362166</v>
          </cell>
          <cell r="B520">
            <v>113696</v>
          </cell>
          <cell r="C520" t="str">
            <v>Alderney Middle School</v>
          </cell>
          <cell r="D520" t="str">
            <v>Poole</v>
          </cell>
          <cell r="E520" t="str">
            <v>Community School</v>
          </cell>
          <cell r="F520" t="str">
            <v>Middle Deemed Primary</v>
          </cell>
        </row>
        <row r="521">
          <cell r="A521">
            <v>3172042</v>
          </cell>
          <cell r="B521">
            <v>102823</v>
          </cell>
          <cell r="C521" t="str">
            <v>Aldersbrook Primary School</v>
          </cell>
          <cell r="D521" t="str">
            <v>Redbridge</v>
          </cell>
          <cell r="E521" t="str">
            <v>Community School</v>
          </cell>
          <cell r="F521" t="str">
            <v>Primary</v>
          </cell>
        </row>
        <row r="522">
          <cell r="A522">
            <v>3365402</v>
          </cell>
          <cell r="B522">
            <v>104404</v>
          </cell>
          <cell r="C522" t="str">
            <v>Aldersley High School</v>
          </cell>
          <cell r="D522" t="str">
            <v>Wolverhampton</v>
          </cell>
          <cell r="E522" t="str">
            <v>Foundation School</v>
          </cell>
          <cell r="F522" t="str">
            <v>Secondary</v>
          </cell>
        </row>
        <row r="523">
          <cell r="A523">
            <v>8306016</v>
          </cell>
          <cell r="B523">
            <v>113021</v>
          </cell>
          <cell r="C523" t="str">
            <v>Alderwasley Hall School</v>
          </cell>
          <cell r="D523" t="str">
            <v>Derbyshire</v>
          </cell>
          <cell r="E523" t="str">
            <v>Other Independent Special School</v>
          </cell>
          <cell r="F523" t="str">
            <v>Not applicable</v>
          </cell>
        </row>
        <row r="524">
          <cell r="A524">
            <v>9286068</v>
          </cell>
          <cell r="B524">
            <v>134832</v>
          </cell>
          <cell r="C524" t="str">
            <v>Alderwood</v>
          </cell>
          <cell r="D524" t="str">
            <v>Northamptonshire</v>
          </cell>
          <cell r="E524" t="str">
            <v>Other Independent Special School</v>
          </cell>
          <cell r="F524" t="str">
            <v>Not applicable</v>
          </cell>
        </row>
        <row r="525">
          <cell r="A525">
            <v>9351111</v>
          </cell>
          <cell r="B525">
            <v>134918</v>
          </cell>
          <cell r="C525" t="str">
            <v>Alderwood</v>
          </cell>
          <cell r="D525" t="str">
            <v>Suffolk</v>
          </cell>
          <cell r="E525" t="str">
            <v>Pupil Referral Unit</v>
          </cell>
          <cell r="F525" t="str">
            <v>PRU</v>
          </cell>
        </row>
        <row r="526">
          <cell r="A526">
            <v>3412190</v>
          </cell>
          <cell r="B526">
            <v>104597</v>
          </cell>
          <cell r="C526" t="str">
            <v>Alderwood Infant School</v>
          </cell>
          <cell r="D526" t="str">
            <v>Liverpool</v>
          </cell>
          <cell r="E526" t="str">
            <v>Community School</v>
          </cell>
          <cell r="F526" t="str">
            <v>Primary</v>
          </cell>
        </row>
        <row r="527">
          <cell r="A527">
            <v>3412225</v>
          </cell>
          <cell r="B527">
            <v>131458</v>
          </cell>
          <cell r="C527" t="str">
            <v>Alderwood Junior Mixed and Infant School</v>
          </cell>
          <cell r="D527" t="str">
            <v>Liverpool</v>
          </cell>
          <cell r="E527" t="str">
            <v>Community School</v>
          </cell>
          <cell r="F527" t="str">
            <v>Primary</v>
          </cell>
        </row>
        <row r="528">
          <cell r="A528">
            <v>3412168</v>
          </cell>
          <cell r="B528">
            <v>104590</v>
          </cell>
          <cell r="C528" t="str">
            <v>Alderwood Junior School</v>
          </cell>
          <cell r="D528" t="str">
            <v>Liverpool</v>
          </cell>
          <cell r="E528" t="str">
            <v>Community School</v>
          </cell>
          <cell r="F528" t="str">
            <v>Primary</v>
          </cell>
        </row>
        <row r="529">
          <cell r="A529">
            <v>2032024</v>
          </cell>
          <cell r="B529">
            <v>100112</v>
          </cell>
          <cell r="C529" t="str">
            <v>Alderwood Primary School</v>
          </cell>
          <cell r="D529" t="str">
            <v>Greenwich</v>
          </cell>
          <cell r="E529" t="str">
            <v>Community School</v>
          </cell>
          <cell r="F529" t="str">
            <v>Primary</v>
          </cell>
        </row>
        <row r="530">
          <cell r="A530">
            <v>373611</v>
          </cell>
          <cell r="B530">
            <v>128614</v>
          </cell>
          <cell r="C530" t="str">
            <v>Aldine House</v>
          </cell>
          <cell r="D530" t="str">
            <v>Sheffield</v>
          </cell>
          <cell r="E530" t="str">
            <v>Secure Units</v>
          </cell>
          <cell r="F530" t="str">
            <v>Not applicable</v>
          </cell>
        </row>
        <row r="531">
          <cell r="A531">
            <v>9382000</v>
          </cell>
          <cell r="B531">
            <v>125816</v>
          </cell>
          <cell r="C531" t="str">
            <v>Aldingbourne Primary School</v>
          </cell>
          <cell r="D531" t="str">
            <v>West Sussex</v>
          </cell>
          <cell r="E531" t="str">
            <v>Community School</v>
          </cell>
          <cell r="F531" t="str">
            <v>Primary</v>
          </cell>
        </row>
        <row r="532">
          <cell r="A532">
            <v>9093121</v>
          </cell>
          <cell r="B532">
            <v>128594</v>
          </cell>
          <cell r="C532" t="str">
            <v>Aldingham Parochial School</v>
          </cell>
          <cell r="D532" t="str">
            <v>Cumbria</v>
          </cell>
          <cell r="E532" t="str">
            <v>Voluntary Controlled School</v>
          </cell>
          <cell r="F532" t="str">
            <v>Primary</v>
          </cell>
        </row>
        <row r="533">
          <cell r="A533">
            <v>8862270</v>
          </cell>
          <cell r="B533">
            <v>118365</v>
          </cell>
          <cell r="C533" t="str">
            <v>Aldington Primary School</v>
          </cell>
          <cell r="D533" t="str">
            <v>Kent</v>
          </cell>
          <cell r="E533" t="str">
            <v>Community School</v>
          </cell>
          <cell r="F533" t="str">
            <v>Primary</v>
          </cell>
        </row>
        <row r="534">
          <cell r="A534">
            <v>3355405</v>
          </cell>
          <cell r="B534">
            <v>104263</v>
          </cell>
          <cell r="C534" t="str">
            <v>Aldridge School - A Science College</v>
          </cell>
          <cell r="D534" t="str">
            <v>Walsall</v>
          </cell>
          <cell r="E534" t="str">
            <v>Foundation School</v>
          </cell>
          <cell r="F534" t="str">
            <v>Secondary</v>
          </cell>
        </row>
        <row r="535">
          <cell r="A535">
            <v>8463328</v>
          </cell>
          <cell r="B535">
            <v>114555</v>
          </cell>
          <cell r="C535" t="str">
            <v>Aldrington CofE Primary School</v>
          </cell>
          <cell r="D535" t="str">
            <v>Brighton and Hove</v>
          </cell>
          <cell r="E535" t="str">
            <v>Voluntary Aided School</v>
          </cell>
          <cell r="F535" t="str">
            <v>Primary</v>
          </cell>
        </row>
        <row r="536">
          <cell r="A536">
            <v>9366110</v>
          </cell>
          <cell r="B536">
            <v>125368</v>
          </cell>
          <cell r="C536" t="str">
            <v>Aldro School</v>
          </cell>
          <cell r="D536" t="str">
            <v>Surrey</v>
          </cell>
          <cell r="E536" t="str">
            <v>Other Independent School</v>
          </cell>
          <cell r="F536" t="str">
            <v>Not applicable</v>
          </cell>
        </row>
        <row r="537">
          <cell r="A537">
            <v>8722116</v>
          </cell>
          <cell r="B537">
            <v>109850</v>
          </cell>
          <cell r="C537" t="str">
            <v>Aldryngton Primary School</v>
          </cell>
          <cell r="D537" t="str">
            <v>Wokingham</v>
          </cell>
          <cell r="E537" t="str">
            <v>Community School</v>
          </cell>
          <cell r="F537" t="str">
            <v>Primary</v>
          </cell>
        </row>
        <row r="538">
          <cell r="A538">
            <v>9196016</v>
          </cell>
          <cell r="B538">
            <v>117608</v>
          </cell>
          <cell r="C538" t="str">
            <v>Aldwickbury School</v>
          </cell>
          <cell r="D538" t="str">
            <v>Hertfordshire</v>
          </cell>
          <cell r="E538" t="str">
            <v>Other Independent School</v>
          </cell>
          <cell r="F538" t="str">
            <v>Not applicable</v>
          </cell>
        </row>
        <row r="539">
          <cell r="A539">
            <v>8504156</v>
          </cell>
          <cell r="B539">
            <v>116427</v>
          </cell>
          <cell r="C539" t="str">
            <v>Aldworth Science College</v>
          </cell>
          <cell r="D539" t="str">
            <v>Hampshire</v>
          </cell>
          <cell r="E539" t="str">
            <v>Community School</v>
          </cell>
          <cell r="F539" t="str">
            <v>Secondary</v>
          </cell>
        </row>
        <row r="540">
          <cell r="A540">
            <v>3572055</v>
          </cell>
          <cell r="B540">
            <v>106212</v>
          </cell>
          <cell r="C540" t="str">
            <v>Aldwyn Primary School</v>
          </cell>
          <cell r="D540" t="str">
            <v>Tameside</v>
          </cell>
          <cell r="E540" t="str">
            <v>Community School</v>
          </cell>
          <cell r="F540" t="str">
            <v>Primary</v>
          </cell>
        </row>
        <row r="541">
          <cell r="A541">
            <v>8814350</v>
          </cell>
          <cell r="B541">
            <v>115221</v>
          </cell>
          <cell r="C541" t="str">
            <v>Alec Hunter Humanities College</v>
          </cell>
          <cell r="D541" t="str">
            <v>Essex</v>
          </cell>
          <cell r="E541" t="str">
            <v>Community School</v>
          </cell>
          <cell r="F541" t="str">
            <v>Secondary</v>
          </cell>
        </row>
        <row r="542">
          <cell r="A542">
            <v>8262125</v>
          </cell>
          <cell r="B542">
            <v>110259</v>
          </cell>
          <cell r="C542" t="str">
            <v>Alex Campbell Middle School</v>
          </cell>
          <cell r="D542" t="str">
            <v>Milton Keynes</v>
          </cell>
          <cell r="E542" t="str">
            <v>Community School</v>
          </cell>
          <cell r="F542" t="str">
            <v>Middle Deemed Primary</v>
          </cell>
        </row>
        <row r="543">
          <cell r="A543">
            <v>8682155</v>
          </cell>
          <cell r="B543">
            <v>109884</v>
          </cell>
          <cell r="C543" t="str">
            <v>Alexander First School</v>
          </cell>
          <cell r="D543" t="str">
            <v>Windsor and Maidenhead</v>
          </cell>
          <cell r="E543" t="str">
            <v>Community School</v>
          </cell>
          <cell r="F543" t="str">
            <v>Primary</v>
          </cell>
        </row>
        <row r="544">
          <cell r="A544">
            <v>8942135</v>
          </cell>
          <cell r="B544">
            <v>123418</v>
          </cell>
          <cell r="C544" t="str">
            <v>Alexander Fleming Infant School</v>
          </cell>
          <cell r="D544" t="str">
            <v>Telford and Wrekin</v>
          </cell>
          <cell r="E544" t="str">
            <v>Community School</v>
          </cell>
          <cell r="F544" t="str">
            <v>Primary</v>
          </cell>
        </row>
        <row r="545">
          <cell r="A545">
            <v>8942134</v>
          </cell>
          <cell r="B545">
            <v>123417</v>
          </cell>
          <cell r="C545" t="str">
            <v>Alexander Fleming Junior School</v>
          </cell>
          <cell r="D545" t="str">
            <v>Telford and Wrekin</v>
          </cell>
          <cell r="E545" t="str">
            <v>Community School</v>
          </cell>
          <cell r="F545" t="str">
            <v>Primary</v>
          </cell>
        </row>
        <row r="546">
          <cell r="A546">
            <v>8032185</v>
          </cell>
          <cell r="B546">
            <v>109023</v>
          </cell>
          <cell r="C546" t="str">
            <v>Alexander Hosea Primary School</v>
          </cell>
          <cell r="D546" t="str">
            <v>South Gloucestershire</v>
          </cell>
          <cell r="E546" t="str">
            <v>Community School</v>
          </cell>
          <cell r="F546" t="str">
            <v>Primary</v>
          </cell>
        </row>
        <row r="547">
          <cell r="A547">
            <v>2032006</v>
          </cell>
          <cell r="B547">
            <v>100110</v>
          </cell>
          <cell r="C547" t="str">
            <v>Alexander McLeod Infant School</v>
          </cell>
          <cell r="D547" t="str">
            <v>Greenwich</v>
          </cell>
          <cell r="E547" t="str">
            <v>Community School</v>
          </cell>
          <cell r="F547" t="str">
            <v>Primary</v>
          </cell>
        </row>
        <row r="548">
          <cell r="A548">
            <v>2032005</v>
          </cell>
          <cell r="B548">
            <v>100109</v>
          </cell>
          <cell r="C548" t="str">
            <v>Alexander McLeod Junior School</v>
          </cell>
          <cell r="D548" t="str">
            <v>Greenwich</v>
          </cell>
          <cell r="E548" t="str">
            <v>Community School</v>
          </cell>
          <cell r="F548" t="str">
            <v>Primary</v>
          </cell>
        </row>
        <row r="549">
          <cell r="A549">
            <v>2032922</v>
          </cell>
          <cell r="B549">
            <v>131841</v>
          </cell>
          <cell r="C549" t="str">
            <v>Alexander McLeod Primary School</v>
          </cell>
          <cell r="D549" t="str">
            <v>Greenwich</v>
          </cell>
          <cell r="E549" t="str">
            <v>Community School</v>
          </cell>
          <cell r="F549" t="str">
            <v>Primary</v>
          </cell>
        </row>
        <row r="550">
          <cell r="A550">
            <v>9356227</v>
          </cell>
          <cell r="B550">
            <v>135765</v>
          </cell>
          <cell r="C550" t="str">
            <v>Alexanders International School</v>
          </cell>
          <cell r="D550" t="str">
            <v>Suffolk</v>
          </cell>
          <cell r="E550" t="str">
            <v>Other Independent School</v>
          </cell>
          <cell r="F550" t="str">
            <v>Not applicable</v>
          </cell>
        </row>
        <row r="551">
          <cell r="A551">
            <v>6652173</v>
          </cell>
          <cell r="B551">
            <v>400407</v>
          </cell>
          <cell r="C551" t="str">
            <v>Alexandra   School</v>
          </cell>
          <cell r="D551" t="str">
            <v>Wrexham</v>
          </cell>
          <cell r="E551" t="str">
            <v>Welsh Establishment</v>
          </cell>
          <cell r="F551" t="str">
            <v>Primary</v>
          </cell>
        </row>
        <row r="552">
          <cell r="A552">
            <v>3334025</v>
          </cell>
          <cell r="B552">
            <v>104008</v>
          </cell>
          <cell r="C552" t="str">
            <v>Alexandra High School and Sixth Form Centre</v>
          </cell>
          <cell r="D552" t="str">
            <v>Sandwell</v>
          </cell>
          <cell r="E552" t="str">
            <v>Foundation School</v>
          </cell>
          <cell r="F552" t="str">
            <v>Secondary</v>
          </cell>
        </row>
        <row r="553">
          <cell r="A553">
            <v>8866111</v>
          </cell>
          <cell r="B553">
            <v>131328</v>
          </cell>
          <cell r="C553" t="str">
            <v>Alexandra House</v>
          </cell>
          <cell r="D553" t="str">
            <v>Kent</v>
          </cell>
          <cell r="E553" t="str">
            <v>Other Independent Special School</v>
          </cell>
          <cell r="F553" t="str">
            <v>Not applicable</v>
          </cell>
        </row>
        <row r="554">
          <cell r="A554">
            <v>3052001</v>
          </cell>
          <cell r="B554">
            <v>101586</v>
          </cell>
          <cell r="C554" t="str">
            <v>Alexandra Infant School</v>
          </cell>
          <cell r="D554" t="str">
            <v>Bromley</v>
          </cell>
          <cell r="E554" t="str">
            <v>Community School</v>
          </cell>
          <cell r="F554" t="str">
            <v>Primary</v>
          </cell>
        </row>
        <row r="555">
          <cell r="A555">
            <v>3092001</v>
          </cell>
          <cell r="B555">
            <v>102077</v>
          </cell>
          <cell r="C555" t="str">
            <v>Alexandra Infant School</v>
          </cell>
          <cell r="D555" t="str">
            <v>Haringey</v>
          </cell>
          <cell r="E555" t="str">
            <v>Community School</v>
          </cell>
          <cell r="F555" t="str">
            <v>Primary</v>
          </cell>
        </row>
        <row r="556">
          <cell r="A556">
            <v>3142031</v>
          </cell>
          <cell r="B556">
            <v>102578</v>
          </cell>
          <cell r="C556" t="str">
            <v>Alexandra Infant School</v>
          </cell>
          <cell r="D556" t="str">
            <v>Kingston upon Thames</v>
          </cell>
          <cell r="E556" t="str">
            <v>Community School</v>
          </cell>
          <cell r="F556" t="str">
            <v>Primary</v>
          </cell>
        </row>
        <row r="557">
          <cell r="A557">
            <v>8612082</v>
          </cell>
          <cell r="B557">
            <v>124011</v>
          </cell>
          <cell r="C557" t="str">
            <v>Alexandra Infants' School</v>
          </cell>
          <cell r="D557" t="str">
            <v>Stoke-on-Trent</v>
          </cell>
          <cell r="E557" t="str">
            <v>Community School</v>
          </cell>
          <cell r="F557" t="str">
            <v>Primary</v>
          </cell>
        </row>
        <row r="558">
          <cell r="A558">
            <v>3052000</v>
          </cell>
          <cell r="B558">
            <v>101585</v>
          </cell>
          <cell r="C558" t="str">
            <v>Alexandra Junior School</v>
          </cell>
          <cell r="D558" t="str">
            <v>Bromley</v>
          </cell>
          <cell r="E558" t="str">
            <v>Community School</v>
          </cell>
          <cell r="F558" t="str">
            <v>Primary</v>
          </cell>
        </row>
        <row r="559">
          <cell r="A559">
            <v>3092000</v>
          </cell>
          <cell r="B559">
            <v>102076</v>
          </cell>
          <cell r="C559" t="str">
            <v>Alexandra Junior School</v>
          </cell>
          <cell r="D559" t="str">
            <v>Haringey</v>
          </cell>
          <cell r="E559" t="str">
            <v>Community School</v>
          </cell>
          <cell r="F559" t="str">
            <v>Primary</v>
          </cell>
        </row>
        <row r="560">
          <cell r="A560">
            <v>3132000</v>
          </cell>
          <cell r="B560">
            <v>102468</v>
          </cell>
          <cell r="C560" t="str">
            <v>Alexandra Junior School</v>
          </cell>
          <cell r="D560" t="str">
            <v>Hounslow</v>
          </cell>
          <cell r="E560" t="str">
            <v>Community School</v>
          </cell>
          <cell r="F560" t="str">
            <v>Primary</v>
          </cell>
        </row>
        <row r="561">
          <cell r="A561">
            <v>8612119</v>
          </cell>
          <cell r="B561">
            <v>124033</v>
          </cell>
          <cell r="C561" t="str">
            <v>Alexandra Junior School</v>
          </cell>
          <cell r="D561" t="str">
            <v>Stoke-on-Trent</v>
          </cell>
          <cell r="E561" t="str">
            <v>Community School</v>
          </cell>
          <cell r="F561" t="str">
            <v>Primary</v>
          </cell>
        </row>
        <row r="562">
          <cell r="A562">
            <v>3132001</v>
          </cell>
          <cell r="B562">
            <v>102469</v>
          </cell>
          <cell r="C562" t="str">
            <v>Alexandra Nursery and Infant School</v>
          </cell>
          <cell r="D562" t="str">
            <v>Hounslow</v>
          </cell>
          <cell r="E562" t="str">
            <v>Community School</v>
          </cell>
          <cell r="F562" t="str">
            <v>Primary</v>
          </cell>
        </row>
        <row r="563">
          <cell r="A563">
            <v>3501002</v>
          </cell>
          <cell r="B563">
            <v>105142</v>
          </cell>
          <cell r="C563" t="str">
            <v>Alexandra Nursery School</v>
          </cell>
          <cell r="D563" t="str">
            <v>Bolton</v>
          </cell>
          <cell r="E563" t="str">
            <v>LA Nursery School</v>
          </cell>
          <cell r="F563" t="str">
            <v>Nursery</v>
          </cell>
        </row>
        <row r="564">
          <cell r="A564">
            <v>3562001</v>
          </cell>
          <cell r="B564">
            <v>106025</v>
          </cell>
          <cell r="C564" t="str">
            <v>Alexandra Park Infant School</v>
          </cell>
          <cell r="D564" t="str">
            <v>Stockport</v>
          </cell>
          <cell r="E564" t="str">
            <v>Community School</v>
          </cell>
          <cell r="F564" t="str">
            <v>Primary</v>
          </cell>
        </row>
        <row r="565">
          <cell r="A565">
            <v>3532000</v>
          </cell>
          <cell r="B565">
            <v>105626</v>
          </cell>
          <cell r="C565" t="str">
            <v>Alexandra Park Junior School</v>
          </cell>
          <cell r="D565" t="str">
            <v>Oldham</v>
          </cell>
          <cell r="E565" t="str">
            <v>Community School</v>
          </cell>
          <cell r="F565" t="str">
            <v>Primary</v>
          </cell>
        </row>
        <row r="566">
          <cell r="A566">
            <v>3562002</v>
          </cell>
          <cell r="B566">
            <v>106026</v>
          </cell>
          <cell r="C566" t="str">
            <v>Alexandra Park Junior School</v>
          </cell>
          <cell r="D566" t="str">
            <v>Stockport</v>
          </cell>
          <cell r="E566" t="str">
            <v>Community School</v>
          </cell>
          <cell r="F566" t="str">
            <v>Primary</v>
          </cell>
        </row>
        <row r="567">
          <cell r="A567">
            <v>3562284</v>
          </cell>
          <cell r="B567">
            <v>135746</v>
          </cell>
          <cell r="C567" t="str">
            <v>Alexandra Park Primary School</v>
          </cell>
          <cell r="D567" t="str">
            <v>Stockport</v>
          </cell>
          <cell r="E567" t="str">
            <v>Community School</v>
          </cell>
          <cell r="F567" t="str">
            <v>Primary</v>
          </cell>
        </row>
        <row r="568">
          <cell r="A568">
            <v>3094036</v>
          </cell>
          <cell r="B568">
            <v>131758</v>
          </cell>
          <cell r="C568" t="str">
            <v>Alexandra Park School</v>
          </cell>
          <cell r="D568" t="str">
            <v>Haringey</v>
          </cell>
          <cell r="E568" t="str">
            <v>Community School</v>
          </cell>
          <cell r="F568" t="str">
            <v>Secondary</v>
          </cell>
        </row>
        <row r="569">
          <cell r="A569">
            <v>3094036</v>
          </cell>
          <cell r="B569">
            <v>137531</v>
          </cell>
          <cell r="C569" t="str">
            <v>Alexandra Park School</v>
          </cell>
          <cell r="D569" t="str">
            <v>Haringey</v>
          </cell>
          <cell r="E569" t="str">
            <v>Academy Converters</v>
          </cell>
          <cell r="F569" t="str">
            <v>Secondary</v>
          </cell>
        </row>
        <row r="570">
          <cell r="A570">
            <v>3092078</v>
          </cell>
          <cell r="B570">
            <v>130358</v>
          </cell>
          <cell r="C570" t="str">
            <v>Alexandra Primary School</v>
          </cell>
          <cell r="D570" t="str">
            <v>Haringey</v>
          </cell>
          <cell r="E570" t="str">
            <v>Community School</v>
          </cell>
          <cell r="F570" t="str">
            <v>Primary</v>
          </cell>
        </row>
        <row r="571">
          <cell r="A571">
            <v>3902002</v>
          </cell>
          <cell r="B571">
            <v>128094</v>
          </cell>
          <cell r="C571" t="str">
            <v>Alexandra Road Infant School</v>
          </cell>
          <cell r="D571" t="str">
            <v>Gateshead</v>
          </cell>
          <cell r="E571" t="str">
            <v>Community School</v>
          </cell>
          <cell r="F571" t="str">
            <v>Primary</v>
          </cell>
        </row>
        <row r="572">
          <cell r="A572">
            <v>3107004</v>
          </cell>
          <cell r="B572">
            <v>102262</v>
          </cell>
          <cell r="C572" t="str">
            <v>Alexandra School</v>
          </cell>
          <cell r="D572" t="str">
            <v>Harrow</v>
          </cell>
          <cell r="E572" t="str">
            <v>Community Special School</v>
          </cell>
          <cell r="F572" t="str">
            <v>Special</v>
          </cell>
        </row>
        <row r="573">
          <cell r="A573">
            <v>9202783</v>
          </cell>
          <cell r="B573">
            <v>129240</v>
          </cell>
          <cell r="C573" t="str">
            <v>Alexandra Street First School</v>
          </cell>
          <cell r="D573" t="str">
            <v>Pre LGR (1996) Humberside</v>
          </cell>
          <cell r="E573" t="str">
            <v>Community School</v>
          </cell>
          <cell r="F573" t="str">
            <v>Primary</v>
          </cell>
        </row>
        <row r="574">
          <cell r="A574">
            <v>3547012</v>
          </cell>
          <cell r="B574">
            <v>105865</v>
          </cell>
          <cell r="C574" t="str">
            <v>Alf Kaufman School</v>
          </cell>
          <cell r="D574" t="str">
            <v>Rochdale</v>
          </cell>
          <cell r="E574" t="str">
            <v>Community Special School</v>
          </cell>
          <cell r="F574" t="str">
            <v>Special</v>
          </cell>
        </row>
        <row r="575">
          <cell r="A575">
            <v>2046410</v>
          </cell>
          <cell r="B575">
            <v>133449</v>
          </cell>
          <cell r="C575" t="str">
            <v>Al-Falah Primary School</v>
          </cell>
          <cell r="D575" t="str">
            <v>Hackney</v>
          </cell>
          <cell r="E575" t="str">
            <v>Other Independent School</v>
          </cell>
          <cell r="F575" t="str">
            <v>Not applicable</v>
          </cell>
        </row>
        <row r="576">
          <cell r="A576">
            <v>9362002</v>
          </cell>
          <cell r="B576">
            <v>130009</v>
          </cell>
          <cell r="C576" t="str">
            <v>Alfold First School</v>
          </cell>
          <cell r="D576" t="str">
            <v>Surrey</v>
          </cell>
          <cell r="E576" t="str">
            <v>Community School</v>
          </cell>
          <cell r="F576" t="str">
            <v>Primary</v>
          </cell>
        </row>
        <row r="577">
          <cell r="A577">
            <v>9252142</v>
          </cell>
          <cell r="B577">
            <v>120440</v>
          </cell>
          <cell r="C577" t="str">
            <v>Alford Primary School</v>
          </cell>
          <cell r="D577" t="str">
            <v>Lincolnshire</v>
          </cell>
          <cell r="E577" t="str">
            <v>Community School</v>
          </cell>
          <cell r="F577" t="str">
            <v>Primary</v>
          </cell>
        </row>
        <row r="578">
          <cell r="A578">
            <v>3152050</v>
          </cell>
          <cell r="B578">
            <v>102624</v>
          </cell>
          <cell r="C578" t="str">
            <v>Alfred Mizen First School</v>
          </cell>
          <cell r="D578" t="str">
            <v>Merton</v>
          </cell>
          <cell r="E578" t="str">
            <v>Community School</v>
          </cell>
          <cell r="F578" t="str">
            <v>Primary</v>
          </cell>
        </row>
        <row r="579">
          <cell r="A579">
            <v>2102853</v>
          </cell>
          <cell r="B579">
            <v>100819</v>
          </cell>
          <cell r="C579" t="str">
            <v>Alfred Salter Primary School</v>
          </cell>
          <cell r="D579" t="str">
            <v>Southwark</v>
          </cell>
          <cell r="E579" t="str">
            <v>Community School</v>
          </cell>
          <cell r="F579" t="str">
            <v>Primary</v>
          </cell>
        </row>
        <row r="580">
          <cell r="A580">
            <v>9282082</v>
          </cell>
          <cell r="B580">
            <v>121857</v>
          </cell>
          <cell r="C580" t="str">
            <v>Alfred Street Junior School, Rushden</v>
          </cell>
          <cell r="D580" t="str">
            <v>Northamptonshire</v>
          </cell>
          <cell r="E580" t="str">
            <v>Community School</v>
          </cell>
          <cell r="F580" t="str">
            <v>Primary</v>
          </cell>
        </row>
        <row r="581">
          <cell r="A581">
            <v>8702000</v>
          </cell>
          <cell r="B581">
            <v>109776</v>
          </cell>
          <cell r="C581" t="str">
            <v>Alfred Sutton Primary School</v>
          </cell>
          <cell r="D581" t="str">
            <v>Reading</v>
          </cell>
          <cell r="E581" t="str">
            <v>Community School</v>
          </cell>
          <cell r="F581" t="str">
            <v>Primary</v>
          </cell>
        </row>
        <row r="582">
          <cell r="A582">
            <v>8304001</v>
          </cell>
          <cell r="B582">
            <v>112931</v>
          </cell>
          <cell r="C582" t="str">
            <v>Alfreton Grange Arts College</v>
          </cell>
          <cell r="D582" t="str">
            <v>Derbyshire</v>
          </cell>
          <cell r="E582" t="str">
            <v>Community School</v>
          </cell>
          <cell r="F582" t="str">
            <v>Secondary</v>
          </cell>
        </row>
        <row r="583">
          <cell r="A583">
            <v>8301020</v>
          </cell>
          <cell r="B583">
            <v>112485</v>
          </cell>
          <cell r="C583" t="str">
            <v>Alfreton Nursery School</v>
          </cell>
          <cell r="D583" t="str">
            <v>Derbyshire</v>
          </cell>
          <cell r="E583" t="str">
            <v>LA Nursery School</v>
          </cell>
          <cell r="F583" t="str">
            <v>Nursery</v>
          </cell>
        </row>
        <row r="584">
          <cell r="A584">
            <v>8307018</v>
          </cell>
          <cell r="B584">
            <v>113040</v>
          </cell>
          <cell r="C584" t="str">
            <v>Alfreton Park Community Special School</v>
          </cell>
          <cell r="D584" t="str">
            <v>Derbyshire</v>
          </cell>
          <cell r="E584" t="str">
            <v>Community Special School</v>
          </cell>
          <cell r="F584" t="str">
            <v>Special</v>
          </cell>
        </row>
        <row r="585">
          <cell r="A585">
            <v>8257003</v>
          </cell>
          <cell r="B585">
            <v>110573</v>
          </cell>
          <cell r="C585" t="str">
            <v>Alfriston School</v>
          </cell>
          <cell r="D585" t="str">
            <v>Buckinghamshire</v>
          </cell>
          <cell r="E585" t="str">
            <v>Community Special School</v>
          </cell>
          <cell r="F585" t="str">
            <v>Special</v>
          </cell>
        </row>
        <row r="586">
          <cell r="A586">
            <v>8452050</v>
          </cell>
          <cell r="B586">
            <v>114385</v>
          </cell>
          <cell r="C586" t="str">
            <v>Alfriston School</v>
          </cell>
          <cell r="D586" t="str">
            <v>East Sussex</v>
          </cell>
          <cell r="E586" t="str">
            <v>Community School</v>
          </cell>
          <cell r="F586" t="str">
            <v>Primary</v>
          </cell>
        </row>
        <row r="587">
          <cell r="A587">
            <v>3826019</v>
          </cell>
          <cell r="B587">
            <v>131131</v>
          </cell>
          <cell r="C587" t="str">
            <v>Al-Furqaan Preparatory School</v>
          </cell>
          <cell r="D587" t="str">
            <v>Kirklees</v>
          </cell>
          <cell r="E587" t="str">
            <v>Other Independent School</v>
          </cell>
          <cell r="F587" t="str">
            <v>Not applicable</v>
          </cell>
        </row>
        <row r="588">
          <cell r="A588">
            <v>3306029</v>
          </cell>
          <cell r="B588">
            <v>136063</v>
          </cell>
          <cell r="C588" t="str">
            <v>Al-Furqan Community College (Boys)</v>
          </cell>
          <cell r="D588" t="str">
            <v>Birmingham</v>
          </cell>
          <cell r="E588" t="str">
            <v>Other Independent School</v>
          </cell>
          <cell r="F588" t="str">
            <v>Not applicable</v>
          </cell>
        </row>
        <row r="589">
          <cell r="A589">
            <v>3306084</v>
          </cell>
          <cell r="B589">
            <v>103592</v>
          </cell>
          <cell r="C589" t="str">
            <v>Al-Furqan Community College (Girls)</v>
          </cell>
          <cell r="D589" t="str">
            <v>Birmingham</v>
          </cell>
          <cell r="E589" t="str">
            <v>Other Independent School</v>
          </cell>
          <cell r="F589" t="str">
            <v>Not applicable</v>
          </cell>
        </row>
        <row r="590">
          <cell r="A590">
            <v>3305949</v>
          </cell>
          <cell r="B590">
            <v>131465</v>
          </cell>
          <cell r="C590" t="str">
            <v>Al-Furqan Primary School</v>
          </cell>
          <cell r="D590" t="str">
            <v>Birmingham</v>
          </cell>
          <cell r="E590" t="str">
            <v>Voluntary Aided School</v>
          </cell>
          <cell r="F590" t="str">
            <v>Primary</v>
          </cell>
        </row>
        <row r="591">
          <cell r="A591">
            <v>3016003</v>
          </cell>
          <cell r="B591">
            <v>136746</v>
          </cell>
          <cell r="C591" t="str">
            <v>Al-Futuwwa School</v>
          </cell>
          <cell r="D591" t="str">
            <v>Barking and Dagenham</v>
          </cell>
          <cell r="E591" t="str">
            <v>Other Independent School</v>
          </cell>
          <cell r="F591" t="str">
            <v>Not applicable</v>
          </cell>
        </row>
        <row r="592">
          <cell r="A592">
            <v>3306082</v>
          </cell>
          <cell r="B592">
            <v>103590</v>
          </cell>
          <cell r="C592" t="str">
            <v>Al-Hijrah School</v>
          </cell>
          <cell r="D592" t="str">
            <v>Birmingham</v>
          </cell>
          <cell r="E592" t="str">
            <v>Other Independent School</v>
          </cell>
          <cell r="F592" t="str">
            <v>Not applicable</v>
          </cell>
        </row>
        <row r="593">
          <cell r="A593">
            <v>3304334</v>
          </cell>
          <cell r="B593">
            <v>133306</v>
          </cell>
          <cell r="C593" t="str">
            <v>Al-Hijrah Secondary School</v>
          </cell>
          <cell r="D593" t="str">
            <v>Birmingham</v>
          </cell>
          <cell r="E593" t="str">
            <v>Voluntary Aided School</v>
          </cell>
          <cell r="F593" t="str">
            <v>Secondary</v>
          </cell>
        </row>
        <row r="594">
          <cell r="A594">
            <v>3306095</v>
          </cell>
          <cell r="B594">
            <v>131413</v>
          </cell>
          <cell r="C594" t="str">
            <v>Al-Hira School</v>
          </cell>
          <cell r="D594" t="str">
            <v>Birmingham</v>
          </cell>
          <cell r="E594" t="str">
            <v>Other Independent School</v>
          </cell>
          <cell r="F594" t="str">
            <v>Not applicable</v>
          </cell>
        </row>
        <row r="595">
          <cell r="A595">
            <v>3417003</v>
          </cell>
          <cell r="B595">
            <v>127328</v>
          </cell>
          <cell r="C595" t="str">
            <v>Alice Elliott School for Deaf Children</v>
          </cell>
          <cell r="D595" t="str">
            <v>Liverpool</v>
          </cell>
          <cell r="E595" t="str">
            <v>Community Special School</v>
          </cell>
          <cell r="F595" t="str">
            <v>Special</v>
          </cell>
        </row>
        <row r="596">
          <cell r="A596">
            <v>8121104</v>
          </cell>
          <cell r="B596">
            <v>117705</v>
          </cell>
          <cell r="C596" t="str">
            <v>Alice House</v>
          </cell>
          <cell r="D596" t="str">
            <v>North East Lincolnshire</v>
          </cell>
          <cell r="E596" t="str">
            <v>Pupil Referral Unit</v>
          </cell>
          <cell r="F596" t="str">
            <v>PRU</v>
          </cell>
        </row>
        <row r="597">
          <cell r="A597">
            <v>3543509</v>
          </cell>
          <cell r="B597">
            <v>105832</v>
          </cell>
          <cell r="C597" t="str">
            <v>Alice Ingham Roman Catholic Primary School</v>
          </cell>
          <cell r="D597" t="str">
            <v>Rochdale</v>
          </cell>
          <cell r="E597" t="str">
            <v>Voluntary Aided School</v>
          </cell>
          <cell r="F597" t="str">
            <v>Primary</v>
          </cell>
        </row>
        <row r="598">
          <cell r="A598">
            <v>2111040</v>
          </cell>
          <cell r="B598">
            <v>100887</v>
          </cell>
          <cell r="C598" t="str">
            <v>Alice Model Nursery School</v>
          </cell>
          <cell r="D598" t="str">
            <v>Tower Hamlets</v>
          </cell>
          <cell r="E598" t="str">
            <v>LA Nursery School</v>
          </cell>
          <cell r="F598" t="str">
            <v>Nursery</v>
          </cell>
        </row>
        <row r="599">
          <cell r="A599">
            <v>3317004</v>
          </cell>
          <cell r="B599">
            <v>103756</v>
          </cell>
          <cell r="C599" t="str">
            <v>Alice Stevens School</v>
          </cell>
          <cell r="D599" t="str">
            <v>Coventry</v>
          </cell>
          <cell r="E599" t="str">
            <v>Community Special School</v>
          </cell>
          <cell r="F599" t="str">
            <v>Special</v>
          </cell>
        </row>
        <row r="600">
          <cell r="A600">
            <v>3166001</v>
          </cell>
          <cell r="B600">
            <v>137506</v>
          </cell>
          <cell r="C600" t="str">
            <v>Alif Academy</v>
          </cell>
          <cell r="D600" t="str">
            <v>Newham</v>
          </cell>
          <cell r="E600" t="str">
            <v>Other Independent School</v>
          </cell>
          <cell r="F600" t="str">
            <v>Not applicable</v>
          </cell>
        </row>
        <row r="601">
          <cell r="A601">
            <v>8566006</v>
          </cell>
          <cell r="B601">
            <v>136823</v>
          </cell>
          <cell r="C601" t="str">
            <v>Al-Ihsaan Community College</v>
          </cell>
          <cell r="D601" t="str">
            <v>Leicester</v>
          </cell>
          <cell r="E601" t="str">
            <v>Other Independent School</v>
          </cell>
          <cell r="F601" t="str">
            <v>Not applicable</v>
          </cell>
        </row>
        <row r="602">
          <cell r="A602">
            <v>8886042</v>
          </cell>
          <cell r="B602">
            <v>136098</v>
          </cell>
          <cell r="C602" t="str">
            <v>Al-Ikhlaas Primary School</v>
          </cell>
          <cell r="D602" t="str">
            <v>Lancashire</v>
          </cell>
          <cell r="E602" t="str">
            <v>Other Independent School</v>
          </cell>
          <cell r="F602" t="str">
            <v>Not applicable</v>
          </cell>
        </row>
        <row r="603">
          <cell r="A603">
            <v>8566020</v>
          </cell>
          <cell r="B603">
            <v>135390</v>
          </cell>
          <cell r="C603" t="str">
            <v>Al-Islamia Institute for Education</v>
          </cell>
          <cell r="D603" t="str">
            <v>Leicester</v>
          </cell>
          <cell r="E603" t="str">
            <v>Other Independent School</v>
          </cell>
          <cell r="F603" t="str">
            <v>Not applicable</v>
          </cell>
        </row>
        <row r="604">
          <cell r="A604">
            <v>8132100</v>
          </cell>
          <cell r="B604">
            <v>117725</v>
          </cell>
          <cell r="C604" t="str">
            <v>Alkborough Primary School</v>
          </cell>
          <cell r="D604" t="str">
            <v>North Lincolnshire</v>
          </cell>
          <cell r="E604" t="str">
            <v>Community School</v>
          </cell>
          <cell r="F604" t="str">
            <v>Primary</v>
          </cell>
        </row>
        <row r="605">
          <cell r="A605">
            <v>3066096</v>
          </cell>
          <cell r="B605">
            <v>134585</v>
          </cell>
          <cell r="C605" t="str">
            <v>Al-Khair School</v>
          </cell>
          <cell r="D605" t="str">
            <v>Croydon</v>
          </cell>
          <cell r="E605" t="str">
            <v>Other Independent School</v>
          </cell>
          <cell r="F605" t="str">
            <v>Not applicable</v>
          </cell>
        </row>
        <row r="606">
          <cell r="A606">
            <v>3542051</v>
          </cell>
          <cell r="B606">
            <v>105794</v>
          </cell>
          <cell r="C606" t="str">
            <v>Alkrington Moss Primary School</v>
          </cell>
          <cell r="D606" t="str">
            <v>Rochdale</v>
          </cell>
          <cell r="E606" t="str">
            <v>Community School</v>
          </cell>
          <cell r="F606" t="str">
            <v>Primary</v>
          </cell>
        </row>
        <row r="607">
          <cell r="A607">
            <v>3542039</v>
          </cell>
          <cell r="B607">
            <v>105786</v>
          </cell>
          <cell r="C607" t="str">
            <v>Alkrington Primary School</v>
          </cell>
          <cell r="D607" t="str">
            <v>Rochdale</v>
          </cell>
          <cell r="E607" t="str">
            <v>Community School</v>
          </cell>
          <cell r="F607" t="str">
            <v>Primary</v>
          </cell>
        </row>
        <row r="608">
          <cell r="A608">
            <v>8653000</v>
          </cell>
          <cell r="B608">
            <v>126296</v>
          </cell>
          <cell r="C608" t="str">
            <v>All Cannings Church of England Primary School</v>
          </cell>
          <cell r="D608" t="str">
            <v>Wiltshire</v>
          </cell>
          <cell r="E608" t="str">
            <v>Voluntary Controlled School</v>
          </cell>
          <cell r="F608" t="str">
            <v>Primary</v>
          </cell>
        </row>
        <row r="609">
          <cell r="A609">
            <v>8872600</v>
          </cell>
          <cell r="B609">
            <v>118532</v>
          </cell>
          <cell r="C609" t="str">
            <v>All Faiths' Children's Community School</v>
          </cell>
          <cell r="D609" t="str">
            <v>Medway</v>
          </cell>
          <cell r="E609" t="str">
            <v>Community School</v>
          </cell>
          <cell r="F609" t="str">
            <v>Primary</v>
          </cell>
        </row>
        <row r="610">
          <cell r="A610">
            <v>8954801</v>
          </cell>
          <cell r="B610">
            <v>111458</v>
          </cell>
          <cell r="C610" t="str">
            <v>All Hallows Catholic College</v>
          </cell>
          <cell r="D610" t="str">
            <v>Cheshire East</v>
          </cell>
          <cell r="E610" t="str">
            <v>Voluntary Aided School</v>
          </cell>
          <cell r="F610" t="str">
            <v>Secondary</v>
          </cell>
        </row>
        <row r="611">
          <cell r="A611">
            <v>8884741</v>
          </cell>
          <cell r="B611">
            <v>119802</v>
          </cell>
          <cell r="C611" t="str">
            <v>All Hallows Catholic High School</v>
          </cell>
          <cell r="D611" t="str">
            <v>Lancashire</v>
          </cell>
          <cell r="E611" t="str">
            <v>Voluntary Aided School</v>
          </cell>
          <cell r="F611" t="str">
            <v>Secondary</v>
          </cell>
        </row>
        <row r="612">
          <cell r="A612">
            <v>9365415</v>
          </cell>
          <cell r="B612">
            <v>125315</v>
          </cell>
          <cell r="C612" t="str">
            <v>All Hallows Catholic School</v>
          </cell>
          <cell r="D612" t="str">
            <v>Surrey</v>
          </cell>
          <cell r="E612" t="str">
            <v>Voluntary Aided School</v>
          </cell>
          <cell r="F612" t="str">
            <v>Secondary</v>
          </cell>
        </row>
        <row r="613">
          <cell r="A613">
            <v>8913018</v>
          </cell>
          <cell r="B613">
            <v>122743</v>
          </cell>
          <cell r="C613" t="str">
            <v>All Hallows CofE Primary School</v>
          </cell>
          <cell r="D613" t="str">
            <v>Nottinghamshire</v>
          </cell>
          <cell r="E613" t="str">
            <v>Voluntary Controlled School</v>
          </cell>
          <cell r="F613" t="str">
            <v>Primary</v>
          </cell>
        </row>
        <row r="614">
          <cell r="A614">
            <v>9093001</v>
          </cell>
          <cell r="B614">
            <v>128587</v>
          </cell>
          <cell r="C614" t="str">
            <v>All Hallows CofE Primary School</v>
          </cell>
          <cell r="D614" t="str">
            <v>Cumbria</v>
          </cell>
          <cell r="E614" t="str">
            <v>Voluntary Controlled School</v>
          </cell>
          <cell r="F614" t="str">
            <v>Primary</v>
          </cell>
        </row>
        <row r="615">
          <cell r="A615">
            <v>3554620</v>
          </cell>
          <cell r="B615">
            <v>131512</v>
          </cell>
          <cell r="C615" t="str">
            <v>All Hallows RC Business and Enterprise College</v>
          </cell>
          <cell r="D615" t="str">
            <v>Salford</v>
          </cell>
          <cell r="E615" t="str">
            <v>Voluntary Aided School</v>
          </cell>
          <cell r="F615" t="str">
            <v>Secondary</v>
          </cell>
        </row>
        <row r="616">
          <cell r="A616">
            <v>3414789</v>
          </cell>
          <cell r="B616">
            <v>104711</v>
          </cell>
          <cell r="C616" t="str">
            <v>All Hallows RC High School</v>
          </cell>
          <cell r="D616" t="str">
            <v>Liverpool</v>
          </cell>
          <cell r="E616" t="str">
            <v>Voluntary Aided School</v>
          </cell>
          <cell r="F616" t="str">
            <v>Secondary</v>
          </cell>
        </row>
        <row r="617">
          <cell r="A617">
            <v>9336019</v>
          </cell>
          <cell r="B617">
            <v>123909</v>
          </cell>
          <cell r="C617" t="str">
            <v>All Hallows School</v>
          </cell>
          <cell r="D617" t="str">
            <v>Somerset</v>
          </cell>
          <cell r="E617" t="str">
            <v>Other Independent School</v>
          </cell>
          <cell r="F617" t="str">
            <v>Not applicable</v>
          </cell>
        </row>
        <row r="618">
          <cell r="A618">
            <v>9266001</v>
          </cell>
          <cell r="B618">
            <v>129631</v>
          </cell>
          <cell r="C618" t="str">
            <v>All Hallows School</v>
          </cell>
          <cell r="D618" t="str">
            <v>Norfolk</v>
          </cell>
          <cell r="E618" t="str">
            <v>Other Independent School</v>
          </cell>
          <cell r="F618" t="str">
            <v>Not applicable</v>
          </cell>
        </row>
        <row r="619">
          <cell r="A619">
            <v>8236905</v>
          </cell>
          <cell r="B619">
            <v>135946</v>
          </cell>
          <cell r="C619" t="str">
            <v>All Saints Academy Dunstable</v>
          </cell>
          <cell r="D619" t="str">
            <v>Central Bedfordshire</v>
          </cell>
          <cell r="E619" t="str">
            <v>Academy Sponsor Led</v>
          </cell>
          <cell r="F619" t="str">
            <v>Middle Deemed Secondary</v>
          </cell>
        </row>
        <row r="620">
          <cell r="A620">
            <v>8453327</v>
          </cell>
          <cell r="B620">
            <v>114554</v>
          </cell>
          <cell r="C620" t="str">
            <v>All Saints' and St Richard's Church of England Primary School</v>
          </cell>
          <cell r="D620" t="str">
            <v>East Sussex</v>
          </cell>
          <cell r="E620" t="str">
            <v>Voluntary Aided School</v>
          </cell>
          <cell r="F620" t="str">
            <v>Primary</v>
          </cell>
        </row>
        <row r="621">
          <cell r="A621">
            <v>8913539</v>
          </cell>
          <cell r="B621">
            <v>122799</v>
          </cell>
          <cell r="C621" t="str">
            <v>All Saints Anglican/Methodist Primary School</v>
          </cell>
          <cell r="D621" t="str">
            <v>Nottinghamshire</v>
          </cell>
          <cell r="E621" t="str">
            <v>Voluntary Aided School</v>
          </cell>
          <cell r="F621" t="str">
            <v>Primary</v>
          </cell>
        </row>
        <row r="622">
          <cell r="A622">
            <v>8803615</v>
          </cell>
          <cell r="B622">
            <v>113472</v>
          </cell>
          <cell r="C622" t="str">
            <v>All Saints Babbacombe CofE Primary School</v>
          </cell>
          <cell r="D622" t="str">
            <v>Torbay</v>
          </cell>
          <cell r="E622" t="str">
            <v>Voluntary Aided School</v>
          </cell>
          <cell r="F622" t="str">
            <v>Primary</v>
          </cell>
        </row>
        <row r="623">
          <cell r="A623">
            <v>3193301</v>
          </cell>
          <cell r="B623">
            <v>102990</v>
          </cell>
          <cell r="C623" t="str">
            <v>All Saints Benhilton CofE Primary School</v>
          </cell>
          <cell r="D623" t="str">
            <v>Sutton</v>
          </cell>
          <cell r="E623" t="str">
            <v>Voluntary Aided School</v>
          </cell>
          <cell r="F623" t="str">
            <v>Primary</v>
          </cell>
        </row>
        <row r="624">
          <cell r="A624">
            <v>6733372</v>
          </cell>
          <cell r="B624">
            <v>401132</v>
          </cell>
          <cell r="C624" t="str">
            <v>All Saints C.I.W. Primary School</v>
          </cell>
          <cell r="D624" t="str">
            <v>The Vale of Glamorgan</v>
          </cell>
          <cell r="E624" t="str">
            <v>Welsh Establishment</v>
          </cell>
          <cell r="F624" t="str">
            <v>Primary</v>
          </cell>
        </row>
        <row r="625">
          <cell r="A625">
            <v>6813357</v>
          </cell>
          <cell r="B625">
            <v>401659</v>
          </cell>
          <cell r="C625" t="str">
            <v>All Saints C.I.W. Primary School</v>
          </cell>
          <cell r="D625" t="str">
            <v>Cardiff</v>
          </cell>
          <cell r="E625" t="str">
            <v>Welsh Establishment</v>
          </cell>
          <cell r="F625" t="str">
            <v>Primary</v>
          </cell>
        </row>
        <row r="626">
          <cell r="A626">
            <v>3195200</v>
          </cell>
          <cell r="B626">
            <v>103004</v>
          </cell>
          <cell r="C626" t="str">
            <v>All Saints Carshalton Church of England Primary School</v>
          </cell>
          <cell r="D626" t="str">
            <v>Sutton</v>
          </cell>
          <cell r="E626" t="str">
            <v>Voluntary Aided School</v>
          </cell>
          <cell r="F626" t="str">
            <v>Primary</v>
          </cell>
        </row>
        <row r="627">
          <cell r="A627">
            <v>3404615</v>
          </cell>
          <cell r="B627">
            <v>135479</v>
          </cell>
          <cell r="C627" t="str">
            <v>All Saints Catholic Centre for Learning (VA)</v>
          </cell>
          <cell r="D627" t="str">
            <v>Knowsley</v>
          </cell>
          <cell r="E627" t="str">
            <v>Voluntary Aided School</v>
          </cell>
          <cell r="F627" t="str">
            <v>Secondary</v>
          </cell>
        </row>
        <row r="628">
          <cell r="A628">
            <v>3574604</v>
          </cell>
          <cell r="B628">
            <v>106272</v>
          </cell>
          <cell r="C628" t="str">
            <v>All Saints Catholic College</v>
          </cell>
          <cell r="D628" t="str">
            <v>Tameside</v>
          </cell>
          <cell r="E628" t="str">
            <v>Voluntary Aided School</v>
          </cell>
          <cell r="F628" t="str">
            <v>Secondary</v>
          </cell>
        </row>
        <row r="629">
          <cell r="A629">
            <v>3824613</v>
          </cell>
          <cell r="B629">
            <v>107782</v>
          </cell>
          <cell r="C629" t="str">
            <v>All Saints Catholic College Specialist in Humanities</v>
          </cell>
          <cell r="D629" t="str">
            <v>Kirklees</v>
          </cell>
          <cell r="E629" t="str">
            <v>Voluntary Aided School</v>
          </cell>
          <cell r="F629" t="str">
            <v>Secondary</v>
          </cell>
        </row>
        <row r="630">
          <cell r="A630">
            <v>3404609</v>
          </cell>
          <cell r="B630">
            <v>104492</v>
          </cell>
          <cell r="C630" t="str">
            <v>All Saints Catholic High School</v>
          </cell>
          <cell r="D630" t="str">
            <v>Knowsley</v>
          </cell>
          <cell r="E630" t="str">
            <v>Voluntary Aided School</v>
          </cell>
          <cell r="F630" t="str">
            <v>Secondary</v>
          </cell>
        </row>
        <row r="631">
          <cell r="A631">
            <v>3735401</v>
          </cell>
          <cell r="B631">
            <v>107160</v>
          </cell>
          <cell r="C631" t="str">
            <v>All Saints' Catholic High School</v>
          </cell>
          <cell r="D631" t="str">
            <v>Sheffield</v>
          </cell>
          <cell r="E631" t="str">
            <v>Voluntary Aided School</v>
          </cell>
          <cell r="F631" t="str">
            <v>Secondary</v>
          </cell>
        </row>
        <row r="632">
          <cell r="A632">
            <v>3413501</v>
          </cell>
          <cell r="B632">
            <v>104627</v>
          </cell>
          <cell r="C632" t="str">
            <v>All Saints Catholic Infant and Nursery School</v>
          </cell>
          <cell r="D632" t="str">
            <v>Liverpool</v>
          </cell>
          <cell r="E632" t="str">
            <v>Voluntary Aided School</v>
          </cell>
          <cell r="F632" t="str">
            <v>Primary</v>
          </cell>
        </row>
        <row r="633">
          <cell r="A633">
            <v>3413500</v>
          </cell>
          <cell r="B633">
            <v>104626</v>
          </cell>
          <cell r="C633" t="str">
            <v>All Saints Catholic Junior School</v>
          </cell>
          <cell r="D633" t="str">
            <v>Liverpool</v>
          </cell>
          <cell r="E633" t="str">
            <v>Voluntary Aided School</v>
          </cell>
          <cell r="F633" t="str">
            <v>Primary</v>
          </cell>
        </row>
        <row r="634">
          <cell r="A634">
            <v>8303504</v>
          </cell>
          <cell r="B634">
            <v>112900</v>
          </cell>
          <cell r="C634" t="str">
            <v>All Saints Catholic Primary School</v>
          </cell>
          <cell r="D634" t="str">
            <v>Derbyshire</v>
          </cell>
          <cell r="E634" t="str">
            <v>Voluntary Aided School</v>
          </cell>
          <cell r="F634" t="str">
            <v>Primary</v>
          </cell>
        </row>
        <row r="635">
          <cell r="A635">
            <v>3433384</v>
          </cell>
          <cell r="B635">
            <v>132208</v>
          </cell>
          <cell r="C635" t="str">
            <v>All Saints Catholic Primary School</v>
          </cell>
          <cell r="D635" t="str">
            <v>Sefton</v>
          </cell>
          <cell r="E635" t="str">
            <v>Voluntary Aided School</v>
          </cell>
          <cell r="F635" t="str">
            <v>Primary</v>
          </cell>
        </row>
        <row r="636">
          <cell r="A636">
            <v>3583311</v>
          </cell>
          <cell r="B636">
            <v>106347</v>
          </cell>
          <cell r="C636" t="str">
            <v>All Saints' Catholic Primary School</v>
          </cell>
          <cell r="D636" t="str">
            <v>Trafford</v>
          </cell>
          <cell r="E636" t="str">
            <v>Voluntary Aided School</v>
          </cell>
          <cell r="F636" t="str">
            <v>Primary</v>
          </cell>
        </row>
        <row r="637">
          <cell r="A637">
            <v>3593407</v>
          </cell>
          <cell r="B637">
            <v>106505</v>
          </cell>
          <cell r="C637" t="str">
            <v>All Saints Catholic Primary School, Golborne, Wigan</v>
          </cell>
          <cell r="D637" t="str">
            <v>Wigan</v>
          </cell>
          <cell r="E637" t="str">
            <v>Voluntary Aided School</v>
          </cell>
          <cell r="F637" t="str">
            <v>Primary</v>
          </cell>
        </row>
        <row r="638">
          <cell r="A638">
            <v>3055411</v>
          </cell>
          <cell r="B638">
            <v>101677</v>
          </cell>
          <cell r="C638" t="str">
            <v>All Saints Catholic School</v>
          </cell>
          <cell r="D638" t="str">
            <v>Bromley</v>
          </cell>
          <cell r="E638" t="str">
            <v>Voluntary Aided School</v>
          </cell>
          <cell r="F638" t="str">
            <v>Secondary</v>
          </cell>
        </row>
        <row r="639">
          <cell r="A639">
            <v>3014703</v>
          </cell>
          <cell r="B639">
            <v>101247</v>
          </cell>
          <cell r="C639" t="str">
            <v>All Saints Catholic School and Technology College</v>
          </cell>
          <cell r="D639" t="str">
            <v>Barking and Dagenham</v>
          </cell>
          <cell r="E639" t="str">
            <v>Voluntary Aided School</v>
          </cell>
          <cell r="F639" t="str">
            <v>Secondary</v>
          </cell>
        </row>
        <row r="640">
          <cell r="A640">
            <v>8403413</v>
          </cell>
          <cell r="B640">
            <v>114255</v>
          </cell>
          <cell r="C640" t="str">
            <v>All Saints' Catholic Voluntary Aided Primary School</v>
          </cell>
          <cell r="D640" t="str">
            <v>Durham</v>
          </cell>
          <cell r="E640" t="str">
            <v>Voluntary Aided School</v>
          </cell>
          <cell r="F640" t="str">
            <v>Primary</v>
          </cell>
        </row>
        <row r="641">
          <cell r="A641">
            <v>3412006</v>
          </cell>
          <cell r="B641">
            <v>134250</v>
          </cell>
          <cell r="C641" t="str">
            <v>All Saints' Catholic Voluntary Aided Primary School</v>
          </cell>
          <cell r="D641" t="str">
            <v>Liverpool</v>
          </cell>
          <cell r="E641" t="str">
            <v>Voluntary Aided School</v>
          </cell>
          <cell r="F641" t="str">
            <v>Primary</v>
          </cell>
        </row>
        <row r="642">
          <cell r="A642">
            <v>9313859</v>
          </cell>
          <cell r="B642">
            <v>123228</v>
          </cell>
          <cell r="C642" t="str">
            <v>All Saints Church of England (Aided) Primary School</v>
          </cell>
          <cell r="D642" t="str">
            <v>Oxfordshire</v>
          </cell>
          <cell r="E642" t="str">
            <v>Voluntary Aided School</v>
          </cell>
          <cell r="F642" t="str">
            <v>Primary</v>
          </cell>
        </row>
        <row r="643">
          <cell r="A643">
            <v>8703000</v>
          </cell>
          <cell r="B643">
            <v>109945</v>
          </cell>
          <cell r="C643" t="str">
            <v>All Saints Church of England Aided Infant School</v>
          </cell>
          <cell r="D643" t="str">
            <v>Reading</v>
          </cell>
          <cell r="E643" t="str">
            <v>Voluntary Aided School</v>
          </cell>
          <cell r="F643" t="str">
            <v>Primary</v>
          </cell>
        </row>
        <row r="644">
          <cell r="A644">
            <v>8503330</v>
          </cell>
          <cell r="B644">
            <v>116358</v>
          </cell>
          <cell r="C644" t="str">
            <v>All Saints Church of England Aided Junior School</v>
          </cell>
          <cell r="D644" t="str">
            <v>Hampshire</v>
          </cell>
          <cell r="E644" t="str">
            <v>Voluntary Aided School</v>
          </cell>
          <cell r="F644" t="str">
            <v>Primary</v>
          </cell>
        </row>
        <row r="645">
          <cell r="A645">
            <v>3313008</v>
          </cell>
          <cell r="B645">
            <v>103702</v>
          </cell>
          <cell r="C645" t="str">
            <v>All Saints Church of England Primary School</v>
          </cell>
          <cell r="D645" t="str">
            <v>Coventry</v>
          </cell>
          <cell r="E645" t="str">
            <v>Voluntary Controlled School</v>
          </cell>
          <cell r="F645" t="str">
            <v>Primary</v>
          </cell>
        </row>
        <row r="646">
          <cell r="A646">
            <v>3543506</v>
          </cell>
          <cell r="B646">
            <v>105829</v>
          </cell>
          <cell r="C646" t="str">
            <v>All Saints Church of England Primary School</v>
          </cell>
          <cell r="D646" t="str">
            <v>Rochdale</v>
          </cell>
          <cell r="E646" t="str">
            <v>Voluntary Aided School</v>
          </cell>
          <cell r="F646" t="str">
            <v>Primary</v>
          </cell>
        </row>
        <row r="647">
          <cell r="A647">
            <v>8783305</v>
          </cell>
          <cell r="B647">
            <v>113426</v>
          </cell>
          <cell r="C647" t="str">
            <v>All Saints Church of England Primary School</v>
          </cell>
          <cell r="D647" t="str">
            <v>Devon</v>
          </cell>
          <cell r="E647" t="str">
            <v>Voluntary Aided School</v>
          </cell>
          <cell r="F647" t="str">
            <v>Primary</v>
          </cell>
        </row>
        <row r="648">
          <cell r="A648">
            <v>8503172</v>
          </cell>
          <cell r="B648">
            <v>116326</v>
          </cell>
          <cell r="C648" t="str">
            <v>All Saints Church of England Primary School</v>
          </cell>
          <cell r="D648" t="str">
            <v>Hampshire</v>
          </cell>
          <cell r="E648" t="str">
            <v>Voluntary Controlled School</v>
          </cell>
          <cell r="F648" t="str">
            <v>Primary</v>
          </cell>
        </row>
        <row r="649">
          <cell r="A649">
            <v>8553331</v>
          </cell>
          <cell r="B649">
            <v>120206</v>
          </cell>
          <cell r="C649" t="str">
            <v>All Saints Church of England Primary School</v>
          </cell>
          <cell r="D649" t="str">
            <v>Leicestershire</v>
          </cell>
          <cell r="E649" t="str">
            <v>Voluntary Aided School</v>
          </cell>
          <cell r="F649" t="str">
            <v>Primary</v>
          </cell>
        </row>
        <row r="650">
          <cell r="A650">
            <v>9333493</v>
          </cell>
          <cell r="B650">
            <v>131010</v>
          </cell>
          <cell r="C650" t="str">
            <v>All Saints Church of England Primary School</v>
          </cell>
          <cell r="D650" t="str">
            <v>Somerset</v>
          </cell>
          <cell r="E650" t="str">
            <v>Voluntary Aided School</v>
          </cell>
          <cell r="F650" t="str">
            <v>Primary</v>
          </cell>
        </row>
        <row r="651">
          <cell r="A651">
            <v>2093301</v>
          </cell>
          <cell r="B651">
            <v>100719</v>
          </cell>
          <cell r="C651" t="str">
            <v>All Saints' Church of England Primary School</v>
          </cell>
          <cell r="D651" t="str">
            <v>Lewisham</v>
          </cell>
          <cell r="E651" t="str">
            <v>Voluntary Aided School</v>
          </cell>
          <cell r="F651" t="str">
            <v>Primary</v>
          </cell>
        </row>
        <row r="652">
          <cell r="A652">
            <v>3363023</v>
          </cell>
          <cell r="B652">
            <v>104370</v>
          </cell>
          <cell r="C652" t="str">
            <v>All Saints' Church of England Primary School</v>
          </cell>
          <cell r="D652" t="str">
            <v>Wolverhampton</v>
          </cell>
          <cell r="E652" t="str">
            <v>Voluntary Controlled School</v>
          </cell>
          <cell r="F652" t="str">
            <v>Primary</v>
          </cell>
        </row>
        <row r="653">
          <cell r="A653">
            <v>3933009</v>
          </cell>
          <cell r="B653">
            <v>131828</v>
          </cell>
          <cell r="C653" t="str">
            <v>All Saints' Church of England Primary School</v>
          </cell>
          <cell r="D653" t="str">
            <v>South Tyneside</v>
          </cell>
          <cell r="E653" t="str">
            <v>Voluntary Controlled School</v>
          </cell>
          <cell r="F653" t="str">
            <v>Primary</v>
          </cell>
        </row>
        <row r="654">
          <cell r="A654">
            <v>9193393</v>
          </cell>
          <cell r="B654">
            <v>117472</v>
          </cell>
          <cell r="C654" t="str">
            <v>All Saints Church of England Primary School and Nursery, Bishop's Stortford</v>
          </cell>
          <cell r="D654" t="str">
            <v>Hertfordshire</v>
          </cell>
          <cell r="E654" t="str">
            <v>Voluntary Aided School</v>
          </cell>
          <cell r="F654" t="str">
            <v>Primary</v>
          </cell>
        </row>
        <row r="655">
          <cell r="A655">
            <v>3563000</v>
          </cell>
          <cell r="B655">
            <v>106102</v>
          </cell>
          <cell r="C655" t="str">
            <v>All Saints Church of England Primary School Marple</v>
          </cell>
          <cell r="D655" t="str">
            <v>Stockport</v>
          </cell>
          <cell r="E655" t="str">
            <v>Voluntary Controlled School</v>
          </cell>
          <cell r="F655" t="str">
            <v>Primary</v>
          </cell>
        </row>
        <row r="656">
          <cell r="A656">
            <v>3563001</v>
          </cell>
          <cell r="B656">
            <v>106103</v>
          </cell>
          <cell r="C656" t="str">
            <v>All Saints Church of England Primary School Stockport</v>
          </cell>
          <cell r="D656" t="str">
            <v>Stockport</v>
          </cell>
          <cell r="E656" t="str">
            <v>Voluntary Controlled School</v>
          </cell>
          <cell r="F656" t="str">
            <v>Primary</v>
          </cell>
        </row>
        <row r="657">
          <cell r="A657">
            <v>8453006</v>
          </cell>
          <cell r="B657">
            <v>114491</v>
          </cell>
          <cell r="C657" t="str">
            <v>All Saints Church of England Primary School, Bexhill</v>
          </cell>
          <cell r="D657" t="str">
            <v>East Sussex</v>
          </cell>
          <cell r="E657" t="str">
            <v>Voluntary Controlled School</v>
          </cell>
          <cell r="F657" t="str">
            <v>Primary</v>
          </cell>
        </row>
        <row r="658">
          <cell r="A658">
            <v>8873093</v>
          </cell>
          <cell r="B658">
            <v>118639</v>
          </cell>
          <cell r="C658" t="str">
            <v>All Saints Church of England Primary School, Chatham</v>
          </cell>
          <cell r="D658" t="str">
            <v>Medway</v>
          </cell>
          <cell r="E658" t="str">
            <v>Voluntary Controlled School</v>
          </cell>
          <cell r="F658" t="str">
            <v>Primary</v>
          </cell>
        </row>
        <row r="659">
          <cell r="A659">
            <v>8553022</v>
          </cell>
          <cell r="B659">
            <v>120123</v>
          </cell>
          <cell r="C659" t="str">
            <v>All Saints Church of England Primary School, Coalville</v>
          </cell>
          <cell r="D659" t="str">
            <v>Leicestershire</v>
          </cell>
          <cell r="E659" t="str">
            <v>Voluntary Controlled School</v>
          </cell>
          <cell r="F659" t="str">
            <v>Primary</v>
          </cell>
        </row>
        <row r="660">
          <cell r="A660">
            <v>9213006</v>
          </cell>
          <cell r="B660">
            <v>118185</v>
          </cell>
          <cell r="C660" t="str">
            <v>All Saints Church of England Primary School, Freshwater</v>
          </cell>
          <cell r="D660" t="str">
            <v>Isle of Wight</v>
          </cell>
          <cell r="E660" t="str">
            <v>Voluntary Controlled School</v>
          </cell>
          <cell r="F660" t="str">
            <v>Primary</v>
          </cell>
        </row>
        <row r="661">
          <cell r="A661">
            <v>8553314</v>
          </cell>
          <cell r="B661">
            <v>120198</v>
          </cell>
          <cell r="C661" t="str">
            <v>All Saints Church of England Primary School, Sapcote</v>
          </cell>
          <cell r="D661" t="str">
            <v>Leicestershire</v>
          </cell>
          <cell r="E661" t="str">
            <v>Voluntary Aided School</v>
          </cell>
          <cell r="F661" t="str">
            <v>Primary</v>
          </cell>
        </row>
        <row r="662">
          <cell r="A662">
            <v>3513017</v>
          </cell>
          <cell r="B662">
            <v>105325</v>
          </cell>
          <cell r="C662" t="str">
            <v>All Saints Church of England Primary School, Stand</v>
          </cell>
          <cell r="D662" t="str">
            <v>Bury</v>
          </cell>
          <cell r="E662" t="str">
            <v>Voluntary Controlled School</v>
          </cell>
          <cell r="F662" t="str">
            <v>Primary</v>
          </cell>
        </row>
        <row r="663">
          <cell r="A663">
            <v>8354801</v>
          </cell>
          <cell r="B663">
            <v>113896</v>
          </cell>
          <cell r="C663" t="str">
            <v>All Saints' Church of England School, Weymouth</v>
          </cell>
          <cell r="D663" t="str">
            <v>Dorset</v>
          </cell>
          <cell r="E663" t="str">
            <v>Voluntary Aided School</v>
          </cell>
          <cell r="F663" t="str">
            <v>Secondary</v>
          </cell>
        </row>
        <row r="664">
          <cell r="A664">
            <v>9263404</v>
          </cell>
          <cell r="B664">
            <v>121145</v>
          </cell>
          <cell r="C664" t="str">
            <v>All Saints Church of England VA Primary School</v>
          </cell>
          <cell r="D664" t="str">
            <v>Norfolk</v>
          </cell>
          <cell r="E664" t="str">
            <v>Voluntary Aided School</v>
          </cell>
          <cell r="F664" t="str">
            <v>Primary</v>
          </cell>
        </row>
        <row r="665">
          <cell r="A665">
            <v>8783021</v>
          </cell>
          <cell r="B665">
            <v>113364</v>
          </cell>
          <cell r="C665" t="str">
            <v>All Saints Church of England VC Infant School</v>
          </cell>
          <cell r="D665" t="str">
            <v>Devon</v>
          </cell>
          <cell r="E665" t="str">
            <v>Voluntary Controlled School</v>
          </cell>
          <cell r="F665" t="str">
            <v>Primary</v>
          </cell>
        </row>
        <row r="666">
          <cell r="A666">
            <v>9193329</v>
          </cell>
          <cell r="B666">
            <v>117430</v>
          </cell>
          <cell r="C666" t="str">
            <v>All Saints Church of England Voluntary Aided Primary School, Datchworth</v>
          </cell>
          <cell r="D666" t="str">
            <v>Hertfordshire</v>
          </cell>
          <cell r="E666" t="str">
            <v>Voluntary Aided School</v>
          </cell>
          <cell r="F666" t="str">
            <v>Primary</v>
          </cell>
        </row>
        <row r="667">
          <cell r="A667">
            <v>8813822</v>
          </cell>
          <cell r="B667">
            <v>115203</v>
          </cell>
          <cell r="C667" t="str">
            <v>All Saints' Church of England Voluntary Aided Primary School, Dovercourt</v>
          </cell>
          <cell r="D667" t="str">
            <v>Essex</v>
          </cell>
          <cell r="E667" t="str">
            <v>Voluntary Aided School</v>
          </cell>
          <cell r="F667" t="str">
            <v>Primary</v>
          </cell>
        </row>
        <row r="668">
          <cell r="A668">
            <v>8813314</v>
          </cell>
          <cell r="B668">
            <v>115141</v>
          </cell>
          <cell r="C668" t="str">
            <v>All Saints Church of England Voluntary Aided Primary School, Great Oakley</v>
          </cell>
          <cell r="D668" t="str">
            <v>Essex</v>
          </cell>
          <cell r="E668" t="str">
            <v>Voluntary Aided School</v>
          </cell>
          <cell r="F668" t="str">
            <v>Primary</v>
          </cell>
        </row>
        <row r="669">
          <cell r="A669">
            <v>9353331</v>
          </cell>
          <cell r="B669">
            <v>124776</v>
          </cell>
          <cell r="C669" t="str">
            <v>All Saints Church of England Voluntary Aided Primary School, Laxfield</v>
          </cell>
          <cell r="D669" t="str">
            <v>Suffolk</v>
          </cell>
          <cell r="E669" t="str">
            <v>Voluntary Aided School</v>
          </cell>
          <cell r="F669" t="str">
            <v>Primary</v>
          </cell>
        </row>
        <row r="670">
          <cell r="A670">
            <v>9353305</v>
          </cell>
          <cell r="B670">
            <v>124761</v>
          </cell>
          <cell r="C670" t="str">
            <v>All Saints Church of England Voluntary Aided Primary School, Newmarket</v>
          </cell>
          <cell r="D670" t="str">
            <v>Suffolk</v>
          </cell>
          <cell r="E670" t="str">
            <v>Voluntary Aided School</v>
          </cell>
          <cell r="F670" t="str">
            <v>Primary</v>
          </cell>
        </row>
        <row r="671">
          <cell r="A671">
            <v>9263369</v>
          </cell>
          <cell r="B671">
            <v>121128</v>
          </cell>
          <cell r="C671" t="str">
            <v>All Saints Church of England Voluntary Aided Primary School, Winfarthing</v>
          </cell>
          <cell r="D671" t="str">
            <v>Norfolk</v>
          </cell>
          <cell r="E671" t="str">
            <v>Voluntary Aided School</v>
          </cell>
          <cell r="F671" t="str">
            <v>Primary</v>
          </cell>
        </row>
        <row r="672">
          <cell r="A672">
            <v>8113024</v>
          </cell>
          <cell r="B672">
            <v>117979</v>
          </cell>
          <cell r="C672" t="str">
            <v>All Saints Church of England Voluntary Controlled Infant School, Hessle</v>
          </cell>
          <cell r="D672" t="str">
            <v>East Riding of Yorkshire</v>
          </cell>
          <cell r="E672" t="str">
            <v>Voluntary Controlled School</v>
          </cell>
          <cell r="F672" t="str">
            <v>Primary</v>
          </cell>
        </row>
        <row r="673">
          <cell r="A673">
            <v>8113023</v>
          </cell>
          <cell r="B673">
            <v>117978</v>
          </cell>
          <cell r="C673" t="str">
            <v>All Saints Church of England Voluntary Controlled Junior School, Hessle</v>
          </cell>
          <cell r="D673" t="str">
            <v>East Riding of Yorkshire</v>
          </cell>
          <cell r="E673" t="str">
            <v>Voluntary Controlled School</v>
          </cell>
          <cell r="F673" t="str">
            <v>Primary</v>
          </cell>
        </row>
        <row r="674">
          <cell r="A674">
            <v>9354501</v>
          </cell>
          <cell r="B674">
            <v>124857</v>
          </cell>
          <cell r="C674" t="str">
            <v>All Saints Church of England Voluntary Controlled Middle School, Sudbury</v>
          </cell>
          <cell r="D674" t="str">
            <v>Suffolk</v>
          </cell>
          <cell r="E674" t="str">
            <v>Voluntary Controlled School</v>
          </cell>
          <cell r="F674" t="str">
            <v>Middle Deemed Secondary</v>
          </cell>
        </row>
        <row r="675">
          <cell r="A675">
            <v>8353045</v>
          </cell>
          <cell r="B675">
            <v>113772</v>
          </cell>
          <cell r="C675" t="str">
            <v>All Saints Church of England Voluntary Controlled Primary School</v>
          </cell>
          <cell r="D675" t="str">
            <v>Dorset</v>
          </cell>
          <cell r="E675" t="str">
            <v>Voluntary Controlled School</v>
          </cell>
          <cell r="F675" t="str">
            <v>Primary</v>
          </cell>
        </row>
        <row r="676">
          <cell r="A676">
            <v>9353043</v>
          </cell>
          <cell r="B676">
            <v>124706</v>
          </cell>
          <cell r="C676" t="str">
            <v>All Saints Church of England Voluntary Controlled Primary School, Lawshall</v>
          </cell>
          <cell r="D676" t="str">
            <v>Suffolk</v>
          </cell>
          <cell r="E676" t="str">
            <v>Voluntary Controlled School</v>
          </cell>
          <cell r="F676" t="str">
            <v>Primary</v>
          </cell>
        </row>
        <row r="677">
          <cell r="A677">
            <v>8603443</v>
          </cell>
          <cell r="B677">
            <v>124341</v>
          </cell>
          <cell r="C677" t="str">
            <v>All Saints CofE (A) First School</v>
          </cell>
          <cell r="D677" t="str">
            <v>Staffordshire</v>
          </cell>
          <cell r="E677" t="str">
            <v>Voluntary Aided School</v>
          </cell>
          <cell r="F677" t="str">
            <v>Primary</v>
          </cell>
        </row>
        <row r="678">
          <cell r="A678">
            <v>8603427</v>
          </cell>
          <cell r="B678">
            <v>124329</v>
          </cell>
          <cell r="C678" t="str">
            <v>All Saints CofE (A) Primary School</v>
          </cell>
          <cell r="D678" t="str">
            <v>Staffordshire</v>
          </cell>
          <cell r="E678" t="str">
            <v>Voluntary Aided School</v>
          </cell>
          <cell r="F678" t="str">
            <v>Primary</v>
          </cell>
        </row>
        <row r="679">
          <cell r="A679">
            <v>8743376</v>
          </cell>
          <cell r="B679">
            <v>110852</v>
          </cell>
          <cell r="C679" t="str">
            <v>All Saints' CofE (Aided) Junior School</v>
          </cell>
          <cell r="D679" t="str">
            <v>Peterborough</v>
          </cell>
          <cell r="E679" t="str">
            <v>Voluntary Aided School</v>
          </cell>
          <cell r="F679" t="str">
            <v>Primary</v>
          </cell>
        </row>
        <row r="680">
          <cell r="A680">
            <v>8723372</v>
          </cell>
          <cell r="B680">
            <v>135459</v>
          </cell>
          <cell r="C680" t="str">
            <v>All Saints CofE (Aided) Primary School</v>
          </cell>
          <cell r="D680" t="str">
            <v>Wokingham</v>
          </cell>
          <cell r="E680" t="str">
            <v>Voluntary Aided School</v>
          </cell>
          <cell r="F680" t="str">
            <v>Primary</v>
          </cell>
        </row>
        <row r="681">
          <cell r="A681">
            <v>8603048</v>
          </cell>
          <cell r="B681">
            <v>124246</v>
          </cell>
          <cell r="C681" t="str">
            <v>All Saints CofE (C) First School</v>
          </cell>
          <cell r="D681" t="str">
            <v>Staffordshire</v>
          </cell>
          <cell r="E681" t="str">
            <v>Voluntary Controlled School</v>
          </cell>
          <cell r="F681" t="str">
            <v>Primary</v>
          </cell>
        </row>
        <row r="682">
          <cell r="A682">
            <v>8603075</v>
          </cell>
          <cell r="B682">
            <v>124256</v>
          </cell>
          <cell r="C682" t="str">
            <v>All Saints CofE (C) First School</v>
          </cell>
          <cell r="D682" t="str">
            <v>Staffordshire</v>
          </cell>
          <cell r="E682" t="str">
            <v>Voluntary Controlled School</v>
          </cell>
          <cell r="F682" t="str">
            <v>Primary</v>
          </cell>
        </row>
        <row r="683">
          <cell r="A683">
            <v>8603110</v>
          </cell>
          <cell r="B683">
            <v>124274</v>
          </cell>
          <cell r="C683" t="str">
            <v>All Saints CofE (C) First School</v>
          </cell>
          <cell r="D683" t="str">
            <v>Staffordshire</v>
          </cell>
          <cell r="E683" t="str">
            <v>Voluntary Controlled School</v>
          </cell>
          <cell r="F683" t="str">
            <v>Primary</v>
          </cell>
        </row>
        <row r="684">
          <cell r="A684">
            <v>8603152</v>
          </cell>
          <cell r="B684">
            <v>124302</v>
          </cell>
          <cell r="C684" t="str">
            <v>All Saints CofE (C) Infants School</v>
          </cell>
          <cell r="D684" t="str">
            <v>Staffordshire</v>
          </cell>
          <cell r="E684" t="str">
            <v>Voluntary Controlled School</v>
          </cell>
          <cell r="F684" t="str">
            <v>Primary</v>
          </cell>
        </row>
        <row r="685">
          <cell r="A685">
            <v>8603025</v>
          </cell>
          <cell r="B685">
            <v>124231</v>
          </cell>
          <cell r="C685" t="str">
            <v>All Saints CofE (C) Primary School</v>
          </cell>
          <cell r="D685" t="str">
            <v>Staffordshire</v>
          </cell>
          <cell r="E685" t="str">
            <v>Voluntary Controlled School</v>
          </cell>
          <cell r="F685" t="str">
            <v>Primary</v>
          </cell>
        </row>
        <row r="686">
          <cell r="A686">
            <v>8603100</v>
          </cell>
          <cell r="B686">
            <v>124270</v>
          </cell>
          <cell r="C686" t="str">
            <v>All Saints CofE (C) Primary School</v>
          </cell>
          <cell r="D686" t="str">
            <v>Staffordshire</v>
          </cell>
          <cell r="E686" t="str">
            <v>Voluntary Controlled School</v>
          </cell>
          <cell r="F686" t="str">
            <v>Primary</v>
          </cell>
        </row>
        <row r="687">
          <cell r="A687">
            <v>9063173</v>
          </cell>
          <cell r="B687">
            <v>111291</v>
          </cell>
          <cell r="C687" t="str">
            <v>All Saints CofE (Controlled) Junior School</v>
          </cell>
          <cell r="D687" t="str">
            <v>Pre LGR (1998) Cheshire</v>
          </cell>
          <cell r="E687" t="str">
            <v>Voluntary Controlled School</v>
          </cell>
          <cell r="F687" t="str">
            <v>Primary</v>
          </cell>
        </row>
        <row r="688">
          <cell r="A688">
            <v>9373588</v>
          </cell>
          <cell r="B688">
            <v>130976</v>
          </cell>
          <cell r="C688" t="str">
            <v>All Saints CofE (VA) Primary School, Leek Wootton</v>
          </cell>
          <cell r="D688" t="str">
            <v>Warwickshire</v>
          </cell>
          <cell r="E688" t="str">
            <v>Voluntary Aided School</v>
          </cell>
          <cell r="F688" t="str">
            <v>Primary</v>
          </cell>
        </row>
        <row r="689">
          <cell r="A689">
            <v>8603118</v>
          </cell>
          <cell r="B689">
            <v>124280</v>
          </cell>
          <cell r="C689" t="str">
            <v>All Saints CofE (VC) Primary School</v>
          </cell>
          <cell r="D689" t="str">
            <v>Staffordshire</v>
          </cell>
          <cell r="E689" t="str">
            <v>Voluntary Controlled School</v>
          </cell>
          <cell r="F689" t="str">
            <v>Primary</v>
          </cell>
        </row>
        <row r="690">
          <cell r="A690">
            <v>9363407</v>
          </cell>
          <cell r="B690">
            <v>125198</v>
          </cell>
          <cell r="C690" t="str">
            <v>All Saints CofE Aided Infant School</v>
          </cell>
          <cell r="D690" t="str">
            <v>Surrey</v>
          </cell>
          <cell r="E690" t="str">
            <v>Voluntary Aided School</v>
          </cell>
          <cell r="F690" t="str">
            <v>Primary</v>
          </cell>
        </row>
        <row r="691">
          <cell r="A691">
            <v>3833048</v>
          </cell>
          <cell r="B691">
            <v>127922</v>
          </cell>
          <cell r="C691" t="str">
            <v>All Saints CofE First School</v>
          </cell>
          <cell r="D691" t="str">
            <v>Leeds</v>
          </cell>
          <cell r="E691" t="str">
            <v>Voluntary Controlled School</v>
          </cell>
          <cell r="F691" t="str">
            <v>Primary</v>
          </cell>
        </row>
        <row r="692">
          <cell r="A692">
            <v>9343101</v>
          </cell>
          <cell r="B692">
            <v>129919</v>
          </cell>
          <cell r="C692" t="str">
            <v>All Saints CofE First School</v>
          </cell>
          <cell r="D692" t="str">
            <v>Pre LGR (1997) Staffordshire</v>
          </cell>
          <cell r="E692" t="str">
            <v>Voluntary Controlled School</v>
          </cell>
          <cell r="F692" t="str">
            <v>Primary</v>
          </cell>
        </row>
        <row r="693">
          <cell r="A693">
            <v>9363030</v>
          </cell>
          <cell r="B693">
            <v>125146</v>
          </cell>
          <cell r="C693" t="str">
            <v>All Saints CofE Infant and Nursery School</v>
          </cell>
          <cell r="D693" t="str">
            <v>Surrey</v>
          </cell>
          <cell r="E693" t="str">
            <v>Voluntary Controlled School</v>
          </cell>
          <cell r="F693" t="str">
            <v>Primary</v>
          </cell>
        </row>
        <row r="694">
          <cell r="A694">
            <v>9373301</v>
          </cell>
          <cell r="B694">
            <v>125688</v>
          </cell>
          <cell r="C694" t="str">
            <v>All Saints CofE Infant School</v>
          </cell>
          <cell r="D694" t="str">
            <v>Warwickshire</v>
          </cell>
          <cell r="E694" t="str">
            <v>Voluntary Aided School</v>
          </cell>
          <cell r="F694" t="str">
            <v>Primary</v>
          </cell>
        </row>
        <row r="695">
          <cell r="A695">
            <v>3363005</v>
          </cell>
          <cell r="B695">
            <v>127229</v>
          </cell>
          <cell r="C695" t="str">
            <v>All Saints CofE Infant School</v>
          </cell>
          <cell r="D695" t="str">
            <v>Wolverhampton</v>
          </cell>
          <cell r="E695" t="str">
            <v>Voluntary Controlled School</v>
          </cell>
          <cell r="F695" t="str">
            <v>Primary</v>
          </cell>
        </row>
        <row r="696">
          <cell r="A696">
            <v>3573023</v>
          </cell>
          <cell r="B696">
            <v>127531</v>
          </cell>
          <cell r="C696" t="str">
            <v>All Saints CofE Infant School</v>
          </cell>
          <cell r="D696" t="str">
            <v>Tameside</v>
          </cell>
          <cell r="E696" t="str">
            <v>Voluntary Controlled School</v>
          </cell>
          <cell r="F696" t="str">
            <v>Primary</v>
          </cell>
        </row>
        <row r="697">
          <cell r="A697">
            <v>3933004</v>
          </cell>
          <cell r="B697">
            <v>108709</v>
          </cell>
          <cell r="C697" t="str">
            <v>All Saints CofE Infants' School</v>
          </cell>
          <cell r="D697" t="str">
            <v>South Tyneside</v>
          </cell>
          <cell r="E697" t="str">
            <v>Voluntary Controlled School</v>
          </cell>
          <cell r="F697" t="str">
            <v>Primary</v>
          </cell>
        </row>
        <row r="698">
          <cell r="A698">
            <v>3063000</v>
          </cell>
          <cell r="B698">
            <v>101787</v>
          </cell>
          <cell r="C698" t="str">
            <v>All Saints CofE Junior School</v>
          </cell>
          <cell r="D698" t="str">
            <v>Croydon</v>
          </cell>
          <cell r="E698" t="str">
            <v>Voluntary Controlled School</v>
          </cell>
          <cell r="F698" t="str">
            <v>Primary</v>
          </cell>
        </row>
        <row r="699">
          <cell r="A699">
            <v>8683059</v>
          </cell>
          <cell r="B699">
            <v>109991</v>
          </cell>
          <cell r="C699" t="str">
            <v>All Saints CofE Junior School</v>
          </cell>
          <cell r="D699" t="str">
            <v>Windsor and Maidenhead</v>
          </cell>
          <cell r="E699" t="str">
            <v>Voluntary Controlled School</v>
          </cell>
          <cell r="F699" t="str">
            <v>Primary</v>
          </cell>
        </row>
        <row r="700">
          <cell r="A700">
            <v>8303066</v>
          </cell>
          <cell r="B700">
            <v>112837</v>
          </cell>
          <cell r="C700" t="str">
            <v>All Saints CofE Junior School</v>
          </cell>
          <cell r="D700" t="str">
            <v>Derbyshire</v>
          </cell>
          <cell r="E700" t="str">
            <v>Voluntary Controlled School</v>
          </cell>
          <cell r="F700" t="str">
            <v>Primary</v>
          </cell>
        </row>
        <row r="701">
          <cell r="A701">
            <v>8453351</v>
          </cell>
          <cell r="B701">
            <v>114573</v>
          </cell>
          <cell r="C701" t="str">
            <v>All Saints CofE Junior School</v>
          </cell>
          <cell r="D701" t="str">
            <v>East Sussex</v>
          </cell>
          <cell r="E701" t="str">
            <v>Voluntary Aided School</v>
          </cell>
          <cell r="F701" t="str">
            <v>Primary</v>
          </cell>
        </row>
        <row r="702">
          <cell r="A702">
            <v>3363004</v>
          </cell>
          <cell r="B702">
            <v>127228</v>
          </cell>
          <cell r="C702" t="str">
            <v>All Saints CofE Junior School</v>
          </cell>
          <cell r="D702" t="str">
            <v>Wolverhampton</v>
          </cell>
          <cell r="E702" t="str">
            <v>Voluntary Controlled School</v>
          </cell>
          <cell r="F702" t="str">
            <v>Primary</v>
          </cell>
        </row>
        <row r="703">
          <cell r="A703">
            <v>9063608</v>
          </cell>
          <cell r="B703">
            <v>128458</v>
          </cell>
          <cell r="C703" t="str">
            <v>All Saints CofE Junior School</v>
          </cell>
          <cell r="D703" t="str">
            <v>Pre LGR (1998) Cheshire</v>
          </cell>
          <cell r="E703" t="str">
            <v>Voluntary Aided School</v>
          </cell>
          <cell r="F703" t="str">
            <v>Primary</v>
          </cell>
        </row>
        <row r="704">
          <cell r="A704">
            <v>9083384</v>
          </cell>
          <cell r="B704">
            <v>128551</v>
          </cell>
          <cell r="C704" t="str">
            <v>All Saints CofE Junior School</v>
          </cell>
          <cell r="D704" t="str">
            <v>Cornwall</v>
          </cell>
          <cell r="E704" t="str">
            <v>Voluntary Aided School</v>
          </cell>
          <cell r="F704" t="str">
            <v>Primary</v>
          </cell>
        </row>
        <row r="705">
          <cell r="A705">
            <v>3933003</v>
          </cell>
          <cell r="B705">
            <v>108708</v>
          </cell>
          <cell r="C705" t="str">
            <v>All Saints' CofE Junior School</v>
          </cell>
          <cell r="D705" t="str">
            <v>South Tyneside</v>
          </cell>
          <cell r="E705" t="str">
            <v>Voluntary Controlled School</v>
          </cell>
          <cell r="F705" t="str">
            <v>Primary</v>
          </cell>
        </row>
        <row r="706">
          <cell r="A706">
            <v>9373154</v>
          </cell>
          <cell r="B706">
            <v>125666</v>
          </cell>
          <cell r="C706" t="str">
            <v>All Saints' CofE Junior School</v>
          </cell>
          <cell r="D706" t="str">
            <v>Warwickshire</v>
          </cell>
          <cell r="E706" t="str">
            <v>Voluntary Controlled School</v>
          </cell>
          <cell r="F706" t="str">
            <v>Primary</v>
          </cell>
        </row>
        <row r="707">
          <cell r="A707">
            <v>3834740</v>
          </cell>
          <cell r="B707">
            <v>128027</v>
          </cell>
          <cell r="C707" t="str">
            <v>All Saints CofE Middle School</v>
          </cell>
          <cell r="D707" t="str">
            <v>Leeds</v>
          </cell>
          <cell r="E707" t="str">
            <v>Voluntary Aided School</v>
          </cell>
          <cell r="F707" t="str">
            <v>Middle Deemed Secondary</v>
          </cell>
        </row>
        <row r="708">
          <cell r="A708">
            <v>2053300</v>
          </cell>
          <cell r="B708">
            <v>100344</v>
          </cell>
          <cell r="C708" t="str">
            <v>All Saints CofE Primary School</v>
          </cell>
          <cell r="D708" t="str">
            <v>Hammersmith and Fulham</v>
          </cell>
          <cell r="E708" t="str">
            <v>Voluntary Aided School</v>
          </cell>
          <cell r="F708" t="str">
            <v>Primary</v>
          </cell>
        </row>
        <row r="709">
          <cell r="A709">
            <v>3333301</v>
          </cell>
          <cell r="B709">
            <v>103990</v>
          </cell>
          <cell r="C709" t="str">
            <v>All Saints CofE Primary School</v>
          </cell>
          <cell r="D709" t="str">
            <v>Sandwell</v>
          </cell>
          <cell r="E709" t="str">
            <v>Voluntary Aided School</v>
          </cell>
          <cell r="F709" t="str">
            <v>Primary</v>
          </cell>
        </row>
        <row r="710">
          <cell r="A710">
            <v>3503351</v>
          </cell>
          <cell r="B710">
            <v>105238</v>
          </cell>
          <cell r="C710" t="str">
            <v>All Saints CofE Primary School</v>
          </cell>
          <cell r="D710" t="str">
            <v>Bolton</v>
          </cell>
          <cell r="E710" t="str">
            <v>Voluntary Aided School</v>
          </cell>
          <cell r="F710" t="str">
            <v>Primary</v>
          </cell>
        </row>
        <row r="711">
          <cell r="A711">
            <v>3523301</v>
          </cell>
          <cell r="B711">
            <v>105505</v>
          </cell>
          <cell r="C711" t="str">
            <v>All Saints CofE Primary School</v>
          </cell>
          <cell r="D711" t="str">
            <v>Manchester</v>
          </cell>
          <cell r="E711" t="str">
            <v>Voluntary Aided School</v>
          </cell>
          <cell r="F711" t="str">
            <v>Primary</v>
          </cell>
        </row>
        <row r="712">
          <cell r="A712">
            <v>3803000</v>
          </cell>
          <cell r="B712">
            <v>107302</v>
          </cell>
          <cell r="C712" t="str">
            <v>All Saints CofE Primary School</v>
          </cell>
          <cell r="D712" t="str">
            <v>Bradford</v>
          </cell>
          <cell r="E712" t="str">
            <v>Voluntary Controlled School</v>
          </cell>
          <cell r="F712" t="str">
            <v>Primary</v>
          </cell>
        </row>
        <row r="713">
          <cell r="A713">
            <v>3433301</v>
          </cell>
          <cell r="B713">
            <v>127367</v>
          </cell>
          <cell r="C713" t="str">
            <v>All Saints CofE Primary School</v>
          </cell>
          <cell r="D713" t="str">
            <v>Sefton</v>
          </cell>
          <cell r="E713" t="str">
            <v>Voluntary Aided School</v>
          </cell>
          <cell r="F713" t="str">
            <v>Primary</v>
          </cell>
        </row>
        <row r="714">
          <cell r="A714">
            <v>9033008</v>
          </cell>
          <cell r="B714">
            <v>128285</v>
          </cell>
          <cell r="C714" t="str">
            <v>All Saints CofE Primary School</v>
          </cell>
          <cell r="D714" t="str">
            <v>Pre LGR (1998) Berkshire</v>
          </cell>
          <cell r="E714" t="str">
            <v>Voluntary Controlled School</v>
          </cell>
          <cell r="F714" t="str">
            <v>Primary</v>
          </cell>
        </row>
        <row r="715">
          <cell r="A715">
            <v>9382259</v>
          </cell>
          <cell r="B715">
            <v>133321</v>
          </cell>
          <cell r="C715" t="str">
            <v>All Saints CofE Primary School</v>
          </cell>
          <cell r="D715" t="str">
            <v>West Sussex</v>
          </cell>
          <cell r="E715" t="str">
            <v>Voluntary Aided School</v>
          </cell>
          <cell r="F715" t="str">
            <v>Primary</v>
          </cell>
        </row>
        <row r="716">
          <cell r="A716">
            <v>3832513</v>
          </cell>
          <cell r="B716">
            <v>133555</v>
          </cell>
          <cell r="C716" t="str">
            <v>All Saints CofE Primary School</v>
          </cell>
          <cell r="D716" t="str">
            <v>Leeds</v>
          </cell>
          <cell r="E716" t="str">
            <v>Voluntary Controlled School</v>
          </cell>
          <cell r="F716" t="str">
            <v>Primary</v>
          </cell>
        </row>
        <row r="717">
          <cell r="A717">
            <v>3153300</v>
          </cell>
          <cell r="B717">
            <v>102663</v>
          </cell>
          <cell r="C717" t="str">
            <v>All Saints' CofE Primary School</v>
          </cell>
          <cell r="D717" t="str">
            <v>Merton</v>
          </cell>
          <cell r="E717" t="str">
            <v>Voluntary Aided School</v>
          </cell>
          <cell r="F717" t="str">
            <v>Primary</v>
          </cell>
        </row>
        <row r="718">
          <cell r="A718">
            <v>3803026</v>
          </cell>
          <cell r="B718">
            <v>107309</v>
          </cell>
          <cell r="C718" t="str">
            <v>All Saints' CofE Primary School</v>
          </cell>
          <cell r="D718" t="str">
            <v>Bradford</v>
          </cell>
          <cell r="E718" t="str">
            <v>Voluntary Controlled School</v>
          </cell>
          <cell r="F718" t="str">
            <v>Primary</v>
          </cell>
        </row>
        <row r="719">
          <cell r="A719">
            <v>8783608</v>
          </cell>
          <cell r="B719">
            <v>113466</v>
          </cell>
          <cell r="C719" t="str">
            <v>All Saints CofE Primary School (Marsh)</v>
          </cell>
          <cell r="D719" t="str">
            <v>Devon</v>
          </cell>
          <cell r="E719" t="str">
            <v>Voluntary Aided School</v>
          </cell>
          <cell r="F719" t="str">
            <v>Primary</v>
          </cell>
        </row>
        <row r="720">
          <cell r="A720">
            <v>9373101</v>
          </cell>
          <cell r="B720">
            <v>125653</v>
          </cell>
          <cell r="C720" t="str">
            <v>All Saints CofE Primary School and Nursery, Nuneaton</v>
          </cell>
          <cell r="D720" t="str">
            <v>Warwickshire</v>
          </cell>
          <cell r="E720" t="str">
            <v>Voluntary Controlled School</v>
          </cell>
          <cell r="F720" t="str">
            <v>Primary</v>
          </cell>
        </row>
        <row r="721">
          <cell r="A721">
            <v>3023317</v>
          </cell>
          <cell r="B721">
            <v>101329</v>
          </cell>
          <cell r="C721" t="str">
            <v>All Saints' CofE Primary School N20</v>
          </cell>
          <cell r="D721" t="str">
            <v>Barnet</v>
          </cell>
          <cell r="E721" t="str">
            <v>Voluntary Aided School</v>
          </cell>
          <cell r="F721" t="str">
            <v>Primary</v>
          </cell>
        </row>
        <row r="722">
          <cell r="A722">
            <v>3023300</v>
          </cell>
          <cell r="B722">
            <v>101315</v>
          </cell>
          <cell r="C722" t="str">
            <v>All Saints' CofE Primary School NW2</v>
          </cell>
          <cell r="D722" t="str">
            <v>Barnet</v>
          </cell>
          <cell r="E722" t="str">
            <v>Voluntary Aided School</v>
          </cell>
          <cell r="F722" t="str">
            <v>Primary</v>
          </cell>
        </row>
        <row r="723">
          <cell r="A723">
            <v>2123304</v>
          </cell>
          <cell r="B723">
            <v>101034</v>
          </cell>
          <cell r="C723" t="str">
            <v>All Saints' CofE Primary School, Putney</v>
          </cell>
          <cell r="D723" t="str">
            <v>Wandsworth</v>
          </cell>
          <cell r="E723" t="str">
            <v>Voluntary Aided School</v>
          </cell>
          <cell r="F723" t="str">
            <v>Primary</v>
          </cell>
        </row>
        <row r="724">
          <cell r="A724">
            <v>9333042</v>
          </cell>
          <cell r="B724">
            <v>123754</v>
          </cell>
          <cell r="C724" t="str">
            <v>All Saints CofE School</v>
          </cell>
          <cell r="D724" t="str">
            <v>Somerset</v>
          </cell>
          <cell r="E724" t="str">
            <v>Voluntary Controlled School</v>
          </cell>
          <cell r="F724" t="str">
            <v>Primary</v>
          </cell>
        </row>
        <row r="725">
          <cell r="A725">
            <v>3553503</v>
          </cell>
          <cell r="B725">
            <v>127476</v>
          </cell>
          <cell r="C725" t="str">
            <v>All Saints CofE School</v>
          </cell>
          <cell r="D725" t="str">
            <v>Salford</v>
          </cell>
          <cell r="E725" t="str">
            <v>Voluntary Aided School</v>
          </cell>
          <cell r="F725" t="str">
            <v>Primary</v>
          </cell>
        </row>
        <row r="726">
          <cell r="A726">
            <v>3833041</v>
          </cell>
          <cell r="B726">
            <v>127920</v>
          </cell>
          <cell r="C726" t="str">
            <v>All Saints CofE School</v>
          </cell>
          <cell r="D726" t="str">
            <v>Leeds</v>
          </cell>
          <cell r="E726" t="str">
            <v>Voluntary Controlled School</v>
          </cell>
          <cell r="F726" t="str">
            <v>Primary</v>
          </cell>
        </row>
        <row r="727">
          <cell r="A727">
            <v>8084001</v>
          </cell>
          <cell r="B727">
            <v>132809</v>
          </cell>
          <cell r="C727" t="str">
            <v>All Saints CofE School</v>
          </cell>
          <cell r="D727" t="str">
            <v>Stockton-on-Tees</v>
          </cell>
          <cell r="E727" t="str">
            <v>Voluntary Aided School</v>
          </cell>
          <cell r="F727" t="str">
            <v>Secondary</v>
          </cell>
        </row>
        <row r="728">
          <cell r="A728">
            <v>9093102</v>
          </cell>
          <cell r="B728">
            <v>112272</v>
          </cell>
          <cell r="C728" t="str">
            <v>All Saint's CofE School</v>
          </cell>
          <cell r="D728" t="str">
            <v>Cumbria</v>
          </cell>
          <cell r="E728" t="str">
            <v>Voluntary Controlled School</v>
          </cell>
          <cell r="F728" t="str">
            <v>Primary</v>
          </cell>
        </row>
        <row r="729">
          <cell r="A729">
            <v>3815201</v>
          </cell>
          <cell r="B729">
            <v>107569</v>
          </cell>
          <cell r="C729" t="str">
            <v>All Saints' CofE VA Junior and Infant School</v>
          </cell>
          <cell r="D729" t="str">
            <v>Calderdale</v>
          </cell>
          <cell r="E729" t="str">
            <v>Voluntary Aided School</v>
          </cell>
          <cell r="F729" t="str">
            <v>Primary</v>
          </cell>
        </row>
        <row r="730">
          <cell r="A730">
            <v>9282001</v>
          </cell>
          <cell r="B730">
            <v>122096</v>
          </cell>
          <cell r="C730" t="str">
            <v>All Saints CofE VA Primary School</v>
          </cell>
          <cell r="D730" t="str">
            <v>Northamptonshire</v>
          </cell>
          <cell r="E730" t="str">
            <v>Voluntary Aided School</v>
          </cell>
          <cell r="F730" t="str">
            <v>Primary</v>
          </cell>
        </row>
        <row r="731">
          <cell r="A731">
            <v>9253157</v>
          </cell>
          <cell r="B731">
            <v>129583</v>
          </cell>
          <cell r="C731" t="str">
            <v>All Saints CofE/Methodist Primary School</v>
          </cell>
          <cell r="D731" t="str">
            <v>Lincolnshire</v>
          </cell>
          <cell r="E731" t="str">
            <v>Voluntary Controlled School</v>
          </cell>
          <cell r="F731" t="str">
            <v>Primary</v>
          </cell>
        </row>
        <row r="732">
          <cell r="A732">
            <v>3914500</v>
          </cell>
          <cell r="B732">
            <v>133302</v>
          </cell>
          <cell r="C732" t="str">
            <v>All Saints College</v>
          </cell>
          <cell r="D732" t="str">
            <v>Newcastle upon Tyne</v>
          </cell>
          <cell r="E732" t="str">
            <v>Foundation School</v>
          </cell>
          <cell r="F732" t="str">
            <v>Secondary</v>
          </cell>
        </row>
        <row r="733">
          <cell r="A733">
            <v>8023122</v>
          </cell>
          <cell r="B733">
            <v>109224</v>
          </cell>
          <cell r="C733" t="str">
            <v>All Saints East Clevedon Church of England Primary School</v>
          </cell>
          <cell r="D733" t="str">
            <v>North Somerset</v>
          </cell>
          <cell r="E733" t="str">
            <v>Voluntary Controlled School</v>
          </cell>
          <cell r="F733" t="str">
            <v>Primary</v>
          </cell>
        </row>
        <row r="734">
          <cell r="A734">
            <v>3843316</v>
          </cell>
          <cell r="B734">
            <v>108257</v>
          </cell>
          <cell r="C734" t="str">
            <v>All Saints Featherstone CofE (VA) Junior Infant and Nursery School</v>
          </cell>
          <cell r="D734" t="str">
            <v>Wakefield</v>
          </cell>
          <cell r="E734" t="str">
            <v>Voluntary Aided School</v>
          </cell>
          <cell r="F734" t="str">
            <v>Primary</v>
          </cell>
        </row>
        <row r="735">
          <cell r="A735">
            <v>8913552</v>
          </cell>
          <cell r="B735">
            <v>122804</v>
          </cell>
          <cell r="C735" t="str">
            <v>All Saints Harworth CofE (Aided) Primary School</v>
          </cell>
          <cell r="D735" t="str">
            <v>Nottinghamshire</v>
          </cell>
          <cell r="E735" t="str">
            <v>Voluntary Aided School</v>
          </cell>
          <cell r="F735" t="str">
            <v>Primary</v>
          </cell>
        </row>
        <row r="736">
          <cell r="A736">
            <v>3062077</v>
          </cell>
          <cell r="B736">
            <v>101768</v>
          </cell>
          <cell r="C736" t="str">
            <v>All Saints Infant School</v>
          </cell>
          <cell r="D736" t="str">
            <v>Croydon</v>
          </cell>
          <cell r="E736" t="str">
            <v>Community School</v>
          </cell>
          <cell r="F736" t="str">
            <v>Primary</v>
          </cell>
        </row>
        <row r="737">
          <cell r="A737">
            <v>8733383</v>
          </cell>
          <cell r="B737">
            <v>110859</v>
          </cell>
          <cell r="C737" t="str">
            <v>All Saints Interchurch VA Primary School</v>
          </cell>
          <cell r="D737" t="str">
            <v>Cambridgeshire</v>
          </cell>
          <cell r="E737" t="str">
            <v>Voluntary Aided School</v>
          </cell>
          <cell r="F737" t="str">
            <v>Primary</v>
          </cell>
        </row>
        <row r="738">
          <cell r="A738">
            <v>8702002</v>
          </cell>
          <cell r="B738">
            <v>137281</v>
          </cell>
          <cell r="C738" t="str">
            <v>All Saints Junior School</v>
          </cell>
          <cell r="D738" t="str">
            <v>Reading</v>
          </cell>
          <cell r="E738" t="str">
            <v>Academy Free Schools</v>
          </cell>
          <cell r="F738" t="str">
            <v>Primary</v>
          </cell>
        </row>
        <row r="739">
          <cell r="A739">
            <v>8813201</v>
          </cell>
          <cell r="B739">
            <v>115103</v>
          </cell>
          <cell r="C739" t="str">
            <v>All Saints Maldon Church of England Voluntary Controlled Primary School</v>
          </cell>
          <cell r="D739" t="str">
            <v>Essex</v>
          </cell>
          <cell r="E739" t="str">
            <v>Voluntary Controlled School</v>
          </cell>
          <cell r="F739" t="str">
            <v>Primary</v>
          </cell>
        </row>
        <row r="740">
          <cell r="A740">
            <v>3522321</v>
          </cell>
          <cell r="B740">
            <v>105480</v>
          </cell>
          <cell r="C740" t="str">
            <v>All Saints Primary School</v>
          </cell>
          <cell r="D740" t="str">
            <v>Manchester</v>
          </cell>
          <cell r="E740" t="str">
            <v>Community School</v>
          </cell>
          <cell r="F740" t="str">
            <v>Primary</v>
          </cell>
        </row>
        <row r="741">
          <cell r="A741">
            <v>6653338</v>
          </cell>
          <cell r="B741">
            <v>400458</v>
          </cell>
          <cell r="C741" t="str">
            <v>All Saints Primary School</v>
          </cell>
          <cell r="D741" t="str">
            <v>Wrexham</v>
          </cell>
          <cell r="E741" t="str">
            <v>Welsh Establishment</v>
          </cell>
          <cell r="F741" t="str">
            <v>Primary</v>
          </cell>
        </row>
        <row r="742">
          <cell r="A742">
            <v>6773315</v>
          </cell>
          <cell r="B742">
            <v>401418</v>
          </cell>
          <cell r="C742" t="str">
            <v>All Saints R.C. Primary School</v>
          </cell>
          <cell r="D742" t="str">
            <v>Blaenau Gwent</v>
          </cell>
          <cell r="E742" t="str">
            <v>Welsh Establishment</v>
          </cell>
          <cell r="F742" t="str">
            <v>Primary</v>
          </cell>
        </row>
        <row r="743">
          <cell r="A743">
            <v>8914756</v>
          </cell>
          <cell r="B743">
            <v>122900</v>
          </cell>
          <cell r="C743" t="str">
            <v>All Saints RC Comprehensive School</v>
          </cell>
          <cell r="D743" t="str">
            <v>Nottinghamshire</v>
          </cell>
          <cell r="E743" t="str">
            <v>Voluntary Aided School</v>
          </cell>
          <cell r="F743" t="str">
            <v>Secondary</v>
          </cell>
        </row>
        <row r="744">
          <cell r="A744">
            <v>8164702</v>
          </cell>
          <cell r="B744">
            <v>121720</v>
          </cell>
          <cell r="C744" t="str">
            <v>All Saints RC School</v>
          </cell>
          <cell r="D744" t="str">
            <v>York</v>
          </cell>
          <cell r="E744" t="str">
            <v>Voluntary Aided School</v>
          </cell>
          <cell r="F744" t="str">
            <v>Secondary</v>
          </cell>
        </row>
        <row r="745">
          <cell r="A745">
            <v>3833909</v>
          </cell>
          <cell r="B745">
            <v>108048</v>
          </cell>
          <cell r="C745" t="str">
            <v>All Saint's Richmond Hill Church of England Primary School</v>
          </cell>
          <cell r="D745" t="str">
            <v>Leeds</v>
          </cell>
          <cell r="E745" t="str">
            <v>Voluntary Aided School</v>
          </cell>
          <cell r="F745" t="str">
            <v>Primary</v>
          </cell>
        </row>
        <row r="746">
          <cell r="A746">
            <v>8884709</v>
          </cell>
          <cell r="B746">
            <v>119797</v>
          </cell>
          <cell r="C746" t="str">
            <v>All Saints Roman Catholic High School, Rossendale</v>
          </cell>
          <cell r="D746" t="str">
            <v>Lancashire</v>
          </cell>
          <cell r="E746" t="str">
            <v>Voluntary Aided School</v>
          </cell>
          <cell r="F746" t="str">
            <v>Secondary</v>
          </cell>
        </row>
        <row r="747">
          <cell r="A747">
            <v>8153616</v>
          </cell>
          <cell r="B747">
            <v>121657</v>
          </cell>
          <cell r="C747" t="str">
            <v>All Saints Roman Catholic Primary School</v>
          </cell>
          <cell r="D747" t="str">
            <v>North Yorkshire</v>
          </cell>
          <cell r="E747" t="str">
            <v>Voluntary Aided School</v>
          </cell>
          <cell r="F747" t="str">
            <v>Primary</v>
          </cell>
        </row>
        <row r="748">
          <cell r="A748">
            <v>8566002</v>
          </cell>
          <cell r="B748">
            <v>120342</v>
          </cell>
          <cell r="C748" t="str">
            <v>All Saints School</v>
          </cell>
          <cell r="D748" t="str">
            <v>Leicester</v>
          </cell>
          <cell r="E748" t="str">
            <v>Other Independent School</v>
          </cell>
          <cell r="F748" t="str">
            <v>Not applicable</v>
          </cell>
        </row>
        <row r="749">
          <cell r="A749">
            <v>9266140</v>
          </cell>
          <cell r="B749">
            <v>121250</v>
          </cell>
          <cell r="C749" t="str">
            <v>All Saints School</v>
          </cell>
          <cell r="D749" t="str">
            <v>Norfolk</v>
          </cell>
          <cell r="E749" t="str">
            <v>Other Independent School</v>
          </cell>
          <cell r="F749" t="str">
            <v>Not applicable</v>
          </cell>
        </row>
        <row r="750">
          <cell r="A750">
            <v>8763179</v>
          </cell>
          <cell r="B750">
            <v>131217</v>
          </cell>
          <cell r="C750" t="str">
            <v>All Saints Upton Church of England Voluntary Controlled Primary School</v>
          </cell>
          <cell r="D750" t="str">
            <v>Halton</v>
          </cell>
          <cell r="E750" t="str">
            <v>Voluntary Controlled School</v>
          </cell>
          <cell r="F750" t="str">
            <v>Primary</v>
          </cell>
        </row>
        <row r="751">
          <cell r="A751">
            <v>8233306</v>
          </cell>
          <cell r="B751">
            <v>109616</v>
          </cell>
          <cell r="C751" t="str">
            <v>All Saints VA CofE Lower School</v>
          </cell>
          <cell r="D751" t="str">
            <v>Central Bedfordshire</v>
          </cell>
          <cell r="E751" t="str">
            <v>Voluntary Aided School</v>
          </cell>
          <cell r="F751" t="str">
            <v>Primary</v>
          </cell>
        </row>
        <row r="752">
          <cell r="A752">
            <v>8655224</v>
          </cell>
          <cell r="B752">
            <v>126389</v>
          </cell>
          <cell r="C752" t="str">
            <v>All Saints VA CofE Primary School</v>
          </cell>
          <cell r="D752" t="str">
            <v>Wiltshire</v>
          </cell>
          <cell r="E752" t="str">
            <v>Voluntary Aided School</v>
          </cell>
          <cell r="F752" t="str">
            <v>Primary</v>
          </cell>
        </row>
        <row r="753">
          <cell r="A753">
            <v>9283070</v>
          </cell>
          <cell r="B753">
            <v>121998</v>
          </cell>
          <cell r="C753" t="str">
            <v>All Saints VA Primary School and Nursery</v>
          </cell>
          <cell r="D753" t="str">
            <v>Northamptonshire</v>
          </cell>
          <cell r="E753" t="str">
            <v>Voluntary Aided School</v>
          </cell>
          <cell r="F753" t="str">
            <v>Primary</v>
          </cell>
        </row>
        <row r="754">
          <cell r="A754">
            <v>8153361</v>
          </cell>
          <cell r="B754">
            <v>121630</v>
          </cell>
          <cell r="C754" t="str">
            <v>All Saints, Church of England School</v>
          </cell>
          <cell r="D754" t="str">
            <v>North Yorkshire</v>
          </cell>
          <cell r="E754" t="str">
            <v>Voluntary Aided School</v>
          </cell>
          <cell r="F754" t="str">
            <v>Primary</v>
          </cell>
        </row>
        <row r="755">
          <cell r="A755">
            <v>3313433</v>
          </cell>
          <cell r="B755">
            <v>103724</v>
          </cell>
          <cell r="C755" t="str">
            <v>All Souls Catholic Primary School</v>
          </cell>
          <cell r="D755" t="str">
            <v>Coventry</v>
          </cell>
          <cell r="E755" t="str">
            <v>Voluntary Aided School</v>
          </cell>
          <cell r="F755" t="str">
            <v>Primary</v>
          </cell>
        </row>
        <row r="756">
          <cell r="A756">
            <v>3543014</v>
          </cell>
          <cell r="B756">
            <v>105811</v>
          </cell>
          <cell r="C756" t="str">
            <v>All Souls Church of England Primary School</v>
          </cell>
          <cell r="D756" t="str">
            <v>Rochdale</v>
          </cell>
          <cell r="E756" t="str">
            <v>Voluntary Controlled School</v>
          </cell>
          <cell r="F756" t="str">
            <v>Primary</v>
          </cell>
        </row>
        <row r="757">
          <cell r="A757">
            <v>8865224</v>
          </cell>
          <cell r="B757">
            <v>118870</v>
          </cell>
          <cell r="C757" t="str">
            <v>All Souls' Church of England Primary School</v>
          </cell>
          <cell r="D757" t="str">
            <v>Kent</v>
          </cell>
          <cell r="E757" t="str">
            <v>Voluntary Aided School</v>
          </cell>
          <cell r="F757" t="str">
            <v>Primary</v>
          </cell>
        </row>
        <row r="758">
          <cell r="A758">
            <v>2133306</v>
          </cell>
          <cell r="B758">
            <v>101121</v>
          </cell>
          <cell r="C758" t="str">
            <v>All Souls CofE Primary School</v>
          </cell>
          <cell r="D758" t="str">
            <v>Westminster</v>
          </cell>
          <cell r="E758" t="str">
            <v>Voluntary Aided School</v>
          </cell>
          <cell r="F758" t="str">
            <v>Primary</v>
          </cell>
        </row>
        <row r="759">
          <cell r="A759">
            <v>3553621</v>
          </cell>
          <cell r="B759">
            <v>105967</v>
          </cell>
          <cell r="C759" t="str">
            <v>All Souls RC Primary School</v>
          </cell>
          <cell r="D759" t="str">
            <v>Salford</v>
          </cell>
          <cell r="E759" t="str">
            <v>Voluntary Aided School</v>
          </cell>
          <cell r="F759" t="str">
            <v>Primary</v>
          </cell>
        </row>
        <row r="760">
          <cell r="A760">
            <v>3422001</v>
          </cell>
          <cell r="B760">
            <v>104758</v>
          </cell>
          <cell r="C760" t="str">
            <v>Allanson Street Primary School</v>
          </cell>
          <cell r="D760" t="str">
            <v>St. Helens</v>
          </cell>
          <cell r="E760" t="str">
            <v>Community School</v>
          </cell>
          <cell r="F760" t="str">
            <v>Primary</v>
          </cell>
        </row>
        <row r="761">
          <cell r="A761">
            <v>9216043</v>
          </cell>
          <cell r="B761">
            <v>134504</v>
          </cell>
          <cell r="C761" t="str">
            <v>Allbrook Education Trust</v>
          </cell>
          <cell r="D761" t="str">
            <v>Isle of Wight</v>
          </cell>
          <cell r="E761" t="str">
            <v>Other Independent School</v>
          </cell>
          <cell r="F761" t="str">
            <v>Not applicable</v>
          </cell>
        </row>
        <row r="762">
          <cell r="A762">
            <v>8506080</v>
          </cell>
          <cell r="B762">
            <v>134478</v>
          </cell>
          <cell r="C762" t="str">
            <v>Allbrook Primary School</v>
          </cell>
          <cell r="D762" t="str">
            <v>Hampshire</v>
          </cell>
          <cell r="E762" t="str">
            <v>Other Independent School</v>
          </cell>
          <cell r="F762" t="str">
            <v>Not applicable</v>
          </cell>
        </row>
        <row r="763">
          <cell r="A763">
            <v>2082808</v>
          </cell>
          <cell r="B763">
            <v>100598</v>
          </cell>
          <cell r="C763" t="str">
            <v>Allen Edwards Primary School</v>
          </cell>
          <cell r="D763" t="str">
            <v>Lambeth</v>
          </cell>
          <cell r="E763" t="str">
            <v>Community School</v>
          </cell>
          <cell r="F763" t="str">
            <v>Primary</v>
          </cell>
        </row>
        <row r="764">
          <cell r="A764">
            <v>8354029</v>
          </cell>
          <cell r="B764">
            <v>113859</v>
          </cell>
          <cell r="C764" t="str">
            <v>Allenbourn Middle School</v>
          </cell>
          <cell r="D764" t="str">
            <v>Dorset</v>
          </cell>
          <cell r="E764" t="str">
            <v>Community School</v>
          </cell>
          <cell r="F764" t="str">
            <v>Middle Deemed Secondary</v>
          </cell>
        </row>
        <row r="765">
          <cell r="A765">
            <v>3072145</v>
          </cell>
          <cell r="B765">
            <v>126865</v>
          </cell>
          <cell r="C765" t="str">
            <v>Allenby First School</v>
          </cell>
          <cell r="D765" t="str">
            <v>Ealing</v>
          </cell>
          <cell r="E765" t="str">
            <v>Community School</v>
          </cell>
          <cell r="F765" t="str">
            <v>Primary</v>
          </cell>
        </row>
        <row r="766">
          <cell r="A766">
            <v>3071006</v>
          </cell>
          <cell r="B766">
            <v>126823</v>
          </cell>
          <cell r="C766" t="str">
            <v>Allenby Nursery School</v>
          </cell>
          <cell r="D766" t="str">
            <v>Ealing</v>
          </cell>
          <cell r="E766" t="str">
            <v>LA Nursery School</v>
          </cell>
          <cell r="F766" t="str">
            <v>Nursery</v>
          </cell>
        </row>
        <row r="767">
          <cell r="A767">
            <v>3072161</v>
          </cell>
          <cell r="B767">
            <v>101891</v>
          </cell>
          <cell r="C767" t="str">
            <v>Allenby Primary School</v>
          </cell>
          <cell r="D767" t="str">
            <v>Ealing</v>
          </cell>
          <cell r="E767" t="str">
            <v>Community School</v>
          </cell>
          <cell r="F767" t="str">
            <v>Primary</v>
          </cell>
        </row>
        <row r="768">
          <cell r="A768">
            <v>2096364</v>
          </cell>
          <cell r="B768">
            <v>134399</v>
          </cell>
          <cell r="C768" t="str">
            <v>Allenby Primary School</v>
          </cell>
          <cell r="D768" t="str">
            <v>Lewisham</v>
          </cell>
          <cell r="E768" t="str">
            <v>Other Independent School</v>
          </cell>
          <cell r="F768" t="str">
            <v>Not applicable</v>
          </cell>
        </row>
        <row r="769">
          <cell r="A769">
            <v>2096366</v>
          </cell>
          <cell r="B769">
            <v>135540</v>
          </cell>
          <cell r="C769" t="str">
            <v>Allenby Primary School</v>
          </cell>
          <cell r="D769" t="str">
            <v>Lewisham</v>
          </cell>
          <cell r="E769" t="str">
            <v>Other Independent School</v>
          </cell>
          <cell r="F769" t="str">
            <v>Not applicable</v>
          </cell>
        </row>
        <row r="770">
          <cell r="A770">
            <v>3411000</v>
          </cell>
          <cell r="B770">
            <v>104502</v>
          </cell>
          <cell r="C770" t="str">
            <v>Allenby Square Nursery School</v>
          </cell>
          <cell r="D770" t="str">
            <v>Liverpool</v>
          </cell>
          <cell r="E770" t="str">
            <v>LA Nursery School</v>
          </cell>
          <cell r="F770" t="str">
            <v>Nursery</v>
          </cell>
        </row>
        <row r="771">
          <cell r="A771">
            <v>2099900</v>
          </cell>
          <cell r="B771">
            <v>133223</v>
          </cell>
          <cell r="C771" t="str">
            <v>Allenby Tutorial Trust</v>
          </cell>
          <cell r="D771" t="str">
            <v>Lewisham</v>
          </cell>
          <cell r="E771" t="str">
            <v>Miscellaneous</v>
          </cell>
          <cell r="F771" t="str">
            <v>Not applicable</v>
          </cell>
        </row>
        <row r="772">
          <cell r="A772">
            <v>9292009</v>
          </cell>
          <cell r="B772">
            <v>122171</v>
          </cell>
          <cell r="C772" t="str">
            <v>Allendale First School</v>
          </cell>
          <cell r="D772" t="str">
            <v>Northumberland</v>
          </cell>
          <cell r="E772" t="str">
            <v>Community School</v>
          </cell>
          <cell r="F772" t="str">
            <v>Primary</v>
          </cell>
        </row>
        <row r="773">
          <cell r="A773">
            <v>9294006</v>
          </cell>
          <cell r="B773">
            <v>122317</v>
          </cell>
          <cell r="C773" t="str">
            <v>Allendale Middle School</v>
          </cell>
          <cell r="D773" t="str">
            <v>Northumberland</v>
          </cell>
          <cell r="E773" t="str">
            <v>Foundation School</v>
          </cell>
          <cell r="F773" t="str">
            <v>Middle Deemed Secondary</v>
          </cell>
        </row>
        <row r="774">
          <cell r="A774">
            <v>2076186</v>
          </cell>
          <cell r="B774">
            <v>100517</v>
          </cell>
          <cell r="C774" t="str">
            <v>Allendale Preparatory School</v>
          </cell>
          <cell r="D774" t="str">
            <v>Kensington and Chelsea</v>
          </cell>
          <cell r="E774" t="str">
            <v>Other Independent School</v>
          </cell>
          <cell r="F774" t="str">
            <v>Not applicable</v>
          </cell>
        </row>
        <row r="775">
          <cell r="A775">
            <v>8312441</v>
          </cell>
          <cell r="B775">
            <v>112742</v>
          </cell>
          <cell r="C775" t="str">
            <v>Allenpark Infant School</v>
          </cell>
          <cell r="D775" t="str">
            <v>Derby</v>
          </cell>
          <cell r="E775" t="str">
            <v>Community School</v>
          </cell>
          <cell r="F775" t="str">
            <v>Primary</v>
          </cell>
        </row>
        <row r="776">
          <cell r="A776">
            <v>3301017</v>
          </cell>
          <cell r="B776">
            <v>103130</v>
          </cell>
          <cell r="C776" t="str">
            <v>Allens Croft Nursery School</v>
          </cell>
          <cell r="D776" t="str">
            <v>Birmingham</v>
          </cell>
          <cell r="E776" t="str">
            <v>LA Nursery School</v>
          </cell>
          <cell r="F776" t="str">
            <v>Nursery</v>
          </cell>
        </row>
        <row r="777">
          <cell r="A777">
            <v>3302153</v>
          </cell>
          <cell r="B777">
            <v>103243</v>
          </cell>
          <cell r="C777" t="str">
            <v>Allens Croft Primary School</v>
          </cell>
          <cell r="D777" t="str">
            <v>Birmingham</v>
          </cell>
          <cell r="E777" t="str">
            <v>Community School</v>
          </cell>
          <cell r="F777" t="str">
            <v>Primary</v>
          </cell>
        </row>
        <row r="778">
          <cell r="A778">
            <v>3352125</v>
          </cell>
          <cell r="B778">
            <v>104194</v>
          </cell>
          <cell r="C778" t="str">
            <v>Allens Rough Primary School</v>
          </cell>
          <cell r="D778" t="str">
            <v>Walsall</v>
          </cell>
          <cell r="E778" t="str">
            <v>Community School</v>
          </cell>
          <cell r="F778" t="str">
            <v>Primary</v>
          </cell>
        </row>
        <row r="779">
          <cell r="A779">
            <v>6812007</v>
          </cell>
          <cell r="B779">
            <v>401561</v>
          </cell>
          <cell r="C779" t="str">
            <v>Allensbank Primary School</v>
          </cell>
          <cell r="D779" t="str">
            <v>Cardiff</v>
          </cell>
          <cell r="E779" t="str">
            <v>Welsh Establishment</v>
          </cell>
          <cell r="F779" t="str">
            <v>Primary</v>
          </cell>
        </row>
        <row r="780">
          <cell r="A780">
            <v>8312400</v>
          </cell>
          <cell r="B780">
            <v>112712</v>
          </cell>
          <cell r="C780" t="str">
            <v>Allenton Community Primary School</v>
          </cell>
          <cell r="D780" t="str">
            <v>Derby</v>
          </cell>
          <cell r="E780" t="str">
            <v>Community School</v>
          </cell>
          <cell r="F780" t="str">
            <v>Primary</v>
          </cell>
        </row>
        <row r="781">
          <cell r="A781">
            <v>3832279</v>
          </cell>
          <cell r="B781">
            <v>127882</v>
          </cell>
          <cell r="C781" t="str">
            <v>Allerton Bywater Infant School</v>
          </cell>
          <cell r="D781" t="str">
            <v>Leeds</v>
          </cell>
          <cell r="E781" t="str">
            <v>Community School</v>
          </cell>
          <cell r="F781" t="str">
            <v>Primary</v>
          </cell>
        </row>
        <row r="782">
          <cell r="A782">
            <v>3832372</v>
          </cell>
          <cell r="B782">
            <v>127908</v>
          </cell>
          <cell r="C782" t="str">
            <v>Allerton Bywater Junior School</v>
          </cell>
          <cell r="D782" t="str">
            <v>Leeds</v>
          </cell>
          <cell r="E782" t="str">
            <v>Community School</v>
          </cell>
          <cell r="F782" t="str">
            <v>Primary</v>
          </cell>
        </row>
        <row r="783">
          <cell r="A783">
            <v>3832507</v>
          </cell>
          <cell r="B783">
            <v>107983</v>
          </cell>
          <cell r="C783" t="str">
            <v>Allerton Bywater Primary School</v>
          </cell>
          <cell r="D783" t="str">
            <v>Leeds</v>
          </cell>
          <cell r="E783" t="str">
            <v>Foundation School</v>
          </cell>
          <cell r="F783" t="str">
            <v>Primary</v>
          </cell>
        </row>
        <row r="784">
          <cell r="A784">
            <v>3833931</v>
          </cell>
          <cell r="B784">
            <v>135210</v>
          </cell>
          <cell r="C784" t="str">
            <v>Allerton CofE Primary School</v>
          </cell>
          <cell r="D784" t="str">
            <v>Leeds</v>
          </cell>
          <cell r="E784" t="str">
            <v>Voluntary Controlled School</v>
          </cell>
          <cell r="F784" t="str">
            <v>Primary</v>
          </cell>
        </row>
        <row r="785">
          <cell r="A785">
            <v>3419902</v>
          </cell>
          <cell r="B785">
            <v>133241</v>
          </cell>
          <cell r="C785" t="str">
            <v>Allerton Education Trust Learning Centre</v>
          </cell>
          <cell r="D785" t="str">
            <v>Liverpool</v>
          </cell>
          <cell r="E785" t="str">
            <v>Miscellaneous</v>
          </cell>
          <cell r="F785" t="str">
            <v>Not applicable</v>
          </cell>
        </row>
        <row r="786">
          <cell r="A786">
            <v>3834001</v>
          </cell>
          <cell r="B786">
            <v>127948</v>
          </cell>
          <cell r="C786" t="str">
            <v>Allerton Grange Middle School</v>
          </cell>
          <cell r="D786" t="str">
            <v>Leeds</v>
          </cell>
          <cell r="E786" t="str">
            <v>Community School</v>
          </cell>
          <cell r="F786" t="str">
            <v>Middle Deemed Secondary</v>
          </cell>
        </row>
        <row r="787">
          <cell r="A787">
            <v>3834040</v>
          </cell>
          <cell r="B787">
            <v>108058</v>
          </cell>
          <cell r="C787" t="str">
            <v>Allerton Grange School</v>
          </cell>
          <cell r="D787" t="str">
            <v>Leeds</v>
          </cell>
          <cell r="E787" t="str">
            <v>Community School</v>
          </cell>
          <cell r="F787" t="str">
            <v>Secondary</v>
          </cell>
        </row>
        <row r="788">
          <cell r="A788">
            <v>3834002</v>
          </cell>
          <cell r="B788">
            <v>127949</v>
          </cell>
          <cell r="C788" t="str">
            <v>Allerton Grange School</v>
          </cell>
          <cell r="D788" t="str">
            <v>Leeds</v>
          </cell>
          <cell r="E788" t="str">
            <v>Community School</v>
          </cell>
          <cell r="F788" t="str">
            <v>Secondary</v>
          </cell>
        </row>
        <row r="789">
          <cell r="A789">
            <v>3834032</v>
          </cell>
          <cell r="B789">
            <v>108057</v>
          </cell>
          <cell r="C789" t="str">
            <v>Allerton High School</v>
          </cell>
          <cell r="D789" t="str">
            <v>Leeds</v>
          </cell>
          <cell r="E789" t="str">
            <v>Community School</v>
          </cell>
          <cell r="F789" t="str">
            <v>Secondary</v>
          </cell>
        </row>
        <row r="790">
          <cell r="A790">
            <v>3834010</v>
          </cell>
          <cell r="B790">
            <v>127956</v>
          </cell>
          <cell r="C790" t="str">
            <v>Allerton High School</v>
          </cell>
          <cell r="D790" t="str">
            <v>Leeds</v>
          </cell>
          <cell r="E790" t="str">
            <v>Community School</v>
          </cell>
          <cell r="F790" t="str">
            <v>Secondary</v>
          </cell>
        </row>
        <row r="791">
          <cell r="A791">
            <v>8122167</v>
          </cell>
          <cell r="B791">
            <v>117775</v>
          </cell>
          <cell r="C791" t="str">
            <v>Allerton Infants' School</v>
          </cell>
          <cell r="D791" t="str">
            <v>North East Lincolnshire</v>
          </cell>
          <cell r="E791" t="str">
            <v>Community School</v>
          </cell>
          <cell r="F791" t="str">
            <v>Primary</v>
          </cell>
        </row>
        <row r="792">
          <cell r="A792">
            <v>8122177</v>
          </cell>
          <cell r="B792">
            <v>117784</v>
          </cell>
          <cell r="C792" t="str">
            <v>Allerton Junior School</v>
          </cell>
          <cell r="D792" t="str">
            <v>North East Lincolnshire</v>
          </cell>
          <cell r="E792" t="str">
            <v>Community School</v>
          </cell>
          <cell r="F792" t="str">
            <v>Primary</v>
          </cell>
        </row>
        <row r="793">
          <cell r="A793">
            <v>3804056</v>
          </cell>
          <cell r="B793">
            <v>107380</v>
          </cell>
          <cell r="C793" t="str">
            <v>Allerton Middle School</v>
          </cell>
          <cell r="D793" t="str">
            <v>Bradford</v>
          </cell>
          <cell r="E793" t="str">
            <v>Community School</v>
          </cell>
          <cell r="F793" t="str">
            <v>Middle Deemed Secondary</v>
          </cell>
        </row>
        <row r="794">
          <cell r="A794">
            <v>3802001</v>
          </cell>
          <cell r="B794">
            <v>107193</v>
          </cell>
          <cell r="C794" t="str">
            <v>Allerton Primary School</v>
          </cell>
          <cell r="D794" t="str">
            <v>Bradford</v>
          </cell>
          <cell r="E794" t="str">
            <v>Community School</v>
          </cell>
          <cell r="F794" t="str">
            <v>Primary</v>
          </cell>
        </row>
        <row r="795">
          <cell r="A795">
            <v>8122000</v>
          </cell>
          <cell r="B795">
            <v>131541</v>
          </cell>
          <cell r="C795" t="str">
            <v>Allerton Primary School</v>
          </cell>
          <cell r="D795" t="str">
            <v>North East Lincolnshire</v>
          </cell>
          <cell r="E795" t="str">
            <v>Community School</v>
          </cell>
          <cell r="F795" t="str">
            <v>Primary</v>
          </cell>
        </row>
        <row r="796">
          <cell r="A796">
            <v>8154074</v>
          </cell>
          <cell r="B796">
            <v>121678</v>
          </cell>
          <cell r="C796" t="str">
            <v>Allertonshire School</v>
          </cell>
          <cell r="D796" t="str">
            <v>North Yorkshire</v>
          </cell>
          <cell r="E796" t="str">
            <v>Community School</v>
          </cell>
          <cell r="F796" t="str">
            <v>Secondary</v>
          </cell>
        </row>
        <row r="797">
          <cell r="A797">
            <v>3312076</v>
          </cell>
          <cell r="B797">
            <v>103656</v>
          </cell>
          <cell r="C797" t="str">
            <v>Allesley Hall Primary School</v>
          </cell>
          <cell r="D797" t="str">
            <v>Coventry</v>
          </cell>
          <cell r="E797" t="str">
            <v>Community School</v>
          </cell>
          <cell r="F797" t="str">
            <v>Primary</v>
          </cell>
        </row>
        <row r="798">
          <cell r="A798">
            <v>3312084</v>
          </cell>
          <cell r="B798">
            <v>103662</v>
          </cell>
          <cell r="C798" t="str">
            <v>Allesley Primary School</v>
          </cell>
          <cell r="D798" t="str">
            <v>Coventry</v>
          </cell>
          <cell r="E798" t="str">
            <v>Community School</v>
          </cell>
          <cell r="F798" t="str">
            <v>Primary</v>
          </cell>
        </row>
        <row r="799">
          <cell r="A799">
            <v>9156049</v>
          </cell>
          <cell r="B799">
            <v>128913</v>
          </cell>
          <cell r="C799" t="str">
            <v>Alleyn Court Eton House School</v>
          </cell>
          <cell r="D799" t="str">
            <v>Pre LGR (1998) Essex</v>
          </cell>
          <cell r="E799" t="str">
            <v>Other Independent School</v>
          </cell>
          <cell r="F799" t="str">
            <v>Not applicable</v>
          </cell>
        </row>
        <row r="800">
          <cell r="A800">
            <v>8826002</v>
          </cell>
          <cell r="B800">
            <v>115403</v>
          </cell>
          <cell r="C800" t="str">
            <v>Alleyn Court Preparatory School</v>
          </cell>
          <cell r="D800" t="str">
            <v>Southend-on-Sea</v>
          </cell>
          <cell r="E800" t="str">
            <v>Other Independent School</v>
          </cell>
          <cell r="F800" t="str">
            <v>Not applicable</v>
          </cell>
        </row>
        <row r="801">
          <cell r="A801">
            <v>8604112</v>
          </cell>
          <cell r="B801">
            <v>124417</v>
          </cell>
          <cell r="C801" t="str">
            <v>Alleyne's High School</v>
          </cell>
          <cell r="D801" t="str">
            <v>Staffordshire</v>
          </cell>
          <cell r="E801" t="str">
            <v>Community School</v>
          </cell>
          <cell r="F801" t="str">
            <v>Secondary</v>
          </cell>
        </row>
        <row r="802">
          <cell r="A802">
            <v>2106312</v>
          </cell>
          <cell r="B802">
            <v>100864</v>
          </cell>
          <cell r="C802" t="str">
            <v>Alleyn's School</v>
          </cell>
          <cell r="D802" t="str">
            <v>Southwark</v>
          </cell>
          <cell r="E802" t="str">
            <v>Other Independent School</v>
          </cell>
          <cell r="F802" t="str">
            <v>Not applicable</v>
          </cell>
        </row>
        <row r="803">
          <cell r="A803">
            <v>2122010</v>
          </cell>
          <cell r="B803">
            <v>100996</v>
          </cell>
          <cell r="C803" t="str">
            <v>Allfarthing Primary School</v>
          </cell>
          <cell r="D803" t="str">
            <v>Wandsworth</v>
          </cell>
          <cell r="E803" t="str">
            <v>Community School</v>
          </cell>
          <cell r="F803" t="str">
            <v>Primary</v>
          </cell>
        </row>
        <row r="804">
          <cell r="A804">
            <v>9386241</v>
          </cell>
          <cell r="B804">
            <v>130200</v>
          </cell>
          <cell r="C804" t="str">
            <v>Allfreys School</v>
          </cell>
          <cell r="D804" t="str">
            <v>West Sussex</v>
          </cell>
          <cell r="E804" t="str">
            <v>Other Independent School</v>
          </cell>
          <cell r="F804" t="str">
            <v>Not applicable</v>
          </cell>
        </row>
        <row r="805">
          <cell r="A805">
            <v>9224535</v>
          </cell>
          <cell r="B805">
            <v>129440</v>
          </cell>
          <cell r="C805" t="str">
            <v>Allhallows CofE Middle School</v>
          </cell>
          <cell r="D805" t="str">
            <v>Pre LGR (1998) Kent</v>
          </cell>
          <cell r="E805" t="str">
            <v>Voluntary Controlled School</v>
          </cell>
          <cell r="F805" t="str">
            <v>Middle Deemed Secondary</v>
          </cell>
        </row>
        <row r="806">
          <cell r="A806">
            <v>8786005</v>
          </cell>
          <cell r="B806">
            <v>113569</v>
          </cell>
          <cell r="C806" t="str">
            <v>Allhallows College</v>
          </cell>
          <cell r="D806" t="str">
            <v>Devon</v>
          </cell>
          <cell r="E806" t="str">
            <v>Other Independent School</v>
          </cell>
          <cell r="F806" t="str">
            <v>Not applicable</v>
          </cell>
        </row>
        <row r="807">
          <cell r="A807">
            <v>8872570</v>
          </cell>
          <cell r="B807">
            <v>118521</v>
          </cell>
          <cell r="C807" t="str">
            <v>Allhallows Primary School</v>
          </cell>
          <cell r="D807" t="str">
            <v>Medway</v>
          </cell>
          <cell r="E807" t="str">
            <v>Community School</v>
          </cell>
          <cell r="F807" t="str">
            <v>Primary</v>
          </cell>
        </row>
        <row r="808">
          <cell r="A808">
            <v>9176317</v>
          </cell>
          <cell r="B808">
            <v>129062</v>
          </cell>
          <cell r="C808" t="str">
            <v>Allington Manor School</v>
          </cell>
          <cell r="D808" t="str">
            <v>Pre LGR (1997) Hampshire</v>
          </cell>
          <cell r="E808" t="str">
            <v>Other Independent School</v>
          </cell>
          <cell r="F808" t="str">
            <v>Not applicable</v>
          </cell>
        </row>
        <row r="809">
          <cell r="A809">
            <v>9176347</v>
          </cell>
          <cell r="B809">
            <v>129067</v>
          </cell>
          <cell r="C809" t="str">
            <v>Allington Manor School</v>
          </cell>
          <cell r="D809" t="str">
            <v>Pre LGR (1997) Hampshire</v>
          </cell>
          <cell r="E809" t="str">
            <v>Other Independent School</v>
          </cell>
          <cell r="F809" t="str">
            <v>Not applicable</v>
          </cell>
        </row>
        <row r="810">
          <cell r="A810">
            <v>9176355</v>
          </cell>
          <cell r="B810">
            <v>132939</v>
          </cell>
          <cell r="C810" t="str">
            <v>Allington Manor School</v>
          </cell>
          <cell r="D810" t="str">
            <v>Pre LGR (1997) Hampshire</v>
          </cell>
          <cell r="E810" t="str">
            <v>Other Independent School</v>
          </cell>
          <cell r="F810" t="str">
            <v>Not applicable</v>
          </cell>
        </row>
        <row r="811">
          <cell r="A811">
            <v>8865209</v>
          </cell>
          <cell r="B811">
            <v>118855</v>
          </cell>
          <cell r="C811" t="str">
            <v>Allington Primary School</v>
          </cell>
          <cell r="D811" t="str">
            <v>Kent</v>
          </cell>
          <cell r="E811" t="str">
            <v>Foundation School</v>
          </cell>
          <cell r="F811" t="str">
            <v>Primary</v>
          </cell>
        </row>
        <row r="812">
          <cell r="A812">
            <v>8657005</v>
          </cell>
          <cell r="B812">
            <v>126548</v>
          </cell>
          <cell r="C812" t="str">
            <v>Allington School</v>
          </cell>
          <cell r="D812" t="str">
            <v>Wiltshire</v>
          </cell>
          <cell r="E812" t="str">
            <v>Community Special School</v>
          </cell>
          <cell r="F812" t="str">
            <v>Special</v>
          </cell>
        </row>
        <row r="813">
          <cell r="A813">
            <v>9253000</v>
          </cell>
          <cell r="B813">
            <v>120511</v>
          </cell>
          <cell r="C813" t="str">
            <v>Allington with Sedgebrook Church of England Primary School</v>
          </cell>
          <cell r="D813" t="str">
            <v>Lincolnshire</v>
          </cell>
          <cell r="E813" t="str">
            <v>Voluntary Controlled School</v>
          </cell>
          <cell r="F813" t="str">
            <v>Primary</v>
          </cell>
        </row>
        <row r="814">
          <cell r="A814">
            <v>9093125</v>
          </cell>
          <cell r="B814">
            <v>112282</v>
          </cell>
          <cell r="C814" t="str">
            <v>Allithwaite CofE Primary School</v>
          </cell>
          <cell r="D814" t="str">
            <v>Cumbria</v>
          </cell>
          <cell r="E814" t="str">
            <v>Voluntary Controlled School</v>
          </cell>
          <cell r="F814" t="str">
            <v>Primary</v>
          </cell>
        </row>
        <row r="815">
          <cell r="A815">
            <v>9092001</v>
          </cell>
          <cell r="B815">
            <v>112100</v>
          </cell>
          <cell r="C815" t="str">
            <v>Allonby Primary School</v>
          </cell>
          <cell r="D815" t="str">
            <v>Cumbria</v>
          </cell>
          <cell r="E815" t="str">
            <v>Community School</v>
          </cell>
          <cell r="F815" t="str">
            <v>Primary</v>
          </cell>
        </row>
        <row r="816">
          <cell r="A816">
            <v>6712100</v>
          </cell>
          <cell r="B816">
            <v>400951</v>
          </cell>
          <cell r="C816" t="str">
            <v>Alltwen Primary School</v>
          </cell>
          <cell r="D816" t="str">
            <v>Neath Port Talbot</v>
          </cell>
          <cell r="E816" t="str">
            <v>Welsh Establishment</v>
          </cell>
          <cell r="F816" t="str">
            <v>Primary</v>
          </cell>
        </row>
        <row r="817">
          <cell r="A817">
            <v>2102012</v>
          </cell>
          <cell r="B817">
            <v>126667</v>
          </cell>
          <cell r="C817" t="str">
            <v>Alma Infant School</v>
          </cell>
          <cell r="D817" t="str">
            <v>Southwark</v>
          </cell>
          <cell r="E817" t="str">
            <v>Community School</v>
          </cell>
          <cell r="F817" t="str">
            <v>Primary</v>
          </cell>
        </row>
        <row r="818">
          <cell r="A818">
            <v>2102011</v>
          </cell>
          <cell r="B818">
            <v>126666</v>
          </cell>
          <cell r="C818" t="str">
            <v>Alma Junior School</v>
          </cell>
          <cell r="D818" t="str">
            <v>Southwark</v>
          </cell>
          <cell r="E818" t="str">
            <v>Community School</v>
          </cell>
          <cell r="F818" t="str">
            <v>Primary</v>
          </cell>
        </row>
        <row r="819">
          <cell r="A819">
            <v>3522006</v>
          </cell>
          <cell r="B819">
            <v>105389</v>
          </cell>
          <cell r="C819" t="str">
            <v>Alma Park Primary School</v>
          </cell>
          <cell r="D819" t="str">
            <v>Manchester</v>
          </cell>
          <cell r="E819" t="str">
            <v>Community School</v>
          </cell>
          <cell r="F819" t="str">
            <v>Primary</v>
          </cell>
        </row>
        <row r="820">
          <cell r="A820">
            <v>2102854</v>
          </cell>
          <cell r="B820">
            <v>100820</v>
          </cell>
          <cell r="C820" t="str">
            <v>Alma Primary School</v>
          </cell>
          <cell r="D820" t="str">
            <v>Southwark</v>
          </cell>
          <cell r="E820" t="str">
            <v>Community School</v>
          </cell>
          <cell r="F820" t="str">
            <v>Primary</v>
          </cell>
        </row>
        <row r="821">
          <cell r="A821">
            <v>3082072</v>
          </cell>
          <cell r="B821">
            <v>102012</v>
          </cell>
          <cell r="C821" t="str">
            <v>Alma Primary School</v>
          </cell>
          <cell r="D821" t="str">
            <v>Enfield</v>
          </cell>
          <cell r="E821" t="str">
            <v>Community School</v>
          </cell>
          <cell r="F821" t="str">
            <v>Primary</v>
          </cell>
        </row>
        <row r="822">
          <cell r="A822">
            <v>3736028</v>
          </cell>
          <cell r="B822">
            <v>131122</v>
          </cell>
          <cell r="C822" t="str">
            <v>Al-Mahad-Al-Islami School</v>
          </cell>
          <cell r="D822" t="str">
            <v>Sheffield</v>
          </cell>
          <cell r="E822" t="str">
            <v>Other Independent School</v>
          </cell>
          <cell r="F822" t="str">
            <v>Not applicable</v>
          </cell>
        </row>
        <row r="823">
          <cell r="A823">
            <v>8842001</v>
          </cell>
          <cell r="B823">
            <v>116645</v>
          </cell>
          <cell r="C823" t="str">
            <v>Almeley Primary School</v>
          </cell>
          <cell r="D823" t="str">
            <v>Herefordshire</v>
          </cell>
          <cell r="E823" t="str">
            <v>Community School</v>
          </cell>
          <cell r="F823" t="str">
            <v>Primary</v>
          </cell>
        </row>
        <row r="824">
          <cell r="A824">
            <v>2116392</v>
          </cell>
          <cell r="B824">
            <v>133646</v>
          </cell>
          <cell r="C824" t="str">
            <v>Al-Mizan School</v>
          </cell>
          <cell r="D824" t="str">
            <v>Tower Hamlets</v>
          </cell>
          <cell r="E824" t="str">
            <v>Other Independent School</v>
          </cell>
          <cell r="F824" t="str">
            <v>Not applicable</v>
          </cell>
        </row>
        <row r="825">
          <cell r="A825">
            <v>9192226</v>
          </cell>
          <cell r="B825">
            <v>117221</v>
          </cell>
          <cell r="C825" t="str">
            <v>Almond Hill Junior School</v>
          </cell>
          <cell r="D825" t="str">
            <v>Hertfordshire</v>
          </cell>
          <cell r="E825" t="str">
            <v>Community School</v>
          </cell>
          <cell r="F825" t="str">
            <v>Primary</v>
          </cell>
        </row>
        <row r="826">
          <cell r="A826">
            <v>3823045</v>
          </cell>
          <cell r="B826">
            <v>107727</v>
          </cell>
          <cell r="C826" t="str">
            <v>Almondbury Church of England Voluntary Controlled Infant and Nursery School</v>
          </cell>
          <cell r="D826" t="str">
            <v>Kirklees</v>
          </cell>
          <cell r="E826" t="str">
            <v>Voluntary Controlled School</v>
          </cell>
          <cell r="F826" t="str">
            <v>Primary</v>
          </cell>
        </row>
        <row r="827">
          <cell r="A827">
            <v>3824019</v>
          </cell>
          <cell r="B827">
            <v>107758</v>
          </cell>
          <cell r="C827" t="str">
            <v>Almondbury High School and Language College</v>
          </cell>
          <cell r="D827" t="str">
            <v>Kirklees</v>
          </cell>
          <cell r="E827" t="str">
            <v>Community School</v>
          </cell>
          <cell r="F827" t="str">
            <v>Secondary</v>
          </cell>
        </row>
        <row r="828">
          <cell r="A828">
            <v>3822001</v>
          </cell>
          <cell r="B828">
            <v>107597</v>
          </cell>
          <cell r="C828" t="str">
            <v>Almondbury Junior School</v>
          </cell>
          <cell r="D828" t="str">
            <v>Kirklees</v>
          </cell>
          <cell r="E828" t="str">
            <v>Community School</v>
          </cell>
          <cell r="F828" t="str">
            <v>Primary</v>
          </cell>
        </row>
        <row r="829">
          <cell r="A829">
            <v>8033042</v>
          </cell>
          <cell r="B829">
            <v>109157</v>
          </cell>
          <cell r="C829" t="str">
            <v>Almondsbury Church of England Primary School</v>
          </cell>
          <cell r="D829" t="str">
            <v>South Gloucestershire</v>
          </cell>
          <cell r="E829" t="str">
            <v>Voluntary Controlled School</v>
          </cell>
          <cell r="F829" t="str">
            <v>Primary</v>
          </cell>
        </row>
        <row r="830">
          <cell r="A830">
            <v>2056382</v>
          </cell>
          <cell r="B830">
            <v>100372</v>
          </cell>
          <cell r="C830" t="str">
            <v>Al-Muntada Islamic School</v>
          </cell>
          <cell r="D830" t="str">
            <v>Hammersmith and Fulham</v>
          </cell>
          <cell r="E830" t="str">
            <v>Other Independent School</v>
          </cell>
          <cell r="F830" t="str">
            <v>Not applicable</v>
          </cell>
        </row>
        <row r="831">
          <cell r="A831">
            <v>8152245</v>
          </cell>
          <cell r="B831">
            <v>121369</v>
          </cell>
          <cell r="C831" t="str">
            <v>Alne Primary School</v>
          </cell>
          <cell r="D831" t="str">
            <v>North Yorkshire</v>
          </cell>
          <cell r="E831" t="str">
            <v>Community School</v>
          </cell>
          <cell r="F831" t="str">
            <v>Primary</v>
          </cell>
        </row>
        <row r="832">
          <cell r="A832">
            <v>3306130</v>
          </cell>
          <cell r="B832">
            <v>136037</v>
          </cell>
          <cell r="C832" t="str">
            <v>Al-Noor College</v>
          </cell>
          <cell r="D832" t="str">
            <v>Birmingham</v>
          </cell>
          <cell r="E832" t="str">
            <v>Other Independent School</v>
          </cell>
          <cell r="F832" t="str">
            <v>Not applicable</v>
          </cell>
        </row>
        <row r="833">
          <cell r="A833">
            <v>3176076</v>
          </cell>
          <cell r="B833">
            <v>134244</v>
          </cell>
          <cell r="C833" t="str">
            <v>Al-Noor Primary School</v>
          </cell>
          <cell r="D833" t="str">
            <v>Redbridge</v>
          </cell>
          <cell r="E833" t="str">
            <v>Other Independent School</v>
          </cell>
          <cell r="F833" t="str">
            <v>Not applicable</v>
          </cell>
        </row>
        <row r="834">
          <cell r="A834">
            <v>9294328</v>
          </cell>
          <cell r="B834">
            <v>122347</v>
          </cell>
          <cell r="C834" t="str">
            <v>Alnwick Lindisfarne Middle School</v>
          </cell>
          <cell r="D834" t="str">
            <v>Northumberland</v>
          </cell>
          <cell r="E834" t="str">
            <v>Community School</v>
          </cell>
          <cell r="F834" t="str">
            <v>Middle Deemed Secondary</v>
          </cell>
        </row>
        <row r="835">
          <cell r="A835">
            <v>9292015</v>
          </cell>
          <cell r="B835">
            <v>122172</v>
          </cell>
          <cell r="C835" t="str">
            <v>Alnwick South First School</v>
          </cell>
          <cell r="D835" t="str">
            <v>Northumberland</v>
          </cell>
          <cell r="E835" t="str">
            <v>Community School</v>
          </cell>
          <cell r="F835" t="str">
            <v>Primary</v>
          </cell>
        </row>
        <row r="836">
          <cell r="A836">
            <v>9294401</v>
          </cell>
          <cell r="B836">
            <v>122353</v>
          </cell>
          <cell r="C836" t="str">
            <v>Alnwick the Dukes Middle School</v>
          </cell>
          <cell r="D836" t="str">
            <v>Northumberland</v>
          </cell>
          <cell r="E836" t="str">
            <v>Community School</v>
          </cell>
          <cell r="F836" t="str">
            <v>Middle Deemed Secondary</v>
          </cell>
        </row>
        <row r="837">
          <cell r="A837">
            <v>8655200</v>
          </cell>
          <cell r="B837">
            <v>126474</v>
          </cell>
          <cell r="C837" t="str">
            <v>Aloeric Primary School</v>
          </cell>
          <cell r="D837" t="str">
            <v>Wiltshire</v>
          </cell>
          <cell r="E837" t="str">
            <v>Foundation School</v>
          </cell>
          <cell r="F837" t="str">
            <v>Primary</v>
          </cell>
        </row>
        <row r="838">
          <cell r="A838">
            <v>3045405</v>
          </cell>
          <cell r="B838">
            <v>101562</v>
          </cell>
          <cell r="C838" t="str">
            <v>Alperton Community School</v>
          </cell>
          <cell r="D838" t="str">
            <v>Brent</v>
          </cell>
          <cell r="E838" t="str">
            <v>Foundation School</v>
          </cell>
          <cell r="F838" t="str">
            <v>Secondary</v>
          </cell>
        </row>
        <row r="839">
          <cell r="A839">
            <v>2106376</v>
          </cell>
          <cell r="B839">
            <v>100867</v>
          </cell>
          <cell r="C839" t="str">
            <v>Alpha Community School At Springfield Methodist Church</v>
          </cell>
          <cell r="D839" t="str">
            <v>Southwark</v>
          </cell>
          <cell r="E839" t="str">
            <v>Other Independent School</v>
          </cell>
          <cell r="F839" t="str">
            <v>Not applicable</v>
          </cell>
        </row>
        <row r="840">
          <cell r="A840">
            <v>3106050</v>
          </cell>
          <cell r="B840">
            <v>102250</v>
          </cell>
          <cell r="C840" t="str">
            <v>Alpha Preparatory School</v>
          </cell>
          <cell r="D840" t="str">
            <v>Harrow</v>
          </cell>
          <cell r="E840" t="str">
            <v>Other Independent School</v>
          </cell>
          <cell r="F840" t="str">
            <v>Not applicable</v>
          </cell>
        </row>
        <row r="841">
          <cell r="A841">
            <v>8782017</v>
          </cell>
          <cell r="B841">
            <v>113073</v>
          </cell>
          <cell r="C841" t="str">
            <v>Alphington Primary School</v>
          </cell>
          <cell r="D841" t="str">
            <v>Devon</v>
          </cell>
          <cell r="E841" t="str">
            <v>Community School</v>
          </cell>
          <cell r="F841" t="str">
            <v>Primary</v>
          </cell>
        </row>
        <row r="842">
          <cell r="A842">
            <v>9263406</v>
          </cell>
          <cell r="B842">
            <v>121147</v>
          </cell>
          <cell r="C842" t="str">
            <v>Alpington and Bergh Apton Church of England Voluntary Aided Primary School</v>
          </cell>
          <cell r="D842" t="str">
            <v>Norfolk</v>
          </cell>
          <cell r="E842" t="str">
            <v>Voluntary Aided School</v>
          </cell>
          <cell r="F842" t="str">
            <v>Primary</v>
          </cell>
        </row>
        <row r="843">
          <cell r="A843">
            <v>8812043</v>
          </cell>
          <cell r="B843">
            <v>114734</v>
          </cell>
          <cell r="C843" t="str">
            <v>Alresford Primary School</v>
          </cell>
          <cell r="D843" t="str">
            <v>Essex</v>
          </cell>
          <cell r="E843" t="str">
            <v>Community School</v>
          </cell>
          <cell r="F843" t="str">
            <v>Primary</v>
          </cell>
        </row>
        <row r="844">
          <cell r="A844">
            <v>2126396</v>
          </cell>
          <cell r="B844">
            <v>101090</v>
          </cell>
          <cell r="C844" t="str">
            <v>Al-Risalah</v>
          </cell>
          <cell r="D844" t="str">
            <v>Wandsworth</v>
          </cell>
          <cell r="E844" t="str">
            <v>Other Independent School</v>
          </cell>
          <cell r="F844" t="str">
            <v>Not applicable</v>
          </cell>
        </row>
        <row r="845">
          <cell r="A845">
            <v>3046072</v>
          </cell>
          <cell r="B845">
            <v>101576</v>
          </cell>
          <cell r="C845" t="str">
            <v>Al-Sadiq and Al-Zahra Schools</v>
          </cell>
          <cell r="D845" t="str">
            <v>Brent</v>
          </cell>
          <cell r="E845" t="str">
            <v>Other Independent School</v>
          </cell>
          <cell r="F845" t="str">
            <v>Not applicable</v>
          </cell>
        </row>
        <row r="846">
          <cell r="A846">
            <v>8952162</v>
          </cell>
          <cell r="B846">
            <v>111032</v>
          </cell>
          <cell r="C846" t="str">
            <v>Alsager Highfields Community Primary School</v>
          </cell>
          <cell r="D846" t="str">
            <v>Cheshire East</v>
          </cell>
          <cell r="E846" t="str">
            <v>Foundation School</v>
          </cell>
          <cell r="F846" t="str">
            <v>Primary</v>
          </cell>
        </row>
        <row r="847">
          <cell r="A847">
            <v>8954121</v>
          </cell>
          <cell r="B847">
            <v>111404</v>
          </cell>
          <cell r="C847" t="str">
            <v>Alsager School</v>
          </cell>
          <cell r="D847" t="str">
            <v>Cheshire East</v>
          </cell>
          <cell r="E847" t="str">
            <v>Foundation School</v>
          </cell>
          <cell r="F847" t="str">
            <v>Secondary</v>
          </cell>
        </row>
        <row r="848">
          <cell r="A848">
            <v>3414421</v>
          </cell>
          <cell r="B848">
            <v>104693</v>
          </cell>
          <cell r="C848" t="str">
            <v>Alsop High School Technology &amp; Applied Learning Specialist College</v>
          </cell>
          <cell r="D848" t="str">
            <v>Liverpool</v>
          </cell>
          <cell r="E848" t="str">
            <v>Community School</v>
          </cell>
          <cell r="F848" t="str">
            <v>Secondary</v>
          </cell>
        </row>
        <row r="849">
          <cell r="A849">
            <v>8888290</v>
          </cell>
          <cell r="B849">
            <v>133101</v>
          </cell>
          <cell r="C849" t="str">
            <v>Alston Hall College</v>
          </cell>
          <cell r="D849" t="str">
            <v>Lancashire</v>
          </cell>
          <cell r="E849" t="str">
            <v>Miscellaneous</v>
          </cell>
          <cell r="F849" t="str">
            <v>Not applicable</v>
          </cell>
        </row>
        <row r="850">
          <cell r="A850">
            <v>3302007</v>
          </cell>
          <cell r="B850">
            <v>103156</v>
          </cell>
          <cell r="C850" t="str">
            <v>Alston Infant School</v>
          </cell>
          <cell r="D850" t="str">
            <v>Birmingham</v>
          </cell>
          <cell r="E850" t="str">
            <v>Community School</v>
          </cell>
          <cell r="F850" t="str">
            <v>Primary</v>
          </cell>
        </row>
        <row r="851">
          <cell r="A851">
            <v>3302006</v>
          </cell>
          <cell r="B851">
            <v>103155</v>
          </cell>
          <cell r="C851" t="str">
            <v>Alston Junior School</v>
          </cell>
          <cell r="D851" t="str">
            <v>Birmingham</v>
          </cell>
          <cell r="E851" t="str">
            <v>Community School</v>
          </cell>
          <cell r="F851" t="str">
            <v>Primary</v>
          </cell>
        </row>
        <row r="852">
          <cell r="A852">
            <v>8883727</v>
          </cell>
          <cell r="B852">
            <v>119635</v>
          </cell>
          <cell r="C852" t="str">
            <v>Alston Lane Catholic Primary School, Longridge</v>
          </cell>
          <cell r="D852" t="str">
            <v>Lancashire</v>
          </cell>
          <cell r="E852" t="str">
            <v>Voluntary Aided School</v>
          </cell>
          <cell r="F852" t="str">
            <v>Primary</v>
          </cell>
        </row>
        <row r="853">
          <cell r="A853">
            <v>9092004</v>
          </cell>
          <cell r="B853">
            <v>112101</v>
          </cell>
          <cell r="C853" t="str">
            <v>Alston Primary School</v>
          </cell>
          <cell r="D853" t="str">
            <v>Cumbria</v>
          </cell>
          <cell r="E853" t="str">
            <v>Community School</v>
          </cell>
          <cell r="F853" t="str">
            <v>Primary</v>
          </cell>
        </row>
        <row r="854">
          <cell r="A854">
            <v>3302472</v>
          </cell>
          <cell r="B854">
            <v>131135</v>
          </cell>
          <cell r="C854" t="str">
            <v>Alston Primary School</v>
          </cell>
          <cell r="D854" t="str">
            <v>Birmingham</v>
          </cell>
          <cell r="E854" t="str">
            <v>Community School</v>
          </cell>
          <cell r="F854" t="str">
            <v>Primary</v>
          </cell>
        </row>
        <row r="855">
          <cell r="A855">
            <v>3407013</v>
          </cell>
          <cell r="B855">
            <v>104498</v>
          </cell>
          <cell r="C855" t="str">
            <v>Alt Bridge Secondary Support Centre</v>
          </cell>
          <cell r="D855" t="str">
            <v>Knowsley</v>
          </cell>
          <cell r="E855" t="str">
            <v>Community Special School</v>
          </cell>
          <cell r="F855" t="str">
            <v>Special</v>
          </cell>
        </row>
        <row r="856">
          <cell r="A856">
            <v>3532043</v>
          </cell>
          <cell r="B856">
            <v>127428</v>
          </cell>
          <cell r="C856" t="str">
            <v>Alt Infant and Nursery School</v>
          </cell>
          <cell r="D856" t="str">
            <v>Oldham</v>
          </cell>
          <cell r="E856" t="str">
            <v>Community School</v>
          </cell>
          <cell r="F856" t="str">
            <v>Primary</v>
          </cell>
        </row>
        <row r="857">
          <cell r="A857">
            <v>3532039</v>
          </cell>
          <cell r="B857">
            <v>127427</v>
          </cell>
          <cell r="C857" t="str">
            <v>Alt Junior School</v>
          </cell>
          <cell r="D857" t="str">
            <v>Oldham</v>
          </cell>
          <cell r="E857" t="str">
            <v>Community School</v>
          </cell>
          <cell r="F857" t="str">
            <v>Primary</v>
          </cell>
        </row>
        <row r="858">
          <cell r="A858">
            <v>3532104</v>
          </cell>
          <cell r="B858">
            <v>105682</v>
          </cell>
          <cell r="C858" t="str">
            <v>Alt Primary School</v>
          </cell>
          <cell r="D858" t="str">
            <v>Oldham</v>
          </cell>
          <cell r="E858" t="str">
            <v>Community School</v>
          </cell>
          <cell r="F858" t="str">
            <v>Primary</v>
          </cell>
        </row>
        <row r="859">
          <cell r="A859">
            <v>9082600</v>
          </cell>
          <cell r="B859">
            <v>111925</v>
          </cell>
          <cell r="C859" t="str">
            <v>Altarnun Community Primary School</v>
          </cell>
          <cell r="D859" t="str">
            <v>Cornwall</v>
          </cell>
          <cell r="E859" t="str">
            <v>Community School</v>
          </cell>
          <cell r="F859" t="str">
            <v>Primary</v>
          </cell>
        </row>
        <row r="860">
          <cell r="A860">
            <v>3066097</v>
          </cell>
          <cell r="B860">
            <v>134576</v>
          </cell>
          <cell r="C860" t="str">
            <v>ALTE School</v>
          </cell>
          <cell r="D860" t="str">
            <v>Croydon</v>
          </cell>
          <cell r="E860" t="str">
            <v>Other Independent School</v>
          </cell>
          <cell r="F860" t="str">
            <v>Not applicable</v>
          </cell>
        </row>
        <row r="861">
          <cell r="A861">
            <v>3526054</v>
          </cell>
          <cell r="B861">
            <v>133304</v>
          </cell>
          <cell r="C861" t="str">
            <v>Alternative Centre for Education and Training (ACET)</v>
          </cell>
          <cell r="D861" t="str">
            <v>Manchester</v>
          </cell>
          <cell r="E861" t="str">
            <v>Other Independent Special School</v>
          </cell>
          <cell r="F861" t="str">
            <v>Not applicable</v>
          </cell>
        </row>
        <row r="862">
          <cell r="A862">
            <v>8691111</v>
          </cell>
          <cell r="B862">
            <v>131066</v>
          </cell>
          <cell r="C862" t="str">
            <v>Alternative Curriculum 14-19</v>
          </cell>
          <cell r="D862" t="str">
            <v>West Berkshire</v>
          </cell>
          <cell r="E862" t="str">
            <v>Pupil Referral Unit</v>
          </cell>
          <cell r="F862" t="str">
            <v>PRU</v>
          </cell>
        </row>
        <row r="863">
          <cell r="A863">
            <v>6621103</v>
          </cell>
          <cell r="B863">
            <v>402025</v>
          </cell>
          <cell r="C863" t="str">
            <v>Alternative Education Service</v>
          </cell>
          <cell r="D863" t="str">
            <v>Conwy</v>
          </cell>
          <cell r="E863" t="str">
            <v>Welsh Establishment</v>
          </cell>
          <cell r="F863" t="str">
            <v>Not applicable</v>
          </cell>
        </row>
        <row r="864">
          <cell r="A864">
            <v>3931100</v>
          </cell>
          <cell r="B864">
            <v>108666</v>
          </cell>
          <cell r="C864" t="str">
            <v>Alternative Education Service - St Mary's Centre</v>
          </cell>
          <cell r="D864" t="str">
            <v>South Tyneside</v>
          </cell>
          <cell r="E864" t="str">
            <v>Pupil Referral Unit</v>
          </cell>
          <cell r="F864" t="str">
            <v>PRU</v>
          </cell>
        </row>
        <row r="865">
          <cell r="A865">
            <v>6781100</v>
          </cell>
          <cell r="B865">
            <v>402156</v>
          </cell>
          <cell r="C865" t="str">
            <v>Alternative Home Tuition</v>
          </cell>
          <cell r="D865" t="str">
            <v>Torfaen</v>
          </cell>
          <cell r="E865" t="str">
            <v>Welsh Establishment</v>
          </cell>
          <cell r="F865" t="str">
            <v>Not applicable</v>
          </cell>
        </row>
        <row r="866">
          <cell r="A866">
            <v>9331121</v>
          </cell>
          <cell r="B866">
            <v>135384</v>
          </cell>
          <cell r="C866" t="str">
            <v>Alternative Provision Centre</v>
          </cell>
          <cell r="D866" t="str">
            <v>Somerset</v>
          </cell>
          <cell r="E866" t="str">
            <v>Pupil Referral Unit</v>
          </cell>
          <cell r="F866" t="str">
            <v>PRU</v>
          </cell>
        </row>
        <row r="867">
          <cell r="A867">
            <v>8921108</v>
          </cell>
          <cell r="B867">
            <v>134521</v>
          </cell>
          <cell r="C867" t="str">
            <v>Alternative Provision PRU</v>
          </cell>
          <cell r="D867" t="str">
            <v>Nottingham</v>
          </cell>
          <cell r="E867" t="str">
            <v>Pupil Referral Unit</v>
          </cell>
          <cell r="F867" t="str">
            <v>PRU</v>
          </cell>
        </row>
        <row r="868">
          <cell r="A868">
            <v>8883599</v>
          </cell>
          <cell r="B868">
            <v>119577</v>
          </cell>
          <cell r="C868" t="str">
            <v>Altham St James Church of England Primary School</v>
          </cell>
          <cell r="D868" t="str">
            <v>Lancashire</v>
          </cell>
          <cell r="E868" t="str">
            <v>Voluntary Aided School</v>
          </cell>
          <cell r="F868" t="str">
            <v>Primary</v>
          </cell>
        </row>
        <row r="869">
          <cell r="A869">
            <v>9166079</v>
          </cell>
          <cell r="B869">
            <v>131561</v>
          </cell>
          <cell r="C869" t="str">
            <v>Althea Park Education Unit</v>
          </cell>
          <cell r="D869" t="str">
            <v>Gloucestershire</v>
          </cell>
          <cell r="E869" t="str">
            <v>Other Independent Special School</v>
          </cell>
          <cell r="F869" t="str">
            <v>Not applicable</v>
          </cell>
        </row>
        <row r="870">
          <cell r="A870">
            <v>8132101</v>
          </cell>
          <cell r="B870">
            <v>117726</v>
          </cell>
          <cell r="C870" t="str">
            <v>Althorpe and Keadby Primary School</v>
          </cell>
          <cell r="D870" t="str">
            <v>North Lincolnshire</v>
          </cell>
          <cell r="E870" t="str">
            <v>Community School</v>
          </cell>
          <cell r="F870" t="str">
            <v>Primary</v>
          </cell>
        </row>
        <row r="871">
          <cell r="A871">
            <v>3162000</v>
          </cell>
          <cell r="B871">
            <v>102709</v>
          </cell>
          <cell r="C871" t="str">
            <v>Altmore Infant School</v>
          </cell>
          <cell r="D871" t="str">
            <v>Newham</v>
          </cell>
          <cell r="E871" t="str">
            <v>Community School</v>
          </cell>
          <cell r="F871" t="str">
            <v>Primary</v>
          </cell>
        </row>
        <row r="872">
          <cell r="A872">
            <v>8508605</v>
          </cell>
          <cell r="B872">
            <v>130691</v>
          </cell>
          <cell r="C872" t="str">
            <v>Alton College</v>
          </cell>
          <cell r="D872" t="str">
            <v>Hampshire</v>
          </cell>
          <cell r="E872" t="str">
            <v>Further Education</v>
          </cell>
          <cell r="F872" t="str">
            <v>16 Plus</v>
          </cell>
        </row>
        <row r="873">
          <cell r="A873">
            <v>8506073</v>
          </cell>
          <cell r="B873">
            <v>116537</v>
          </cell>
          <cell r="C873" t="str">
            <v>Alton Convent School</v>
          </cell>
          <cell r="D873" t="str">
            <v>Hampshire</v>
          </cell>
          <cell r="E873" t="str">
            <v>Other Independent School</v>
          </cell>
          <cell r="F873" t="str">
            <v>Not applicable</v>
          </cell>
        </row>
        <row r="874">
          <cell r="A874">
            <v>8502000</v>
          </cell>
          <cell r="B874">
            <v>115850</v>
          </cell>
          <cell r="C874" t="str">
            <v>Alton Infant School</v>
          </cell>
          <cell r="D874" t="str">
            <v>Hampshire</v>
          </cell>
          <cell r="E874" t="str">
            <v>Community School</v>
          </cell>
          <cell r="F874" t="str">
            <v>Primary</v>
          </cell>
        </row>
        <row r="875">
          <cell r="A875">
            <v>8812026</v>
          </cell>
          <cell r="B875">
            <v>114721</v>
          </cell>
          <cell r="C875" t="str">
            <v>Alton Park Junior School</v>
          </cell>
          <cell r="D875" t="str">
            <v>Essex</v>
          </cell>
          <cell r="E875" t="str">
            <v>Community School</v>
          </cell>
          <cell r="F875" t="str">
            <v>Primary</v>
          </cell>
        </row>
        <row r="876">
          <cell r="A876">
            <v>3583305</v>
          </cell>
          <cell r="B876">
            <v>106341</v>
          </cell>
          <cell r="C876" t="str">
            <v>Altrincham CofE (Aided) Primary School</v>
          </cell>
          <cell r="D876" t="str">
            <v>Trafford</v>
          </cell>
          <cell r="E876" t="str">
            <v>Voluntary Aided School</v>
          </cell>
          <cell r="F876" t="str">
            <v>Primary</v>
          </cell>
        </row>
        <row r="877">
          <cell r="A877">
            <v>3584024</v>
          </cell>
          <cell r="B877">
            <v>106367</v>
          </cell>
          <cell r="C877" t="str">
            <v>Altrincham College of Arts</v>
          </cell>
          <cell r="D877" t="str">
            <v>Trafford</v>
          </cell>
          <cell r="E877" t="str">
            <v>Foundation School</v>
          </cell>
          <cell r="F877" t="str">
            <v>Secondary</v>
          </cell>
        </row>
        <row r="878">
          <cell r="A878">
            <v>3585404</v>
          </cell>
          <cell r="B878">
            <v>106361</v>
          </cell>
          <cell r="C878" t="str">
            <v>Altrincham Grammar School for Boys</v>
          </cell>
          <cell r="D878" t="str">
            <v>Trafford</v>
          </cell>
          <cell r="E878" t="str">
            <v>Foundation School</v>
          </cell>
          <cell r="F878" t="str">
            <v>Secondary</v>
          </cell>
        </row>
        <row r="879">
          <cell r="A879">
            <v>3585404</v>
          </cell>
          <cell r="B879">
            <v>136458</v>
          </cell>
          <cell r="C879" t="str">
            <v>Altrincham Grammar School for Boys</v>
          </cell>
          <cell r="D879" t="str">
            <v>Trafford</v>
          </cell>
          <cell r="E879" t="str">
            <v>Academy Converters</v>
          </cell>
          <cell r="F879" t="str">
            <v>Secondary</v>
          </cell>
        </row>
        <row r="880">
          <cell r="A880">
            <v>3585407</v>
          </cell>
          <cell r="B880">
            <v>106362</v>
          </cell>
          <cell r="C880" t="str">
            <v>Altrincham Grammar School for Girls</v>
          </cell>
          <cell r="D880" t="str">
            <v>Trafford</v>
          </cell>
          <cell r="E880" t="str">
            <v>Foundation School</v>
          </cell>
          <cell r="F880" t="str">
            <v>Secondary</v>
          </cell>
        </row>
        <row r="881">
          <cell r="A881">
            <v>3585407</v>
          </cell>
          <cell r="B881">
            <v>137289</v>
          </cell>
          <cell r="C881" t="str">
            <v>Altrincham Grammar School for Girls</v>
          </cell>
          <cell r="D881" t="str">
            <v>Trafford</v>
          </cell>
          <cell r="E881" t="str">
            <v>Academy Converters</v>
          </cell>
          <cell r="F881" t="str">
            <v>Secondary</v>
          </cell>
        </row>
        <row r="882">
          <cell r="A882">
            <v>3586002</v>
          </cell>
          <cell r="B882">
            <v>106379</v>
          </cell>
          <cell r="C882" t="str">
            <v>Altrincham Preparatory School</v>
          </cell>
          <cell r="D882" t="str">
            <v>Trafford</v>
          </cell>
          <cell r="E882" t="str">
            <v>Other Independent School</v>
          </cell>
          <cell r="F882" t="str">
            <v>Not applicable</v>
          </cell>
        </row>
        <row r="883">
          <cell r="A883">
            <v>8684506</v>
          </cell>
          <cell r="B883">
            <v>110080</v>
          </cell>
          <cell r="C883" t="str">
            <v>Altwood CofE Secondary School</v>
          </cell>
          <cell r="D883" t="str">
            <v>Windsor and Maidenhead</v>
          </cell>
          <cell r="E883" t="str">
            <v>Voluntary Controlled School</v>
          </cell>
          <cell r="F883" t="str">
            <v>Secondary</v>
          </cell>
        </row>
        <row r="884">
          <cell r="A884">
            <v>3354017</v>
          </cell>
          <cell r="B884">
            <v>104246</v>
          </cell>
          <cell r="C884" t="str">
            <v>Alumwell Business and Enterprise College</v>
          </cell>
          <cell r="D884" t="str">
            <v>Walsall</v>
          </cell>
          <cell r="E884" t="str">
            <v>Community School</v>
          </cell>
          <cell r="F884" t="str">
            <v>Secondary</v>
          </cell>
        </row>
        <row r="885">
          <cell r="A885">
            <v>3352001</v>
          </cell>
          <cell r="B885">
            <v>104143</v>
          </cell>
          <cell r="C885" t="str">
            <v>Alumwell Infant School</v>
          </cell>
          <cell r="D885" t="str">
            <v>Walsall</v>
          </cell>
          <cell r="E885" t="str">
            <v>Community School</v>
          </cell>
          <cell r="F885" t="str">
            <v>Primary</v>
          </cell>
        </row>
        <row r="886">
          <cell r="A886">
            <v>3352000</v>
          </cell>
          <cell r="B886">
            <v>104142</v>
          </cell>
          <cell r="C886" t="str">
            <v>Alumwell Junior School</v>
          </cell>
          <cell r="D886" t="str">
            <v>Walsall</v>
          </cell>
          <cell r="E886" t="str">
            <v>Community School</v>
          </cell>
          <cell r="F886" t="str">
            <v>Primary</v>
          </cell>
        </row>
        <row r="887">
          <cell r="A887">
            <v>3351008</v>
          </cell>
          <cell r="B887">
            <v>104140</v>
          </cell>
          <cell r="C887" t="str">
            <v>Alumwell Nursery School</v>
          </cell>
          <cell r="D887" t="str">
            <v>Walsall</v>
          </cell>
          <cell r="E887" t="str">
            <v>LA Nursery School</v>
          </cell>
          <cell r="F887" t="str">
            <v>Nursery</v>
          </cell>
        </row>
        <row r="888">
          <cell r="A888">
            <v>8962119</v>
          </cell>
          <cell r="B888">
            <v>111003</v>
          </cell>
          <cell r="C888" t="str">
            <v>Alvanley Primary School</v>
          </cell>
          <cell r="D888" t="str">
            <v>Cheshire West and Chester</v>
          </cell>
          <cell r="E888" t="str">
            <v>Community School</v>
          </cell>
          <cell r="F888" t="str">
            <v>Primary</v>
          </cell>
        </row>
        <row r="889">
          <cell r="A889">
            <v>8312443</v>
          </cell>
          <cell r="B889">
            <v>112744</v>
          </cell>
          <cell r="C889" t="str">
            <v>Alvaston Infant and Nursery School</v>
          </cell>
          <cell r="D889" t="str">
            <v>Derby</v>
          </cell>
          <cell r="E889" t="str">
            <v>Community School</v>
          </cell>
          <cell r="F889" t="str">
            <v>Primary</v>
          </cell>
        </row>
        <row r="890">
          <cell r="A890">
            <v>8312442</v>
          </cell>
          <cell r="B890">
            <v>112743</v>
          </cell>
          <cell r="C890" t="str">
            <v>Alvaston Junior School</v>
          </cell>
          <cell r="D890" t="str">
            <v>Derby</v>
          </cell>
          <cell r="E890" t="str">
            <v>Community School</v>
          </cell>
          <cell r="F890" t="str">
            <v>Primary</v>
          </cell>
        </row>
        <row r="891">
          <cell r="A891">
            <v>8854575</v>
          </cell>
          <cell r="B891">
            <v>116983</v>
          </cell>
          <cell r="C891" t="str">
            <v>Alvechurch CofE Middle School</v>
          </cell>
          <cell r="D891" t="str">
            <v>Worcestershire</v>
          </cell>
          <cell r="E891" t="str">
            <v>Voluntary Controlled School</v>
          </cell>
          <cell r="F891" t="str">
            <v>Middle Deemed Secondary</v>
          </cell>
        </row>
        <row r="892">
          <cell r="A892">
            <v>8932027</v>
          </cell>
          <cell r="B892">
            <v>123353</v>
          </cell>
          <cell r="C892" t="str">
            <v>Alveley Primary School</v>
          </cell>
          <cell r="D892" t="str">
            <v>Shropshire</v>
          </cell>
          <cell r="E892" t="str">
            <v>Community School</v>
          </cell>
          <cell r="F892" t="str">
            <v>Primary</v>
          </cell>
        </row>
        <row r="893">
          <cell r="A893">
            <v>8503600</v>
          </cell>
          <cell r="B893">
            <v>116392</v>
          </cell>
          <cell r="C893" t="str">
            <v>Alverstoke Church of England Aided Junior School</v>
          </cell>
          <cell r="D893" t="str">
            <v>Hampshire</v>
          </cell>
          <cell r="E893" t="str">
            <v>Voluntary Aided School</v>
          </cell>
          <cell r="F893" t="str">
            <v>Primary</v>
          </cell>
        </row>
        <row r="894">
          <cell r="A894">
            <v>8502618</v>
          </cell>
          <cell r="B894">
            <v>116169</v>
          </cell>
          <cell r="C894" t="str">
            <v>Alverstoke Community Infant School</v>
          </cell>
          <cell r="D894" t="str">
            <v>Hampshire</v>
          </cell>
          <cell r="E894" t="str">
            <v>Community School</v>
          </cell>
          <cell r="F894" t="str">
            <v>Primary</v>
          </cell>
        </row>
        <row r="895">
          <cell r="A895">
            <v>3843301</v>
          </cell>
          <cell r="B895">
            <v>108253</v>
          </cell>
          <cell r="C895" t="str">
            <v>Alverthorpe St Paul's CofE (VA) School 3-11yrs</v>
          </cell>
          <cell r="D895" t="str">
            <v>Wakefield</v>
          </cell>
          <cell r="E895" t="str">
            <v>Voluntary Aided School</v>
          </cell>
          <cell r="F895" t="str">
            <v>Primary</v>
          </cell>
        </row>
        <row r="896">
          <cell r="A896">
            <v>9082029</v>
          </cell>
          <cell r="B896">
            <v>111806</v>
          </cell>
          <cell r="C896" t="str">
            <v>Alverton Community Primary School</v>
          </cell>
          <cell r="D896" t="str">
            <v>Cornwall</v>
          </cell>
          <cell r="E896" t="str">
            <v>Community School</v>
          </cell>
          <cell r="F896" t="str">
            <v>Primary</v>
          </cell>
        </row>
        <row r="897">
          <cell r="A897">
            <v>8152242</v>
          </cell>
          <cell r="B897">
            <v>121368</v>
          </cell>
          <cell r="C897" t="str">
            <v>Alverton Infant and Nursery School</v>
          </cell>
          <cell r="D897" t="str">
            <v>North Yorkshire</v>
          </cell>
          <cell r="E897" t="str">
            <v>Community School</v>
          </cell>
          <cell r="F897" t="str">
            <v>Primary</v>
          </cell>
        </row>
        <row r="898">
          <cell r="A898">
            <v>9373002</v>
          </cell>
          <cell r="B898">
            <v>125623</v>
          </cell>
          <cell r="C898" t="str">
            <v>Alveston CofE Primary School</v>
          </cell>
          <cell r="D898" t="str">
            <v>Warwickshire</v>
          </cell>
          <cell r="E898" t="str">
            <v>Voluntary Controlled School</v>
          </cell>
          <cell r="F898" t="str">
            <v>Primary</v>
          </cell>
        </row>
        <row r="899">
          <cell r="A899">
            <v>6802036</v>
          </cell>
          <cell r="B899">
            <v>401521</v>
          </cell>
          <cell r="C899" t="str">
            <v>Alway  Junior School</v>
          </cell>
          <cell r="D899" t="str">
            <v>Newport</v>
          </cell>
          <cell r="E899" t="str">
            <v>Welsh Establishment</v>
          </cell>
          <cell r="F899" t="str">
            <v>Not applicable</v>
          </cell>
        </row>
        <row r="900">
          <cell r="A900">
            <v>6802037</v>
          </cell>
          <cell r="B900">
            <v>401522</v>
          </cell>
          <cell r="C900" t="str">
            <v>Alway Infant School</v>
          </cell>
          <cell r="D900" t="str">
            <v>Newport</v>
          </cell>
          <cell r="E900" t="str">
            <v>Welsh Establishment</v>
          </cell>
          <cell r="F900" t="str">
            <v>Not applicable</v>
          </cell>
        </row>
        <row r="901">
          <cell r="A901">
            <v>6802315</v>
          </cell>
          <cell r="B901">
            <v>402046</v>
          </cell>
          <cell r="C901" t="str">
            <v>Alway Primary</v>
          </cell>
          <cell r="D901" t="str">
            <v>Newport</v>
          </cell>
          <cell r="E901" t="str">
            <v>Welsh Establishment</v>
          </cell>
          <cell r="F901" t="str">
            <v>Primary</v>
          </cell>
        </row>
        <row r="902">
          <cell r="A902">
            <v>3832003</v>
          </cell>
          <cell r="B902">
            <v>127806</v>
          </cell>
          <cell r="C902" t="str">
            <v>Alwoodley First School</v>
          </cell>
          <cell r="D902" t="str">
            <v>Leeds</v>
          </cell>
          <cell r="E902" t="str">
            <v>Community School</v>
          </cell>
          <cell r="F902" t="str">
            <v>Primary</v>
          </cell>
        </row>
        <row r="903">
          <cell r="A903">
            <v>3832436</v>
          </cell>
          <cell r="B903">
            <v>107912</v>
          </cell>
          <cell r="C903" t="str">
            <v>Alwoodley Primary School</v>
          </cell>
          <cell r="D903" t="str">
            <v>Leeds</v>
          </cell>
          <cell r="E903" t="str">
            <v>Community School</v>
          </cell>
          <cell r="F903" t="str">
            <v>Primary</v>
          </cell>
        </row>
        <row r="904">
          <cell r="A904">
            <v>8682071</v>
          </cell>
          <cell r="B904">
            <v>109818</v>
          </cell>
          <cell r="C904" t="str">
            <v>Alwyn Infant and Nursery School</v>
          </cell>
          <cell r="D904" t="str">
            <v>Windsor and Maidenhead</v>
          </cell>
          <cell r="E904" t="str">
            <v>Community School</v>
          </cell>
          <cell r="F904" t="str">
            <v>Primary</v>
          </cell>
        </row>
        <row r="905">
          <cell r="A905">
            <v>9106068</v>
          </cell>
          <cell r="B905">
            <v>128678</v>
          </cell>
          <cell r="C905" t="str">
            <v>Amber House School</v>
          </cell>
          <cell r="D905" t="str">
            <v>Pre LGR (1997) Derbyshire</v>
          </cell>
          <cell r="E905" t="str">
            <v>Other Independent School</v>
          </cell>
          <cell r="F905" t="str">
            <v>Not applicable</v>
          </cell>
        </row>
        <row r="906">
          <cell r="A906">
            <v>9356032</v>
          </cell>
          <cell r="B906">
            <v>124878</v>
          </cell>
          <cell r="C906" t="str">
            <v>Amberfield School</v>
          </cell>
          <cell r="D906" t="str">
            <v>Suffolk</v>
          </cell>
          <cell r="E906" t="str">
            <v>Other Independent School</v>
          </cell>
          <cell r="F906" t="str">
            <v>Not applicable</v>
          </cell>
        </row>
        <row r="907">
          <cell r="A907">
            <v>8302623</v>
          </cell>
          <cell r="B907">
            <v>112786</v>
          </cell>
          <cell r="C907" t="str">
            <v>Ambergate Primary School</v>
          </cell>
          <cell r="D907" t="str">
            <v>Derbyshire</v>
          </cell>
          <cell r="E907" t="str">
            <v>Community School</v>
          </cell>
          <cell r="F907" t="str">
            <v>Primary</v>
          </cell>
        </row>
        <row r="908">
          <cell r="A908">
            <v>3526002</v>
          </cell>
          <cell r="B908">
            <v>105586</v>
          </cell>
          <cell r="C908" t="str">
            <v>Amberleigh Preparatory School</v>
          </cell>
          <cell r="D908" t="str">
            <v>Manchester</v>
          </cell>
          <cell r="E908" t="str">
            <v>Other Independent School</v>
          </cell>
          <cell r="F908" t="str">
            <v>Not applicable</v>
          </cell>
        </row>
        <row r="909">
          <cell r="A909">
            <v>6666042</v>
          </cell>
          <cell r="B909">
            <v>402100</v>
          </cell>
          <cell r="C909" t="str">
            <v>Amberleigh Residential Therapeutic School</v>
          </cell>
          <cell r="D909" t="str">
            <v>Powys</v>
          </cell>
          <cell r="E909" t="str">
            <v>Welsh Establishment</v>
          </cell>
          <cell r="F909" t="str">
            <v>Not applicable</v>
          </cell>
        </row>
        <row r="910">
          <cell r="A910">
            <v>9383000</v>
          </cell>
          <cell r="B910">
            <v>125970</v>
          </cell>
          <cell r="C910" t="str">
            <v>Amberley CofE First School</v>
          </cell>
          <cell r="D910" t="str">
            <v>West Sussex</v>
          </cell>
          <cell r="E910" t="str">
            <v>Voluntary Controlled School</v>
          </cell>
          <cell r="F910" t="str">
            <v>Primary</v>
          </cell>
        </row>
        <row r="911">
          <cell r="A911">
            <v>8016004</v>
          </cell>
          <cell r="B911">
            <v>109338</v>
          </cell>
          <cell r="C911" t="str">
            <v>Amberley House School</v>
          </cell>
          <cell r="D911" t="str">
            <v>Bristol City of</v>
          </cell>
          <cell r="E911" t="str">
            <v>Other Independent School</v>
          </cell>
          <cell r="F911" t="str">
            <v>Not applicable</v>
          </cell>
        </row>
        <row r="912">
          <cell r="A912">
            <v>8456005</v>
          </cell>
          <cell r="B912">
            <v>114632</v>
          </cell>
          <cell r="C912" t="str">
            <v>Amberley Kindergarten School</v>
          </cell>
          <cell r="D912" t="str">
            <v>East Sussex</v>
          </cell>
          <cell r="E912" t="str">
            <v>Other Independent School</v>
          </cell>
          <cell r="F912" t="str">
            <v>Not applicable</v>
          </cell>
        </row>
        <row r="913">
          <cell r="A913">
            <v>9163334</v>
          </cell>
          <cell r="B913">
            <v>115689</v>
          </cell>
          <cell r="C913" t="str">
            <v>Amberley Parochial School</v>
          </cell>
          <cell r="D913" t="str">
            <v>Gloucestershire</v>
          </cell>
          <cell r="E913" t="str">
            <v>Voluntary Aided School</v>
          </cell>
          <cell r="F913" t="str">
            <v>Primary</v>
          </cell>
        </row>
        <row r="914">
          <cell r="A914">
            <v>3922048</v>
          </cell>
          <cell r="B914">
            <v>108586</v>
          </cell>
          <cell r="C914" t="str">
            <v>Amberley Primary School</v>
          </cell>
          <cell r="D914" t="str">
            <v>North Tyneside</v>
          </cell>
          <cell r="E914" t="str">
            <v>Foundation School</v>
          </cell>
          <cell r="F914" t="str">
            <v>Primary</v>
          </cell>
        </row>
        <row r="915">
          <cell r="A915">
            <v>9167008</v>
          </cell>
          <cell r="B915">
            <v>115814</v>
          </cell>
          <cell r="C915" t="str">
            <v>Amberley Ridge School</v>
          </cell>
          <cell r="D915" t="str">
            <v>Gloucestershire</v>
          </cell>
          <cell r="E915" t="str">
            <v>Community Special School</v>
          </cell>
          <cell r="F915" t="str">
            <v>Special</v>
          </cell>
        </row>
        <row r="916">
          <cell r="A916">
            <v>9292019</v>
          </cell>
          <cell r="B916">
            <v>122174</v>
          </cell>
          <cell r="C916" t="str">
            <v>Amble First School</v>
          </cell>
          <cell r="D916" t="str">
            <v>Northumberland</v>
          </cell>
          <cell r="E916" t="str">
            <v>Community School</v>
          </cell>
          <cell r="F916" t="str">
            <v>Primary</v>
          </cell>
        </row>
        <row r="917">
          <cell r="A917">
            <v>9292018</v>
          </cell>
          <cell r="B917">
            <v>122173</v>
          </cell>
          <cell r="C917" t="str">
            <v>Amble Links First School</v>
          </cell>
          <cell r="D917" t="str">
            <v>Northumberland</v>
          </cell>
          <cell r="E917" t="str">
            <v>Community School</v>
          </cell>
          <cell r="F917" t="str">
            <v>Primary</v>
          </cell>
        </row>
        <row r="918">
          <cell r="A918">
            <v>3322123</v>
          </cell>
          <cell r="B918">
            <v>103806</v>
          </cell>
          <cell r="C918" t="str">
            <v>Amblecote Primary School</v>
          </cell>
          <cell r="D918" t="str">
            <v>Dudley</v>
          </cell>
          <cell r="E918" t="str">
            <v>Community School</v>
          </cell>
          <cell r="F918" t="str">
            <v>Primary</v>
          </cell>
        </row>
        <row r="919">
          <cell r="A919">
            <v>3712204</v>
          </cell>
          <cell r="B919">
            <v>130973</v>
          </cell>
          <cell r="C919" t="str">
            <v>Ambler Junior School</v>
          </cell>
          <cell r="D919" t="str">
            <v>Doncaster</v>
          </cell>
          <cell r="E919" t="str">
            <v>Community School</v>
          </cell>
          <cell r="F919" t="str">
            <v>Primary</v>
          </cell>
        </row>
        <row r="920">
          <cell r="A920">
            <v>2062015</v>
          </cell>
          <cell r="B920">
            <v>100397</v>
          </cell>
          <cell r="C920" t="str">
            <v>Ambler Primary School</v>
          </cell>
          <cell r="D920" t="str">
            <v>Islington</v>
          </cell>
          <cell r="E920" t="str">
            <v>Community School</v>
          </cell>
          <cell r="F920" t="str">
            <v>Primary</v>
          </cell>
        </row>
        <row r="921">
          <cell r="A921">
            <v>9093351</v>
          </cell>
          <cell r="B921">
            <v>128600</v>
          </cell>
          <cell r="C921" t="str">
            <v>Ambleside CofE Infant School</v>
          </cell>
          <cell r="D921" t="str">
            <v>Cumbria</v>
          </cell>
          <cell r="E921" t="str">
            <v>Voluntary Aided School</v>
          </cell>
          <cell r="F921" t="str">
            <v>Primary</v>
          </cell>
        </row>
        <row r="922">
          <cell r="A922">
            <v>9093350</v>
          </cell>
          <cell r="B922">
            <v>128599</v>
          </cell>
          <cell r="C922" t="str">
            <v>Ambleside CofE Junior School</v>
          </cell>
          <cell r="D922" t="str">
            <v>Cumbria</v>
          </cell>
          <cell r="E922" t="str">
            <v>Voluntary Aided School</v>
          </cell>
          <cell r="F922" t="str">
            <v>Primary</v>
          </cell>
        </row>
        <row r="923">
          <cell r="A923">
            <v>8922125</v>
          </cell>
          <cell r="B923">
            <v>122462</v>
          </cell>
          <cell r="C923" t="str">
            <v>Ambleside Infant and Nursery School</v>
          </cell>
          <cell r="D923" t="str">
            <v>Nottingham</v>
          </cell>
          <cell r="E923" t="str">
            <v>Community School</v>
          </cell>
          <cell r="F923" t="str">
            <v>Primary</v>
          </cell>
        </row>
        <row r="924">
          <cell r="A924">
            <v>3196050</v>
          </cell>
          <cell r="B924">
            <v>103016</v>
          </cell>
          <cell r="C924" t="str">
            <v>Ambleside Junior School</v>
          </cell>
          <cell r="D924" t="str">
            <v>Sutton</v>
          </cell>
          <cell r="E924" t="str">
            <v>Other Independent School</v>
          </cell>
          <cell r="F924" t="str">
            <v>Not applicable</v>
          </cell>
        </row>
        <row r="925">
          <cell r="A925">
            <v>9362432</v>
          </cell>
          <cell r="B925">
            <v>125059</v>
          </cell>
          <cell r="C925" t="str">
            <v>Ambleside Junior School</v>
          </cell>
          <cell r="D925" t="str">
            <v>Surrey</v>
          </cell>
          <cell r="E925" t="str">
            <v>Community School</v>
          </cell>
          <cell r="F925" t="str">
            <v>Primary</v>
          </cell>
        </row>
        <row r="926">
          <cell r="A926">
            <v>9093658</v>
          </cell>
          <cell r="B926">
            <v>112374</v>
          </cell>
          <cell r="C926" t="str">
            <v>Ambleside Primary School</v>
          </cell>
          <cell r="D926" t="str">
            <v>Cumbria</v>
          </cell>
          <cell r="E926" t="str">
            <v>Voluntary Aided School</v>
          </cell>
          <cell r="F926" t="str">
            <v>Primary</v>
          </cell>
        </row>
        <row r="927">
          <cell r="A927">
            <v>8922122</v>
          </cell>
          <cell r="B927">
            <v>122460</v>
          </cell>
          <cell r="C927" t="str">
            <v>Ambleside Primary School</v>
          </cell>
          <cell r="D927" t="str">
            <v>Nottingham</v>
          </cell>
          <cell r="E927" t="str">
            <v>Community School</v>
          </cell>
          <cell r="F927" t="str">
            <v>Primary</v>
          </cell>
        </row>
        <row r="928">
          <cell r="A928">
            <v>8258001</v>
          </cell>
          <cell r="B928">
            <v>130608</v>
          </cell>
          <cell r="C928" t="str">
            <v>Amersham and Wycombe College</v>
          </cell>
          <cell r="D928" t="str">
            <v>Buckinghamshire</v>
          </cell>
          <cell r="E928" t="str">
            <v>Further Education</v>
          </cell>
          <cell r="F928" t="str">
            <v>16 Plus</v>
          </cell>
        </row>
        <row r="929">
          <cell r="A929">
            <v>8256030</v>
          </cell>
          <cell r="B929">
            <v>131298</v>
          </cell>
          <cell r="C929" t="str">
            <v>Amersham Montessori School At Amersham Cricket Club</v>
          </cell>
          <cell r="D929" t="str">
            <v>Buckinghamshire</v>
          </cell>
          <cell r="E929" t="str">
            <v>Other Independent School</v>
          </cell>
          <cell r="F929" t="str">
            <v>Not applicable</v>
          </cell>
        </row>
        <row r="930">
          <cell r="A930">
            <v>8254095</v>
          </cell>
          <cell r="B930">
            <v>110509</v>
          </cell>
          <cell r="C930" t="str">
            <v>Amersham School</v>
          </cell>
          <cell r="D930" t="str">
            <v>Buckinghamshire</v>
          </cell>
          <cell r="E930" t="str">
            <v>Community School</v>
          </cell>
          <cell r="F930" t="str">
            <v>Secondary</v>
          </cell>
        </row>
        <row r="931">
          <cell r="A931">
            <v>8254095</v>
          </cell>
          <cell r="B931">
            <v>137343</v>
          </cell>
          <cell r="C931" t="str">
            <v>Amersham School</v>
          </cell>
          <cell r="D931" t="str">
            <v>Buckinghamshire</v>
          </cell>
          <cell r="E931" t="str">
            <v>Academy Converters</v>
          </cell>
          <cell r="F931" t="str">
            <v>Secondary</v>
          </cell>
        </row>
        <row r="932">
          <cell r="A932">
            <v>8504100</v>
          </cell>
          <cell r="B932">
            <v>116409</v>
          </cell>
          <cell r="C932" t="str">
            <v>Amery Hill School</v>
          </cell>
          <cell r="D932" t="str">
            <v>Hampshire</v>
          </cell>
          <cell r="E932" t="str">
            <v>Community School</v>
          </cell>
          <cell r="F932" t="str">
            <v>Secondary</v>
          </cell>
        </row>
        <row r="933">
          <cell r="A933">
            <v>8504100</v>
          </cell>
          <cell r="B933">
            <v>137535</v>
          </cell>
          <cell r="C933" t="str">
            <v>Amery Hill School</v>
          </cell>
          <cell r="D933" t="str">
            <v>Hampshire</v>
          </cell>
          <cell r="E933" t="str">
            <v>Academy Converters</v>
          </cell>
          <cell r="F933" t="str">
            <v>Secondary</v>
          </cell>
        </row>
        <row r="934">
          <cell r="A934">
            <v>8653462</v>
          </cell>
          <cell r="B934">
            <v>133775</v>
          </cell>
          <cell r="C934" t="str">
            <v>Amesbury Archer Primary School</v>
          </cell>
          <cell r="D934" t="str">
            <v>Wiltshire</v>
          </cell>
          <cell r="E934" t="str">
            <v>Community School</v>
          </cell>
          <cell r="F934" t="str">
            <v>Primary</v>
          </cell>
        </row>
        <row r="935">
          <cell r="A935">
            <v>8653301</v>
          </cell>
          <cell r="B935">
            <v>126393</v>
          </cell>
          <cell r="C935" t="str">
            <v>Amesbury Church of England Aided Junior School</v>
          </cell>
          <cell r="D935" t="str">
            <v>Wiltshire</v>
          </cell>
          <cell r="E935" t="str">
            <v>Voluntary Aided School</v>
          </cell>
          <cell r="F935" t="str">
            <v>Primary</v>
          </cell>
        </row>
        <row r="936">
          <cell r="A936">
            <v>8653468</v>
          </cell>
          <cell r="B936">
            <v>131215</v>
          </cell>
          <cell r="C936" t="str">
            <v>Amesbury Church of England Voluntary Controlled Primary School</v>
          </cell>
          <cell r="D936" t="str">
            <v>Wiltshire</v>
          </cell>
          <cell r="E936" t="str">
            <v>Voluntary Controlled School</v>
          </cell>
          <cell r="F936" t="str">
            <v>Primary</v>
          </cell>
        </row>
        <row r="937">
          <cell r="A937">
            <v>8652001</v>
          </cell>
          <cell r="B937">
            <v>126174</v>
          </cell>
          <cell r="C937" t="str">
            <v>Amesbury Infants' School</v>
          </cell>
          <cell r="D937" t="str">
            <v>Wiltshire</v>
          </cell>
          <cell r="E937" t="str">
            <v>Community School</v>
          </cell>
          <cell r="F937" t="str">
            <v>Primary</v>
          </cell>
        </row>
        <row r="938">
          <cell r="A938">
            <v>9366052</v>
          </cell>
          <cell r="B938">
            <v>125346</v>
          </cell>
          <cell r="C938" t="str">
            <v>Amesbury School</v>
          </cell>
          <cell r="D938" t="str">
            <v>Surrey</v>
          </cell>
          <cell r="E938" t="str">
            <v>Other Independent School</v>
          </cell>
          <cell r="F938" t="str">
            <v>Not applicable</v>
          </cell>
        </row>
        <row r="939">
          <cell r="A939">
            <v>2042017</v>
          </cell>
          <cell r="B939">
            <v>126592</v>
          </cell>
          <cell r="C939" t="str">
            <v>Amherst Infant School</v>
          </cell>
          <cell r="D939" t="str">
            <v>Hackney</v>
          </cell>
          <cell r="E939" t="str">
            <v>Community School</v>
          </cell>
          <cell r="F939" t="str">
            <v>Primary</v>
          </cell>
        </row>
        <row r="940">
          <cell r="A940">
            <v>7062002</v>
          </cell>
          <cell r="B940">
            <v>132492</v>
          </cell>
          <cell r="C940" t="str">
            <v>Amherst Infant School</v>
          </cell>
          <cell r="D940" t="str">
            <v>Guernsey Offshore Establishments</v>
          </cell>
          <cell r="E940" t="str">
            <v>Offshore Schools</v>
          </cell>
          <cell r="F940" t="str">
            <v>Not applicable</v>
          </cell>
        </row>
        <row r="941">
          <cell r="A941">
            <v>2042016</v>
          </cell>
          <cell r="B941">
            <v>126591</v>
          </cell>
          <cell r="C941" t="str">
            <v>Amherst Junior School</v>
          </cell>
          <cell r="D941" t="str">
            <v>Hackney</v>
          </cell>
          <cell r="E941" t="str">
            <v>Community School</v>
          </cell>
          <cell r="F941" t="str">
            <v>Primary</v>
          </cell>
        </row>
        <row r="942">
          <cell r="A942">
            <v>7063001</v>
          </cell>
          <cell r="B942">
            <v>132478</v>
          </cell>
          <cell r="C942" t="str">
            <v>Amherst Junior School</v>
          </cell>
          <cell r="D942" t="str">
            <v>Guernsey Offshore Establishments</v>
          </cell>
          <cell r="E942" t="str">
            <v>Offshore Schools</v>
          </cell>
          <cell r="F942" t="str">
            <v>Not applicable</v>
          </cell>
        </row>
        <row r="943">
          <cell r="A943">
            <v>2042018</v>
          </cell>
          <cell r="B943">
            <v>100216</v>
          </cell>
          <cell r="C943" t="str">
            <v>Amherst Primary School</v>
          </cell>
          <cell r="D943" t="str">
            <v>Hackney</v>
          </cell>
          <cell r="E943" t="str">
            <v>Community School</v>
          </cell>
          <cell r="F943" t="str">
            <v>Primary</v>
          </cell>
        </row>
        <row r="944">
          <cell r="A944">
            <v>7066008</v>
          </cell>
          <cell r="B944">
            <v>134188</v>
          </cell>
          <cell r="C944" t="str">
            <v>Amherst Primary School</v>
          </cell>
          <cell r="D944" t="str">
            <v>Guernsey Offshore Establishments</v>
          </cell>
          <cell r="E944" t="str">
            <v>Offshore Schools</v>
          </cell>
          <cell r="F944" t="str">
            <v>Not applicable</v>
          </cell>
        </row>
        <row r="945">
          <cell r="A945">
            <v>8862141</v>
          </cell>
          <cell r="B945">
            <v>118281</v>
          </cell>
          <cell r="C945" t="str">
            <v>Amherst School</v>
          </cell>
          <cell r="D945" t="str">
            <v>Kent</v>
          </cell>
          <cell r="E945" t="str">
            <v>Community School</v>
          </cell>
          <cell r="F945" t="str">
            <v>Primary</v>
          </cell>
        </row>
        <row r="946">
          <cell r="A946">
            <v>8862141</v>
          </cell>
          <cell r="B946">
            <v>136499</v>
          </cell>
          <cell r="C946" t="str">
            <v>Amherst School</v>
          </cell>
          <cell r="D946" t="str">
            <v>Kent</v>
          </cell>
          <cell r="E946" t="str">
            <v>Academy Converters</v>
          </cell>
          <cell r="F946" t="str">
            <v>Primary</v>
          </cell>
        </row>
        <row r="947">
          <cell r="A947">
            <v>3096077</v>
          </cell>
          <cell r="B947">
            <v>131058</v>
          </cell>
          <cell r="C947" t="str">
            <v>Amina Hatun Islamic School At the Annexe</v>
          </cell>
          <cell r="D947" t="str">
            <v>Haringey</v>
          </cell>
          <cell r="E947" t="str">
            <v>Other Independent School</v>
          </cell>
          <cell r="F947" t="str">
            <v>Not applicable</v>
          </cell>
        </row>
        <row r="948">
          <cell r="A948">
            <v>8602370</v>
          </cell>
          <cell r="B948">
            <v>124176</v>
          </cell>
          <cell r="C948" t="str">
            <v>Amington Heath Primary School and Nursery</v>
          </cell>
          <cell r="D948" t="str">
            <v>Staffordshire</v>
          </cell>
          <cell r="E948" t="str">
            <v>Community School</v>
          </cell>
          <cell r="F948" t="str">
            <v>Primary</v>
          </cell>
        </row>
        <row r="949">
          <cell r="A949">
            <v>6692038</v>
          </cell>
          <cell r="B949">
            <v>400747</v>
          </cell>
          <cell r="C949" t="str">
            <v>Ammanford  Junior School</v>
          </cell>
          <cell r="D949" t="str">
            <v>Carmarthenshire</v>
          </cell>
          <cell r="E949" t="str">
            <v>Welsh Establishment</v>
          </cell>
          <cell r="F949" t="str">
            <v>Primary</v>
          </cell>
        </row>
        <row r="950">
          <cell r="A950">
            <v>6692039</v>
          </cell>
          <cell r="B950">
            <v>400748</v>
          </cell>
          <cell r="C950" t="str">
            <v>Ammanford Infants School</v>
          </cell>
          <cell r="D950" t="str">
            <v>Carmarthenshire</v>
          </cell>
          <cell r="E950" t="str">
            <v>Welsh Establishment</v>
          </cell>
          <cell r="F950" t="str">
            <v>Primary</v>
          </cell>
        </row>
        <row r="951">
          <cell r="A951">
            <v>8152246</v>
          </cell>
          <cell r="B951">
            <v>121370</v>
          </cell>
          <cell r="C951" t="str">
            <v>Amotherby Community Primary School</v>
          </cell>
          <cell r="D951" t="str">
            <v>North Yorkshire</v>
          </cell>
          <cell r="E951" t="str">
            <v>Community School</v>
          </cell>
          <cell r="F951" t="str">
            <v>Primary</v>
          </cell>
        </row>
        <row r="952">
          <cell r="A952">
            <v>8503003</v>
          </cell>
          <cell r="B952">
            <v>116268</v>
          </cell>
          <cell r="C952" t="str">
            <v>Ampfield Church of England Primary School</v>
          </cell>
          <cell r="D952" t="str">
            <v>Hampshire</v>
          </cell>
          <cell r="E952" t="str">
            <v>Voluntary Controlled School</v>
          </cell>
          <cell r="F952" t="str">
            <v>Primary</v>
          </cell>
        </row>
        <row r="953">
          <cell r="A953">
            <v>8156006</v>
          </cell>
          <cell r="B953">
            <v>121735</v>
          </cell>
          <cell r="C953" t="str">
            <v>Ampleforth College</v>
          </cell>
          <cell r="D953" t="str">
            <v>North Yorkshire</v>
          </cell>
          <cell r="E953" t="str">
            <v>Other Independent School</v>
          </cell>
          <cell r="F953" t="str">
            <v>Not applicable</v>
          </cell>
        </row>
        <row r="954">
          <cell r="A954">
            <v>9163308</v>
          </cell>
          <cell r="B954">
            <v>115673</v>
          </cell>
          <cell r="C954" t="str">
            <v>Ampney Crucis Church of England Primary School</v>
          </cell>
          <cell r="D954" t="str">
            <v>Gloucestershire</v>
          </cell>
          <cell r="E954" t="str">
            <v>Voluntary Aided School</v>
          </cell>
          <cell r="F954" t="str">
            <v>Primary</v>
          </cell>
        </row>
        <row r="955">
          <cell r="A955">
            <v>8503300</v>
          </cell>
          <cell r="B955">
            <v>116348</v>
          </cell>
          <cell r="C955" t="str">
            <v>Amport Church of England Primary School</v>
          </cell>
          <cell r="D955" t="str">
            <v>Hampshire</v>
          </cell>
          <cell r="E955" t="str">
            <v>Voluntary Aided School</v>
          </cell>
          <cell r="F955" t="str">
            <v>Primary</v>
          </cell>
        </row>
        <row r="956">
          <cell r="A956">
            <v>9197028</v>
          </cell>
          <cell r="B956">
            <v>117684</v>
          </cell>
          <cell r="C956" t="str">
            <v>Amwell View School</v>
          </cell>
          <cell r="D956" t="str">
            <v>Hertfordshire</v>
          </cell>
          <cell r="E956" t="str">
            <v>Community Special School</v>
          </cell>
          <cell r="F956" t="str">
            <v>Special</v>
          </cell>
        </row>
        <row r="957">
          <cell r="A957">
            <v>3192046</v>
          </cell>
          <cell r="B957">
            <v>102988</v>
          </cell>
          <cell r="C957" t="str">
            <v>Amy Johnson Primary School</v>
          </cell>
          <cell r="D957" t="str">
            <v>Sutton</v>
          </cell>
          <cell r="E957" t="str">
            <v>Community School</v>
          </cell>
          <cell r="F957" t="str">
            <v>Primary</v>
          </cell>
        </row>
        <row r="958">
          <cell r="A958">
            <v>8104499</v>
          </cell>
          <cell r="B958">
            <v>118110</v>
          </cell>
          <cell r="C958" t="str">
            <v>Amy Johnson School</v>
          </cell>
          <cell r="D958" t="str">
            <v>Kingston upon Hull City of</v>
          </cell>
          <cell r="E958" t="str">
            <v>Community School</v>
          </cell>
          <cell r="F958" t="str">
            <v>Secondary</v>
          </cell>
        </row>
        <row r="959">
          <cell r="A959">
            <v>9204170</v>
          </cell>
          <cell r="B959">
            <v>129282</v>
          </cell>
          <cell r="C959" t="str">
            <v>Amy Johnson School</v>
          </cell>
          <cell r="D959" t="str">
            <v>Pre LGR (1996) Humberside</v>
          </cell>
          <cell r="E959" t="str">
            <v>Community School</v>
          </cell>
          <cell r="F959" t="str">
            <v>Secondary</v>
          </cell>
        </row>
        <row r="960">
          <cell r="A960">
            <v>7052061</v>
          </cell>
          <cell r="B960">
            <v>132452</v>
          </cell>
          <cell r="C960" t="str">
            <v>Anagh Coar School</v>
          </cell>
          <cell r="D960" t="str">
            <v>Isle of Man Offshore Establishments</v>
          </cell>
          <cell r="E960" t="str">
            <v>Offshore Schools</v>
          </cell>
          <cell r="F960" t="str">
            <v>Not applicable</v>
          </cell>
        </row>
        <row r="961">
          <cell r="A961">
            <v>9253001</v>
          </cell>
          <cell r="B961">
            <v>120512</v>
          </cell>
          <cell r="C961" t="str">
            <v>Ancaster CofE Primary School</v>
          </cell>
          <cell r="D961" t="str">
            <v>Lincolnshire</v>
          </cell>
          <cell r="E961" t="str">
            <v>Voluntary Controlled School</v>
          </cell>
          <cell r="F961" t="str">
            <v>Primary</v>
          </cell>
        </row>
        <row r="962">
          <cell r="A962">
            <v>3717008</v>
          </cell>
          <cell r="B962">
            <v>106822</v>
          </cell>
          <cell r="C962" t="str">
            <v>Anchorage School</v>
          </cell>
          <cell r="D962" t="str">
            <v>Doncaster</v>
          </cell>
          <cell r="E962" t="str">
            <v>Community Special School</v>
          </cell>
          <cell r="F962" t="str">
            <v>Special</v>
          </cell>
        </row>
        <row r="963">
          <cell r="A963">
            <v>8902211</v>
          </cell>
          <cell r="B963">
            <v>119249</v>
          </cell>
          <cell r="C963" t="str">
            <v>Anchorsholme Primary School</v>
          </cell>
          <cell r="D963" t="str">
            <v>Blackpool</v>
          </cell>
          <cell r="E963" t="str">
            <v>Community School</v>
          </cell>
          <cell r="F963" t="str">
            <v>Primary</v>
          </cell>
        </row>
        <row r="964">
          <cell r="A964">
            <v>3521000</v>
          </cell>
          <cell r="B964">
            <v>105379</v>
          </cell>
          <cell r="C964" t="str">
            <v>Ancoats Nursery School</v>
          </cell>
          <cell r="D964" t="str">
            <v>Manchester</v>
          </cell>
          <cell r="E964" t="str">
            <v>LA Nursery School</v>
          </cell>
          <cell r="F964" t="str">
            <v>Nursery</v>
          </cell>
        </row>
        <row r="965">
          <cell r="A965">
            <v>8016130</v>
          </cell>
          <cell r="B965">
            <v>130391</v>
          </cell>
          <cell r="C965" t="str">
            <v>Andalusia Academy Bristol</v>
          </cell>
          <cell r="D965" t="str">
            <v>Bristol City of</v>
          </cell>
          <cell r="E965" t="str">
            <v>Other Independent School</v>
          </cell>
          <cell r="F965" t="str">
            <v>Not applicable</v>
          </cell>
        </row>
        <row r="966">
          <cell r="A966">
            <v>8456060</v>
          </cell>
          <cell r="B966">
            <v>136036</v>
          </cell>
          <cell r="C966" t="str">
            <v>Anderida Therapeutic Learning Centre</v>
          </cell>
          <cell r="D966" t="str">
            <v>East Sussex</v>
          </cell>
          <cell r="E966" t="str">
            <v>Other Independent School</v>
          </cell>
          <cell r="F966" t="str">
            <v>Not applicable</v>
          </cell>
        </row>
        <row r="967">
          <cell r="A967">
            <v>3302062</v>
          </cell>
          <cell r="B967">
            <v>103192</v>
          </cell>
          <cell r="C967" t="str">
            <v>Anderton Park Primary School</v>
          </cell>
          <cell r="D967" t="str">
            <v>Birmingham</v>
          </cell>
          <cell r="E967" t="str">
            <v>Community School</v>
          </cell>
          <cell r="F967" t="str">
            <v>Primary</v>
          </cell>
        </row>
        <row r="968">
          <cell r="A968">
            <v>8882140</v>
          </cell>
          <cell r="B968">
            <v>119202</v>
          </cell>
          <cell r="C968" t="str">
            <v>Anderton Primary School</v>
          </cell>
          <cell r="D968" t="str">
            <v>Lancashire</v>
          </cell>
          <cell r="E968" t="str">
            <v>Community School</v>
          </cell>
          <cell r="F968" t="str">
            <v>Primary</v>
          </cell>
        </row>
        <row r="969">
          <cell r="A969">
            <v>8883781</v>
          </cell>
          <cell r="B969">
            <v>119668</v>
          </cell>
          <cell r="C969" t="str">
            <v>Anderton St Joseph's Catholic Primary School</v>
          </cell>
          <cell r="D969" t="str">
            <v>Lancashire</v>
          </cell>
          <cell r="E969" t="str">
            <v>Voluntary Aided School</v>
          </cell>
          <cell r="F969" t="str">
            <v>Primary</v>
          </cell>
        </row>
        <row r="970">
          <cell r="A970">
            <v>8503004</v>
          </cell>
          <cell r="B970">
            <v>116269</v>
          </cell>
          <cell r="C970" t="str">
            <v>Andover Church of England Primary School</v>
          </cell>
          <cell r="D970" t="str">
            <v>Hampshire</v>
          </cell>
          <cell r="E970" t="str">
            <v>Voluntary Controlled School</v>
          </cell>
          <cell r="F970" t="str">
            <v>Primary</v>
          </cell>
        </row>
        <row r="971">
          <cell r="A971">
            <v>8501104</v>
          </cell>
          <cell r="B971">
            <v>115837</v>
          </cell>
          <cell r="C971" t="str">
            <v>Andover Education Centre</v>
          </cell>
          <cell r="D971" t="str">
            <v>Hampshire</v>
          </cell>
          <cell r="E971" t="str">
            <v>Pupil Referral Unit</v>
          </cell>
          <cell r="F971" t="str">
            <v>PRU</v>
          </cell>
        </row>
        <row r="972">
          <cell r="A972">
            <v>9165205</v>
          </cell>
          <cell r="B972">
            <v>115735</v>
          </cell>
          <cell r="C972" t="str">
            <v>Andoversford Primary School</v>
          </cell>
          <cell r="D972" t="str">
            <v>Gloucestershire</v>
          </cell>
          <cell r="E972" t="str">
            <v>Foundation School</v>
          </cell>
          <cell r="F972" t="str">
            <v>Primary</v>
          </cell>
        </row>
        <row r="973">
          <cell r="A973">
            <v>7052000</v>
          </cell>
          <cell r="B973">
            <v>132427</v>
          </cell>
          <cell r="C973" t="str">
            <v>Andreas School</v>
          </cell>
          <cell r="D973" t="str">
            <v>Isle of Man Offshore Establishments</v>
          </cell>
          <cell r="E973" t="str">
            <v>Offshore Schools</v>
          </cell>
          <cell r="F973" t="str">
            <v>Not applicable</v>
          </cell>
        </row>
        <row r="974">
          <cell r="A974">
            <v>7022019</v>
          </cell>
          <cell r="B974">
            <v>132404</v>
          </cell>
          <cell r="C974" t="str">
            <v>Andrew Humphrey School</v>
          </cell>
          <cell r="D974" t="str">
            <v>BFPO Overseas Establishments</v>
          </cell>
          <cell r="E974" t="str">
            <v>Service Childrens Education</v>
          </cell>
          <cell r="F974" t="str">
            <v>Not applicable</v>
          </cell>
        </row>
        <row r="975">
          <cell r="A975">
            <v>8104455</v>
          </cell>
          <cell r="B975">
            <v>118108</v>
          </cell>
          <cell r="C975" t="str">
            <v>Andrew Marvell Business and Enterprise College</v>
          </cell>
          <cell r="D975" t="str">
            <v>Kingston upon Hull City of</v>
          </cell>
          <cell r="E975" t="str">
            <v>Foundation School</v>
          </cell>
          <cell r="F975" t="str">
            <v>Secondary</v>
          </cell>
        </row>
        <row r="976">
          <cell r="A976">
            <v>8503344</v>
          </cell>
          <cell r="B976">
            <v>116360</v>
          </cell>
          <cell r="C976" t="str">
            <v>Andrews' Endowed Church of England Primary School</v>
          </cell>
          <cell r="D976" t="str">
            <v>Hampshire</v>
          </cell>
          <cell r="E976" t="str">
            <v>Voluntary Aided School</v>
          </cell>
          <cell r="F976" t="str">
            <v>Primary</v>
          </cell>
        </row>
        <row r="977">
          <cell r="A977">
            <v>9192375</v>
          </cell>
          <cell r="B977">
            <v>117302</v>
          </cell>
          <cell r="C977" t="str">
            <v>Andrews Lane Primary School</v>
          </cell>
          <cell r="D977" t="str">
            <v>Hertfordshire</v>
          </cell>
          <cell r="E977" t="str">
            <v>Community School</v>
          </cell>
          <cell r="F977" t="str">
            <v>Primary</v>
          </cell>
        </row>
        <row r="978">
          <cell r="A978">
            <v>3052058</v>
          </cell>
          <cell r="B978">
            <v>101628</v>
          </cell>
          <cell r="C978" t="str">
            <v>Anerley Primary School</v>
          </cell>
          <cell r="D978" t="str">
            <v>Bromley</v>
          </cell>
          <cell r="E978" t="str">
            <v>Community School</v>
          </cell>
          <cell r="F978" t="str">
            <v>Primary</v>
          </cell>
        </row>
        <row r="979">
          <cell r="A979">
            <v>2097076</v>
          </cell>
          <cell r="B979">
            <v>100761</v>
          </cell>
          <cell r="C979" t="str">
            <v>Anerley School for Boys</v>
          </cell>
          <cell r="D979" t="str">
            <v>Lewisham</v>
          </cell>
          <cell r="E979" t="str">
            <v>Community Special School</v>
          </cell>
          <cell r="F979" t="str">
            <v>Special</v>
          </cell>
        </row>
        <row r="980">
          <cell r="A980">
            <v>3414416</v>
          </cell>
          <cell r="B980">
            <v>104689</v>
          </cell>
          <cell r="C980" t="str">
            <v>Anfield Community Comprehensive School</v>
          </cell>
          <cell r="D980" t="str">
            <v>Liverpool</v>
          </cell>
          <cell r="E980" t="str">
            <v>Community School</v>
          </cell>
          <cell r="F980" t="str">
            <v>Secondary</v>
          </cell>
        </row>
        <row r="981">
          <cell r="A981">
            <v>3412002</v>
          </cell>
          <cell r="B981">
            <v>104514</v>
          </cell>
          <cell r="C981" t="str">
            <v>Anfield Infant School</v>
          </cell>
          <cell r="D981" t="str">
            <v>Liverpool</v>
          </cell>
          <cell r="E981" t="str">
            <v>Community School</v>
          </cell>
          <cell r="F981" t="str">
            <v>Primary</v>
          </cell>
        </row>
        <row r="982">
          <cell r="A982">
            <v>3412000</v>
          </cell>
          <cell r="B982">
            <v>104513</v>
          </cell>
          <cell r="C982" t="str">
            <v>Anfield Junior School</v>
          </cell>
          <cell r="D982" t="str">
            <v>Liverpool</v>
          </cell>
          <cell r="E982" t="str">
            <v>Community School</v>
          </cell>
          <cell r="F982" t="str">
            <v>Primary</v>
          </cell>
        </row>
        <row r="983">
          <cell r="A983">
            <v>2062465</v>
          </cell>
          <cell r="B983">
            <v>100419</v>
          </cell>
          <cell r="C983" t="str">
            <v>Angel Primary School</v>
          </cell>
          <cell r="D983" t="str">
            <v>Islington</v>
          </cell>
          <cell r="E983" t="str">
            <v>Community School</v>
          </cell>
          <cell r="F983" t="str">
            <v>Primary</v>
          </cell>
        </row>
        <row r="984">
          <cell r="A984">
            <v>9262320</v>
          </cell>
          <cell r="B984">
            <v>120957</v>
          </cell>
          <cell r="C984" t="str">
            <v>Angel Road Infant School</v>
          </cell>
          <cell r="D984" t="str">
            <v>Norfolk</v>
          </cell>
          <cell r="E984" t="str">
            <v>Community School</v>
          </cell>
          <cell r="F984" t="str">
            <v>Primary</v>
          </cell>
        </row>
        <row r="985">
          <cell r="A985">
            <v>9262312</v>
          </cell>
          <cell r="B985">
            <v>120949</v>
          </cell>
          <cell r="C985" t="str">
            <v>Angel Road Junior School</v>
          </cell>
          <cell r="D985" t="str">
            <v>Norfolk</v>
          </cell>
          <cell r="E985" t="str">
            <v>Community School</v>
          </cell>
          <cell r="F985" t="str">
            <v>Primary</v>
          </cell>
        </row>
        <row r="986">
          <cell r="A986">
            <v>6683033</v>
          </cell>
          <cell r="B986">
            <v>400703</v>
          </cell>
          <cell r="C986" t="str">
            <v>Angle V.C. School</v>
          </cell>
          <cell r="D986" t="str">
            <v>Pembrokeshire</v>
          </cell>
          <cell r="E986" t="str">
            <v>Welsh Establishment</v>
          </cell>
          <cell r="F986" t="str">
            <v>Primary</v>
          </cell>
        </row>
        <row r="987">
          <cell r="A987">
            <v>3302009</v>
          </cell>
          <cell r="B987">
            <v>103158</v>
          </cell>
          <cell r="C987" t="str">
            <v>Anglesey Infant School</v>
          </cell>
          <cell r="D987" t="str">
            <v>Birmingham</v>
          </cell>
          <cell r="E987" t="str">
            <v>Community School</v>
          </cell>
          <cell r="F987" t="str">
            <v>Primary</v>
          </cell>
        </row>
        <row r="988">
          <cell r="A988">
            <v>9342390</v>
          </cell>
          <cell r="B988">
            <v>129910</v>
          </cell>
          <cell r="C988" t="str">
            <v>Anglesey Infant School</v>
          </cell>
          <cell r="D988" t="str">
            <v>Pre LGR (1997) Staffordshire</v>
          </cell>
          <cell r="E988" t="str">
            <v>Community School</v>
          </cell>
          <cell r="F988" t="str">
            <v>Primary</v>
          </cell>
        </row>
        <row r="989">
          <cell r="A989">
            <v>3302316</v>
          </cell>
          <cell r="B989">
            <v>103336</v>
          </cell>
          <cell r="C989" t="str">
            <v>Anglesey Junior School</v>
          </cell>
          <cell r="D989" t="str">
            <v>Birmingham</v>
          </cell>
          <cell r="E989" t="str">
            <v>Community School</v>
          </cell>
          <cell r="F989" t="str">
            <v>Primary</v>
          </cell>
        </row>
        <row r="990">
          <cell r="A990">
            <v>8605204</v>
          </cell>
          <cell r="B990">
            <v>124187</v>
          </cell>
          <cell r="C990" t="str">
            <v>Anglesey Primary School</v>
          </cell>
          <cell r="D990" t="str">
            <v>Staffordshire</v>
          </cell>
          <cell r="E990" t="str">
            <v>Foundation School</v>
          </cell>
          <cell r="F990" t="str">
            <v>Primary</v>
          </cell>
        </row>
        <row r="991">
          <cell r="A991">
            <v>3302479</v>
          </cell>
          <cell r="B991">
            <v>132074</v>
          </cell>
          <cell r="C991" t="str">
            <v>Anglesey Primary School</v>
          </cell>
          <cell r="D991" t="str">
            <v>Birmingham</v>
          </cell>
          <cell r="E991" t="str">
            <v>Community School</v>
          </cell>
          <cell r="F991" t="str">
            <v>Primary</v>
          </cell>
        </row>
        <row r="992">
          <cell r="A992">
            <v>8865419</v>
          </cell>
          <cell r="B992">
            <v>118891</v>
          </cell>
          <cell r="C992" t="str">
            <v>Angley School - A Sports College</v>
          </cell>
          <cell r="D992" t="str">
            <v>Kent</v>
          </cell>
          <cell r="E992" t="str">
            <v>Foundation School</v>
          </cell>
          <cell r="F992" t="str">
            <v>Secondary</v>
          </cell>
        </row>
        <row r="993">
          <cell r="A993">
            <v>881</v>
          </cell>
          <cell r="B993">
            <v>133803</v>
          </cell>
          <cell r="C993" t="str">
            <v>Anglia Ruskin University</v>
          </cell>
          <cell r="D993" t="str">
            <v>Essex</v>
          </cell>
          <cell r="E993" t="str">
            <v>Higher Education Institutions</v>
          </cell>
          <cell r="F993" t="str">
            <v>Not applicable</v>
          </cell>
        </row>
        <row r="994">
          <cell r="A994">
            <v>9356061</v>
          </cell>
          <cell r="B994">
            <v>130001</v>
          </cell>
          <cell r="C994" t="str">
            <v>Anglican Academy of Arts</v>
          </cell>
          <cell r="D994" t="str">
            <v>Suffolk</v>
          </cell>
          <cell r="E994" t="str">
            <v>Other Independent School</v>
          </cell>
          <cell r="F994" t="str">
            <v>Not applicable</v>
          </cell>
        </row>
        <row r="995">
          <cell r="A995">
            <v>8815442</v>
          </cell>
          <cell r="B995">
            <v>115358</v>
          </cell>
          <cell r="C995" t="str">
            <v>Anglo European School</v>
          </cell>
          <cell r="D995" t="str">
            <v>Essex</v>
          </cell>
          <cell r="E995" t="str">
            <v>Foundation School</v>
          </cell>
          <cell r="F995" t="str">
            <v>Secondary</v>
          </cell>
        </row>
        <row r="996">
          <cell r="A996">
            <v>8815442</v>
          </cell>
          <cell r="B996">
            <v>137727</v>
          </cell>
          <cell r="C996" t="str">
            <v>Anglo European School</v>
          </cell>
          <cell r="D996" t="str">
            <v>Essex</v>
          </cell>
          <cell r="E996" t="str">
            <v>Academy Converters</v>
          </cell>
          <cell r="F996" t="str">
            <v>Secondary</v>
          </cell>
        </row>
        <row r="997">
          <cell r="A997">
            <v>3732310</v>
          </cell>
          <cell r="B997">
            <v>127709</v>
          </cell>
          <cell r="C997" t="str">
            <v>Angram Bank Junior School</v>
          </cell>
          <cell r="D997" t="str">
            <v>Sheffield</v>
          </cell>
          <cell r="E997" t="str">
            <v>Community School</v>
          </cell>
          <cell r="F997" t="str">
            <v>Primary</v>
          </cell>
        </row>
        <row r="998">
          <cell r="A998">
            <v>3732314</v>
          </cell>
          <cell r="B998">
            <v>127710</v>
          </cell>
          <cell r="C998" t="str">
            <v>Angram Bank Nursery and Infant School</v>
          </cell>
          <cell r="D998" t="str">
            <v>Sheffield</v>
          </cell>
          <cell r="E998" t="str">
            <v>Community School</v>
          </cell>
          <cell r="F998" t="str">
            <v>Primary</v>
          </cell>
        </row>
        <row r="999">
          <cell r="A999">
            <v>3732342</v>
          </cell>
          <cell r="B999">
            <v>107085</v>
          </cell>
          <cell r="C999" t="str">
            <v>Angram Bank Primary School</v>
          </cell>
          <cell r="D999" t="str">
            <v>Sheffield</v>
          </cell>
          <cell r="E999" t="str">
            <v>Community School</v>
          </cell>
          <cell r="F999" t="str">
            <v>Primary</v>
          </cell>
        </row>
        <row r="1000">
          <cell r="A1000">
            <v>8602337</v>
          </cell>
          <cell r="B1000">
            <v>124160</v>
          </cell>
          <cell r="C1000" t="str">
            <v>Ankermoor Primary School</v>
          </cell>
          <cell r="D1000" t="str">
            <v>Staffordshire</v>
          </cell>
          <cell r="E1000" t="str">
            <v>Community School</v>
          </cell>
          <cell r="F1000" t="str">
            <v>Primary</v>
          </cell>
        </row>
        <row r="1001">
          <cell r="A1001">
            <v>8112777</v>
          </cell>
          <cell r="B1001">
            <v>117888</v>
          </cell>
          <cell r="C1001" t="str">
            <v>Anlaby Acre Heads Primary School</v>
          </cell>
          <cell r="D1001" t="str">
            <v>East Riding of Yorkshire</v>
          </cell>
          <cell r="E1001" t="str">
            <v>Community School</v>
          </cell>
          <cell r="F1001" t="str">
            <v>Primary</v>
          </cell>
        </row>
        <row r="1002">
          <cell r="A1002">
            <v>8112760</v>
          </cell>
          <cell r="B1002">
            <v>117877</v>
          </cell>
          <cell r="C1002" t="str">
            <v>Anlaby Infant School</v>
          </cell>
          <cell r="D1002" t="str">
            <v>East Riding of Yorkshire</v>
          </cell>
          <cell r="E1002" t="str">
            <v>Community School</v>
          </cell>
          <cell r="F1002" t="str">
            <v>Primary</v>
          </cell>
        </row>
        <row r="1003">
          <cell r="A1003">
            <v>8112725</v>
          </cell>
          <cell r="B1003">
            <v>117845</v>
          </cell>
          <cell r="C1003" t="str">
            <v>Anlaby Junior School</v>
          </cell>
          <cell r="D1003" t="str">
            <v>East Riding of Yorkshire</v>
          </cell>
          <cell r="E1003" t="str">
            <v>Community School</v>
          </cell>
          <cell r="F1003" t="str">
            <v>Primary</v>
          </cell>
        </row>
        <row r="1004">
          <cell r="A1004">
            <v>8113512</v>
          </cell>
          <cell r="B1004">
            <v>132349</v>
          </cell>
          <cell r="C1004" t="str">
            <v>Anlaby Primary School</v>
          </cell>
          <cell r="D1004" t="str">
            <v>East Riding of Yorkshire</v>
          </cell>
          <cell r="E1004" t="str">
            <v>Community School</v>
          </cell>
          <cell r="F1004" t="str">
            <v>Primary</v>
          </cell>
        </row>
        <row r="1005">
          <cell r="A1005">
            <v>9163323</v>
          </cell>
          <cell r="B1005">
            <v>115683</v>
          </cell>
          <cell r="C1005" t="str">
            <v>Ann Cam Church of England Primary School</v>
          </cell>
          <cell r="D1005" t="str">
            <v>Gloucestershire</v>
          </cell>
          <cell r="E1005" t="str">
            <v>Voluntary Aided School</v>
          </cell>
          <cell r="F1005" t="str">
            <v>Primary</v>
          </cell>
        </row>
        <row r="1006">
          <cell r="A1006">
            <v>9163069</v>
          </cell>
          <cell r="B1006">
            <v>115650</v>
          </cell>
          <cell r="C1006" t="str">
            <v>Ann Edwards Church of England Primary School</v>
          </cell>
          <cell r="D1006" t="str">
            <v>Gloucestershire</v>
          </cell>
          <cell r="E1006" t="str">
            <v>Voluntary Controlled School</v>
          </cell>
          <cell r="F1006" t="str">
            <v>Primary</v>
          </cell>
        </row>
        <row r="1007">
          <cell r="A1007">
            <v>8453345</v>
          </cell>
          <cell r="B1007">
            <v>114571</v>
          </cell>
          <cell r="C1007" t="str">
            <v>Annecy Catholic Primary School</v>
          </cell>
          <cell r="D1007" t="str">
            <v>East Sussex</v>
          </cell>
          <cell r="E1007" t="str">
            <v>Voluntary Aided School</v>
          </cell>
          <cell r="F1007" t="str">
            <v>Primary</v>
          </cell>
        </row>
        <row r="1008">
          <cell r="A1008">
            <v>3026051</v>
          </cell>
          <cell r="B1008">
            <v>101375</v>
          </cell>
          <cell r="C1008" t="str">
            <v>Annemount School</v>
          </cell>
          <cell r="D1008" t="str">
            <v>Barnet</v>
          </cell>
          <cell r="E1008" t="str">
            <v>Other Independent School</v>
          </cell>
          <cell r="F1008" t="str">
            <v>Not applicable</v>
          </cell>
        </row>
        <row r="1009">
          <cell r="A1009">
            <v>8912010</v>
          </cell>
          <cell r="B1009">
            <v>122404</v>
          </cell>
          <cell r="C1009" t="str">
            <v>Annesley Primary and Nursery School</v>
          </cell>
          <cell r="D1009" t="str">
            <v>Nottinghamshire</v>
          </cell>
          <cell r="E1009" t="str">
            <v>Community School</v>
          </cell>
          <cell r="F1009" t="str">
            <v>Primary</v>
          </cell>
        </row>
        <row r="1010">
          <cell r="A1010">
            <v>8402213</v>
          </cell>
          <cell r="B1010">
            <v>114025</v>
          </cell>
          <cell r="C1010" t="str">
            <v>Annfield Plain Infant School</v>
          </cell>
          <cell r="D1010" t="str">
            <v>Durham</v>
          </cell>
          <cell r="E1010" t="str">
            <v>Community School</v>
          </cell>
          <cell r="F1010" t="str">
            <v>Primary</v>
          </cell>
        </row>
        <row r="1011">
          <cell r="A1011">
            <v>8402212</v>
          </cell>
          <cell r="B1011">
            <v>114024</v>
          </cell>
          <cell r="C1011" t="str">
            <v>Annfield Plain Junior School</v>
          </cell>
          <cell r="D1011" t="str">
            <v>Durham</v>
          </cell>
          <cell r="E1011" t="str">
            <v>Community School</v>
          </cell>
          <cell r="F1011" t="str">
            <v>Primary</v>
          </cell>
        </row>
        <row r="1012">
          <cell r="A1012">
            <v>8912461</v>
          </cell>
          <cell r="B1012">
            <v>122583</v>
          </cell>
          <cell r="C1012" t="str">
            <v>Annie Holgate Infant and Nursery School</v>
          </cell>
          <cell r="D1012" t="str">
            <v>Nottinghamshire</v>
          </cell>
          <cell r="E1012" t="str">
            <v>Community School</v>
          </cell>
          <cell r="F1012" t="str">
            <v>Primary</v>
          </cell>
        </row>
        <row r="1013">
          <cell r="A1013">
            <v>8912460</v>
          </cell>
          <cell r="B1013">
            <v>122582</v>
          </cell>
          <cell r="C1013" t="str">
            <v>Annie Holgate Junior School</v>
          </cell>
          <cell r="D1013" t="str">
            <v>Nottinghamshire</v>
          </cell>
          <cell r="E1013" t="str">
            <v>Community School</v>
          </cell>
          <cell r="F1013" t="str">
            <v>Primary</v>
          </cell>
        </row>
        <row r="1014">
          <cell r="A1014">
            <v>8726009</v>
          </cell>
          <cell r="B1014">
            <v>110156</v>
          </cell>
          <cell r="C1014" t="str">
            <v>Annie Lawson School</v>
          </cell>
          <cell r="D1014" t="str">
            <v>Wokingham</v>
          </cell>
          <cell r="E1014" t="str">
            <v>Independent School Approved for SEN Pupils</v>
          </cell>
          <cell r="F1014" t="str">
            <v>Not applicable</v>
          </cell>
        </row>
        <row r="1015">
          <cell r="A1015">
            <v>3332104</v>
          </cell>
          <cell r="B1015">
            <v>103932</v>
          </cell>
          <cell r="C1015" t="str">
            <v>Annie Lennard Infant School</v>
          </cell>
          <cell r="D1015" t="str">
            <v>Sandwell</v>
          </cell>
          <cell r="E1015" t="str">
            <v>Community School</v>
          </cell>
          <cell r="F1015" t="str">
            <v>Primary</v>
          </cell>
        </row>
        <row r="1016">
          <cell r="A1016">
            <v>3312077</v>
          </cell>
          <cell r="B1016">
            <v>103657</v>
          </cell>
          <cell r="C1016" t="str">
            <v>Annie Osborn Primary School</v>
          </cell>
          <cell r="D1016" t="str">
            <v>Coventry</v>
          </cell>
          <cell r="E1016" t="str">
            <v>Community School</v>
          </cell>
          <cell r="F1016" t="str">
            <v>Primary</v>
          </cell>
        </row>
        <row r="1017">
          <cell r="A1017">
            <v>3922043</v>
          </cell>
          <cell r="B1017">
            <v>128157</v>
          </cell>
          <cell r="C1017" t="str">
            <v>Annitsford First School</v>
          </cell>
          <cell r="D1017" t="str">
            <v>North Tyneside</v>
          </cell>
          <cell r="E1017" t="str">
            <v>Community School</v>
          </cell>
          <cell r="F1017" t="str">
            <v>Primary</v>
          </cell>
        </row>
        <row r="1018">
          <cell r="A1018">
            <v>8316009</v>
          </cell>
          <cell r="B1018">
            <v>136099</v>
          </cell>
          <cell r="C1018" t="str">
            <v>An-Noor Primary School</v>
          </cell>
          <cell r="D1018" t="str">
            <v>Derby</v>
          </cell>
          <cell r="E1018" t="str">
            <v>Other Independent School</v>
          </cell>
          <cell r="F1018" t="str">
            <v>Not applicable</v>
          </cell>
        </row>
        <row r="1019">
          <cell r="A1019">
            <v>3732003</v>
          </cell>
          <cell r="B1019">
            <v>127637</v>
          </cell>
          <cell r="C1019" t="str">
            <v>Anns Grove Junior School</v>
          </cell>
          <cell r="D1019" t="str">
            <v>Sheffield</v>
          </cell>
          <cell r="E1019" t="str">
            <v>Community School</v>
          </cell>
          <cell r="F1019" t="str">
            <v>Primary</v>
          </cell>
        </row>
        <row r="1020">
          <cell r="A1020">
            <v>3732212</v>
          </cell>
          <cell r="B1020">
            <v>127680</v>
          </cell>
          <cell r="C1020" t="str">
            <v>Anns Grove Nursery and Infant School</v>
          </cell>
          <cell r="D1020" t="str">
            <v>Sheffield</v>
          </cell>
          <cell r="E1020" t="str">
            <v>Community School</v>
          </cell>
          <cell r="F1020" t="str">
            <v>Primary</v>
          </cell>
        </row>
        <row r="1021">
          <cell r="A1021">
            <v>3732343</v>
          </cell>
          <cell r="B1021">
            <v>107086</v>
          </cell>
          <cell r="C1021" t="str">
            <v>Anns Grove Primary School</v>
          </cell>
          <cell r="D1021" t="str">
            <v>Sheffield</v>
          </cell>
          <cell r="E1021" t="str">
            <v>Community School</v>
          </cell>
          <cell r="F1021" t="str">
            <v>Primary</v>
          </cell>
        </row>
        <row r="1022">
          <cell r="A1022">
            <v>3416043</v>
          </cell>
          <cell r="B1022">
            <v>131461</v>
          </cell>
          <cell r="C1022" t="str">
            <v>An-Nur Primary School</v>
          </cell>
          <cell r="D1022" t="str">
            <v>Liverpool</v>
          </cell>
          <cell r="E1022" t="str">
            <v>Other Independent School</v>
          </cell>
          <cell r="F1022" t="str">
            <v>Not applicable</v>
          </cell>
        </row>
        <row r="1023">
          <cell r="A1023">
            <v>8882042</v>
          </cell>
          <cell r="B1023">
            <v>119146</v>
          </cell>
          <cell r="C1023" t="str">
            <v>Ansdell Primary School</v>
          </cell>
          <cell r="D1023" t="str">
            <v>Lancashire</v>
          </cell>
          <cell r="E1023" t="str">
            <v>Community School</v>
          </cell>
          <cell r="F1023" t="str">
            <v>Primary</v>
          </cell>
        </row>
        <row r="1024">
          <cell r="A1024">
            <v>9334250</v>
          </cell>
          <cell r="B1024">
            <v>123865</v>
          </cell>
          <cell r="C1024" t="str">
            <v>Ansford School</v>
          </cell>
          <cell r="D1024" t="str">
            <v>Somerset</v>
          </cell>
          <cell r="E1024" t="str">
            <v>Foundation School</v>
          </cell>
          <cell r="F1024" t="str">
            <v>Secondary</v>
          </cell>
        </row>
        <row r="1025">
          <cell r="A1025">
            <v>9334250</v>
          </cell>
          <cell r="B1025">
            <v>136839</v>
          </cell>
          <cell r="C1025" t="str">
            <v>Ansford School</v>
          </cell>
          <cell r="D1025" t="str">
            <v>Somerset</v>
          </cell>
          <cell r="E1025" t="str">
            <v>Academy Converters</v>
          </cell>
          <cell r="F1025" t="str">
            <v>Secondary</v>
          </cell>
        </row>
        <row r="1026">
          <cell r="A1026">
            <v>8603488</v>
          </cell>
          <cell r="B1026">
            <v>124379</v>
          </cell>
          <cell r="C1026" t="str">
            <v>Anson CofE (A) Primary School</v>
          </cell>
          <cell r="D1026" t="str">
            <v>Staffordshire</v>
          </cell>
          <cell r="E1026" t="str">
            <v>Voluntary Aided School</v>
          </cell>
          <cell r="F1026" t="str">
            <v>Primary</v>
          </cell>
        </row>
        <row r="1027">
          <cell r="A1027">
            <v>9343435</v>
          </cell>
          <cell r="B1027">
            <v>129927</v>
          </cell>
          <cell r="C1027" t="str">
            <v>Anson CofE First School</v>
          </cell>
          <cell r="D1027" t="str">
            <v>Pre LGR (1997) Staffordshire</v>
          </cell>
          <cell r="E1027" t="str">
            <v>Voluntary Aided School</v>
          </cell>
          <cell r="F1027" t="str">
            <v>Primary</v>
          </cell>
        </row>
        <row r="1028">
          <cell r="A1028">
            <v>3042000</v>
          </cell>
          <cell r="B1028">
            <v>101495</v>
          </cell>
          <cell r="C1028" t="str">
            <v>Anson Primary School</v>
          </cell>
          <cell r="D1028" t="str">
            <v>Brent</v>
          </cell>
          <cell r="E1028" t="str">
            <v>Community School</v>
          </cell>
          <cell r="F1028" t="str">
            <v>Primary</v>
          </cell>
        </row>
        <row r="1029">
          <cell r="A1029">
            <v>9192223</v>
          </cell>
          <cell r="B1029">
            <v>117218</v>
          </cell>
          <cell r="C1029" t="str">
            <v>Anstey First School</v>
          </cell>
          <cell r="D1029" t="str">
            <v>Hertfordshire</v>
          </cell>
          <cell r="E1029" t="str">
            <v>Community School</v>
          </cell>
          <cell r="F1029" t="str">
            <v>Primary</v>
          </cell>
        </row>
        <row r="1030">
          <cell r="A1030">
            <v>8502001</v>
          </cell>
          <cell r="B1030">
            <v>115851</v>
          </cell>
          <cell r="C1030" t="str">
            <v>Anstey Junior School</v>
          </cell>
          <cell r="D1030" t="str">
            <v>Hampshire</v>
          </cell>
          <cell r="E1030" t="str">
            <v>Community School</v>
          </cell>
          <cell r="F1030" t="str">
            <v>Primary</v>
          </cell>
        </row>
        <row r="1031">
          <cell r="A1031">
            <v>3722123</v>
          </cell>
          <cell r="B1031">
            <v>106920</v>
          </cell>
          <cell r="C1031" t="str">
            <v>Anston Brook Infant School</v>
          </cell>
          <cell r="D1031" t="str">
            <v>Rotherham</v>
          </cell>
          <cell r="E1031" t="str">
            <v>Community School</v>
          </cell>
          <cell r="F1031" t="str">
            <v>Primary</v>
          </cell>
        </row>
        <row r="1032">
          <cell r="A1032">
            <v>3722065</v>
          </cell>
          <cell r="B1032">
            <v>106872</v>
          </cell>
          <cell r="C1032" t="str">
            <v>Anston Brook Junior School</v>
          </cell>
          <cell r="D1032" t="str">
            <v>Rotherham</v>
          </cell>
          <cell r="E1032" t="str">
            <v>Community School</v>
          </cell>
          <cell r="F1032" t="str">
            <v>Primary</v>
          </cell>
        </row>
        <row r="1033">
          <cell r="A1033">
            <v>3722140</v>
          </cell>
          <cell r="B1033">
            <v>131954</v>
          </cell>
          <cell r="C1033" t="str">
            <v>Anston Brook Primary School</v>
          </cell>
          <cell r="D1033" t="str">
            <v>Rotherham</v>
          </cell>
          <cell r="E1033" t="str">
            <v>Community School</v>
          </cell>
          <cell r="F1033" t="str">
            <v>Primary</v>
          </cell>
        </row>
        <row r="1034">
          <cell r="A1034">
            <v>3722124</v>
          </cell>
          <cell r="B1034">
            <v>106921</v>
          </cell>
          <cell r="C1034" t="str">
            <v>Anston Greenlands Junior and Infant School</v>
          </cell>
          <cell r="D1034" t="str">
            <v>Rotherham</v>
          </cell>
          <cell r="E1034" t="str">
            <v>Community School</v>
          </cell>
          <cell r="F1034" t="str">
            <v>Primary</v>
          </cell>
        </row>
        <row r="1035">
          <cell r="A1035">
            <v>3722107</v>
          </cell>
          <cell r="B1035">
            <v>127632</v>
          </cell>
          <cell r="C1035" t="str">
            <v>Anston Hillcrest Junior School</v>
          </cell>
          <cell r="D1035" t="str">
            <v>Rotherham</v>
          </cell>
          <cell r="E1035" t="str">
            <v>Community School</v>
          </cell>
          <cell r="F1035" t="str">
            <v>Primary</v>
          </cell>
        </row>
        <row r="1036">
          <cell r="A1036">
            <v>3722130</v>
          </cell>
          <cell r="B1036">
            <v>106922</v>
          </cell>
          <cell r="C1036" t="str">
            <v>Anston Hillcrest Primary School</v>
          </cell>
          <cell r="D1036" t="str">
            <v>Rotherham</v>
          </cell>
          <cell r="E1036" t="str">
            <v>Community School</v>
          </cell>
          <cell r="F1036" t="str">
            <v>Primary</v>
          </cell>
        </row>
        <row r="1037">
          <cell r="A1037">
            <v>3722104</v>
          </cell>
          <cell r="B1037">
            <v>106905</v>
          </cell>
          <cell r="C1037" t="str">
            <v>Anston Park Infant School</v>
          </cell>
          <cell r="D1037" t="str">
            <v>Rotherham</v>
          </cell>
          <cell r="E1037" t="str">
            <v>Community School</v>
          </cell>
          <cell r="F1037" t="str">
            <v>Primary</v>
          </cell>
        </row>
        <row r="1038">
          <cell r="A1038">
            <v>3722095</v>
          </cell>
          <cell r="B1038">
            <v>106896</v>
          </cell>
          <cell r="C1038" t="str">
            <v>Anston Park Junior School</v>
          </cell>
          <cell r="D1038" t="str">
            <v>Rotherham</v>
          </cell>
          <cell r="E1038" t="str">
            <v>Community School</v>
          </cell>
          <cell r="F1038" t="str">
            <v>Primary</v>
          </cell>
        </row>
        <row r="1039">
          <cell r="A1039">
            <v>8302196</v>
          </cell>
          <cell r="B1039">
            <v>112610</v>
          </cell>
          <cell r="C1039" t="str">
            <v>Anthony Bek Community Primary School</v>
          </cell>
          <cell r="D1039" t="str">
            <v>Derbyshire</v>
          </cell>
          <cell r="E1039" t="str">
            <v>Community School</v>
          </cell>
          <cell r="F1039" t="str">
            <v>Primary</v>
          </cell>
        </row>
        <row r="1040">
          <cell r="A1040">
            <v>9263393</v>
          </cell>
          <cell r="B1040">
            <v>121138</v>
          </cell>
          <cell r="C1040" t="str">
            <v>Anthony Curton CofE Primary School</v>
          </cell>
          <cell r="D1040" t="str">
            <v>Norfolk</v>
          </cell>
          <cell r="E1040" t="str">
            <v>Voluntary Aided School</v>
          </cell>
          <cell r="F1040" t="str">
            <v>Primary</v>
          </cell>
        </row>
        <row r="1041">
          <cell r="A1041">
            <v>8304505</v>
          </cell>
          <cell r="B1041">
            <v>112968</v>
          </cell>
          <cell r="C1041" t="str">
            <v>Anthony Gell School</v>
          </cell>
          <cell r="D1041" t="str">
            <v>Derbyshire</v>
          </cell>
          <cell r="E1041" t="str">
            <v>Voluntary Controlled School</v>
          </cell>
          <cell r="F1041" t="str">
            <v>Secondary</v>
          </cell>
        </row>
        <row r="1042">
          <cell r="A1042">
            <v>9262002</v>
          </cell>
          <cell r="B1042">
            <v>120778</v>
          </cell>
          <cell r="C1042" t="str">
            <v>Antingham and Southrepps Community Primary School</v>
          </cell>
          <cell r="D1042" t="str">
            <v>Norfolk</v>
          </cell>
          <cell r="E1042" t="str">
            <v>Community School</v>
          </cell>
          <cell r="F1042" t="str">
            <v>Primary</v>
          </cell>
        </row>
        <row r="1043">
          <cell r="A1043">
            <v>8502226</v>
          </cell>
          <cell r="B1043">
            <v>115973</v>
          </cell>
          <cell r="C1043" t="str">
            <v>Anton Infant School</v>
          </cell>
          <cell r="D1043" t="str">
            <v>Hampshire</v>
          </cell>
          <cell r="E1043" t="str">
            <v>Community School</v>
          </cell>
          <cell r="F1043" t="str">
            <v>Primary</v>
          </cell>
        </row>
        <row r="1044">
          <cell r="A1044">
            <v>8502004</v>
          </cell>
          <cell r="B1044">
            <v>115854</v>
          </cell>
          <cell r="C1044" t="str">
            <v>Anton Junior School</v>
          </cell>
          <cell r="D1044" t="str">
            <v>Hampshire</v>
          </cell>
          <cell r="E1044" t="str">
            <v>Community School</v>
          </cell>
          <cell r="F1044" t="str">
            <v>Primary</v>
          </cell>
        </row>
        <row r="1045">
          <cell r="A1045">
            <v>9083871</v>
          </cell>
          <cell r="B1045">
            <v>112022</v>
          </cell>
          <cell r="C1045" t="str">
            <v>Antony Church of England School</v>
          </cell>
          <cell r="D1045" t="str">
            <v>Cornwall</v>
          </cell>
          <cell r="E1045" t="str">
            <v>Voluntary Aided School</v>
          </cell>
          <cell r="F1045" t="str">
            <v>Primary</v>
          </cell>
        </row>
        <row r="1046">
          <cell r="A1046">
            <v>8965204</v>
          </cell>
          <cell r="B1046">
            <v>111246</v>
          </cell>
          <cell r="C1046" t="str">
            <v>Antrobus St Mark's CofE Primary School</v>
          </cell>
          <cell r="D1046" t="str">
            <v>Cheshire West and Chester</v>
          </cell>
          <cell r="E1046" t="str">
            <v>Voluntary Aided School</v>
          </cell>
          <cell r="F1046" t="str">
            <v>Primary</v>
          </cell>
        </row>
        <row r="1047">
          <cell r="A1047">
            <v>9283001</v>
          </cell>
          <cell r="B1047">
            <v>129690</v>
          </cell>
          <cell r="C1047" t="str">
            <v>Apethorpe CofE Primary School</v>
          </cell>
          <cell r="D1047" t="str">
            <v>Northamptonshire</v>
          </cell>
          <cell r="E1047" t="str">
            <v>Voluntary Controlled School</v>
          </cell>
          <cell r="F1047" t="str">
            <v>Primary</v>
          </cell>
        </row>
        <row r="1048">
          <cell r="A1048">
            <v>3176077</v>
          </cell>
          <cell r="B1048">
            <v>126620</v>
          </cell>
          <cell r="C1048" t="str">
            <v>Apex Primary School</v>
          </cell>
          <cell r="D1048" t="str">
            <v>Redbridge</v>
          </cell>
          <cell r="E1048" t="str">
            <v>Other Independent School</v>
          </cell>
          <cell r="F1048" t="str">
            <v>Not applicable</v>
          </cell>
        </row>
        <row r="1049">
          <cell r="A1049">
            <v>8942190</v>
          </cell>
          <cell r="B1049">
            <v>123450</v>
          </cell>
          <cell r="C1049" t="str">
            <v>Apley Wood Primary School</v>
          </cell>
          <cell r="D1049" t="str">
            <v>Telford and Wrekin</v>
          </cell>
          <cell r="E1049" t="str">
            <v>Community School</v>
          </cell>
          <cell r="F1049" t="str">
            <v>Primary</v>
          </cell>
        </row>
        <row r="1050">
          <cell r="A1050">
            <v>8302263</v>
          </cell>
          <cell r="B1050">
            <v>112644</v>
          </cell>
          <cell r="C1050" t="str">
            <v>Apperknowle Community Primary School</v>
          </cell>
          <cell r="D1050" t="str">
            <v>Derbyshire</v>
          </cell>
          <cell r="E1050" t="str">
            <v>Community School</v>
          </cell>
          <cell r="F1050" t="str">
            <v>Primary</v>
          </cell>
        </row>
        <row r="1051">
          <cell r="A1051">
            <v>9366560</v>
          </cell>
          <cell r="B1051">
            <v>130132</v>
          </cell>
          <cell r="C1051" t="str">
            <v>Apple Orchard Education Unit</v>
          </cell>
          <cell r="D1051" t="str">
            <v>Surrey</v>
          </cell>
          <cell r="E1051" t="str">
            <v>Other Independent School</v>
          </cell>
          <cell r="F1051" t="str">
            <v>Not applicable</v>
          </cell>
        </row>
        <row r="1052">
          <cell r="A1052">
            <v>9366574</v>
          </cell>
          <cell r="B1052">
            <v>125451</v>
          </cell>
          <cell r="C1052" t="str">
            <v>APPLE ORCHARD SLINFOLD</v>
          </cell>
          <cell r="D1052" t="str">
            <v>Surrey</v>
          </cell>
          <cell r="E1052" t="str">
            <v>Other Independent Special School</v>
          </cell>
          <cell r="F1052" t="str">
            <v>Not applicable</v>
          </cell>
        </row>
        <row r="1053">
          <cell r="A1053">
            <v>9386258</v>
          </cell>
          <cell r="B1053">
            <v>132069</v>
          </cell>
          <cell r="C1053" t="str">
            <v>Apple Orchard Slinfold</v>
          </cell>
          <cell r="D1053" t="str">
            <v>West Sussex</v>
          </cell>
          <cell r="E1053" t="str">
            <v>Other Independent Special School</v>
          </cell>
          <cell r="F1053" t="str">
            <v>Not applicable</v>
          </cell>
        </row>
        <row r="1054">
          <cell r="A1054">
            <v>9226277</v>
          </cell>
          <cell r="B1054">
            <v>129448</v>
          </cell>
          <cell r="C1054" t="str">
            <v>Apple Tree Cottage School</v>
          </cell>
          <cell r="D1054" t="str">
            <v>Pre LGR (1998) Kent</v>
          </cell>
          <cell r="E1054" t="str">
            <v>Other Independent School</v>
          </cell>
          <cell r="F1054" t="str">
            <v>Not applicable</v>
          </cell>
        </row>
        <row r="1055">
          <cell r="A1055">
            <v>9095407</v>
          </cell>
          <cell r="B1055">
            <v>112434</v>
          </cell>
          <cell r="C1055" t="str">
            <v>Appleby Grammar School</v>
          </cell>
          <cell r="D1055" t="str">
            <v>Cumbria</v>
          </cell>
          <cell r="E1055" t="str">
            <v>Foundation School</v>
          </cell>
          <cell r="F1055" t="str">
            <v>Secondary</v>
          </cell>
        </row>
        <row r="1056">
          <cell r="A1056">
            <v>9095407</v>
          </cell>
          <cell r="B1056">
            <v>137251</v>
          </cell>
          <cell r="C1056" t="str">
            <v>Appleby Grammar School</v>
          </cell>
          <cell r="D1056" t="str">
            <v>Cumbria</v>
          </cell>
          <cell r="E1056" t="str">
            <v>Academy Converters</v>
          </cell>
          <cell r="F1056" t="str">
            <v>Secondary</v>
          </cell>
        </row>
        <row r="1057">
          <cell r="A1057">
            <v>9095206</v>
          </cell>
          <cell r="B1057">
            <v>112408</v>
          </cell>
          <cell r="C1057" t="str">
            <v>Appleby Primary School</v>
          </cell>
          <cell r="D1057" t="str">
            <v>Cumbria</v>
          </cell>
          <cell r="E1057" t="str">
            <v>Foundation School</v>
          </cell>
          <cell r="F1057" t="str">
            <v>Primary</v>
          </cell>
        </row>
        <row r="1058">
          <cell r="A1058">
            <v>9192454</v>
          </cell>
          <cell r="B1058">
            <v>117355</v>
          </cell>
          <cell r="C1058" t="str">
            <v>Applecroft School</v>
          </cell>
          <cell r="D1058" t="str">
            <v>Hertfordshire</v>
          </cell>
          <cell r="E1058" t="str">
            <v>Community School</v>
          </cell>
          <cell r="F1058" t="str">
            <v>Primary</v>
          </cell>
        </row>
        <row r="1059">
          <cell r="A1059">
            <v>9223132</v>
          </cell>
          <cell r="B1059">
            <v>129405</v>
          </cell>
          <cell r="C1059" t="str">
            <v>Appledore CofE Primary School</v>
          </cell>
          <cell r="D1059" t="str">
            <v>Pre LGR (1998) Kent</v>
          </cell>
          <cell r="E1059" t="str">
            <v>Voluntary Controlled School</v>
          </cell>
          <cell r="F1059" t="str">
            <v>Primary</v>
          </cell>
        </row>
        <row r="1060">
          <cell r="A1060">
            <v>8782200</v>
          </cell>
          <cell r="B1060">
            <v>113125</v>
          </cell>
          <cell r="C1060" t="str">
            <v>Appledore Community Primary School</v>
          </cell>
          <cell r="D1060" t="str">
            <v>Devon</v>
          </cell>
          <cell r="E1060" t="str">
            <v>Community School</v>
          </cell>
          <cell r="F1060" t="str">
            <v>Primary</v>
          </cell>
        </row>
        <row r="1061">
          <cell r="A1061">
            <v>8167032</v>
          </cell>
          <cell r="B1061">
            <v>134727</v>
          </cell>
          <cell r="C1061" t="str">
            <v>Applefields School</v>
          </cell>
          <cell r="D1061" t="str">
            <v>York</v>
          </cell>
          <cell r="E1061" t="str">
            <v>Community Special School</v>
          </cell>
          <cell r="F1061" t="str">
            <v>Special</v>
          </cell>
        </row>
        <row r="1062">
          <cell r="A1062">
            <v>8656008</v>
          </cell>
          <cell r="B1062">
            <v>126535</v>
          </cell>
          <cell r="C1062" t="str">
            <v>Appleford School</v>
          </cell>
          <cell r="D1062" t="str">
            <v>Wiltshire</v>
          </cell>
          <cell r="E1062" t="str">
            <v>Other Independent Special School</v>
          </cell>
          <cell r="F1062" t="str">
            <v>Not applicable</v>
          </cell>
        </row>
        <row r="1063">
          <cell r="A1063">
            <v>3062075</v>
          </cell>
          <cell r="B1063">
            <v>101766</v>
          </cell>
          <cell r="C1063" t="str">
            <v>Applegarth Junior School</v>
          </cell>
          <cell r="D1063" t="str">
            <v>Croydon</v>
          </cell>
          <cell r="E1063" t="str">
            <v>Community School</v>
          </cell>
          <cell r="F1063" t="str">
            <v>Primary</v>
          </cell>
        </row>
        <row r="1064">
          <cell r="A1064">
            <v>3062074</v>
          </cell>
          <cell r="B1064">
            <v>101765</v>
          </cell>
          <cell r="C1064" t="str">
            <v>Applegarth Nursery and Infant School</v>
          </cell>
          <cell r="D1064" t="str">
            <v>Croydon</v>
          </cell>
          <cell r="E1064" t="str">
            <v>Community School</v>
          </cell>
          <cell r="F1064" t="str">
            <v>Primary</v>
          </cell>
        </row>
        <row r="1065">
          <cell r="A1065">
            <v>8152080</v>
          </cell>
          <cell r="B1065">
            <v>121308</v>
          </cell>
          <cell r="C1065" t="str">
            <v>Applegarth Primary School</v>
          </cell>
          <cell r="D1065" t="str">
            <v>North Yorkshire</v>
          </cell>
          <cell r="E1065" t="str">
            <v>Community School</v>
          </cell>
          <cell r="F1065" t="str">
            <v>Primary</v>
          </cell>
        </row>
        <row r="1066">
          <cell r="A1066">
            <v>8886090</v>
          </cell>
          <cell r="B1066">
            <v>130242</v>
          </cell>
          <cell r="C1066" t="str">
            <v>Applegate School</v>
          </cell>
          <cell r="D1066" t="str">
            <v>Lancashire</v>
          </cell>
          <cell r="E1066" t="str">
            <v>Other Independent Special School</v>
          </cell>
          <cell r="F1066" t="str">
            <v>Not applicable</v>
          </cell>
        </row>
        <row r="1067">
          <cell r="A1067">
            <v>8505412</v>
          </cell>
          <cell r="B1067">
            <v>116504</v>
          </cell>
          <cell r="C1067" t="str">
            <v>Applemore College</v>
          </cell>
          <cell r="D1067" t="str">
            <v>Hampshire</v>
          </cell>
          <cell r="E1067" t="str">
            <v>Foundation School</v>
          </cell>
          <cell r="F1067" t="str">
            <v>Secondary</v>
          </cell>
        </row>
        <row r="1068">
          <cell r="A1068">
            <v>8503301</v>
          </cell>
          <cell r="B1068">
            <v>116349</v>
          </cell>
          <cell r="C1068" t="str">
            <v>Appleshaw St Peter's CofE Primary School</v>
          </cell>
          <cell r="D1068" t="str">
            <v>Hampshire</v>
          </cell>
          <cell r="E1068" t="str">
            <v>Voluntary Aided School</v>
          </cell>
          <cell r="F1068" t="str">
            <v>Primary</v>
          </cell>
        </row>
        <row r="1069">
          <cell r="A1069">
            <v>3806907</v>
          </cell>
          <cell r="B1069">
            <v>135865</v>
          </cell>
          <cell r="C1069" t="str">
            <v>Appleton Academy</v>
          </cell>
          <cell r="D1069" t="str">
            <v>Bradford</v>
          </cell>
          <cell r="E1069" t="str">
            <v>Academy Sponsor Led</v>
          </cell>
          <cell r="F1069" t="str">
            <v>Not applicable</v>
          </cell>
        </row>
        <row r="1070">
          <cell r="A1070">
            <v>9313850</v>
          </cell>
          <cell r="B1070">
            <v>123219</v>
          </cell>
          <cell r="C1070" t="str">
            <v>Appleton Church of England (A) Primary School</v>
          </cell>
          <cell r="D1070" t="str">
            <v>Oxfordshire</v>
          </cell>
          <cell r="E1070" t="str">
            <v>Voluntary Aided School</v>
          </cell>
          <cell r="F1070" t="str">
            <v>Primary</v>
          </cell>
        </row>
        <row r="1071">
          <cell r="A1071">
            <v>8102002</v>
          </cell>
          <cell r="B1071">
            <v>117713</v>
          </cell>
          <cell r="C1071" t="str">
            <v>Appleton Primary School</v>
          </cell>
          <cell r="D1071" t="str">
            <v>Kingston upon Hull City of</v>
          </cell>
          <cell r="E1071" t="str">
            <v>Community School</v>
          </cell>
          <cell r="F1071" t="str">
            <v>Primary</v>
          </cell>
        </row>
        <row r="1072">
          <cell r="A1072">
            <v>8152301</v>
          </cell>
          <cell r="B1072">
            <v>121378</v>
          </cell>
          <cell r="C1072" t="str">
            <v>Appleton Roebuck Primary School</v>
          </cell>
          <cell r="D1072" t="str">
            <v>North Yorkshire</v>
          </cell>
          <cell r="E1072" t="str">
            <v>Community School</v>
          </cell>
          <cell r="F1072" t="str">
            <v>Primary</v>
          </cell>
        </row>
        <row r="1073">
          <cell r="A1073">
            <v>8772317</v>
          </cell>
          <cell r="B1073">
            <v>111138</v>
          </cell>
          <cell r="C1073" t="str">
            <v>Appleton Thorn Primary School</v>
          </cell>
          <cell r="D1073" t="str">
            <v>Warrington</v>
          </cell>
          <cell r="E1073" t="str">
            <v>Community School</v>
          </cell>
          <cell r="F1073" t="str">
            <v>Primary</v>
          </cell>
        </row>
        <row r="1074">
          <cell r="A1074">
            <v>8152247</v>
          </cell>
          <cell r="B1074">
            <v>121371</v>
          </cell>
          <cell r="C1074" t="str">
            <v>Appleton Wiske Community Primary School</v>
          </cell>
          <cell r="D1074" t="str">
            <v>North Yorkshire</v>
          </cell>
          <cell r="E1074" t="str">
            <v>Community School</v>
          </cell>
          <cell r="F1074" t="str">
            <v>Primary</v>
          </cell>
        </row>
        <row r="1075">
          <cell r="A1075">
            <v>3922042</v>
          </cell>
          <cell r="B1075">
            <v>108584</v>
          </cell>
          <cell r="C1075" t="str">
            <v>Appletree Gardens First School</v>
          </cell>
          <cell r="D1075" t="str">
            <v>North Tyneside</v>
          </cell>
          <cell r="E1075" t="str">
            <v>Community School</v>
          </cell>
          <cell r="F1075" t="str">
            <v>Primary</v>
          </cell>
        </row>
        <row r="1076">
          <cell r="A1076">
            <v>8881049</v>
          </cell>
          <cell r="B1076">
            <v>134991</v>
          </cell>
          <cell r="C1076" t="str">
            <v>Appletree Nursery School</v>
          </cell>
          <cell r="D1076" t="str">
            <v>Lancashire</v>
          </cell>
          <cell r="E1076" t="str">
            <v>LA Nursery School</v>
          </cell>
          <cell r="F1076" t="str">
            <v>Nursery</v>
          </cell>
        </row>
        <row r="1077">
          <cell r="A1077">
            <v>9096048</v>
          </cell>
          <cell r="B1077">
            <v>130367</v>
          </cell>
          <cell r="C1077" t="str">
            <v>Appletree School</v>
          </cell>
          <cell r="D1077" t="str">
            <v>Cumbria</v>
          </cell>
          <cell r="E1077" t="str">
            <v>Other Independent Special School</v>
          </cell>
          <cell r="F1077" t="str">
            <v>Not applicable</v>
          </cell>
        </row>
        <row r="1078">
          <cell r="A1078">
            <v>8883461</v>
          </cell>
          <cell r="B1078">
            <v>119497</v>
          </cell>
          <cell r="C1078" t="str">
            <v>Appley Bridge All Saints Church of England Primary School</v>
          </cell>
          <cell r="D1078" t="str">
            <v>Lancashire</v>
          </cell>
          <cell r="E1078" t="str">
            <v>Voluntary Aided School</v>
          </cell>
          <cell r="F1078" t="str">
            <v>Primary</v>
          </cell>
        </row>
        <row r="1079">
          <cell r="A1079">
            <v>8941102</v>
          </cell>
          <cell r="B1079">
            <v>134058</v>
          </cell>
          <cell r="C1079" t="str">
            <v>Aqueduct Centre</v>
          </cell>
          <cell r="D1079" t="str">
            <v>Telford and Wrekin</v>
          </cell>
          <cell r="E1079" t="str">
            <v>Pupil Referral Unit</v>
          </cell>
          <cell r="F1079" t="str">
            <v>PRU</v>
          </cell>
        </row>
        <row r="1080">
          <cell r="A1080">
            <v>8942175</v>
          </cell>
          <cell r="B1080">
            <v>123444</v>
          </cell>
          <cell r="C1080" t="str">
            <v>Aqueduct Primary School</v>
          </cell>
          <cell r="D1080" t="str">
            <v>Telford and Wrekin</v>
          </cell>
          <cell r="E1080" t="str">
            <v>Community School</v>
          </cell>
          <cell r="F1080" t="str">
            <v>Primary</v>
          </cell>
        </row>
        <row r="1081">
          <cell r="A1081">
            <v>3564602</v>
          </cell>
          <cell r="B1081">
            <v>127518</v>
          </cell>
          <cell r="C1081" t="str">
            <v>Aquinas College</v>
          </cell>
          <cell r="D1081" t="str">
            <v>Stockport</v>
          </cell>
          <cell r="E1081" t="str">
            <v>Voluntary Aided School</v>
          </cell>
          <cell r="F1081" t="str">
            <v>Secondary</v>
          </cell>
        </row>
        <row r="1082">
          <cell r="A1082">
            <v>3568603</v>
          </cell>
          <cell r="B1082">
            <v>130514</v>
          </cell>
          <cell r="C1082" t="str">
            <v>Aquinas College</v>
          </cell>
          <cell r="D1082" t="str">
            <v>Stockport</v>
          </cell>
          <cell r="E1082" t="str">
            <v>Further Education</v>
          </cell>
          <cell r="F1082" t="str">
            <v>16 Plus</v>
          </cell>
        </row>
        <row r="1083">
          <cell r="A1083">
            <v>9386270</v>
          </cell>
          <cell r="B1083">
            <v>135103</v>
          </cell>
          <cell r="C1083" t="str">
            <v>Arabesque School of Performing Arts</v>
          </cell>
          <cell r="D1083" t="str">
            <v>West Sussex</v>
          </cell>
          <cell r="E1083" t="str">
            <v>Other Independent School</v>
          </cell>
          <cell r="F1083" t="str">
            <v>Not applicable</v>
          </cell>
        </row>
        <row r="1084">
          <cell r="A1084">
            <v>8406005</v>
          </cell>
          <cell r="B1084">
            <v>131129</v>
          </cell>
          <cell r="C1084" t="str">
            <v>Arabic School In Durham (ASD) C.O. Bowburn Community Association</v>
          </cell>
          <cell r="D1084" t="str">
            <v>Durham</v>
          </cell>
          <cell r="E1084" t="str">
            <v>Other Independent School</v>
          </cell>
          <cell r="F1084" t="str">
            <v>Not applicable</v>
          </cell>
        </row>
        <row r="1085">
          <cell r="A1085">
            <v>6772167</v>
          </cell>
          <cell r="B1085">
            <v>401392</v>
          </cell>
          <cell r="C1085" t="str">
            <v>Arael Primary School</v>
          </cell>
          <cell r="D1085" t="str">
            <v>Blaenau Gwent</v>
          </cell>
          <cell r="E1085" t="str">
            <v>Welsh Establishment</v>
          </cell>
          <cell r="F1085" t="str">
            <v>Not applicable</v>
          </cell>
        </row>
        <row r="1086">
          <cell r="A1086">
            <v>3152094</v>
          </cell>
          <cell r="B1086">
            <v>132167</v>
          </cell>
          <cell r="C1086" t="str">
            <v>Aragon Primary School</v>
          </cell>
          <cell r="D1086" t="str">
            <v>Merton</v>
          </cell>
          <cell r="E1086" t="str">
            <v>Community School</v>
          </cell>
          <cell r="F1086" t="str">
            <v>Primary</v>
          </cell>
        </row>
        <row r="1087">
          <cell r="A1087">
            <v>6616022</v>
          </cell>
          <cell r="B1087">
            <v>401970</v>
          </cell>
          <cell r="C1087" t="str">
            <v>Aran Hall School</v>
          </cell>
          <cell r="D1087" t="str">
            <v>Gwynedd</v>
          </cell>
          <cell r="E1087" t="str">
            <v>Welsh Establishment</v>
          </cell>
          <cell r="F1087" t="str">
            <v>Not applicable</v>
          </cell>
        </row>
        <row r="1088">
          <cell r="A1088">
            <v>9356065</v>
          </cell>
          <cell r="B1088">
            <v>124893</v>
          </cell>
          <cell r="C1088" t="str">
            <v>Arbor Preparatory School</v>
          </cell>
          <cell r="D1088" t="str">
            <v>Suffolk</v>
          </cell>
          <cell r="E1088" t="str">
            <v>Other Independent School</v>
          </cell>
          <cell r="F1088" t="str">
            <v>Not applicable</v>
          </cell>
        </row>
        <row r="1089">
          <cell r="A1089">
            <v>8921011</v>
          </cell>
          <cell r="B1089">
            <v>122396</v>
          </cell>
          <cell r="C1089" t="str">
            <v>Arboretum Nursery School</v>
          </cell>
          <cell r="D1089" t="str">
            <v>Nottingham</v>
          </cell>
          <cell r="E1089" t="str">
            <v>LA Nursery School</v>
          </cell>
          <cell r="F1089" t="str">
            <v>Nursery</v>
          </cell>
        </row>
        <row r="1090">
          <cell r="A1090">
            <v>8312629</v>
          </cell>
          <cell r="B1090">
            <v>112792</v>
          </cell>
          <cell r="C1090" t="str">
            <v>Arboretum Primary School</v>
          </cell>
          <cell r="D1090" t="str">
            <v>Derby</v>
          </cell>
          <cell r="E1090" t="str">
            <v>Community School</v>
          </cell>
          <cell r="F1090" t="str">
            <v>Primary</v>
          </cell>
        </row>
        <row r="1091">
          <cell r="A1091">
            <v>8723005</v>
          </cell>
          <cell r="B1091">
            <v>109948</v>
          </cell>
          <cell r="C1091" t="str">
            <v>Arborfield, Newland and Barkham Church of England Junior School</v>
          </cell>
          <cell r="D1091" t="str">
            <v>Wokingham</v>
          </cell>
          <cell r="E1091" t="str">
            <v>Voluntary Controlled School</v>
          </cell>
          <cell r="F1091" t="str">
            <v>Primary</v>
          </cell>
        </row>
        <row r="1092">
          <cell r="A1092">
            <v>7052002</v>
          </cell>
          <cell r="B1092">
            <v>132495</v>
          </cell>
          <cell r="C1092" t="str">
            <v>Arbory Primary School</v>
          </cell>
          <cell r="D1092" t="str">
            <v>Isle of Man Offshore Establishments</v>
          </cell>
          <cell r="E1092" t="str">
            <v>Offshore Schools</v>
          </cell>
          <cell r="F1092" t="str">
            <v>Not applicable</v>
          </cell>
        </row>
        <row r="1093">
          <cell r="A1093">
            <v>8717035</v>
          </cell>
          <cell r="B1093">
            <v>110185</v>
          </cell>
          <cell r="C1093" t="str">
            <v>Arbour Vale School</v>
          </cell>
          <cell r="D1093" t="str">
            <v>Slough</v>
          </cell>
          <cell r="E1093" t="str">
            <v>Community Special School</v>
          </cell>
          <cell r="F1093" t="str">
            <v>Special</v>
          </cell>
        </row>
        <row r="1094">
          <cell r="A1094">
            <v>3733429</v>
          </cell>
          <cell r="B1094">
            <v>133994</v>
          </cell>
          <cell r="C1094" t="str">
            <v>Arbourthorne Community Primary School</v>
          </cell>
          <cell r="D1094" t="str">
            <v>Sheffield</v>
          </cell>
          <cell r="E1094" t="str">
            <v>Community School</v>
          </cell>
          <cell r="F1094" t="str">
            <v>Primary</v>
          </cell>
        </row>
        <row r="1095">
          <cell r="A1095">
            <v>3732005</v>
          </cell>
          <cell r="B1095">
            <v>106984</v>
          </cell>
          <cell r="C1095" t="str">
            <v>Arbourthorne Junior School</v>
          </cell>
          <cell r="D1095" t="str">
            <v>Sheffield</v>
          </cell>
          <cell r="E1095" t="str">
            <v>Community School</v>
          </cell>
          <cell r="F1095" t="str">
            <v>Primary</v>
          </cell>
        </row>
        <row r="1096">
          <cell r="A1096">
            <v>3732006</v>
          </cell>
          <cell r="B1096">
            <v>106985</v>
          </cell>
          <cell r="C1096" t="str">
            <v>Arbourthorne Nursery and Infant School</v>
          </cell>
          <cell r="D1096" t="str">
            <v>Sheffield</v>
          </cell>
          <cell r="E1096" t="str">
            <v>Community School</v>
          </cell>
          <cell r="F1096" t="str">
            <v>Primary</v>
          </cell>
        </row>
        <row r="1097">
          <cell r="A1097">
            <v>8732118</v>
          </cell>
          <cell r="B1097">
            <v>110664</v>
          </cell>
          <cell r="C1097" t="str">
            <v>Arbury Primary School</v>
          </cell>
          <cell r="D1097" t="str">
            <v>Cambridgeshire</v>
          </cell>
          <cell r="E1097" t="str">
            <v>Community School</v>
          </cell>
          <cell r="F1097" t="str">
            <v>Primary</v>
          </cell>
        </row>
        <row r="1098">
          <cell r="A1098">
            <v>9376092</v>
          </cell>
          <cell r="B1098">
            <v>125790</v>
          </cell>
          <cell r="C1098" t="str">
            <v>Arc School (Formerly the Old School)</v>
          </cell>
          <cell r="D1098" t="str">
            <v>Warwickshire</v>
          </cell>
          <cell r="E1098" t="str">
            <v>Other Independent Special School</v>
          </cell>
          <cell r="F1098" t="str">
            <v>Not applicable</v>
          </cell>
        </row>
        <row r="1099">
          <cell r="A1099">
            <v>3414796</v>
          </cell>
          <cell r="B1099">
            <v>104717</v>
          </cell>
          <cell r="C1099" t="str">
            <v>Archbishop Beck Catholic Sports College</v>
          </cell>
          <cell r="D1099" t="str">
            <v>Liverpool</v>
          </cell>
          <cell r="E1099" t="str">
            <v>Voluntary Aided School</v>
          </cell>
          <cell r="F1099" t="str">
            <v>Secondary</v>
          </cell>
        </row>
        <row r="1100">
          <cell r="A1100">
            <v>9083549</v>
          </cell>
          <cell r="B1100">
            <v>112012</v>
          </cell>
          <cell r="C1100" t="str">
            <v>Archbishop Benson CofE Primary School</v>
          </cell>
          <cell r="D1100" t="str">
            <v>Cornwall</v>
          </cell>
          <cell r="E1100" t="str">
            <v>Voluntary Aided School</v>
          </cell>
          <cell r="F1100" t="str">
            <v>Primary</v>
          </cell>
        </row>
        <row r="1101">
          <cell r="A1101">
            <v>9083549</v>
          </cell>
          <cell r="B1101">
            <v>137258</v>
          </cell>
          <cell r="C1101" t="str">
            <v>Archbishop Benson CofE Primary School</v>
          </cell>
          <cell r="D1101" t="str">
            <v>Cornwall</v>
          </cell>
          <cell r="E1101" t="str">
            <v>Academy Converters</v>
          </cell>
          <cell r="F1101" t="str">
            <v>Primary</v>
          </cell>
        </row>
        <row r="1102">
          <cell r="A1102">
            <v>3414781</v>
          </cell>
          <cell r="B1102">
            <v>104705</v>
          </cell>
          <cell r="C1102" t="str">
            <v>Archbishop Blanch CofE VA High School, A Technology College and Training School</v>
          </cell>
          <cell r="D1102" t="str">
            <v>Liverpool</v>
          </cell>
          <cell r="E1102" t="str">
            <v>Voluntary Aided School</v>
          </cell>
          <cell r="F1102" t="str">
            <v>Secondary</v>
          </cell>
        </row>
        <row r="1103">
          <cell r="A1103">
            <v>8863461</v>
          </cell>
          <cell r="B1103">
            <v>134921</v>
          </cell>
          <cell r="C1103" t="str">
            <v>Archbishop Courtenay Primary School</v>
          </cell>
          <cell r="D1103" t="str">
            <v>Kent</v>
          </cell>
          <cell r="E1103" t="str">
            <v>Voluntary Aided School</v>
          </cell>
          <cell r="F1103" t="str">
            <v>Primary</v>
          </cell>
        </row>
        <row r="1104">
          <cell r="A1104">
            <v>9333288</v>
          </cell>
          <cell r="B1104">
            <v>123824</v>
          </cell>
          <cell r="C1104" t="str">
            <v>Archbishop Cranmer Church of England Community Primary School</v>
          </cell>
          <cell r="D1104" t="str">
            <v>Somerset</v>
          </cell>
          <cell r="E1104" t="str">
            <v>Voluntary Controlled School</v>
          </cell>
          <cell r="F1104" t="str">
            <v>Primary</v>
          </cell>
        </row>
        <row r="1105">
          <cell r="A1105">
            <v>3833906</v>
          </cell>
          <cell r="B1105">
            <v>108045</v>
          </cell>
          <cell r="C1105" t="str">
            <v>Archbishop Cranmer Church of England Primary School</v>
          </cell>
          <cell r="D1105" t="str">
            <v>Leeds</v>
          </cell>
          <cell r="E1105" t="str">
            <v>Voluntary Aided School</v>
          </cell>
          <cell r="F1105" t="str">
            <v>Primary</v>
          </cell>
        </row>
        <row r="1106">
          <cell r="A1106">
            <v>3834742</v>
          </cell>
          <cell r="B1106">
            <v>128029</v>
          </cell>
          <cell r="C1106" t="str">
            <v>Archbishop Cranmer CofE Middle School</v>
          </cell>
          <cell r="D1106" t="str">
            <v>Leeds</v>
          </cell>
          <cell r="E1106" t="str">
            <v>Voluntary Aided School</v>
          </cell>
          <cell r="F1106" t="str">
            <v>Middle Deemed Secondary</v>
          </cell>
        </row>
        <row r="1107">
          <cell r="A1107">
            <v>8913511</v>
          </cell>
          <cell r="B1107">
            <v>122795</v>
          </cell>
          <cell r="C1107" t="str">
            <v>Archbishop Cranmer CofE Primary School</v>
          </cell>
          <cell r="D1107" t="str">
            <v>Nottinghamshire</v>
          </cell>
          <cell r="E1107" t="str">
            <v>Voluntary Aided School</v>
          </cell>
          <cell r="F1107" t="str">
            <v>Primary</v>
          </cell>
        </row>
        <row r="1108">
          <cell r="A1108">
            <v>3843317</v>
          </cell>
          <cell r="B1108">
            <v>108258</v>
          </cell>
          <cell r="C1108" t="str">
            <v>Archbishop Holgate CofE First School</v>
          </cell>
          <cell r="D1108" t="str">
            <v>Wakefield</v>
          </cell>
          <cell r="E1108" t="str">
            <v>Voluntary Aided School</v>
          </cell>
          <cell r="F1108" t="str">
            <v>Primary</v>
          </cell>
        </row>
        <row r="1109">
          <cell r="A1109">
            <v>8164500</v>
          </cell>
          <cell r="B1109">
            <v>121709</v>
          </cell>
          <cell r="C1109" t="str">
            <v>Archbishop Holgate's School</v>
          </cell>
          <cell r="D1109" t="str">
            <v>York</v>
          </cell>
          <cell r="E1109" t="str">
            <v>Voluntary Aided School</v>
          </cell>
          <cell r="F1109" t="str">
            <v>Secondary</v>
          </cell>
        </row>
        <row r="1110">
          <cell r="A1110">
            <v>8164500</v>
          </cell>
          <cell r="B1110">
            <v>136617</v>
          </cell>
          <cell r="C1110" t="str">
            <v>Archbishop Holgate's School, A Church of England Academy</v>
          </cell>
          <cell r="D1110" t="str">
            <v>York</v>
          </cell>
          <cell r="E1110" t="str">
            <v>Academy Converters</v>
          </cell>
          <cell r="F1110" t="str">
            <v>Secondary</v>
          </cell>
        </row>
        <row r="1111">
          <cell r="A1111">
            <v>3304804</v>
          </cell>
          <cell r="B1111">
            <v>103541</v>
          </cell>
          <cell r="C1111" t="str">
            <v>Archbishop Ilsley Catholic School</v>
          </cell>
          <cell r="D1111" t="str">
            <v>Birmingham</v>
          </cell>
          <cell r="E1111" t="str">
            <v>Voluntary Aided School</v>
          </cell>
          <cell r="F1111" t="str">
            <v>Secondary</v>
          </cell>
        </row>
        <row r="1112">
          <cell r="A1112">
            <v>9214603</v>
          </cell>
          <cell r="B1112">
            <v>118221</v>
          </cell>
          <cell r="C1112" t="str">
            <v>Archbishop King Catholic Middle School</v>
          </cell>
          <cell r="D1112" t="str">
            <v>Isle of Wight</v>
          </cell>
          <cell r="E1112" t="str">
            <v>Voluntary Aided School</v>
          </cell>
          <cell r="F1112" t="str">
            <v>Middle Deemed Secondary</v>
          </cell>
        </row>
        <row r="1113">
          <cell r="A1113">
            <v>6724601</v>
          </cell>
          <cell r="B1113">
            <v>401797</v>
          </cell>
          <cell r="C1113" t="str">
            <v>Archbishop Mcgrath Catholic School</v>
          </cell>
          <cell r="D1113" t="str">
            <v>Bridgend</v>
          </cell>
          <cell r="E1113" t="str">
            <v>Welsh Establishment</v>
          </cell>
          <cell r="F1113" t="str">
            <v>Secondary</v>
          </cell>
        </row>
        <row r="1114">
          <cell r="A1114">
            <v>2104725</v>
          </cell>
          <cell r="B1114">
            <v>100850</v>
          </cell>
          <cell r="C1114" t="str">
            <v>Archbishop Michael Ramsey Technology College</v>
          </cell>
          <cell r="D1114" t="str">
            <v>Southwark</v>
          </cell>
          <cell r="E1114" t="str">
            <v>Voluntary Aided School</v>
          </cell>
          <cell r="F1114" t="str">
            <v>Secondary</v>
          </cell>
        </row>
        <row r="1115">
          <cell r="A1115">
            <v>8163229</v>
          </cell>
          <cell r="B1115">
            <v>121553</v>
          </cell>
          <cell r="C1115" t="str">
            <v>Archbishop of York's CofE Voluntary Controlled Junior School, Bishopthorpe</v>
          </cell>
          <cell r="D1115" t="str">
            <v>York</v>
          </cell>
          <cell r="E1115" t="str">
            <v>Voluntary Controlled School</v>
          </cell>
          <cell r="F1115" t="str">
            <v>Primary</v>
          </cell>
        </row>
        <row r="1116">
          <cell r="A1116">
            <v>6793327</v>
          </cell>
          <cell r="B1116">
            <v>401502</v>
          </cell>
          <cell r="C1116" t="str">
            <v>Archbishop Rowen Williams CIW School</v>
          </cell>
          <cell r="D1116" t="str">
            <v>Monmouthshire</v>
          </cell>
          <cell r="E1116" t="str">
            <v>Welsh Establishment</v>
          </cell>
          <cell r="F1116" t="str">
            <v>Primary</v>
          </cell>
        </row>
        <row r="1117">
          <cell r="A1117">
            <v>3913471</v>
          </cell>
          <cell r="B1117">
            <v>108495</v>
          </cell>
          <cell r="C1117" t="str">
            <v>Archbishop Runcie CofE First School</v>
          </cell>
          <cell r="D1117" t="str">
            <v>Newcastle upon Tyne</v>
          </cell>
          <cell r="E1117" t="str">
            <v>Voluntary Aided School</v>
          </cell>
          <cell r="F1117" t="str">
            <v>Primary</v>
          </cell>
        </row>
        <row r="1118">
          <cell r="A1118">
            <v>9264602</v>
          </cell>
          <cell r="B1118">
            <v>121188</v>
          </cell>
          <cell r="C1118" t="str">
            <v>Archbishop Sancroft High School</v>
          </cell>
          <cell r="D1118" t="str">
            <v>Norfolk</v>
          </cell>
          <cell r="E1118" t="str">
            <v>Voluntary Aided School</v>
          </cell>
          <cell r="F1118" t="str">
            <v>Secondary</v>
          </cell>
        </row>
        <row r="1119">
          <cell r="A1119">
            <v>8106905</v>
          </cell>
          <cell r="B1119">
            <v>135598</v>
          </cell>
          <cell r="C1119" t="str">
            <v>Archbishop Sentamu Academy</v>
          </cell>
          <cell r="D1119" t="str">
            <v>Kingston upon Hull City of</v>
          </cell>
          <cell r="E1119" t="str">
            <v>Academy Sponsor Led</v>
          </cell>
          <cell r="F1119" t="str">
            <v>Secondary</v>
          </cell>
        </row>
        <row r="1120">
          <cell r="A1120">
            <v>2083307</v>
          </cell>
          <cell r="B1120">
            <v>100609</v>
          </cell>
          <cell r="C1120" t="str">
            <v>Archbishop Sumner Church of England Primary School</v>
          </cell>
          <cell r="D1120" t="str">
            <v>Lambeth</v>
          </cell>
          <cell r="E1120" t="str">
            <v>Voluntary Aided School</v>
          </cell>
          <cell r="F1120" t="str">
            <v>Primary</v>
          </cell>
        </row>
        <row r="1121">
          <cell r="A1121">
            <v>8885405</v>
          </cell>
          <cell r="B1121">
            <v>119814</v>
          </cell>
          <cell r="C1121" t="str">
            <v>Archbishop Temple School, A Church of England Specialist College</v>
          </cell>
          <cell r="D1121" t="str">
            <v>Lancashire</v>
          </cell>
          <cell r="E1121" t="str">
            <v>Voluntary Aided School</v>
          </cell>
          <cell r="F1121" t="str">
            <v>Secondary</v>
          </cell>
        </row>
        <row r="1122">
          <cell r="A1122">
            <v>3064600</v>
          </cell>
          <cell r="B1122">
            <v>101811</v>
          </cell>
          <cell r="C1122" t="str">
            <v>Archbishop Tenison's CofE High School</v>
          </cell>
          <cell r="D1122" t="str">
            <v>Croydon</v>
          </cell>
          <cell r="E1122" t="str">
            <v>Voluntary Aided School</v>
          </cell>
          <cell r="F1122" t="str">
            <v>Secondary</v>
          </cell>
        </row>
        <row r="1123">
          <cell r="A1123">
            <v>2085403</v>
          </cell>
          <cell r="B1123">
            <v>100640</v>
          </cell>
          <cell r="C1123" t="str">
            <v>Archbishop Tenison's School</v>
          </cell>
          <cell r="D1123" t="str">
            <v>Lambeth</v>
          </cell>
          <cell r="E1123" t="str">
            <v>Voluntary Aided School</v>
          </cell>
          <cell r="F1123" t="str">
            <v>Secondary</v>
          </cell>
        </row>
        <row r="1124">
          <cell r="A1124">
            <v>8104504</v>
          </cell>
          <cell r="B1124">
            <v>118114</v>
          </cell>
          <cell r="C1124" t="str">
            <v>Archbishop Thurstan Church of England Voluntary Controlled School</v>
          </cell>
          <cell r="D1124" t="str">
            <v>Kingston upon Hull City of</v>
          </cell>
          <cell r="E1124" t="str">
            <v>Voluntary Controlled School</v>
          </cell>
          <cell r="F1124" t="str">
            <v>Secondary</v>
          </cell>
        </row>
        <row r="1125">
          <cell r="A1125">
            <v>8353002</v>
          </cell>
          <cell r="B1125">
            <v>113754</v>
          </cell>
          <cell r="C1125" t="str">
            <v>Archbishop Wake Church of England Primary School</v>
          </cell>
          <cell r="D1125" t="str">
            <v>Dorset</v>
          </cell>
          <cell r="E1125" t="str">
            <v>Voluntary Aided School</v>
          </cell>
          <cell r="F1125" t="str">
            <v>Primary</v>
          </cell>
        </row>
        <row r="1126">
          <cell r="A1126">
            <v>9203300</v>
          </cell>
          <cell r="B1126">
            <v>129255</v>
          </cell>
          <cell r="C1126" t="str">
            <v>Archbishop William Temple Primary School</v>
          </cell>
          <cell r="D1126" t="str">
            <v>Pre LGR (1996) Humberside</v>
          </cell>
          <cell r="E1126" t="str">
            <v>Voluntary Aided School</v>
          </cell>
          <cell r="F1126" t="str">
            <v>Primary</v>
          </cell>
        </row>
        <row r="1127">
          <cell r="A1127">
            <v>3304806</v>
          </cell>
          <cell r="B1127">
            <v>127068</v>
          </cell>
          <cell r="C1127" t="str">
            <v>Archbishop Williams School</v>
          </cell>
          <cell r="D1127" t="str">
            <v>Birmingham</v>
          </cell>
          <cell r="E1127" t="str">
            <v>Legacy types</v>
          </cell>
          <cell r="F1127" t="str">
            <v>Secondary</v>
          </cell>
        </row>
        <row r="1128">
          <cell r="A1128">
            <v>3183326</v>
          </cell>
          <cell r="B1128">
            <v>102920</v>
          </cell>
          <cell r="C1128" t="str">
            <v>Archdeacon Cambridge's Church of England Primary School</v>
          </cell>
          <cell r="D1128" t="str">
            <v>Richmond upon Thames</v>
          </cell>
          <cell r="E1128" t="str">
            <v>Voluntary Aided School</v>
          </cell>
          <cell r="F1128" t="str">
            <v>Primary</v>
          </cell>
        </row>
        <row r="1129">
          <cell r="A1129">
            <v>6663317</v>
          </cell>
          <cell r="B1129">
            <v>400567</v>
          </cell>
          <cell r="C1129" t="str">
            <v>Archdeacon Griffiths C.I.W. Primary School</v>
          </cell>
          <cell r="D1129" t="str">
            <v>Powys</v>
          </cell>
          <cell r="E1129" t="str">
            <v>Welsh Establishment</v>
          </cell>
          <cell r="F1129" t="str">
            <v>Primary</v>
          </cell>
        </row>
        <row r="1130">
          <cell r="A1130">
            <v>6723323</v>
          </cell>
          <cell r="B1130">
            <v>401083</v>
          </cell>
          <cell r="C1130" t="str">
            <v>Archdeacon John Lewis</v>
          </cell>
          <cell r="D1130" t="str">
            <v>Bridgend</v>
          </cell>
          <cell r="E1130" t="str">
            <v>Welsh Establishment</v>
          </cell>
          <cell r="F1130" t="str">
            <v>Primary</v>
          </cell>
        </row>
        <row r="1131">
          <cell r="A1131">
            <v>8864114</v>
          </cell>
          <cell r="B1131">
            <v>118808</v>
          </cell>
          <cell r="C1131" t="str">
            <v>Archers Court Maths and Computing College</v>
          </cell>
          <cell r="D1131" t="str">
            <v>Kent</v>
          </cell>
          <cell r="E1131" t="str">
            <v>Community School</v>
          </cell>
          <cell r="F1131" t="str">
            <v>Secondary</v>
          </cell>
        </row>
        <row r="1132">
          <cell r="A1132">
            <v>3912001</v>
          </cell>
          <cell r="B1132">
            <v>108438</v>
          </cell>
          <cell r="C1132" t="str">
            <v>Archibald First School</v>
          </cell>
          <cell r="D1132" t="str">
            <v>Newcastle upon Tyne</v>
          </cell>
          <cell r="E1132" t="str">
            <v>Community School</v>
          </cell>
          <cell r="F1132" t="str">
            <v>Primary</v>
          </cell>
        </row>
        <row r="1133">
          <cell r="A1133">
            <v>8062325</v>
          </cell>
          <cell r="B1133">
            <v>111625</v>
          </cell>
          <cell r="C1133" t="str">
            <v>Archibald Primary School</v>
          </cell>
          <cell r="D1133" t="str">
            <v>Middlesbrough</v>
          </cell>
          <cell r="E1133" t="str">
            <v>Community School</v>
          </cell>
          <cell r="F1133" t="str">
            <v>Primary</v>
          </cell>
        </row>
        <row r="1134">
          <cell r="A1134">
            <v>3306120</v>
          </cell>
          <cell r="B1134">
            <v>135406</v>
          </cell>
          <cell r="C1134" t="str">
            <v>Archway Academy</v>
          </cell>
          <cell r="D1134" t="str">
            <v>Birmingham</v>
          </cell>
          <cell r="E1134" t="str">
            <v>Other Independent School</v>
          </cell>
          <cell r="F1134" t="str">
            <v>Not applicable</v>
          </cell>
        </row>
        <row r="1135">
          <cell r="A1135">
            <v>9164032</v>
          </cell>
          <cell r="B1135">
            <v>115723</v>
          </cell>
          <cell r="C1135" t="str">
            <v>Archway School</v>
          </cell>
          <cell r="D1135" t="str">
            <v>Gloucestershire</v>
          </cell>
          <cell r="E1135" t="str">
            <v>Community School</v>
          </cell>
          <cell r="F1135" t="str">
            <v>Secondary</v>
          </cell>
        </row>
        <row r="1136">
          <cell r="A1136">
            <v>6662003</v>
          </cell>
          <cell r="B1136">
            <v>400465</v>
          </cell>
          <cell r="C1136" t="str">
            <v>Arddleen C.P. School</v>
          </cell>
          <cell r="D1136" t="str">
            <v>Powys</v>
          </cell>
          <cell r="E1136" t="str">
            <v>Welsh Establishment</v>
          </cell>
          <cell r="F1136" t="str">
            <v>Primary</v>
          </cell>
        </row>
        <row r="1137">
          <cell r="A1137">
            <v>9193306</v>
          </cell>
          <cell r="B1137">
            <v>117420</v>
          </cell>
          <cell r="C1137" t="str">
            <v>Ardeley St Lawrence Church of England Voluntary Aided Primary School</v>
          </cell>
          <cell r="D1137" t="str">
            <v>Hertfordshire</v>
          </cell>
          <cell r="E1137" t="str">
            <v>Voluntary Aided School</v>
          </cell>
          <cell r="F1137" t="str">
            <v>Primary</v>
          </cell>
        </row>
        <row r="1138">
          <cell r="A1138">
            <v>3344017</v>
          </cell>
          <cell r="B1138">
            <v>136333</v>
          </cell>
          <cell r="C1138" t="str">
            <v>Arden</v>
          </cell>
          <cell r="D1138" t="str">
            <v>Solihull</v>
          </cell>
          <cell r="E1138" t="str">
            <v>Academy Converters</v>
          </cell>
          <cell r="F1138" t="str">
            <v>Secondary</v>
          </cell>
        </row>
        <row r="1139">
          <cell r="A1139">
            <v>3438220</v>
          </cell>
          <cell r="B1139">
            <v>131935</v>
          </cell>
          <cell r="C1139" t="str">
            <v>Arden College</v>
          </cell>
          <cell r="D1139" t="str">
            <v>Sefton</v>
          </cell>
          <cell r="E1139" t="str">
            <v>Miscellaneous</v>
          </cell>
          <cell r="F1139" t="str">
            <v>Not applicable</v>
          </cell>
        </row>
        <row r="1140">
          <cell r="A1140">
            <v>9372630</v>
          </cell>
          <cell r="B1140">
            <v>130893</v>
          </cell>
          <cell r="C1140" t="str">
            <v>Arden Forest Infant School</v>
          </cell>
          <cell r="D1140" t="str">
            <v>Warwickshire</v>
          </cell>
          <cell r="E1140" t="str">
            <v>Community School</v>
          </cell>
          <cell r="F1140" t="str">
            <v>Primary</v>
          </cell>
        </row>
        <row r="1141">
          <cell r="A1141">
            <v>9262289</v>
          </cell>
          <cell r="B1141">
            <v>120927</v>
          </cell>
          <cell r="C1141" t="str">
            <v>Arden Grove Infant and Nursery School</v>
          </cell>
          <cell r="D1141" t="str">
            <v>Norfolk</v>
          </cell>
          <cell r="E1141" t="str">
            <v>Community School</v>
          </cell>
          <cell r="F1141" t="str">
            <v>Primary</v>
          </cell>
        </row>
        <row r="1142">
          <cell r="A1142">
            <v>9372004</v>
          </cell>
          <cell r="B1142">
            <v>125502</v>
          </cell>
          <cell r="C1142" t="str">
            <v>Arden Hill Infant School</v>
          </cell>
          <cell r="D1142" t="str">
            <v>Warwickshire</v>
          </cell>
          <cell r="E1142" t="str">
            <v>Community School</v>
          </cell>
          <cell r="F1142" t="str">
            <v>Primary</v>
          </cell>
        </row>
        <row r="1143">
          <cell r="A1143">
            <v>3562003</v>
          </cell>
          <cell r="B1143">
            <v>127495</v>
          </cell>
          <cell r="C1143" t="str">
            <v>Arden Infant School</v>
          </cell>
          <cell r="D1143" t="str">
            <v>Stockport</v>
          </cell>
          <cell r="E1143" t="str">
            <v>Community School</v>
          </cell>
          <cell r="F1143" t="str">
            <v>Primary</v>
          </cell>
        </row>
        <row r="1144">
          <cell r="A1144">
            <v>8872392</v>
          </cell>
          <cell r="B1144">
            <v>118417</v>
          </cell>
          <cell r="C1144" t="str">
            <v>Arden Junior School</v>
          </cell>
          <cell r="D1144" t="str">
            <v>Medway</v>
          </cell>
          <cell r="E1144" t="str">
            <v>Community School</v>
          </cell>
          <cell r="F1144" t="str">
            <v>Primary</v>
          </cell>
        </row>
        <row r="1145">
          <cell r="A1145">
            <v>3562004</v>
          </cell>
          <cell r="B1145">
            <v>127496</v>
          </cell>
          <cell r="C1145" t="str">
            <v>Arden Junior School</v>
          </cell>
          <cell r="D1145" t="str">
            <v>Stockport</v>
          </cell>
          <cell r="E1145" t="str">
            <v>Community School</v>
          </cell>
          <cell r="F1145" t="str">
            <v>Primary</v>
          </cell>
        </row>
        <row r="1146">
          <cell r="A1146">
            <v>9376100</v>
          </cell>
          <cell r="B1146">
            <v>131729</v>
          </cell>
          <cell r="C1146" t="str">
            <v>Arden Lawn School</v>
          </cell>
          <cell r="D1146" t="str">
            <v>Warwickshire</v>
          </cell>
          <cell r="E1146" t="str">
            <v>Other Independent School</v>
          </cell>
          <cell r="F1146" t="str">
            <v>Not applicable</v>
          </cell>
        </row>
        <row r="1147">
          <cell r="A1147">
            <v>3302300</v>
          </cell>
          <cell r="B1147">
            <v>103324</v>
          </cell>
          <cell r="C1147" t="str">
            <v>Arden Primary School</v>
          </cell>
          <cell r="D1147" t="str">
            <v>Birmingham</v>
          </cell>
          <cell r="E1147" t="str">
            <v>Community School</v>
          </cell>
          <cell r="F1147" t="str">
            <v>Primary</v>
          </cell>
        </row>
        <row r="1148">
          <cell r="A1148">
            <v>3562114</v>
          </cell>
          <cell r="B1148">
            <v>106100</v>
          </cell>
          <cell r="C1148" t="str">
            <v>Arden Primary School</v>
          </cell>
          <cell r="D1148" t="str">
            <v>Stockport</v>
          </cell>
          <cell r="E1148" t="str">
            <v>Community School</v>
          </cell>
          <cell r="F1148" t="str">
            <v>Primary</v>
          </cell>
        </row>
        <row r="1149">
          <cell r="A1149">
            <v>3337010</v>
          </cell>
          <cell r="B1149">
            <v>104029</v>
          </cell>
          <cell r="C1149" t="str">
            <v>Arden School</v>
          </cell>
          <cell r="D1149" t="str">
            <v>Sandwell</v>
          </cell>
          <cell r="E1149" t="str">
            <v>Community Special School</v>
          </cell>
          <cell r="F1149" t="str">
            <v>Special</v>
          </cell>
        </row>
        <row r="1150">
          <cell r="A1150">
            <v>3344017</v>
          </cell>
          <cell r="B1150">
            <v>104111</v>
          </cell>
          <cell r="C1150" t="str">
            <v>Arden School</v>
          </cell>
          <cell r="D1150" t="str">
            <v>Solihull</v>
          </cell>
          <cell r="E1150" t="str">
            <v>Community School</v>
          </cell>
          <cell r="F1150" t="str">
            <v>Secondary</v>
          </cell>
        </row>
        <row r="1151">
          <cell r="A1151">
            <v>9376083</v>
          </cell>
          <cell r="B1151">
            <v>125786</v>
          </cell>
          <cell r="C1151" t="str">
            <v>Ardenhurst School</v>
          </cell>
          <cell r="D1151" t="str">
            <v>Warwickshire</v>
          </cell>
          <cell r="E1151" t="str">
            <v>Other Independent School</v>
          </cell>
          <cell r="F1151" t="str">
            <v>Not applicable</v>
          </cell>
        </row>
        <row r="1152">
          <cell r="A1152">
            <v>9386200</v>
          </cell>
          <cell r="B1152">
            <v>126133</v>
          </cell>
          <cell r="C1152" t="str">
            <v>Ardingly College</v>
          </cell>
          <cell r="D1152" t="str">
            <v>West Sussex</v>
          </cell>
          <cell r="E1152" t="str">
            <v>Other Independent School</v>
          </cell>
          <cell r="F1152" t="str">
            <v>Not applicable</v>
          </cell>
        </row>
        <row r="1153">
          <cell r="A1153">
            <v>9313220</v>
          </cell>
          <cell r="B1153">
            <v>129760</v>
          </cell>
          <cell r="C1153" t="str">
            <v>Ardington and Lockinge School</v>
          </cell>
          <cell r="D1153" t="str">
            <v>Oxfordshire</v>
          </cell>
          <cell r="E1153" t="str">
            <v>Voluntary Controlled School</v>
          </cell>
          <cell r="F1153" t="str">
            <v>Primary</v>
          </cell>
        </row>
        <row r="1154">
          <cell r="A1154">
            <v>3112007</v>
          </cell>
          <cell r="B1154">
            <v>102271</v>
          </cell>
          <cell r="C1154" t="str">
            <v>Ardleigh Green Infant School</v>
          </cell>
          <cell r="D1154" t="str">
            <v>Havering</v>
          </cell>
          <cell r="E1154" t="str">
            <v>Community School</v>
          </cell>
          <cell r="F1154" t="str">
            <v>Primary</v>
          </cell>
        </row>
        <row r="1155">
          <cell r="A1155">
            <v>3112006</v>
          </cell>
          <cell r="B1155">
            <v>102270</v>
          </cell>
          <cell r="C1155" t="str">
            <v>Ardleigh Green Junior School</v>
          </cell>
          <cell r="D1155" t="str">
            <v>Havering</v>
          </cell>
          <cell r="E1155" t="str">
            <v>Community School</v>
          </cell>
          <cell r="F1155" t="str">
            <v>Primary</v>
          </cell>
        </row>
        <row r="1156">
          <cell r="A1156">
            <v>8232192</v>
          </cell>
          <cell r="B1156">
            <v>109517</v>
          </cell>
          <cell r="C1156" t="str">
            <v>Ardley Hill Lower School</v>
          </cell>
          <cell r="D1156" t="str">
            <v>Central Bedfordshire</v>
          </cell>
          <cell r="E1156" t="str">
            <v>Community School</v>
          </cell>
          <cell r="F1156" t="str">
            <v>Primary</v>
          </cell>
        </row>
        <row r="1157">
          <cell r="A1157">
            <v>9386259</v>
          </cell>
          <cell r="B1157">
            <v>133666</v>
          </cell>
          <cell r="C1157" t="str">
            <v>Ardmore Montessori School</v>
          </cell>
          <cell r="D1157" t="str">
            <v>West Sussex</v>
          </cell>
          <cell r="E1157" t="str">
            <v>Other Independent School</v>
          </cell>
          <cell r="F1157" t="str">
            <v>Not applicable</v>
          </cell>
        </row>
        <row r="1158">
          <cell r="A1158">
            <v>9386237</v>
          </cell>
          <cell r="B1158">
            <v>126145</v>
          </cell>
          <cell r="C1158" t="str">
            <v>Ardmore School</v>
          </cell>
          <cell r="D1158" t="str">
            <v>West Sussex</v>
          </cell>
          <cell r="E1158" t="str">
            <v>Other Independent School</v>
          </cell>
          <cell r="F1158" t="str">
            <v>Not applicable</v>
          </cell>
        </row>
        <row r="1159">
          <cell r="A1159">
            <v>3702004</v>
          </cell>
          <cell r="B1159">
            <v>106553</v>
          </cell>
          <cell r="C1159" t="str">
            <v>Ardsley Oaks Junior School</v>
          </cell>
          <cell r="D1159" t="str">
            <v>Barnsley</v>
          </cell>
          <cell r="E1159" t="str">
            <v>Community School</v>
          </cell>
          <cell r="F1159" t="str">
            <v>Primary</v>
          </cell>
        </row>
        <row r="1160">
          <cell r="A1160">
            <v>7016004</v>
          </cell>
          <cell r="B1160">
            <v>132437</v>
          </cell>
          <cell r="C1160" t="str">
            <v>Ardvreck School</v>
          </cell>
          <cell r="D1160" t="str">
            <v>Scotland Offshore Establishments</v>
          </cell>
          <cell r="E1160" t="str">
            <v>Offshore Schools</v>
          </cell>
          <cell r="F1160" t="str">
            <v>Not applicable</v>
          </cell>
        </row>
        <row r="1161">
          <cell r="A1161">
            <v>6662047</v>
          </cell>
          <cell r="B1161">
            <v>400484</v>
          </cell>
          <cell r="C1161" t="str">
            <v>Ardwyn Nursery &amp; Infants School</v>
          </cell>
          <cell r="D1161" t="str">
            <v>Powys</v>
          </cell>
          <cell r="E1161" t="str">
            <v>Welsh Establishment</v>
          </cell>
          <cell r="F1161" t="str">
            <v>Primary</v>
          </cell>
        </row>
        <row r="1162">
          <cell r="A1162">
            <v>9381102</v>
          </cell>
          <cell r="B1162">
            <v>125813</v>
          </cell>
          <cell r="C1162" t="str">
            <v>Area B - Out of School Learning Service</v>
          </cell>
          <cell r="D1162" t="str">
            <v>West Sussex</v>
          </cell>
          <cell r="E1162" t="str">
            <v>Pupil Referral Unit</v>
          </cell>
          <cell r="F1162" t="str">
            <v>PRU</v>
          </cell>
        </row>
        <row r="1163">
          <cell r="A1163">
            <v>8852003</v>
          </cell>
          <cell r="B1163">
            <v>116647</v>
          </cell>
          <cell r="C1163" t="str">
            <v>Areley Common First School</v>
          </cell>
          <cell r="D1163" t="str">
            <v>Worcestershire</v>
          </cell>
          <cell r="E1163" t="str">
            <v>Community School</v>
          </cell>
          <cell r="F1163" t="str">
            <v>Primary</v>
          </cell>
        </row>
        <row r="1164">
          <cell r="A1164">
            <v>8852004</v>
          </cell>
          <cell r="B1164">
            <v>116648</v>
          </cell>
          <cell r="C1164" t="str">
            <v>Areley King's Windmill First School</v>
          </cell>
          <cell r="D1164" t="str">
            <v>Worcestershire</v>
          </cell>
          <cell r="E1164" t="str">
            <v>Community School</v>
          </cell>
          <cell r="F1164" t="str">
            <v>Primary</v>
          </cell>
        </row>
        <row r="1165">
          <cell r="A1165">
            <v>6702080</v>
          </cell>
          <cell r="B1165">
            <v>400897</v>
          </cell>
          <cell r="C1165" t="str">
            <v>Arfryn Primary School</v>
          </cell>
          <cell r="D1165" t="str">
            <v>Swansea</v>
          </cell>
          <cell r="E1165" t="str">
            <v>Welsh Establishment</v>
          </cell>
          <cell r="F1165" t="str">
            <v>Primary</v>
          </cell>
        </row>
        <row r="1166">
          <cell r="A1166">
            <v>6644042</v>
          </cell>
          <cell r="B1166">
            <v>401709</v>
          </cell>
          <cell r="C1166" t="str">
            <v>Argoed High School</v>
          </cell>
          <cell r="D1166" t="str">
            <v>Flintshire</v>
          </cell>
          <cell r="E1166" t="str">
            <v>Welsh Establishment</v>
          </cell>
          <cell r="F1166" t="str">
            <v>Secondary</v>
          </cell>
        </row>
        <row r="1167">
          <cell r="A1167">
            <v>6762079</v>
          </cell>
          <cell r="B1167">
            <v>401304</v>
          </cell>
          <cell r="C1167" t="str">
            <v>Argoed Primary School</v>
          </cell>
          <cell r="D1167" t="str">
            <v>Caerphilly</v>
          </cell>
          <cell r="E1167" t="str">
            <v>Welsh Establishment</v>
          </cell>
          <cell r="F1167" t="str">
            <v>Primary</v>
          </cell>
        </row>
        <row r="1168">
          <cell r="A1168">
            <v>9256046</v>
          </cell>
          <cell r="B1168">
            <v>133362</v>
          </cell>
          <cell r="C1168" t="str">
            <v>Argus Education Centre</v>
          </cell>
          <cell r="D1168" t="str">
            <v>Lincolnshire</v>
          </cell>
          <cell r="E1168" t="str">
            <v>Other Independent School</v>
          </cell>
          <cell r="F1168" t="str">
            <v>Not applicable</v>
          </cell>
        </row>
        <row r="1169">
          <cell r="A1169">
            <v>3546024</v>
          </cell>
          <cell r="B1169">
            <v>131429</v>
          </cell>
          <cell r="C1169" t="str">
            <v>Argyle - Green Corns</v>
          </cell>
          <cell r="D1169" t="str">
            <v>Rochdale</v>
          </cell>
          <cell r="E1169" t="str">
            <v>Other Independent Special School</v>
          </cell>
          <cell r="F1169" t="str">
            <v>Not applicable</v>
          </cell>
        </row>
        <row r="1170">
          <cell r="A1170">
            <v>3946003</v>
          </cell>
          <cell r="B1170">
            <v>108873</v>
          </cell>
          <cell r="C1170" t="str">
            <v>Argyle House School</v>
          </cell>
          <cell r="D1170" t="str">
            <v>Sunderland</v>
          </cell>
          <cell r="E1170" t="str">
            <v>Other Independent School</v>
          </cell>
          <cell r="F1170" t="str">
            <v>Not applicable</v>
          </cell>
        </row>
        <row r="1171">
          <cell r="A1171">
            <v>2022019</v>
          </cell>
          <cell r="B1171">
            <v>100008</v>
          </cell>
          <cell r="C1171" t="str">
            <v>Argyle Primary School</v>
          </cell>
          <cell r="D1171" t="str">
            <v>Camden</v>
          </cell>
          <cell r="E1171" t="str">
            <v>Community School</v>
          </cell>
          <cell r="F1171" t="str">
            <v>Primary</v>
          </cell>
        </row>
        <row r="1172">
          <cell r="A1172">
            <v>3046906</v>
          </cell>
          <cell r="B1172">
            <v>135600</v>
          </cell>
          <cell r="C1172" t="str">
            <v>Ark Academy</v>
          </cell>
          <cell r="D1172" t="str">
            <v>Brent</v>
          </cell>
          <cell r="E1172" t="str">
            <v>Academy Sponsor Led</v>
          </cell>
          <cell r="F1172" t="str">
            <v>Not applicable</v>
          </cell>
        </row>
        <row r="1173">
          <cell r="A1173">
            <v>2132000</v>
          </cell>
          <cell r="B1173">
            <v>137323</v>
          </cell>
          <cell r="C1173" t="str">
            <v>ARK Atwood Primary Academy</v>
          </cell>
          <cell r="D1173" t="str">
            <v>Westminster</v>
          </cell>
          <cell r="E1173" t="str">
            <v>Academy Free Schools</v>
          </cell>
          <cell r="F1173" t="str">
            <v>Primary</v>
          </cell>
        </row>
        <row r="1174">
          <cell r="A1174">
            <v>2052000</v>
          </cell>
          <cell r="B1174">
            <v>137331</v>
          </cell>
          <cell r="C1174" t="str">
            <v>ARK Conway Primary Academy</v>
          </cell>
          <cell r="D1174" t="str">
            <v>Hammersmith and Fulham</v>
          </cell>
          <cell r="E1174" t="str">
            <v>Academy Free Schools</v>
          </cell>
          <cell r="F1174" t="str">
            <v>Primary</v>
          </cell>
        </row>
        <row r="1175">
          <cell r="A1175">
            <v>2106912</v>
          </cell>
          <cell r="B1175">
            <v>135584</v>
          </cell>
          <cell r="C1175" t="str">
            <v>ARK Globe Academy</v>
          </cell>
          <cell r="D1175" t="str">
            <v>Southwark</v>
          </cell>
          <cell r="E1175" t="str">
            <v>Academy Sponsor Led</v>
          </cell>
          <cell r="F1175" t="str">
            <v>Not applicable</v>
          </cell>
        </row>
        <row r="1176">
          <cell r="A1176">
            <v>9386269</v>
          </cell>
          <cell r="B1176">
            <v>134365</v>
          </cell>
          <cell r="C1176" t="str">
            <v>Ark House</v>
          </cell>
          <cell r="D1176" t="str">
            <v>West Sussex</v>
          </cell>
          <cell r="E1176" t="str">
            <v>Other Independent Special School</v>
          </cell>
          <cell r="F1176" t="str">
            <v>Not applicable</v>
          </cell>
        </row>
        <row r="1177">
          <cell r="A1177">
            <v>3062013</v>
          </cell>
          <cell r="B1177">
            <v>137114</v>
          </cell>
          <cell r="C1177" t="str">
            <v>ARK Oval Primary Academy</v>
          </cell>
          <cell r="D1177" t="str">
            <v>Croydon</v>
          </cell>
          <cell r="E1177" t="str">
            <v>Academy Sponsor Led</v>
          </cell>
          <cell r="F1177" t="str">
            <v>Primary</v>
          </cell>
        </row>
        <row r="1178">
          <cell r="A1178">
            <v>7022056</v>
          </cell>
          <cell r="B1178">
            <v>136113</v>
          </cell>
          <cell r="C1178" t="str">
            <v>Ark School</v>
          </cell>
          <cell r="D1178" t="str">
            <v>BFPO Overseas Establishments</v>
          </cell>
          <cell r="E1178" t="str">
            <v>Service Childrens Education</v>
          </cell>
          <cell r="F1178" t="str">
            <v>Not applicable</v>
          </cell>
        </row>
        <row r="1179">
          <cell r="A1179">
            <v>8153006</v>
          </cell>
          <cell r="B1179">
            <v>121476</v>
          </cell>
          <cell r="C1179" t="str">
            <v>Arkengarthdale Church of England Primary School</v>
          </cell>
          <cell r="D1179" t="str">
            <v>North Yorkshire</v>
          </cell>
          <cell r="E1179" t="str">
            <v>Voluntary Controlled School</v>
          </cell>
          <cell r="F1179" t="str">
            <v>Primary</v>
          </cell>
        </row>
        <row r="1180">
          <cell r="A1180">
            <v>8883520</v>
          </cell>
          <cell r="B1180">
            <v>119523</v>
          </cell>
          <cell r="C1180" t="str">
            <v>Arkholme Church of England Primary School</v>
          </cell>
          <cell r="D1180" t="str">
            <v>Lancashire</v>
          </cell>
          <cell r="E1180" t="str">
            <v>Voluntary Aided School</v>
          </cell>
          <cell r="F1180" t="str">
            <v>Primary</v>
          </cell>
        </row>
        <row r="1181">
          <cell r="A1181">
            <v>3712063</v>
          </cell>
          <cell r="B1181">
            <v>106676</v>
          </cell>
          <cell r="C1181" t="str">
            <v>Arksey Primary School</v>
          </cell>
          <cell r="D1181" t="str">
            <v>Doncaster</v>
          </cell>
          <cell r="E1181" t="str">
            <v>Community School</v>
          </cell>
          <cell r="F1181" t="str">
            <v>Primary</v>
          </cell>
        </row>
        <row r="1182">
          <cell r="A1182">
            <v>8922075</v>
          </cell>
          <cell r="B1182">
            <v>122424</v>
          </cell>
          <cell r="C1182" t="str">
            <v>Arkwright Primary and Nursery School</v>
          </cell>
          <cell r="D1182" t="str">
            <v>Nottingham</v>
          </cell>
          <cell r="E1182" t="str">
            <v>Community School</v>
          </cell>
          <cell r="F1182" t="str">
            <v>Primary</v>
          </cell>
        </row>
        <row r="1183">
          <cell r="A1183">
            <v>8302245</v>
          </cell>
          <cell r="B1183">
            <v>112632</v>
          </cell>
          <cell r="C1183" t="str">
            <v>Arkwright Primary School</v>
          </cell>
          <cell r="D1183" t="str">
            <v>Derbyshire</v>
          </cell>
          <cell r="E1183" t="str">
            <v>Community School</v>
          </cell>
          <cell r="F1183" t="str">
            <v>Primary</v>
          </cell>
        </row>
        <row r="1184">
          <cell r="A1184">
            <v>9092200</v>
          </cell>
          <cell r="B1184">
            <v>112151</v>
          </cell>
          <cell r="C1184" t="str">
            <v>Arlecdon Primary School</v>
          </cell>
          <cell r="D1184" t="str">
            <v>Cumbria</v>
          </cell>
          <cell r="E1184" t="str">
            <v>Community School</v>
          </cell>
          <cell r="F1184" t="str">
            <v>Primary</v>
          </cell>
        </row>
        <row r="1185">
          <cell r="A1185">
            <v>9191002</v>
          </cell>
          <cell r="B1185">
            <v>117066</v>
          </cell>
          <cell r="C1185" t="str">
            <v>Arlesdene Nursery School</v>
          </cell>
          <cell r="D1185" t="str">
            <v>Hertfordshire</v>
          </cell>
          <cell r="E1185" t="str">
            <v>LA Nursery School</v>
          </cell>
          <cell r="F1185" t="str">
            <v>Nursery</v>
          </cell>
        </row>
        <row r="1186">
          <cell r="A1186">
            <v>8231019</v>
          </cell>
          <cell r="B1186">
            <v>109424</v>
          </cell>
          <cell r="C1186" t="str">
            <v>Arlesey Nursery School and Childcare Centre</v>
          </cell>
          <cell r="D1186" t="str">
            <v>Central Bedfordshire</v>
          </cell>
          <cell r="E1186" t="str">
            <v>LA Nursery School</v>
          </cell>
          <cell r="F1186" t="str">
            <v>Nursery</v>
          </cell>
        </row>
        <row r="1187">
          <cell r="A1187">
            <v>9062251</v>
          </cell>
          <cell r="B1187">
            <v>128411</v>
          </cell>
          <cell r="C1187" t="str">
            <v>Arley County Primary School</v>
          </cell>
          <cell r="D1187" t="str">
            <v>Pre LGR (1998) Cheshire</v>
          </cell>
          <cell r="E1187" t="str">
            <v>Community School</v>
          </cell>
          <cell r="F1187" t="str">
            <v>Primary</v>
          </cell>
        </row>
        <row r="1188">
          <cell r="A1188">
            <v>8916007</v>
          </cell>
          <cell r="B1188">
            <v>122925</v>
          </cell>
          <cell r="C1188" t="str">
            <v>Arley House PNEU School</v>
          </cell>
          <cell r="D1188" t="str">
            <v>Nottinghamshire</v>
          </cell>
          <cell r="E1188" t="str">
            <v>Other Independent School</v>
          </cell>
          <cell r="F1188" t="str">
            <v>Not applicable</v>
          </cell>
        </row>
        <row r="1189">
          <cell r="A1189">
            <v>3572020</v>
          </cell>
          <cell r="B1189">
            <v>106190</v>
          </cell>
          <cell r="C1189" t="str">
            <v>Arlies Primary School</v>
          </cell>
          <cell r="D1189" t="str">
            <v>Tameside</v>
          </cell>
          <cell r="E1189" t="str">
            <v>Community School</v>
          </cell>
          <cell r="F1189" t="str">
            <v>Primary</v>
          </cell>
        </row>
        <row r="1190">
          <cell r="A1190">
            <v>9092005</v>
          </cell>
          <cell r="B1190">
            <v>112102</v>
          </cell>
          <cell r="C1190" t="str">
            <v>Armathwaite School</v>
          </cell>
          <cell r="D1190" t="str">
            <v>Cumbria</v>
          </cell>
          <cell r="E1190" t="str">
            <v>Community School</v>
          </cell>
          <cell r="F1190" t="str">
            <v>Primary</v>
          </cell>
        </row>
        <row r="1191">
          <cell r="A1191">
            <v>3523043</v>
          </cell>
          <cell r="B1191">
            <v>105502</v>
          </cell>
          <cell r="C1191" t="str">
            <v>Armitage CofE Primary School</v>
          </cell>
          <cell r="D1191" t="str">
            <v>Manchester</v>
          </cell>
          <cell r="E1191" t="str">
            <v>Voluntary Controlled School</v>
          </cell>
          <cell r="F1191" t="str">
            <v>Primary</v>
          </cell>
        </row>
        <row r="1192">
          <cell r="A1192">
            <v>3832004</v>
          </cell>
          <cell r="B1192">
            <v>127807</v>
          </cell>
          <cell r="C1192" t="str">
            <v>Armley First School</v>
          </cell>
          <cell r="D1192" t="str">
            <v>Leeds</v>
          </cell>
          <cell r="E1192" t="str">
            <v>Community School</v>
          </cell>
          <cell r="F1192" t="str">
            <v>Primary</v>
          </cell>
        </row>
        <row r="1193">
          <cell r="A1193">
            <v>3837000</v>
          </cell>
          <cell r="B1193">
            <v>128043</v>
          </cell>
          <cell r="C1193" t="str">
            <v>Armley Lodge School</v>
          </cell>
          <cell r="D1193" t="str">
            <v>Leeds</v>
          </cell>
          <cell r="E1193" t="str">
            <v>Community Special School</v>
          </cell>
          <cell r="F1193" t="str">
            <v>Special</v>
          </cell>
        </row>
        <row r="1194">
          <cell r="A1194">
            <v>3834120</v>
          </cell>
          <cell r="B1194">
            <v>127986</v>
          </cell>
          <cell r="C1194" t="str">
            <v>Armley Middle School</v>
          </cell>
          <cell r="D1194" t="str">
            <v>Leeds</v>
          </cell>
          <cell r="E1194" t="str">
            <v>Community School</v>
          </cell>
          <cell r="F1194" t="str">
            <v>Middle Deemed Secondary</v>
          </cell>
        </row>
        <row r="1195">
          <cell r="A1195">
            <v>3832484</v>
          </cell>
          <cell r="B1195">
            <v>107960</v>
          </cell>
          <cell r="C1195" t="str">
            <v>Armley Primary School</v>
          </cell>
          <cell r="D1195" t="str">
            <v>Leeds</v>
          </cell>
          <cell r="E1195" t="str">
            <v>Community School</v>
          </cell>
          <cell r="F1195" t="str">
            <v>Primary</v>
          </cell>
        </row>
        <row r="1196">
          <cell r="A1196">
            <v>3713001</v>
          </cell>
          <cell r="B1196">
            <v>127627</v>
          </cell>
          <cell r="C1196" t="str">
            <v>Armthorpe CofE Infant School</v>
          </cell>
          <cell r="D1196" t="str">
            <v>Doncaster</v>
          </cell>
          <cell r="E1196" t="str">
            <v>Voluntary Controlled School</v>
          </cell>
          <cell r="F1196" t="str">
            <v>Primary</v>
          </cell>
        </row>
        <row r="1197">
          <cell r="A1197">
            <v>3712120</v>
          </cell>
          <cell r="B1197">
            <v>106702</v>
          </cell>
          <cell r="C1197" t="str">
            <v>Armthorpe Shaw Wood Junior School</v>
          </cell>
          <cell r="D1197" t="str">
            <v>Doncaster</v>
          </cell>
          <cell r="E1197" t="str">
            <v>Community School</v>
          </cell>
          <cell r="F1197" t="str">
            <v>Primary</v>
          </cell>
        </row>
        <row r="1198">
          <cell r="A1198">
            <v>3712159</v>
          </cell>
          <cell r="B1198">
            <v>106723</v>
          </cell>
          <cell r="C1198" t="str">
            <v>Armthorpe Southfield Primary School</v>
          </cell>
          <cell r="D1198" t="str">
            <v>Doncaster</v>
          </cell>
          <cell r="E1198" t="str">
            <v>Community School</v>
          </cell>
          <cell r="F1198" t="str">
            <v>Primary</v>
          </cell>
        </row>
        <row r="1199">
          <cell r="A1199">
            <v>3712192</v>
          </cell>
          <cell r="B1199">
            <v>106753</v>
          </cell>
          <cell r="C1199" t="str">
            <v>Armthorpe Tranmoor Primary School</v>
          </cell>
          <cell r="D1199" t="str">
            <v>Doncaster</v>
          </cell>
          <cell r="E1199" t="str">
            <v>Community School</v>
          </cell>
          <cell r="F1199" t="str">
            <v>Primary</v>
          </cell>
        </row>
        <row r="1200">
          <cell r="A1200">
            <v>8913787</v>
          </cell>
          <cell r="B1200">
            <v>134132</v>
          </cell>
          <cell r="C1200" t="str">
            <v>Arnbrook Primary School</v>
          </cell>
          <cell r="D1200" t="str">
            <v>Nottinghamshire</v>
          </cell>
          <cell r="E1200" t="str">
            <v>Community School</v>
          </cell>
          <cell r="F1200" t="str">
            <v>Primary</v>
          </cell>
        </row>
        <row r="1201">
          <cell r="A1201">
            <v>8153221</v>
          </cell>
          <cell r="B1201">
            <v>121546</v>
          </cell>
          <cell r="C1201" t="str">
            <v>Arncliffe Church of England Voluntary Controlled Primary School</v>
          </cell>
          <cell r="D1201" t="str">
            <v>North Yorkshire</v>
          </cell>
          <cell r="E1201" t="str">
            <v>Voluntary Controlled School</v>
          </cell>
          <cell r="F1201" t="str">
            <v>Primary</v>
          </cell>
        </row>
        <row r="1202">
          <cell r="A1202">
            <v>3407003</v>
          </cell>
          <cell r="B1202">
            <v>127250</v>
          </cell>
          <cell r="C1202" t="str">
            <v>Arncliffe School</v>
          </cell>
          <cell r="D1202" t="str">
            <v>Knowsley</v>
          </cell>
          <cell r="E1202" t="str">
            <v>Community Special School</v>
          </cell>
          <cell r="F1202" t="str">
            <v>Special</v>
          </cell>
        </row>
        <row r="1203">
          <cell r="A1203">
            <v>8553000</v>
          </cell>
          <cell r="B1203">
            <v>120109</v>
          </cell>
          <cell r="C1203" t="str">
            <v>Arnesby Church of England Primary School</v>
          </cell>
          <cell r="D1203" t="str">
            <v>Leicestershire</v>
          </cell>
          <cell r="E1203" t="str">
            <v>Voluntary Controlled School</v>
          </cell>
          <cell r="F1203" t="str">
            <v>Primary</v>
          </cell>
        </row>
        <row r="1204">
          <cell r="A1204">
            <v>9192348</v>
          </cell>
          <cell r="B1204">
            <v>117289</v>
          </cell>
          <cell r="C1204" t="str">
            <v>Arnett Hills Junior Mixed and Infant School</v>
          </cell>
          <cell r="D1204" t="str">
            <v>Hertfordshire</v>
          </cell>
          <cell r="E1204" t="str">
            <v>Community School</v>
          </cell>
          <cell r="F1204" t="str">
            <v>Primary</v>
          </cell>
        </row>
        <row r="1205">
          <cell r="A1205">
            <v>8306034</v>
          </cell>
          <cell r="B1205">
            <v>135187</v>
          </cell>
          <cell r="C1205" t="str">
            <v>Arnfield Independent School</v>
          </cell>
          <cell r="D1205" t="str">
            <v>Derbyshire</v>
          </cell>
          <cell r="E1205" t="str">
            <v>Other Independent Special School</v>
          </cell>
          <cell r="F1205" t="str">
            <v>Not applicable</v>
          </cell>
        </row>
        <row r="1206">
          <cell r="A1206">
            <v>2112922</v>
          </cell>
          <cell r="B1206">
            <v>130352</v>
          </cell>
          <cell r="C1206" t="str">
            <v>Arnhem Wharf Primary School</v>
          </cell>
          <cell r="D1206" t="str">
            <v>Tower Hamlets</v>
          </cell>
          <cell r="E1206" t="str">
            <v>Community School</v>
          </cell>
          <cell r="F1206" t="str">
            <v>Primary</v>
          </cell>
        </row>
        <row r="1207">
          <cell r="A1207">
            <v>8912200</v>
          </cell>
          <cell r="B1207">
            <v>122509</v>
          </cell>
          <cell r="C1207" t="str">
            <v>Arno Vale Junior School</v>
          </cell>
          <cell r="D1207" t="str">
            <v>Nottinghamshire</v>
          </cell>
          <cell r="E1207" t="str">
            <v>Community School</v>
          </cell>
          <cell r="F1207" t="str">
            <v>Primary</v>
          </cell>
        </row>
        <row r="1208">
          <cell r="A1208">
            <v>8234040</v>
          </cell>
          <cell r="B1208">
            <v>136829</v>
          </cell>
          <cell r="C1208" t="str">
            <v>Arnold Academy</v>
          </cell>
          <cell r="D1208" t="str">
            <v>Central Bedfordshire</v>
          </cell>
          <cell r="E1208" t="str">
            <v>Academy Converters</v>
          </cell>
          <cell r="F1208" t="str">
            <v>Middle Deemed Secondary</v>
          </cell>
        </row>
        <row r="1209">
          <cell r="A1209">
            <v>8918007</v>
          </cell>
          <cell r="B1209">
            <v>130781</v>
          </cell>
          <cell r="C1209" t="str">
            <v>Arnold and Carlton College</v>
          </cell>
          <cell r="D1209" t="str">
            <v>Nottinghamshire</v>
          </cell>
          <cell r="E1209" t="str">
            <v>Further Education</v>
          </cell>
          <cell r="F1209" t="str">
            <v>16 Plus</v>
          </cell>
        </row>
        <row r="1210">
          <cell r="A1210">
            <v>8912221</v>
          </cell>
          <cell r="B1210">
            <v>122518</v>
          </cell>
          <cell r="C1210" t="str">
            <v>Arnold Hill Rise Infant School</v>
          </cell>
          <cell r="D1210" t="str">
            <v>Nottinghamshire</v>
          </cell>
          <cell r="E1210" t="str">
            <v>Community School</v>
          </cell>
          <cell r="F1210" t="str">
            <v>Primary</v>
          </cell>
        </row>
        <row r="1211">
          <cell r="A1211">
            <v>8914091</v>
          </cell>
          <cell r="B1211">
            <v>122847</v>
          </cell>
          <cell r="C1211" t="str">
            <v>Arnold Hill School and Technology College</v>
          </cell>
          <cell r="D1211" t="str">
            <v>Nottinghamshire</v>
          </cell>
          <cell r="E1211" t="str">
            <v>Foundation School</v>
          </cell>
          <cell r="F1211" t="str">
            <v>Secondary</v>
          </cell>
        </row>
        <row r="1212">
          <cell r="A1212">
            <v>8914091</v>
          </cell>
          <cell r="B1212">
            <v>137536</v>
          </cell>
          <cell r="C1212" t="str">
            <v>Arnold Hill School and Technology College</v>
          </cell>
          <cell r="D1212" t="str">
            <v>Nottinghamshire</v>
          </cell>
          <cell r="E1212" t="str">
            <v>Academy Converters</v>
          </cell>
          <cell r="F1212" t="str">
            <v>Secondary</v>
          </cell>
        </row>
        <row r="1213">
          <cell r="A1213">
            <v>2136034</v>
          </cell>
          <cell r="B1213">
            <v>101156</v>
          </cell>
          <cell r="C1213" t="str">
            <v>Arnold House School</v>
          </cell>
          <cell r="D1213" t="str">
            <v>Westminster</v>
          </cell>
          <cell r="E1213" t="str">
            <v>Other Independent School</v>
          </cell>
          <cell r="F1213" t="str">
            <v>Not applicable</v>
          </cell>
        </row>
        <row r="1214">
          <cell r="A1214">
            <v>9376004</v>
          </cell>
          <cell r="B1214">
            <v>125774</v>
          </cell>
          <cell r="C1214" t="str">
            <v>Arnold Lodge School</v>
          </cell>
          <cell r="D1214" t="str">
            <v>Warwickshire</v>
          </cell>
          <cell r="E1214" t="str">
            <v>Other Independent School</v>
          </cell>
          <cell r="F1214" t="str">
            <v>Not applicable</v>
          </cell>
        </row>
        <row r="1215">
          <cell r="A1215">
            <v>8234040</v>
          </cell>
          <cell r="B1215">
            <v>109656</v>
          </cell>
          <cell r="C1215" t="str">
            <v>Arnold Middle School</v>
          </cell>
          <cell r="D1215" t="str">
            <v>Central Bedfordshire</v>
          </cell>
          <cell r="E1215" t="str">
            <v>Foundation School</v>
          </cell>
          <cell r="F1215" t="str">
            <v>Middle Deemed Secondary</v>
          </cell>
        </row>
        <row r="1216">
          <cell r="A1216">
            <v>8912916</v>
          </cell>
          <cell r="B1216">
            <v>122720</v>
          </cell>
          <cell r="C1216" t="str">
            <v>Arnold Mill Primary and Nursery School</v>
          </cell>
          <cell r="D1216" t="str">
            <v>Nottinghamshire</v>
          </cell>
          <cell r="E1216" t="str">
            <v>Community School</v>
          </cell>
          <cell r="F1216" t="str">
            <v>Primary</v>
          </cell>
        </row>
        <row r="1217">
          <cell r="A1217">
            <v>8906004</v>
          </cell>
          <cell r="B1217">
            <v>119839</v>
          </cell>
          <cell r="C1217" t="str">
            <v>Arnold School</v>
          </cell>
          <cell r="D1217" t="str">
            <v>Blackpool</v>
          </cell>
          <cell r="E1217" t="str">
            <v>Other Independent School</v>
          </cell>
          <cell r="F1217" t="str">
            <v>Not applicable</v>
          </cell>
        </row>
        <row r="1218">
          <cell r="A1218">
            <v>8912942</v>
          </cell>
          <cell r="B1218">
            <v>131642</v>
          </cell>
          <cell r="C1218" t="str">
            <v>Arnold View Primary School</v>
          </cell>
          <cell r="D1218" t="str">
            <v>Nottinghamshire</v>
          </cell>
          <cell r="E1218" t="str">
            <v>Community School</v>
          </cell>
          <cell r="F1218" t="str">
            <v>Primary</v>
          </cell>
        </row>
        <row r="1219">
          <cell r="A1219">
            <v>8912202</v>
          </cell>
          <cell r="B1219">
            <v>122511</v>
          </cell>
          <cell r="C1219" t="str">
            <v>Arnold Woodthorpe Infant School</v>
          </cell>
          <cell r="D1219" t="str">
            <v>Nottinghamshire</v>
          </cell>
          <cell r="E1219" t="str">
            <v>Community School</v>
          </cell>
          <cell r="F1219" t="str">
            <v>Primary</v>
          </cell>
        </row>
        <row r="1220">
          <cell r="A1220">
            <v>3412003</v>
          </cell>
          <cell r="B1220">
            <v>104515</v>
          </cell>
          <cell r="C1220" t="str">
            <v>Arnot Community Primary School</v>
          </cell>
          <cell r="D1220" t="str">
            <v>Liverpool</v>
          </cell>
          <cell r="E1220" t="str">
            <v>Community School</v>
          </cell>
          <cell r="F1220" t="str">
            <v>Primary</v>
          </cell>
        </row>
        <row r="1221">
          <cell r="A1221">
            <v>3412005</v>
          </cell>
          <cell r="B1221">
            <v>127254</v>
          </cell>
          <cell r="C1221" t="str">
            <v>Arnot County Infant School</v>
          </cell>
          <cell r="D1221" t="str">
            <v>Liverpool</v>
          </cell>
          <cell r="E1221" t="str">
            <v>Community School</v>
          </cell>
          <cell r="F1221" t="str">
            <v>Primary</v>
          </cell>
        </row>
        <row r="1222">
          <cell r="A1222">
            <v>3413965</v>
          </cell>
          <cell r="B1222">
            <v>135267</v>
          </cell>
          <cell r="C1222" t="str">
            <v>Arnot St Mary CofE Primary School</v>
          </cell>
          <cell r="D1222" t="str">
            <v>Liverpool</v>
          </cell>
          <cell r="E1222" t="str">
            <v>Voluntary Controlled School</v>
          </cell>
          <cell r="F1222" t="str">
            <v>Primary</v>
          </cell>
        </row>
        <row r="1223">
          <cell r="A1223">
            <v>9093352</v>
          </cell>
          <cell r="B1223">
            <v>112311</v>
          </cell>
          <cell r="C1223" t="str">
            <v>Arnside National CofE School</v>
          </cell>
          <cell r="D1223" t="str">
            <v>Cumbria</v>
          </cell>
          <cell r="E1223" t="str">
            <v>Voluntary Aided School</v>
          </cell>
          <cell r="F1223" t="str">
            <v>Primary</v>
          </cell>
        </row>
        <row r="1224">
          <cell r="A1224">
            <v>9093352</v>
          </cell>
          <cell r="B1224">
            <v>137686</v>
          </cell>
          <cell r="C1224" t="str">
            <v>Arnside National CofE School</v>
          </cell>
          <cell r="D1224" t="str">
            <v>Cumbria</v>
          </cell>
          <cell r="E1224" t="str">
            <v>Academy Converters</v>
          </cell>
          <cell r="F1224" t="str">
            <v>Primary</v>
          </cell>
        </row>
        <row r="1225">
          <cell r="A1225">
            <v>8886106</v>
          </cell>
          <cell r="B1225">
            <v>135579</v>
          </cell>
          <cell r="C1225" t="str">
            <v>Ar-Rahmah Academy</v>
          </cell>
          <cell r="D1225" t="str">
            <v>Lancashire</v>
          </cell>
          <cell r="E1225" t="str">
            <v>Other Independent School</v>
          </cell>
          <cell r="F1225" t="str">
            <v>Not applicable</v>
          </cell>
        </row>
        <row r="1226">
          <cell r="A1226">
            <v>9213000</v>
          </cell>
          <cell r="B1226">
            <v>118180</v>
          </cell>
          <cell r="C1226" t="str">
            <v>Arreton St George's Church of England Controlled Primary School</v>
          </cell>
          <cell r="D1226" t="str">
            <v>Isle of Wight</v>
          </cell>
          <cell r="E1226" t="str">
            <v>Voluntary Controlled School</v>
          </cell>
          <cell r="F1226" t="str">
            <v>Primary</v>
          </cell>
        </row>
        <row r="1227">
          <cell r="A1227">
            <v>8854034</v>
          </cell>
          <cell r="B1227">
            <v>116946</v>
          </cell>
          <cell r="C1227" t="str">
            <v>Arrow Vale Community High School - A Specialist Sports College</v>
          </cell>
          <cell r="D1227" t="str">
            <v>Worcestershire</v>
          </cell>
          <cell r="E1227" t="str">
            <v>Community School</v>
          </cell>
          <cell r="F1227" t="str">
            <v>Secondary</v>
          </cell>
        </row>
        <row r="1228">
          <cell r="A1228">
            <v>3446030</v>
          </cell>
          <cell r="B1228">
            <v>131801</v>
          </cell>
          <cell r="C1228" t="str">
            <v>Arrowe Hall School</v>
          </cell>
          <cell r="D1228" t="str">
            <v>Wirral</v>
          </cell>
          <cell r="E1228" t="str">
            <v>Other Independent School</v>
          </cell>
          <cell r="F1228" t="str">
            <v>Not applicable</v>
          </cell>
        </row>
        <row r="1229">
          <cell r="A1229">
            <v>3442265</v>
          </cell>
          <cell r="B1229">
            <v>105052</v>
          </cell>
          <cell r="C1229" t="str">
            <v>Arrowe Hill Primary School</v>
          </cell>
          <cell r="D1229" t="str">
            <v>Wirral</v>
          </cell>
          <cell r="E1229" t="str">
            <v>Community School</v>
          </cell>
          <cell r="F1229" t="str">
            <v>Primary</v>
          </cell>
        </row>
        <row r="1230">
          <cell r="A1230">
            <v>206940</v>
          </cell>
          <cell r="B1230">
            <v>132695</v>
          </cell>
          <cell r="C1230" t="str">
            <v>Arsenal Study Support</v>
          </cell>
          <cell r="D1230" t="str">
            <v>Islington</v>
          </cell>
          <cell r="E1230" t="str">
            <v>Playing for Success Centres</v>
          </cell>
          <cell r="F1230" t="str">
            <v>Not applicable</v>
          </cell>
        </row>
        <row r="1231">
          <cell r="A1231">
            <v>8832439</v>
          </cell>
          <cell r="B1231">
            <v>114850</v>
          </cell>
          <cell r="C1231" t="str">
            <v>Arthur Bugler Infant School</v>
          </cell>
          <cell r="D1231" t="str">
            <v>Thurrock</v>
          </cell>
          <cell r="E1231" t="str">
            <v>Community School</v>
          </cell>
          <cell r="F1231" t="str">
            <v>Primary</v>
          </cell>
        </row>
        <row r="1232">
          <cell r="A1232">
            <v>8832459</v>
          </cell>
          <cell r="B1232">
            <v>114855</v>
          </cell>
          <cell r="C1232" t="str">
            <v>Arthur Bugler Junior School</v>
          </cell>
          <cell r="D1232" t="str">
            <v>Thurrock</v>
          </cell>
          <cell r="E1232" t="str">
            <v>Community School</v>
          </cell>
          <cell r="F1232" t="str">
            <v>Primary</v>
          </cell>
        </row>
        <row r="1233">
          <cell r="A1233">
            <v>9162164</v>
          </cell>
          <cell r="B1233">
            <v>115597</v>
          </cell>
          <cell r="C1233" t="str">
            <v>Arthur Dye Primary School</v>
          </cell>
          <cell r="D1233" t="str">
            <v>Gloucestershire</v>
          </cell>
          <cell r="E1233" t="str">
            <v>Community School</v>
          </cell>
          <cell r="F1233" t="str">
            <v>Primary</v>
          </cell>
        </row>
        <row r="1234">
          <cell r="A1234">
            <v>3834016</v>
          </cell>
          <cell r="B1234">
            <v>127962</v>
          </cell>
          <cell r="C1234" t="str">
            <v>Arthur Greenwood Middle School</v>
          </cell>
          <cell r="D1234" t="str">
            <v>Leeds</v>
          </cell>
          <cell r="E1234" t="str">
            <v>Community School</v>
          </cell>
          <cell r="F1234" t="str">
            <v>Middle Deemed Secondary</v>
          </cell>
        </row>
        <row r="1235">
          <cell r="A1235">
            <v>8745417</v>
          </cell>
          <cell r="B1235">
            <v>110875</v>
          </cell>
          <cell r="C1235" t="str">
            <v>Arthur Mellows Village College</v>
          </cell>
          <cell r="D1235" t="str">
            <v>Peterborough</v>
          </cell>
          <cell r="E1235" t="str">
            <v>Foundation School</v>
          </cell>
          <cell r="F1235" t="str">
            <v>Secondary</v>
          </cell>
        </row>
        <row r="1236">
          <cell r="A1236">
            <v>8745417</v>
          </cell>
          <cell r="B1236">
            <v>136266</v>
          </cell>
          <cell r="C1236" t="str">
            <v>Arthur Mellows Village College</v>
          </cell>
          <cell r="D1236" t="str">
            <v>Peterborough</v>
          </cell>
          <cell r="E1236" t="str">
            <v>Academy Converters</v>
          </cell>
          <cell r="F1236" t="str">
            <v>Secondary</v>
          </cell>
        </row>
        <row r="1237">
          <cell r="A1237">
            <v>9376030</v>
          </cell>
          <cell r="B1237">
            <v>136082</v>
          </cell>
          <cell r="C1237" t="str">
            <v>Arthur Rank Training</v>
          </cell>
          <cell r="D1237" t="str">
            <v>Warwickshire</v>
          </cell>
          <cell r="E1237" t="str">
            <v>Other Independent Special School</v>
          </cell>
          <cell r="F1237" t="str">
            <v>Not applicable</v>
          </cell>
        </row>
        <row r="1238">
          <cell r="A1238">
            <v>3136064</v>
          </cell>
          <cell r="B1238">
            <v>102551</v>
          </cell>
          <cell r="C1238" t="str">
            <v>Arts Educational School</v>
          </cell>
          <cell r="D1238" t="str">
            <v>Hounslow</v>
          </cell>
          <cell r="E1238" t="str">
            <v>Other Independent School</v>
          </cell>
          <cell r="F1238" t="str">
            <v>Not applicable</v>
          </cell>
        </row>
        <row r="1239">
          <cell r="A1239">
            <v>9382135</v>
          </cell>
          <cell r="B1239">
            <v>125889</v>
          </cell>
          <cell r="C1239" t="str">
            <v>Arun Vale Infant School</v>
          </cell>
          <cell r="D1239" t="str">
            <v>West Sussex</v>
          </cell>
          <cell r="E1239" t="str">
            <v>Community School</v>
          </cell>
          <cell r="F1239" t="str">
            <v>Primary</v>
          </cell>
        </row>
        <row r="1240">
          <cell r="A1240">
            <v>3572011</v>
          </cell>
          <cell r="B1240">
            <v>106184</v>
          </cell>
          <cell r="C1240" t="str">
            <v>Arundale Primary School</v>
          </cell>
          <cell r="D1240" t="str">
            <v>Tameside</v>
          </cell>
          <cell r="E1240" t="str">
            <v>Community School</v>
          </cell>
          <cell r="F1240" t="str">
            <v>Primary</v>
          </cell>
        </row>
        <row r="1241">
          <cell r="A1241">
            <v>9386146</v>
          </cell>
          <cell r="B1241">
            <v>126127</v>
          </cell>
          <cell r="C1241" t="str">
            <v>Arundale School</v>
          </cell>
          <cell r="D1241" t="str">
            <v>West Sussex</v>
          </cell>
          <cell r="E1241" t="str">
            <v>Other Independent School</v>
          </cell>
          <cell r="F1241" t="str">
            <v>Not applicable</v>
          </cell>
        </row>
        <row r="1242">
          <cell r="A1242">
            <v>9383301</v>
          </cell>
          <cell r="B1242">
            <v>126019</v>
          </cell>
          <cell r="C1242" t="str">
            <v>Arundel CofE Primary School</v>
          </cell>
          <cell r="D1242" t="str">
            <v>West Sussex</v>
          </cell>
          <cell r="E1242" t="str">
            <v>Voluntary Aided School</v>
          </cell>
          <cell r="F1242" t="str">
            <v>Primary</v>
          </cell>
        </row>
        <row r="1243">
          <cell r="A1243">
            <v>8512688</v>
          </cell>
          <cell r="B1243">
            <v>116202</v>
          </cell>
          <cell r="C1243" t="str">
            <v>Arundel Court Infant School</v>
          </cell>
          <cell r="D1243" t="str">
            <v>Portsmouth</v>
          </cell>
          <cell r="E1243" t="str">
            <v>Community School</v>
          </cell>
          <cell r="F1243" t="str">
            <v>Primary</v>
          </cell>
        </row>
        <row r="1244">
          <cell r="A1244">
            <v>8512687</v>
          </cell>
          <cell r="B1244">
            <v>116201</v>
          </cell>
          <cell r="C1244" t="str">
            <v>Arundel Court Junior School</v>
          </cell>
          <cell r="D1244" t="str">
            <v>Portsmouth</v>
          </cell>
          <cell r="E1244" t="str">
            <v>Community School</v>
          </cell>
          <cell r="F1244" t="str">
            <v>Primary</v>
          </cell>
        </row>
        <row r="1245">
          <cell r="A1245">
            <v>8866119</v>
          </cell>
          <cell r="B1245">
            <v>133113</v>
          </cell>
          <cell r="C1245" t="str">
            <v>Arundel House</v>
          </cell>
          <cell r="D1245" t="str">
            <v>Kent</v>
          </cell>
          <cell r="E1245" t="str">
            <v>Other Independent Special School</v>
          </cell>
          <cell r="F1245" t="str">
            <v>Not applicable</v>
          </cell>
        </row>
        <row r="1246">
          <cell r="A1246">
            <v>3146050</v>
          </cell>
          <cell r="B1246">
            <v>126950</v>
          </cell>
          <cell r="C1246" t="str">
            <v>Arundel House School</v>
          </cell>
          <cell r="D1246" t="str">
            <v>Kingston upon Thames</v>
          </cell>
          <cell r="E1246" t="str">
            <v>Other Independent School</v>
          </cell>
          <cell r="F1246" t="str">
            <v>Not applicable</v>
          </cell>
        </row>
        <row r="1247">
          <cell r="A1247">
            <v>9382124</v>
          </cell>
          <cell r="B1247">
            <v>125883</v>
          </cell>
          <cell r="C1247" t="str">
            <v>Arunside School, Horsham</v>
          </cell>
          <cell r="D1247" t="str">
            <v>West Sussex</v>
          </cell>
          <cell r="E1247" t="str">
            <v>Community School</v>
          </cell>
          <cell r="F1247" t="str">
            <v>Primary</v>
          </cell>
        </row>
        <row r="1248">
          <cell r="A1248">
            <v>3066100</v>
          </cell>
          <cell r="B1248">
            <v>130906</v>
          </cell>
          <cell r="C1248" t="str">
            <v>Arvon House</v>
          </cell>
          <cell r="D1248" t="str">
            <v>Croydon</v>
          </cell>
          <cell r="E1248" t="str">
            <v>Other Independent Special School</v>
          </cell>
          <cell r="F1248" t="str">
            <v>Not applicable</v>
          </cell>
        </row>
        <row r="1249">
          <cell r="A1249">
            <v>9093061</v>
          </cell>
          <cell r="B1249">
            <v>112267</v>
          </cell>
          <cell r="C1249" t="str">
            <v>Asby Endowed School</v>
          </cell>
          <cell r="D1249" t="str">
            <v>Cumbria</v>
          </cell>
          <cell r="E1249" t="str">
            <v>Voluntary Controlled School</v>
          </cell>
          <cell r="F1249" t="str">
            <v>Primary</v>
          </cell>
        </row>
        <row r="1250">
          <cell r="A1250">
            <v>3553005</v>
          </cell>
          <cell r="B1250">
            <v>105927</v>
          </cell>
          <cell r="C1250" t="str">
            <v>Ascension CofE Primary School</v>
          </cell>
          <cell r="D1250" t="str">
            <v>Salford</v>
          </cell>
          <cell r="E1250" t="str">
            <v>Voluntary Controlled School</v>
          </cell>
          <cell r="F1250" t="str">
            <v>Primary</v>
          </cell>
        </row>
        <row r="1251">
          <cell r="A1251">
            <v>3916013</v>
          </cell>
          <cell r="B1251">
            <v>108543</v>
          </cell>
          <cell r="C1251" t="str">
            <v>Ascham House School</v>
          </cell>
          <cell r="D1251" t="str">
            <v>Newcastle upon Tyne</v>
          </cell>
          <cell r="E1251" t="str">
            <v>Other Independent School</v>
          </cell>
          <cell r="F1251" t="str">
            <v>Not applicable</v>
          </cell>
        </row>
        <row r="1252">
          <cell r="A1252">
            <v>8673054</v>
          </cell>
          <cell r="B1252">
            <v>109986</v>
          </cell>
          <cell r="C1252" t="str">
            <v>Ascot Heath Church of England Junior School</v>
          </cell>
          <cell r="D1252" t="str">
            <v>Bracknell Forest</v>
          </cell>
          <cell r="E1252" t="str">
            <v>Voluntary Controlled School</v>
          </cell>
          <cell r="F1252" t="str">
            <v>Primary</v>
          </cell>
        </row>
        <row r="1253">
          <cell r="A1253">
            <v>8672135</v>
          </cell>
          <cell r="B1253">
            <v>109867</v>
          </cell>
          <cell r="C1253" t="str">
            <v>Ascot Heath Infant School</v>
          </cell>
          <cell r="D1253" t="str">
            <v>Bracknell Forest</v>
          </cell>
          <cell r="E1253" t="str">
            <v>Community School</v>
          </cell>
          <cell r="F1253" t="str">
            <v>Primary</v>
          </cell>
        </row>
        <row r="1254">
          <cell r="A1254">
            <v>8552004</v>
          </cell>
          <cell r="B1254">
            <v>119904</v>
          </cell>
          <cell r="C1254" t="str">
            <v>Asfordby Hill Primary School</v>
          </cell>
          <cell r="D1254" t="str">
            <v>Leicestershire</v>
          </cell>
          <cell r="E1254" t="str">
            <v>Community School</v>
          </cell>
          <cell r="F1254" t="str">
            <v>Primary</v>
          </cell>
        </row>
        <row r="1255">
          <cell r="A1255">
            <v>9333276</v>
          </cell>
          <cell r="B1255">
            <v>123814</v>
          </cell>
          <cell r="C1255" t="str">
            <v>Ash Church of England Primary School</v>
          </cell>
          <cell r="D1255" t="str">
            <v>Somerset</v>
          </cell>
          <cell r="E1255" t="str">
            <v>Voluntary Controlled School</v>
          </cell>
          <cell r="F1255" t="str">
            <v>Primary</v>
          </cell>
        </row>
        <row r="1256">
          <cell r="A1256">
            <v>8312509</v>
          </cell>
          <cell r="B1256">
            <v>112771</v>
          </cell>
          <cell r="C1256" t="str">
            <v>Ash Croft Primary School</v>
          </cell>
          <cell r="D1256" t="str">
            <v>Derby</v>
          </cell>
          <cell r="E1256" t="str">
            <v>Community School</v>
          </cell>
          <cell r="F1256" t="str">
            <v>Primary</v>
          </cell>
        </row>
        <row r="1257">
          <cell r="A1257">
            <v>3557028</v>
          </cell>
          <cell r="B1257">
            <v>106012</v>
          </cell>
          <cell r="C1257" t="str">
            <v>Ash Field School</v>
          </cell>
          <cell r="D1257" t="str">
            <v>Salford</v>
          </cell>
          <cell r="E1257" t="str">
            <v>Community Special School</v>
          </cell>
          <cell r="F1257" t="str">
            <v>Special</v>
          </cell>
        </row>
        <row r="1258">
          <cell r="A1258">
            <v>8567003</v>
          </cell>
          <cell r="B1258">
            <v>120349</v>
          </cell>
          <cell r="C1258" t="str">
            <v>Ash Field School</v>
          </cell>
          <cell r="D1258" t="str">
            <v>Leicester</v>
          </cell>
          <cell r="E1258" t="str">
            <v>Community Special School</v>
          </cell>
          <cell r="F1258" t="str">
            <v>Special</v>
          </cell>
        </row>
        <row r="1259">
          <cell r="A1259">
            <v>9362940</v>
          </cell>
          <cell r="B1259">
            <v>125116</v>
          </cell>
          <cell r="C1259" t="str">
            <v>Ash Grange Primary School</v>
          </cell>
          <cell r="D1259" t="str">
            <v>Surrey</v>
          </cell>
          <cell r="E1259" t="str">
            <v>Community School</v>
          </cell>
          <cell r="F1259" t="str">
            <v>Primary</v>
          </cell>
        </row>
        <row r="1260">
          <cell r="A1260">
            <v>3812093</v>
          </cell>
          <cell r="B1260">
            <v>107534</v>
          </cell>
          <cell r="C1260" t="str">
            <v>Ash Green Community Primary School</v>
          </cell>
          <cell r="D1260" t="str">
            <v>Calderdale</v>
          </cell>
          <cell r="E1260" t="str">
            <v>Community School</v>
          </cell>
          <cell r="F1260" t="str">
            <v>Primary</v>
          </cell>
        </row>
        <row r="1261">
          <cell r="A1261">
            <v>8612114</v>
          </cell>
          <cell r="B1261">
            <v>124028</v>
          </cell>
          <cell r="C1261" t="str">
            <v>Ash Green Primary School</v>
          </cell>
          <cell r="D1261" t="str">
            <v>Stoke-on-Trent</v>
          </cell>
          <cell r="E1261" t="str">
            <v>Community School</v>
          </cell>
          <cell r="F1261" t="str">
            <v>Primary</v>
          </cell>
        </row>
        <row r="1262">
          <cell r="A1262">
            <v>9375401</v>
          </cell>
          <cell r="B1262">
            <v>125765</v>
          </cell>
          <cell r="C1262" t="str">
            <v>Ash Green School and Arts College</v>
          </cell>
          <cell r="D1262" t="str">
            <v>Warwickshire</v>
          </cell>
          <cell r="E1262" t="str">
            <v>Foundation School</v>
          </cell>
          <cell r="F1262" t="str">
            <v>Secondary</v>
          </cell>
        </row>
        <row r="1263">
          <cell r="A1263">
            <v>3842126</v>
          </cell>
          <cell r="B1263">
            <v>108194</v>
          </cell>
          <cell r="C1263" t="str">
            <v>Ash Grove First School</v>
          </cell>
          <cell r="D1263" t="str">
            <v>Wakefield</v>
          </cell>
          <cell r="E1263" t="str">
            <v>Community School</v>
          </cell>
          <cell r="F1263" t="str">
            <v>Primary</v>
          </cell>
        </row>
        <row r="1264">
          <cell r="A1264">
            <v>3842190</v>
          </cell>
          <cell r="B1264">
            <v>130858</v>
          </cell>
          <cell r="C1264" t="str">
            <v>Ash Grove Junior and Infant School</v>
          </cell>
          <cell r="D1264" t="str">
            <v>Wakefield</v>
          </cell>
          <cell r="E1264" t="str">
            <v>Community School</v>
          </cell>
          <cell r="F1264" t="str">
            <v>Primary</v>
          </cell>
        </row>
        <row r="1265">
          <cell r="A1265">
            <v>8952142</v>
          </cell>
          <cell r="B1265">
            <v>111017</v>
          </cell>
          <cell r="C1265" t="str">
            <v>Ash Grove Primary and Nursery School</v>
          </cell>
          <cell r="D1265" t="str">
            <v>Cheshire East</v>
          </cell>
          <cell r="E1265" t="str">
            <v>Community School</v>
          </cell>
          <cell r="F1265" t="str">
            <v>Primary</v>
          </cell>
        </row>
        <row r="1266">
          <cell r="A1266">
            <v>3714000</v>
          </cell>
          <cell r="B1266">
            <v>137066</v>
          </cell>
          <cell r="C1266" t="str">
            <v>Ash Hill Academy</v>
          </cell>
          <cell r="D1266" t="str">
            <v>Doncaster</v>
          </cell>
          <cell r="E1266" t="str">
            <v>Academy Sponsor Led</v>
          </cell>
          <cell r="F1266" t="str">
            <v>Secondary</v>
          </cell>
        </row>
        <row r="1267">
          <cell r="A1267">
            <v>8252132</v>
          </cell>
          <cell r="B1267">
            <v>110261</v>
          </cell>
          <cell r="C1267" t="str">
            <v>Ash Hill Primary School</v>
          </cell>
          <cell r="D1267" t="str">
            <v>Buckinghamshire</v>
          </cell>
          <cell r="E1267" t="str">
            <v>Community School</v>
          </cell>
          <cell r="F1267" t="str">
            <v>Primary</v>
          </cell>
        </row>
        <row r="1268">
          <cell r="A1268">
            <v>9092600</v>
          </cell>
          <cell r="B1268">
            <v>128579</v>
          </cell>
          <cell r="C1268" t="str">
            <v>Ash Lea Infant School</v>
          </cell>
          <cell r="D1268" t="str">
            <v>Cumbria</v>
          </cell>
          <cell r="E1268" t="str">
            <v>Community School</v>
          </cell>
          <cell r="F1268" t="str">
            <v>Primary</v>
          </cell>
        </row>
        <row r="1269">
          <cell r="A1269">
            <v>3556003</v>
          </cell>
          <cell r="B1269">
            <v>105990</v>
          </cell>
          <cell r="C1269" t="str">
            <v>Ash Lea School</v>
          </cell>
          <cell r="D1269" t="str">
            <v>Salford</v>
          </cell>
          <cell r="E1269" t="str">
            <v>Other Independent School</v>
          </cell>
          <cell r="F1269" t="str">
            <v>Not applicable</v>
          </cell>
        </row>
        <row r="1270">
          <cell r="A1270">
            <v>8917023</v>
          </cell>
          <cell r="B1270">
            <v>122957</v>
          </cell>
          <cell r="C1270" t="str">
            <v>Ash Lea School</v>
          </cell>
          <cell r="D1270" t="str">
            <v>Nottinghamshire</v>
          </cell>
          <cell r="E1270" t="str">
            <v>Community Special School</v>
          </cell>
          <cell r="F1270" t="str">
            <v>Special</v>
          </cell>
        </row>
        <row r="1271">
          <cell r="A1271">
            <v>9364463</v>
          </cell>
          <cell r="B1271">
            <v>125271</v>
          </cell>
          <cell r="C1271" t="str">
            <v>Ash Manor School</v>
          </cell>
          <cell r="D1271" t="str">
            <v>Surrey</v>
          </cell>
          <cell r="E1271" t="str">
            <v>Community School</v>
          </cell>
          <cell r="F1271" t="str">
            <v>Secondary</v>
          </cell>
        </row>
        <row r="1272">
          <cell r="A1272">
            <v>3812034</v>
          </cell>
          <cell r="B1272">
            <v>127758</v>
          </cell>
          <cell r="C1272" t="str">
            <v>Ash Tree Infants' School</v>
          </cell>
          <cell r="D1272" t="str">
            <v>Calderdale</v>
          </cell>
          <cell r="E1272" t="str">
            <v>Community School</v>
          </cell>
          <cell r="F1272" t="str">
            <v>Primary</v>
          </cell>
        </row>
        <row r="1273">
          <cell r="A1273">
            <v>8087028</v>
          </cell>
          <cell r="B1273">
            <v>111786</v>
          </cell>
          <cell r="C1273" t="str">
            <v>Ash Trees School</v>
          </cell>
          <cell r="D1273" t="str">
            <v>Stockton-on-Tees</v>
          </cell>
          <cell r="E1273" t="str">
            <v>Community Special School</v>
          </cell>
          <cell r="F1273" t="str">
            <v>Special</v>
          </cell>
        </row>
        <row r="1274">
          <cell r="A1274">
            <v>9362003</v>
          </cell>
          <cell r="B1274">
            <v>130010</v>
          </cell>
          <cell r="C1274" t="str">
            <v>Ash Vale First School</v>
          </cell>
          <cell r="D1274" t="str">
            <v>Surrey</v>
          </cell>
          <cell r="E1274" t="str">
            <v>Community School</v>
          </cell>
          <cell r="F1274" t="str">
            <v>Primary</v>
          </cell>
        </row>
        <row r="1275">
          <cell r="A1275">
            <v>8302333</v>
          </cell>
          <cell r="B1275">
            <v>112686</v>
          </cell>
          <cell r="C1275" t="str">
            <v>Ashbourne Hilltop Infant School</v>
          </cell>
          <cell r="D1275" t="str">
            <v>Derbyshire</v>
          </cell>
          <cell r="E1275" t="str">
            <v>Community School</v>
          </cell>
          <cell r="F1275" t="str">
            <v>Primary</v>
          </cell>
        </row>
        <row r="1276">
          <cell r="A1276">
            <v>2076348</v>
          </cell>
          <cell r="B1276">
            <v>100537</v>
          </cell>
          <cell r="C1276" t="str">
            <v>Ashbourne Independent School</v>
          </cell>
          <cell r="D1276" t="str">
            <v>Kensington and Chelsea</v>
          </cell>
          <cell r="E1276" t="str">
            <v>Other Independent School</v>
          </cell>
          <cell r="F1276" t="str">
            <v>Not applicable</v>
          </cell>
        </row>
        <row r="1277">
          <cell r="A1277">
            <v>8306011</v>
          </cell>
          <cell r="B1277">
            <v>113011</v>
          </cell>
          <cell r="C1277" t="str">
            <v>Ashbourne PNEU School</v>
          </cell>
          <cell r="D1277" t="str">
            <v>Derbyshire</v>
          </cell>
          <cell r="E1277" t="str">
            <v>Other Independent School</v>
          </cell>
          <cell r="F1277" t="str">
            <v>Not applicable</v>
          </cell>
        </row>
        <row r="1278">
          <cell r="A1278">
            <v>8886027</v>
          </cell>
          <cell r="B1278">
            <v>119854</v>
          </cell>
          <cell r="C1278" t="str">
            <v>Ashbridge Independent School</v>
          </cell>
          <cell r="D1278" t="str">
            <v>Lancashire</v>
          </cell>
          <cell r="E1278" t="str">
            <v>Other Independent School</v>
          </cell>
          <cell r="F1278" t="str">
            <v>Not applicable</v>
          </cell>
        </row>
        <row r="1279">
          <cell r="A1279">
            <v>8302338</v>
          </cell>
          <cell r="B1279">
            <v>112688</v>
          </cell>
          <cell r="C1279" t="str">
            <v>Ashbrook Infant School</v>
          </cell>
          <cell r="D1279" t="str">
            <v>Derbyshire</v>
          </cell>
          <cell r="E1279" t="str">
            <v>Community School</v>
          </cell>
          <cell r="F1279" t="str">
            <v>Primary</v>
          </cell>
        </row>
        <row r="1280">
          <cell r="A1280">
            <v>8302185</v>
          </cell>
          <cell r="B1280">
            <v>112602</v>
          </cell>
          <cell r="C1280" t="str">
            <v>Ashbrook Junior School</v>
          </cell>
          <cell r="D1280" t="str">
            <v>Derbyshire</v>
          </cell>
          <cell r="E1280" t="str">
            <v>Community School</v>
          </cell>
          <cell r="F1280" t="str">
            <v>Primary</v>
          </cell>
        </row>
        <row r="1281">
          <cell r="A1281">
            <v>8262326</v>
          </cell>
          <cell r="B1281">
            <v>110384</v>
          </cell>
          <cell r="C1281" t="str">
            <v>Ashbrook School</v>
          </cell>
          <cell r="D1281" t="str">
            <v>Milton Keynes</v>
          </cell>
          <cell r="E1281" t="str">
            <v>Community School</v>
          </cell>
          <cell r="F1281" t="str">
            <v>Primary</v>
          </cell>
        </row>
        <row r="1282">
          <cell r="A1282">
            <v>8026004</v>
          </cell>
          <cell r="B1282">
            <v>109364</v>
          </cell>
          <cell r="C1282" t="str">
            <v>Ashbrooke House School</v>
          </cell>
          <cell r="D1282" t="str">
            <v>North Somerset</v>
          </cell>
          <cell r="E1282" t="str">
            <v>Other Independent School</v>
          </cell>
          <cell r="F1282" t="str">
            <v>Not applicable</v>
          </cell>
        </row>
        <row r="1283">
          <cell r="A1283">
            <v>3822043</v>
          </cell>
          <cell r="B1283">
            <v>107628</v>
          </cell>
          <cell r="C1283" t="str">
            <v>Ashbrow Infant and Nursery School</v>
          </cell>
          <cell r="D1283" t="str">
            <v>Kirklees</v>
          </cell>
          <cell r="E1283" t="str">
            <v>Community School</v>
          </cell>
          <cell r="F1283" t="str">
            <v>Primary</v>
          </cell>
        </row>
        <row r="1284">
          <cell r="A1284">
            <v>3822042</v>
          </cell>
          <cell r="B1284">
            <v>107627</v>
          </cell>
          <cell r="C1284" t="str">
            <v>Ashbrow Junior School</v>
          </cell>
          <cell r="D1284" t="str">
            <v>Kirklees</v>
          </cell>
          <cell r="E1284" t="str">
            <v>Community School</v>
          </cell>
          <cell r="F1284" t="str">
            <v>Primary</v>
          </cell>
        </row>
        <row r="1285">
          <cell r="A1285">
            <v>2072021</v>
          </cell>
          <cell r="B1285">
            <v>100477</v>
          </cell>
          <cell r="C1285" t="str">
            <v>Ashburnham Community School</v>
          </cell>
          <cell r="D1285" t="str">
            <v>Kensington and Chelsea</v>
          </cell>
          <cell r="E1285" t="str">
            <v>Community School</v>
          </cell>
          <cell r="F1285" t="str">
            <v>Primary</v>
          </cell>
        </row>
        <row r="1286">
          <cell r="A1286">
            <v>3064034</v>
          </cell>
          <cell r="B1286">
            <v>101808</v>
          </cell>
          <cell r="C1286" t="str">
            <v>Ashburton Community School</v>
          </cell>
          <cell r="D1286" t="str">
            <v>Croydon</v>
          </cell>
          <cell r="E1286" t="str">
            <v>Community School</v>
          </cell>
          <cell r="F1286" t="str">
            <v>Secondary</v>
          </cell>
        </row>
        <row r="1287">
          <cell r="A1287">
            <v>3062001</v>
          </cell>
          <cell r="B1287">
            <v>101710</v>
          </cell>
          <cell r="C1287" t="str">
            <v>Ashburton Infant School</v>
          </cell>
          <cell r="D1287" t="str">
            <v>Croydon</v>
          </cell>
          <cell r="E1287" t="str">
            <v>Community School</v>
          </cell>
          <cell r="F1287" t="str">
            <v>Primary</v>
          </cell>
        </row>
        <row r="1288">
          <cell r="A1288">
            <v>3062000</v>
          </cell>
          <cell r="B1288">
            <v>101709</v>
          </cell>
          <cell r="C1288" t="str">
            <v>Ashburton Junior School</v>
          </cell>
          <cell r="D1288" t="str">
            <v>Croydon</v>
          </cell>
          <cell r="E1288" t="str">
            <v>Community School</v>
          </cell>
          <cell r="F1288" t="str">
            <v>Primary</v>
          </cell>
        </row>
        <row r="1289">
          <cell r="A1289">
            <v>8782401</v>
          </cell>
          <cell r="B1289">
            <v>113184</v>
          </cell>
          <cell r="C1289" t="str">
            <v>Ashburton Primary School</v>
          </cell>
          <cell r="D1289" t="str">
            <v>Devon</v>
          </cell>
          <cell r="E1289" t="str">
            <v>Community School</v>
          </cell>
          <cell r="F1289" t="str">
            <v>Primary</v>
          </cell>
        </row>
        <row r="1290">
          <cell r="A1290">
            <v>8782401</v>
          </cell>
          <cell r="B1290">
            <v>136561</v>
          </cell>
          <cell r="C1290" t="str">
            <v>Ashburton Primary School</v>
          </cell>
          <cell r="D1290" t="str">
            <v>Devon</v>
          </cell>
          <cell r="E1290" t="str">
            <v>Academy Converters</v>
          </cell>
          <cell r="F1290" t="str">
            <v>Primary</v>
          </cell>
        </row>
        <row r="1291">
          <cell r="A1291">
            <v>3522320</v>
          </cell>
          <cell r="B1291">
            <v>105479</v>
          </cell>
          <cell r="C1291" t="str">
            <v>Ashbury Community Primary School</v>
          </cell>
          <cell r="D1291" t="str">
            <v>Manchester</v>
          </cell>
          <cell r="E1291" t="str">
            <v>Community School</v>
          </cell>
          <cell r="F1291" t="str">
            <v>Primary</v>
          </cell>
        </row>
        <row r="1292">
          <cell r="A1292">
            <v>3522010</v>
          </cell>
          <cell r="B1292">
            <v>133770</v>
          </cell>
          <cell r="C1292" t="str">
            <v>Ashbury Meadow Primary School</v>
          </cell>
          <cell r="D1292" t="str">
            <v>Manchester</v>
          </cell>
          <cell r="E1292" t="str">
            <v>Community School</v>
          </cell>
          <cell r="F1292" t="str">
            <v>Primary</v>
          </cell>
        </row>
        <row r="1293">
          <cell r="A1293">
            <v>9313851</v>
          </cell>
          <cell r="B1293">
            <v>123220</v>
          </cell>
          <cell r="C1293" t="str">
            <v>Ashbury with Compton Beauchamp Church of England (A) Primary School</v>
          </cell>
          <cell r="D1293" t="str">
            <v>Oxfordshire</v>
          </cell>
          <cell r="E1293" t="str">
            <v>Voluntary Aided School</v>
          </cell>
          <cell r="F1293" t="str">
            <v>Primary</v>
          </cell>
        </row>
        <row r="1294">
          <cell r="A1294">
            <v>9282225</v>
          </cell>
          <cell r="B1294">
            <v>131671</v>
          </cell>
          <cell r="C1294" t="str">
            <v>Ashby Fields Primary School</v>
          </cell>
          <cell r="D1294" t="str">
            <v>Northamptonshire</v>
          </cell>
          <cell r="E1294" t="str">
            <v>Community School</v>
          </cell>
          <cell r="F1294" t="str">
            <v>Primary</v>
          </cell>
        </row>
        <row r="1295">
          <cell r="A1295">
            <v>8552321</v>
          </cell>
          <cell r="B1295">
            <v>120051</v>
          </cell>
          <cell r="C1295" t="str">
            <v>Ashby Hill Top Primary School</v>
          </cell>
          <cell r="D1295" t="str">
            <v>Leicestershire</v>
          </cell>
          <cell r="E1295" t="str">
            <v>Community School</v>
          </cell>
          <cell r="F1295" t="str">
            <v>Primary</v>
          </cell>
        </row>
        <row r="1296">
          <cell r="A1296">
            <v>8132128</v>
          </cell>
          <cell r="B1296">
            <v>117745</v>
          </cell>
          <cell r="C1296" t="str">
            <v>Ashby Infants' School</v>
          </cell>
          <cell r="D1296" t="str">
            <v>North Lincolnshire</v>
          </cell>
          <cell r="E1296" t="str">
            <v>Community School</v>
          </cell>
          <cell r="F1296" t="str">
            <v>Primary</v>
          </cell>
        </row>
        <row r="1297">
          <cell r="A1297">
            <v>9202127</v>
          </cell>
          <cell r="B1297">
            <v>129192</v>
          </cell>
          <cell r="C1297" t="str">
            <v>Ashby Junior School</v>
          </cell>
          <cell r="D1297" t="str">
            <v>Pre LGR (1996) Humberside</v>
          </cell>
          <cell r="E1297" t="str">
            <v>Community School</v>
          </cell>
          <cell r="F1297" t="str">
            <v>Primary</v>
          </cell>
        </row>
        <row r="1298">
          <cell r="A1298">
            <v>2082875</v>
          </cell>
          <cell r="B1298">
            <v>100606</v>
          </cell>
          <cell r="C1298" t="str">
            <v>Ashby Mill Primary School</v>
          </cell>
          <cell r="D1298" t="str">
            <v>Lambeth</v>
          </cell>
          <cell r="E1298" t="str">
            <v>Community School</v>
          </cell>
          <cell r="F1298" t="str">
            <v>Primary</v>
          </cell>
        </row>
        <row r="1299">
          <cell r="A1299">
            <v>8554508</v>
          </cell>
          <cell r="B1299">
            <v>120303</v>
          </cell>
          <cell r="C1299" t="str">
            <v>Ashby School</v>
          </cell>
          <cell r="D1299" t="str">
            <v>Leicestershire</v>
          </cell>
          <cell r="E1299" t="str">
            <v>Voluntary Controlled School</v>
          </cell>
          <cell r="F1299" t="str">
            <v>Secondary</v>
          </cell>
        </row>
        <row r="1300">
          <cell r="A1300">
            <v>8553212</v>
          </cell>
          <cell r="B1300">
            <v>120190</v>
          </cell>
          <cell r="C1300" t="str">
            <v>Ashby-de-la-Zouch Church of England Primary School</v>
          </cell>
          <cell r="D1300" t="str">
            <v>Leicestershire</v>
          </cell>
          <cell r="E1300" t="str">
            <v>Voluntary Controlled School</v>
          </cell>
          <cell r="F1300" t="str">
            <v>Primary</v>
          </cell>
        </row>
        <row r="1301">
          <cell r="A1301">
            <v>9243003</v>
          </cell>
          <cell r="B1301">
            <v>129531</v>
          </cell>
          <cell r="C1301" t="str">
            <v>Ashby-de-la-Zouch CofE Infant School</v>
          </cell>
          <cell r="D1301" t="str">
            <v>Pre LGR (1997) Leicestershire</v>
          </cell>
          <cell r="E1301" t="str">
            <v>Voluntary Controlled School</v>
          </cell>
          <cell r="F1301" t="str">
            <v>Primary</v>
          </cell>
        </row>
        <row r="1302">
          <cell r="A1302">
            <v>9243002</v>
          </cell>
          <cell r="B1302">
            <v>129530</v>
          </cell>
          <cell r="C1302" t="str">
            <v>Ashby-De-La-Zouch CofE Junior School</v>
          </cell>
          <cell r="D1302" t="str">
            <v>Pre LGR (1997) Leicestershire</v>
          </cell>
          <cell r="E1302" t="str">
            <v>Voluntary Controlled School</v>
          </cell>
          <cell r="F1302" t="str">
            <v>Primary</v>
          </cell>
        </row>
        <row r="1303">
          <cell r="A1303">
            <v>9162040</v>
          </cell>
          <cell r="B1303">
            <v>115500</v>
          </cell>
          <cell r="C1303" t="str">
            <v>Ashchurch Primary School</v>
          </cell>
          <cell r="D1303" t="str">
            <v>Gloucestershire</v>
          </cell>
          <cell r="E1303" t="str">
            <v>Community School</v>
          </cell>
          <cell r="F1303" t="str">
            <v>Primary</v>
          </cell>
        </row>
        <row r="1304">
          <cell r="A1304">
            <v>8022277</v>
          </cell>
          <cell r="B1304">
            <v>109096</v>
          </cell>
          <cell r="C1304" t="str">
            <v>Ashcombe Primary School</v>
          </cell>
          <cell r="D1304" t="str">
            <v>North Somerset</v>
          </cell>
          <cell r="E1304" t="str">
            <v>Community School</v>
          </cell>
          <cell r="F1304" t="str">
            <v>Primary</v>
          </cell>
        </row>
        <row r="1305">
          <cell r="A1305">
            <v>9332150</v>
          </cell>
          <cell r="B1305">
            <v>123678</v>
          </cell>
          <cell r="C1305" t="str">
            <v>Ashcott Primary School</v>
          </cell>
          <cell r="D1305" t="str">
            <v>Somerset</v>
          </cell>
          <cell r="E1305" t="str">
            <v>Community School</v>
          </cell>
          <cell r="F1305" t="str">
            <v>Primary</v>
          </cell>
        </row>
        <row r="1306">
          <cell r="A1306">
            <v>8215403</v>
          </cell>
          <cell r="B1306">
            <v>109707</v>
          </cell>
          <cell r="C1306" t="str">
            <v>Ashcroft High School</v>
          </cell>
          <cell r="D1306" t="str">
            <v>Luton</v>
          </cell>
          <cell r="E1306" t="str">
            <v>Foundation School</v>
          </cell>
          <cell r="F1306" t="str">
            <v>Secondary</v>
          </cell>
        </row>
        <row r="1307">
          <cell r="A1307">
            <v>8602322</v>
          </cell>
          <cell r="B1307">
            <v>124147</v>
          </cell>
          <cell r="C1307" t="str">
            <v>Ashcroft Infants' School</v>
          </cell>
          <cell r="D1307" t="str">
            <v>Staffordshire</v>
          </cell>
          <cell r="E1307" t="str">
            <v>Community School</v>
          </cell>
          <cell r="F1307" t="str">
            <v>Primary</v>
          </cell>
        </row>
        <row r="1308">
          <cell r="A1308">
            <v>2126905</v>
          </cell>
          <cell r="B1308">
            <v>135316</v>
          </cell>
          <cell r="C1308" t="str">
            <v>Ashcroft Technology Academy</v>
          </cell>
          <cell r="D1308" t="str">
            <v>Wandsworth</v>
          </cell>
          <cell r="E1308" t="str">
            <v>Academy Sponsor Led</v>
          </cell>
          <cell r="F1308" t="str">
            <v>Secondary</v>
          </cell>
        </row>
        <row r="1309">
          <cell r="A1309">
            <v>8061102</v>
          </cell>
          <cell r="B1309">
            <v>134346</v>
          </cell>
          <cell r="C1309" t="str">
            <v>Ashdale</v>
          </cell>
          <cell r="D1309" t="str">
            <v>Middlesbrough</v>
          </cell>
          <cell r="E1309" t="str">
            <v>Pupil Referral Unit</v>
          </cell>
          <cell r="F1309" t="str">
            <v>PRU</v>
          </cell>
        </row>
        <row r="1310">
          <cell r="A1310">
            <v>3736000</v>
          </cell>
          <cell r="B1310">
            <v>107161</v>
          </cell>
          <cell r="C1310" t="str">
            <v>Ashdell Preparatory School</v>
          </cell>
          <cell r="D1310" t="str">
            <v>Sheffield</v>
          </cell>
          <cell r="E1310" t="str">
            <v>Other Independent School</v>
          </cell>
          <cell r="F1310" t="str">
            <v>Not applicable</v>
          </cell>
        </row>
        <row r="1311">
          <cell r="A1311">
            <v>9062321</v>
          </cell>
          <cell r="B1311">
            <v>128434</v>
          </cell>
          <cell r="C1311" t="str">
            <v>Ashdene County Infant School</v>
          </cell>
          <cell r="D1311" t="str">
            <v>Pre LGR (1998) Cheshire</v>
          </cell>
          <cell r="E1311" t="str">
            <v>Community School</v>
          </cell>
          <cell r="F1311" t="str">
            <v>Primary</v>
          </cell>
        </row>
        <row r="1312">
          <cell r="A1312">
            <v>9062135</v>
          </cell>
          <cell r="B1312">
            <v>128400</v>
          </cell>
          <cell r="C1312" t="str">
            <v>Ashdene County Junior School</v>
          </cell>
          <cell r="D1312" t="str">
            <v>Pre LGR (1998) Cheshire</v>
          </cell>
          <cell r="E1312" t="str">
            <v>Community School</v>
          </cell>
          <cell r="F1312" t="str">
            <v>Primary</v>
          </cell>
        </row>
        <row r="1313">
          <cell r="A1313">
            <v>8952710</v>
          </cell>
          <cell r="B1313">
            <v>111227</v>
          </cell>
          <cell r="C1313" t="str">
            <v>Ashdene Primary School</v>
          </cell>
          <cell r="D1313" t="str">
            <v>Cheshire East</v>
          </cell>
          <cell r="E1313" t="str">
            <v>Community School</v>
          </cell>
          <cell r="F1313" t="str">
            <v>Primary</v>
          </cell>
        </row>
        <row r="1314">
          <cell r="A1314">
            <v>8812710</v>
          </cell>
          <cell r="B1314">
            <v>114964</v>
          </cell>
          <cell r="C1314" t="str">
            <v>Ashdon Primary School</v>
          </cell>
          <cell r="D1314" t="str">
            <v>Essex</v>
          </cell>
          <cell r="E1314" t="str">
            <v>Community School</v>
          </cell>
          <cell r="F1314" t="str">
            <v>Primary</v>
          </cell>
        </row>
        <row r="1315">
          <cell r="A1315">
            <v>8456001</v>
          </cell>
          <cell r="B1315">
            <v>114624</v>
          </cell>
          <cell r="C1315" t="str">
            <v>Ashdown House School</v>
          </cell>
          <cell r="D1315" t="str">
            <v>East Sussex</v>
          </cell>
          <cell r="E1315" t="str">
            <v>Other Independent School</v>
          </cell>
          <cell r="F1315" t="str">
            <v>Not applicable</v>
          </cell>
        </row>
        <row r="1316">
          <cell r="A1316">
            <v>8364112</v>
          </cell>
          <cell r="B1316">
            <v>113867</v>
          </cell>
          <cell r="C1316" t="str">
            <v>Ashdown Technology College</v>
          </cell>
          <cell r="D1316" t="str">
            <v>Poole</v>
          </cell>
          <cell r="E1316" t="str">
            <v>Community School</v>
          </cell>
          <cell r="F1316" t="str">
            <v>Secondary</v>
          </cell>
        </row>
        <row r="1317">
          <cell r="A1317">
            <v>9107022</v>
          </cell>
          <cell r="B1317">
            <v>113043</v>
          </cell>
          <cell r="C1317" t="str">
            <v>Ashe Hall School</v>
          </cell>
          <cell r="D1317" t="str">
            <v>Pre LGR (1997) Derbyshire</v>
          </cell>
          <cell r="E1317" t="str">
            <v>Community Special School</v>
          </cell>
          <cell r="F1317" t="str">
            <v>Special</v>
          </cell>
        </row>
        <row r="1318">
          <cell r="A1318">
            <v>8914009</v>
          </cell>
          <cell r="B1318">
            <v>122827</v>
          </cell>
          <cell r="C1318" t="str">
            <v>Ashfield Comprehensive School</v>
          </cell>
          <cell r="D1318" t="str">
            <v>Nottinghamshire</v>
          </cell>
          <cell r="E1318" t="str">
            <v>Foundation School</v>
          </cell>
          <cell r="F1318" t="str">
            <v>Secondary</v>
          </cell>
        </row>
        <row r="1319">
          <cell r="A1319">
            <v>9092147</v>
          </cell>
          <cell r="B1319">
            <v>112146</v>
          </cell>
          <cell r="C1319" t="str">
            <v>Ashfield Infants' School</v>
          </cell>
          <cell r="D1319" t="str">
            <v>Cumbria</v>
          </cell>
          <cell r="E1319" t="str">
            <v>Community School</v>
          </cell>
          <cell r="F1319" t="str">
            <v>Primary</v>
          </cell>
        </row>
        <row r="1320">
          <cell r="A1320">
            <v>9092148</v>
          </cell>
          <cell r="B1320">
            <v>112147</v>
          </cell>
          <cell r="C1320" t="str">
            <v>Ashfield Junior School</v>
          </cell>
          <cell r="D1320" t="str">
            <v>Cumbria</v>
          </cell>
          <cell r="E1320" t="str">
            <v>Community School</v>
          </cell>
          <cell r="F1320" t="str">
            <v>Primary</v>
          </cell>
        </row>
        <row r="1321">
          <cell r="A1321">
            <v>9193012</v>
          </cell>
          <cell r="B1321">
            <v>117391</v>
          </cell>
          <cell r="C1321" t="str">
            <v>Ashfield Junior School</v>
          </cell>
          <cell r="D1321" t="str">
            <v>Hertfordshire</v>
          </cell>
          <cell r="E1321" t="str">
            <v>Voluntary Controlled School</v>
          </cell>
          <cell r="F1321" t="str">
            <v>Primary</v>
          </cell>
        </row>
        <row r="1322">
          <cell r="A1322">
            <v>3911000</v>
          </cell>
          <cell r="B1322">
            <v>108427</v>
          </cell>
          <cell r="C1322" t="str">
            <v>Ashfield Nursery School</v>
          </cell>
          <cell r="D1322" t="str">
            <v>Newcastle upon Tyne</v>
          </cell>
          <cell r="E1322" t="str">
            <v>LA Nursery School</v>
          </cell>
          <cell r="F1322" t="str">
            <v>Nursery</v>
          </cell>
        </row>
        <row r="1323">
          <cell r="A1323">
            <v>8842138</v>
          </cell>
          <cell r="B1323">
            <v>116731</v>
          </cell>
          <cell r="C1323" t="str">
            <v>Ashfield Park Primary School</v>
          </cell>
          <cell r="D1323" t="str">
            <v>Herefordshire</v>
          </cell>
          <cell r="E1323" t="str">
            <v>Community School</v>
          </cell>
          <cell r="F1323" t="str">
            <v>Primary</v>
          </cell>
        </row>
        <row r="1324">
          <cell r="A1324">
            <v>3832401</v>
          </cell>
          <cell r="B1324">
            <v>107877</v>
          </cell>
          <cell r="C1324" t="str">
            <v>Ashfield Primary School</v>
          </cell>
          <cell r="D1324" t="str">
            <v>Leeds</v>
          </cell>
          <cell r="E1324" t="str">
            <v>Community School</v>
          </cell>
          <cell r="F1324" t="str">
            <v>Primary</v>
          </cell>
        </row>
        <row r="1325">
          <cell r="A1325">
            <v>3417064</v>
          </cell>
          <cell r="B1325">
            <v>104754</v>
          </cell>
          <cell r="C1325" t="str">
            <v>Ashfield School</v>
          </cell>
          <cell r="D1325" t="str">
            <v>Liverpool</v>
          </cell>
          <cell r="E1325" t="str">
            <v>Community Special School</v>
          </cell>
          <cell r="F1325" t="str">
            <v>Special</v>
          </cell>
        </row>
        <row r="1326">
          <cell r="A1326">
            <v>3807027</v>
          </cell>
          <cell r="B1326">
            <v>107474</v>
          </cell>
          <cell r="C1326" t="str">
            <v>Ashfield School</v>
          </cell>
          <cell r="D1326" t="str">
            <v>Bradford</v>
          </cell>
          <cell r="E1326" t="str">
            <v>Community Special School</v>
          </cell>
          <cell r="F1326" t="str">
            <v>Special</v>
          </cell>
        </row>
        <row r="1327">
          <cell r="A1327">
            <v>3832362</v>
          </cell>
          <cell r="B1327">
            <v>127904</v>
          </cell>
          <cell r="C1327" t="str">
            <v>Ashfield School</v>
          </cell>
          <cell r="D1327" t="str">
            <v>Leeds</v>
          </cell>
          <cell r="E1327" t="str">
            <v>Community School</v>
          </cell>
          <cell r="F1327" t="str">
            <v>Primary</v>
          </cell>
        </row>
        <row r="1328">
          <cell r="A1328">
            <v>3542032</v>
          </cell>
          <cell r="B1328">
            <v>105783</v>
          </cell>
          <cell r="C1328" t="str">
            <v>Ashfield Valley Primary School</v>
          </cell>
          <cell r="D1328" t="str">
            <v>Rochdale</v>
          </cell>
          <cell r="E1328" t="str">
            <v>Community School</v>
          </cell>
          <cell r="F1328" t="str">
            <v>Primary</v>
          </cell>
        </row>
        <row r="1329">
          <cell r="A1329">
            <v>8256003</v>
          </cell>
          <cell r="B1329">
            <v>110563</v>
          </cell>
          <cell r="C1329" t="str">
            <v>Ashfold School</v>
          </cell>
          <cell r="D1329" t="str">
            <v>Buckinghamshire</v>
          </cell>
          <cell r="E1329" t="str">
            <v>Other Independent School</v>
          </cell>
          <cell r="F1329" t="str">
            <v>Not applicable</v>
          </cell>
        </row>
        <row r="1330">
          <cell r="A1330">
            <v>8933005</v>
          </cell>
          <cell r="B1330">
            <v>123459</v>
          </cell>
          <cell r="C1330" t="str">
            <v>Ashford Carbonell CofE Primary School</v>
          </cell>
          <cell r="D1330" t="str">
            <v>Shropshire</v>
          </cell>
          <cell r="E1330" t="str">
            <v>Voluntary Controlled School</v>
          </cell>
          <cell r="F1330" t="str">
            <v>Primary</v>
          </cell>
        </row>
        <row r="1331">
          <cell r="A1331">
            <v>8864632</v>
          </cell>
          <cell r="B1331">
            <v>118845</v>
          </cell>
          <cell r="C1331" t="str">
            <v>Ashford Christ Church Church of England Maths &amp; Computing Specialist College</v>
          </cell>
          <cell r="D1331" t="str">
            <v>Kent</v>
          </cell>
          <cell r="E1331" t="str">
            <v>Voluntary Aided School</v>
          </cell>
          <cell r="F1331" t="str">
            <v>Secondary</v>
          </cell>
        </row>
        <row r="1332">
          <cell r="A1332">
            <v>9363580</v>
          </cell>
          <cell r="B1332">
            <v>125228</v>
          </cell>
          <cell r="C1332" t="str">
            <v>Ashford CofE Primary School</v>
          </cell>
          <cell r="D1332" t="str">
            <v>Surrey</v>
          </cell>
          <cell r="E1332" t="str">
            <v>Voluntary Aided School</v>
          </cell>
          <cell r="F1332" t="str">
            <v>Primary</v>
          </cell>
        </row>
        <row r="1333">
          <cell r="A1333">
            <v>9103302</v>
          </cell>
          <cell r="B1333">
            <v>128629</v>
          </cell>
          <cell r="C1333" t="str">
            <v>Ashford CofE Primary School</v>
          </cell>
          <cell r="D1333" t="str">
            <v>Pre LGR (1997) Derbyshire</v>
          </cell>
          <cell r="E1333" t="str">
            <v>Voluntary Aided School</v>
          </cell>
          <cell r="F1333" t="str">
            <v>Primary</v>
          </cell>
        </row>
        <row r="1334">
          <cell r="A1334">
            <v>8868236</v>
          </cell>
          <cell r="B1334">
            <v>133037</v>
          </cell>
          <cell r="C1334" t="str">
            <v>Ashford College of Further Education</v>
          </cell>
          <cell r="D1334" t="str">
            <v>Kent</v>
          </cell>
          <cell r="E1334" t="str">
            <v>Miscellaneous</v>
          </cell>
          <cell r="F1334" t="str">
            <v>Not applicable</v>
          </cell>
        </row>
        <row r="1335">
          <cell r="A1335">
            <v>8866027</v>
          </cell>
          <cell r="B1335">
            <v>118968</v>
          </cell>
          <cell r="C1335" t="str">
            <v>Ashford Friars Prep School</v>
          </cell>
          <cell r="D1335" t="str">
            <v>Kent</v>
          </cell>
          <cell r="E1335" t="str">
            <v>Other Independent School</v>
          </cell>
          <cell r="F1335" t="str">
            <v>Not applicable</v>
          </cell>
        </row>
        <row r="1336">
          <cell r="A1336">
            <v>8502119</v>
          </cell>
          <cell r="B1336">
            <v>115921</v>
          </cell>
          <cell r="C1336" t="str">
            <v>Ashford Hill Primary School</v>
          </cell>
          <cell r="D1336" t="str">
            <v>Hampshire</v>
          </cell>
          <cell r="E1336" t="str">
            <v>Community School</v>
          </cell>
          <cell r="F1336" t="str">
            <v>Primary</v>
          </cell>
        </row>
        <row r="1337">
          <cell r="A1337">
            <v>8863909</v>
          </cell>
          <cell r="B1337">
            <v>135125</v>
          </cell>
          <cell r="C1337" t="str">
            <v>Ashford Oaks Community Primary School</v>
          </cell>
          <cell r="D1337" t="str">
            <v>Kent</v>
          </cell>
          <cell r="E1337" t="str">
            <v>Community School</v>
          </cell>
          <cell r="F1337" t="str">
            <v>Primary</v>
          </cell>
        </row>
        <row r="1338">
          <cell r="A1338">
            <v>9362937</v>
          </cell>
          <cell r="B1338">
            <v>125113</v>
          </cell>
          <cell r="C1338" t="str">
            <v>Ashford Park Primary School</v>
          </cell>
          <cell r="D1338" t="str">
            <v>Surrey</v>
          </cell>
          <cell r="E1338" t="str">
            <v>Community School</v>
          </cell>
          <cell r="F1338" t="str">
            <v>Primary</v>
          </cell>
        </row>
        <row r="1339">
          <cell r="A1339">
            <v>8866000</v>
          </cell>
          <cell r="B1339">
            <v>118937</v>
          </cell>
          <cell r="C1339" t="str">
            <v>Ashford School</v>
          </cell>
          <cell r="D1339" t="str">
            <v>Kent</v>
          </cell>
          <cell r="E1339" t="str">
            <v>Other Independent School</v>
          </cell>
          <cell r="F1339" t="str">
            <v>Not applicable</v>
          </cell>
        </row>
        <row r="1340">
          <cell r="A1340">
            <v>8862273</v>
          </cell>
          <cell r="B1340">
            <v>118368</v>
          </cell>
          <cell r="C1340" t="str">
            <v>Ashford South Community Primary School</v>
          </cell>
          <cell r="D1340" t="str">
            <v>Kent</v>
          </cell>
          <cell r="E1340" t="str">
            <v>Community School</v>
          </cell>
          <cell r="F1340" t="str">
            <v>Primary</v>
          </cell>
        </row>
        <row r="1341">
          <cell r="A1341">
            <v>8863340</v>
          </cell>
          <cell r="B1341">
            <v>118738</v>
          </cell>
          <cell r="C1341" t="str">
            <v>Ashford, St Mary's Church of England Primary School</v>
          </cell>
          <cell r="D1341" t="str">
            <v>Kent</v>
          </cell>
          <cell r="E1341" t="str">
            <v>Voluntary Aided School</v>
          </cell>
          <cell r="F1341" t="str">
            <v>Primary</v>
          </cell>
        </row>
        <row r="1342">
          <cell r="A1342">
            <v>8307006</v>
          </cell>
          <cell r="B1342">
            <v>113032</v>
          </cell>
          <cell r="C1342" t="str">
            <v>Ashgate Croft School</v>
          </cell>
          <cell r="D1342" t="str">
            <v>Derbyshire</v>
          </cell>
          <cell r="E1342" t="str">
            <v>Community Special School</v>
          </cell>
          <cell r="F1342" t="str">
            <v>Special</v>
          </cell>
        </row>
        <row r="1343">
          <cell r="A1343">
            <v>8312402</v>
          </cell>
          <cell r="B1343">
            <v>112714</v>
          </cell>
          <cell r="C1343" t="str">
            <v>Ashgate Infant School</v>
          </cell>
          <cell r="D1343" t="str">
            <v>Derby</v>
          </cell>
          <cell r="E1343" t="str">
            <v>Community School</v>
          </cell>
          <cell r="F1343" t="str">
            <v>Primary</v>
          </cell>
        </row>
        <row r="1344">
          <cell r="A1344">
            <v>8312401</v>
          </cell>
          <cell r="B1344">
            <v>112713</v>
          </cell>
          <cell r="C1344" t="str">
            <v>Ashgate Junior School</v>
          </cell>
          <cell r="D1344" t="str">
            <v>Derby</v>
          </cell>
          <cell r="E1344" t="str">
            <v>Community School</v>
          </cell>
          <cell r="F1344" t="str">
            <v>Primary</v>
          </cell>
        </row>
        <row r="1345">
          <cell r="A1345">
            <v>8311014</v>
          </cell>
          <cell r="B1345">
            <v>112479</v>
          </cell>
          <cell r="C1345" t="str">
            <v>Ashgate Nursery School</v>
          </cell>
          <cell r="D1345" t="str">
            <v>Derby</v>
          </cell>
          <cell r="E1345" t="str">
            <v>LA Nursery School</v>
          </cell>
          <cell r="F1345" t="str">
            <v>Nursery</v>
          </cell>
        </row>
        <row r="1346">
          <cell r="A1346">
            <v>8312005</v>
          </cell>
          <cell r="B1346">
            <v>131685</v>
          </cell>
          <cell r="C1346" t="str">
            <v>Ashgate Primary School</v>
          </cell>
          <cell r="D1346" t="str">
            <v>Derby</v>
          </cell>
          <cell r="E1346" t="str">
            <v>Community School</v>
          </cell>
          <cell r="F1346" t="str">
            <v>Primary</v>
          </cell>
        </row>
        <row r="1347">
          <cell r="A1347">
            <v>3527749</v>
          </cell>
          <cell r="B1347">
            <v>127802</v>
          </cell>
          <cell r="C1347" t="str">
            <v>Ashgate Specialist Support Primary School</v>
          </cell>
          <cell r="D1347" t="str">
            <v>Manchester</v>
          </cell>
          <cell r="E1347" t="str">
            <v>Community Special School</v>
          </cell>
          <cell r="F1347" t="str">
            <v>Special</v>
          </cell>
        </row>
        <row r="1348">
          <cell r="A1348">
            <v>6737018</v>
          </cell>
          <cell r="B1348">
            <v>401918</v>
          </cell>
          <cell r="C1348" t="str">
            <v>Ashgrove School</v>
          </cell>
          <cell r="D1348" t="str">
            <v>The Vale of Glamorgan</v>
          </cell>
          <cell r="E1348" t="str">
            <v>Welsh Establishment</v>
          </cell>
          <cell r="F1348" t="str">
            <v>Not applicable</v>
          </cell>
        </row>
        <row r="1349">
          <cell r="A1349">
            <v>3056075</v>
          </cell>
          <cell r="B1349">
            <v>101694</v>
          </cell>
          <cell r="C1349" t="str">
            <v>Ashgrove School Ltd</v>
          </cell>
          <cell r="D1349" t="str">
            <v>Bromley</v>
          </cell>
          <cell r="E1349" t="str">
            <v>Other Independent School</v>
          </cell>
          <cell r="F1349" t="str">
            <v>Not applicable</v>
          </cell>
        </row>
        <row r="1350">
          <cell r="A1350">
            <v>9332001</v>
          </cell>
          <cell r="B1350">
            <v>123639</v>
          </cell>
          <cell r="C1350" t="str">
            <v>Ashill Community Primary School</v>
          </cell>
          <cell r="D1350" t="str">
            <v>Somerset</v>
          </cell>
          <cell r="E1350" t="str">
            <v>Community School</v>
          </cell>
          <cell r="F1350" t="str">
            <v>Primary</v>
          </cell>
        </row>
        <row r="1351">
          <cell r="A1351">
            <v>9263003</v>
          </cell>
          <cell r="B1351">
            <v>121026</v>
          </cell>
          <cell r="C1351" t="str">
            <v>Ashill Voluntary Controlled Primary School</v>
          </cell>
          <cell r="D1351" t="str">
            <v>Norfolk</v>
          </cell>
          <cell r="E1351" t="str">
            <v>Voluntary Controlled School</v>
          </cell>
          <cell r="F1351" t="str">
            <v>Primary</v>
          </cell>
        </row>
        <row r="1352">
          <cell r="A1352">
            <v>8815235</v>
          </cell>
          <cell r="B1352">
            <v>115275</v>
          </cell>
          <cell r="C1352" t="str">
            <v>Ashingdon School</v>
          </cell>
          <cell r="D1352" t="str">
            <v>Essex</v>
          </cell>
          <cell r="E1352" t="str">
            <v>Foundation School</v>
          </cell>
          <cell r="F1352" t="str">
            <v>Primary</v>
          </cell>
        </row>
        <row r="1353">
          <cell r="A1353">
            <v>8815235</v>
          </cell>
          <cell r="B1353">
            <v>137378</v>
          </cell>
          <cell r="C1353" t="str">
            <v>Ashingdon School</v>
          </cell>
          <cell r="D1353" t="str">
            <v>Essex</v>
          </cell>
          <cell r="E1353" t="str">
            <v>Academy Converters</v>
          </cell>
          <cell r="F1353" t="str">
            <v>Primary</v>
          </cell>
        </row>
        <row r="1354">
          <cell r="A1354">
            <v>9292028</v>
          </cell>
          <cell r="B1354">
            <v>122175</v>
          </cell>
          <cell r="C1354" t="str">
            <v>Ashington Alexandra First School</v>
          </cell>
          <cell r="D1354" t="str">
            <v>Northumberland</v>
          </cell>
          <cell r="E1354" t="str">
            <v>Community School</v>
          </cell>
          <cell r="F1354" t="str">
            <v>Primary</v>
          </cell>
        </row>
        <row r="1355">
          <cell r="A1355">
            <v>9294225</v>
          </cell>
          <cell r="B1355">
            <v>122343</v>
          </cell>
          <cell r="C1355" t="str">
            <v>Ashington Alexandra Middle School</v>
          </cell>
          <cell r="D1355" t="str">
            <v>Northumberland</v>
          </cell>
          <cell r="E1355" t="str">
            <v>Community School</v>
          </cell>
          <cell r="F1355" t="str">
            <v>Middle Deemed Secondary</v>
          </cell>
        </row>
        <row r="1356">
          <cell r="A1356">
            <v>9292531</v>
          </cell>
          <cell r="B1356">
            <v>131021</v>
          </cell>
          <cell r="C1356" t="str">
            <v>Ashington Central First School</v>
          </cell>
          <cell r="D1356" t="str">
            <v>Northumberland</v>
          </cell>
          <cell r="E1356" t="str">
            <v>Foundation School</v>
          </cell>
          <cell r="F1356" t="str">
            <v>Primary</v>
          </cell>
        </row>
        <row r="1357">
          <cell r="A1357">
            <v>9383001</v>
          </cell>
          <cell r="B1357">
            <v>125971</v>
          </cell>
          <cell r="C1357" t="str">
            <v>Ashington CofE First School</v>
          </cell>
          <cell r="D1357" t="str">
            <v>West Sussex</v>
          </cell>
          <cell r="E1357" t="str">
            <v>Voluntary Controlled School</v>
          </cell>
          <cell r="F1357" t="str">
            <v>Primary</v>
          </cell>
        </row>
        <row r="1358">
          <cell r="A1358">
            <v>9294415</v>
          </cell>
          <cell r="B1358">
            <v>122355</v>
          </cell>
          <cell r="C1358" t="str">
            <v>Ashington Community High School</v>
          </cell>
          <cell r="D1358" t="str">
            <v>Northumberland</v>
          </cell>
          <cell r="E1358" t="str">
            <v>Foundation School</v>
          </cell>
          <cell r="F1358" t="str">
            <v>Secondary</v>
          </cell>
        </row>
        <row r="1359">
          <cell r="A1359">
            <v>9292384</v>
          </cell>
          <cell r="B1359">
            <v>122252</v>
          </cell>
          <cell r="C1359" t="str">
            <v>Ashington Hawthorn First School</v>
          </cell>
          <cell r="D1359" t="str">
            <v>Northumberland</v>
          </cell>
          <cell r="E1359" t="str">
            <v>Community School</v>
          </cell>
          <cell r="F1359" t="str">
            <v>Primary</v>
          </cell>
        </row>
        <row r="1360">
          <cell r="A1360">
            <v>9294290</v>
          </cell>
          <cell r="B1360">
            <v>122345</v>
          </cell>
          <cell r="C1360" t="str">
            <v>Ashington Hirst Park Middle School</v>
          </cell>
          <cell r="D1360" t="str">
            <v>Northumberland</v>
          </cell>
          <cell r="E1360" t="str">
            <v>Foundation School</v>
          </cell>
          <cell r="F1360" t="str">
            <v>Middle Deemed Secondary</v>
          </cell>
        </row>
        <row r="1361">
          <cell r="A1361">
            <v>9292291</v>
          </cell>
          <cell r="B1361">
            <v>122239</v>
          </cell>
          <cell r="C1361" t="str">
            <v>Ashington Wansbeck First School</v>
          </cell>
          <cell r="D1361" t="str">
            <v>Northumberland</v>
          </cell>
          <cell r="E1361" t="str">
            <v>Foundation School</v>
          </cell>
          <cell r="F1361" t="str">
            <v>Primary</v>
          </cell>
        </row>
        <row r="1362">
          <cell r="A1362">
            <v>9333035</v>
          </cell>
          <cell r="B1362">
            <v>123749</v>
          </cell>
          <cell r="C1362" t="str">
            <v>Ashlands Church of England First School</v>
          </cell>
          <cell r="D1362" t="str">
            <v>Somerset</v>
          </cell>
          <cell r="E1362" t="str">
            <v>Voluntary Controlled School</v>
          </cell>
          <cell r="F1362" t="str">
            <v>Primary</v>
          </cell>
        </row>
        <row r="1363">
          <cell r="A1363">
            <v>3802150</v>
          </cell>
          <cell r="B1363">
            <v>107277</v>
          </cell>
          <cell r="C1363" t="str">
            <v>Ashlands Primary School</v>
          </cell>
          <cell r="D1363" t="str">
            <v>Bradford</v>
          </cell>
          <cell r="E1363" t="str">
            <v>Community School</v>
          </cell>
          <cell r="F1363" t="str">
            <v>Primary</v>
          </cell>
        </row>
        <row r="1364">
          <cell r="A1364">
            <v>9374241</v>
          </cell>
          <cell r="B1364">
            <v>125751</v>
          </cell>
          <cell r="C1364" t="str">
            <v>Ashlawn School</v>
          </cell>
          <cell r="D1364" t="str">
            <v>Warwickshire</v>
          </cell>
          <cell r="E1364" t="str">
            <v>Community School</v>
          </cell>
          <cell r="F1364" t="str">
            <v>Secondary</v>
          </cell>
        </row>
        <row r="1365">
          <cell r="A1365">
            <v>9374241</v>
          </cell>
          <cell r="B1365">
            <v>136587</v>
          </cell>
          <cell r="C1365" t="str">
            <v>Ashlawn School</v>
          </cell>
          <cell r="D1365" t="str">
            <v>Warwickshire</v>
          </cell>
          <cell r="E1365" t="str">
            <v>Academy Converters</v>
          </cell>
          <cell r="F1365" t="str">
            <v>Secondary</v>
          </cell>
        </row>
        <row r="1366">
          <cell r="A1366">
            <v>3576003</v>
          </cell>
          <cell r="B1366">
            <v>135975</v>
          </cell>
          <cell r="C1366" t="str">
            <v>Ashlea House School</v>
          </cell>
          <cell r="D1366" t="str">
            <v>Tameside</v>
          </cell>
          <cell r="E1366" t="str">
            <v>Other Independent School</v>
          </cell>
          <cell r="F1366" t="str">
            <v>Not applicable</v>
          </cell>
        </row>
        <row r="1367">
          <cell r="A1367">
            <v>8783070</v>
          </cell>
          <cell r="B1367">
            <v>113386</v>
          </cell>
          <cell r="C1367" t="str">
            <v>Ashleigh CofE (VC) Primary School</v>
          </cell>
          <cell r="D1367" t="str">
            <v>Devon</v>
          </cell>
          <cell r="E1367" t="str">
            <v>Voluntary Controlled School</v>
          </cell>
          <cell r="F1367" t="str">
            <v>Primary</v>
          </cell>
        </row>
        <row r="1368">
          <cell r="A1368">
            <v>9262281</v>
          </cell>
          <cell r="B1368">
            <v>120922</v>
          </cell>
          <cell r="C1368" t="str">
            <v>Ashleigh Infant and Nursery School, Wymondham</v>
          </cell>
          <cell r="D1368" t="str">
            <v>Norfolk</v>
          </cell>
          <cell r="E1368" t="str">
            <v>Community School</v>
          </cell>
          <cell r="F1368" t="str">
            <v>Primary</v>
          </cell>
        </row>
        <row r="1369">
          <cell r="A1369">
            <v>8895204</v>
          </cell>
          <cell r="B1369">
            <v>119200</v>
          </cell>
          <cell r="C1369" t="str">
            <v>Ashleigh Primary School</v>
          </cell>
          <cell r="D1369" t="str">
            <v>Blackburn with Darwen</v>
          </cell>
          <cell r="E1369" t="str">
            <v>Foundation School</v>
          </cell>
          <cell r="F1369" t="str">
            <v>Primary</v>
          </cell>
        </row>
        <row r="1370">
          <cell r="A1370">
            <v>3927003</v>
          </cell>
          <cell r="B1370">
            <v>108654</v>
          </cell>
          <cell r="C1370" t="str">
            <v>Ashleigh School</v>
          </cell>
          <cell r="D1370" t="str">
            <v>North Tyneside</v>
          </cell>
          <cell r="E1370" t="str">
            <v>Community Special School</v>
          </cell>
          <cell r="F1370" t="str">
            <v>Special</v>
          </cell>
        </row>
        <row r="1371">
          <cell r="A1371">
            <v>3734255</v>
          </cell>
          <cell r="B1371">
            <v>127724</v>
          </cell>
          <cell r="C1371" t="str">
            <v>Ashleigh School</v>
          </cell>
          <cell r="D1371" t="str">
            <v>Sheffield</v>
          </cell>
          <cell r="E1371" t="str">
            <v>Community School</v>
          </cell>
          <cell r="F1371" t="str">
            <v>Secondary</v>
          </cell>
        </row>
        <row r="1372">
          <cell r="A1372">
            <v>9163086</v>
          </cell>
          <cell r="B1372">
            <v>115663</v>
          </cell>
          <cell r="C1372" t="str">
            <v>Ashleworth Church of England Primary School</v>
          </cell>
          <cell r="D1372" t="str">
            <v>Gloucestershire</v>
          </cell>
          <cell r="E1372" t="str">
            <v>Voluntary Controlled School</v>
          </cell>
          <cell r="F1372" t="str">
            <v>Primary</v>
          </cell>
        </row>
        <row r="1373">
          <cell r="A1373">
            <v>9363930</v>
          </cell>
          <cell r="B1373">
            <v>131052</v>
          </cell>
          <cell r="C1373" t="str">
            <v>Ashley CofE Aided Primary School</v>
          </cell>
          <cell r="D1373" t="str">
            <v>Surrey</v>
          </cell>
          <cell r="E1373" t="str">
            <v>Voluntary Aided School</v>
          </cell>
          <cell r="F1373" t="str">
            <v>Primary</v>
          </cell>
        </row>
        <row r="1374">
          <cell r="A1374">
            <v>8753107</v>
          </cell>
          <cell r="B1374">
            <v>111250</v>
          </cell>
          <cell r="C1374" t="str">
            <v>Ashley CofE Primary School</v>
          </cell>
          <cell r="D1374" t="str">
            <v>Pre LGR (2009) Cheshire</v>
          </cell>
          <cell r="E1374" t="str">
            <v>Voluntary Controlled School</v>
          </cell>
          <cell r="F1374" t="str">
            <v>Primary</v>
          </cell>
        </row>
        <row r="1375">
          <cell r="A1375">
            <v>8012003</v>
          </cell>
          <cell r="B1375">
            <v>108911</v>
          </cell>
          <cell r="C1375" t="str">
            <v>Ashley Down Infant School</v>
          </cell>
          <cell r="D1375" t="str">
            <v>Bristol City of</v>
          </cell>
          <cell r="E1375" t="str">
            <v>Community School</v>
          </cell>
          <cell r="F1375" t="str">
            <v>Primary</v>
          </cell>
        </row>
        <row r="1376">
          <cell r="A1376">
            <v>8012001</v>
          </cell>
          <cell r="B1376">
            <v>108910</v>
          </cell>
          <cell r="C1376" t="str">
            <v>Ashley Down Primary School</v>
          </cell>
          <cell r="D1376" t="str">
            <v>Bristol City of</v>
          </cell>
          <cell r="E1376" t="str">
            <v>Community School</v>
          </cell>
          <cell r="F1376" t="str">
            <v>Primary</v>
          </cell>
        </row>
        <row r="1377">
          <cell r="A1377">
            <v>7052055</v>
          </cell>
          <cell r="B1377">
            <v>132454</v>
          </cell>
          <cell r="C1377" t="str">
            <v>Ashley Hill Primary School</v>
          </cell>
          <cell r="D1377" t="str">
            <v>Isle of Man Offshore Establishments</v>
          </cell>
          <cell r="E1377" t="str">
            <v>Offshore Schools</v>
          </cell>
          <cell r="F1377" t="str">
            <v>Not applicable</v>
          </cell>
        </row>
        <row r="1378">
          <cell r="A1378">
            <v>8502005</v>
          </cell>
          <cell r="B1378">
            <v>115855</v>
          </cell>
          <cell r="C1378" t="str">
            <v>Ashley Infant School</v>
          </cell>
          <cell r="D1378" t="str">
            <v>Hampshire</v>
          </cell>
          <cell r="E1378" t="str">
            <v>Community School</v>
          </cell>
          <cell r="F1378" t="str">
            <v>Primary</v>
          </cell>
        </row>
        <row r="1379">
          <cell r="A1379">
            <v>9362429</v>
          </cell>
          <cell r="B1379">
            <v>125057</v>
          </cell>
          <cell r="C1379" t="str">
            <v>Ashley Infant School</v>
          </cell>
          <cell r="D1379" t="str">
            <v>Surrey</v>
          </cell>
          <cell r="E1379" t="str">
            <v>Community School</v>
          </cell>
          <cell r="F1379" t="str">
            <v>Primary</v>
          </cell>
        </row>
        <row r="1380">
          <cell r="A1380">
            <v>8505208</v>
          </cell>
          <cell r="B1380">
            <v>116488</v>
          </cell>
          <cell r="C1380" t="str">
            <v>Ashley Junior School</v>
          </cell>
          <cell r="D1380" t="str">
            <v>Hampshire</v>
          </cell>
          <cell r="E1380" t="str">
            <v>Foundation School</v>
          </cell>
          <cell r="F1380" t="str">
            <v>Primary</v>
          </cell>
        </row>
        <row r="1381">
          <cell r="A1381">
            <v>9326087</v>
          </cell>
          <cell r="B1381">
            <v>129824</v>
          </cell>
          <cell r="C1381" t="str">
            <v>Ashley Moor College</v>
          </cell>
          <cell r="D1381" t="str">
            <v>Pre LGR (1998) Shropshire</v>
          </cell>
          <cell r="E1381" t="str">
            <v>Other Independent School</v>
          </cell>
          <cell r="F1381" t="str">
            <v>Not applicable</v>
          </cell>
        </row>
        <row r="1382">
          <cell r="A1382">
            <v>3932038</v>
          </cell>
          <cell r="B1382">
            <v>108685</v>
          </cell>
          <cell r="C1382" t="str">
            <v>Ashley Primary School</v>
          </cell>
          <cell r="D1382" t="str">
            <v>South Tyneside</v>
          </cell>
          <cell r="E1382" t="str">
            <v>Community School</v>
          </cell>
          <cell r="F1382" t="str">
            <v>Primary</v>
          </cell>
        </row>
        <row r="1383">
          <cell r="A1383">
            <v>8767202</v>
          </cell>
          <cell r="B1383">
            <v>111515</v>
          </cell>
          <cell r="C1383" t="str">
            <v>Ashley School</v>
          </cell>
          <cell r="D1383" t="str">
            <v>Halton</v>
          </cell>
          <cell r="E1383" t="str">
            <v>Community Special School</v>
          </cell>
          <cell r="F1383" t="str">
            <v>Special</v>
          </cell>
        </row>
        <row r="1384">
          <cell r="A1384">
            <v>8607020</v>
          </cell>
          <cell r="B1384">
            <v>124506</v>
          </cell>
          <cell r="C1384" t="str">
            <v>Ashley School</v>
          </cell>
          <cell r="D1384" t="str">
            <v>Staffordshire</v>
          </cell>
          <cell r="E1384" t="str">
            <v>Community Special School</v>
          </cell>
          <cell r="F1384" t="str">
            <v>Special</v>
          </cell>
        </row>
        <row r="1385">
          <cell r="A1385">
            <v>9195406</v>
          </cell>
          <cell r="B1385">
            <v>117578</v>
          </cell>
          <cell r="C1385" t="str">
            <v>Ashlyns School</v>
          </cell>
          <cell r="D1385" t="str">
            <v>Hertfordshire</v>
          </cell>
          <cell r="E1385" t="str">
            <v>Foundation School</v>
          </cell>
          <cell r="F1385" t="str">
            <v>Secondary</v>
          </cell>
        </row>
        <row r="1386">
          <cell r="A1386">
            <v>3911100</v>
          </cell>
          <cell r="B1386">
            <v>108434</v>
          </cell>
          <cell r="C1386" t="str">
            <v>Ashlyns Unit</v>
          </cell>
          <cell r="D1386" t="str">
            <v>Newcastle upon Tyne</v>
          </cell>
          <cell r="E1386" t="str">
            <v>Pupil Referral Unit</v>
          </cell>
          <cell r="F1386" t="str">
            <v>PRU</v>
          </cell>
        </row>
        <row r="1387">
          <cell r="A1387">
            <v>8252286</v>
          </cell>
          <cell r="B1387">
            <v>110356</v>
          </cell>
          <cell r="C1387" t="str">
            <v>Ashmead Combined School</v>
          </cell>
          <cell r="D1387" t="str">
            <v>Buckinghamshire</v>
          </cell>
          <cell r="E1387" t="str">
            <v>Community School</v>
          </cell>
          <cell r="F1387" t="str">
            <v>Primary</v>
          </cell>
        </row>
        <row r="1388">
          <cell r="A1388">
            <v>2092878</v>
          </cell>
          <cell r="B1388">
            <v>100716</v>
          </cell>
          <cell r="C1388" t="str">
            <v>Ashmead Primary School</v>
          </cell>
          <cell r="D1388" t="str">
            <v>Lewisham</v>
          </cell>
          <cell r="E1388" t="str">
            <v>Community School</v>
          </cell>
          <cell r="F1388" t="str">
            <v>Primary</v>
          </cell>
        </row>
        <row r="1389">
          <cell r="A1389">
            <v>9286069</v>
          </cell>
          <cell r="B1389">
            <v>133515</v>
          </cell>
          <cell r="C1389" t="str">
            <v>Ashmeads School</v>
          </cell>
          <cell r="D1389" t="str">
            <v>Northamptonshire</v>
          </cell>
          <cell r="E1389" t="str">
            <v>Other Independent Special School</v>
          </cell>
          <cell r="F1389" t="str">
            <v>Not applicable</v>
          </cell>
        </row>
        <row r="1390">
          <cell r="A1390">
            <v>3025406</v>
          </cell>
          <cell r="B1390">
            <v>136308</v>
          </cell>
          <cell r="C1390" t="str">
            <v>Ashmole Academy</v>
          </cell>
          <cell r="D1390" t="str">
            <v>Barnet</v>
          </cell>
          <cell r="E1390" t="str">
            <v>Academy Converters</v>
          </cell>
          <cell r="F1390" t="str">
            <v>Secondary</v>
          </cell>
        </row>
        <row r="1391">
          <cell r="A1391">
            <v>2082022</v>
          </cell>
          <cell r="B1391">
            <v>100556</v>
          </cell>
          <cell r="C1391" t="str">
            <v>Ashmole Primary School</v>
          </cell>
          <cell r="D1391" t="str">
            <v>Lambeth</v>
          </cell>
          <cell r="E1391" t="str">
            <v>Community School</v>
          </cell>
          <cell r="F1391" t="str">
            <v>Primary</v>
          </cell>
        </row>
        <row r="1392">
          <cell r="A1392">
            <v>3025406</v>
          </cell>
          <cell r="B1392">
            <v>101363</v>
          </cell>
          <cell r="C1392" t="str">
            <v>Ashmole School</v>
          </cell>
          <cell r="D1392" t="str">
            <v>Barnet</v>
          </cell>
          <cell r="E1392" t="str">
            <v>Foundation School</v>
          </cell>
          <cell r="F1392" t="str">
            <v>Secondary</v>
          </cell>
        </row>
        <row r="1393">
          <cell r="A1393">
            <v>3361003</v>
          </cell>
          <cell r="B1393">
            <v>104279</v>
          </cell>
          <cell r="C1393" t="str">
            <v>Ashmore Park Nursery School</v>
          </cell>
          <cell r="D1393" t="str">
            <v>Wolverhampton</v>
          </cell>
          <cell r="E1393" t="str">
            <v>LA Nursery School</v>
          </cell>
          <cell r="F1393" t="str">
            <v>Nursery</v>
          </cell>
        </row>
        <row r="1394">
          <cell r="A1394">
            <v>2062824</v>
          </cell>
          <cell r="B1394">
            <v>100433</v>
          </cell>
          <cell r="C1394" t="str">
            <v>Ashmount Infant School</v>
          </cell>
          <cell r="D1394" t="str">
            <v>Islington</v>
          </cell>
          <cell r="E1394" t="str">
            <v>Community School</v>
          </cell>
          <cell r="F1394" t="str">
            <v>Primary</v>
          </cell>
        </row>
        <row r="1395">
          <cell r="A1395">
            <v>2062809</v>
          </cell>
          <cell r="B1395">
            <v>100432</v>
          </cell>
          <cell r="C1395" t="str">
            <v>Ashmount Primary School</v>
          </cell>
          <cell r="D1395" t="str">
            <v>Islington</v>
          </cell>
          <cell r="E1395" t="str">
            <v>Community School</v>
          </cell>
          <cell r="F1395" t="str">
            <v>Primary</v>
          </cell>
        </row>
        <row r="1396">
          <cell r="A1396">
            <v>8557006</v>
          </cell>
          <cell r="B1396">
            <v>120352</v>
          </cell>
          <cell r="C1396" t="str">
            <v>Ashmount School</v>
          </cell>
          <cell r="D1396" t="str">
            <v>Leicestershire</v>
          </cell>
          <cell r="E1396" t="str">
            <v>Community Special School</v>
          </cell>
          <cell r="F1396" t="str">
            <v>Special</v>
          </cell>
        </row>
        <row r="1397">
          <cell r="A1397">
            <v>8302017</v>
          </cell>
          <cell r="B1397">
            <v>112501</v>
          </cell>
          <cell r="C1397" t="str">
            <v>Ashover Primary School</v>
          </cell>
          <cell r="D1397" t="str">
            <v>Derbyshire</v>
          </cell>
          <cell r="E1397" t="str">
            <v>Community School</v>
          </cell>
          <cell r="F1397" t="str">
            <v>Primary</v>
          </cell>
        </row>
        <row r="1398">
          <cell r="A1398">
            <v>8842005</v>
          </cell>
          <cell r="B1398">
            <v>136532</v>
          </cell>
          <cell r="C1398" t="str">
            <v>Ashperton Primary Academy</v>
          </cell>
          <cell r="D1398" t="str">
            <v>Herefordshire</v>
          </cell>
          <cell r="E1398" t="str">
            <v>Academy Converters</v>
          </cell>
          <cell r="F1398" t="str">
            <v>Primary</v>
          </cell>
        </row>
        <row r="1399">
          <cell r="A1399">
            <v>8842005</v>
          </cell>
          <cell r="B1399">
            <v>116649</v>
          </cell>
          <cell r="C1399" t="str">
            <v>Ashperton Primary School</v>
          </cell>
          <cell r="D1399" t="str">
            <v>Herefordshire</v>
          </cell>
          <cell r="E1399" t="str">
            <v>Community School</v>
          </cell>
          <cell r="F1399" t="str">
            <v>Primary</v>
          </cell>
        </row>
        <row r="1400">
          <cell r="A1400">
            <v>8216418</v>
          </cell>
          <cell r="B1400">
            <v>135734</v>
          </cell>
          <cell r="C1400" t="str">
            <v>Ash-Shams School</v>
          </cell>
          <cell r="D1400" t="str">
            <v>Luton</v>
          </cell>
          <cell r="E1400" t="str">
            <v>Other Independent School</v>
          </cell>
          <cell r="F1400" t="str">
            <v>Not applicable</v>
          </cell>
        </row>
        <row r="1401">
          <cell r="A1401">
            <v>9283002</v>
          </cell>
          <cell r="B1401">
            <v>121957</v>
          </cell>
          <cell r="C1401" t="str">
            <v>Ashton Church of England Primary School</v>
          </cell>
          <cell r="D1401" t="str">
            <v>Northamptonshire</v>
          </cell>
          <cell r="E1401" t="str">
            <v>Voluntary Controlled School</v>
          </cell>
          <cell r="F1401" t="str">
            <v>Primary</v>
          </cell>
        </row>
        <row r="1402">
          <cell r="A1402">
            <v>8235410</v>
          </cell>
          <cell r="B1402">
            <v>109714</v>
          </cell>
          <cell r="C1402" t="str">
            <v>Ashton CofE VA Middle School</v>
          </cell>
          <cell r="D1402" t="str">
            <v>Central Bedfordshire</v>
          </cell>
          <cell r="E1402" t="str">
            <v>Voluntary Aided School</v>
          </cell>
          <cell r="F1402" t="str">
            <v>Middle Deemed Secondary</v>
          </cell>
        </row>
        <row r="1403">
          <cell r="A1403">
            <v>8884000</v>
          </cell>
          <cell r="B1403">
            <v>119707</v>
          </cell>
          <cell r="C1403" t="str">
            <v>Ashton Community Science College</v>
          </cell>
          <cell r="D1403" t="str">
            <v>Lancashire</v>
          </cell>
          <cell r="E1403" t="str">
            <v>Community School</v>
          </cell>
          <cell r="F1403" t="str">
            <v>Secondary</v>
          </cell>
        </row>
        <row r="1404">
          <cell r="A1404">
            <v>8012004</v>
          </cell>
          <cell r="B1404">
            <v>108912</v>
          </cell>
          <cell r="C1404" t="str">
            <v>Ashton Gate Primary School</v>
          </cell>
          <cell r="D1404" t="str">
            <v>Bristol City of</v>
          </cell>
          <cell r="E1404" t="str">
            <v>Community School</v>
          </cell>
          <cell r="F1404" t="str">
            <v>Primary</v>
          </cell>
        </row>
        <row r="1405">
          <cell r="A1405">
            <v>9396102</v>
          </cell>
          <cell r="B1405">
            <v>130230</v>
          </cell>
          <cell r="C1405" t="str">
            <v>Ashton Gifford School</v>
          </cell>
          <cell r="D1405" t="str">
            <v>Pre LGR (1997) Wiltshire</v>
          </cell>
          <cell r="E1405" t="str">
            <v>Other Independent School</v>
          </cell>
          <cell r="F1405" t="str">
            <v>Not applicable</v>
          </cell>
        </row>
        <row r="1406">
          <cell r="A1406">
            <v>8962275</v>
          </cell>
          <cell r="B1406">
            <v>111109</v>
          </cell>
          <cell r="C1406" t="str">
            <v>Ashton Hayes Primary School</v>
          </cell>
          <cell r="D1406" t="str">
            <v>Cheshire West and Chester</v>
          </cell>
          <cell r="E1406" t="str">
            <v>Community School</v>
          </cell>
          <cell r="F1406" t="str">
            <v>Primary</v>
          </cell>
        </row>
        <row r="1407">
          <cell r="A1407">
            <v>3136000</v>
          </cell>
          <cell r="B1407">
            <v>102546</v>
          </cell>
          <cell r="C1407" t="str">
            <v>Ashton House School</v>
          </cell>
          <cell r="D1407" t="str">
            <v>Hounslow</v>
          </cell>
          <cell r="E1407" t="str">
            <v>Other Independent School</v>
          </cell>
          <cell r="F1407" t="str">
            <v>Not applicable</v>
          </cell>
        </row>
        <row r="1408">
          <cell r="A1408">
            <v>8653002</v>
          </cell>
          <cell r="B1408">
            <v>126297</v>
          </cell>
          <cell r="C1408" t="str">
            <v>Ashton Keynes Church of England Primary School</v>
          </cell>
          <cell r="D1408" t="str">
            <v>Wiltshire</v>
          </cell>
          <cell r="E1408" t="str">
            <v>Voluntary Controlled School</v>
          </cell>
          <cell r="F1408" t="str">
            <v>Primary</v>
          </cell>
        </row>
        <row r="1409">
          <cell r="A1409">
            <v>3526063</v>
          </cell>
          <cell r="B1409">
            <v>135914</v>
          </cell>
          <cell r="C1409" t="str">
            <v>Ashton Old Road Independent School</v>
          </cell>
          <cell r="D1409" t="str">
            <v>Manchester</v>
          </cell>
          <cell r="E1409" t="str">
            <v>Other Independent Special School</v>
          </cell>
          <cell r="F1409" t="str">
            <v>Not applicable</v>
          </cell>
        </row>
        <row r="1410">
          <cell r="A1410">
            <v>8014030</v>
          </cell>
          <cell r="B1410">
            <v>109278</v>
          </cell>
          <cell r="C1410" t="str">
            <v>Ashton Park School</v>
          </cell>
          <cell r="D1410" t="str">
            <v>Bristol City of</v>
          </cell>
          <cell r="E1410" t="str">
            <v>Foundation School</v>
          </cell>
          <cell r="F1410" t="str">
            <v>Secondary</v>
          </cell>
        </row>
        <row r="1411">
          <cell r="A1411">
            <v>9386262</v>
          </cell>
          <cell r="B1411">
            <v>134498</v>
          </cell>
          <cell r="C1411" t="str">
            <v>Ashton Park School</v>
          </cell>
          <cell r="D1411" t="str">
            <v>West Sussex</v>
          </cell>
          <cell r="E1411" t="str">
            <v>Other Independent School</v>
          </cell>
          <cell r="F1411" t="str">
            <v>Not applicable</v>
          </cell>
        </row>
        <row r="1412">
          <cell r="A1412">
            <v>8882198</v>
          </cell>
          <cell r="B1412">
            <v>119238</v>
          </cell>
          <cell r="C1412" t="str">
            <v>Ashton Primary School</v>
          </cell>
          <cell r="D1412" t="str">
            <v>Lancashire</v>
          </cell>
          <cell r="E1412" t="str">
            <v>Community School</v>
          </cell>
          <cell r="F1412" t="str">
            <v>Primary</v>
          </cell>
        </row>
        <row r="1413">
          <cell r="A1413">
            <v>3571102</v>
          </cell>
          <cell r="B1413">
            <v>133919</v>
          </cell>
          <cell r="C1413" t="str">
            <v>Ashton PRU</v>
          </cell>
          <cell r="D1413" t="str">
            <v>Tameside</v>
          </cell>
          <cell r="E1413" t="str">
            <v>Pupil Referral Unit</v>
          </cell>
          <cell r="F1413" t="str">
            <v>PRU</v>
          </cell>
        </row>
        <row r="1414">
          <cell r="A1414">
            <v>8235202</v>
          </cell>
          <cell r="B1414">
            <v>109703</v>
          </cell>
          <cell r="C1414" t="str">
            <v>Ashton St Peter's VA CofE School</v>
          </cell>
          <cell r="D1414" t="str">
            <v>Central Bedfordshire</v>
          </cell>
          <cell r="E1414" t="str">
            <v>Voluntary Aided School</v>
          </cell>
          <cell r="F1414" t="str">
            <v>Primary</v>
          </cell>
        </row>
        <row r="1415">
          <cell r="A1415">
            <v>8012005</v>
          </cell>
          <cell r="B1415">
            <v>108913</v>
          </cell>
          <cell r="C1415" t="str">
            <v>Ashton Vale Primary School</v>
          </cell>
          <cell r="D1415" t="str">
            <v>Bristol City of</v>
          </cell>
          <cell r="E1415" t="str">
            <v>Foundation School</v>
          </cell>
          <cell r="F1415" t="str">
            <v>Primary</v>
          </cell>
        </row>
        <row r="1416">
          <cell r="A1416">
            <v>3572038</v>
          </cell>
          <cell r="B1416">
            <v>106202</v>
          </cell>
          <cell r="C1416" t="str">
            <v>Ashton West End Primary School</v>
          </cell>
          <cell r="D1416" t="str">
            <v>Tameside</v>
          </cell>
          <cell r="E1416" t="str">
            <v>Community School</v>
          </cell>
          <cell r="F1416" t="str">
            <v>Primary</v>
          </cell>
        </row>
        <row r="1417">
          <cell r="A1417">
            <v>3585401</v>
          </cell>
          <cell r="B1417">
            <v>106374</v>
          </cell>
          <cell r="C1417" t="str">
            <v>Ashton-on-Mersey School</v>
          </cell>
          <cell r="D1417" t="str">
            <v>Trafford</v>
          </cell>
          <cell r="E1417" t="str">
            <v>Foundation School</v>
          </cell>
          <cell r="F1417" t="str">
            <v>Secondary</v>
          </cell>
        </row>
        <row r="1418">
          <cell r="A1418">
            <v>8883634</v>
          </cell>
          <cell r="B1418">
            <v>119602</v>
          </cell>
          <cell r="C1418" t="str">
            <v>Ashton-on-Ribble St Andrew's Church of England Primary School</v>
          </cell>
          <cell r="D1418" t="str">
            <v>Lancashire</v>
          </cell>
          <cell r="E1418" t="str">
            <v>Voluntary Aided School</v>
          </cell>
          <cell r="F1418" t="str">
            <v>Primary</v>
          </cell>
        </row>
        <row r="1419">
          <cell r="A1419">
            <v>3427003</v>
          </cell>
          <cell r="B1419">
            <v>104842</v>
          </cell>
          <cell r="C1419" t="str">
            <v>Ashtons Green School</v>
          </cell>
          <cell r="D1419" t="str">
            <v>St. Helens</v>
          </cell>
          <cell r="E1419" t="str">
            <v>Community Special School</v>
          </cell>
          <cell r="F1419" t="str">
            <v>Special</v>
          </cell>
        </row>
        <row r="1420">
          <cell r="A1420">
            <v>8852006</v>
          </cell>
          <cell r="B1420">
            <v>116650</v>
          </cell>
          <cell r="C1420" t="str">
            <v>Ashton-under-Hill First School</v>
          </cell>
          <cell r="D1420" t="str">
            <v>Worcestershire</v>
          </cell>
          <cell r="E1420" t="str">
            <v>Community School</v>
          </cell>
          <cell r="F1420" t="str">
            <v>Primary</v>
          </cell>
        </row>
        <row r="1421">
          <cell r="A1421">
            <v>3574020</v>
          </cell>
          <cell r="B1421">
            <v>127533</v>
          </cell>
          <cell r="C1421" t="str">
            <v>Ashton-Under-Lyme Sixth Form College</v>
          </cell>
          <cell r="D1421" t="str">
            <v>Tameside</v>
          </cell>
          <cell r="E1421" t="str">
            <v>Community School</v>
          </cell>
          <cell r="F1421" t="str">
            <v>Secondary</v>
          </cell>
        </row>
        <row r="1422">
          <cell r="A1422">
            <v>3578601</v>
          </cell>
          <cell r="B1422">
            <v>130518</v>
          </cell>
          <cell r="C1422" t="str">
            <v>Ashton-under-Lyne Sixth Form College</v>
          </cell>
          <cell r="D1422" t="str">
            <v>Tameside</v>
          </cell>
          <cell r="E1422" t="str">
            <v>Further Education</v>
          </cell>
          <cell r="F1422" t="str">
            <v>16 Plus</v>
          </cell>
        </row>
        <row r="1423">
          <cell r="A1423">
            <v>9192451</v>
          </cell>
          <cell r="B1423">
            <v>117352</v>
          </cell>
          <cell r="C1423" t="str">
            <v>Ashtree Primary School and Nursery</v>
          </cell>
          <cell r="D1423" t="str">
            <v>Hertfordshire</v>
          </cell>
          <cell r="E1423" t="str">
            <v>Community School</v>
          </cell>
          <cell r="F1423" t="str">
            <v>Primary</v>
          </cell>
        </row>
        <row r="1424">
          <cell r="A1424">
            <v>9383302</v>
          </cell>
          <cell r="B1424">
            <v>126020</v>
          </cell>
          <cell r="C1424" t="str">
            <v>Ashurst CofE Primary School</v>
          </cell>
          <cell r="D1424" t="str">
            <v>West Sussex</v>
          </cell>
          <cell r="E1424" t="str">
            <v>Voluntary Aided School</v>
          </cell>
          <cell r="F1424" t="str">
            <v>Primary</v>
          </cell>
        </row>
        <row r="1425">
          <cell r="A1425">
            <v>3422021</v>
          </cell>
          <cell r="B1425">
            <v>104771</v>
          </cell>
          <cell r="C1425" t="str">
            <v>Ashurst Primary School</v>
          </cell>
          <cell r="D1425" t="str">
            <v>St. Helens</v>
          </cell>
          <cell r="E1425" t="str">
            <v>Community School</v>
          </cell>
          <cell r="F1425" t="str">
            <v>Primary</v>
          </cell>
        </row>
        <row r="1426">
          <cell r="A1426">
            <v>9237088</v>
          </cell>
          <cell r="B1426">
            <v>119888</v>
          </cell>
          <cell r="C1426" t="str">
            <v>Ashurst School</v>
          </cell>
          <cell r="D1426" t="str">
            <v>Pre LGR (1998) Lancashire</v>
          </cell>
          <cell r="E1426" t="str">
            <v>Community Special School</v>
          </cell>
          <cell r="F1426" t="str">
            <v>Special</v>
          </cell>
        </row>
        <row r="1427">
          <cell r="A1427">
            <v>9382200</v>
          </cell>
          <cell r="B1427">
            <v>125929</v>
          </cell>
          <cell r="C1427" t="str">
            <v>Ashurst Wood Primary School</v>
          </cell>
          <cell r="D1427" t="str">
            <v>West Sussex</v>
          </cell>
          <cell r="E1427" t="str">
            <v>Community School</v>
          </cell>
          <cell r="F1427" t="str">
            <v>Primary</v>
          </cell>
        </row>
        <row r="1428">
          <cell r="A1428">
            <v>8156028</v>
          </cell>
          <cell r="B1428">
            <v>121758</v>
          </cell>
          <cell r="C1428" t="str">
            <v>Ashville College</v>
          </cell>
          <cell r="D1428" t="str">
            <v>North Yorkshire</v>
          </cell>
          <cell r="E1428" t="str">
            <v>Other Independent School</v>
          </cell>
          <cell r="F1428" t="str">
            <v>Not applicable</v>
          </cell>
        </row>
        <row r="1429">
          <cell r="A1429">
            <v>8782201</v>
          </cell>
          <cell r="B1429">
            <v>113126</v>
          </cell>
          <cell r="C1429" t="str">
            <v>Ashwater Primary School</v>
          </cell>
          <cell r="D1429" t="str">
            <v>Devon</v>
          </cell>
          <cell r="E1429" t="str">
            <v>Community School</v>
          </cell>
          <cell r="F1429" t="str">
            <v>Primary</v>
          </cell>
        </row>
        <row r="1430">
          <cell r="A1430">
            <v>9204456</v>
          </cell>
          <cell r="B1430">
            <v>129291</v>
          </cell>
          <cell r="C1430" t="str">
            <v>Ashwell Junior High School</v>
          </cell>
          <cell r="D1430" t="str">
            <v>Pre LGR (1996) Humberside</v>
          </cell>
          <cell r="E1430" t="str">
            <v>Community School</v>
          </cell>
          <cell r="F1430" t="str">
            <v>Secondary</v>
          </cell>
        </row>
        <row r="1431">
          <cell r="A1431">
            <v>9192002</v>
          </cell>
          <cell r="B1431">
            <v>117084</v>
          </cell>
          <cell r="C1431" t="str">
            <v>Ashwell Primary School</v>
          </cell>
          <cell r="D1431" t="str">
            <v>Hertfordshire</v>
          </cell>
          <cell r="E1431" t="str">
            <v>Community School</v>
          </cell>
          <cell r="F1431" t="str">
            <v>Primary</v>
          </cell>
        </row>
        <row r="1432">
          <cell r="A1432">
            <v>8101103</v>
          </cell>
          <cell r="B1432">
            <v>132026</v>
          </cell>
          <cell r="C1432" t="str">
            <v>Ashwell Pupil Referral Unit</v>
          </cell>
          <cell r="D1432" t="str">
            <v>Kingston upon Hull City of</v>
          </cell>
          <cell r="E1432" t="str">
            <v>Pupil Referral Unit</v>
          </cell>
          <cell r="F1432" t="str">
            <v>PRU</v>
          </cell>
        </row>
        <row r="1433">
          <cell r="A1433">
            <v>9263385</v>
          </cell>
          <cell r="B1433">
            <v>121135</v>
          </cell>
          <cell r="C1433" t="str">
            <v>Ashwicken Church of England Voluntary Aided First School</v>
          </cell>
          <cell r="D1433" t="str">
            <v>Norfolk</v>
          </cell>
          <cell r="E1433" t="str">
            <v>Voluntary Aided School</v>
          </cell>
          <cell r="F1433" t="str">
            <v>Primary</v>
          </cell>
        </row>
        <row r="1434">
          <cell r="A1434">
            <v>8606027</v>
          </cell>
          <cell r="B1434">
            <v>134453</v>
          </cell>
          <cell r="C1434" t="str">
            <v>Ashwood Education</v>
          </cell>
          <cell r="D1434" t="str">
            <v>Staffordshire</v>
          </cell>
          <cell r="E1434" t="str">
            <v>Other Independent School</v>
          </cell>
          <cell r="F1434" t="str">
            <v>Not applicable</v>
          </cell>
        </row>
        <row r="1435">
          <cell r="A1435">
            <v>8501101</v>
          </cell>
          <cell r="B1435">
            <v>115834</v>
          </cell>
          <cell r="C1435" t="str">
            <v>Ashwood Education Centre</v>
          </cell>
          <cell r="D1435" t="str">
            <v>Hampshire</v>
          </cell>
          <cell r="E1435" t="str">
            <v>Pupil Referral Unit</v>
          </cell>
          <cell r="F1435" t="str">
            <v>PRU</v>
          </cell>
        </row>
        <row r="1436">
          <cell r="A1436">
            <v>9066074</v>
          </cell>
          <cell r="B1436">
            <v>128485</v>
          </cell>
          <cell r="C1436" t="str">
            <v>Ashwood House</v>
          </cell>
          <cell r="D1436" t="str">
            <v>Pre LGR (1998) Cheshire</v>
          </cell>
          <cell r="E1436" t="str">
            <v>Other Independent School</v>
          </cell>
          <cell r="F1436" t="str">
            <v>Not applicable</v>
          </cell>
        </row>
        <row r="1437">
          <cell r="A1437">
            <v>3322141</v>
          </cell>
          <cell r="B1437">
            <v>103818</v>
          </cell>
          <cell r="C1437" t="str">
            <v>Ashwood Park Primary School</v>
          </cell>
          <cell r="D1437" t="str">
            <v>Dudley</v>
          </cell>
          <cell r="E1437" t="str">
            <v>Community School</v>
          </cell>
          <cell r="F1437" t="str">
            <v>Primary</v>
          </cell>
        </row>
        <row r="1438">
          <cell r="A1438">
            <v>8891029</v>
          </cell>
          <cell r="B1438">
            <v>119091</v>
          </cell>
          <cell r="C1438" t="str">
            <v>Ashworth Nursery School</v>
          </cell>
          <cell r="D1438" t="str">
            <v>Blackburn with Darwen</v>
          </cell>
          <cell r="E1438" t="str">
            <v>LA Nursery School</v>
          </cell>
          <cell r="F1438" t="str">
            <v>Nursery</v>
          </cell>
        </row>
        <row r="1439">
          <cell r="A1439">
            <v>9095207</v>
          </cell>
          <cell r="B1439">
            <v>112409</v>
          </cell>
          <cell r="C1439" t="str">
            <v>Askam Village School</v>
          </cell>
          <cell r="D1439" t="str">
            <v>Cumbria</v>
          </cell>
          <cell r="E1439" t="str">
            <v>Foundation School</v>
          </cell>
          <cell r="F1439" t="str">
            <v>Primary</v>
          </cell>
        </row>
        <row r="1440">
          <cell r="A1440">
            <v>3712056</v>
          </cell>
          <cell r="B1440">
            <v>106672</v>
          </cell>
          <cell r="C1440" t="str">
            <v>Askern Moss Road Infant School</v>
          </cell>
          <cell r="D1440" t="str">
            <v>Doncaster</v>
          </cell>
          <cell r="E1440" t="str">
            <v>Community School</v>
          </cell>
          <cell r="F1440" t="str">
            <v>Primary</v>
          </cell>
        </row>
        <row r="1441">
          <cell r="A1441">
            <v>3712057</v>
          </cell>
          <cell r="B1441">
            <v>106673</v>
          </cell>
          <cell r="C1441" t="str">
            <v>Askern Spa Junior School</v>
          </cell>
          <cell r="D1441" t="str">
            <v>Doncaster</v>
          </cell>
          <cell r="E1441" t="str">
            <v>Community School</v>
          </cell>
          <cell r="F1441" t="str">
            <v>Primary</v>
          </cell>
        </row>
        <row r="1442">
          <cell r="A1442">
            <v>3832182</v>
          </cell>
          <cell r="B1442">
            <v>127849</v>
          </cell>
          <cell r="C1442" t="str">
            <v>Asket Hill First School</v>
          </cell>
          <cell r="D1442" t="str">
            <v>Leeds</v>
          </cell>
          <cell r="E1442" t="str">
            <v>Community School</v>
          </cell>
          <cell r="F1442" t="str">
            <v>Primary</v>
          </cell>
        </row>
        <row r="1443">
          <cell r="A1443">
            <v>3832443</v>
          </cell>
          <cell r="B1443">
            <v>107919</v>
          </cell>
          <cell r="C1443" t="str">
            <v>Asket Hill Primary School</v>
          </cell>
          <cell r="D1443" t="str">
            <v>Leeds</v>
          </cell>
          <cell r="E1443" t="str">
            <v>Community School</v>
          </cell>
          <cell r="F1443" t="str">
            <v>Primary</v>
          </cell>
        </row>
        <row r="1444">
          <cell r="A1444">
            <v>8168300</v>
          </cell>
          <cell r="B1444">
            <v>130595</v>
          </cell>
          <cell r="C1444" t="str">
            <v>Askham Bryan College</v>
          </cell>
          <cell r="D1444" t="str">
            <v>York</v>
          </cell>
          <cell r="E1444" t="str">
            <v>Further Education</v>
          </cell>
          <cell r="F1444" t="str">
            <v>16 Plus</v>
          </cell>
        </row>
        <row r="1445">
          <cell r="A1445">
            <v>9093050</v>
          </cell>
          <cell r="B1445">
            <v>128590</v>
          </cell>
          <cell r="C1445" t="str">
            <v>Askham CofE School</v>
          </cell>
          <cell r="D1445" t="str">
            <v>Cumbria</v>
          </cell>
          <cell r="E1445" t="str">
            <v>Voluntary Controlled School</v>
          </cell>
          <cell r="F1445" t="str">
            <v>Primary</v>
          </cell>
        </row>
        <row r="1446">
          <cell r="A1446">
            <v>9273007</v>
          </cell>
          <cell r="B1446">
            <v>129660</v>
          </cell>
          <cell r="C1446" t="str">
            <v>Askrigg Primary School</v>
          </cell>
          <cell r="D1446" t="str">
            <v>Pre LGR (1996) North Yorkshire</v>
          </cell>
          <cell r="E1446" t="str">
            <v>Voluntary Controlled School</v>
          </cell>
          <cell r="F1446" t="str">
            <v>Primary</v>
          </cell>
        </row>
        <row r="1447">
          <cell r="A1447">
            <v>8153289</v>
          </cell>
          <cell r="B1447">
            <v>121602</v>
          </cell>
          <cell r="C1447" t="str">
            <v>Askrigg Voluntary Controlled Primary School</v>
          </cell>
          <cell r="D1447" t="str">
            <v>North Yorkshire</v>
          </cell>
          <cell r="E1447" t="str">
            <v>Voluntary Controlled School</v>
          </cell>
          <cell r="F1447" t="str">
            <v>Primary</v>
          </cell>
        </row>
        <row r="1448">
          <cell r="A1448">
            <v>8152302</v>
          </cell>
          <cell r="B1448">
            <v>121379</v>
          </cell>
          <cell r="C1448" t="str">
            <v>Askwith Community Primary School</v>
          </cell>
          <cell r="D1448" t="str">
            <v>North Yorkshire</v>
          </cell>
          <cell r="E1448" t="str">
            <v>Community School</v>
          </cell>
          <cell r="F1448" t="str">
            <v>Primary</v>
          </cell>
        </row>
        <row r="1449">
          <cell r="A1449">
            <v>9262003</v>
          </cell>
          <cell r="B1449">
            <v>120779</v>
          </cell>
          <cell r="C1449" t="str">
            <v>Aslacton Primary School</v>
          </cell>
          <cell r="D1449" t="str">
            <v>Norfolk</v>
          </cell>
          <cell r="E1449" t="str">
            <v>Community School</v>
          </cell>
          <cell r="F1449" t="str">
            <v>Primary</v>
          </cell>
        </row>
        <row r="1450">
          <cell r="A1450">
            <v>9092071</v>
          </cell>
          <cell r="B1450">
            <v>112127</v>
          </cell>
          <cell r="C1450" t="str">
            <v>Aspatria Richmond Hill School</v>
          </cell>
          <cell r="D1450" t="str">
            <v>Cumbria</v>
          </cell>
          <cell r="E1450" t="str">
            <v>Community School</v>
          </cell>
          <cell r="F1450" t="str">
            <v>Primary</v>
          </cell>
        </row>
        <row r="1451">
          <cell r="A1451">
            <v>2087056</v>
          </cell>
          <cell r="B1451">
            <v>100655</v>
          </cell>
          <cell r="C1451" t="str">
            <v>Aspen House School</v>
          </cell>
          <cell r="D1451" t="str">
            <v>Lambeth</v>
          </cell>
          <cell r="E1451" t="str">
            <v>Community Special School</v>
          </cell>
          <cell r="F1451" t="str">
            <v>Special</v>
          </cell>
        </row>
        <row r="1452">
          <cell r="A1452">
            <v>3522014</v>
          </cell>
          <cell r="B1452">
            <v>105390</v>
          </cell>
          <cell r="C1452" t="str">
            <v>Aspinal Primary School</v>
          </cell>
          <cell r="D1452" t="str">
            <v>Manchester</v>
          </cell>
          <cell r="E1452" t="str">
            <v>Community School</v>
          </cell>
          <cell r="F1452" t="str">
            <v>Primary</v>
          </cell>
        </row>
        <row r="1453">
          <cell r="A1453">
            <v>8232002</v>
          </cell>
          <cell r="B1453">
            <v>109428</v>
          </cell>
          <cell r="C1453" t="str">
            <v>Aspley Guise Lower School</v>
          </cell>
          <cell r="D1453" t="str">
            <v>Central Bedfordshire</v>
          </cell>
          <cell r="E1453" t="str">
            <v>Community School</v>
          </cell>
          <cell r="F1453" t="str">
            <v>Primary</v>
          </cell>
        </row>
        <row r="1454">
          <cell r="A1454">
            <v>8927034</v>
          </cell>
          <cell r="B1454">
            <v>122963</v>
          </cell>
          <cell r="C1454" t="str">
            <v>Aspley Wood School</v>
          </cell>
          <cell r="D1454" t="str">
            <v>Nottingham</v>
          </cell>
          <cell r="E1454" t="str">
            <v>Community Special School</v>
          </cell>
          <cell r="F1454" t="str">
            <v>Special</v>
          </cell>
        </row>
        <row r="1455">
          <cell r="A1455">
            <v>3593426</v>
          </cell>
          <cell r="B1455">
            <v>106518</v>
          </cell>
          <cell r="C1455" t="str">
            <v>Aspull Church Primary School</v>
          </cell>
          <cell r="D1455" t="str">
            <v>Wigan</v>
          </cell>
          <cell r="E1455" t="str">
            <v>Voluntary Aided School</v>
          </cell>
          <cell r="F1455" t="str">
            <v>Primary</v>
          </cell>
        </row>
        <row r="1456">
          <cell r="A1456">
            <v>3594024</v>
          </cell>
          <cell r="B1456">
            <v>127559</v>
          </cell>
          <cell r="C1456" t="str">
            <v>Aspull High School</v>
          </cell>
          <cell r="D1456" t="str">
            <v>Wigan</v>
          </cell>
          <cell r="E1456" t="str">
            <v>Community School</v>
          </cell>
          <cell r="F1456" t="str">
            <v>Secondary</v>
          </cell>
        </row>
        <row r="1457">
          <cell r="A1457">
            <v>3592022</v>
          </cell>
          <cell r="B1457">
            <v>106408</v>
          </cell>
          <cell r="C1457" t="str">
            <v>Aspull New Springs Infant School</v>
          </cell>
          <cell r="D1457" t="str">
            <v>Wigan</v>
          </cell>
          <cell r="E1457" t="str">
            <v>Community School</v>
          </cell>
          <cell r="F1457" t="str">
            <v>Primary</v>
          </cell>
        </row>
        <row r="1458">
          <cell r="A1458">
            <v>8913782</v>
          </cell>
          <cell r="B1458">
            <v>132250</v>
          </cell>
          <cell r="C1458" t="str">
            <v>Asquith Primary School</v>
          </cell>
          <cell r="D1458" t="str">
            <v>Nottinghamshire</v>
          </cell>
          <cell r="E1458" t="str">
            <v>Community School</v>
          </cell>
          <cell r="F1458" t="str">
            <v>Primary</v>
          </cell>
        </row>
        <row r="1459">
          <cell r="A1459">
            <v>3832512</v>
          </cell>
          <cell r="B1459">
            <v>132795</v>
          </cell>
          <cell r="C1459" t="str">
            <v>Asquith Primary School</v>
          </cell>
          <cell r="D1459" t="str">
            <v>Leeds</v>
          </cell>
          <cell r="E1459" t="str">
            <v>Community School</v>
          </cell>
          <cell r="F1459" t="str">
            <v>Primary</v>
          </cell>
        </row>
        <row r="1460">
          <cell r="A1460">
            <v>8871109</v>
          </cell>
          <cell r="B1460">
            <v>134277</v>
          </cell>
          <cell r="C1460" t="str">
            <v>Assessment and Tuition Service</v>
          </cell>
          <cell r="D1460" t="str">
            <v>Medway</v>
          </cell>
          <cell r="E1460" t="str">
            <v>Pupil Referral Unit</v>
          </cell>
          <cell r="F1460" t="str">
            <v>PRU</v>
          </cell>
        </row>
        <row r="1461">
          <cell r="A1461">
            <v>9276006</v>
          </cell>
          <cell r="B1461">
            <v>129671</v>
          </cell>
          <cell r="C1461" t="str">
            <v>Assumption School</v>
          </cell>
          <cell r="D1461" t="str">
            <v>Pre LGR (1996) North Yorkshire</v>
          </cell>
          <cell r="E1461" t="str">
            <v>Other Independent School</v>
          </cell>
          <cell r="F1461" t="str">
            <v>Not applicable</v>
          </cell>
        </row>
        <row r="1462">
          <cell r="A1462">
            <v>9276084</v>
          </cell>
          <cell r="B1462">
            <v>129681</v>
          </cell>
          <cell r="C1462" t="str">
            <v>Assumption School</v>
          </cell>
          <cell r="D1462" t="str">
            <v>Pre LGR (1996) North Yorkshire</v>
          </cell>
          <cell r="E1462" t="str">
            <v>Other Independent School</v>
          </cell>
          <cell r="F1462" t="str">
            <v>Not applicable</v>
          </cell>
        </row>
        <row r="1463">
          <cell r="A1463">
            <v>3096088</v>
          </cell>
          <cell r="B1463">
            <v>135988</v>
          </cell>
          <cell r="C1463" t="str">
            <v>Assunnah Primary School</v>
          </cell>
          <cell r="D1463" t="str">
            <v>Haringey</v>
          </cell>
          <cell r="E1463" t="str">
            <v>Other Independent School</v>
          </cell>
          <cell r="F1463" t="str">
            <v>Not applicable</v>
          </cell>
        </row>
        <row r="1464">
          <cell r="A1464">
            <v>8953529</v>
          </cell>
          <cell r="B1464">
            <v>111333</v>
          </cell>
          <cell r="C1464" t="str">
            <v>Astbury St Mary's CofE Primary School</v>
          </cell>
          <cell r="D1464" t="str">
            <v>Cheshire East</v>
          </cell>
          <cell r="E1464" t="str">
            <v>Voluntary Aided School</v>
          </cell>
          <cell r="F1464" t="str">
            <v>Primary</v>
          </cell>
        </row>
        <row r="1465">
          <cell r="A1465">
            <v>9177470</v>
          </cell>
          <cell r="B1465">
            <v>129073</v>
          </cell>
          <cell r="C1465" t="str">
            <v>Aster House</v>
          </cell>
          <cell r="D1465" t="str">
            <v>Pre LGR (1997) Hampshire</v>
          </cell>
          <cell r="E1465" t="str">
            <v>Community Special School</v>
          </cell>
          <cell r="F1465" t="str">
            <v>Special</v>
          </cell>
        </row>
        <row r="1466">
          <cell r="A1466">
            <v>8521112</v>
          </cell>
          <cell r="B1466">
            <v>115844</v>
          </cell>
          <cell r="C1466" t="str">
            <v>Aster House Pupil Referral Unit</v>
          </cell>
          <cell r="D1466" t="str">
            <v>Southampton</v>
          </cell>
          <cell r="E1466" t="str">
            <v>Pupil Referral Unit</v>
          </cell>
          <cell r="F1466" t="str">
            <v>PRU</v>
          </cell>
        </row>
        <row r="1467">
          <cell r="A1467">
            <v>8312464</v>
          </cell>
          <cell r="B1467">
            <v>112761</v>
          </cell>
          <cell r="C1467" t="str">
            <v>Asterdale Primary School</v>
          </cell>
          <cell r="D1467" t="str">
            <v>Derby</v>
          </cell>
          <cell r="E1467" t="str">
            <v>Community School</v>
          </cell>
          <cell r="F1467" t="str">
            <v>Primary</v>
          </cell>
        </row>
        <row r="1468">
          <cell r="A1468">
            <v>8853300</v>
          </cell>
          <cell r="B1468">
            <v>116864</v>
          </cell>
          <cell r="C1468" t="str">
            <v>Astley CofE Primary School</v>
          </cell>
          <cell r="D1468" t="str">
            <v>Worcestershire</v>
          </cell>
          <cell r="E1468" t="str">
            <v>Voluntary Aided School</v>
          </cell>
          <cell r="F1468" t="str">
            <v>Primary</v>
          </cell>
        </row>
        <row r="1469">
          <cell r="A1469">
            <v>9295400</v>
          </cell>
          <cell r="B1469">
            <v>122374</v>
          </cell>
          <cell r="C1469" t="str">
            <v>Astley Community High School</v>
          </cell>
          <cell r="D1469" t="str">
            <v>Northumberland</v>
          </cell>
          <cell r="E1469" t="str">
            <v>Community School</v>
          </cell>
          <cell r="F1469" t="str">
            <v>Secondary</v>
          </cell>
        </row>
        <row r="1470">
          <cell r="A1470">
            <v>9262413</v>
          </cell>
          <cell r="B1470">
            <v>121015</v>
          </cell>
          <cell r="C1470" t="str">
            <v>Astley Primary School</v>
          </cell>
          <cell r="D1470" t="str">
            <v>Norfolk</v>
          </cell>
          <cell r="E1470" t="str">
            <v>Community School</v>
          </cell>
          <cell r="F1470" t="str">
            <v>Primary</v>
          </cell>
        </row>
        <row r="1471">
          <cell r="A1471">
            <v>3574026</v>
          </cell>
          <cell r="B1471">
            <v>106269</v>
          </cell>
          <cell r="C1471" t="str">
            <v>Astley Sports College and Community High School</v>
          </cell>
          <cell r="D1471" t="str">
            <v>Tameside</v>
          </cell>
          <cell r="E1471" t="str">
            <v>Community School</v>
          </cell>
          <cell r="F1471" t="str">
            <v>Secondary</v>
          </cell>
        </row>
        <row r="1472">
          <cell r="A1472">
            <v>9062303</v>
          </cell>
          <cell r="B1472">
            <v>128428</v>
          </cell>
          <cell r="C1472" t="str">
            <v>Astmoor County Infant School</v>
          </cell>
          <cell r="D1472" t="str">
            <v>Pre LGR (1998) Cheshire</v>
          </cell>
          <cell r="E1472" t="str">
            <v>Community School</v>
          </cell>
          <cell r="F1472" t="str">
            <v>Primary</v>
          </cell>
        </row>
        <row r="1473">
          <cell r="A1473">
            <v>9062293</v>
          </cell>
          <cell r="B1473">
            <v>128424</v>
          </cell>
          <cell r="C1473" t="str">
            <v>Astmoor County Junior School</v>
          </cell>
          <cell r="D1473" t="str">
            <v>Pre LGR (1998) Cheshire</v>
          </cell>
          <cell r="E1473" t="str">
            <v>Community School</v>
          </cell>
          <cell r="F1473" t="str">
            <v>Primary</v>
          </cell>
        </row>
        <row r="1474">
          <cell r="A1474">
            <v>8762700</v>
          </cell>
          <cell r="B1474">
            <v>111217</v>
          </cell>
          <cell r="C1474" t="str">
            <v>Astmoor Primary School</v>
          </cell>
          <cell r="D1474" t="str">
            <v>Halton</v>
          </cell>
          <cell r="E1474" t="str">
            <v>Community School</v>
          </cell>
          <cell r="F1474" t="str">
            <v>Primary</v>
          </cell>
        </row>
        <row r="1475">
          <cell r="A1475">
            <v>3724021</v>
          </cell>
          <cell r="B1475">
            <v>136718</v>
          </cell>
          <cell r="C1475" t="str">
            <v>Aston Academy</v>
          </cell>
          <cell r="D1475" t="str">
            <v>Rotherham</v>
          </cell>
          <cell r="E1475" t="str">
            <v>Academy Converters</v>
          </cell>
          <cell r="F1475" t="str">
            <v>Secondary</v>
          </cell>
        </row>
        <row r="1476">
          <cell r="A1476">
            <v>3723333</v>
          </cell>
          <cell r="B1476">
            <v>106938</v>
          </cell>
          <cell r="C1476" t="str">
            <v>Aston All Saints CofE (A) Primary School</v>
          </cell>
          <cell r="D1476" t="str">
            <v>Rotherham</v>
          </cell>
          <cell r="E1476" t="str">
            <v>Voluntary Aided School</v>
          </cell>
          <cell r="F1476" t="str">
            <v>Primary</v>
          </cell>
        </row>
        <row r="1477">
          <cell r="A1477">
            <v>9313120</v>
          </cell>
          <cell r="B1477">
            <v>123106</v>
          </cell>
          <cell r="C1477" t="str">
            <v>Aston and Cote Church of England Primary School</v>
          </cell>
          <cell r="D1477" t="str">
            <v>Oxfordshire</v>
          </cell>
          <cell r="E1477" t="str">
            <v>Voluntary Controlled School</v>
          </cell>
          <cell r="F1477" t="str">
            <v>Primary</v>
          </cell>
        </row>
        <row r="1478">
          <cell r="A1478">
            <v>8962108</v>
          </cell>
          <cell r="B1478">
            <v>110993</v>
          </cell>
          <cell r="C1478" t="str">
            <v>Aston by Sutton Primary School</v>
          </cell>
          <cell r="D1478" t="str">
            <v>Cheshire West and Chester</v>
          </cell>
          <cell r="E1478" t="str">
            <v>Community School</v>
          </cell>
          <cell r="F1478" t="str">
            <v>Primary</v>
          </cell>
        </row>
        <row r="1479">
          <cell r="A1479">
            <v>8252250</v>
          </cell>
          <cell r="B1479">
            <v>110332</v>
          </cell>
          <cell r="C1479" t="str">
            <v>Aston Clinton School</v>
          </cell>
          <cell r="D1479" t="str">
            <v>Buckinghamshire</v>
          </cell>
          <cell r="E1479" t="str">
            <v>Community School</v>
          </cell>
          <cell r="F1479" t="str">
            <v>Primary</v>
          </cell>
        </row>
        <row r="1480">
          <cell r="A1480">
            <v>3724021</v>
          </cell>
          <cell r="B1480">
            <v>106957</v>
          </cell>
          <cell r="C1480" t="str">
            <v>Aston Comprehensive School</v>
          </cell>
          <cell r="D1480" t="str">
            <v>Rotherham</v>
          </cell>
          <cell r="E1480" t="str">
            <v>Community School</v>
          </cell>
          <cell r="F1480" t="str">
            <v>Secondary</v>
          </cell>
        </row>
        <row r="1481">
          <cell r="A1481">
            <v>3722050</v>
          </cell>
          <cell r="B1481">
            <v>106859</v>
          </cell>
          <cell r="C1481" t="str">
            <v>Aston Fence Junior and Infant School</v>
          </cell>
          <cell r="D1481" t="str">
            <v>Rotherham</v>
          </cell>
          <cell r="E1481" t="str">
            <v>Community School</v>
          </cell>
          <cell r="F1481" t="str">
            <v>Primary</v>
          </cell>
        </row>
        <row r="1482">
          <cell r="A1482">
            <v>8854401</v>
          </cell>
          <cell r="B1482">
            <v>116957</v>
          </cell>
          <cell r="C1482" t="str">
            <v>Aston Fields Middle School</v>
          </cell>
          <cell r="D1482" t="str">
            <v>Worcestershire</v>
          </cell>
          <cell r="E1482" t="str">
            <v>Community School</v>
          </cell>
          <cell r="F1482" t="str">
            <v>Middle Deemed Secondary</v>
          </cell>
        </row>
        <row r="1483">
          <cell r="A1483">
            <v>3722133</v>
          </cell>
          <cell r="B1483">
            <v>106925</v>
          </cell>
          <cell r="C1483" t="str">
            <v>Aston Hall Junior and Infant School</v>
          </cell>
          <cell r="D1483" t="str">
            <v>Rotherham</v>
          </cell>
          <cell r="E1483" t="str">
            <v>Community School</v>
          </cell>
          <cell r="F1483" t="str">
            <v>Primary</v>
          </cell>
        </row>
        <row r="1484">
          <cell r="A1484">
            <v>3076076</v>
          </cell>
          <cell r="B1484">
            <v>101963</v>
          </cell>
          <cell r="C1484" t="str">
            <v>Aston House School</v>
          </cell>
          <cell r="D1484" t="str">
            <v>Ealing</v>
          </cell>
          <cell r="E1484" t="str">
            <v>Other Independent School</v>
          </cell>
          <cell r="F1484" t="str">
            <v>Not applicable</v>
          </cell>
        </row>
        <row r="1485">
          <cell r="A1485">
            <v>3722087</v>
          </cell>
          <cell r="B1485">
            <v>106888</v>
          </cell>
          <cell r="C1485" t="str">
            <v>Aston Lodge Primary School</v>
          </cell>
          <cell r="D1485" t="str">
            <v>Rotherham</v>
          </cell>
          <cell r="E1485" t="str">
            <v>Community School</v>
          </cell>
          <cell r="F1485" t="str">
            <v>Primary</v>
          </cell>
        </row>
        <row r="1486">
          <cell r="A1486">
            <v>3304220</v>
          </cell>
          <cell r="B1486">
            <v>136882</v>
          </cell>
          <cell r="C1486" t="str">
            <v>Aston Manor Academy</v>
          </cell>
          <cell r="D1486" t="str">
            <v>Birmingham</v>
          </cell>
          <cell r="E1486" t="str">
            <v>Academy Converters</v>
          </cell>
          <cell r="F1486" t="str">
            <v>Secondary</v>
          </cell>
        </row>
        <row r="1487">
          <cell r="A1487">
            <v>3304220</v>
          </cell>
          <cell r="B1487">
            <v>103508</v>
          </cell>
          <cell r="C1487" t="str">
            <v>Aston Manor School</v>
          </cell>
          <cell r="D1487" t="str">
            <v>Birmingham</v>
          </cell>
          <cell r="E1487" t="str">
            <v>Foundation School</v>
          </cell>
          <cell r="F1487" t="str">
            <v>Secondary</v>
          </cell>
        </row>
        <row r="1488">
          <cell r="A1488">
            <v>9313180</v>
          </cell>
          <cell r="B1488">
            <v>123124</v>
          </cell>
          <cell r="C1488" t="str">
            <v>Aston Rowant Church of England Primary School</v>
          </cell>
          <cell r="D1488" t="str">
            <v>Oxfordshire</v>
          </cell>
          <cell r="E1488" t="str">
            <v>Voluntary Controlled School</v>
          </cell>
          <cell r="F1488" t="str">
            <v>Primary</v>
          </cell>
        </row>
        <row r="1489">
          <cell r="A1489">
            <v>3722100</v>
          </cell>
          <cell r="B1489">
            <v>106901</v>
          </cell>
          <cell r="C1489" t="str">
            <v>Aston Springwood Primary School</v>
          </cell>
          <cell r="D1489" t="str">
            <v>Rotherham</v>
          </cell>
          <cell r="E1489" t="str">
            <v>Community School</v>
          </cell>
          <cell r="F1489" t="str">
            <v>Primary</v>
          </cell>
        </row>
        <row r="1490">
          <cell r="A1490">
            <v>9193307</v>
          </cell>
          <cell r="B1490">
            <v>117421</v>
          </cell>
          <cell r="C1490" t="str">
            <v>Aston St Mary's Church of England Aided Primary School</v>
          </cell>
          <cell r="D1490" t="str">
            <v>Hertfordshire</v>
          </cell>
          <cell r="E1490" t="str">
            <v>Voluntary Aided School</v>
          </cell>
          <cell r="F1490" t="str">
            <v>Primary</v>
          </cell>
        </row>
        <row r="1491">
          <cell r="A1491">
            <v>3302443</v>
          </cell>
          <cell r="B1491">
            <v>103370</v>
          </cell>
          <cell r="C1491" t="str">
            <v>Aston Tower Community Primary School</v>
          </cell>
          <cell r="D1491" t="str">
            <v>Birmingham</v>
          </cell>
          <cell r="E1491" t="str">
            <v>Community School</v>
          </cell>
          <cell r="F1491" t="str">
            <v>Primary</v>
          </cell>
        </row>
        <row r="1492">
          <cell r="A1492">
            <v>330</v>
          </cell>
          <cell r="B1492">
            <v>133787</v>
          </cell>
          <cell r="C1492" t="str">
            <v>Aston University</v>
          </cell>
          <cell r="D1492" t="str">
            <v>Birmingham</v>
          </cell>
          <cell r="E1492" t="str">
            <v>Higher Education Institutions</v>
          </cell>
          <cell r="F1492" t="str">
            <v>Not applicable</v>
          </cell>
        </row>
        <row r="1493">
          <cell r="A1493">
            <v>8302018</v>
          </cell>
          <cell r="B1493">
            <v>112502</v>
          </cell>
          <cell r="C1493" t="str">
            <v>Aston-on-Trent Primary School</v>
          </cell>
          <cell r="D1493" t="str">
            <v>Derbyshire</v>
          </cell>
          <cell r="E1493" t="str">
            <v>Community School</v>
          </cell>
          <cell r="F1493" t="str">
            <v>Primary</v>
          </cell>
        </row>
        <row r="1494">
          <cell r="A1494">
            <v>8864113</v>
          </cell>
          <cell r="B1494">
            <v>118807</v>
          </cell>
          <cell r="C1494" t="str">
            <v>Astor College (A Specialist College for the Arts)</v>
          </cell>
          <cell r="D1494" t="str">
            <v>Kent</v>
          </cell>
          <cell r="E1494" t="str">
            <v>Community School</v>
          </cell>
          <cell r="F1494" t="str">
            <v>Secondary</v>
          </cell>
        </row>
        <row r="1495">
          <cell r="A1495">
            <v>3306071</v>
          </cell>
          <cell r="B1495">
            <v>103581</v>
          </cell>
          <cell r="C1495" t="str">
            <v>Astwell Preparatory School</v>
          </cell>
          <cell r="D1495" t="str">
            <v>Birmingham</v>
          </cell>
          <cell r="E1495" t="str">
            <v>Other Independent School</v>
          </cell>
          <cell r="F1495" t="str">
            <v>Not applicable</v>
          </cell>
        </row>
        <row r="1496">
          <cell r="A1496">
            <v>8852127</v>
          </cell>
          <cell r="B1496">
            <v>116720</v>
          </cell>
          <cell r="C1496" t="str">
            <v>Astwood Bank First School</v>
          </cell>
          <cell r="D1496" t="str">
            <v>Worcestershire</v>
          </cell>
          <cell r="E1496" t="str">
            <v>Community School</v>
          </cell>
          <cell r="F1496" t="str">
            <v>Primary</v>
          </cell>
        </row>
        <row r="1497">
          <cell r="A1497">
            <v>2092023</v>
          </cell>
          <cell r="B1497">
            <v>100672</v>
          </cell>
          <cell r="C1497" t="str">
            <v>Athelney Primary School</v>
          </cell>
          <cell r="D1497" t="str">
            <v>Lewisham</v>
          </cell>
          <cell r="E1497" t="str">
            <v>Community School</v>
          </cell>
          <cell r="F1497" t="str">
            <v>Primary</v>
          </cell>
        </row>
        <row r="1498">
          <cell r="A1498">
            <v>3732208</v>
          </cell>
          <cell r="B1498">
            <v>127676</v>
          </cell>
          <cell r="C1498" t="str">
            <v>Athelstan First School</v>
          </cell>
          <cell r="D1498" t="str">
            <v>Sheffield</v>
          </cell>
          <cell r="E1498" t="str">
            <v>Community School</v>
          </cell>
          <cell r="F1498" t="str">
            <v>Primary</v>
          </cell>
        </row>
        <row r="1499">
          <cell r="A1499">
            <v>3186060</v>
          </cell>
          <cell r="B1499">
            <v>102941</v>
          </cell>
          <cell r="C1499" t="str">
            <v>Athelstan House School</v>
          </cell>
          <cell r="D1499" t="str">
            <v>Richmond upon Thames</v>
          </cell>
          <cell r="E1499" t="str">
            <v>Other Independent School</v>
          </cell>
          <cell r="F1499" t="str">
            <v>Not applicable</v>
          </cell>
        </row>
        <row r="1500">
          <cell r="A1500">
            <v>3732207</v>
          </cell>
          <cell r="B1500">
            <v>127675</v>
          </cell>
          <cell r="C1500" t="str">
            <v>Athelstan Middle School</v>
          </cell>
          <cell r="D1500" t="str">
            <v>Sheffield</v>
          </cell>
          <cell r="E1500" t="str">
            <v>Community School</v>
          </cell>
          <cell r="F1500" t="str">
            <v>Middle Deemed Primary</v>
          </cell>
        </row>
        <row r="1501">
          <cell r="A1501">
            <v>3732340</v>
          </cell>
          <cell r="B1501">
            <v>107083</v>
          </cell>
          <cell r="C1501" t="str">
            <v>Athelstan Primary School</v>
          </cell>
          <cell r="D1501" t="str">
            <v>Sheffield</v>
          </cell>
          <cell r="E1501" t="str">
            <v>Community School</v>
          </cell>
          <cell r="F1501" t="str">
            <v>Primary</v>
          </cell>
        </row>
        <row r="1502">
          <cell r="A1502">
            <v>3717010</v>
          </cell>
          <cell r="B1502">
            <v>106824</v>
          </cell>
          <cell r="C1502" t="str">
            <v>Athelstane School</v>
          </cell>
          <cell r="D1502" t="str">
            <v>Doncaster</v>
          </cell>
          <cell r="E1502" t="str">
            <v>Community Special School</v>
          </cell>
          <cell r="F1502" t="str">
            <v>Special</v>
          </cell>
        </row>
        <row r="1503">
          <cell r="A1503">
            <v>3702035</v>
          </cell>
          <cell r="B1503">
            <v>106570</v>
          </cell>
          <cell r="C1503" t="str">
            <v>Athersley North Infant School</v>
          </cell>
          <cell r="D1503" t="str">
            <v>Barnsley</v>
          </cell>
          <cell r="E1503" t="str">
            <v>Community School</v>
          </cell>
          <cell r="F1503" t="str">
            <v>Primary</v>
          </cell>
        </row>
        <row r="1504">
          <cell r="A1504">
            <v>3702138</v>
          </cell>
          <cell r="B1504">
            <v>131157</v>
          </cell>
          <cell r="C1504" t="str">
            <v>Athersley North Primary School</v>
          </cell>
          <cell r="D1504" t="str">
            <v>Barnsley</v>
          </cell>
          <cell r="E1504" t="str">
            <v>Community School</v>
          </cell>
          <cell r="F1504" t="str">
            <v>Primary</v>
          </cell>
        </row>
        <row r="1505">
          <cell r="A1505">
            <v>3702034</v>
          </cell>
          <cell r="B1505">
            <v>106569</v>
          </cell>
          <cell r="C1505" t="str">
            <v>Athersley South Junior School</v>
          </cell>
          <cell r="D1505" t="str">
            <v>Barnsley</v>
          </cell>
          <cell r="E1505" t="str">
            <v>Community School</v>
          </cell>
          <cell r="F1505" t="str">
            <v>Primary</v>
          </cell>
        </row>
        <row r="1506">
          <cell r="A1506">
            <v>3702140</v>
          </cell>
          <cell r="B1506">
            <v>131160</v>
          </cell>
          <cell r="C1506" t="str">
            <v>Athersley South Primary School</v>
          </cell>
          <cell r="D1506" t="str">
            <v>Barnsley</v>
          </cell>
          <cell r="E1506" t="str">
            <v>Community School</v>
          </cell>
          <cell r="F1506" t="str">
            <v>Primary</v>
          </cell>
        </row>
        <row r="1507">
          <cell r="A1507">
            <v>9371000</v>
          </cell>
          <cell r="B1507">
            <v>125484</v>
          </cell>
          <cell r="C1507" t="str">
            <v>Atherstone Early Years Centre</v>
          </cell>
          <cell r="D1507" t="str">
            <v>Warwickshire</v>
          </cell>
          <cell r="E1507" t="str">
            <v>LA Nursery School</v>
          </cell>
          <cell r="F1507" t="str">
            <v>Nursery</v>
          </cell>
        </row>
        <row r="1508">
          <cell r="A1508">
            <v>9375405</v>
          </cell>
          <cell r="B1508">
            <v>132960</v>
          </cell>
          <cell r="C1508" t="str">
            <v>Atherstone Grammar School</v>
          </cell>
          <cell r="D1508" t="str">
            <v>Warwickshire</v>
          </cell>
          <cell r="E1508" t="str">
            <v>Miscellaneous</v>
          </cell>
          <cell r="F1508" t="str">
            <v>Not applicable</v>
          </cell>
        </row>
        <row r="1509">
          <cell r="A1509">
            <v>9372005</v>
          </cell>
          <cell r="B1509">
            <v>130145</v>
          </cell>
          <cell r="C1509" t="str">
            <v>Atherstone North County Middle School</v>
          </cell>
          <cell r="D1509" t="str">
            <v>Warwickshire</v>
          </cell>
          <cell r="E1509" t="str">
            <v>Community School</v>
          </cell>
          <cell r="F1509" t="str">
            <v>Middle Deemed Primary</v>
          </cell>
        </row>
        <row r="1510">
          <cell r="A1510">
            <v>3597006</v>
          </cell>
          <cell r="B1510">
            <v>106544</v>
          </cell>
          <cell r="C1510" t="str">
            <v>Atherton Green Hall School</v>
          </cell>
          <cell r="D1510" t="str">
            <v>Wigan</v>
          </cell>
          <cell r="E1510" t="str">
            <v>Community Special School</v>
          </cell>
          <cell r="F1510" t="str">
            <v>Special</v>
          </cell>
        </row>
        <row r="1511">
          <cell r="A1511">
            <v>3436127</v>
          </cell>
          <cell r="B1511">
            <v>104971</v>
          </cell>
          <cell r="C1511" t="str">
            <v>Atherton House School</v>
          </cell>
          <cell r="D1511" t="str">
            <v>Sefton</v>
          </cell>
          <cell r="E1511" t="str">
            <v>Other Independent School</v>
          </cell>
          <cell r="F1511" t="str">
            <v>Not applicable</v>
          </cell>
        </row>
        <row r="1512">
          <cell r="A1512">
            <v>8752259</v>
          </cell>
          <cell r="B1512">
            <v>111099</v>
          </cell>
          <cell r="C1512" t="str">
            <v>Atherton Nursery and Infant School</v>
          </cell>
          <cell r="D1512" t="str">
            <v>Pre LGR (2009) Cheshire</v>
          </cell>
          <cell r="E1512" t="str">
            <v>Community School</v>
          </cell>
          <cell r="F1512" t="str">
            <v>Primary</v>
          </cell>
        </row>
        <row r="1513">
          <cell r="A1513">
            <v>3593429</v>
          </cell>
          <cell r="B1513">
            <v>130300</v>
          </cell>
          <cell r="C1513" t="str">
            <v>Atherton St George's CofE Primary School</v>
          </cell>
          <cell r="D1513" t="str">
            <v>Wigan</v>
          </cell>
          <cell r="E1513" t="str">
            <v>Voluntary Aided School</v>
          </cell>
          <cell r="F1513" t="str">
            <v>Primary</v>
          </cell>
        </row>
        <row r="1514">
          <cell r="A1514">
            <v>3106052</v>
          </cell>
          <cell r="B1514">
            <v>126916</v>
          </cell>
          <cell r="C1514" t="str">
            <v>Atholl School</v>
          </cell>
          <cell r="D1514" t="str">
            <v>Harrow</v>
          </cell>
          <cell r="E1514" t="str">
            <v>Other Independent School</v>
          </cell>
          <cell r="F1514" t="str">
            <v>Not applicable</v>
          </cell>
        </row>
        <row r="1515">
          <cell r="A1515">
            <v>9297024</v>
          </cell>
          <cell r="B1515">
            <v>132771</v>
          </cell>
          <cell r="C1515" t="str">
            <v>Atkinson House School</v>
          </cell>
          <cell r="D1515" t="str">
            <v>Northumberland</v>
          </cell>
          <cell r="E1515" t="str">
            <v>Community Special School</v>
          </cell>
          <cell r="F1515" t="str">
            <v>Special</v>
          </cell>
        </row>
        <row r="1516">
          <cell r="A1516">
            <v>3911002</v>
          </cell>
          <cell r="B1516">
            <v>108429</v>
          </cell>
          <cell r="C1516" t="str">
            <v>Atkinson Road Nursery School</v>
          </cell>
          <cell r="D1516" t="str">
            <v>Newcastle upon Tyne</v>
          </cell>
          <cell r="E1516" t="str">
            <v>LA Nursery School</v>
          </cell>
          <cell r="F1516" t="str">
            <v>Nursery</v>
          </cell>
        </row>
        <row r="1517">
          <cell r="A1517">
            <v>3912010</v>
          </cell>
          <cell r="B1517">
            <v>108445</v>
          </cell>
          <cell r="C1517" t="str">
            <v>Atkinson Road Primary School</v>
          </cell>
          <cell r="D1517" t="str">
            <v>Newcastle upon Tyne</v>
          </cell>
          <cell r="E1517" t="str">
            <v>Community School</v>
          </cell>
          <cell r="F1517" t="str">
            <v>Primary</v>
          </cell>
        </row>
        <row r="1518">
          <cell r="A1518">
            <v>878611</v>
          </cell>
          <cell r="B1518">
            <v>133125</v>
          </cell>
          <cell r="C1518" t="str">
            <v>Atkinson Secure School and Home</v>
          </cell>
          <cell r="D1518" t="str">
            <v>Devon</v>
          </cell>
          <cell r="E1518" t="str">
            <v>Secure Units</v>
          </cell>
          <cell r="F1518" t="str">
            <v>Not applicable</v>
          </cell>
        </row>
        <row r="1519">
          <cell r="A1519">
            <v>3802184</v>
          </cell>
          <cell r="B1519">
            <v>107295</v>
          </cell>
          <cell r="C1519" t="str">
            <v>Atlas Community Primary School</v>
          </cell>
          <cell r="D1519" t="str">
            <v>Bradford</v>
          </cell>
          <cell r="E1519" t="str">
            <v>Community School</v>
          </cell>
          <cell r="F1519" t="str">
            <v>Primary</v>
          </cell>
        </row>
        <row r="1520">
          <cell r="A1520">
            <v>8916002</v>
          </cell>
          <cell r="B1520">
            <v>122909</v>
          </cell>
          <cell r="C1520" t="str">
            <v>Attenborough Preparatory School</v>
          </cell>
          <cell r="D1520" t="str">
            <v>Nottinghamshire</v>
          </cell>
          <cell r="E1520" t="str">
            <v>Other Independent School</v>
          </cell>
          <cell r="F1520" t="str">
            <v>Not applicable</v>
          </cell>
        </row>
        <row r="1521">
          <cell r="A1521">
            <v>9372101</v>
          </cell>
          <cell r="B1521">
            <v>125536</v>
          </cell>
          <cell r="C1521" t="str">
            <v>Attleborough First School</v>
          </cell>
          <cell r="D1521" t="str">
            <v>Warwickshire</v>
          </cell>
          <cell r="E1521" t="str">
            <v>Community School</v>
          </cell>
          <cell r="F1521" t="str">
            <v>Primary</v>
          </cell>
        </row>
        <row r="1522">
          <cell r="A1522">
            <v>9264052</v>
          </cell>
          <cell r="B1522">
            <v>121167</v>
          </cell>
          <cell r="C1522" t="str">
            <v>Attleborough High School</v>
          </cell>
          <cell r="D1522" t="str">
            <v>Norfolk</v>
          </cell>
          <cell r="E1522" t="str">
            <v>Community School</v>
          </cell>
          <cell r="F1522" t="str">
            <v>Secondary</v>
          </cell>
        </row>
        <row r="1523">
          <cell r="A1523">
            <v>9262004</v>
          </cell>
          <cell r="B1523">
            <v>120780</v>
          </cell>
          <cell r="C1523" t="str">
            <v>Attleborough Infant School</v>
          </cell>
          <cell r="D1523" t="str">
            <v>Norfolk</v>
          </cell>
          <cell r="E1523" t="str">
            <v>Community School</v>
          </cell>
          <cell r="F1523" t="str">
            <v>Primary</v>
          </cell>
        </row>
        <row r="1524">
          <cell r="A1524">
            <v>9262287</v>
          </cell>
          <cell r="B1524">
            <v>120926</v>
          </cell>
          <cell r="C1524" t="str">
            <v>Attleborough Junior School</v>
          </cell>
          <cell r="D1524" t="str">
            <v>Norfolk</v>
          </cell>
          <cell r="E1524" t="str">
            <v>Community School</v>
          </cell>
          <cell r="F1524" t="str">
            <v>Primary</v>
          </cell>
        </row>
        <row r="1525">
          <cell r="A1525">
            <v>8072350</v>
          </cell>
          <cell r="B1525">
            <v>111648</v>
          </cell>
          <cell r="C1525" t="str">
            <v>Attlee Road Primary School</v>
          </cell>
          <cell r="D1525" t="str">
            <v>Redcar and Cleveland</v>
          </cell>
          <cell r="E1525" t="str">
            <v>Community School</v>
          </cell>
          <cell r="F1525" t="str">
            <v>Primary</v>
          </cell>
        </row>
        <row r="1526">
          <cell r="A1526">
            <v>3065202</v>
          </cell>
          <cell r="B1526">
            <v>101817</v>
          </cell>
          <cell r="C1526" t="str">
            <v>Atwood Primary School</v>
          </cell>
          <cell r="D1526" t="str">
            <v>Croydon</v>
          </cell>
          <cell r="E1526" t="str">
            <v>Foundation School</v>
          </cell>
          <cell r="F1526" t="str">
            <v>Primary</v>
          </cell>
        </row>
        <row r="1527">
          <cell r="A1527">
            <v>8652002</v>
          </cell>
          <cell r="B1527">
            <v>126175</v>
          </cell>
          <cell r="C1527" t="str">
            <v>Atworth Primary School</v>
          </cell>
          <cell r="D1527" t="str">
            <v>Wiltshire</v>
          </cell>
          <cell r="E1527" t="str">
            <v>Community School</v>
          </cell>
          <cell r="F1527" t="str">
            <v>Primary</v>
          </cell>
        </row>
        <row r="1528">
          <cell r="A1528">
            <v>9252001</v>
          </cell>
          <cell r="B1528">
            <v>129557</v>
          </cell>
          <cell r="C1528" t="str">
            <v>Aubourn Primary School</v>
          </cell>
          <cell r="D1528" t="str">
            <v>Lincolnshire</v>
          </cell>
          <cell r="E1528" t="str">
            <v>Community School</v>
          </cell>
          <cell r="F1528" t="str">
            <v>Primary</v>
          </cell>
        </row>
        <row r="1529">
          <cell r="A1529">
            <v>3416046</v>
          </cell>
          <cell r="B1529">
            <v>132119</v>
          </cell>
          <cell r="C1529" t="str">
            <v>Auckland College</v>
          </cell>
          <cell r="D1529" t="str">
            <v>Liverpool</v>
          </cell>
          <cell r="E1529" t="str">
            <v>Other Independent School</v>
          </cell>
          <cell r="F1529" t="str">
            <v>Not applicable</v>
          </cell>
        </row>
        <row r="1530">
          <cell r="A1530">
            <v>3341105</v>
          </cell>
          <cell r="B1530">
            <v>134534</v>
          </cell>
          <cell r="C1530" t="str">
            <v>Auckland Education Centre</v>
          </cell>
          <cell r="D1530" t="str">
            <v>Solihull</v>
          </cell>
          <cell r="E1530" t="str">
            <v>Pupil Referral Unit</v>
          </cell>
          <cell r="F1530" t="str">
            <v>PRU</v>
          </cell>
        </row>
        <row r="1531">
          <cell r="A1531">
            <v>3712143</v>
          </cell>
          <cell r="B1531">
            <v>106714</v>
          </cell>
          <cell r="C1531" t="str">
            <v>Auckley Junior and Infant School</v>
          </cell>
          <cell r="D1531" t="str">
            <v>Doncaster</v>
          </cell>
          <cell r="E1531" t="str">
            <v>Community School</v>
          </cell>
          <cell r="F1531" t="str">
            <v>Primary</v>
          </cell>
        </row>
        <row r="1532">
          <cell r="A1532">
            <v>3712143</v>
          </cell>
          <cell r="B1532">
            <v>137335</v>
          </cell>
          <cell r="C1532" t="str">
            <v>Auckley School</v>
          </cell>
          <cell r="D1532" t="str">
            <v>Doncaster</v>
          </cell>
          <cell r="E1532" t="str">
            <v>Academy Converters</v>
          </cell>
          <cell r="F1532" t="str">
            <v>Primary</v>
          </cell>
        </row>
        <row r="1533">
          <cell r="A1533">
            <v>9246244</v>
          </cell>
          <cell r="B1533">
            <v>129551</v>
          </cell>
          <cell r="C1533" t="str">
            <v>Auclum Preparatory School</v>
          </cell>
          <cell r="D1533" t="str">
            <v>Pre LGR (1997) Leicestershire</v>
          </cell>
          <cell r="E1533" t="str">
            <v>Other Independent School</v>
          </cell>
          <cell r="F1533" t="str">
            <v>Not applicable</v>
          </cell>
        </row>
        <row r="1534">
          <cell r="A1534">
            <v>3572039</v>
          </cell>
          <cell r="B1534">
            <v>106203</v>
          </cell>
          <cell r="C1534" t="str">
            <v>Audenshaw Primary School</v>
          </cell>
          <cell r="D1534" t="str">
            <v>Tameside</v>
          </cell>
          <cell r="E1534" t="str">
            <v>Community School</v>
          </cell>
          <cell r="F1534" t="str">
            <v>Primary</v>
          </cell>
        </row>
        <row r="1535">
          <cell r="A1535">
            <v>3575400</v>
          </cell>
          <cell r="B1535">
            <v>106273</v>
          </cell>
          <cell r="C1535" t="str">
            <v>Audenshaw School</v>
          </cell>
          <cell r="D1535" t="str">
            <v>Tameside</v>
          </cell>
          <cell r="E1535" t="str">
            <v>Foundation School</v>
          </cell>
          <cell r="F1535" t="str">
            <v>Secondary</v>
          </cell>
        </row>
        <row r="1536">
          <cell r="A1536">
            <v>3575400</v>
          </cell>
          <cell r="B1536">
            <v>136273</v>
          </cell>
          <cell r="C1536" t="str">
            <v>Audenshaw School Academy Trust</v>
          </cell>
          <cell r="D1536" t="str">
            <v>Tameside</v>
          </cell>
          <cell r="E1536" t="str">
            <v>Academy Converters</v>
          </cell>
          <cell r="F1536" t="str">
            <v>Secondary</v>
          </cell>
        </row>
        <row r="1537">
          <cell r="A1537">
            <v>8953141</v>
          </cell>
          <cell r="B1537">
            <v>111267</v>
          </cell>
          <cell r="C1537" t="str">
            <v>Audlem St James' CofE Primary School</v>
          </cell>
          <cell r="D1537" t="str">
            <v>Cheshire East</v>
          </cell>
          <cell r="E1537" t="str">
            <v>Voluntary Controlled School</v>
          </cell>
          <cell r="F1537" t="str">
            <v>Primary</v>
          </cell>
        </row>
        <row r="1538">
          <cell r="A1538">
            <v>9316035</v>
          </cell>
          <cell r="B1538">
            <v>129774</v>
          </cell>
          <cell r="C1538" t="str">
            <v>Audley House Preparatory School</v>
          </cell>
          <cell r="D1538" t="str">
            <v>Oxfordshire</v>
          </cell>
          <cell r="E1538" t="str">
            <v>Other Independent School</v>
          </cell>
          <cell r="F1538" t="str">
            <v>Not applicable</v>
          </cell>
        </row>
        <row r="1539">
          <cell r="A1539">
            <v>3302013</v>
          </cell>
          <cell r="B1539">
            <v>103161</v>
          </cell>
          <cell r="C1539" t="str">
            <v>Audley Infant School</v>
          </cell>
          <cell r="D1539" t="str">
            <v>Birmingham</v>
          </cell>
          <cell r="E1539" t="str">
            <v>Community School</v>
          </cell>
          <cell r="F1539" t="str">
            <v>Primary</v>
          </cell>
        </row>
        <row r="1540">
          <cell r="A1540">
            <v>8892026</v>
          </cell>
          <cell r="B1540">
            <v>119136</v>
          </cell>
          <cell r="C1540" t="str">
            <v>Audley Infant School</v>
          </cell>
          <cell r="D1540" t="str">
            <v>Blackburn with Darwen</v>
          </cell>
          <cell r="E1540" t="str">
            <v>Community School</v>
          </cell>
          <cell r="F1540" t="str">
            <v>Primary</v>
          </cell>
        </row>
        <row r="1541">
          <cell r="A1541">
            <v>3302012</v>
          </cell>
          <cell r="B1541">
            <v>103160</v>
          </cell>
          <cell r="C1541" t="str">
            <v>Audley Junior School</v>
          </cell>
          <cell r="D1541" t="str">
            <v>Birmingham</v>
          </cell>
          <cell r="E1541" t="str">
            <v>Community School</v>
          </cell>
          <cell r="F1541" t="str">
            <v>Primary</v>
          </cell>
        </row>
        <row r="1542">
          <cell r="A1542">
            <v>8892000</v>
          </cell>
          <cell r="B1542">
            <v>119115</v>
          </cell>
          <cell r="C1542" t="str">
            <v>Audley Junior School</v>
          </cell>
          <cell r="D1542" t="str">
            <v>Blackburn with Darwen</v>
          </cell>
          <cell r="E1542" t="str">
            <v>Community School</v>
          </cell>
          <cell r="F1542" t="str">
            <v>Primary</v>
          </cell>
        </row>
        <row r="1543">
          <cell r="A1543">
            <v>8891032</v>
          </cell>
          <cell r="B1543">
            <v>119094</v>
          </cell>
          <cell r="C1543" t="str">
            <v>Audley Nursery School</v>
          </cell>
          <cell r="D1543" t="str">
            <v>Blackburn with Darwen</v>
          </cell>
          <cell r="E1543" t="str">
            <v>LA Nursery School</v>
          </cell>
          <cell r="F1543" t="str">
            <v>Nursery</v>
          </cell>
        </row>
        <row r="1544">
          <cell r="A1544">
            <v>9362435</v>
          </cell>
          <cell r="B1544">
            <v>125060</v>
          </cell>
          <cell r="C1544" t="str">
            <v>Audley Primary School</v>
          </cell>
          <cell r="D1544" t="str">
            <v>Surrey</v>
          </cell>
          <cell r="E1544" t="str">
            <v>Community School</v>
          </cell>
          <cell r="F1544" t="str">
            <v>Primary</v>
          </cell>
        </row>
        <row r="1545">
          <cell r="A1545">
            <v>3303412</v>
          </cell>
          <cell r="B1545">
            <v>134066</v>
          </cell>
          <cell r="C1545" t="str">
            <v>Audley Primary School</v>
          </cell>
          <cell r="D1545" t="str">
            <v>Birmingham</v>
          </cell>
          <cell r="E1545" t="str">
            <v>Community School</v>
          </cell>
          <cell r="F1545" t="str">
            <v>Primary</v>
          </cell>
        </row>
        <row r="1546">
          <cell r="A1546">
            <v>8883026</v>
          </cell>
          <cell r="B1546">
            <v>119370</v>
          </cell>
          <cell r="C1546" t="str">
            <v>Aughton Christ Church Church of England Voluntary Controlled Primary School</v>
          </cell>
          <cell r="D1546" t="str">
            <v>Lancashire</v>
          </cell>
          <cell r="E1546" t="str">
            <v>Voluntary Controlled School</v>
          </cell>
          <cell r="F1546" t="str">
            <v>Primary</v>
          </cell>
        </row>
        <row r="1547">
          <cell r="A1547">
            <v>3721002</v>
          </cell>
          <cell r="B1547">
            <v>106828</v>
          </cell>
          <cell r="C1547" t="str">
            <v>Aughton Early Years Centre</v>
          </cell>
          <cell r="D1547" t="str">
            <v>Rotherham</v>
          </cell>
          <cell r="E1547" t="str">
            <v>LA Nursery School</v>
          </cell>
          <cell r="F1547" t="str">
            <v>Nursery</v>
          </cell>
        </row>
        <row r="1548">
          <cell r="A1548">
            <v>3722122</v>
          </cell>
          <cell r="B1548">
            <v>106919</v>
          </cell>
          <cell r="C1548" t="str">
            <v>Aughton Primary School</v>
          </cell>
          <cell r="D1548" t="str">
            <v>Rotherham</v>
          </cell>
          <cell r="E1548" t="str">
            <v>Community School</v>
          </cell>
          <cell r="F1548" t="str">
            <v>Primary</v>
          </cell>
        </row>
        <row r="1549">
          <cell r="A1549">
            <v>8883108</v>
          </cell>
          <cell r="B1549">
            <v>119388</v>
          </cell>
          <cell r="C1549" t="str">
            <v>Aughton St Michael's Church of England Primary School</v>
          </cell>
          <cell r="D1549" t="str">
            <v>Lancashire</v>
          </cell>
          <cell r="E1549" t="str">
            <v>Voluntary Controlled School</v>
          </cell>
          <cell r="F1549" t="str">
            <v>Primary</v>
          </cell>
        </row>
        <row r="1550">
          <cell r="A1550">
            <v>8882443</v>
          </cell>
          <cell r="B1550">
            <v>119287</v>
          </cell>
          <cell r="C1550" t="str">
            <v>Aughton Town Green Primary School</v>
          </cell>
          <cell r="D1550" t="str">
            <v>Lancashire</v>
          </cell>
          <cell r="E1550" t="str">
            <v>Community School</v>
          </cell>
          <cell r="F1550" t="str">
            <v>Primary</v>
          </cell>
        </row>
        <row r="1551">
          <cell r="A1551">
            <v>7052059</v>
          </cell>
          <cell r="B1551">
            <v>132458</v>
          </cell>
          <cell r="C1551" t="str">
            <v>Auldyn Infant School</v>
          </cell>
          <cell r="D1551" t="str">
            <v>Isle of Man Offshore Establishments</v>
          </cell>
          <cell r="E1551" t="str">
            <v>Offshore Schools</v>
          </cell>
          <cell r="F1551" t="str">
            <v>Not applicable</v>
          </cell>
        </row>
        <row r="1552">
          <cell r="A1552">
            <v>9362090</v>
          </cell>
          <cell r="B1552">
            <v>124958</v>
          </cell>
          <cell r="C1552" t="str">
            <v>Auriol Junior School</v>
          </cell>
          <cell r="D1552" t="str">
            <v>Surrey</v>
          </cell>
          <cell r="E1552" t="str">
            <v>Community School</v>
          </cell>
          <cell r="F1552" t="str">
            <v>Primary</v>
          </cell>
        </row>
        <row r="1553">
          <cell r="A1553">
            <v>8501100</v>
          </cell>
          <cell r="B1553">
            <v>115833</v>
          </cell>
          <cell r="C1553" t="str">
            <v>Austen Pupil Referral Unit</v>
          </cell>
          <cell r="D1553" t="str">
            <v>Hampshire</v>
          </cell>
          <cell r="E1553" t="str">
            <v>Pupil Referral Unit</v>
          </cell>
          <cell r="F1553" t="str">
            <v>PRU</v>
          </cell>
        </row>
        <row r="1554">
          <cell r="A1554">
            <v>3832228</v>
          </cell>
          <cell r="B1554">
            <v>127864</v>
          </cell>
          <cell r="C1554" t="str">
            <v>Austhorpe First School</v>
          </cell>
          <cell r="D1554" t="str">
            <v>Leeds</v>
          </cell>
          <cell r="E1554" t="str">
            <v>Community School</v>
          </cell>
          <cell r="F1554" t="str">
            <v>Primary</v>
          </cell>
        </row>
        <row r="1555">
          <cell r="A1555">
            <v>3832463</v>
          </cell>
          <cell r="B1555">
            <v>107939</v>
          </cell>
          <cell r="C1555" t="str">
            <v>Austhorpe Primary School</v>
          </cell>
          <cell r="D1555" t="str">
            <v>Leeds</v>
          </cell>
          <cell r="E1555" t="str">
            <v>Foundation School</v>
          </cell>
          <cell r="F1555" t="str">
            <v>Primary</v>
          </cell>
        </row>
        <row r="1556">
          <cell r="A1556">
            <v>8792678</v>
          </cell>
          <cell r="B1556">
            <v>113302</v>
          </cell>
          <cell r="C1556" t="str">
            <v>Austin Farm Primary School</v>
          </cell>
          <cell r="D1556" t="str">
            <v>Plymouth</v>
          </cell>
          <cell r="E1556" t="str">
            <v>Community School</v>
          </cell>
          <cell r="F1556" t="str">
            <v>Primary</v>
          </cell>
        </row>
        <row r="1557">
          <cell r="A1557">
            <v>9096032</v>
          </cell>
          <cell r="B1557">
            <v>112453</v>
          </cell>
          <cell r="C1557" t="str">
            <v>Austin Friars St Monica's</v>
          </cell>
          <cell r="D1557" t="str">
            <v>Cumbria</v>
          </cell>
          <cell r="E1557" t="str">
            <v>Other Independent School</v>
          </cell>
          <cell r="F1557" t="str">
            <v>Not applicable</v>
          </cell>
        </row>
        <row r="1558">
          <cell r="A1558">
            <v>9373007</v>
          </cell>
          <cell r="B1558">
            <v>125624</v>
          </cell>
          <cell r="C1558" t="str">
            <v>Austrey CofE Primary School</v>
          </cell>
          <cell r="D1558" t="str">
            <v>Warwickshire</v>
          </cell>
          <cell r="E1558" t="str">
            <v>Voluntary Controlled School</v>
          </cell>
          <cell r="F1558" t="str">
            <v>Primary</v>
          </cell>
        </row>
        <row r="1559">
          <cell r="A1559">
            <v>8153350</v>
          </cell>
          <cell r="B1559">
            <v>121620</v>
          </cell>
          <cell r="C1559" t="str">
            <v>Austwick Church of England VA Primary School</v>
          </cell>
          <cell r="D1559" t="str">
            <v>North Yorkshire</v>
          </cell>
          <cell r="E1559" t="str">
            <v>Voluntary Aided School</v>
          </cell>
          <cell r="F1559" t="str">
            <v>Primary</v>
          </cell>
        </row>
        <row r="1560">
          <cell r="A1560">
            <v>3446016</v>
          </cell>
          <cell r="B1560">
            <v>105122</v>
          </cell>
          <cell r="C1560" t="str">
            <v>Avalon School</v>
          </cell>
          <cell r="D1560" t="str">
            <v>Wirral</v>
          </cell>
          <cell r="E1560" t="str">
            <v>Other Independent School</v>
          </cell>
          <cell r="F1560" t="str">
            <v>Not applicable</v>
          </cell>
        </row>
        <row r="1561">
          <cell r="A1561">
            <v>9337018</v>
          </cell>
          <cell r="B1561">
            <v>123945</v>
          </cell>
          <cell r="C1561" t="str">
            <v>Avalon School</v>
          </cell>
          <cell r="D1561" t="str">
            <v>Somerset</v>
          </cell>
          <cell r="E1561" t="str">
            <v>Community Special School</v>
          </cell>
          <cell r="F1561" t="str">
            <v>Special</v>
          </cell>
        </row>
        <row r="1562">
          <cell r="A1562">
            <v>8653003</v>
          </cell>
          <cell r="B1562">
            <v>126298</v>
          </cell>
          <cell r="C1562" t="str">
            <v>Avebury Church of England Primary School</v>
          </cell>
          <cell r="D1562" t="str">
            <v>Wiltshire</v>
          </cell>
          <cell r="E1562" t="str">
            <v>Voluntary Controlled School</v>
          </cell>
          <cell r="F1562" t="str">
            <v>Primary</v>
          </cell>
        </row>
        <row r="1563">
          <cell r="A1563">
            <v>9152372</v>
          </cell>
          <cell r="B1563">
            <v>128889</v>
          </cell>
          <cell r="C1563" t="str">
            <v>Aveley County Infant School</v>
          </cell>
          <cell r="D1563" t="str">
            <v>Pre LGR (1998) Essex</v>
          </cell>
          <cell r="E1563" t="str">
            <v>Community School</v>
          </cell>
          <cell r="F1563" t="str">
            <v>Primary</v>
          </cell>
        </row>
        <row r="1564">
          <cell r="A1564">
            <v>8832382</v>
          </cell>
          <cell r="B1564">
            <v>114836</v>
          </cell>
          <cell r="C1564" t="str">
            <v>Aveley Primary School</v>
          </cell>
          <cell r="D1564" t="str">
            <v>Thurrock</v>
          </cell>
          <cell r="E1564" t="str">
            <v>Community School</v>
          </cell>
          <cell r="F1564" t="str">
            <v>Primary</v>
          </cell>
        </row>
        <row r="1565">
          <cell r="A1565">
            <v>9162041</v>
          </cell>
          <cell r="B1565">
            <v>115501</v>
          </cell>
          <cell r="C1565" t="str">
            <v>Avening Primary School</v>
          </cell>
          <cell r="D1565" t="str">
            <v>Gloucestershire</v>
          </cell>
          <cell r="E1565" t="str">
            <v>Community School</v>
          </cell>
          <cell r="F1565" t="str">
            <v>Primary</v>
          </cell>
        </row>
        <row r="1566">
          <cell r="A1566">
            <v>8211102</v>
          </cell>
          <cell r="B1566">
            <v>134525</v>
          </cell>
          <cell r="C1566" t="str">
            <v>Avenue Centre for Education</v>
          </cell>
          <cell r="D1566" t="str">
            <v>Luton</v>
          </cell>
          <cell r="E1566" t="str">
            <v>Pupil Referral Unit</v>
          </cell>
          <cell r="F1566" t="str">
            <v>PRU</v>
          </cell>
        </row>
        <row r="1567">
          <cell r="A1567">
            <v>9262292</v>
          </cell>
          <cell r="B1567">
            <v>120929</v>
          </cell>
          <cell r="C1567" t="str">
            <v>Avenue First School</v>
          </cell>
          <cell r="D1567" t="str">
            <v>Norfolk</v>
          </cell>
          <cell r="E1567" t="str">
            <v>Community School</v>
          </cell>
          <cell r="F1567" t="str">
            <v>Primary</v>
          </cell>
        </row>
        <row r="1568">
          <cell r="A1568">
            <v>3076075</v>
          </cell>
          <cell r="B1568">
            <v>101962</v>
          </cell>
          <cell r="C1568" t="str">
            <v>Avenue House School</v>
          </cell>
          <cell r="D1568" t="str">
            <v>Ealing</v>
          </cell>
          <cell r="E1568" t="str">
            <v>Other Independent School</v>
          </cell>
          <cell r="F1568" t="str">
            <v>Not applicable</v>
          </cell>
        </row>
        <row r="1569">
          <cell r="A1569">
            <v>8562202</v>
          </cell>
          <cell r="B1569">
            <v>119995</v>
          </cell>
          <cell r="C1569" t="str">
            <v>Avenue Infant and Nursery School</v>
          </cell>
          <cell r="D1569" t="str">
            <v>Leicester</v>
          </cell>
          <cell r="E1569" t="str">
            <v>Community School</v>
          </cell>
          <cell r="F1569" t="str">
            <v>Primary</v>
          </cell>
        </row>
        <row r="1570">
          <cell r="A1570">
            <v>3162002</v>
          </cell>
          <cell r="B1570">
            <v>126974</v>
          </cell>
          <cell r="C1570" t="str">
            <v>Avenue Infant School</v>
          </cell>
          <cell r="D1570" t="str">
            <v>Newham</v>
          </cell>
          <cell r="E1570" t="str">
            <v>Community School</v>
          </cell>
          <cell r="F1570" t="str">
            <v>Primary</v>
          </cell>
        </row>
        <row r="1571">
          <cell r="A1571">
            <v>8562203</v>
          </cell>
          <cell r="B1571">
            <v>119996</v>
          </cell>
          <cell r="C1571" t="str">
            <v>Avenue Junior School</v>
          </cell>
          <cell r="D1571" t="str">
            <v>Leicester</v>
          </cell>
          <cell r="E1571" t="str">
            <v>Community School</v>
          </cell>
          <cell r="F1571" t="str">
            <v>Primary</v>
          </cell>
        </row>
        <row r="1572">
          <cell r="A1572">
            <v>9262291</v>
          </cell>
          <cell r="B1572">
            <v>120928</v>
          </cell>
          <cell r="C1572" t="str">
            <v>Avenue Junior School</v>
          </cell>
          <cell r="D1572" t="str">
            <v>Norfolk</v>
          </cell>
          <cell r="E1572" t="str">
            <v>Community School</v>
          </cell>
          <cell r="F1572" t="str">
            <v>Primary</v>
          </cell>
        </row>
        <row r="1573">
          <cell r="A1573">
            <v>3096084</v>
          </cell>
          <cell r="B1573">
            <v>134800</v>
          </cell>
          <cell r="C1573" t="str">
            <v>Avenue Nursery and Pre-Preparatory School</v>
          </cell>
          <cell r="D1573" t="str">
            <v>Haringey</v>
          </cell>
          <cell r="E1573" t="str">
            <v>Other Independent School</v>
          </cell>
          <cell r="F1573" t="str">
            <v>Not applicable</v>
          </cell>
        </row>
        <row r="1574">
          <cell r="A1574">
            <v>3162001</v>
          </cell>
          <cell r="B1574">
            <v>102710</v>
          </cell>
          <cell r="C1574" t="str">
            <v>Avenue Primary School</v>
          </cell>
          <cell r="D1574" t="str">
            <v>Newham</v>
          </cell>
          <cell r="E1574" t="str">
            <v>Community School</v>
          </cell>
          <cell r="F1574" t="str">
            <v>Primary</v>
          </cell>
        </row>
        <row r="1575">
          <cell r="A1575">
            <v>3192003</v>
          </cell>
          <cell r="B1575">
            <v>102960</v>
          </cell>
          <cell r="C1575" t="str">
            <v>Avenue Primary School</v>
          </cell>
          <cell r="D1575" t="str">
            <v>Sutton</v>
          </cell>
          <cell r="E1575" t="str">
            <v>Community School</v>
          </cell>
          <cell r="F1575" t="str">
            <v>Primary</v>
          </cell>
        </row>
        <row r="1576">
          <cell r="A1576">
            <v>8563435</v>
          </cell>
          <cell r="B1576">
            <v>131002</v>
          </cell>
          <cell r="C1576" t="str">
            <v>Avenue Primary School</v>
          </cell>
          <cell r="D1576" t="str">
            <v>Leicester</v>
          </cell>
          <cell r="E1576" t="str">
            <v>Community School</v>
          </cell>
          <cell r="F1576" t="str">
            <v>Primary</v>
          </cell>
        </row>
        <row r="1577">
          <cell r="A1577">
            <v>8783100</v>
          </cell>
          <cell r="B1577">
            <v>113387</v>
          </cell>
          <cell r="C1577" t="str">
            <v>Aveton Gifford CofE Primary School</v>
          </cell>
          <cell r="D1577" t="str">
            <v>Devon</v>
          </cell>
          <cell r="E1577" t="str">
            <v>Voluntary Controlled School</v>
          </cell>
          <cell r="F1577" t="str">
            <v>Primary</v>
          </cell>
        </row>
        <row r="1578">
          <cell r="A1578">
            <v>3043603</v>
          </cell>
          <cell r="B1578">
            <v>131916</v>
          </cell>
          <cell r="C1578" t="str">
            <v>Avigdor Hirsch Torah Temimah Primary School</v>
          </cell>
          <cell r="D1578" t="str">
            <v>Brent</v>
          </cell>
          <cell r="E1578" t="str">
            <v>Voluntary Aided School</v>
          </cell>
          <cell r="F1578" t="str">
            <v>Primary</v>
          </cell>
        </row>
        <row r="1579">
          <cell r="A1579">
            <v>2043646</v>
          </cell>
          <cell r="B1579">
            <v>100272</v>
          </cell>
          <cell r="C1579" t="str">
            <v>Avigdor Primary School</v>
          </cell>
          <cell r="D1579" t="str">
            <v>Hackney</v>
          </cell>
          <cell r="E1579" t="str">
            <v>Voluntary Aided School</v>
          </cell>
          <cell r="F1579" t="str">
            <v>Primary</v>
          </cell>
        </row>
        <row r="1580">
          <cell r="A1580">
            <v>9332102</v>
          </cell>
          <cell r="B1580">
            <v>123671</v>
          </cell>
          <cell r="C1580" t="str">
            <v>Avishayes Community Primary School</v>
          </cell>
          <cell r="D1580" t="str">
            <v>Somerset</v>
          </cell>
          <cell r="E1580" t="str">
            <v>Community School</v>
          </cell>
          <cell r="F1580" t="str">
            <v>Primary</v>
          </cell>
        </row>
        <row r="1581">
          <cell r="A1581">
            <v>9332102</v>
          </cell>
          <cell r="B1581">
            <v>137174</v>
          </cell>
          <cell r="C1581" t="str">
            <v>Avishayes Community Primary School</v>
          </cell>
          <cell r="D1581" t="str">
            <v>Somerset</v>
          </cell>
          <cell r="E1581" t="str">
            <v>Academy Converters</v>
          </cell>
          <cell r="F1581" t="str">
            <v>Primary</v>
          </cell>
        </row>
        <row r="1582">
          <cell r="A1582">
            <v>9266419</v>
          </cell>
          <cell r="B1582">
            <v>134978</v>
          </cell>
          <cell r="C1582" t="str">
            <v>Avocet House</v>
          </cell>
          <cell r="D1582" t="str">
            <v>Norfolk</v>
          </cell>
          <cell r="E1582" t="str">
            <v>Other Independent Special School</v>
          </cell>
          <cell r="F1582" t="str">
            <v>Not applicable</v>
          </cell>
        </row>
        <row r="1583">
          <cell r="A1583">
            <v>8019900</v>
          </cell>
          <cell r="B1583">
            <v>133502</v>
          </cell>
          <cell r="C1583" t="str">
            <v>Avon Hospital Education Service</v>
          </cell>
          <cell r="D1583" t="str">
            <v>Bristol City of</v>
          </cell>
          <cell r="E1583" t="str">
            <v>Miscellaneous</v>
          </cell>
          <cell r="F1583" t="str">
            <v>Not applicable</v>
          </cell>
        </row>
        <row r="1584">
          <cell r="A1584">
            <v>3176059</v>
          </cell>
          <cell r="B1584">
            <v>102872</v>
          </cell>
          <cell r="C1584" t="str">
            <v>Avon House School</v>
          </cell>
          <cell r="D1584" t="str">
            <v>Redbridge</v>
          </cell>
          <cell r="E1584" t="str">
            <v>Other Independent School</v>
          </cell>
          <cell r="F1584" t="str">
            <v>Not applicable</v>
          </cell>
        </row>
        <row r="1585">
          <cell r="A1585">
            <v>8012006</v>
          </cell>
          <cell r="B1585">
            <v>108914</v>
          </cell>
          <cell r="C1585" t="str">
            <v>Avon Primary School</v>
          </cell>
          <cell r="D1585" t="str">
            <v>Bristol City of</v>
          </cell>
          <cell r="E1585" t="str">
            <v>Community School</v>
          </cell>
          <cell r="F1585" t="str">
            <v>Primary</v>
          </cell>
        </row>
        <row r="1586">
          <cell r="A1586">
            <v>8506041</v>
          </cell>
          <cell r="B1586">
            <v>136816</v>
          </cell>
          <cell r="C1586" t="str">
            <v>Avon Tyrrell Youth Achievement Foundation</v>
          </cell>
          <cell r="D1586" t="str">
            <v>Hampshire</v>
          </cell>
          <cell r="E1586" t="str">
            <v>Other Independent Special School</v>
          </cell>
          <cell r="F1586" t="str">
            <v>Not applicable</v>
          </cell>
        </row>
        <row r="1587">
          <cell r="A1587">
            <v>8654071</v>
          </cell>
          <cell r="B1587">
            <v>126459</v>
          </cell>
          <cell r="C1587" t="str">
            <v>Avon Valley College</v>
          </cell>
          <cell r="D1587" t="str">
            <v>Wiltshire</v>
          </cell>
          <cell r="E1587" t="str">
            <v>Foundation School</v>
          </cell>
          <cell r="F1587" t="str">
            <v>Secondary</v>
          </cell>
        </row>
        <row r="1588">
          <cell r="A1588">
            <v>8375404</v>
          </cell>
          <cell r="B1588">
            <v>113904</v>
          </cell>
          <cell r="C1588" t="str">
            <v>Avonbourne School</v>
          </cell>
          <cell r="D1588" t="str">
            <v>Bournemouth</v>
          </cell>
          <cell r="E1588" t="str">
            <v>Foundation School</v>
          </cell>
          <cell r="F1588" t="str">
            <v>Secondary</v>
          </cell>
        </row>
        <row r="1589">
          <cell r="A1589">
            <v>3564030</v>
          </cell>
          <cell r="B1589">
            <v>106131</v>
          </cell>
          <cell r="C1589" t="str">
            <v>Avondale High School</v>
          </cell>
          <cell r="D1589" t="str">
            <v>Stockport</v>
          </cell>
          <cell r="E1589" t="str">
            <v>Community School</v>
          </cell>
          <cell r="F1589" t="str">
            <v>Secondary</v>
          </cell>
        </row>
        <row r="1590">
          <cell r="A1590">
            <v>9282056</v>
          </cell>
          <cell r="B1590">
            <v>121834</v>
          </cell>
          <cell r="C1590" t="str">
            <v>Avondale Infant School</v>
          </cell>
          <cell r="D1590" t="str">
            <v>Northamptonshire</v>
          </cell>
          <cell r="E1590" t="str">
            <v>Community School</v>
          </cell>
          <cell r="F1590" t="str">
            <v>Primary</v>
          </cell>
        </row>
        <row r="1591">
          <cell r="A1591">
            <v>9282055</v>
          </cell>
          <cell r="B1591">
            <v>121833</v>
          </cell>
          <cell r="C1591" t="str">
            <v>Avondale Junior School</v>
          </cell>
          <cell r="D1591" t="str">
            <v>Northamptonshire</v>
          </cell>
          <cell r="E1591" t="str">
            <v>Community School</v>
          </cell>
          <cell r="F1591" t="str">
            <v>Primary</v>
          </cell>
        </row>
        <row r="1592">
          <cell r="A1592">
            <v>2072538</v>
          </cell>
          <cell r="B1592">
            <v>100487</v>
          </cell>
          <cell r="C1592" t="str">
            <v>Avondale Park Primary School</v>
          </cell>
          <cell r="D1592" t="str">
            <v>Kensington and Chelsea</v>
          </cell>
          <cell r="E1592" t="str">
            <v>Community School</v>
          </cell>
          <cell r="F1592" t="str">
            <v>Primary</v>
          </cell>
        </row>
        <row r="1593">
          <cell r="A1593">
            <v>8892515</v>
          </cell>
          <cell r="B1593">
            <v>119294</v>
          </cell>
          <cell r="C1593" t="str">
            <v>Avondale Primary School</v>
          </cell>
          <cell r="D1593" t="str">
            <v>Blackburn with Darwen</v>
          </cell>
          <cell r="E1593" t="str">
            <v>Community School</v>
          </cell>
          <cell r="F1593" t="str">
            <v>Primary</v>
          </cell>
        </row>
        <row r="1594">
          <cell r="A1594">
            <v>8656005</v>
          </cell>
          <cell r="B1594">
            <v>126523</v>
          </cell>
          <cell r="C1594" t="str">
            <v>Avondale School</v>
          </cell>
          <cell r="D1594" t="str">
            <v>Wiltshire</v>
          </cell>
          <cell r="E1594" t="str">
            <v>Other Independent School</v>
          </cell>
          <cell r="F1594" t="str">
            <v>Not applicable</v>
          </cell>
        </row>
        <row r="1595">
          <cell r="A1595">
            <v>9016053</v>
          </cell>
          <cell r="B1595">
            <v>128240</v>
          </cell>
          <cell r="C1595" t="str">
            <v>Avonhurst School</v>
          </cell>
          <cell r="D1595" t="str">
            <v>Pre LGR (1996) Avon</v>
          </cell>
          <cell r="E1595" t="str">
            <v>Other Independent School</v>
          </cell>
          <cell r="F1595" t="str">
            <v>Not applicable</v>
          </cell>
        </row>
        <row r="1596">
          <cell r="A1596">
            <v>8506010</v>
          </cell>
          <cell r="B1596">
            <v>116560</v>
          </cell>
          <cell r="C1596" t="str">
            <v>Avonlea School</v>
          </cell>
          <cell r="D1596" t="str">
            <v>Hampshire</v>
          </cell>
          <cell r="E1596" t="str">
            <v>Other Independent School</v>
          </cell>
          <cell r="F1596" t="str">
            <v>Not applicable</v>
          </cell>
        </row>
        <row r="1597">
          <cell r="A1597">
            <v>2052026</v>
          </cell>
          <cell r="B1597">
            <v>100322</v>
          </cell>
          <cell r="C1597" t="str">
            <v>Avonmore Primary School</v>
          </cell>
          <cell r="D1597" t="str">
            <v>Hammersmith and Fulham</v>
          </cell>
          <cell r="E1597" t="str">
            <v>Community School</v>
          </cell>
          <cell r="F1597" t="str">
            <v>Primary</v>
          </cell>
        </row>
        <row r="1598">
          <cell r="A1598">
            <v>8013000</v>
          </cell>
          <cell r="B1598">
            <v>109140</v>
          </cell>
          <cell r="C1598" t="str">
            <v>Avonmouth Church of England Primary School</v>
          </cell>
          <cell r="D1598" t="str">
            <v>Bristol City of</v>
          </cell>
          <cell r="E1598" t="str">
            <v>Voluntary Controlled School</v>
          </cell>
          <cell r="F1598" t="str">
            <v>Primary</v>
          </cell>
        </row>
        <row r="1599">
          <cell r="A1599">
            <v>8502006</v>
          </cell>
          <cell r="B1599">
            <v>115856</v>
          </cell>
          <cell r="C1599" t="str">
            <v>Awbridge Primary School</v>
          </cell>
          <cell r="D1599" t="str">
            <v>Hampshire</v>
          </cell>
          <cell r="E1599" t="str">
            <v>Community School</v>
          </cell>
          <cell r="F1599" t="str">
            <v>Primary</v>
          </cell>
        </row>
        <row r="1600">
          <cell r="A1600">
            <v>8783300</v>
          </cell>
          <cell r="B1600">
            <v>113422</v>
          </cell>
          <cell r="C1600" t="str">
            <v>Awliscombe Church of England Primary School</v>
          </cell>
          <cell r="D1600" t="str">
            <v>Devon</v>
          </cell>
          <cell r="E1600" t="str">
            <v>Voluntary Aided School</v>
          </cell>
          <cell r="F1600" t="str">
            <v>Primary</v>
          </cell>
        </row>
        <row r="1601">
          <cell r="A1601">
            <v>8912392</v>
          </cell>
          <cell r="B1601">
            <v>122565</v>
          </cell>
          <cell r="C1601" t="str">
            <v>Awsworth Infant and Nursery School</v>
          </cell>
          <cell r="D1601" t="str">
            <v>Nottinghamshire</v>
          </cell>
          <cell r="E1601" t="str">
            <v>Community School</v>
          </cell>
          <cell r="F1601" t="str">
            <v>Primary</v>
          </cell>
        </row>
        <row r="1602">
          <cell r="A1602">
            <v>8912390</v>
          </cell>
          <cell r="B1602">
            <v>122564</v>
          </cell>
          <cell r="C1602" t="str">
            <v>Awsworth Junior School</v>
          </cell>
          <cell r="D1602" t="str">
            <v>Nottinghamshire</v>
          </cell>
          <cell r="E1602" t="str">
            <v>Community School</v>
          </cell>
          <cell r="F1602" t="str">
            <v>Primary</v>
          </cell>
        </row>
        <row r="1603">
          <cell r="A1603">
            <v>8913783</v>
          </cell>
          <cell r="B1603">
            <v>133296</v>
          </cell>
          <cell r="C1603" t="str">
            <v>Awsworth Primary and Nursery School</v>
          </cell>
          <cell r="D1603" t="str">
            <v>Nottinghamshire</v>
          </cell>
          <cell r="E1603" t="str">
            <v>Community School</v>
          </cell>
          <cell r="F1603" t="str">
            <v>Primary</v>
          </cell>
        </row>
        <row r="1604">
          <cell r="A1604">
            <v>9333225</v>
          </cell>
          <cell r="B1604">
            <v>123806</v>
          </cell>
          <cell r="C1604" t="str">
            <v>Axbridge Church of England First School</v>
          </cell>
          <cell r="D1604" t="str">
            <v>Somerset</v>
          </cell>
          <cell r="E1604" t="str">
            <v>Voluntary Controlled School</v>
          </cell>
          <cell r="F1604" t="str">
            <v>Primary</v>
          </cell>
        </row>
        <row r="1605">
          <cell r="A1605">
            <v>8782000</v>
          </cell>
          <cell r="B1605">
            <v>113059</v>
          </cell>
          <cell r="C1605" t="str">
            <v>Axminster Community Primary School</v>
          </cell>
          <cell r="D1605" t="str">
            <v>Devon</v>
          </cell>
          <cell r="E1605" t="str">
            <v>Community School</v>
          </cell>
          <cell r="F1605" t="str">
            <v>Primary</v>
          </cell>
        </row>
        <row r="1606">
          <cell r="A1606">
            <v>8864185</v>
          </cell>
          <cell r="B1606">
            <v>118819</v>
          </cell>
          <cell r="C1606" t="str">
            <v>Axton Chase School</v>
          </cell>
          <cell r="D1606" t="str">
            <v>Kent</v>
          </cell>
          <cell r="E1606" t="str">
            <v>Community School</v>
          </cell>
          <cell r="F1606" t="str">
            <v>Secondary</v>
          </cell>
        </row>
        <row r="1607">
          <cell r="A1607">
            <v>2116090</v>
          </cell>
          <cell r="B1607">
            <v>136084</v>
          </cell>
          <cell r="C1607" t="str">
            <v>Ayasofia Primary School</v>
          </cell>
          <cell r="D1607" t="str">
            <v>Tower Hamlets</v>
          </cell>
          <cell r="E1607" t="str">
            <v>Other Independent School</v>
          </cell>
          <cell r="F1607" t="str">
            <v>Not applicable</v>
          </cell>
        </row>
        <row r="1608">
          <cell r="A1608">
            <v>840611</v>
          </cell>
          <cell r="B1608">
            <v>133055</v>
          </cell>
          <cell r="C1608" t="str">
            <v>Aycliffe Centre</v>
          </cell>
          <cell r="D1608" t="str">
            <v>Durham</v>
          </cell>
          <cell r="E1608" t="str">
            <v>Secure Units</v>
          </cell>
          <cell r="F1608" t="str">
            <v>Not applicable</v>
          </cell>
        </row>
        <row r="1609">
          <cell r="A1609">
            <v>8862454</v>
          </cell>
          <cell r="B1609">
            <v>118449</v>
          </cell>
          <cell r="C1609" t="str">
            <v>Aycliffe Community Primary School</v>
          </cell>
          <cell r="D1609" t="str">
            <v>Kent</v>
          </cell>
          <cell r="E1609" t="str">
            <v>Community School</v>
          </cell>
          <cell r="F1609" t="str">
            <v>Primary</v>
          </cell>
        </row>
        <row r="1610">
          <cell r="A1610">
            <v>9192426</v>
          </cell>
          <cell r="B1610">
            <v>117335</v>
          </cell>
          <cell r="C1610" t="str">
            <v>Aycliffe Drive Primary School</v>
          </cell>
          <cell r="D1610" t="str">
            <v>Hertfordshire</v>
          </cell>
          <cell r="E1610" t="str">
            <v>Community School</v>
          </cell>
          <cell r="F1610" t="str">
            <v>Primary</v>
          </cell>
        </row>
        <row r="1611">
          <cell r="A1611">
            <v>8402411</v>
          </cell>
          <cell r="B1611">
            <v>114101</v>
          </cell>
          <cell r="C1611" t="str">
            <v>Aycliffe Village Primary School</v>
          </cell>
          <cell r="D1611" t="str">
            <v>Durham</v>
          </cell>
          <cell r="E1611" t="str">
            <v>Community School</v>
          </cell>
          <cell r="F1611" t="str">
            <v>Primary</v>
          </cell>
        </row>
        <row r="1612">
          <cell r="A1612">
            <v>3026119</v>
          </cell>
          <cell r="B1612">
            <v>131261</v>
          </cell>
          <cell r="C1612" t="str">
            <v>Ayesha Community School</v>
          </cell>
          <cell r="D1612" t="str">
            <v>Barnet</v>
          </cell>
          <cell r="E1612" t="str">
            <v>Other Independent School</v>
          </cell>
          <cell r="F1612" t="str">
            <v>Not applicable</v>
          </cell>
        </row>
        <row r="1613">
          <cell r="A1613">
            <v>3076338</v>
          </cell>
          <cell r="B1613">
            <v>135155</v>
          </cell>
          <cell r="C1613" t="str">
            <v>Ayesha Siddiqa Girls School</v>
          </cell>
          <cell r="D1613" t="str">
            <v>Ealing</v>
          </cell>
          <cell r="E1613" t="str">
            <v>Other Independent School</v>
          </cell>
          <cell r="F1613" t="str">
            <v>Not applicable</v>
          </cell>
        </row>
        <row r="1614">
          <cell r="A1614">
            <v>7022072</v>
          </cell>
          <cell r="B1614">
            <v>132414</v>
          </cell>
          <cell r="C1614" t="str">
            <v>Ayios Nikolaos School</v>
          </cell>
          <cell r="D1614" t="str">
            <v>BFPO Overseas Establishments</v>
          </cell>
          <cell r="E1614" t="str">
            <v>Service Childrens Education</v>
          </cell>
          <cell r="F1614" t="str">
            <v>Not applicable</v>
          </cell>
        </row>
        <row r="1615">
          <cell r="A1615">
            <v>8409901</v>
          </cell>
          <cell r="B1615">
            <v>134161</v>
          </cell>
          <cell r="C1615" t="str">
            <v>Aykley Heads Centre</v>
          </cell>
          <cell r="D1615" t="str">
            <v>Durham</v>
          </cell>
          <cell r="E1615" t="str">
            <v>Miscellaneous</v>
          </cell>
          <cell r="F1615" t="str">
            <v>Not applicable</v>
          </cell>
        </row>
        <row r="1616">
          <cell r="A1616">
            <v>8256036</v>
          </cell>
          <cell r="B1616">
            <v>134428</v>
          </cell>
          <cell r="C1616" t="str">
            <v>Ayl01 Bridge Year 11</v>
          </cell>
          <cell r="D1616" t="str">
            <v>Buckinghamshire</v>
          </cell>
          <cell r="E1616" t="str">
            <v>Other Independent School</v>
          </cell>
          <cell r="F1616" t="str">
            <v>Not applicable</v>
          </cell>
        </row>
        <row r="1617">
          <cell r="A1617">
            <v>3087004</v>
          </cell>
          <cell r="B1617">
            <v>102068</v>
          </cell>
          <cell r="C1617" t="str">
            <v>Aylands School</v>
          </cell>
          <cell r="D1617" t="str">
            <v>Enfield</v>
          </cell>
          <cell r="E1617" t="str">
            <v>Community Special School</v>
          </cell>
          <cell r="F1617" t="str">
            <v>Special</v>
          </cell>
        </row>
        <row r="1618">
          <cell r="A1618">
            <v>9163018</v>
          </cell>
          <cell r="B1618">
            <v>115610</v>
          </cell>
          <cell r="C1618" t="str">
            <v>Aylburton Church of England Primary School</v>
          </cell>
          <cell r="D1618" t="str">
            <v>Gloucestershire</v>
          </cell>
          <cell r="E1618" t="str">
            <v>Voluntary Controlled School</v>
          </cell>
          <cell r="F1618" t="str">
            <v>Primary</v>
          </cell>
        </row>
        <row r="1619">
          <cell r="A1619">
            <v>9112001</v>
          </cell>
          <cell r="B1619">
            <v>128683</v>
          </cell>
          <cell r="C1619" t="str">
            <v>Aylesbeare Primary School</v>
          </cell>
          <cell r="D1619" t="str">
            <v>Pre LGR (1998) Devon</v>
          </cell>
          <cell r="E1619" t="str">
            <v>Community School</v>
          </cell>
          <cell r="F1619" t="str">
            <v>Primary</v>
          </cell>
        </row>
        <row r="1620">
          <cell r="A1620">
            <v>8258000</v>
          </cell>
          <cell r="B1620">
            <v>130607</v>
          </cell>
          <cell r="C1620" t="str">
            <v>Aylesbury College</v>
          </cell>
          <cell r="D1620" t="str">
            <v>Buckinghamshire</v>
          </cell>
          <cell r="E1620" t="str">
            <v>Further Education</v>
          </cell>
          <cell r="F1620" t="str">
            <v>16 Plus</v>
          </cell>
        </row>
        <row r="1621">
          <cell r="A1621">
            <v>8254500</v>
          </cell>
          <cell r="B1621">
            <v>110511</v>
          </cell>
          <cell r="C1621" t="str">
            <v>Aylesbury Grammar School</v>
          </cell>
          <cell r="D1621" t="str">
            <v>Buckinghamshire</v>
          </cell>
          <cell r="E1621" t="str">
            <v>Foundation School</v>
          </cell>
          <cell r="F1621" t="str">
            <v>Secondary</v>
          </cell>
        </row>
        <row r="1622">
          <cell r="A1622">
            <v>8254500</v>
          </cell>
          <cell r="B1622">
            <v>136884</v>
          </cell>
          <cell r="C1622" t="str">
            <v>Aylesbury Grammar School</v>
          </cell>
          <cell r="D1622" t="str">
            <v>Buckinghamshire</v>
          </cell>
          <cell r="E1622" t="str">
            <v>Academy Converters</v>
          </cell>
          <cell r="F1622" t="str">
            <v>Secondary</v>
          </cell>
        </row>
        <row r="1623">
          <cell r="A1623">
            <v>8254058</v>
          </cell>
          <cell r="B1623">
            <v>110494</v>
          </cell>
          <cell r="C1623" t="str">
            <v>Aylesbury High School</v>
          </cell>
          <cell r="D1623" t="str">
            <v>Buckinghamshire</v>
          </cell>
          <cell r="E1623" t="str">
            <v>Community School</v>
          </cell>
          <cell r="F1623" t="str">
            <v>Secondary</v>
          </cell>
        </row>
        <row r="1624">
          <cell r="A1624">
            <v>8254058</v>
          </cell>
          <cell r="B1624">
            <v>136846</v>
          </cell>
          <cell r="C1624" t="str">
            <v>Aylesbury High School</v>
          </cell>
          <cell r="D1624" t="str">
            <v>Buckinghamshire</v>
          </cell>
          <cell r="E1624" t="str">
            <v>Academy Converters</v>
          </cell>
          <cell r="F1624" t="str">
            <v>Secondary</v>
          </cell>
        </row>
        <row r="1625">
          <cell r="A1625">
            <v>8251100</v>
          </cell>
          <cell r="B1625">
            <v>110200</v>
          </cell>
          <cell r="C1625" t="str">
            <v>Aylesbury Vale Primary Support Centre</v>
          </cell>
          <cell r="D1625" t="str">
            <v>Buckinghamshire</v>
          </cell>
          <cell r="E1625" t="str">
            <v>Pupil Referral Unit</v>
          </cell>
          <cell r="F1625" t="str">
            <v>PRU</v>
          </cell>
        </row>
        <row r="1626">
          <cell r="A1626">
            <v>8862158</v>
          </cell>
          <cell r="B1626">
            <v>118287</v>
          </cell>
          <cell r="C1626" t="str">
            <v>Aylesford Primary School</v>
          </cell>
          <cell r="D1626" t="str">
            <v>Kent</v>
          </cell>
          <cell r="E1626" t="str">
            <v>Community School</v>
          </cell>
          <cell r="F1626" t="str">
            <v>Primary</v>
          </cell>
        </row>
        <row r="1627">
          <cell r="A1627">
            <v>8865410</v>
          </cell>
          <cell r="B1627">
            <v>118882</v>
          </cell>
          <cell r="C1627" t="str">
            <v>Aylesford School - Sports College</v>
          </cell>
          <cell r="D1627" t="str">
            <v>Kent</v>
          </cell>
          <cell r="E1627" t="str">
            <v>Foundation School</v>
          </cell>
          <cell r="F1627" t="str">
            <v>Secondary</v>
          </cell>
        </row>
        <row r="1628">
          <cell r="A1628">
            <v>9374190</v>
          </cell>
          <cell r="B1628">
            <v>125744</v>
          </cell>
          <cell r="C1628" t="str">
            <v>Aylesford School, A Specialist Language and Music College</v>
          </cell>
          <cell r="D1628" t="str">
            <v>Warwickshire</v>
          </cell>
          <cell r="E1628" t="str">
            <v>Community School</v>
          </cell>
          <cell r="F1628" t="str">
            <v>Secondary</v>
          </cell>
        </row>
        <row r="1629">
          <cell r="A1629">
            <v>9222302</v>
          </cell>
          <cell r="B1629">
            <v>129373</v>
          </cell>
          <cell r="C1629" t="str">
            <v>Aylesham County Infant School</v>
          </cell>
          <cell r="D1629" t="str">
            <v>Pre LGR (1998) Kent</v>
          </cell>
          <cell r="E1629" t="str">
            <v>Community School</v>
          </cell>
          <cell r="F1629" t="str">
            <v>Primary</v>
          </cell>
        </row>
        <row r="1630">
          <cell r="A1630">
            <v>9222301</v>
          </cell>
          <cell r="B1630">
            <v>129372</v>
          </cell>
          <cell r="C1630" t="str">
            <v>Aylesham County Junior School</v>
          </cell>
          <cell r="D1630" t="str">
            <v>Pre LGR (1998) Kent</v>
          </cell>
          <cell r="E1630" t="str">
            <v>Community School</v>
          </cell>
          <cell r="F1630" t="str">
            <v>Primary</v>
          </cell>
        </row>
        <row r="1631">
          <cell r="A1631">
            <v>8862648</v>
          </cell>
          <cell r="B1631">
            <v>118563</v>
          </cell>
          <cell r="C1631" t="str">
            <v>Aylesham Primary School</v>
          </cell>
          <cell r="D1631" t="str">
            <v>Kent</v>
          </cell>
          <cell r="E1631" t="str">
            <v>Community School</v>
          </cell>
          <cell r="F1631" t="str">
            <v>Primary</v>
          </cell>
        </row>
        <row r="1632">
          <cell r="A1632">
            <v>9224110</v>
          </cell>
          <cell r="B1632">
            <v>129424</v>
          </cell>
          <cell r="C1632" t="str">
            <v>Aylesham Secondary School</v>
          </cell>
          <cell r="D1632" t="str">
            <v>Pre LGR (1998) Kent</v>
          </cell>
          <cell r="E1632" t="str">
            <v>Community School</v>
          </cell>
          <cell r="F1632" t="str">
            <v>Secondary</v>
          </cell>
        </row>
        <row r="1633">
          <cell r="A1633">
            <v>8844015</v>
          </cell>
          <cell r="B1633">
            <v>116936</v>
          </cell>
          <cell r="C1633" t="str">
            <v>Aylestone Business and Enterprise College</v>
          </cell>
          <cell r="D1633" t="str">
            <v>Herefordshire</v>
          </cell>
          <cell r="E1633" t="str">
            <v>Community School</v>
          </cell>
          <cell r="F1633" t="str">
            <v>Secondary</v>
          </cell>
        </row>
        <row r="1634">
          <cell r="A1634">
            <v>3044020</v>
          </cell>
          <cell r="B1634">
            <v>126779</v>
          </cell>
          <cell r="C1634" t="str">
            <v>Aylestone Community School</v>
          </cell>
          <cell r="D1634" t="str">
            <v>Brent</v>
          </cell>
          <cell r="E1634" t="str">
            <v>Community School</v>
          </cell>
          <cell r="F1634" t="str">
            <v>Secondary</v>
          </cell>
        </row>
        <row r="1635">
          <cell r="A1635">
            <v>9264046</v>
          </cell>
          <cell r="B1635">
            <v>121164</v>
          </cell>
          <cell r="C1635" t="str">
            <v>Aylsham High School</v>
          </cell>
          <cell r="D1635" t="str">
            <v>Norfolk</v>
          </cell>
          <cell r="E1635" t="str">
            <v>Foundation School</v>
          </cell>
          <cell r="F1635" t="str">
            <v>Secondary</v>
          </cell>
        </row>
        <row r="1636">
          <cell r="A1636">
            <v>9261000</v>
          </cell>
          <cell r="B1636">
            <v>120764</v>
          </cell>
          <cell r="C1636" t="str">
            <v>Aylsham Nursery Community School</v>
          </cell>
          <cell r="D1636" t="str">
            <v>Norfolk</v>
          </cell>
          <cell r="E1636" t="str">
            <v>LA Nursery School</v>
          </cell>
          <cell r="F1636" t="str">
            <v>Nursery</v>
          </cell>
        </row>
        <row r="1637">
          <cell r="A1637">
            <v>9263004</v>
          </cell>
          <cell r="B1637">
            <v>121027</v>
          </cell>
          <cell r="C1637" t="str">
            <v>Aylsham, St Michael's Church of England Voluntary Controlled Nursery and Infant School</v>
          </cell>
          <cell r="D1637" t="str">
            <v>Norfolk</v>
          </cell>
          <cell r="E1637" t="str">
            <v>Voluntary Controlled School</v>
          </cell>
          <cell r="F1637" t="str">
            <v>Primary</v>
          </cell>
        </row>
        <row r="1638">
          <cell r="A1638">
            <v>3086907</v>
          </cell>
          <cell r="B1638">
            <v>136147</v>
          </cell>
          <cell r="C1638" t="str">
            <v>Aylward Academy</v>
          </cell>
          <cell r="D1638" t="str">
            <v>Enfield</v>
          </cell>
          <cell r="E1638" t="str">
            <v>Academy Sponsor Led</v>
          </cell>
          <cell r="F1638" t="str">
            <v>Secondary</v>
          </cell>
        </row>
        <row r="1639">
          <cell r="A1639">
            <v>3102099</v>
          </cell>
          <cell r="B1639">
            <v>102225</v>
          </cell>
          <cell r="C1639" t="str">
            <v>Aylward Primary School</v>
          </cell>
          <cell r="D1639" t="str">
            <v>Harrow</v>
          </cell>
          <cell r="E1639" t="str">
            <v>Community School</v>
          </cell>
          <cell r="F1639" t="str">
            <v>Primary</v>
          </cell>
        </row>
        <row r="1640">
          <cell r="A1640">
            <v>2104009</v>
          </cell>
          <cell r="B1640">
            <v>100842</v>
          </cell>
          <cell r="C1640" t="str">
            <v>Aylwin Girls' School</v>
          </cell>
          <cell r="D1640" t="str">
            <v>Southwark</v>
          </cell>
          <cell r="E1640" t="str">
            <v>Community School</v>
          </cell>
          <cell r="F1640" t="str">
            <v>Secondary</v>
          </cell>
        </row>
        <row r="1641">
          <cell r="A1641">
            <v>8856020</v>
          </cell>
          <cell r="B1641">
            <v>117029</v>
          </cell>
          <cell r="C1641" t="str">
            <v>Aymestrey School</v>
          </cell>
          <cell r="D1641" t="str">
            <v>Worcestershire</v>
          </cell>
          <cell r="E1641" t="str">
            <v>Other Independent School</v>
          </cell>
          <cell r="F1641" t="str">
            <v>Not applicable</v>
          </cell>
        </row>
        <row r="1642">
          <cell r="A1642">
            <v>8617005</v>
          </cell>
          <cell r="B1642">
            <v>124498</v>
          </cell>
          <cell r="C1642" t="str">
            <v>Aynsley Special School</v>
          </cell>
          <cell r="D1642" t="str">
            <v>Stoke-on-Trent</v>
          </cell>
          <cell r="E1642" t="str">
            <v>Community Special School</v>
          </cell>
          <cell r="F1642" t="str">
            <v>Special</v>
          </cell>
        </row>
        <row r="1643">
          <cell r="A1643">
            <v>8062095</v>
          </cell>
          <cell r="B1643">
            <v>111570</v>
          </cell>
          <cell r="C1643" t="str">
            <v>Ayresome Infant School</v>
          </cell>
          <cell r="D1643" t="str">
            <v>Middlesbrough</v>
          </cell>
          <cell r="E1643" t="str">
            <v>Community School</v>
          </cell>
          <cell r="F1643" t="str">
            <v>Primary</v>
          </cell>
        </row>
        <row r="1644">
          <cell r="A1644">
            <v>8062094</v>
          </cell>
          <cell r="B1644">
            <v>111569</v>
          </cell>
          <cell r="C1644" t="str">
            <v>Ayresome Junior School</v>
          </cell>
          <cell r="D1644" t="str">
            <v>Middlesbrough</v>
          </cell>
          <cell r="E1644" t="str">
            <v>Community School</v>
          </cell>
          <cell r="F1644" t="str">
            <v>Primary</v>
          </cell>
        </row>
        <row r="1645">
          <cell r="A1645">
            <v>8062001</v>
          </cell>
          <cell r="B1645">
            <v>133659</v>
          </cell>
          <cell r="C1645" t="str">
            <v>Ayresome Primary School</v>
          </cell>
          <cell r="D1645" t="str">
            <v>Middlesbrough</v>
          </cell>
          <cell r="E1645" t="str">
            <v>Community School</v>
          </cell>
          <cell r="F1645" t="str">
            <v>Primary</v>
          </cell>
        </row>
        <row r="1646">
          <cell r="A1646">
            <v>9256020</v>
          </cell>
          <cell r="B1646">
            <v>120731</v>
          </cell>
          <cell r="C1646" t="str">
            <v>Ayscoughfee Hall School</v>
          </cell>
          <cell r="D1646" t="str">
            <v>Lincolnshire</v>
          </cell>
          <cell r="E1646" t="str">
            <v>Other Independent School</v>
          </cell>
          <cell r="F1646" t="str">
            <v>Not applicable</v>
          </cell>
        </row>
        <row r="1647">
          <cell r="A1647">
            <v>8156009</v>
          </cell>
          <cell r="B1647">
            <v>121738</v>
          </cell>
          <cell r="C1647" t="str">
            <v>Aysgarth School</v>
          </cell>
          <cell r="D1647" t="str">
            <v>North Yorkshire</v>
          </cell>
          <cell r="E1647" t="str">
            <v>Other Independent School</v>
          </cell>
          <cell r="F1647" t="str">
            <v>Not applicable</v>
          </cell>
        </row>
        <row r="1648">
          <cell r="A1648">
            <v>3942173</v>
          </cell>
          <cell r="B1648">
            <v>108827</v>
          </cell>
          <cell r="C1648" t="str">
            <v>Ayton Primary School</v>
          </cell>
          <cell r="D1648" t="str">
            <v>Sunderland</v>
          </cell>
          <cell r="E1648" t="str">
            <v>Community School</v>
          </cell>
          <cell r="F1648" t="str">
            <v>Primary</v>
          </cell>
        </row>
        <row r="1649">
          <cell r="A1649">
            <v>8156007</v>
          </cell>
          <cell r="B1649">
            <v>121736</v>
          </cell>
          <cell r="C1649" t="str">
            <v>Ayton School</v>
          </cell>
          <cell r="D1649" t="str">
            <v>North Yorkshire</v>
          </cell>
          <cell r="E1649" t="str">
            <v>Other Independent School</v>
          </cell>
          <cell r="F1649" t="str">
            <v>Not applicable</v>
          </cell>
        </row>
        <row r="1650">
          <cell r="A1650">
            <v>3166064</v>
          </cell>
          <cell r="B1650">
            <v>134417</v>
          </cell>
          <cell r="C1650" t="str">
            <v>Azhar Academy</v>
          </cell>
          <cell r="D1650" t="str">
            <v>Newham</v>
          </cell>
          <cell r="E1650" t="str">
            <v>Other Independent School</v>
          </cell>
          <cell r="F1650" t="str">
            <v>Not applicable</v>
          </cell>
        </row>
        <row r="1651">
          <cell r="A1651">
            <v>9156246</v>
          </cell>
          <cell r="B1651">
            <v>128927</v>
          </cell>
          <cell r="C1651" t="str">
            <v>B A D Junior Conductive Education</v>
          </cell>
          <cell r="D1651" t="str">
            <v>Pre LGR (1998) Essex</v>
          </cell>
          <cell r="E1651" t="str">
            <v>Other Independent School</v>
          </cell>
          <cell r="F1651" t="str">
            <v>Not applicable</v>
          </cell>
        </row>
        <row r="1652">
          <cell r="A1652">
            <v>8564270</v>
          </cell>
          <cell r="B1652">
            <v>120294</v>
          </cell>
          <cell r="C1652" t="str">
            <v>Babington Community College</v>
          </cell>
          <cell r="D1652" t="str">
            <v>Leicester</v>
          </cell>
          <cell r="E1652" t="str">
            <v>Foundation School</v>
          </cell>
          <cell r="F1652" t="str">
            <v>Secondary</v>
          </cell>
        </row>
        <row r="1653">
          <cell r="A1653">
            <v>3056000</v>
          </cell>
          <cell r="B1653">
            <v>101680</v>
          </cell>
          <cell r="C1653" t="str">
            <v>Babington House School</v>
          </cell>
          <cell r="D1653" t="str">
            <v>Bromley</v>
          </cell>
          <cell r="E1653" t="str">
            <v>Other Independent School</v>
          </cell>
          <cell r="F1653" t="str">
            <v>Not applicable</v>
          </cell>
        </row>
        <row r="1654">
          <cell r="A1654">
            <v>3316023</v>
          </cell>
          <cell r="B1654">
            <v>103754</v>
          </cell>
          <cell r="C1654" t="str">
            <v>Bablake Junior School</v>
          </cell>
          <cell r="D1654" t="str">
            <v>Coventry</v>
          </cell>
          <cell r="E1654" t="str">
            <v>Other Independent School</v>
          </cell>
          <cell r="F1654" t="str">
            <v>Not applicable</v>
          </cell>
        </row>
        <row r="1655">
          <cell r="A1655">
            <v>3316017</v>
          </cell>
          <cell r="B1655">
            <v>103751</v>
          </cell>
          <cell r="C1655" t="str">
            <v>Bablake School</v>
          </cell>
          <cell r="D1655" t="str">
            <v>Coventry</v>
          </cell>
          <cell r="E1655" t="str">
            <v>Other Independent School</v>
          </cell>
          <cell r="F1655" t="str">
            <v>Not applicable</v>
          </cell>
        </row>
        <row r="1656">
          <cell r="A1656">
            <v>8733000</v>
          </cell>
          <cell r="B1656">
            <v>110780</v>
          </cell>
          <cell r="C1656" t="str">
            <v>Babraham CofE (VC) Primary School</v>
          </cell>
          <cell r="D1656" t="str">
            <v>Cambridgeshire</v>
          </cell>
          <cell r="E1656" t="str">
            <v>Voluntary Controlled School</v>
          </cell>
          <cell r="F1656" t="str">
            <v>Primary</v>
          </cell>
        </row>
        <row r="1657">
          <cell r="A1657">
            <v>9281107</v>
          </cell>
          <cell r="B1657">
            <v>134875</v>
          </cell>
          <cell r="C1657" t="str">
            <v>Bacin</v>
          </cell>
          <cell r="D1657" t="str">
            <v>Northamptonshire</v>
          </cell>
          <cell r="E1657" t="str">
            <v>Pupil Referral Unit</v>
          </cell>
          <cell r="F1657" t="str">
            <v>PRU</v>
          </cell>
        </row>
        <row r="1658">
          <cell r="A1658">
            <v>9063548</v>
          </cell>
          <cell r="B1658">
            <v>111348</v>
          </cell>
          <cell r="C1658" t="str">
            <v>Backford CofE Primary School</v>
          </cell>
          <cell r="D1658" t="str">
            <v>Pre LGR (1998) Cheshire</v>
          </cell>
          <cell r="E1658" t="str">
            <v>Voluntary Aided School</v>
          </cell>
          <cell r="F1658" t="str">
            <v>Primary</v>
          </cell>
        </row>
        <row r="1659">
          <cell r="A1659">
            <v>8023075</v>
          </cell>
          <cell r="B1659">
            <v>109183</v>
          </cell>
          <cell r="C1659" t="str">
            <v>Backwell Church of England Junior School</v>
          </cell>
          <cell r="D1659" t="str">
            <v>North Somerset</v>
          </cell>
          <cell r="E1659" t="str">
            <v>Voluntary Controlled School</v>
          </cell>
          <cell r="F1659" t="str">
            <v>Primary</v>
          </cell>
        </row>
        <row r="1660">
          <cell r="A1660">
            <v>8024129</v>
          </cell>
          <cell r="B1660">
            <v>132005</v>
          </cell>
          <cell r="C1660" t="str">
            <v>Backwell School</v>
          </cell>
          <cell r="D1660" t="str">
            <v>North Somerset</v>
          </cell>
          <cell r="E1660" t="str">
            <v>Community School</v>
          </cell>
          <cell r="F1660" t="str">
            <v>Secondary</v>
          </cell>
        </row>
        <row r="1661">
          <cell r="A1661">
            <v>8024129</v>
          </cell>
          <cell r="B1661">
            <v>136722</v>
          </cell>
          <cell r="C1661" t="str">
            <v>Backwell School</v>
          </cell>
          <cell r="D1661" t="str">
            <v>North Somerset</v>
          </cell>
          <cell r="E1661" t="str">
            <v>Academy Converters</v>
          </cell>
          <cell r="F1661" t="str">
            <v>Secondary</v>
          </cell>
        </row>
        <row r="1662">
          <cell r="A1662">
            <v>3922032</v>
          </cell>
          <cell r="B1662">
            <v>108580</v>
          </cell>
          <cell r="C1662" t="str">
            <v>Backworth Park Primary School</v>
          </cell>
          <cell r="D1662" t="str">
            <v>North Tyneside</v>
          </cell>
          <cell r="E1662" t="str">
            <v>Community School</v>
          </cell>
          <cell r="F1662" t="str">
            <v>Primary</v>
          </cell>
        </row>
        <row r="1663">
          <cell r="A1663">
            <v>8112757</v>
          </cell>
          <cell r="B1663">
            <v>117875</v>
          </cell>
          <cell r="C1663" t="str">
            <v>Bacon Garth Primary School</v>
          </cell>
          <cell r="D1663" t="str">
            <v>East Riding of Yorkshire</v>
          </cell>
          <cell r="E1663" t="str">
            <v>Community School</v>
          </cell>
          <cell r="F1663" t="str">
            <v>Primary</v>
          </cell>
        </row>
        <row r="1664">
          <cell r="A1664">
            <v>2106900</v>
          </cell>
          <cell r="B1664">
            <v>100871</v>
          </cell>
          <cell r="C1664" t="str">
            <v>Bacon's College</v>
          </cell>
          <cell r="D1664" t="str">
            <v>Southwark</v>
          </cell>
          <cell r="E1664" t="str">
            <v>City Technology College</v>
          </cell>
          <cell r="F1664" t="str">
            <v>Not applicable</v>
          </cell>
        </row>
        <row r="1665">
          <cell r="A1665">
            <v>2106911</v>
          </cell>
          <cell r="B1665">
            <v>135401</v>
          </cell>
          <cell r="C1665" t="str">
            <v>Bacon's College</v>
          </cell>
          <cell r="D1665" t="str">
            <v>Southwark</v>
          </cell>
          <cell r="E1665" t="str">
            <v>Academy Sponsor Led</v>
          </cell>
          <cell r="F1665" t="str">
            <v>Secondary</v>
          </cell>
        </row>
        <row r="1666">
          <cell r="A1666">
            <v>2104718</v>
          </cell>
          <cell r="B1666">
            <v>126674</v>
          </cell>
          <cell r="C1666" t="str">
            <v>Bacons School</v>
          </cell>
          <cell r="D1666" t="str">
            <v>Southwark</v>
          </cell>
          <cell r="E1666" t="str">
            <v>Voluntary Aided School</v>
          </cell>
          <cell r="F1666" t="str">
            <v>Secondary</v>
          </cell>
        </row>
        <row r="1667">
          <cell r="A1667">
            <v>9354054</v>
          </cell>
          <cell r="B1667">
            <v>124816</v>
          </cell>
          <cell r="C1667" t="str">
            <v>Bacton Community Middle School</v>
          </cell>
          <cell r="D1667" t="str">
            <v>Suffolk</v>
          </cell>
          <cell r="E1667" t="str">
            <v>Community School</v>
          </cell>
          <cell r="F1667" t="str">
            <v>Middle Deemed Secondary</v>
          </cell>
        </row>
        <row r="1668">
          <cell r="A1668">
            <v>9352060</v>
          </cell>
          <cell r="B1668">
            <v>124567</v>
          </cell>
          <cell r="C1668" t="str">
            <v>Bacton Community Primary School</v>
          </cell>
          <cell r="D1668" t="str">
            <v>Suffolk</v>
          </cell>
          <cell r="E1668" t="str">
            <v>Community School</v>
          </cell>
          <cell r="F1668" t="str">
            <v>Primary</v>
          </cell>
        </row>
        <row r="1669">
          <cell r="A1669">
            <v>9262007</v>
          </cell>
          <cell r="B1669">
            <v>120781</v>
          </cell>
          <cell r="C1669" t="str">
            <v>Bacton First School</v>
          </cell>
          <cell r="D1669" t="str">
            <v>Norfolk</v>
          </cell>
          <cell r="E1669" t="str">
            <v>Community School</v>
          </cell>
          <cell r="F1669" t="str">
            <v>Primary</v>
          </cell>
        </row>
        <row r="1670">
          <cell r="A1670">
            <v>8885400</v>
          </cell>
          <cell r="B1670">
            <v>119809</v>
          </cell>
          <cell r="C1670" t="str">
            <v>Bacup and Rawtenstall Grammar School</v>
          </cell>
          <cell r="D1670" t="str">
            <v>Lancashire</v>
          </cell>
          <cell r="E1670" t="str">
            <v>Foundation School</v>
          </cell>
          <cell r="F1670" t="str">
            <v>Secondary</v>
          </cell>
        </row>
        <row r="1671">
          <cell r="A1671">
            <v>8883196</v>
          </cell>
          <cell r="B1671">
            <v>119414</v>
          </cell>
          <cell r="C1671" t="str">
            <v>Bacup Holy Trinity Stacksteads Church of England Primary School</v>
          </cell>
          <cell r="D1671" t="str">
            <v>Lancashire</v>
          </cell>
          <cell r="E1671" t="str">
            <v>Voluntary Controlled School</v>
          </cell>
          <cell r="F1671" t="str">
            <v>Primary</v>
          </cell>
        </row>
        <row r="1672">
          <cell r="A1672">
            <v>8881037</v>
          </cell>
          <cell r="B1672">
            <v>119097</v>
          </cell>
          <cell r="C1672" t="str">
            <v>Bacup Nursery School</v>
          </cell>
          <cell r="D1672" t="str">
            <v>Lancashire</v>
          </cell>
          <cell r="E1672" t="str">
            <v>LA Nursery School</v>
          </cell>
          <cell r="F1672" t="str">
            <v>Nursery</v>
          </cell>
        </row>
        <row r="1673">
          <cell r="A1673">
            <v>8882112</v>
          </cell>
          <cell r="B1673">
            <v>119191</v>
          </cell>
          <cell r="C1673" t="str">
            <v>Bacup St Saviour's Community Primary School</v>
          </cell>
          <cell r="D1673" t="str">
            <v>Lancashire</v>
          </cell>
          <cell r="E1673" t="str">
            <v>Community School</v>
          </cell>
          <cell r="F1673" t="str">
            <v>Primary</v>
          </cell>
        </row>
        <row r="1674">
          <cell r="A1674">
            <v>8882114</v>
          </cell>
          <cell r="B1674">
            <v>119193</v>
          </cell>
          <cell r="C1674" t="str">
            <v>Bacup Thorn Primary School</v>
          </cell>
          <cell r="D1674" t="str">
            <v>Lancashire</v>
          </cell>
          <cell r="E1674" t="str">
            <v>Community School</v>
          </cell>
          <cell r="F1674" t="str">
            <v>Primary</v>
          </cell>
        </row>
        <row r="1675">
          <cell r="A1675">
            <v>9282000</v>
          </cell>
          <cell r="B1675">
            <v>121793</v>
          </cell>
          <cell r="C1675" t="str">
            <v>Badby School</v>
          </cell>
          <cell r="D1675" t="str">
            <v>Northamptonshire</v>
          </cell>
          <cell r="E1675" t="str">
            <v>Community School</v>
          </cell>
          <cell r="F1675" t="str">
            <v>Primary</v>
          </cell>
        </row>
        <row r="1676">
          <cell r="A1676">
            <v>9373540</v>
          </cell>
          <cell r="B1676">
            <v>130166</v>
          </cell>
          <cell r="C1676" t="str">
            <v>Baddesley Clinton RC Junior and Infant School</v>
          </cell>
          <cell r="D1676" t="str">
            <v>Warwickshire</v>
          </cell>
          <cell r="E1676" t="str">
            <v>Voluntary Aided School</v>
          </cell>
          <cell r="F1676" t="str">
            <v>Primary</v>
          </cell>
        </row>
        <row r="1677">
          <cell r="A1677">
            <v>9373208</v>
          </cell>
          <cell r="B1677">
            <v>125685</v>
          </cell>
          <cell r="C1677" t="str">
            <v>Baddesley Ensor CofE Infant School</v>
          </cell>
          <cell r="D1677" t="str">
            <v>Warwickshire</v>
          </cell>
          <cell r="E1677" t="str">
            <v>Voluntary Controlled School</v>
          </cell>
          <cell r="F1677" t="str">
            <v>Primary</v>
          </cell>
        </row>
        <row r="1678">
          <cell r="A1678">
            <v>9372586</v>
          </cell>
          <cell r="B1678">
            <v>132924</v>
          </cell>
          <cell r="C1678" t="str">
            <v>Baddesley Ensor First School</v>
          </cell>
          <cell r="D1678" t="str">
            <v>Warwickshire</v>
          </cell>
          <cell r="E1678" t="str">
            <v>Community School</v>
          </cell>
          <cell r="F1678" t="str">
            <v>Primary</v>
          </cell>
        </row>
        <row r="1679">
          <cell r="A1679">
            <v>9372007</v>
          </cell>
          <cell r="B1679">
            <v>125503</v>
          </cell>
          <cell r="C1679" t="str">
            <v>Baddesley Ensor Junior School</v>
          </cell>
          <cell r="D1679" t="str">
            <v>Warwickshire</v>
          </cell>
          <cell r="E1679" t="str">
            <v>Community School</v>
          </cell>
          <cell r="F1679" t="str">
            <v>Primary</v>
          </cell>
        </row>
        <row r="1680">
          <cell r="A1680">
            <v>8812579</v>
          </cell>
          <cell r="B1680">
            <v>114898</v>
          </cell>
          <cell r="C1680" t="str">
            <v>Baddow Hall Infant School</v>
          </cell>
          <cell r="D1680" t="str">
            <v>Essex</v>
          </cell>
          <cell r="E1680" t="str">
            <v>Community School</v>
          </cell>
          <cell r="F1680" t="str">
            <v>Primary</v>
          </cell>
        </row>
        <row r="1681">
          <cell r="A1681">
            <v>8812609</v>
          </cell>
          <cell r="B1681">
            <v>114913</v>
          </cell>
          <cell r="C1681" t="str">
            <v>Baddow Hall Junior School</v>
          </cell>
          <cell r="D1681" t="str">
            <v>Essex</v>
          </cell>
          <cell r="E1681" t="str">
            <v>Community School</v>
          </cell>
          <cell r="F1681" t="str">
            <v>Primary</v>
          </cell>
        </row>
        <row r="1682">
          <cell r="A1682">
            <v>9122179</v>
          </cell>
          <cell r="B1682">
            <v>128769</v>
          </cell>
          <cell r="C1682" t="str">
            <v>Baden Powell County Middle School</v>
          </cell>
          <cell r="D1682" t="str">
            <v>Pre LGR (1997) Dorset</v>
          </cell>
          <cell r="E1682" t="str">
            <v>Community School</v>
          </cell>
          <cell r="F1682" t="str">
            <v>Middle Deemed Primary</v>
          </cell>
        </row>
        <row r="1683">
          <cell r="A1683">
            <v>6812009</v>
          </cell>
          <cell r="B1683">
            <v>401562</v>
          </cell>
          <cell r="C1683" t="str">
            <v>Baden Powell Primary School</v>
          </cell>
          <cell r="D1683" t="str">
            <v>Cardiff</v>
          </cell>
          <cell r="E1683" t="str">
            <v>Welsh Establishment</v>
          </cell>
          <cell r="F1683" t="str">
            <v>Primary</v>
          </cell>
        </row>
        <row r="1684">
          <cell r="A1684">
            <v>8363211</v>
          </cell>
          <cell r="B1684">
            <v>113792</v>
          </cell>
          <cell r="C1684" t="str">
            <v>Baden-Powell and St Peter's Church of England Middle School</v>
          </cell>
          <cell r="D1684" t="str">
            <v>Poole</v>
          </cell>
          <cell r="E1684" t="str">
            <v>Voluntary Controlled School</v>
          </cell>
          <cell r="F1684" t="str">
            <v>Middle Deemed Primary</v>
          </cell>
        </row>
        <row r="1685">
          <cell r="A1685">
            <v>2042861</v>
          </cell>
          <cell r="B1685">
            <v>100255</v>
          </cell>
          <cell r="C1685" t="str">
            <v>Baden-Powell School</v>
          </cell>
          <cell r="D1685" t="str">
            <v>Hackney</v>
          </cell>
          <cell r="E1685" t="str">
            <v>Community School</v>
          </cell>
          <cell r="F1685" t="str">
            <v>Primary</v>
          </cell>
        </row>
        <row r="1686">
          <cell r="A1686">
            <v>8082076</v>
          </cell>
          <cell r="B1686">
            <v>111560</v>
          </cell>
          <cell r="C1686" t="str">
            <v>Bader Primary School</v>
          </cell>
          <cell r="D1686" t="str">
            <v>Stockton-on-Tees</v>
          </cell>
          <cell r="E1686" t="str">
            <v>Community School</v>
          </cell>
          <cell r="F1686" t="str">
            <v>Primary</v>
          </cell>
        </row>
        <row r="1687">
          <cell r="A1687">
            <v>9312513</v>
          </cell>
          <cell r="B1687">
            <v>123042</v>
          </cell>
          <cell r="C1687" t="str">
            <v>Badgemore Primary School</v>
          </cell>
          <cell r="D1687" t="str">
            <v>Oxfordshire</v>
          </cell>
          <cell r="E1687" t="str">
            <v>Community School</v>
          </cell>
          <cell r="F1687" t="str">
            <v>Primary</v>
          </cell>
        </row>
        <row r="1688">
          <cell r="A1688">
            <v>9272032</v>
          </cell>
          <cell r="B1688">
            <v>132910</v>
          </cell>
          <cell r="C1688" t="str">
            <v>Badger Hill Infant School</v>
          </cell>
          <cell r="D1688" t="str">
            <v>Pre LGR (1996) North Yorkshire</v>
          </cell>
          <cell r="E1688" t="str">
            <v>Community School</v>
          </cell>
          <cell r="F1688" t="str">
            <v>Primary</v>
          </cell>
        </row>
        <row r="1689">
          <cell r="A1689">
            <v>8072315</v>
          </cell>
          <cell r="B1689">
            <v>111620</v>
          </cell>
          <cell r="C1689" t="str">
            <v>Badger Hill Primary School</v>
          </cell>
          <cell r="D1689" t="str">
            <v>Redcar and Cleveland</v>
          </cell>
          <cell r="E1689" t="str">
            <v>Community School</v>
          </cell>
          <cell r="F1689" t="str">
            <v>Primary</v>
          </cell>
        </row>
        <row r="1690">
          <cell r="A1690">
            <v>8162431</v>
          </cell>
          <cell r="B1690">
            <v>121470</v>
          </cell>
          <cell r="C1690" t="str">
            <v>Badger Hill Primary School</v>
          </cell>
          <cell r="D1690" t="str">
            <v>York</v>
          </cell>
          <cell r="E1690" t="str">
            <v>Community School</v>
          </cell>
          <cell r="F1690" t="str">
            <v>Primary</v>
          </cell>
        </row>
        <row r="1691">
          <cell r="A1691">
            <v>8552170</v>
          </cell>
          <cell r="B1691">
            <v>119978</v>
          </cell>
          <cell r="C1691" t="str">
            <v>Badgerbrook Primary School</v>
          </cell>
          <cell r="D1691" t="str">
            <v>Leicestershire</v>
          </cell>
          <cell r="E1691" t="str">
            <v>Community School</v>
          </cell>
          <cell r="F1691" t="str">
            <v>Primary</v>
          </cell>
        </row>
        <row r="1692">
          <cell r="A1692">
            <v>8691106</v>
          </cell>
          <cell r="B1692">
            <v>134056</v>
          </cell>
          <cell r="C1692" t="str">
            <v>Badgers Hill</v>
          </cell>
          <cell r="D1692" t="str">
            <v>West Berkshire</v>
          </cell>
          <cell r="E1692" t="str">
            <v>Pupil Referral Unit</v>
          </cell>
          <cell r="F1692" t="str">
            <v>PRU</v>
          </cell>
        </row>
        <row r="1693">
          <cell r="A1693">
            <v>9166053</v>
          </cell>
          <cell r="B1693">
            <v>128968</v>
          </cell>
          <cell r="C1693" t="str">
            <v>Badgeworth Court School</v>
          </cell>
          <cell r="D1693" t="str">
            <v>Gloucestershire</v>
          </cell>
          <cell r="E1693" t="str">
            <v>Other Independent School</v>
          </cell>
          <cell r="F1693" t="str">
            <v>Not applicable</v>
          </cell>
        </row>
        <row r="1694">
          <cell r="A1694">
            <v>8016003</v>
          </cell>
          <cell r="B1694">
            <v>109337</v>
          </cell>
          <cell r="C1694" t="str">
            <v>Badminton School</v>
          </cell>
          <cell r="D1694" t="str">
            <v>Bristol City of</v>
          </cell>
          <cell r="E1694" t="str">
            <v>Other Independent School</v>
          </cell>
          <cell r="F1694" t="str">
            <v>Not applicable</v>
          </cell>
        </row>
        <row r="1695">
          <cell r="A1695">
            <v>8012338</v>
          </cell>
          <cell r="B1695">
            <v>109139</v>
          </cell>
          <cell r="C1695" t="str">
            <v>Badocks Wood Primary School</v>
          </cell>
          <cell r="D1695" t="str">
            <v>Bristol City of</v>
          </cell>
          <cell r="E1695" t="str">
            <v>Community School</v>
          </cell>
          <cell r="F1695" t="str">
            <v>Primary</v>
          </cell>
        </row>
        <row r="1696">
          <cell r="A1696">
            <v>8852007</v>
          </cell>
          <cell r="B1696">
            <v>116651</v>
          </cell>
          <cell r="C1696" t="str">
            <v>Badsey First School</v>
          </cell>
          <cell r="D1696" t="str">
            <v>Worcestershire</v>
          </cell>
          <cell r="E1696" t="str">
            <v>Community School</v>
          </cell>
          <cell r="F1696" t="str">
            <v>Primary</v>
          </cell>
        </row>
        <row r="1697">
          <cell r="A1697">
            <v>9362415</v>
          </cell>
          <cell r="B1697">
            <v>125051</v>
          </cell>
          <cell r="C1697" t="str">
            <v>Badshot Lea Village Infant School</v>
          </cell>
          <cell r="D1697" t="str">
            <v>Surrey</v>
          </cell>
          <cell r="E1697" t="str">
            <v>Community School</v>
          </cell>
          <cell r="F1697" t="str">
            <v>Primary</v>
          </cell>
        </row>
        <row r="1698">
          <cell r="A1698">
            <v>3722004</v>
          </cell>
          <cell r="B1698">
            <v>106833</v>
          </cell>
          <cell r="C1698" t="str">
            <v>Badsley Moor Infant School</v>
          </cell>
          <cell r="D1698" t="str">
            <v>Rotherham</v>
          </cell>
          <cell r="E1698" t="str">
            <v>Community School</v>
          </cell>
          <cell r="F1698" t="str">
            <v>Primary</v>
          </cell>
        </row>
        <row r="1699">
          <cell r="A1699">
            <v>3722003</v>
          </cell>
          <cell r="B1699">
            <v>106832</v>
          </cell>
          <cell r="C1699" t="str">
            <v>Badsley Moor Junior School</v>
          </cell>
          <cell r="D1699" t="str">
            <v>Rotherham</v>
          </cell>
          <cell r="E1699" t="str">
            <v>Community School</v>
          </cell>
          <cell r="F1699" t="str">
            <v>Primary</v>
          </cell>
        </row>
        <row r="1700">
          <cell r="A1700">
            <v>3843022</v>
          </cell>
          <cell r="B1700">
            <v>130964</v>
          </cell>
          <cell r="C1700" t="str">
            <v>Badsworth Church of England Voluntary Controlled Junior and Infant School</v>
          </cell>
          <cell r="D1700" t="str">
            <v>Wakefield</v>
          </cell>
          <cell r="E1700" t="str">
            <v>Voluntary Controlled School</v>
          </cell>
          <cell r="F1700" t="str">
            <v>Primary</v>
          </cell>
        </row>
        <row r="1701">
          <cell r="A1701">
            <v>3843017</v>
          </cell>
          <cell r="B1701">
            <v>108248</v>
          </cell>
          <cell r="C1701" t="str">
            <v>Badsworth CofE First School</v>
          </cell>
          <cell r="D1701" t="str">
            <v>Wakefield</v>
          </cell>
          <cell r="E1701" t="str">
            <v>Voluntary Controlled School</v>
          </cell>
          <cell r="F1701" t="str">
            <v>Primary</v>
          </cell>
        </row>
        <row r="1702">
          <cell r="A1702">
            <v>9353300</v>
          </cell>
          <cell r="B1702">
            <v>124759</v>
          </cell>
          <cell r="C1702" t="str">
            <v>Badwell Ash Church of England Voluntary Aided Primary School</v>
          </cell>
          <cell r="D1702" t="str">
            <v>Suffolk</v>
          </cell>
          <cell r="E1702" t="str">
            <v>Voluntary Aided School</v>
          </cell>
          <cell r="F1702" t="str">
            <v>Primary</v>
          </cell>
        </row>
        <row r="1703">
          <cell r="A1703">
            <v>3317019</v>
          </cell>
          <cell r="B1703">
            <v>103765</v>
          </cell>
          <cell r="C1703" t="str">
            <v>Baginton Fields School</v>
          </cell>
          <cell r="D1703" t="str">
            <v>Coventry</v>
          </cell>
          <cell r="E1703" t="str">
            <v>Community Special School</v>
          </cell>
          <cell r="F1703" t="str">
            <v>Special</v>
          </cell>
        </row>
        <row r="1704">
          <cell r="A1704">
            <v>6712119</v>
          </cell>
          <cell r="B1704">
            <v>400959</v>
          </cell>
          <cell r="C1704" t="str">
            <v>Baglan Primary School</v>
          </cell>
          <cell r="D1704" t="str">
            <v>Neath Port Talbot</v>
          </cell>
          <cell r="E1704" t="str">
            <v>Welsh Establishment</v>
          </cell>
          <cell r="F1704" t="str">
            <v>Primary</v>
          </cell>
        </row>
        <row r="1705">
          <cell r="A1705">
            <v>9362268</v>
          </cell>
          <cell r="B1705">
            <v>124996</v>
          </cell>
          <cell r="C1705" t="str">
            <v>Bagshot Infant School</v>
          </cell>
          <cell r="D1705" t="str">
            <v>Surrey</v>
          </cell>
          <cell r="E1705" t="str">
            <v>Community School</v>
          </cell>
          <cell r="F1705" t="str">
            <v>Primary</v>
          </cell>
        </row>
        <row r="1706">
          <cell r="A1706">
            <v>8912436</v>
          </cell>
          <cell r="B1706">
            <v>122578</v>
          </cell>
          <cell r="C1706" t="str">
            <v>Bagthorpe Primary School</v>
          </cell>
          <cell r="D1706" t="str">
            <v>Nottinghamshire</v>
          </cell>
          <cell r="E1706" t="str">
            <v>Community School</v>
          </cell>
          <cell r="F1706" t="str">
            <v>Primary</v>
          </cell>
        </row>
        <row r="1707">
          <cell r="A1707">
            <v>3522027</v>
          </cell>
          <cell r="B1707">
            <v>127405</v>
          </cell>
          <cell r="C1707" t="str">
            <v>Baguley Hall Infant School</v>
          </cell>
          <cell r="D1707" t="str">
            <v>Manchester</v>
          </cell>
          <cell r="E1707" t="str">
            <v>Community School</v>
          </cell>
          <cell r="F1707" t="str">
            <v>Primary</v>
          </cell>
        </row>
        <row r="1708">
          <cell r="A1708">
            <v>3522026</v>
          </cell>
          <cell r="B1708">
            <v>127365</v>
          </cell>
          <cell r="C1708" t="str">
            <v>Baguley Hall Junior School</v>
          </cell>
          <cell r="D1708" t="str">
            <v>Manchester</v>
          </cell>
          <cell r="E1708" t="str">
            <v>Community School</v>
          </cell>
          <cell r="F1708" t="str">
            <v>Primary</v>
          </cell>
        </row>
        <row r="1709">
          <cell r="A1709">
            <v>3522326</v>
          </cell>
          <cell r="B1709">
            <v>105485</v>
          </cell>
          <cell r="C1709" t="str">
            <v>Baguley Hall Primary School</v>
          </cell>
          <cell r="D1709" t="str">
            <v>Manchester</v>
          </cell>
          <cell r="E1709" t="str">
            <v>Foundation School</v>
          </cell>
          <cell r="F1709" t="str">
            <v>Primary</v>
          </cell>
        </row>
        <row r="1710">
          <cell r="A1710">
            <v>3916040</v>
          </cell>
          <cell r="B1710">
            <v>136258</v>
          </cell>
          <cell r="C1710" t="str">
            <v>Bahr Academy</v>
          </cell>
          <cell r="D1710" t="str">
            <v>Newcastle upon Tyne</v>
          </cell>
          <cell r="E1710" t="str">
            <v>Other Independent School</v>
          </cell>
          <cell r="F1710" t="str">
            <v>Not applicable</v>
          </cell>
        </row>
        <row r="1711">
          <cell r="A1711">
            <v>3803360</v>
          </cell>
          <cell r="B1711">
            <v>107337</v>
          </cell>
          <cell r="C1711" t="str">
            <v>Baildon CofE Primary School</v>
          </cell>
          <cell r="D1711" t="str">
            <v>Bradford</v>
          </cell>
          <cell r="E1711" t="str">
            <v>Voluntary Aided School</v>
          </cell>
          <cell r="F1711" t="str">
            <v>Primary</v>
          </cell>
        </row>
        <row r="1712">
          <cell r="A1712">
            <v>3922054</v>
          </cell>
          <cell r="B1712">
            <v>108587</v>
          </cell>
          <cell r="C1712" t="str">
            <v>Bailey Green Primary School</v>
          </cell>
          <cell r="D1712" t="str">
            <v>North Tyneside</v>
          </cell>
          <cell r="E1712" t="str">
            <v>Community School</v>
          </cell>
          <cell r="F1712" t="str">
            <v>Primary</v>
          </cell>
        </row>
        <row r="1713">
          <cell r="A1713">
            <v>8032341</v>
          </cell>
          <cell r="B1713">
            <v>131225</v>
          </cell>
          <cell r="C1713" t="str">
            <v>Bailey's Court Primary School</v>
          </cell>
          <cell r="D1713" t="str">
            <v>South Gloucestershire</v>
          </cell>
          <cell r="E1713" t="str">
            <v>Community School</v>
          </cell>
          <cell r="F1713" t="str">
            <v>Primary</v>
          </cell>
        </row>
        <row r="1714">
          <cell r="A1714">
            <v>3812040</v>
          </cell>
          <cell r="B1714">
            <v>107499</v>
          </cell>
          <cell r="C1714" t="str">
            <v>Bailiffe Bridge Junior and Infant School</v>
          </cell>
          <cell r="D1714" t="str">
            <v>Calderdale</v>
          </cell>
          <cell r="E1714" t="str">
            <v>Community School</v>
          </cell>
          <cell r="F1714" t="str">
            <v>Primary</v>
          </cell>
        </row>
        <row r="1715">
          <cell r="A1715">
            <v>8153008</v>
          </cell>
          <cell r="B1715">
            <v>121477</v>
          </cell>
          <cell r="C1715" t="str">
            <v>Bainbridge Church of England Primary and Nursery School</v>
          </cell>
          <cell r="D1715" t="str">
            <v>North Yorkshire</v>
          </cell>
          <cell r="E1715" t="str">
            <v>Voluntary Controlled School</v>
          </cell>
          <cell r="F1715" t="str">
            <v>Primary</v>
          </cell>
        </row>
        <row r="1716">
          <cell r="A1716">
            <v>8885404</v>
          </cell>
          <cell r="B1716">
            <v>119813</v>
          </cell>
          <cell r="C1716" t="str">
            <v>Baines School</v>
          </cell>
          <cell r="D1716" t="str">
            <v>Lancashire</v>
          </cell>
          <cell r="E1716" t="str">
            <v>Voluntary Aided School</v>
          </cell>
          <cell r="F1716" t="str">
            <v>Secondary</v>
          </cell>
        </row>
        <row r="1717">
          <cell r="A1717">
            <v>9276067</v>
          </cell>
          <cell r="B1717">
            <v>129675</v>
          </cell>
          <cell r="C1717" t="str">
            <v>Bairnswood School</v>
          </cell>
          <cell r="D1717" t="str">
            <v>Pre LGR (1996) North Yorkshire</v>
          </cell>
          <cell r="E1717" t="str">
            <v>Other Independent School</v>
          </cell>
          <cell r="F1717" t="str">
            <v>Not applicable</v>
          </cell>
        </row>
        <row r="1718">
          <cell r="A1718">
            <v>9367041</v>
          </cell>
          <cell r="B1718">
            <v>130142</v>
          </cell>
          <cell r="C1718" t="str">
            <v>Bakers Croft School</v>
          </cell>
          <cell r="D1718" t="str">
            <v>Surrey</v>
          </cell>
          <cell r="E1718" t="str">
            <v>Community Special School</v>
          </cell>
          <cell r="F1718" t="str">
            <v>Special</v>
          </cell>
        </row>
        <row r="1719">
          <cell r="A1719">
            <v>8303006</v>
          </cell>
          <cell r="B1719">
            <v>112797</v>
          </cell>
          <cell r="C1719" t="str">
            <v>Bakewell CofE Infant School</v>
          </cell>
          <cell r="D1719" t="str">
            <v>Derbyshire</v>
          </cell>
          <cell r="E1719" t="str">
            <v>Voluntary Controlled School</v>
          </cell>
          <cell r="F1719" t="str">
            <v>Primary</v>
          </cell>
        </row>
        <row r="1720">
          <cell r="A1720">
            <v>8303151</v>
          </cell>
          <cell r="B1720">
            <v>112870</v>
          </cell>
          <cell r="C1720" t="str">
            <v>Bakewell Methodist Junior School</v>
          </cell>
          <cell r="D1720" t="str">
            <v>Derbyshire</v>
          </cell>
          <cell r="E1720" t="str">
            <v>Voluntary Controlled School</v>
          </cell>
          <cell r="F1720" t="str">
            <v>Primary</v>
          </cell>
        </row>
        <row r="1721">
          <cell r="A1721">
            <v>3714056</v>
          </cell>
          <cell r="B1721">
            <v>106802</v>
          </cell>
          <cell r="C1721" t="str">
            <v>Balby Carr Community Sports and Science College</v>
          </cell>
          <cell r="D1721" t="str">
            <v>Doncaster</v>
          </cell>
          <cell r="E1721" t="str">
            <v>Foundation School</v>
          </cell>
          <cell r="F1721" t="str">
            <v>Secondary</v>
          </cell>
        </row>
        <row r="1722">
          <cell r="A1722">
            <v>3712169</v>
          </cell>
          <cell r="B1722">
            <v>106732</v>
          </cell>
          <cell r="C1722" t="str">
            <v>Balby Central Primary School</v>
          </cell>
          <cell r="D1722" t="str">
            <v>Doncaster</v>
          </cell>
          <cell r="E1722" t="str">
            <v>Community School</v>
          </cell>
          <cell r="F1722" t="str">
            <v>Primary</v>
          </cell>
        </row>
        <row r="1723">
          <cell r="A1723">
            <v>3714057</v>
          </cell>
          <cell r="B1723">
            <v>106803</v>
          </cell>
          <cell r="C1723" t="str">
            <v>Balby Middle School</v>
          </cell>
          <cell r="D1723" t="str">
            <v>Doncaster</v>
          </cell>
          <cell r="E1723" t="str">
            <v>Community School</v>
          </cell>
          <cell r="F1723" t="str">
            <v>Middle Deemed Secondary</v>
          </cell>
        </row>
        <row r="1724">
          <cell r="A1724">
            <v>9165408</v>
          </cell>
          <cell r="B1724">
            <v>115759</v>
          </cell>
          <cell r="C1724" t="str">
            <v>Balcarras School</v>
          </cell>
          <cell r="D1724" t="str">
            <v>Gloucestershire</v>
          </cell>
          <cell r="E1724" t="str">
            <v>Foundation School</v>
          </cell>
          <cell r="F1724" t="str">
            <v>Secondary</v>
          </cell>
        </row>
        <row r="1725">
          <cell r="A1725">
            <v>9165408</v>
          </cell>
          <cell r="B1725">
            <v>136474</v>
          </cell>
          <cell r="C1725" t="str">
            <v>Balcarras School</v>
          </cell>
          <cell r="D1725" t="str">
            <v>Gloucestershire</v>
          </cell>
          <cell r="E1725" t="str">
            <v>Academy Converters</v>
          </cell>
          <cell r="F1725" t="str">
            <v>Secondary</v>
          </cell>
        </row>
        <row r="1726">
          <cell r="A1726">
            <v>9383051</v>
          </cell>
          <cell r="B1726">
            <v>126006</v>
          </cell>
          <cell r="C1726" t="str">
            <v>Balcombe CofE Controlled Primary School</v>
          </cell>
          <cell r="D1726" t="str">
            <v>West Sussex</v>
          </cell>
          <cell r="E1726" t="str">
            <v>Voluntary Controlled School</v>
          </cell>
          <cell r="F1726" t="str">
            <v>Primary</v>
          </cell>
        </row>
        <row r="1727">
          <cell r="A1727">
            <v>8153009</v>
          </cell>
          <cell r="B1727">
            <v>121478</v>
          </cell>
          <cell r="C1727" t="str">
            <v>Baldersby St James Church of England Voluntary Controlled Primary School</v>
          </cell>
          <cell r="D1727" t="str">
            <v>North Yorkshire</v>
          </cell>
          <cell r="E1727" t="str">
            <v>Voluntary Controlled School</v>
          </cell>
          <cell r="F1727" t="str">
            <v>Primary</v>
          </cell>
        </row>
        <row r="1728">
          <cell r="A1728">
            <v>8883300</v>
          </cell>
          <cell r="B1728">
            <v>119415</v>
          </cell>
          <cell r="C1728" t="str">
            <v>Balderstone St Leonard's Church of England Voluntary Aided Primary School</v>
          </cell>
          <cell r="D1728" t="str">
            <v>Lancashire</v>
          </cell>
          <cell r="E1728" t="str">
            <v>Voluntary Aided School</v>
          </cell>
          <cell r="F1728" t="str">
            <v>Primary</v>
          </cell>
        </row>
        <row r="1729">
          <cell r="A1729">
            <v>3544085</v>
          </cell>
          <cell r="B1729">
            <v>105836</v>
          </cell>
          <cell r="C1729" t="str">
            <v>Balderstone Technology College</v>
          </cell>
          <cell r="D1729" t="str">
            <v>Rochdale</v>
          </cell>
          <cell r="E1729" t="str">
            <v>Community School</v>
          </cell>
          <cell r="F1729" t="str">
            <v>Secondary</v>
          </cell>
        </row>
        <row r="1730">
          <cell r="A1730">
            <v>3544000</v>
          </cell>
          <cell r="B1730">
            <v>127439</v>
          </cell>
          <cell r="C1730" t="str">
            <v>Balderstone Upper School</v>
          </cell>
          <cell r="D1730" t="str">
            <v>Rochdale</v>
          </cell>
          <cell r="E1730" t="str">
            <v>Community School</v>
          </cell>
          <cell r="F1730" t="str">
            <v>Secondary</v>
          </cell>
        </row>
        <row r="1731">
          <cell r="A1731">
            <v>8603137</v>
          </cell>
          <cell r="B1731">
            <v>124290</v>
          </cell>
          <cell r="C1731" t="str">
            <v>Baldwins Gate CofE(VC) Primary School</v>
          </cell>
          <cell r="D1731" t="str">
            <v>Staffordshire</v>
          </cell>
          <cell r="E1731" t="str">
            <v>Voluntary Controlled School</v>
          </cell>
          <cell r="F1731" t="str">
            <v>Primary</v>
          </cell>
        </row>
        <row r="1732">
          <cell r="A1732">
            <v>9362155</v>
          </cell>
          <cell r="B1732">
            <v>130029</v>
          </cell>
          <cell r="C1732" t="str">
            <v>Baldwins Hill County Primary School</v>
          </cell>
          <cell r="D1732" t="str">
            <v>Surrey</v>
          </cell>
          <cell r="E1732" t="str">
            <v>Community School</v>
          </cell>
          <cell r="F1732" t="str">
            <v>Primary</v>
          </cell>
        </row>
        <row r="1733">
          <cell r="A1733">
            <v>9382247</v>
          </cell>
          <cell r="B1733">
            <v>125969</v>
          </cell>
          <cell r="C1733" t="str">
            <v>Baldwins Hill Primary School, East Grinstead</v>
          </cell>
          <cell r="D1733" t="str">
            <v>West Sussex</v>
          </cell>
          <cell r="E1733" t="str">
            <v>Community School</v>
          </cell>
          <cell r="F1733" t="str">
            <v>Primary</v>
          </cell>
        </row>
        <row r="1734">
          <cell r="A1734">
            <v>2136384</v>
          </cell>
          <cell r="B1734">
            <v>101181</v>
          </cell>
          <cell r="C1734" t="str">
            <v>Bales College</v>
          </cell>
          <cell r="D1734" t="str">
            <v>Westminster</v>
          </cell>
          <cell r="E1734" t="str">
            <v>Other Independent School</v>
          </cell>
          <cell r="F1734" t="str">
            <v>Not applicable</v>
          </cell>
        </row>
        <row r="1735">
          <cell r="A1735">
            <v>8872215</v>
          </cell>
          <cell r="B1735">
            <v>118329</v>
          </cell>
          <cell r="C1735" t="str">
            <v>Balfour Infant School</v>
          </cell>
          <cell r="D1735" t="str">
            <v>Medway</v>
          </cell>
          <cell r="E1735" t="str">
            <v>Community School</v>
          </cell>
          <cell r="F1735" t="str">
            <v>Primary</v>
          </cell>
        </row>
        <row r="1736">
          <cell r="A1736">
            <v>8462000</v>
          </cell>
          <cell r="B1736">
            <v>114361</v>
          </cell>
          <cell r="C1736" t="str">
            <v>Balfour Junior School</v>
          </cell>
          <cell r="D1736" t="str">
            <v>Brighton and Hove</v>
          </cell>
          <cell r="E1736" t="str">
            <v>Community School</v>
          </cell>
          <cell r="F1736" t="str">
            <v>Primary</v>
          </cell>
        </row>
        <row r="1737">
          <cell r="A1737">
            <v>8872214</v>
          </cell>
          <cell r="B1737">
            <v>118328</v>
          </cell>
          <cell r="C1737" t="str">
            <v>Balfour Junior School</v>
          </cell>
          <cell r="D1737" t="str">
            <v>Medway</v>
          </cell>
          <cell r="E1737" t="str">
            <v>Community School</v>
          </cell>
          <cell r="F1737" t="str">
            <v>Primary</v>
          </cell>
        </row>
        <row r="1738">
          <cell r="A1738">
            <v>8462040</v>
          </cell>
          <cell r="B1738">
            <v>114382</v>
          </cell>
          <cell r="C1738" t="str">
            <v>Balfour Primary School</v>
          </cell>
          <cell r="D1738" t="str">
            <v>Brighton and Hove</v>
          </cell>
          <cell r="E1738" t="str">
            <v>Community School</v>
          </cell>
          <cell r="F1738" t="str">
            <v>Primary</v>
          </cell>
        </row>
        <row r="1739">
          <cell r="A1739">
            <v>3052002</v>
          </cell>
          <cell r="B1739">
            <v>101587</v>
          </cell>
          <cell r="C1739" t="str">
            <v>Balgowan Primary School</v>
          </cell>
          <cell r="D1739" t="str">
            <v>Bromley</v>
          </cell>
          <cell r="E1739" t="str">
            <v>Community School</v>
          </cell>
          <cell r="F1739" t="str">
            <v>Primary</v>
          </cell>
        </row>
        <row r="1740">
          <cell r="A1740">
            <v>3052002</v>
          </cell>
          <cell r="B1740">
            <v>137216</v>
          </cell>
          <cell r="C1740" t="str">
            <v>Balgowan Primary School</v>
          </cell>
          <cell r="D1740" t="str">
            <v>Bromley</v>
          </cell>
          <cell r="E1740" t="str">
            <v>Academy Converters</v>
          </cell>
          <cell r="F1740" t="str">
            <v>Primary</v>
          </cell>
        </row>
        <row r="1741">
          <cell r="A1741">
            <v>2121015</v>
          </cell>
          <cell r="B1741">
            <v>100990</v>
          </cell>
          <cell r="C1741" t="str">
            <v>Balham Nursery School</v>
          </cell>
          <cell r="D1741" t="str">
            <v>Wandsworth</v>
          </cell>
          <cell r="E1741" t="str">
            <v>LA Nursery School</v>
          </cell>
          <cell r="F1741" t="str">
            <v>Nursery</v>
          </cell>
        </row>
        <row r="1742">
          <cell r="A1742">
            <v>8157030</v>
          </cell>
          <cell r="B1742">
            <v>121780</v>
          </cell>
          <cell r="C1742" t="str">
            <v>Baliol School</v>
          </cell>
          <cell r="D1742" t="str">
            <v>North Yorkshire</v>
          </cell>
          <cell r="E1742" t="str">
            <v>Community Special School</v>
          </cell>
          <cell r="F1742" t="str">
            <v>Special</v>
          </cell>
        </row>
        <row r="1743">
          <cell r="A1743">
            <v>8502354</v>
          </cell>
          <cell r="B1743">
            <v>116063</v>
          </cell>
          <cell r="C1743" t="str">
            <v>Balksbury Infant School</v>
          </cell>
          <cell r="D1743" t="str">
            <v>Hampshire</v>
          </cell>
          <cell r="E1743" t="str">
            <v>Community School</v>
          </cell>
          <cell r="F1743" t="str">
            <v>Primary</v>
          </cell>
        </row>
        <row r="1744">
          <cell r="A1744">
            <v>8502002</v>
          </cell>
          <cell r="B1744">
            <v>115852</v>
          </cell>
          <cell r="C1744" t="str">
            <v>Balksbury Junior School</v>
          </cell>
          <cell r="D1744" t="str">
            <v>Hampshire</v>
          </cell>
          <cell r="E1744" t="str">
            <v>Community School</v>
          </cell>
          <cell r="F1744" t="str">
            <v>Primary</v>
          </cell>
        </row>
        <row r="1745">
          <cell r="A1745">
            <v>8612100</v>
          </cell>
          <cell r="B1745">
            <v>124020</v>
          </cell>
          <cell r="C1745" t="str">
            <v>Ball Green Primary School</v>
          </cell>
          <cell r="D1745" t="str">
            <v>Stoke-on-Trent</v>
          </cell>
          <cell r="E1745" t="str">
            <v>Community School</v>
          </cell>
          <cell r="F1745" t="str">
            <v>Primary</v>
          </cell>
        </row>
        <row r="1746">
          <cell r="A1746">
            <v>7052058</v>
          </cell>
          <cell r="B1746">
            <v>132449</v>
          </cell>
          <cell r="C1746" t="str">
            <v>Ballacloan Infants School</v>
          </cell>
          <cell r="D1746" t="str">
            <v>Isle of Man Offshore Establishments</v>
          </cell>
          <cell r="E1746" t="str">
            <v>Offshore Schools</v>
          </cell>
          <cell r="F1746" t="str">
            <v>Not applicable</v>
          </cell>
        </row>
        <row r="1747">
          <cell r="A1747">
            <v>7052203</v>
          </cell>
          <cell r="B1747">
            <v>132448</v>
          </cell>
          <cell r="C1747" t="str">
            <v>Ballacottier School</v>
          </cell>
          <cell r="D1747" t="str">
            <v>Isle of Man Offshore Establishments</v>
          </cell>
          <cell r="E1747" t="str">
            <v>Offshore Schools</v>
          </cell>
          <cell r="F1747" t="str">
            <v>Not applicable</v>
          </cell>
        </row>
        <row r="1748">
          <cell r="A1748">
            <v>7054001</v>
          </cell>
          <cell r="B1748">
            <v>132422</v>
          </cell>
          <cell r="C1748" t="str">
            <v>Ballakermeen High School</v>
          </cell>
          <cell r="D1748" t="str">
            <v>Isle of Man Offshore Establishments</v>
          </cell>
          <cell r="E1748" t="str">
            <v>Offshore Schools</v>
          </cell>
          <cell r="F1748" t="str">
            <v>Not applicable</v>
          </cell>
        </row>
        <row r="1749">
          <cell r="A1749">
            <v>3442050</v>
          </cell>
          <cell r="B1749">
            <v>127380</v>
          </cell>
          <cell r="C1749" t="str">
            <v>Ballantyne Junior School</v>
          </cell>
          <cell r="D1749" t="str">
            <v>Wirral</v>
          </cell>
          <cell r="E1749" t="str">
            <v>Community School</v>
          </cell>
          <cell r="F1749" t="str">
            <v>Primary</v>
          </cell>
        </row>
        <row r="1750">
          <cell r="A1750">
            <v>7052054</v>
          </cell>
          <cell r="B1750">
            <v>132445</v>
          </cell>
          <cell r="C1750" t="str">
            <v>Ballaquayle Infants School</v>
          </cell>
          <cell r="D1750" t="str">
            <v>Isle of Man Offshore Establishments</v>
          </cell>
          <cell r="E1750" t="str">
            <v>Offshore Schools</v>
          </cell>
          <cell r="F1750" t="str">
            <v>Not applicable</v>
          </cell>
        </row>
        <row r="1751">
          <cell r="A1751">
            <v>9176019</v>
          </cell>
          <cell r="B1751">
            <v>129051</v>
          </cell>
          <cell r="C1751" t="str">
            <v>Ballard Lake Preparatory School</v>
          </cell>
          <cell r="D1751" t="str">
            <v>Pre LGR (1997) Hampshire</v>
          </cell>
          <cell r="E1751" t="str">
            <v>Other Independent School</v>
          </cell>
          <cell r="F1751" t="str">
            <v>Not applicable</v>
          </cell>
        </row>
        <row r="1752">
          <cell r="A1752">
            <v>8506012</v>
          </cell>
          <cell r="B1752">
            <v>116524</v>
          </cell>
          <cell r="C1752" t="str">
            <v>Ballard School</v>
          </cell>
          <cell r="D1752" t="str">
            <v>Hampshire</v>
          </cell>
          <cell r="E1752" t="str">
            <v>Other Independent School</v>
          </cell>
          <cell r="F1752" t="str">
            <v>Not applicable</v>
          </cell>
        </row>
        <row r="1753">
          <cell r="A1753">
            <v>7052021</v>
          </cell>
          <cell r="B1753">
            <v>132521</v>
          </cell>
          <cell r="C1753" t="str">
            <v>Ballasalla Primary School</v>
          </cell>
          <cell r="D1753" t="str">
            <v>Isle of Man Offshore Establishments</v>
          </cell>
          <cell r="E1753" t="str">
            <v>Offshore Schools</v>
          </cell>
          <cell r="F1753" t="str">
            <v>Not applicable</v>
          </cell>
        </row>
        <row r="1754">
          <cell r="A1754">
            <v>7052004</v>
          </cell>
          <cell r="B1754">
            <v>132451</v>
          </cell>
          <cell r="C1754" t="str">
            <v>Ballaugh Primary School</v>
          </cell>
          <cell r="D1754" t="str">
            <v>Isle of Man Offshore Establishments</v>
          </cell>
          <cell r="E1754" t="str">
            <v>Offshore Schools</v>
          </cell>
          <cell r="F1754" t="str">
            <v>Not applicable</v>
          </cell>
        </row>
        <row r="1755">
          <cell r="A1755">
            <v>9344035</v>
          </cell>
          <cell r="B1755">
            <v>129930</v>
          </cell>
          <cell r="C1755" t="str">
            <v>Ballgreen High School</v>
          </cell>
          <cell r="D1755" t="str">
            <v>Pre LGR (1997) Staffordshire</v>
          </cell>
          <cell r="E1755" t="str">
            <v>Community School</v>
          </cell>
          <cell r="F1755" t="str">
            <v>Secondary</v>
          </cell>
        </row>
        <row r="1756">
          <cell r="A1756">
            <v>3732281</v>
          </cell>
          <cell r="B1756">
            <v>107047</v>
          </cell>
          <cell r="C1756" t="str">
            <v>Ballifield Primary School</v>
          </cell>
          <cell r="D1756" t="str">
            <v>Sheffield</v>
          </cell>
          <cell r="E1756" t="str">
            <v>Community School</v>
          </cell>
          <cell r="F1756" t="str">
            <v>Primary</v>
          </cell>
        </row>
        <row r="1757">
          <cell r="A1757">
            <v>8222064</v>
          </cell>
          <cell r="B1757">
            <v>109464</v>
          </cell>
          <cell r="C1757" t="str">
            <v>Balliol Lower School</v>
          </cell>
          <cell r="D1757" t="str">
            <v>Bedford</v>
          </cell>
          <cell r="E1757" t="str">
            <v>Community School</v>
          </cell>
          <cell r="F1757" t="str">
            <v>Primary</v>
          </cell>
        </row>
        <row r="1758">
          <cell r="A1758">
            <v>3922077</v>
          </cell>
          <cell r="B1758">
            <v>108603</v>
          </cell>
          <cell r="C1758" t="str">
            <v>Balliol Primary School</v>
          </cell>
          <cell r="D1758" t="str">
            <v>North Tyneside</v>
          </cell>
          <cell r="E1758" t="str">
            <v>Community School</v>
          </cell>
          <cell r="F1758" t="str">
            <v>Primary</v>
          </cell>
        </row>
        <row r="1759">
          <cell r="A1759">
            <v>3416083</v>
          </cell>
          <cell r="B1759">
            <v>135915</v>
          </cell>
          <cell r="C1759" t="str">
            <v>Balmoral Independent School</v>
          </cell>
          <cell r="D1759" t="str">
            <v>Liverpool</v>
          </cell>
          <cell r="E1759" t="str">
            <v>Other Independent Special School</v>
          </cell>
          <cell r="F1759" t="str">
            <v>Not applicable</v>
          </cell>
        </row>
        <row r="1760">
          <cell r="A1760">
            <v>3342050</v>
          </cell>
          <cell r="B1760">
            <v>104059</v>
          </cell>
          <cell r="C1760" t="str">
            <v>Balsall Common Primary School</v>
          </cell>
          <cell r="D1760" t="str">
            <v>Solihull</v>
          </cell>
          <cell r="E1760" t="str">
            <v>Community School</v>
          </cell>
          <cell r="F1760" t="str">
            <v>Primary</v>
          </cell>
        </row>
        <row r="1761">
          <cell r="A1761">
            <v>8882577</v>
          </cell>
          <cell r="B1761">
            <v>119312</v>
          </cell>
          <cell r="C1761" t="str">
            <v>Balshaw Lane Community Primary School</v>
          </cell>
          <cell r="D1761" t="str">
            <v>Lancashire</v>
          </cell>
          <cell r="E1761" t="str">
            <v>Community School</v>
          </cell>
          <cell r="F1761" t="str">
            <v>Primary</v>
          </cell>
        </row>
        <row r="1762">
          <cell r="A1762">
            <v>8884500</v>
          </cell>
          <cell r="B1762">
            <v>119775</v>
          </cell>
          <cell r="C1762" t="str">
            <v>Balshaw's Church of England High School</v>
          </cell>
          <cell r="D1762" t="str">
            <v>Lancashire</v>
          </cell>
          <cell r="E1762" t="str">
            <v>Voluntary Controlled School</v>
          </cell>
          <cell r="F1762" t="str">
            <v>Secondary</v>
          </cell>
        </row>
        <row r="1763">
          <cell r="A1763">
            <v>9333001</v>
          </cell>
          <cell r="B1763">
            <v>123740</v>
          </cell>
          <cell r="C1763" t="str">
            <v>Baltonsborough Church of England Voluntary Controlled Primary School</v>
          </cell>
          <cell r="D1763" t="str">
            <v>Somerset</v>
          </cell>
          <cell r="E1763" t="str">
            <v>Voluntary Controlled School</v>
          </cell>
          <cell r="F1763" t="str">
            <v>Primary</v>
          </cell>
        </row>
        <row r="1764">
          <cell r="A1764">
            <v>8883128</v>
          </cell>
          <cell r="B1764">
            <v>119394</v>
          </cell>
          <cell r="C1764" t="str">
            <v>Bamber Bridge Methodist Voluntary Controlled Primary School</v>
          </cell>
          <cell r="D1764" t="str">
            <v>Lancashire</v>
          </cell>
          <cell r="E1764" t="str">
            <v>Voluntary Controlled School</v>
          </cell>
          <cell r="F1764" t="str">
            <v>Primary</v>
          </cell>
        </row>
        <row r="1765">
          <cell r="A1765">
            <v>8883085</v>
          </cell>
          <cell r="B1765">
            <v>119380</v>
          </cell>
          <cell r="C1765" t="str">
            <v>Bamber Bridge St Aidan's Church of England Primary School</v>
          </cell>
          <cell r="D1765" t="str">
            <v>Lancashire</v>
          </cell>
          <cell r="E1765" t="str">
            <v>Voluntary Controlled School</v>
          </cell>
          <cell r="F1765" t="str">
            <v>Primary</v>
          </cell>
        </row>
        <row r="1766">
          <cell r="A1766">
            <v>8883020</v>
          </cell>
          <cell r="B1766">
            <v>119365</v>
          </cell>
          <cell r="C1766" t="str">
            <v>Bamber Bridge St Saviour's Church of England Primary School</v>
          </cell>
          <cell r="D1766" t="str">
            <v>Lancashire</v>
          </cell>
          <cell r="E1766" t="str">
            <v>Voluntary Controlled School</v>
          </cell>
          <cell r="F1766" t="str">
            <v>Primary</v>
          </cell>
        </row>
        <row r="1767">
          <cell r="A1767">
            <v>3937000</v>
          </cell>
          <cell r="B1767">
            <v>108738</v>
          </cell>
          <cell r="C1767" t="str">
            <v>Bamburgh School</v>
          </cell>
          <cell r="D1767" t="str">
            <v>South Tyneside</v>
          </cell>
          <cell r="E1767" t="str">
            <v>Community Special School</v>
          </cell>
          <cell r="F1767" t="str">
            <v>Special</v>
          </cell>
        </row>
        <row r="1768">
          <cell r="A1768">
            <v>3545205</v>
          </cell>
          <cell r="B1768">
            <v>137471</v>
          </cell>
          <cell r="C1768" t="str">
            <v>Bamford Academy</v>
          </cell>
          <cell r="D1768" t="str">
            <v>Rochdale</v>
          </cell>
          <cell r="E1768" t="str">
            <v>Academy Converters</v>
          </cell>
          <cell r="F1768" t="str">
            <v>Primary</v>
          </cell>
        </row>
        <row r="1769">
          <cell r="A1769">
            <v>3545205</v>
          </cell>
          <cell r="B1769">
            <v>105851</v>
          </cell>
          <cell r="C1769" t="str">
            <v>Bamford Primary School</v>
          </cell>
          <cell r="D1769" t="str">
            <v>Rochdale</v>
          </cell>
          <cell r="E1769" t="str">
            <v>Foundation School</v>
          </cell>
          <cell r="F1769" t="str">
            <v>Primary</v>
          </cell>
        </row>
        <row r="1770">
          <cell r="A1770">
            <v>8302021</v>
          </cell>
          <cell r="B1770">
            <v>112504</v>
          </cell>
          <cell r="C1770" t="str">
            <v>Bamford Primary School</v>
          </cell>
          <cell r="D1770" t="str">
            <v>Derbyshire</v>
          </cell>
          <cell r="E1770" t="str">
            <v>Community School</v>
          </cell>
          <cell r="F1770" t="str">
            <v>Primary</v>
          </cell>
        </row>
        <row r="1771">
          <cell r="A1771">
            <v>8783771</v>
          </cell>
          <cell r="B1771">
            <v>113494</v>
          </cell>
          <cell r="C1771" t="str">
            <v>Bampton Church of England Primary School</v>
          </cell>
          <cell r="D1771" t="str">
            <v>Devon</v>
          </cell>
          <cell r="E1771" t="str">
            <v>Voluntary Aided School</v>
          </cell>
          <cell r="F1771" t="str">
            <v>Primary</v>
          </cell>
        </row>
        <row r="1772">
          <cell r="A1772">
            <v>9113302</v>
          </cell>
          <cell r="B1772">
            <v>128709</v>
          </cell>
          <cell r="C1772" t="str">
            <v>Bampton CofE First School</v>
          </cell>
          <cell r="D1772" t="str">
            <v>Pre LGR (1998) Devon</v>
          </cell>
          <cell r="E1772" t="str">
            <v>Voluntary Aided School</v>
          </cell>
          <cell r="F1772" t="str">
            <v>Primary</v>
          </cell>
        </row>
        <row r="1773">
          <cell r="A1773">
            <v>9313131</v>
          </cell>
          <cell r="B1773">
            <v>123114</v>
          </cell>
          <cell r="C1773" t="str">
            <v>Bampton CofE Primary School</v>
          </cell>
          <cell r="D1773" t="str">
            <v>Oxfordshire</v>
          </cell>
          <cell r="E1773" t="str">
            <v>Voluntary Controlled School</v>
          </cell>
          <cell r="F1773" t="str">
            <v>Primary</v>
          </cell>
        </row>
        <row r="1774">
          <cell r="A1774">
            <v>9093353</v>
          </cell>
          <cell r="B1774">
            <v>112312</v>
          </cell>
          <cell r="C1774" t="str">
            <v>Bampton Endowed School</v>
          </cell>
          <cell r="D1774" t="str">
            <v>Cumbria</v>
          </cell>
          <cell r="E1774" t="str">
            <v>Voluntary Aided School</v>
          </cell>
          <cell r="F1774" t="str">
            <v>Primary</v>
          </cell>
        </row>
        <row r="1775">
          <cell r="A1775">
            <v>8601024</v>
          </cell>
          <cell r="B1775">
            <v>123964</v>
          </cell>
          <cell r="C1775" t="str">
            <v>Banbury Nursery School</v>
          </cell>
          <cell r="D1775" t="str">
            <v>Staffordshire</v>
          </cell>
          <cell r="E1775" t="str">
            <v>LA Nursery School</v>
          </cell>
          <cell r="F1775" t="str">
            <v>Nursery</v>
          </cell>
        </row>
        <row r="1776">
          <cell r="A1776">
            <v>9311101</v>
          </cell>
          <cell r="B1776">
            <v>122986</v>
          </cell>
          <cell r="C1776" t="str">
            <v>Banbury Pupil Referral Unit</v>
          </cell>
          <cell r="D1776" t="str">
            <v>Oxfordshire</v>
          </cell>
          <cell r="E1776" t="str">
            <v>Pupil Referral Unit</v>
          </cell>
          <cell r="F1776" t="str">
            <v>PRU</v>
          </cell>
        </row>
        <row r="1777">
          <cell r="A1777">
            <v>9314021</v>
          </cell>
          <cell r="B1777">
            <v>123232</v>
          </cell>
          <cell r="C1777" t="str">
            <v>Banbury School</v>
          </cell>
          <cell r="D1777" t="str">
            <v>Oxfordshire</v>
          </cell>
          <cell r="E1777" t="str">
            <v>Foundation School</v>
          </cell>
          <cell r="F1777" t="str">
            <v>Secondary</v>
          </cell>
        </row>
        <row r="1778">
          <cell r="A1778">
            <v>3176071</v>
          </cell>
          <cell r="B1778">
            <v>132134</v>
          </cell>
          <cell r="C1778" t="str">
            <v>Bancrofts Preparatory School</v>
          </cell>
          <cell r="D1778" t="str">
            <v>Redbridge</v>
          </cell>
          <cell r="E1778" t="str">
            <v>Other Independent School</v>
          </cell>
          <cell r="F1778" t="str">
            <v>Not applicable</v>
          </cell>
        </row>
        <row r="1779">
          <cell r="A1779">
            <v>3176063</v>
          </cell>
          <cell r="B1779">
            <v>102875</v>
          </cell>
          <cell r="C1779" t="str">
            <v>Bancrofts School</v>
          </cell>
          <cell r="D1779" t="str">
            <v>Redbridge</v>
          </cell>
          <cell r="E1779" t="str">
            <v>Other Independent School</v>
          </cell>
          <cell r="F1779" t="str">
            <v>Not applicable</v>
          </cell>
        </row>
        <row r="1780">
          <cell r="A1780">
            <v>6692034</v>
          </cell>
          <cell r="B1780">
            <v>400744</v>
          </cell>
          <cell r="C1780" t="str">
            <v>Bancyfelin C.P. School</v>
          </cell>
          <cell r="D1780" t="str">
            <v>Carmarthenshire</v>
          </cell>
          <cell r="E1780" t="str">
            <v>Welsh Establishment</v>
          </cell>
          <cell r="F1780" t="str">
            <v>Primary</v>
          </cell>
        </row>
        <row r="1781">
          <cell r="A1781">
            <v>9192202</v>
          </cell>
          <cell r="B1781">
            <v>117210</v>
          </cell>
          <cell r="C1781" t="str">
            <v>Bandley Hill Infants' School</v>
          </cell>
          <cell r="D1781" t="str">
            <v>Hertfordshire</v>
          </cell>
          <cell r="E1781" t="str">
            <v>Community School</v>
          </cell>
          <cell r="F1781" t="str">
            <v>Primary</v>
          </cell>
        </row>
        <row r="1782">
          <cell r="A1782">
            <v>9192201</v>
          </cell>
          <cell r="B1782">
            <v>117209</v>
          </cell>
          <cell r="C1782" t="str">
            <v>Bandley Hill Junior School</v>
          </cell>
          <cell r="D1782" t="str">
            <v>Hertfordshire</v>
          </cell>
          <cell r="E1782" t="str">
            <v>Community School</v>
          </cell>
          <cell r="F1782" t="str">
            <v>Primary</v>
          </cell>
        </row>
        <row r="1783">
          <cell r="A1783">
            <v>3192000</v>
          </cell>
          <cell r="B1783">
            <v>102958</v>
          </cell>
          <cell r="C1783" t="str">
            <v>Bandon Hill Primary School</v>
          </cell>
          <cell r="D1783" t="str">
            <v>Sutton</v>
          </cell>
          <cell r="E1783" t="str">
            <v>Community School</v>
          </cell>
          <cell r="F1783" t="str">
            <v>Primary</v>
          </cell>
        </row>
        <row r="1784">
          <cell r="A1784">
            <v>2112912</v>
          </cell>
          <cell r="B1784">
            <v>100937</v>
          </cell>
          <cell r="C1784" t="str">
            <v>Bangabandhu Primary School</v>
          </cell>
          <cell r="D1784" t="str">
            <v>Tower Hamlets</v>
          </cell>
          <cell r="E1784" t="str">
            <v>Community School</v>
          </cell>
          <cell r="F1784" t="str">
            <v>Primary</v>
          </cell>
        </row>
        <row r="1785">
          <cell r="A1785">
            <v>6616031</v>
          </cell>
          <cell r="B1785">
            <v>402097</v>
          </cell>
          <cell r="C1785" t="str">
            <v>Bangor Centre for Developmental Disabilities</v>
          </cell>
          <cell r="D1785" t="str">
            <v>Gwynedd</v>
          </cell>
          <cell r="E1785" t="str">
            <v>Welsh Establishment</v>
          </cell>
          <cell r="F1785" t="str">
            <v>Not applicable</v>
          </cell>
        </row>
        <row r="1786">
          <cell r="A1786">
            <v>9262009</v>
          </cell>
          <cell r="B1786">
            <v>120782</v>
          </cell>
          <cell r="C1786" t="str">
            <v>Banham Community Primary School</v>
          </cell>
          <cell r="D1786" t="str">
            <v>Norfolk</v>
          </cell>
          <cell r="E1786" t="str">
            <v>Community School</v>
          </cell>
          <cell r="F1786" t="str">
            <v>Primary</v>
          </cell>
        </row>
        <row r="1787">
          <cell r="A1787">
            <v>9266116</v>
          </cell>
          <cell r="B1787">
            <v>121240</v>
          </cell>
          <cell r="C1787" t="str">
            <v>Banham Marshalls College</v>
          </cell>
          <cell r="D1787" t="str">
            <v>Norfolk</v>
          </cell>
          <cell r="E1787" t="str">
            <v>Other Independent Special School</v>
          </cell>
          <cell r="F1787" t="str">
            <v>Not applicable</v>
          </cell>
        </row>
        <row r="1788">
          <cell r="A1788">
            <v>8522440</v>
          </cell>
          <cell r="B1788">
            <v>116116</v>
          </cell>
          <cell r="C1788" t="str">
            <v>Banister Infant School</v>
          </cell>
          <cell r="D1788" t="str">
            <v>Southampton</v>
          </cell>
          <cell r="E1788" t="str">
            <v>Foundation School</v>
          </cell>
          <cell r="F1788" t="str">
            <v>Primary</v>
          </cell>
        </row>
        <row r="1789">
          <cell r="A1789">
            <v>8897106</v>
          </cell>
          <cell r="B1789">
            <v>119900</v>
          </cell>
          <cell r="C1789" t="str">
            <v>Bank Hey School</v>
          </cell>
          <cell r="D1789" t="str">
            <v>Blackburn with Darwen</v>
          </cell>
          <cell r="E1789" t="str">
            <v>Community Special School</v>
          </cell>
          <cell r="F1789" t="str">
            <v>Special</v>
          </cell>
        </row>
        <row r="1790">
          <cell r="A1790">
            <v>9012106</v>
          </cell>
          <cell r="B1790">
            <v>128220</v>
          </cell>
          <cell r="C1790" t="str">
            <v>Bank Leaze Infant School</v>
          </cell>
          <cell r="D1790" t="str">
            <v>Pre LGR (1996) Avon</v>
          </cell>
          <cell r="E1790" t="str">
            <v>Community School</v>
          </cell>
          <cell r="F1790" t="str">
            <v>Primary</v>
          </cell>
        </row>
        <row r="1791">
          <cell r="A1791">
            <v>9012105</v>
          </cell>
          <cell r="B1791">
            <v>128219</v>
          </cell>
          <cell r="C1791" t="str">
            <v>Bank Leaze Junior School</v>
          </cell>
          <cell r="D1791" t="str">
            <v>Pre LGR (1996) Avon</v>
          </cell>
          <cell r="E1791" t="str">
            <v>Community School</v>
          </cell>
          <cell r="F1791" t="str">
            <v>Primary</v>
          </cell>
        </row>
        <row r="1792">
          <cell r="A1792">
            <v>8012337</v>
          </cell>
          <cell r="B1792">
            <v>109138</v>
          </cell>
          <cell r="C1792" t="str">
            <v>Bank Leaze Primary School</v>
          </cell>
          <cell r="D1792" t="str">
            <v>Bristol City of</v>
          </cell>
          <cell r="E1792" t="str">
            <v>Community School</v>
          </cell>
          <cell r="F1792" t="str">
            <v>Primary</v>
          </cell>
        </row>
        <row r="1793">
          <cell r="A1793">
            <v>3522028</v>
          </cell>
          <cell r="B1793">
            <v>105391</v>
          </cell>
          <cell r="C1793" t="str">
            <v>Bank Meadow Primary School</v>
          </cell>
          <cell r="D1793" t="str">
            <v>Manchester</v>
          </cell>
          <cell r="E1793" t="str">
            <v>Community School</v>
          </cell>
          <cell r="F1793" t="str">
            <v>Primary</v>
          </cell>
        </row>
        <row r="1794">
          <cell r="A1794">
            <v>3417070</v>
          </cell>
          <cell r="B1794">
            <v>133441</v>
          </cell>
          <cell r="C1794" t="str">
            <v>Bank View High School</v>
          </cell>
          <cell r="D1794" t="str">
            <v>Liverpool</v>
          </cell>
          <cell r="E1794" t="str">
            <v>Community Special School</v>
          </cell>
          <cell r="F1794" t="str">
            <v>Special</v>
          </cell>
        </row>
        <row r="1795">
          <cell r="A1795">
            <v>3546012</v>
          </cell>
          <cell r="B1795">
            <v>131098</v>
          </cell>
          <cell r="C1795" t="str">
            <v>Bankfield</v>
          </cell>
          <cell r="D1795" t="str">
            <v>Rochdale</v>
          </cell>
          <cell r="E1795" t="str">
            <v>Other Independent Special School</v>
          </cell>
          <cell r="F1795" t="str">
            <v>Not applicable</v>
          </cell>
        </row>
        <row r="1796">
          <cell r="A1796">
            <v>9072198</v>
          </cell>
          <cell r="B1796">
            <v>128505</v>
          </cell>
          <cell r="C1796" t="str">
            <v>Bankfields County Infant School</v>
          </cell>
          <cell r="D1796" t="str">
            <v>Pre LGR (1996) Cleveland</v>
          </cell>
          <cell r="E1796" t="str">
            <v>Community School</v>
          </cell>
          <cell r="F1796" t="str">
            <v>Primary</v>
          </cell>
        </row>
        <row r="1797">
          <cell r="A1797">
            <v>8072207</v>
          </cell>
          <cell r="B1797">
            <v>111604</v>
          </cell>
          <cell r="C1797" t="str">
            <v>Bankfields Primary School</v>
          </cell>
          <cell r="D1797" t="str">
            <v>Redcar and Cleveland</v>
          </cell>
          <cell r="E1797" t="str">
            <v>Community School</v>
          </cell>
          <cell r="F1797" t="str">
            <v>Primary</v>
          </cell>
        </row>
        <row r="1798">
          <cell r="A1798">
            <v>3802102</v>
          </cell>
          <cell r="B1798">
            <v>107248</v>
          </cell>
          <cell r="C1798" t="str">
            <v>Bankfoot Primary School</v>
          </cell>
          <cell r="D1798" t="str">
            <v>Bradford</v>
          </cell>
          <cell r="E1798" t="str">
            <v>Community School</v>
          </cell>
          <cell r="F1798" t="str">
            <v>Primary</v>
          </cell>
        </row>
        <row r="1799">
          <cell r="A1799">
            <v>3546031</v>
          </cell>
          <cell r="B1799">
            <v>135574</v>
          </cell>
          <cell r="C1799" t="str">
            <v>Banks Croft School</v>
          </cell>
          <cell r="D1799" t="str">
            <v>Rochdale</v>
          </cell>
          <cell r="E1799" t="str">
            <v>Other Independent Special School</v>
          </cell>
          <cell r="F1799" t="str">
            <v>Not applicable</v>
          </cell>
        </row>
        <row r="1800">
          <cell r="A1800">
            <v>3562005</v>
          </cell>
          <cell r="B1800">
            <v>106027</v>
          </cell>
          <cell r="C1800" t="str">
            <v>Banks Lane Infant School</v>
          </cell>
          <cell r="D1800" t="str">
            <v>Stockport</v>
          </cell>
          <cell r="E1800" t="str">
            <v>Community School</v>
          </cell>
          <cell r="F1800" t="str">
            <v>Primary</v>
          </cell>
        </row>
        <row r="1801">
          <cell r="A1801">
            <v>3562006</v>
          </cell>
          <cell r="B1801">
            <v>106028</v>
          </cell>
          <cell r="C1801" t="str">
            <v>Banks Lane Junior School</v>
          </cell>
          <cell r="D1801" t="str">
            <v>Stockport</v>
          </cell>
          <cell r="E1801" t="str">
            <v>Community School</v>
          </cell>
          <cell r="F1801" t="str">
            <v>Primary</v>
          </cell>
        </row>
        <row r="1802">
          <cell r="A1802">
            <v>8883169</v>
          </cell>
          <cell r="B1802">
            <v>119405</v>
          </cell>
          <cell r="C1802" t="str">
            <v>Banks Methodist School</v>
          </cell>
          <cell r="D1802" t="str">
            <v>Lancashire</v>
          </cell>
          <cell r="E1802" t="str">
            <v>Voluntary Controlled School</v>
          </cell>
          <cell r="F1802" t="str">
            <v>Primary</v>
          </cell>
        </row>
        <row r="1803">
          <cell r="A1803">
            <v>3412008</v>
          </cell>
          <cell r="B1803">
            <v>104516</v>
          </cell>
          <cell r="C1803" t="str">
            <v>Banks Road Primary School</v>
          </cell>
          <cell r="D1803" t="str">
            <v>Liverpool</v>
          </cell>
          <cell r="E1803" t="str">
            <v>Community School</v>
          </cell>
          <cell r="F1803" t="str">
            <v>Primary</v>
          </cell>
        </row>
        <row r="1804">
          <cell r="A1804">
            <v>8883098</v>
          </cell>
          <cell r="B1804">
            <v>119384</v>
          </cell>
          <cell r="C1804" t="str">
            <v>Banks St Stephens' CofE School</v>
          </cell>
          <cell r="D1804" t="str">
            <v>Lancashire</v>
          </cell>
          <cell r="E1804" t="str">
            <v>Voluntary Controlled School</v>
          </cell>
          <cell r="F1804" t="str">
            <v>Primary</v>
          </cell>
        </row>
        <row r="1805">
          <cell r="A1805">
            <v>3832425</v>
          </cell>
          <cell r="B1805">
            <v>107901</v>
          </cell>
          <cell r="C1805" t="str">
            <v>Bankside Primary School</v>
          </cell>
          <cell r="D1805" t="str">
            <v>Leeds</v>
          </cell>
          <cell r="E1805" t="str">
            <v>Community School</v>
          </cell>
          <cell r="F1805" t="str">
            <v>Primary</v>
          </cell>
        </row>
        <row r="1806">
          <cell r="A1806">
            <v>3832393</v>
          </cell>
          <cell r="B1806">
            <v>127913</v>
          </cell>
          <cell r="C1806" t="str">
            <v>Bankside Primary School</v>
          </cell>
          <cell r="D1806" t="str">
            <v>Leeds</v>
          </cell>
          <cell r="E1806" t="str">
            <v>Community School</v>
          </cell>
          <cell r="F1806" t="str">
            <v>Primary</v>
          </cell>
        </row>
        <row r="1807">
          <cell r="A1807">
            <v>3577010</v>
          </cell>
          <cell r="B1807">
            <v>106282</v>
          </cell>
          <cell r="C1807" t="str">
            <v>Bankside Special School</v>
          </cell>
          <cell r="D1807" t="str">
            <v>Tameside</v>
          </cell>
          <cell r="E1807" t="str">
            <v>Community Special School</v>
          </cell>
          <cell r="F1807" t="str">
            <v>Special</v>
          </cell>
        </row>
        <row r="1808">
          <cell r="A1808">
            <v>3732322</v>
          </cell>
          <cell r="B1808">
            <v>107066</v>
          </cell>
          <cell r="C1808" t="str">
            <v>Bankwood Community Primary School</v>
          </cell>
          <cell r="D1808" t="str">
            <v>Sheffield</v>
          </cell>
          <cell r="E1808" t="str">
            <v>Community School</v>
          </cell>
          <cell r="F1808" t="str">
            <v>Primary</v>
          </cell>
        </row>
        <row r="1809">
          <cell r="A1809">
            <v>8012009</v>
          </cell>
          <cell r="B1809">
            <v>108915</v>
          </cell>
          <cell r="C1809" t="str">
            <v>Bannerman Road Community School and Children's Centre</v>
          </cell>
          <cell r="D1809" t="str">
            <v>Bristol City of</v>
          </cell>
          <cell r="E1809" t="str">
            <v>Community School</v>
          </cell>
          <cell r="F1809" t="str">
            <v>Primary</v>
          </cell>
        </row>
        <row r="1810">
          <cell r="A1810">
            <v>3302426</v>
          </cell>
          <cell r="B1810">
            <v>103357</v>
          </cell>
          <cell r="C1810" t="str">
            <v>Banners Gate Infant and Nursery School</v>
          </cell>
          <cell r="D1810" t="str">
            <v>Birmingham</v>
          </cell>
          <cell r="E1810" t="str">
            <v>Community School</v>
          </cell>
          <cell r="F1810" t="str">
            <v>Primary</v>
          </cell>
        </row>
        <row r="1811">
          <cell r="A1811">
            <v>3302400</v>
          </cell>
          <cell r="B1811">
            <v>103340</v>
          </cell>
          <cell r="C1811" t="str">
            <v>Banners Gate Junior School</v>
          </cell>
          <cell r="D1811" t="str">
            <v>Birmingham</v>
          </cell>
          <cell r="E1811" t="str">
            <v>Community School</v>
          </cell>
          <cell r="F1811" t="str">
            <v>Primary</v>
          </cell>
        </row>
        <row r="1812">
          <cell r="A1812">
            <v>3302026</v>
          </cell>
          <cell r="B1812">
            <v>136815</v>
          </cell>
          <cell r="C1812" t="str">
            <v>Banners Gate Primary School</v>
          </cell>
          <cell r="D1812" t="str">
            <v>Birmingham</v>
          </cell>
          <cell r="E1812" t="str">
            <v>Community School</v>
          </cell>
          <cell r="F1812" t="str">
            <v>Primary</v>
          </cell>
        </row>
        <row r="1813">
          <cell r="A1813">
            <v>2032028</v>
          </cell>
          <cell r="B1813">
            <v>100113</v>
          </cell>
          <cell r="C1813" t="str">
            <v>Bannockburn Primary School</v>
          </cell>
          <cell r="D1813" t="str">
            <v>Greenwich</v>
          </cell>
          <cell r="E1813" t="str">
            <v>Community School</v>
          </cell>
          <cell r="F1813" t="str">
            <v>Primary</v>
          </cell>
        </row>
        <row r="1814">
          <cell r="A1814">
            <v>9362343</v>
          </cell>
          <cell r="B1814">
            <v>125023</v>
          </cell>
          <cell r="C1814" t="str">
            <v>Banstead Community Junior School</v>
          </cell>
          <cell r="D1814" t="str">
            <v>Surrey</v>
          </cell>
          <cell r="E1814" t="str">
            <v>Community School</v>
          </cell>
          <cell r="F1814" t="str">
            <v>Primary</v>
          </cell>
        </row>
        <row r="1815">
          <cell r="A1815">
            <v>9362005</v>
          </cell>
          <cell r="B1815">
            <v>124936</v>
          </cell>
          <cell r="C1815" t="str">
            <v>Banstead Infant School</v>
          </cell>
          <cell r="D1815" t="str">
            <v>Surrey</v>
          </cell>
          <cell r="E1815" t="str">
            <v>Community School</v>
          </cell>
          <cell r="F1815" t="str">
            <v>Primary</v>
          </cell>
        </row>
        <row r="1816">
          <cell r="A1816">
            <v>3362117</v>
          </cell>
          <cell r="B1816">
            <v>132197</v>
          </cell>
          <cell r="C1816" t="str">
            <v>Bantock Primary School</v>
          </cell>
          <cell r="D1816" t="str">
            <v>Wolverhampton</v>
          </cell>
          <cell r="E1816" t="str">
            <v>Community School</v>
          </cell>
          <cell r="F1816" t="str">
            <v>Primary</v>
          </cell>
        </row>
        <row r="1817">
          <cell r="A1817">
            <v>8022271</v>
          </cell>
          <cell r="B1817">
            <v>109090</v>
          </cell>
          <cell r="C1817" t="str">
            <v>Banwell Primary School</v>
          </cell>
          <cell r="D1817" t="str">
            <v>North Somerset</v>
          </cell>
          <cell r="E1817" t="str">
            <v>Community School</v>
          </cell>
          <cell r="F1817" t="str">
            <v>Primary</v>
          </cell>
        </row>
        <row r="1818">
          <cell r="A1818">
            <v>8863328</v>
          </cell>
          <cell r="B1818">
            <v>118730</v>
          </cell>
          <cell r="C1818" t="str">
            <v>Bapchild and Tonge Church of England Primary School</v>
          </cell>
          <cell r="D1818" t="str">
            <v>Kent</v>
          </cell>
          <cell r="E1818" t="str">
            <v>Voluntary Aided School</v>
          </cell>
          <cell r="F1818" t="str">
            <v>Primary</v>
          </cell>
        </row>
        <row r="1819">
          <cell r="A1819">
            <v>9012141</v>
          </cell>
          <cell r="B1819">
            <v>128223</v>
          </cell>
          <cell r="C1819" t="str">
            <v>Baptist Mills Infant School</v>
          </cell>
          <cell r="D1819" t="str">
            <v>Pre LGR (1996) Avon</v>
          </cell>
          <cell r="E1819" t="str">
            <v>Community School</v>
          </cell>
          <cell r="F1819" t="str">
            <v>Primary</v>
          </cell>
        </row>
        <row r="1820">
          <cell r="A1820">
            <v>9012140</v>
          </cell>
          <cell r="B1820">
            <v>128222</v>
          </cell>
          <cell r="C1820" t="str">
            <v>Baptist Mills Junior School</v>
          </cell>
          <cell r="D1820" t="str">
            <v>Pre LGR (1996) Avon</v>
          </cell>
          <cell r="E1820" t="str">
            <v>Community School</v>
          </cell>
          <cell r="F1820" t="str">
            <v>Primary</v>
          </cell>
        </row>
        <row r="1821">
          <cell r="A1821">
            <v>8732058</v>
          </cell>
          <cell r="B1821">
            <v>110625</v>
          </cell>
          <cell r="C1821" t="str">
            <v>Bar Hill Community Primary School</v>
          </cell>
          <cell r="D1821" t="str">
            <v>Cambridgeshire</v>
          </cell>
          <cell r="E1821" t="str">
            <v>Community School</v>
          </cell>
          <cell r="F1821" t="str">
            <v>Primary</v>
          </cell>
        </row>
        <row r="1822">
          <cell r="A1822">
            <v>3072002</v>
          </cell>
          <cell r="B1822">
            <v>126824</v>
          </cell>
          <cell r="C1822" t="str">
            <v>Barantyne Middle School</v>
          </cell>
          <cell r="D1822" t="str">
            <v>Ealing</v>
          </cell>
          <cell r="E1822" t="str">
            <v>Community School</v>
          </cell>
          <cell r="F1822" t="str">
            <v>Middle Deemed Primary</v>
          </cell>
        </row>
        <row r="1823">
          <cell r="A1823">
            <v>9281104</v>
          </cell>
          <cell r="B1823">
            <v>133655</v>
          </cell>
          <cell r="C1823" t="str">
            <v>Barbara Kahan Centre</v>
          </cell>
          <cell r="D1823" t="str">
            <v>Northamptonshire</v>
          </cell>
          <cell r="E1823" t="str">
            <v>Pupil Referral Unit</v>
          </cell>
          <cell r="F1823" t="str">
            <v>PRU</v>
          </cell>
        </row>
        <row r="1824">
          <cell r="A1824">
            <v>3947004</v>
          </cell>
          <cell r="B1824">
            <v>108879</v>
          </cell>
          <cell r="C1824" t="str">
            <v>Barbara Priestman School</v>
          </cell>
          <cell r="D1824" t="str">
            <v>Sunderland</v>
          </cell>
          <cell r="E1824" t="str">
            <v>Community Special School</v>
          </cell>
          <cell r="F1824" t="str">
            <v>Special</v>
          </cell>
        </row>
        <row r="1825">
          <cell r="A1825">
            <v>3076050</v>
          </cell>
          <cell r="B1825">
            <v>101948</v>
          </cell>
          <cell r="C1825" t="str">
            <v>Barbara Speake Stage School</v>
          </cell>
          <cell r="D1825" t="str">
            <v>Ealing</v>
          </cell>
          <cell r="E1825" t="str">
            <v>Other Independent School</v>
          </cell>
          <cell r="F1825" t="str">
            <v>Not applicable</v>
          </cell>
        </row>
        <row r="1826">
          <cell r="A1826">
            <v>8856002</v>
          </cell>
          <cell r="B1826">
            <v>117008</v>
          </cell>
          <cell r="C1826" t="str">
            <v>Barbourne Preparatory School</v>
          </cell>
          <cell r="D1826" t="str">
            <v>Worcestershire</v>
          </cell>
          <cell r="E1826" t="str">
            <v>Other Independent School</v>
          </cell>
          <cell r="F1826" t="str">
            <v>Not applicable</v>
          </cell>
        </row>
        <row r="1827">
          <cell r="A1827">
            <v>9283004</v>
          </cell>
          <cell r="B1827">
            <v>121958</v>
          </cell>
          <cell r="C1827" t="str">
            <v>Barby Church of England Primary School</v>
          </cell>
          <cell r="D1827" t="str">
            <v>Northamptonshire</v>
          </cell>
          <cell r="E1827" t="str">
            <v>Voluntary Controlled School</v>
          </cell>
          <cell r="F1827" t="str">
            <v>Primary</v>
          </cell>
        </row>
        <row r="1828">
          <cell r="A1828">
            <v>3202009</v>
          </cell>
          <cell r="B1828">
            <v>103039</v>
          </cell>
          <cell r="C1828" t="str">
            <v>Barclay Infants' School</v>
          </cell>
          <cell r="D1828" t="str">
            <v>Waltham Forest</v>
          </cell>
          <cell r="E1828" t="str">
            <v>Community School</v>
          </cell>
          <cell r="F1828" t="str">
            <v>Primary</v>
          </cell>
        </row>
        <row r="1829">
          <cell r="A1829">
            <v>3202008</v>
          </cell>
          <cell r="B1829">
            <v>103038</v>
          </cell>
          <cell r="C1829" t="str">
            <v>Barclay Junior School</v>
          </cell>
          <cell r="D1829" t="str">
            <v>Waltham Forest</v>
          </cell>
          <cell r="E1829" t="str">
            <v>Community School</v>
          </cell>
          <cell r="F1829" t="str">
            <v>Primary</v>
          </cell>
        </row>
        <row r="1830">
          <cell r="A1830">
            <v>3203308</v>
          </cell>
          <cell r="B1830">
            <v>131517</v>
          </cell>
          <cell r="C1830" t="str">
            <v>Barclay Primary School</v>
          </cell>
          <cell r="D1830" t="str">
            <v>Waltham Forest</v>
          </cell>
          <cell r="E1830" t="str">
            <v>Community School</v>
          </cell>
          <cell r="F1830" t="str">
            <v>Primary</v>
          </cell>
        </row>
        <row r="1831">
          <cell r="A1831">
            <v>9194047</v>
          </cell>
          <cell r="B1831">
            <v>117515</v>
          </cell>
          <cell r="C1831" t="str">
            <v>Barclay School</v>
          </cell>
          <cell r="D1831" t="str">
            <v>Hertfordshire</v>
          </cell>
          <cell r="E1831" t="str">
            <v>Community School</v>
          </cell>
          <cell r="F1831" t="str">
            <v>Secondary</v>
          </cell>
        </row>
        <row r="1832">
          <cell r="A1832">
            <v>8453002</v>
          </cell>
          <cell r="B1832">
            <v>114488</v>
          </cell>
          <cell r="C1832" t="str">
            <v>Barcombe Church of England Primary School</v>
          </cell>
          <cell r="D1832" t="str">
            <v>East Sussex</v>
          </cell>
          <cell r="E1832" t="str">
            <v>Voluntary Controlled School</v>
          </cell>
          <cell r="F1832" t="str">
            <v>Primary</v>
          </cell>
        </row>
        <row r="1833">
          <cell r="A1833">
            <v>3353329</v>
          </cell>
          <cell r="B1833">
            <v>135081</v>
          </cell>
          <cell r="C1833" t="str">
            <v>Barcroft Primary School</v>
          </cell>
          <cell r="D1833" t="str">
            <v>Walsall</v>
          </cell>
          <cell r="E1833" t="str">
            <v>Community School</v>
          </cell>
          <cell r="F1833" t="str">
            <v>Primary</v>
          </cell>
        </row>
        <row r="1834">
          <cell r="A1834">
            <v>8881004</v>
          </cell>
          <cell r="B1834">
            <v>119068</v>
          </cell>
          <cell r="C1834" t="str">
            <v>Barden Lane Nursery School</v>
          </cell>
          <cell r="D1834" t="str">
            <v>Lancashire</v>
          </cell>
          <cell r="E1834" t="str">
            <v>LA Nursery School</v>
          </cell>
          <cell r="F1834" t="str">
            <v>Nursery</v>
          </cell>
        </row>
        <row r="1835">
          <cell r="A1835">
            <v>8882228</v>
          </cell>
          <cell r="B1835">
            <v>119260</v>
          </cell>
          <cell r="C1835" t="str">
            <v>Barden Primary School</v>
          </cell>
          <cell r="D1835" t="str">
            <v>Lancashire</v>
          </cell>
          <cell r="E1835" t="str">
            <v>Community School</v>
          </cell>
          <cell r="F1835" t="str">
            <v>Primary</v>
          </cell>
        </row>
        <row r="1836">
          <cell r="A1836">
            <v>8812931</v>
          </cell>
          <cell r="B1836">
            <v>115045</v>
          </cell>
          <cell r="C1836" t="str">
            <v>Bardfield Community Infant School and Nursery</v>
          </cell>
          <cell r="D1836" t="str">
            <v>Essex</v>
          </cell>
          <cell r="E1836" t="str">
            <v>Community School</v>
          </cell>
          <cell r="F1836" t="str">
            <v>Primary</v>
          </cell>
        </row>
        <row r="1837">
          <cell r="A1837">
            <v>8812881</v>
          </cell>
          <cell r="B1837">
            <v>115029</v>
          </cell>
          <cell r="C1837" t="str">
            <v>Bardfield Community Junior School</v>
          </cell>
          <cell r="D1837" t="str">
            <v>Essex</v>
          </cell>
          <cell r="E1837" t="str">
            <v>Community School</v>
          </cell>
          <cell r="F1837" t="str">
            <v>Primary</v>
          </cell>
        </row>
        <row r="1838">
          <cell r="A1838">
            <v>8813255</v>
          </cell>
          <cell r="B1838">
            <v>133341</v>
          </cell>
          <cell r="C1838" t="str">
            <v>Bardfield Primary School</v>
          </cell>
          <cell r="D1838" t="str">
            <v>Essex</v>
          </cell>
          <cell r="E1838" t="str">
            <v>Community School</v>
          </cell>
          <cell r="F1838" t="str">
            <v>Primary</v>
          </cell>
        </row>
        <row r="1839">
          <cell r="A1839">
            <v>9243005</v>
          </cell>
          <cell r="B1839">
            <v>129532</v>
          </cell>
          <cell r="C1839" t="str">
            <v>Bardon Hill CofE Primary School</v>
          </cell>
          <cell r="D1839" t="str">
            <v>Pre LGR (1997) Leicestershire</v>
          </cell>
          <cell r="E1839" t="str">
            <v>Voluntary Controlled School</v>
          </cell>
          <cell r="F1839" t="str">
            <v>Primary</v>
          </cell>
        </row>
        <row r="1840">
          <cell r="A1840">
            <v>3832385</v>
          </cell>
          <cell r="B1840">
            <v>107868</v>
          </cell>
          <cell r="C1840" t="str">
            <v>Bardsey Primary School</v>
          </cell>
          <cell r="D1840" t="str">
            <v>Leeds</v>
          </cell>
          <cell r="E1840" t="str">
            <v>Community School</v>
          </cell>
          <cell r="F1840" t="str">
            <v>Primary</v>
          </cell>
        </row>
        <row r="1841">
          <cell r="A1841">
            <v>9353002</v>
          </cell>
          <cell r="B1841">
            <v>124687</v>
          </cell>
          <cell r="C1841" t="str">
            <v>Bardwell Church of England Voluntary Controlled Primary School</v>
          </cell>
          <cell r="D1841" t="str">
            <v>Suffolk</v>
          </cell>
          <cell r="E1841" t="str">
            <v>Voluntary Controlled School</v>
          </cell>
          <cell r="F1841" t="str">
            <v>Primary</v>
          </cell>
        </row>
        <row r="1842">
          <cell r="A1842">
            <v>9317029</v>
          </cell>
          <cell r="B1842">
            <v>123344</v>
          </cell>
          <cell r="C1842" t="str">
            <v>Bardwell School</v>
          </cell>
          <cell r="D1842" t="str">
            <v>Oxfordshire</v>
          </cell>
          <cell r="E1842" t="str">
            <v>Community Special School</v>
          </cell>
          <cell r="F1842" t="str">
            <v>Special</v>
          </cell>
        </row>
        <row r="1843">
          <cell r="A1843">
            <v>3532101</v>
          </cell>
          <cell r="B1843">
            <v>105681</v>
          </cell>
          <cell r="C1843" t="str">
            <v>Bare Trees Infant and Nursery School</v>
          </cell>
          <cell r="D1843" t="str">
            <v>Oldham</v>
          </cell>
          <cell r="E1843" t="str">
            <v>Community School</v>
          </cell>
          <cell r="F1843" t="str">
            <v>Primary</v>
          </cell>
        </row>
        <row r="1844">
          <cell r="A1844">
            <v>3532072</v>
          </cell>
          <cell r="B1844">
            <v>105664</v>
          </cell>
          <cell r="C1844" t="str">
            <v>Bare Trees Junior School</v>
          </cell>
          <cell r="D1844" t="str">
            <v>Oldham</v>
          </cell>
          <cell r="E1844" t="str">
            <v>Community School</v>
          </cell>
          <cell r="F1844" t="str">
            <v>Primary</v>
          </cell>
        </row>
        <row r="1845">
          <cell r="A1845">
            <v>3533506</v>
          </cell>
          <cell r="B1845">
            <v>135258</v>
          </cell>
          <cell r="C1845" t="str">
            <v>Bare Trees Primary School</v>
          </cell>
          <cell r="D1845" t="str">
            <v>Oldham</v>
          </cell>
          <cell r="E1845" t="str">
            <v>Community School</v>
          </cell>
          <cell r="F1845" t="str">
            <v>Primary</v>
          </cell>
        </row>
        <row r="1846">
          <cell r="A1846">
            <v>9366308</v>
          </cell>
          <cell r="B1846">
            <v>125392</v>
          </cell>
          <cell r="C1846" t="str">
            <v>Barfield School</v>
          </cell>
          <cell r="D1846" t="str">
            <v>Surrey</v>
          </cell>
          <cell r="E1846" t="str">
            <v>Other Independent School</v>
          </cell>
          <cell r="F1846" t="str">
            <v>Not applicable</v>
          </cell>
        </row>
        <row r="1847">
          <cell r="A1847">
            <v>9373140</v>
          </cell>
          <cell r="B1847">
            <v>132925</v>
          </cell>
          <cell r="C1847" t="str">
            <v>Barford CofE First School</v>
          </cell>
          <cell r="D1847" t="str">
            <v>Warwickshire</v>
          </cell>
          <cell r="E1847" t="str">
            <v>Miscellaneous</v>
          </cell>
          <cell r="F1847" t="str">
            <v>Not applicable</v>
          </cell>
        </row>
        <row r="1848">
          <cell r="A1848">
            <v>3302014</v>
          </cell>
          <cell r="B1848">
            <v>103162</v>
          </cell>
          <cell r="C1848" t="str">
            <v>Barford Primary School</v>
          </cell>
          <cell r="D1848" t="str">
            <v>Birmingham</v>
          </cell>
          <cell r="E1848" t="str">
            <v>Community School</v>
          </cell>
          <cell r="F1848" t="str">
            <v>Primary</v>
          </cell>
        </row>
        <row r="1849">
          <cell r="A1849">
            <v>9262010</v>
          </cell>
          <cell r="B1849">
            <v>120783</v>
          </cell>
          <cell r="C1849" t="str">
            <v>Barford Primary School</v>
          </cell>
          <cell r="D1849" t="str">
            <v>Norfolk</v>
          </cell>
          <cell r="E1849" t="str">
            <v>Community School</v>
          </cell>
          <cell r="F1849" t="str">
            <v>Primary</v>
          </cell>
        </row>
        <row r="1850">
          <cell r="A1850">
            <v>8653236</v>
          </cell>
          <cell r="B1850">
            <v>126386</v>
          </cell>
          <cell r="C1850" t="str">
            <v>Barford St Martin Church of England Voluntary Controlled Primary School</v>
          </cell>
          <cell r="D1850" t="str">
            <v>Wiltshire</v>
          </cell>
          <cell r="E1850" t="str">
            <v>Voluntary Controlled School</v>
          </cell>
          <cell r="F1850" t="str">
            <v>Primary</v>
          </cell>
        </row>
        <row r="1851">
          <cell r="A1851">
            <v>9373587</v>
          </cell>
          <cell r="B1851">
            <v>125729</v>
          </cell>
          <cell r="C1851" t="str">
            <v>Barford St Peter's CofE Primary School</v>
          </cell>
          <cell r="D1851" t="str">
            <v>Warwickshire</v>
          </cell>
          <cell r="E1851" t="str">
            <v>Voluntary Aided School</v>
          </cell>
          <cell r="F1851" t="str">
            <v>Primary</v>
          </cell>
        </row>
        <row r="1852">
          <cell r="A1852">
            <v>6762050</v>
          </cell>
          <cell r="B1852">
            <v>401299</v>
          </cell>
          <cell r="C1852" t="str">
            <v>Bargoed Infants School</v>
          </cell>
          <cell r="D1852" t="str">
            <v>Caerphilly</v>
          </cell>
          <cell r="E1852" t="str">
            <v>Welsh Establishment</v>
          </cell>
          <cell r="F1852" t="str">
            <v>Primary</v>
          </cell>
        </row>
        <row r="1853">
          <cell r="A1853">
            <v>8863120</v>
          </cell>
          <cell r="B1853">
            <v>118653</v>
          </cell>
          <cell r="C1853" t="str">
            <v>Barham Church of England Primary School</v>
          </cell>
          <cell r="D1853" t="str">
            <v>Kent</v>
          </cell>
          <cell r="E1853" t="str">
            <v>Voluntary Controlled School</v>
          </cell>
          <cell r="F1853" t="str">
            <v>Primary</v>
          </cell>
        </row>
        <row r="1854">
          <cell r="A1854">
            <v>3042049</v>
          </cell>
          <cell r="B1854">
            <v>101515</v>
          </cell>
          <cell r="C1854" t="str">
            <v>Barham Primary School</v>
          </cell>
          <cell r="D1854" t="str">
            <v>Brent</v>
          </cell>
          <cell r="E1854" t="str">
            <v>Community School</v>
          </cell>
          <cell r="F1854" t="str">
            <v>Primary</v>
          </cell>
        </row>
        <row r="1855">
          <cell r="A1855">
            <v>2092029</v>
          </cell>
          <cell r="B1855">
            <v>100673</v>
          </cell>
          <cell r="C1855" t="str">
            <v>Baring Primary School</v>
          </cell>
          <cell r="D1855" t="str">
            <v>Lewisham</v>
          </cell>
          <cell r="E1855" t="str">
            <v>Community School</v>
          </cell>
          <cell r="F1855" t="str">
            <v>Primary</v>
          </cell>
        </row>
        <row r="1856">
          <cell r="A1856">
            <v>3802020</v>
          </cell>
          <cell r="B1856">
            <v>107202</v>
          </cell>
          <cell r="C1856" t="str">
            <v>Barkerend Primary School</v>
          </cell>
          <cell r="D1856" t="str">
            <v>Bradford</v>
          </cell>
          <cell r="E1856" t="str">
            <v>Community School</v>
          </cell>
          <cell r="F1856" t="str">
            <v>Primary</v>
          </cell>
        </row>
        <row r="1857">
          <cell r="A1857">
            <v>6652208</v>
          </cell>
          <cell r="B1857">
            <v>400432</v>
          </cell>
          <cell r="C1857" t="str">
            <v>Barker's Lane C.P. School</v>
          </cell>
          <cell r="D1857" t="str">
            <v>Wrexham</v>
          </cell>
          <cell r="E1857" t="str">
            <v>Welsh Establishment</v>
          </cell>
          <cell r="F1857" t="str">
            <v>Primary</v>
          </cell>
        </row>
        <row r="1858">
          <cell r="A1858">
            <v>9243301</v>
          </cell>
          <cell r="B1858">
            <v>129536</v>
          </cell>
          <cell r="C1858" t="str">
            <v>Barkestone CofE Primary School</v>
          </cell>
          <cell r="D1858" t="str">
            <v>Pre LGR (1997) Leicestershire</v>
          </cell>
          <cell r="E1858" t="str">
            <v>Voluntary Aided School</v>
          </cell>
          <cell r="F1858" t="str">
            <v>Primary</v>
          </cell>
        </row>
        <row r="1859">
          <cell r="A1859">
            <v>3014951</v>
          </cell>
          <cell r="B1859">
            <v>132844</v>
          </cell>
          <cell r="C1859" t="str">
            <v>Barking Abbey Eastbury</v>
          </cell>
          <cell r="D1859" t="str">
            <v>Barking and Dagenham</v>
          </cell>
          <cell r="E1859" t="str">
            <v>Sixth Form Centres</v>
          </cell>
          <cell r="F1859" t="str">
            <v>16 Plus</v>
          </cell>
        </row>
        <row r="1860">
          <cell r="A1860">
            <v>3014021</v>
          </cell>
          <cell r="B1860">
            <v>101241</v>
          </cell>
          <cell r="C1860" t="str">
            <v>Barking Abbey School, A Specialist Sports and Humanities College</v>
          </cell>
          <cell r="D1860" t="str">
            <v>Barking and Dagenham</v>
          </cell>
          <cell r="E1860" t="str">
            <v>Community School</v>
          </cell>
          <cell r="F1860" t="str">
            <v>Secondary</v>
          </cell>
        </row>
        <row r="1861">
          <cell r="A1861">
            <v>3018000</v>
          </cell>
          <cell r="B1861">
            <v>130424</v>
          </cell>
          <cell r="C1861" t="str">
            <v>Barking and Dagenham College</v>
          </cell>
          <cell r="D1861" t="str">
            <v>Barking and Dagenham</v>
          </cell>
          <cell r="E1861" t="str">
            <v>Further Education</v>
          </cell>
          <cell r="F1861" t="str">
            <v>16 Plus</v>
          </cell>
        </row>
        <row r="1862">
          <cell r="A1862">
            <v>3011100</v>
          </cell>
          <cell r="B1862">
            <v>132816</v>
          </cell>
          <cell r="C1862" t="str">
            <v>Barking and Dagenham Tuition Service</v>
          </cell>
          <cell r="D1862" t="str">
            <v>Barking and Dagenham</v>
          </cell>
          <cell r="E1862" t="str">
            <v>Pupil Referral Unit</v>
          </cell>
          <cell r="F1862" t="str">
            <v>PRU</v>
          </cell>
        </row>
        <row r="1863">
          <cell r="A1863">
            <v>3014000</v>
          </cell>
          <cell r="B1863">
            <v>136940</v>
          </cell>
          <cell r="C1863" t="str">
            <v>Barking Riverside School</v>
          </cell>
          <cell r="D1863" t="str">
            <v>Barking and Dagenham</v>
          </cell>
          <cell r="E1863" t="str">
            <v>Foundation School</v>
          </cell>
          <cell r="F1863" t="str">
            <v>Secondary</v>
          </cell>
        </row>
        <row r="1864">
          <cell r="A1864">
            <v>3813321</v>
          </cell>
          <cell r="B1864">
            <v>107552</v>
          </cell>
          <cell r="C1864" t="str">
            <v>Barkisland CofE VA Primary School</v>
          </cell>
          <cell r="D1864" t="str">
            <v>Calderdale</v>
          </cell>
          <cell r="E1864" t="str">
            <v>Voluntary Aided School</v>
          </cell>
          <cell r="F1864" t="str">
            <v>Primary</v>
          </cell>
        </row>
        <row r="1865">
          <cell r="A1865">
            <v>9255222</v>
          </cell>
          <cell r="B1865">
            <v>120689</v>
          </cell>
          <cell r="C1865" t="str">
            <v>Barkston and Syston CofE Primary School</v>
          </cell>
          <cell r="D1865" t="str">
            <v>Lincolnshire</v>
          </cell>
          <cell r="E1865" t="str">
            <v>Voluntary Aided School</v>
          </cell>
          <cell r="F1865" t="str">
            <v>Primary</v>
          </cell>
        </row>
        <row r="1866">
          <cell r="A1866">
            <v>8153369</v>
          </cell>
          <cell r="B1866">
            <v>121635</v>
          </cell>
          <cell r="C1866" t="str">
            <v>Barkston Ash Catholic Primary School</v>
          </cell>
          <cell r="D1866" t="str">
            <v>North Yorkshire</v>
          </cell>
          <cell r="E1866" t="str">
            <v>Voluntary Aided School</v>
          </cell>
          <cell r="F1866" t="str">
            <v>Primary</v>
          </cell>
        </row>
        <row r="1867">
          <cell r="A1867">
            <v>9193308</v>
          </cell>
          <cell r="B1867">
            <v>117422</v>
          </cell>
          <cell r="C1867" t="str">
            <v>Barkway VA Church of England First School</v>
          </cell>
          <cell r="D1867" t="str">
            <v>Hertfordshire</v>
          </cell>
          <cell r="E1867" t="str">
            <v>Voluntary Aided School</v>
          </cell>
          <cell r="F1867" t="str">
            <v>Primary</v>
          </cell>
        </row>
        <row r="1868">
          <cell r="A1868">
            <v>8603027</v>
          </cell>
          <cell r="B1868">
            <v>124233</v>
          </cell>
          <cell r="C1868" t="str">
            <v>Barlaston CofE (C) First School</v>
          </cell>
          <cell r="D1868" t="str">
            <v>Staffordshire</v>
          </cell>
          <cell r="E1868" t="str">
            <v>Voluntary Controlled School</v>
          </cell>
          <cell r="F1868" t="str">
            <v>Primary</v>
          </cell>
        </row>
        <row r="1869">
          <cell r="A1869">
            <v>8306015</v>
          </cell>
          <cell r="B1869">
            <v>113018</v>
          </cell>
          <cell r="C1869" t="str">
            <v>Barlborough Hall School</v>
          </cell>
          <cell r="D1869" t="str">
            <v>Derbyshire</v>
          </cell>
          <cell r="E1869" t="str">
            <v>Other Independent School</v>
          </cell>
          <cell r="F1869" t="str">
            <v>Not applicable</v>
          </cell>
        </row>
        <row r="1870">
          <cell r="A1870">
            <v>8302022</v>
          </cell>
          <cell r="B1870">
            <v>112505</v>
          </cell>
          <cell r="C1870" t="str">
            <v>Barlborough Primary School</v>
          </cell>
          <cell r="D1870" t="str">
            <v>Derbyshire</v>
          </cell>
          <cell r="E1870" t="str">
            <v>Community School</v>
          </cell>
          <cell r="F1870" t="str">
            <v>Primary</v>
          </cell>
        </row>
        <row r="1871">
          <cell r="A1871">
            <v>8152400</v>
          </cell>
          <cell r="B1871">
            <v>121448</v>
          </cell>
          <cell r="C1871" t="str">
            <v>Barlby Bridge Community Primary School</v>
          </cell>
          <cell r="D1871" t="str">
            <v>North Yorkshire</v>
          </cell>
          <cell r="E1871" t="str">
            <v>Community School</v>
          </cell>
          <cell r="F1871" t="str">
            <v>Primary</v>
          </cell>
        </row>
        <row r="1872">
          <cell r="A1872">
            <v>8152401</v>
          </cell>
          <cell r="B1872">
            <v>121449</v>
          </cell>
          <cell r="C1872" t="str">
            <v>Barlby Community Primary School</v>
          </cell>
          <cell r="D1872" t="str">
            <v>North Yorkshire</v>
          </cell>
          <cell r="E1872" t="str">
            <v>Community School</v>
          </cell>
          <cell r="F1872" t="str">
            <v>Primary</v>
          </cell>
        </row>
        <row r="1873">
          <cell r="A1873">
            <v>8154232</v>
          </cell>
          <cell r="B1873">
            <v>121708</v>
          </cell>
          <cell r="C1873" t="str">
            <v>Barlby High School</v>
          </cell>
          <cell r="D1873" t="str">
            <v>North Yorkshire</v>
          </cell>
          <cell r="E1873" t="str">
            <v>Community School</v>
          </cell>
          <cell r="F1873" t="str">
            <v>Secondary</v>
          </cell>
        </row>
        <row r="1874">
          <cell r="A1874">
            <v>2072030</v>
          </cell>
          <cell r="B1874">
            <v>100478</v>
          </cell>
          <cell r="C1874" t="str">
            <v>Barlby Primary School</v>
          </cell>
          <cell r="D1874" t="str">
            <v>Kensington and Chelsea</v>
          </cell>
          <cell r="E1874" t="str">
            <v>Community School</v>
          </cell>
          <cell r="F1874" t="str">
            <v>Primary</v>
          </cell>
        </row>
        <row r="1875">
          <cell r="A1875">
            <v>8553007</v>
          </cell>
          <cell r="B1875">
            <v>120111</v>
          </cell>
          <cell r="C1875" t="str">
            <v>Barlestone Church of England Primary School</v>
          </cell>
          <cell r="D1875" t="str">
            <v>Leicestershire</v>
          </cell>
          <cell r="E1875" t="str">
            <v>Voluntary Controlled School</v>
          </cell>
          <cell r="F1875" t="str">
            <v>Primary</v>
          </cell>
        </row>
        <row r="1876">
          <cell r="A1876">
            <v>9193006</v>
          </cell>
          <cell r="B1876">
            <v>117386</v>
          </cell>
          <cell r="C1876" t="str">
            <v>Barley Church of England Voluntary Controlled First School</v>
          </cell>
          <cell r="D1876" t="str">
            <v>Hertfordshire</v>
          </cell>
          <cell r="E1876" t="str">
            <v>Voluntary Controlled School</v>
          </cell>
          <cell r="F1876" t="str">
            <v>Primary</v>
          </cell>
        </row>
        <row r="1877">
          <cell r="A1877">
            <v>8032216</v>
          </cell>
          <cell r="B1877">
            <v>109047</v>
          </cell>
          <cell r="C1877" t="str">
            <v>Barley Close Community Primary School</v>
          </cell>
          <cell r="D1877" t="str">
            <v>South Gloucestershire</v>
          </cell>
          <cell r="E1877" t="str">
            <v>Community School</v>
          </cell>
          <cell r="F1877" t="str">
            <v>Primary</v>
          </cell>
        </row>
        <row r="1878">
          <cell r="A1878">
            <v>8562320</v>
          </cell>
          <cell r="B1878">
            <v>120050</v>
          </cell>
          <cell r="C1878" t="str">
            <v>Barley Croft Primary School</v>
          </cell>
          <cell r="D1878" t="str">
            <v>Leicester</v>
          </cell>
          <cell r="E1878" t="str">
            <v>Community School</v>
          </cell>
          <cell r="F1878" t="str">
            <v>Primary</v>
          </cell>
        </row>
        <row r="1879">
          <cell r="A1879">
            <v>8083394</v>
          </cell>
          <cell r="B1879">
            <v>134708</v>
          </cell>
          <cell r="C1879" t="str">
            <v>Barley Fields Primary</v>
          </cell>
          <cell r="D1879" t="str">
            <v>Stockton-on-Tees</v>
          </cell>
          <cell r="E1879" t="str">
            <v>Community School</v>
          </cell>
          <cell r="F1879" t="str">
            <v>Primary</v>
          </cell>
        </row>
        <row r="1880">
          <cell r="A1880">
            <v>9312463</v>
          </cell>
          <cell r="B1880">
            <v>123034</v>
          </cell>
          <cell r="C1880" t="str">
            <v>Barley Hill Primary School</v>
          </cell>
          <cell r="D1880" t="str">
            <v>Oxfordshire</v>
          </cell>
          <cell r="E1880" t="str">
            <v>Community School</v>
          </cell>
          <cell r="F1880" t="str">
            <v>Primary</v>
          </cell>
        </row>
        <row r="1881">
          <cell r="A1881">
            <v>3172005</v>
          </cell>
          <cell r="B1881">
            <v>127010</v>
          </cell>
          <cell r="C1881" t="str">
            <v>Barley Lane Infant School</v>
          </cell>
          <cell r="D1881" t="str">
            <v>Redbridge</v>
          </cell>
          <cell r="E1881" t="str">
            <v>Community School</v>
          </cell>
          <cell r="F1881" t="str">
            <v>Primary</v>
          </cell>
        </row>
        <row r="1882">
          <cell r="A1882">
            <v>3172004</v>
          </cell>
          <cell r="B1882">
            <v>127009</v>
          </cell>
          <cell r="C1882" t="str">
            <v>Barley Lane Junior School</v>
          </cell>
          <cell r="D1882" t="str">
            <v>Redbridge</v>
          </cell>
          <cell r="E1882" t="str">
            <v>Community School</v>
          </cell>
          <cell r="F1882" t="str">
            <v>Primary</v>
          </cell>
        </row>
        <row r="1883">
          <cell r="A1883">
            <v>3172066</v>
          </cell>
          <cell r="B1883">
            <v>102840</v>
          </cell>
          <cell r="C1883" t="str">
            <v>Barley Lane Primary School</v>
          </cell>
          <cell r="D1883" t="str">
            <v>Redbridge</v>
          </cell>
          <cell r="E1883" t="str">
            <v>Community School</v>
          </cell>
          <cell r="F1883" t="str">
            <v>Primary</v>
          </cell>
        </row>
        <row r="1884">
          <cell r="A1884">
            <v>8787008</v>
          </cell>
          <cell r="B1884">
            <v>113636</v>
          </cell>
          <cell r="C1884" t="str">
            <v>Barley Lane School</v>
          </cell>
          <cell r="D1884" t="str">
            <v>Devon</v>
          </cell>
          <cell r="E1884" t="str">
            <v>Community Special School</v>
          </cell>
          <cell r="F1884" t="str">
            <v>Special</v>
          </cell>
        </row>
        <row r="1885">
          <cell r="A1885">
            <v>3902060</v>
          </cell>
          <cell r="B1885">
            <v>128100</v>
          </cell>
          <cell r="C1885" t="str">
            <v>Barley Mow Infant School</v>
          </cell>
          <cell r="D1885" t="str">
            <v>Gateshead</v>
          </cell>
          <cell r="E1885" t="str">
            <v>Community School</v>
          </cell>
          <cell r="F1885" t="str">
            <v>Primary</v>
          </cell>
        </row>
        <row r="1886">
          <cell r="A1886">
            <v>3902059</v>
          </cell>
          <cell r="B1886">
            <v>128099</v>
          </cell>
          <cell r="C1886" t="str">
            <v>Barley Mow Junior School</v>
          </cell>
          <cell r="D1886" t="str">
            <v>Gateshead</v>
          </cell>
          <cell r="E1886" t="str">
            <v>Community School</v>
          </cell>
          <cell r="F1886" t="str">
            <v>Primary</v>
          </cell>
        </row>
        <row r="1887">
          <cell r="A1887">
            <v>3902226</v>
          </cell>
          <cell r="B1887">
            <v>108373</v>
          </cell>
          <cell r="C1887" t="str">
            <v>Barley Mow Primary School</v>
          </cell>
          <cell r="D1887" t="str">
            <v>Gateshead</v>
          </cell>
          <cell r="E1887" t="str">
            <v>Community School</v>
          </cell>
          <cell r="F1887" t="str">
            <v>Primary</v>
          </cell>
        </row>
        <row r="1888">
          <cell r="A1888">
            <v>8262238</v>
          </cell>
          <cell r="B1888">
            <v>110327</v>
          </cell>
          <cell r="C1888" t="str">
            <v>Barleyhurst Park Primary</v>
          </cell>
          <cell r="D1888" t="str">
            <v>Milton Keynes</v>
          </cell>
          <cell r="E1888" t="str">
            <v>Community School</v>
          </cell>
          <cell r="F1888" t="str">
            <v>Primary</v>
          </cell>
        </row>
        <row r="1889">
          <cell r="A1889">
            <v>8812361</v>
          </cell>
          <cell r="B1889">
            <v>114830</v>
          </cell>
          <cell r="C1889" t="str">
            <v>Barling Magna Community Primary School</v>
          </cell>
          <cell r="D1889" t="str">
            <v>Essex</v>
          </cell>
          <cell r="E1889" t="str">
            <v>Community School</v>
          </cell>
          <cell r="F1889" t="str">
            <v>Primary</v>
          </cell>
        </row>
        <row r="1890">
          <cell r="A1890">
            <v>9156248</v>
          </cell>
          <cell r="B1890">
            <v>128929</v>
          </cell>
          <cell r="C1890" t="str">
            <v>Barling Magna Independent School</v>
          </cell>
          <cell r="D1890" t="str">
            <v>Pre LGR (1998) Essex</v>
          </cell>
          <cell r="E1890" t="str">
            <v>Other Independent School</v>
          </cell>
          <cell r="F1890" t="str">
            <v>Not applicable</v>
          </cell>
        </row>
        <row r="1891">
          <cell r="A1891">
            <v>8153223</v>
          </cell>
          <cell r="B1891">
            <v>121548</v>
          </cell>
          <cell r="C1891" t="str">
            <v>Barlow Church of England Voluntary Controlled Primary School</v>
          </cell>
          <cell r="D1891" t="str">
            <v>North Yorkshire</v>
          </cell>
          <cell r="E1891" t="str">
            <v>Voluntary Controlled School</v>
          </cell>
          <cell r="F1891" t="str">
            <v>Primary</v>
          </cell>
        </row>
        <row r="1892">
          <cell r="A1892">
            <v>8303007</v>
          </cell>
          <cell r="B1892">
            <v>112798</v>
          </cell>
          <cell r="C1892" t="str">
            <v>Barlow CofE Primary School</v>
          </cell>
          <cell r="D1892" t="str">
            <v>Derbyshire</v>
          </cell>
          <cell r="E1892" t="str">
            <v>Voluntary Controlled School</v>
          </cell>
          <cell r="F1892" t="str">
            <v>Primary</v>
          </cell>
        </row>
        <row r="1893">
          <cell r="A1893">
            <v>3522030</v>
          </cell>
          <cell r="B1893">
            <v>127407</v>
          </cell>
          <cell r="C1893" t="str">
            <v>Barlow Hall Infant School</v>
          </cell>
          <cell r="D1893" t="str">
            <v>Manchester</v>
          </cell>
          <cell r="E1893" t="str">
            <v>Community School</v>
          </cell>
          <cell r="F1893" t="str">
            <v>Primary</v>
          </cell>
        </row>
        <row r="1894">
          <cell r="A1894">
            <v>3522029</v>
          </cell>
          <cell r="B1894">
            <v>127406</v>
          </cell>
          <cell r="C1894" t="str">
            <v>Barlow Hall Junior School</v>
          </cell>
          <cell r="D1894" t="str">
            <v>Manchester</v>
          </cell>
          <cell r="E1894" t="str">
            <v>Community School</v>
          </cell>
          <cell r="F1894" t="str">
            <v>Primary</v>
          </cell>
        </row>
        <row r="1895">
          <cell r="A1895">
            <v>3522325</v>
          </cell>
          <cell r="B1895">
            <v>105484</v>
          </cell>
          <cell r="C1895" t="str">
            <v>Barlow Hall Primary School</v>
          </cell>
          <cell r="D1895" t="str">
            <v>Manchester</v>
          </cell>
          <cell r="E1895" t="str">
            <v>Community School</v>
          </cell>
          <cell r="F1895" t="str">
            <v>Primary</v>
          </cell>
        </row>
        <row r="1896">
          <cell r="A1896">
            <v>3526066</v>
          </cell>
          <cell r="B1896">
            <v>135931</v>
          </cell>
          <cell r="C1896" t="str">
            <v>Barlow Road Independent School</v>
          </cell>
          <cell r="D1896" t="str">
            <v>Manchester</v>
          </cell>
          <cell r="E1896" t="str">
            <v>Other Independent Special School</v>
          </cell>
          <cell r="F1896" t="str">
            <v>Not applicable</v>
          </cell>
        </row>
        <row r="1897">
          <cell r="A1897">
            <v>3412010</v>
          </cell>
          <cell r="B1897">
            <v>104517</v>
          </cell>
          <cell r="C1897" t="str">
            <v>Barlows Primary School</v>
          </cell>
          <cell r="D1897" t="str">
            <v>Liverpool</v>
          </cell>
          <cell r="E1897" t="str">
            <v>Community School</v>
          </cell>
          <cell r="F1897" t="str">
            <v>Primary</v>
          </cell>
        </row>
        <row r="1898">
          <cell r="A1898">
            <v>8115202</v>
          </cell>
          <cell r="B1898">
            <v>118122</v>
          </cell>
          <cell r="C1898" t="str">
            <v>Barmby Moor Church of England Primary School</v>
          </cell>
          <cell r="D1898" t="str">
            <v>East Riding of Yorkshire</v>
          </cell>
          <cell r="E1898" t="str">
            <v>Foundation School</v>
          </cell>
          <cell r="F1898" t="str">
            <v>Primary</v>
          </cell>
        </row>
        <row r="1899">
          <cell r="A1899">
            <v>8112701</v>
          </cell>
          <cell r="B1899">
            <v>117824</v>
          </cell>
          <cell r="C1899" t="str">
            <v>Barmby-on-the-Marsh Primary School</v>
          </cell>
          <cell r="D1899" t="str">
            <v>East Riding of Yorkshire</v>
          </cell>
          <cell r="E1899" t="str">
            <v>Community School</v>
          </cell>
          <cell r="F1899" t="str">
            <v>Primary</v>
          </cell>
        </row>
        <row r="1900">
          <cell r="A1900">
            <v>8862548</v>
          </cell>
          <cell r="B1900">
            <v>118508</v>
          </cell>
          <cell r="C1900" t="str">
            <v>Barming Primary School</v>
          </cell>
          <cell r="D1900" t="str">
            <v>Kent</v>
          </cell>
          <cell r="E1900" t="str">
            <v>Community School</v>
          </cell>
          <cell r="F1900" t="str">
            <v>Primary</v>
          </cell>
        </row>
        <row r="1901">
          <cell r="A1901">
            <v>3942142</v>
          </cell>
          <cell r="B1901">
            <v>128198</v>
          </cell>
          <cell r="C1901" t="str">
            <v>Barmston Infant School</v>
          </cell>
          <cell r="D1901" t="str">
            <v>Sunderland</v>
          </cell>
          <cell r="E1901" t="str">
            <v>Community School</v>
          </cell>
          <cell r="F1901" t="str">
            <v>Primary</v>
          </cell>
        </row>
        <row r="1902">
          <cell r="A1902">
            <v>3942143</v>
          </cell>
          <cell r="B1902">
            <v>128199</v>
          </cell>
          <cell r="C1902" t="str">
            <v>Barmston Junior School</v>
          </cell>
          <cell r="D1902" t="str">
            <v>Sunderland</v>
          </cell>
          <cell r="E1902" t="str">
            <v>Community School</v>
          </cell>
          <cell r="F1902" t="str">
            <v>Primary</v>
          </cell>
        </row>
        <row r="1903">
          <cell r="A1903">
            <v>3942181</v>
          </cell>
          <cell r="B1903">
            <v>108835</v>
          </cell>
          <cell r="C1903" t="str">
            <v>Barmston Village Primary School</v>
          </cell>
          <cell r="D1903" t="str">
            <v>Sunderland</v>
          </cell>
          <cell r="E1903" t="str">
            <v>Community School</v>
          </cell>
          <cell r="F1903" t="str">
            <v>Primary</v>
          </cell>
        </row>
        <row r="1904">
          <cell r="A1904">
            <v>3202083</v>
          </cell>
          <cell r="B1904">
            <v>131057</v>
          </cell>
          <cell r="C1904" t="str">
            <v>Barn Croft Primary School</v>
          </cell>
          <cell r="D1904" t="str">
            <v>Waltham Forest</v>
          </cell>
          <cell r="E1904" t="str">
            <v>Community School</v>
          </cell>
          <cell r="F1904" t="str">
            <v>Primary</v>
          </cell>
        </row>
        <row r="1905">
          <cell r="A1905">
            <v>8861109</v>
          </cell>
          <cell r="B1905">
            <v>118239</v>
          </cell>
          <cell r="C1905" t="str">
            <v>Barn End Centre</v>
          </cell>
          <cell r="D1905" t="str">
            <v>Kent</v>
          </cell>
          <cell r="E1905" t="str">
            <v>Pupil Referral Unit</v>
          </cell>
          <cell r="F1905" t="str">
            <v>PRU</v>
          </cell>
        </row>
        <row r="1906">
          <cell r="A1906">
            <v>8942104</v>
          </cell>
          <cell r="B1906">
            <v>123400</v>
          </cell>
          <cell r="C1906" t="str">
            <v>Barn Farm Infant School</v>
          </cell>
          <cell r="D1906" t="str">
            <v>Telford and Wrekin</v>
          </cell>
          <cell r="E1906" t="str">
            <v>Community School</v>
          </cell>
          <cell r="F1906" t="str">
            <v>Primary</v>
          </cell>
        </row>
        <row r="1907">
          <cell r="A1907">
            <v>8733067</v>
          </cell>
          <cell r="B1907">
            <v>110814</v>
          </cell>
          <cell r="C1907" t="str">
            <v>Barnabas Oley CofE Primary School</v>
          </cell>
          <cell r="D1907" t="str">
            <v>Cambridgeshire</v>
          </cell>
          <cell r="E1907" t="str">
            <v>Voluntary Controlled School</v>
          </cell>
          <cell r="F1907" t="str">
            <v>Primary</v>
          </cell>
        </row>
        <row r="1908">
          <cell r="A1908">
            <v>3041108</v>
          </cell>
          <cell r="B1908">
            <v>133998</v>
          </cell>
          <cell r="C1908" t="str">
            <v>Barnaby Bear Ward School Room At Central Middlesex Hospital</v>
          </cell>
          <cell r="D1908" t="str">
            <v>Brent</v>
          </cell>
          <cell r="E1908" t="str">
            <v>Pupil Referral Unit</v>
          </cell>
          <cell r="F1908" t="str">
            <v>PRU</v>
          </cell>
        </row>
        <row r="1909">
          <cell r="A1909">
            <v>8743077</v>
          </cell>
          <cell r="B1909">
            <v>110823</v>
          </cell>
          <cell r="C1909" t="str">
            <v>Barnack CofE (Controlled) Primary School</v>
          </cell>
          <cell r="D1909" t="str">
            <v>Peterborough</v>
          </cell>
          <cell r="E1909" t="str">
            <v>Voluntary Controlled School</v>
          </cell>
          <cell r="F1909" t="str">
            <v>Primary</v>
          </cell>
        </row>
        <row r="1910">
          <cell r="A1910">
            <v>8885203</v>
          </cell>
          <cell r="B1910">
            <v>119808</v>
          </cell>
          <cell r="C1910" t="str">
            <v>Barnacre Road Primary School</v>
          </cell>
          <cell r="D1910" t="str">
            <v>Lancashire</v>
          </cell>
          <cell r="E1910" t="str">
            <v>Foundation School</v>
          </cell>
          <cell r="F1910" t="str">
            <v>Primary</v>
          </cell>
        </row>
        <row r="1911">
          <cell r="A1911">
            <v>8406003</v>
          </cell>
          <cell r="B1911">
            <v>114336</v>
          </cell>
          <cell r="C1911" t="str">
            <v>Barnard Castle School</v>
          </cell>
          <cell r="D1911" t="str">
            <v>Durham</v>
          </cell>
          <cell r="E1911" t="str">
            <v>Other Independent School</v>
          </cell>
          <cell r="F1911" t="str">
            <v>Not applicable</v>
          </cell>
        </row>
        <row r="1912">
          <cell r="A1912">
            <v>8052310</v>
          </cell>
          <cell r="B1912">
            <v>111617</v>
          </cell>
          <cell r="C1912" t="str">
            <v>Barnard Grove Primary School</v>
          </cell>
          <cell r="D1912" t="str">
            <v>Hartlepool</v>
          </cell>
          <cell r="E1912" t="str">
            <v>Community School</v>
          </cell>
          <cell r="F1912" t="str">
            <v>Primary</v>
          </cell>
        </row>
        <row r="1913">
          <cell r="A1913">
            <v>9356023</v>
          </cell>
          <cell r="B1913">
            <v>124875</v>
          </cell>
          <cell r="C1913" t="str">
            <v>Barnardiston Hall Preparatory School</v>
          </cell>
          <cell r="D1913" t="str">
            <v>Suffolk</v>
          </cell>
          <cell r="E1913" t="str">
            <v>Other Independent School</v>
          </cell>
          <cell r="F1913" t="str">
            <v>Not applicable</v>
          </cell>
        </row>
        <row r="1914">
          <cell r="A1914">
            <v>3326005</v>
          </cell>
          <cell r="B1914">
            <v>136682</v>
          </cell>
          <cell r="C1914" t="str">
            <v>Barnardo's Wheels</v>
          </cell>
          <cell r="D1914" t="str">
            <v>Dudley</v>
          </cell>
          <cell r="E1914" t="str">
            <v>Other Independent School</v>
          </cell>
          <cell r="F1914" t="str">
            <v>Not applicable</v>
          </cell>
        </row>
        <row r="1915">
          <cell r="A1915">
            <v>3712106</v>
          </cell>
          <cell r="B1915">
            <v>106694</v>
          </cell>
          <cell r="C1915" t="str">
            <v>Barnburgh Primary School</v>
          </cell>
          <cell r="D1915" t="str">
            <v>Doncaster</v>
          </cell>
          <cell r="E1915" t="str">
            <v>Community School</v>
          </cell>
          <cell r="F1915" t="str">
            <v>Primary</v>
          </cell>
        </row>
        <row r="1916">
          <cell r="A1916">
            <v>9352061</v>
          </cell>
          <cell r="B1916">
            <v>124568</v>
          </cell>
          <cell r="C1916" t="str">
            <v>Barnby and North Cove Community Primary School</v>
          </cell>
          <cell r="D1916" t="str">
            <v>Suffolk</v>
          </cell>
          <cell r="E1916" t="str">
            <v>Community School</v>
          </cell>
          <cell r="F1916" t="str">
            <v>Primary</v>
          </cell>
        </row>
        <row r="1917">
          <cell r="A1917">
            <v>3712153</v>
          </cell>
          <cell r="B1917">
            <v>127623</v>
          </cell>
          <cell r="C1917" t="str">
            <v>Barnby Dun First School</v>
          </cell>
          <cell r="D1917" t="str">
            <v>Doncaster</v>
          </cell>
          <cell r="E1917" t="str">
            <v>Community School</v>
          </cell>
          <cell r="F1917" t="str">
            <v>Primary</v>
          </cell>
        </row>
        <row r="1918">
          <cell r="A1918">
            <v>3712060</v>
          </cell>
          <cell r="B1918">
            <v>127604</v>
          </cell>
          <cell r="C1918" t="str">
            <v>Barnby Dun Middle School</v>
          </cell>
          <cell r="D1918" t="str">
            <v>Doncaster</v>
          </cell>
          <cell r="E1918" t="str">
            <v>Community School</v>
          </cell>
          <cell r="F1918" t="str">
            <v>Middle Deemed Primary</v>
          </cell>
        </row>
        <row r="1919">
          <cell r="A1919">
            <v>3712194</v>
          </cell>
          <cell r="B1919">
            <v>106755</v>
          </cell>
          <cell r="C1919" t="str">
            <v>Barnby Dun Primary School</v>
          </cell>
          <cell r="D1919" t="str">
            <v>Doncaster</v>
          </cell>
          <cell r="E1919" t="str">
            <v>Foundation School</v>
          </cell>
          <cell r="F1919" t="str">
            <v>Primary</v>
          </cell>
        </row>
        <row r="1920">
          <cell r="A1920">
            <v>8912921</v>
          </cell>
          <cell r="B1920">
            <v>136274</v>
          </cell>
          <cell r="C1920" t="str">
            <v>Barnby Road Academy Primary and Nursery school</v>
          </cell>
          <cell r="D1920" t="str">
            <v>Nottinghamshire</v>
          </cell>
          <cell r="E1920" t="str">
            <v>Academy Converters</v>
          </cell>
          <cell r="F1920" t="str">
            <v>Primary</v>
          </cell>
        </row>
        <row r="1921">
          <cell r="A1921">
            <v>8912921</v>
          </cell>
          <cell r="B1921">
            <v>122725</v>
          </cell>
          <cell r="C1921" t="str">
            <v>Barnby Road Primary and Nursery School</v>
          </cell>
          <cell r="D1921" t="str">
            <v>Nottinghamshire</v>
          </cell>
          <cell r="E1921" t="str">
            <v>Community School</v>
          </cell>
          <cell r="F1921" t="str">
            <v>Primary</v>
          </cell>
        </row>
        <row r="1922">
          <cell r="A1922">
            <v>9082200</v>
          </cell>
          <cell r="B1922">
            <v>111833</v>
          </cell>
          <cell r="C1922" t="str">
            <v>Barncoose Community Primary School</v>
          </cell>
          <cell r="D1922" t="str">
            <v>Cornwall</v>
          </cell>
          <cell r="E1922" t="str">
            <v>Community School</v>
          </cell>
          <cell r="F1922" t="str">
            <v>Primary</v>
          </cell>
        </row>
        <row r="1923">
          <cell r="A1923">
            <v>8502097</v>
          </cell>
          <cell r="B1923">
            <v>115906</v>
          </cell>
          <cell r="C1923" t="str">
            <v>Barncroft Infant School</v>
          </cell>
          <cell r="D1923" t="str">
            <v>Hampshire</v>
          </cell>
          <cell r="E1923" t="str">
            <v>Community School</v>
          </cell>
          <cell r="F1923" t="str">
            <v>Primary</v>
          </cell>
        </row>
        <row r="1924">
          <cell r="A1924">
            <v>8502096</v>
          </cell>
          <cell r="B1924">
            <v>115905</v>
          </cell>
          <cell r="C1924" t="str">
            <v>Barncroft Junior School</v>
          </cell>
          <cell r="D1924" t="str">
            <v>Hampshire</v>
          </cell>
          <cell r="E1924" t="str">
            <v>Community School</v>
          </cell>
          <cell r="F1924" t="str">
            <v>Primary</v>
          </cell>
        </row>
        <row r="1925">
          <cell r="A1925">
            <v>9192438</v>
          </cell>
          <cell r="B1925">
            <v>117343</v>
          </cell>
          <cell r="C1925" t="str">
            <v>Barncroft Primary School</v>
          </cell>
          <cell r="D1925" t="str">
            <v>Hertfordshire</v>
          </cell>
          <cell r="E1925" t="str">
            <v>Community School</v>
          </cell>
          <cell r="F1925" t="str">
            <v>Primary</v>
          </cell>
        </row>
        <row r="1926">
          <cell r="A1926">
            <v>8502107</v>
          </cell>
          <cell r="B1926">
            <v>136078</v>
          </cell>
          <cell r="C1926" t="str">
            <v>Barncroft Primary School</v>
          </cell>
          <cell r="D1926" t="str">
            <v>Hampshire</v>
          </cell>
          <cell r="E1926" t="str">
            <v>Community School</v>
          </cell>
          <cell r="F1926" t="str">
            <v>Primary</v>
          </cell>
        </row>
        <row r="1927">
          <cell r="A1927">
            <v>9297010</v>
          </cell>
          <cell r="B1927">
            <v>122384</v>
          </cell>
          <cell r="C1927" t="str">
            <v>Barndale House School</v>
          </cell>
          <cell r="D1927" t="str">
            <v>Northumberland</v>
          </cell>
          <cell r="E1927" t="str">
            <v>Community Special School</v>
          </cell>
          <cell r="F1927" t="str">
            <v>Special</v>
          </cell>
        </row>
        <row r="1928">
          <cell r="A1928">
            <v>8792669</v>
          </cell>
          <cell r="B1928">
            <v>113296</v>
          </cell>
          <cell r="C1928" t="str">
            <v>Barne Barton Community School</v>
          </cell>
          <cell r="D1928" t="str">
            <v>Plymouth</v>
          </cell>
          <cell r="E1928" t="str">
            <v>Community School</v>
          </cell>
          <cell r="F1928" t="str">
            <v>Primary</v>
          </cell>
        </row>
        <row r="1929">
          <cell r="A1929">
            <v>9114175</v>
          </cell>
          <cell r="B1929">
            <v>128727</v>
          </cell>
          <cell r="C1929" t="str">
            <v>Barne Barton School</v>
          </cell>
          <cell r="D1929" t="str">
            <v>Pre LGR (1998) Devon</v>
          </cell>
          <cell r="E1929" t="str">
            <v>Community School</v>
          </cell>
          <cell r="F1929" t="str">
            <v>Secondary</v>
          </cell>
        </row>
        <row r="1930">
          <cell r="A1930">
            <v>3035200</v>
          </cell>
          <cell r="B1930">
            <v>101473</v>
          </cell>
          <cell r="C1930" t="str">
            <v>Barnehurst Infant School</v>
          </cell>
          <cell r="D1930" t="str">
            <v>Bexley</v>
          </cell>
          <cell r="E1930" t="str">
            <v>Foundation School</v>
          </cell>
          <cell r="F1930" t="str">
            <v>Primary</v>
          </cell>
        </row>
        <row r="1931">
          <cell r="A1931">
            <v>3035201</v>
          </cell>
          <cell r="B1931">
            <v>101474</v>
          </cell>
          <cell r="C1931" t="str">
            <v>Barnehurst Junior (Foundation) School</v>
          </cell>
          <cell r="D1931" t="str">
            <v>Bexley</v>
          </cell>
          <cell r="E1931" t="str">
            <v>Foundation School</v>
          </cell>
          <cell r="F1931" t="str">
            <v>Primary</v>
          </cell>
        </row>
        <row r="1932">
          <cell r="A1932">
            <v>3032025</v>
          </cell>
          <cell r="B1932">
            <v>101416</v>
          </cell>
          <cell r="C1932" t="str">
            <v>Barnes Cray Primary School</v>
          </cell>
          <cell r="D1932" t="str">
            <v>Bexley</v>
          </cell>
          <cell r="E1932" t="str">
            <v>Community School</v>
          </cell>
          <cell r="F1932" t="str">
            <v>Primary</v>
          </cell>
        </row>
        <row r="1933">
          <cell r="A1933">
            <v>8812928</v>
          </cell>
          <cell r="B1933">
            <v>115044</v>
          </cell>
          <cell r="C1933" t="str">
            <v>Barnes Farm Infant School</v>
          </cell>
          <cell r="D1933" t="str">
            <v>Essex</v>
          </cell>
          <cell r="E1933" t="str">
            <v>Community School</v>
          </cell>
          <cell r="F1933" t="str">
            <v>Primary</v>
          </cell>
        </row>
        <row r="1934">
          <cell r="A1934">
            <v>8812839</v>
          </cell>
          <cell r="B1934">
            <v>115019</v>
          </cell>
          <cell r="C1934" t="str">
            <v>Barnes Farm Junior School</v>
          </cell>
          <cell r="D1934" t="str">
            <v>Essex</v>
          </cell>
          <cell r="E1934" t="str">
            <v>Community School</v>
          </cell>
          <cell r="F1934" t="str">
            <v>Primary</v>
          </cell>
        </row>
        <row r="1935">
          <cell r="A1935">
            <v>3521004</v>
          </cell>
          <cell r="B1935">
            <v>105381</v>
          </cell>
          <cell r="C1935" t="str">
            <v>Barnes Green Nursery School</v>
          </cell>
          <cell r="D1935" t="str">
            <v>Manchester</v>
          </cell>
          <cell r="E1935" t="str">
            <v>LA Nursery School</v>
          </cell>
          <cell r="F1935" t="str">
            <v>Nursery</v>
          </cell>
        </row>
        <row r="1936">
          <cell r="A1936">
            <v>3942003</v>
          </cell>
          <cell r="B1936">
            <v>108756</v>
          </cell>
          <cell r="C1936" t="str">
            <v>Barnes Infant School</v>
          </cell>
          <cell r="D1936" t="str">
            <v>Sunderland</v>
          </cell>
          <cell r="E1936" t="str">
            <v>Community School</v>
          </cell>
          <cell r="F1936" t="str">
            <v>Primary</v>
          </cell>
        </row>
        <row r="1937">
          <cell r="A1937">
            <v>3942002</v>
          </cell>
          <cell r="B1937">
            <v>108755</v>
          </cell>
          <cell r="C1937" t="str">
            <v>Barnes Junior School</v>
          </cell>
          <cell r="D1937" t="str">
            <v>Sunderland</v>
          </cell>
          <cell r="E1937" t="str">
            <v>Community School</v>
          </cell>
          <cell r="F1937" t="str">
            <v>Primary</v>
          </cell>
        </row>
        <row r="1938">
          <cell r="A1938">
            <v>3182028</v>
          </cell>
          <cell r="B1938">
            <v>102902</v>
          </cell>
          <cell r="C1938" t="str">
            <v>Barnes Primary School</v>
          </cell>
          <cell r="D1938" t="str">
            <v>Richmond upon Thames</v>
          </cell>
          <cell r="E1938" t="str">
            <v>Community School</v>
          </cell>
          <cell r="F1938" t="str">
            <v>Primary</v>
          </cell>
        </row>
        <row r="1939">
          <cell r="A1939">
            <v>3028000</v>
          </cell>
          <cell r="B1939">
            <v>130425</v>
          </cell>
          <cell r="C1939" t="str">
            <v>Barnet and Southgate College</v>
          </cell>
          <cell r="D1939" t="str">
            <v>Barnet</v>
          </cell>
          <cell r="E1939" t="str">
            <v>Further Education</v>
          </cell>
          <cell r="F1939" t="str">
            <v>16 Plus</v>
          </cell>
        </row>
        <row r="1940">
          <cell r="A1940">
            <v>3022064</v>
          </cell>
          <cell r="B1940">
            <v>101307</v>
          </cell>
          <cell r="C1940" t="str">
            <v>Barnet Hill Junior Mixed Infant and Nursery School</v>
          </cell>
          <cell r="D1940" t="str">
            <v>Barnet</v>
          </cell>
          <cell r="E1940" t="str">
            <v>Community School</v>
          </cell>
          <cell r="F1940" t="str">
            <v>Primary</v>
          </cell>
        </row>
        <row r="1941">
          <cell r="A1941">
            <v>3027008</v>
          </cell>
          <cell r="B1941">
            <v>126743</v>
          </cell>
          <cell r="C1941" t="str">
            <v>Barnet Special Tuition Service</v>
          </cell>
          <cell r="D1941" t="str">
            <v>Barnet</v>
          </cell>
          <cell r="E1941" t="str">
            <v>Community Special School</v>
          </cell>
          <cell r="F1941" t="str">
            <v>Special</v>
          </cell>
        </row>
        <row r="1942">
          <cell r="A1942">
            <v>9362149</v>
          </cell>
          <cell r="B1942">
            <v>124982</v>
          </cell>
          <cell r="C1942" t="str">
            <v>Barnett Wood Infant School</v>
          </cell>
          <cell r="D1942" t="str">
            <v>Surrey</v>
          </cell>
          <cell r="E1942" t="str">
            <v>Community School</v>
          </cell>
          <cell r="F1942" t="str">
            <v>Primary</v>
          </cell>
        </row>
        <row r="1943">
          <cell r="A1943">
            <v>8216907</v>
          </cell>
          <cell r="B1943">
            <v>136214</v>
          </cell>
          <cell r="C1943" t="str">
            <v>Barnfield Business and Enterprise Studio Academy</v>
          </cell>
          <cell r="D1943" t="str">
            <v>Luton</v>
          </cell>
          <cell r="E1943" t="str">
            <v>Academy Sponsor Led</v>
          </cell>
          <cell r="F1943" t="str">
            <v>Middle Deemed Secondary</v>
          </cell>
        </row>
        <row r="1944">
          <cell r="A1944">
            <v>8218006</v>
          </cell>
          <cell r="B1944">
            <v>130599</v>
          </cell>
          <cell r="C1944" t="str">
            <v>Barnfield College</v>
          </cell>
          <cell r="D1944" t="str">
            <v>Luton</v>
          </cell>
          <cell r="E1944" t="str">
            <v>Further Education</v>
          </cell>
          <cell r="F1944" t="str">
            <v>16 Plus</v>
          </cell>
        </row>
        <row r="1945">
          <cell r="A1945">
            <v>3022002</v>
          </cell>
          <cell r="B1945">
            <v>101258</v>
          </cell>
          <cell r="C1945" t="str">
            <v>Barnfield Primary School</v>
          </cell>
          <cell r="D1945" t="str">
            <v>Barnet</v>
          </cell>
          <cell r="E1945" t="str">
            <v>Community School</v>
          </cell>
          <cell r="F1945" t="str">
            <v>Primary</v>
          </cell>
        </row>
        <row r="1946">
          <cell r="A1946">
            <v>8216906</v>
          </cell>
          <cell r="B1946">
            <v>135338</v>
          </cell>
          <cell r="C1946" t="str">
            <v>Barnfield South Academy Luton</v>
          </cell>
          <cell r="D1946" t="str">
            <v>Luton</v>
          </cell>
          <cell r="E1946" t="str">
            <v>Academy Sponsor Led</v>
          </cell>
          <cell r="F1946" t="str">
            <v>Secondary</v>
          </cell>
        </row>
        <row r="1947">
          <cell r="A1947">
            <v>8216905</v>
          </cell>
          <cell r="B1947">
            <v>135337</v>
          </cell>
          <cell r="C1947" t="str">
            <v>Barnfield West Academy Luton</v>
          </cell>
          <cell r="D1947" t="str">
            <v>Luton</v>
          </cell>
          <cell r="E1947" t="str">
            <v>Academy Sponsor Led</v>
          </cell>
          <cell r="F1947" t="str">
            <v>Secondary</v>
          </cell>
        </row>
        <row r="1948">
          <cell r="A1948">
            <v>8602352</v>
          </cell>
          <cell r="B1948">
            <v>124167</v>
          </cell>
          <cell r="C1948" t="str">
            <v>Barnfields Primary School</v>
          </cell>
          <cell r="D1948" t="str">
            <v>Staffordshire</v>
          </cell>
          <cell r="E1948" t="str">
            <v>Community School</v>
          </cell>
          <cell r="F1948" t="str">
            <v>Primary</v>
          </cell>
        </row>
        <row r="1949">
          <cell r="A1949">
            <v>9265209</v>
          </cell>
          <cell r="B1949">
            <v>121199</v>
          </cell>
          <cell r="C1949" t="str">
            <v>Barnham Broom Church of England Voluntary Aided Primary School</v>
          </cell>
          <cell r="D1949" t="str">
            <v>Norfolk</v>
          </cell>
          <cell r="E1949" t="str">
            <v>Voluntary Aided School</v>
          </cell>
          <cell r="F1949" t="str">
            <v>Primary</v>
          </cell>
        </row>
        <row r="1950">
          <cell r="A1950">
            <v>9353003</v>
          </cell>
          <cell r="B1950">
            <v>124688</v>
          </cell>
          <cell r="C1950" t="str">
            <v>Barnham Church of England Voluntary Controlled Primary School</v>
          </cell>
          <cell r="D1950" t="str">
            <v>Suffolk</v>
          </cell>
          <cell r="E1950" t="str">
            <v>Voluntary Controlled School</v>
          </cell>
          <cell r="F1950" t="str">
            <v>Primary</v>
          </cell>
        </row>
        <row r="1951">
          <cell r="A1951">
            <v>9382138</v>
          </cell>
          <cell r="B1951">
            <v>125892</v>
          </cell>
          <cell r="C1951" t="str">
            <v>Barnham Primary School</v>
          </cell>
          <cell r="D1951" t="str">
            <v>West Sussex</v>
          </cell>
          <cell r="E1951" t="str">
            <v>Community School</v>
          </cell>
          <cell r="F1951" t="str">
            <v>Primary</v>
          </cell>
        </row>
        <row r="1952">
          <cell r="A1952">
            <v>3125412</v>
          </cell>
          <cell r="B1952">
            <v>131639</v>
          </cell>
          <cell r="C1952" t="str">
            <v>Barnhill Community High School</v>
          </cell>
          <cell r="D1952" t="str">
            <v>Hillingdon</v>
          </cell>
          <cell r="E1952" t="str">
            <v>Foundation School</v>
          </cell>
          <cell r="F1952" t="str">
            <v>Secondary</v>
          </cell>
        </row>
        <row r="1953">
          <cell r="A1953">
            <v>3124001</v>
          </cell>
          <cell r="B1953">
            <v>126936</v>
          </cell>
          <cell r="C1953" t="str">
            <v>Barnhill School</v>
          </cell>
          <cell r="D1953" t="str">
            <v>Hillingdon</v>
          </cell>
          <cell r="E1953" t="str">
            <v>Community School</v>
          </cell>
          <cell r="F1953" t="str">
            <v>Secondary</v>
          </cell>
        </row>
        <row r="1954">
          <cell r="A1954">
            <v>9353004</v>
          </cell>
          <cell r="B1954">
            <v>124689</v>
          </cell>
          <cell r="C1954" t="str">
            <v>Barningham Church of England Voluntary Controlled Primary School</v>
          </cell>
          <cell r="D1954" t="str">
            <v>Suffolk</v>
          </cell>
          <cell r="E1954" t="str">
            <v>Voluntary Controlled School</v>
          </cell>
          <cell r="F1954" t="str">
            <v>Primary</v>
          </cell>
        </row>
        <row r="1955">
          <cell r="A1955">
            <v>8883011</v>
          </cell>
          <cell r="B1955">
            <v>119360</v>
          </cell>
          <cell r="C1955" t="str">
            <v>Barnoldswick Church of England Controlled Primary School</v>
          </cell>
          <cell r="D1955" t="str">
            <v>Lancashire</v>
          </cell>
          <cell r="E1955" t="str">
            <v>Voluntary Controlled School</v>
          </cell>
          <cell r="F1955" t="str">
            <v>Primary</v>
          </cell>
        </row>
        <row r="1956">
          <cell r="A1956">
            <v>9362469</v>
          </cell>
          <cell r="B1956">
            <v>125074</v>
          </cell>
          <cell r="C1956" t="str">
            <v>Barnsbury Infant School</v>
          </cell>
          <cell r="D1956" t="str">
            <v>Surrey</v>
          </cell>
          <cell r="E1956" t="str">
            <v>Community School</v>
          </cell>
          <cell r="F1956" t="str">
            <v>Primary</v>
          </cell>
        </row>
        <row r="1957">
          <cell r="A1957">
            <v>9362293</v>
          </cell>
          <cell r="B1957">
            <v>125007</v>
          </cell>
          <cell r="C1957" t="str">
            <v>Barnsbury Junior School</v>
          </cell>
          <cell r="D1957" t="str">
            <v>Surrey</v>
          </cell>
          <cell r="E1957" t="str">
            <v>Community School</v>
          </cell>
          <cell r="F1957" t="str">
            <v>Primary</v>
          </cell>
        </row>
        <row r="1958">
          <cell r="A1958">
            <v>9363942</v>
          </cell>
          <cell r="B1958">
            <v>135382</v>
          </cell>
          <cell r="C1958" t="str">
            <v>Barnsbury Primary School</v>
          </cell>
          <cell r="D1958" t="str">
            <v>Surrey</v>
          </cell>
          <cell r="E1958" t="str">
            <v>Community School</v>
          </cell>
          <cell r="F1958" t="str">
            <v>Primary</v>
          </cell>
        </row>
        <row r="1959">
          <cell r="A1959">
            <v>3706905</v>
          </cell>
          <cell r="B1959">
            <v>131749</v>
          </cell>
          <cell r="C1959" t="str">
            <v>Barnsley Academy</v>
          </cell>
          <cell r="D1959" t="str">
            <v>Barnsley</v>
          </cell>
          <cell r="E1959" t="str">
            <v>Academy Sponsor Led</v>
          </cell>
          <cell r="F1959" t="str">
            <v>Secondary</v>
          </cell>
        </row>
        <row r="1960">
          <cell r="A1960">
            <v>3701100</v>
          </cell>
          <cell r="B1960">
            <v>131622</v>
          </cell>
          <cell r="C1960" t="str">
            <v>Barnsley Additional Support for Education</v>
          </cell>
          <cell r="D1960" t="str">
            <v>Barnsley</v>
          </cell>
          <cell r="E1960" t="str">
            <v>Pupil Referral Unit</v>
          </cell>
          <cell r="F1960" t="str">
            <v>PRU</v>
          </cell>
        </row>
        <row r="1961">
          <cell r="A1961">
            <v>3706001</v>
          </cell>
          <cell r="B1961">
            <v>106659</v>
          </cell>
          <cell r="C1961" t="str">
            <v>Barnsley Christian School</v>
          </cell>
          <cell r="D1961" t="str">
            <v>Barnsley</v>
          </cell>
          <cell r="E1961" t="str">
            <v>Other Independent School</v>
          </cell>
          <cell r="F1961" t="str">
            <v>Not applicable</v>
          </cell>
        </row>
        <row r="1962">
          <cell r="A1962">
            <v>3708001</v>
          </cell>
          <cell r="B1962">
            <v>130524</v>
          </cell>
          <cell r="C1962" t="str">
            <v>Barnsley College</v>
          </cell>
          <cell r="D1962" t="str">
            <v>Barnsley</v>
          </cell>
          <cell r="E1962" t="str">
            <v>Further Education</v>
          </cell>
          <cell r="F1962" t="str">
            <v>16 Plus</v>
          </cell>
        </row>
        <row r="1963">
          <cell r="A1963">
            <v>370940</v>
          </cell>
          <cell r="B1963">
            <v>132708</v>
          </cell>
          <cell r="C1963" t="str">
            <v>Barnsley FC\LA Study Support Centre</v>
          </cell>
          <cell r="D1963" t="str">
            <v>Barnsley</v>
          </cell>
          <cell r="E1963" t="str">
            <v>Playing for Success Centres</v>
          </cell>
          <cell r="F1963" t="str">
            <v>Not applicable</v>
          </cell>
        </row>
        <row r="1964">
          <cell r="A1964">
            <v>3701101</v>
          </cell>
          <cell r="B1964">
            <v>134055</v>
          </cell>
          <cell r="C1964" t="str">
            <v>Barnsley PRU</v>
          </cell>
          <cell r="D1964" t="str">
            <v>Barnsley</v>
          </cell>
          <cell r="E1964" t="str">
            <v>Pupil Referral Unit</v>
          </cell>
          <cell r="F1964" t="str">
            <v>PRU</v>
          </cell>
        </row>
        <row r="1965">
          <cell r="A1965">
            <v>8872396</v>
          </cell>
          <cell r="B1965">
            <v>118419</v>
          </cell>
          <cell r="C1965" t="str">
            <v>Barnsole Infant School</v>
          </cell>
          <cell r="D1965" t="str">
            <v>Medway</v>
          </cell>
          <cell r="E1965" t="str">
            <v>Community School</v>
          </cell>
          <cell r="F1965" t="str">
            <v>Primary</v>
          </cell>
        </row>
        <row r="1966">
          <cell r="A1966">
            <v>8872394</v>
          </cell>
          <cell r="B1966">
            <v>118418</v>
          </cell>
          <cell r="C1966" t="str">
            <v>Barnsole Junior School</v>
          </cell>
          <cell r="D1966" t="str">
            <v>Medway</v>
          </cell>
          <cell r="E1966" t="str">
            <v>Community School</v>
          </cell>
          <cell r="F1966" t="str">
            <v>Primary</v>
          </cell>
        </row>
        <row r="1967">
          <cell r="A1967">
            <v>3442229</v>
          </cell>
          <cell r="B1967">
            <v>105030</v>
          </cell>
          <cell r="C1967" t="str">
            <v>Barnston Primary School</v>
          </cell>
          <cell r="D1967" t="str">
            <v>Wirral</v>
          </cell>
          <cell r="E1967" t="str">
            <v>Community School</v>
          </cell>
          <cell r="F1967" t="str">
            <v>Primary</v>
          </cell>
        </row>
        <row r="1968">
          <cell r="A1968">
            <v>8962730</v>
          </cell>
          <cell r="B1968">
            <v>131681</v>
          </cell>
          <cell r="C1968" t="str">
            <v>Barnton Community Primary School</v>
          </cell>
          <cell r="D1968" t="str">
            <v>Cheshire West and Chester</v>
          </cell>
          <cell r="E1968" t="str">
            <v>Community School</v>
          </cell>
          <cell r="F1968" t="str">
            <v>Primary</v>
          </cell>
        </row>
        <row r="1969">
          <cell r="A1969">
            <v>8752180</v>
          </cell>
          <cell r="B1969">
            <v>111049</v>
          </cell>
          <cell r="C1969" t="str">
            <v>Barnton County Infant School</v>
          </cell>
          <cell r="D1969" t="str">
            <v>Pre LGR (2009) Cheshire</v>
          </cell>
          <cell r="E1969" t="str">
            <v>Community School</v>
          </cell>
          <cell r="F1969" t="str">
            <v>Primary</v>
          </cell>
        </row>
        <row r="1970">
          <cell r="A1970">
            <v>8752308</v>
          </cell>
          <cell r="B1970">
            <v>111131</v>
          </cell>
          <cell r="C1970" t="str">
            <v>Barnton County Junior School</v>
          </cell>
          <cell r="D1970" t="str">
            <v>Pre LGR (2009) Cheshire</v>
          </cell>
          <cell r="E1970" t="str">
            <v>Community School</v>
          </cell>
          <cell r="F1970" t="str">
            <v>Primary</v>
          </cell>
        </row>
        <row r="1971">
          <cell r="A1971">
            <v>9283303</v>
          </cell>
          <cell r="B1971">
            <v>122016</v>
          </cell>
          <cell r="C1971" t="str">
            <v>Barnwell Church of England Primary School</v>
          </cell>
          <cell r="D1971" t="str">
            <v>Northamptonshire</v>
          </cell>
          <cell r="E1971" t="str">
            <v>Voluntary Aided School</v>
          </cell>
          <cell r="F1971" t="str">
            <v>Primary</v>
          </cell>
        </row>
        <row r="1972">
          <cell r="A1972">
            <v>3942139</v>
          </cell>
          <cell r="B1972">
            <v>108809</v>
          </cell>
          <cell r="C1972" t="str">
            <v>Barnwell Primary School</v>
          </cell>
          <cell r="D1972" t="str">
            <v>Sunderland</v>
          </cell>
          <cell r="E1972" t="str">
            <v>Community School</v>
          </cell>
          <cell r="F1972" t="str">
            <v>Primary</v>
          </cell>
        </row>
        <row r="1973">
          <cell r="A1973">
            <v>9194066</v>
          </cell>
          <cell r="B1973">
            <v>117518</v>
          </cell>
          <cell r="C1973" t="str">
            <v>Barnwell School</v>
          </cell>
          <cell r="D1973" t="str">
            <v>Hertfordshire</v>
          </cell>
          <cell r="E1973" t="str">
            <v>Community School</v>
          </cell>
          <cell r="F1973" t="str">
            <v>Secondary</v>
          </cell>
        </row>
        <row r="1974">
          <cell r="A1974">
            <v>9163365</v>
          </cell>
          <cell r="B1974">
            <v>115714</v>
          </cell>
          <cell r="C1974" t="str">
            <v>Barnwood Church of England Primary School</v>
          </cell>
          <cell r="D1974" t="str">
            <v>Gloucestershire</v>
          </cell>
          <cell r="E1974" t="str">
            <v>Voluntary Aided School</v>
          </cell>
          <cell r="F1974" t="str">
            <v>Primary</v>
          </cell>
        </row>
        <row r="1975">
          <cell r="A1975">
            <v>9163304</v>
          </cell>
          <cell r="B1975">
            <v>128948</v>
          </cell>
          <cell r="C1975" t="str">
            <v>Barnwood CofE Primary School</v>
          </cell>
          <cell r="D1975" t="str">
            <v>Gloucestershire</v>
          </cell>
          <cell r="E1975" t="str">
            <v>Voluntary Aided School</v>
          </cell>
          <cell r="F1975" t="str">
            <v>Primary</v>
          </cell>
        </row>
        <row r="1976">
          <cell r="A1976">
            <v>9362916</v>
          </cell>
          <cell r="B1976">
            <v>125098</v>
          </cell>
          <cell r="C1976" t="str">
            <v>Barnwood Community Primary School</v>
          </cell>
          <cell r="D1976" t="str">
            <v>Surrey</v>
          </cell>
          <cell r="E1976" t="str">
            <v>Community School</v>
          </cell>
          <cell r="F1976" t="str">
            <v>Primary</v>
          </cell>
        </row>
        <row r="1977">
          <cell r="A1977">
            <v>9164012</v>
          </cell>
          <cell r="B1977">
            <v>115720</v>
          </cell>
          <cell r="C1977" t="str">
            <v>Barnwood Park Arts College</v>
          </cell>
          <cell r="D1977" t="str">
            <v>Gloucestershire</v>
          </cell>
          <cell r="E1977" t="str">
            <v>Foundation School</v>
          </cell>
          <cell r="F1977" t="str">
            <v>Secondary</v>
          </cell>
        </row>
        <row r="1978">
          <cell r="A1978">
            <v>8822124</v>
          </cell>
          <cell r="B1978">
            <v>114787</v>
          </cell>
          <cell r="C1978" t="str">
            <v>Barons Court Primary School and Nursery</v>
          </cell>
          <cell r="D1978" t="str">
            <v>Southend-on-Sea</v>
          </cell>
          <cell r="E1978" t="str">
            <v>Community School</v>
          </cell>
          <cell r="F1978" t="str">
            <v>Primary</v>
          </cell>
        </row>
        <row r="1979">
          <cell r="A1979">
            <v>3355406</v>
          </cell>
          <cell r="B1979">
            <v>104264</v>
          </cell>
          <cell r="C1979" t="str">
            <v>Barr Beacon Language College</v>
          </cell>
          <cell r="D1979" t="str">
            <v>Walsall</v>
          </cell>
          <cell r="E1979" t="str">
            <v>Foundation School</v>
          </cell>
          <cell r="F1979" t="str">
            <v>Secondary</v>
          </cell>
        </row>
        <row r="1980">
          <cell r="A1980">
            <v>3355406</v>
          </cell>
          <cell r="B1980">
            <v>136885</v>
          </cell>
          <cell r="C1980" t="str">
            <v>Barr Beacon Language College</v>
          </cell>
          <cell r="D1980" t="str">
            <v>Walsall</v>
          </cell>
          <cell r="E1980" t="str">
            <v>Academy Converters</v>
          </cell>
          <cell r="F1980" t="str">
            <v>Secondary</v>
          </cell>
        </row>
        <row r="1981">
          <cell r="A1981">
            <v>3562009</v>
          </cell>
          <cell r="B1981">
            <v>106031</v>
          </cell>
          <cell r="C1981" t="str">
            <v>Barrack Hill Primary School</v>
          </cell>
          <cell r="D1981" t="str">
            <v>Stockport</v>
          </cell>
          <cell r="E1981" t="str">
            <v>Community School</v>
          </cell>
          <cell r="F1981" t="str">
            <v>Primary</v>
          </cell>
        </row>
        <row r="1982">
          <cell r="A1982">
            <v>8733001</v>
          </cell>
          <cell r="B1982">
            <v>110781</v>
          </cell>
          <cell r="C1982" t="str">
            <v>Barrington CofE VC Primary School</v>
          </cell>
          <cell r="D1982" t="str">
            <v>Cambridgeshire</v>
          </cell>
          <cell r="E1982" t="str">
            <v>Voluntary Controlled School</v>
          </cell>
          <cell r="F1982" t="str">
            <v>Primary</v>
          </cell>
        </row>
        <row r="1983">
          <cell r="A1983">
            <v>3032052</v>
          </cell>
          <cell r="B1983">
            <v>133074</v>
          </cell>
          <cell r="C1983" t="str">
            <v>Barrington County Infant School</v>
          </cell>
          <cell r="D1983" t="str">
            <v>Bexley</v>
          </cell>
          <cell r="E1983" t="str">
            <v>Community School</v>
          </cell>
          <cell r="F1983" t="str">
            <v>Primary</v>
          </cell>
        </row>
        <row r="1984">
          <cell r="A1984">
            <v>3032083</v>
          </cell>
          <cell r="B1984">
            <v>101449</v>
          </cell>
          <cell r="C1984" t="str">
            <v>Barrington Primary School</v>
          </cell>
          <cell r="D1984" t="str">
            <v>Bexley</v>
          </cell>
          <cell r="E1984" t="str">
            <v>Community School</v>
          </cell>
          <cell r="F1984" t="str">
            <v>Primary</v>
          </cell>
        </row>
        <row r="1985">
          <cell r="A1985">
            <v>9077021</v>
          </cell>
          <cell r="B1985">
            <v>133183</v>
          </cell>
          <cell r="C1985" t="str">
            <v>Barrington School</v>
          </cell>
          <cell r="D1985" t="str">
            <v>Pre LGR (1996) Cleveland</v>
          </cell>
          <cell r="E1985" t="str">
            <v>Community Special School</v>
          </cell>
          <cell r="F1985" t="str">
            <v>Special</v>
          </cell>
        </row>
        <row r="1986">
          <cell r="A1986">
            <v>9353005</v>
          </cell>
          <cell r="B1986">
            <v>124690</v>
          </cell>
          <cell r="C1986" t="str">
            <v>Barrow Church of England Voluntary Controlled Primary School</v>
          </cell>
          <cell r="D1986" t="str">
            <v>Suffolk</v>
          </cell>
          <cell r="E1986" t="str">
            <v>Voluntary Controlled School</v>
          </cell>
          <cell r="F1986" t="str">
            <v>Primary</v>
          </cell>
        </row>
        <row r="1987">
          <cell r="A1987">
            <v>8963149</v>
          </cell>
          <cell r="B1987">
            <v>111270</v>
          </cell>
          <cell r="C1987" t="str">
            <v>Barrow CofE Primary School</v>
          </cell>
          <cell r="D1987" t="str">
            <v>Cheshire West and Chester</v>
          </cell>
          <cell r="E1987" t="str">
            <v>Voluntary Controlled School</v>
          </cell>
          <cell r="F1987" t="str">
            <v>Primary</v>
          </cell>
        </row>
        <row r="1988">
          <cell r="A1988">
            <v>8933300</v>
          </cell>
          <cell r="B1988">
            <v>123533</v>
          </cell>
          <cell r="C1988" t="str">
            <v>Barrow CofE Primary School</v>
          </cell>
          <cell r="D1988" t="str">
            <v>Shropshire</v>
          </cell>
          <cell r="E1988" t="str">
            <v>Voluntary Aided School</v>
          </cell>
          <cell r="F1988" t="str">
            <v>Primary</v>
          </cell>
        </row>
        <row r="1989">
          <cell r="A1989">
            <v>8862247</v>
          </cell>
          <cell r="B1989">
            <v>118350</v>
          </cell>
          <cell r="C1989" t="str">
            <v>Barrow Grove Junior School</v>
          </cell>
          <cell r="D1989" t="str">
            <v>Kent</v>
          </cell>
          <cell r="E1989" t="str">
            <v>Community School</v>
          </cell>
          <cell r="F1989" t="str">
            <v>Primary</v>
          </cell>
        </row>
        <row r="1990">
          <cell r="A1990">
            <v>8772717</v>
          </cell>
          <cell r="B1990">
            <v>111234</v>
          </cell>
          <cell r="C1990" t="str">
            <v>Barrow Hall Community Primary School</v>
          </cell>
          <cell r="D1990" t="str">
            <v>Warrington</v>
          </cell>
          <cell r="E1990" t="str">
            <v>Community School</v>
          </cell>
          <cell r="F1990" t="str">
            <v>Primary</v>
          </cell>
        </row>
        <row r="1991">
          <cell r="A1991">
            <v>9062427</v>
          </cell>
          <cell r="B1991">
            <v>128444</v>
          </cell>
          <cell r="C1991" t="str">
            <v>Barrow Hall Lane County Junior School</v>
          </cell>
          <cell r="D1991" t="str">
            <v>Pre LGR (1998) Cheshire</v>
          </cell>
          <cell r="E1991" t="str">
            <v>Community School</v>
          </cell>
          <cell r="F1991" t="str">
            <v>Primary</v>
          </cell>
        </row>
        <row r="1992">
          <cell r="A1992">
            <v>8553008</v>
          </cell>
          <cell r="B1992">
            <v>120112</v>
          </cell>
          <cell r="C1992" t="str">
            <v>Barrow Hall Orchard Church of England Primary School</v>
          </cell>
          <cell r="D1992" t="str">
            <v>Leicestershire</v>
          </cell>
          <cell r="E1992" t="str">
            <v>Voluntary Controlled School</v>
          </cell>
          <cell r="F1992" t="str">
            <v>Primary</v>
          </cell>
        </row>
        <row r="1993">
          <cell r="A1993">
            <v>3192001</v>
          </cell>
          <cell r="B1993">
            <v>102959</v>
          </cell>
          <cell r="C1993" t="str">
            <v>Barrow Hedges Primary School</v>
          </cell>
          <cell r="D1993" t="str">
            <v>Sutton</v>
          </cell>
          <cell r="E1993" t="str">
            <v>Community School</v>
          </cell>
          <cell r="F1993" t="str">
            <v>Primary</v>
          </cell>
        </row>
        <row r="1994">
          <cell r="A1994">
            <v>2132032</v>
          </cell>
          <cell r="B1994">
            <v>101107</v>
          </cell>
          <cell r="C1994" t="str">
            <v>Barrow Hill Junior School</v>
          </cell>
          <cell r="D1994" t="str">
            <v>Westminster</v>
          </cell>
          <cell r="E1994" t="str">
            <v>Community School</v>
          </cell>
          <cell r="F1994" t="str">
            <v>Primary</v>
          </cell>
        </row>
        <row r="1995">
          <cell r="A1995">
            <v>8302233</v>
          </cell>
          <cell r="B1995">
            <v>112626</v>
          </cell>
          <cell r="C1995" t="str">
            <v>Barrow Hill Primary School</v>
          </cell>
          <cell r="D1995" t="str">
            <v>Derbyshire</v>
          </cell>
          <cell r="E1995" t="str">
            <v>Community School</v>
          </cell>
          <cell r="F1995" t="str">
            <v>Primary</v>
          </cell>
        </row>
        <row r="1996">
          <cell r="A1996">
            <v>9366104</v>
          </cell>
          <cell r="B1996">
            <v>125366</v>
          </cell>
          <cell r="C1996" t="str">
            <v>Barrow Hills School</v>
          </cell>
          <cell r="D1996" t="str">
            <v>Surrey</v>
          </cell>
          <cell r="E1996" t="str">
            <v>Other Independent School</v>
          </cell>
          <cell r="F1996" t="str">
            <v>Not applicable</v>
          </cell>
        </row>
        <row r="1997">
          <cell r="A1997">
            <v>9092704</v>
          </cell>
          <cell r="B1997">
            <v>112236</v>
          </cell>
          <cell r="C1997" t="str">
            <v>Barrow Island Community Primary School</v>
          </cell>
          <cell r="D1997" t="str">
            <v>Cumbria</v>
          </cell>
          <cell r="E1997" t="str">
            <v>Community School</v>
          </cell>
          <cell r="F1997" t="str">
            <v>Primary</v>
          </cell>
        </row>
        <row r="1998">
          <cell r="A1998">
            <v>8883131</v>
          </cell>
          <cell r="B1998">
            <v>119397</v>
          </cell>
          <cell r="C1998" t="str">
            <v>Barrow Primary School</v>
          </cell>
          <cell r="D1998" t="str">
            <v>Lancashire</v>
          </cell>
          <cell r="E1998" t="str">
            <v>Voluntary Controlled School</v>
          </cell>
          <cell r="F1998" t="str">
            <v>Primary</v>
          </cell>
        </row>
        <row r="1999">
          <cell r="A1999">
            <v>9262215</v>
          </cell>
          <cell r="B1999">
            <v>129610</v>
          </cell>
          <cell r="C1999" t="str">
            <v>Barroway Drove Primary School</v>
          </cell>
          <cell r="D1999" t="str">
            <v>Norfolk</v>
          </cell>
          <cell r="E1999" t="str">
            <v>Community School</v>
          </cell>
          <cell r="F1999" t="str">
            <v>Primary</v>
          </cell>
        </row>
        <row r="2000">
          <cell r="A2000">
            <v>9253004</v>
          </cell>
          <cell r="B2000">
            <v>120513</v>
          </cell>
          <cell r="C2000" t="str">
            <v>Barrowby Church of England Primary School</v>
          </cell>
          <cell r="D2000" t="str">
            <v>Lincolnshire</v>
          </cell>
          <cell r="E2000" t="str">
            <v>Voluntary Controlled School</v>
          </cell>
          <cell r="F2000" t="str">
            <v>Primary</v>
          </cell>
        </row>
        <row r="2001">
          <cell r="A2001">
            <v>8152109</v>
          </cell>
          <cell r="B2001">
            <v>121315</v>
          </cell>
          <cell r="C2001" t="str">
            <v>Barrowcliff Community Junior School</v>
          </cell>
          <cell r="D2001" t="str">
            <v>North Yorkshire</v>
          </cell>
          <cell r="E2001" t="str">
            <v>Community School</v>
          </cell>
          <cell r="F2001" t="str">
            <v>Primary</v>
          </cell>
        </row>
        <row r="2002">
          <cell r="A2002">
            <v>8152108</v>
          </cell>
          <cell r="B2002">
            <v>121314</v>
          </cell>
          <cell r="C2002" t="str">
            <v>Barrowcliff School</v>
          </cell>
          <cell r="D2002" t="str">
            <v>North Yorkshire</v>
          </cell>
          <cell r="E2002" t="str">
            <v>Community School</v>
          </cell>
          <cell r="F2002" t="str">
            <v>Primary</v>
          </cell>
        </row>
        <row r="2003">
          <cell r="A2003">
            <v>8882074</v>
          </cell>
          <cell r="B2003">
            <v>119166</v>
          </cell>
          <cell r="C2003" t="str">
            <v>Barrowford School</v>
          </cell>
          <cell r="D2003" t="str">
            <v>Lancashire</v>
          </cell>
          <cell r="E2003" t="str">
            <v>Community School</v>
          </cell>
          <cell r="F2003" t="str">
            <v>Primary</v>
          </cell>
        </row>
        <row r="2004">
          <cell r="A2004">
            <v>8883323</v>
          </cell>
          <cell r="B2004">
            <v>119431</v>
          </cell>
          <cell r="C2004" t="str">
            <v>Barrowford St Thomas Church of England Primary School</v>
          </cell>
          <cell r="D2004" t="str">
            <v>Lancashire</v>
          </cell>
          <cell r="E2004" t="str">
            <v>Voluntary Aided School</v>
          </cell>
          <cell r="F2004" t="str">
            <v>Primary</v>
          </cell>
        </row>
        <row r="2005">
          <cell r="A2005">
            <v>9094057</v>
          </cell>
          <cell r="B2005">
            <v>128603</v>
          </cell>
          <cell r="C2005" t="str">
            <v>Barrow-In-Furness Sixth Form College</v>
          </cell>
          <cell r="D2005" t="str">
            <v>Cumbria</v>
          </cell>
          <cell r="E2005" t="str">
            <v>Community School</v>
          </cell>
          <cell r="F2005" t="str">
            <v>Secondary</v>
          </cell>
        </row>
        <row r="2006">
          <cell r="A2006">
            <v>9098600</v>
          </cell>
          <cell r="B2006">
            <v>130637</v>
          </cell>
          <cell r="C2006" t="str">
            <v>Barrow-in-Furness Sixth Form College</v>
          </cell>
          <cell r="D2006" t="str">
            <v>Cumbria</v>
          </cell>
          <cell r="E2006" t="str">
            <v>Further Education</v>
          </cell>
          <cell r="F2006" t="str">
            <v>16 Plus</v>
          </cell>
        </row>
        <row r="2007">
          <cell r="A2007">
            <v>8032333</v>
          </cell>
          <cell r="B2007">
            <v>109136</v>
          </cell>
          <cell r="C2007" t="str">
            <v>Barrs Court Primary School</v>
          </cell>
          <cell r="D2007" t="str">
            <v>South Gloucestershire</v>
          </cell>
          <cell r="E2007" t="str">
            <v>Community School</v>
          </cell>
          <cell r="F2007" t="str">
            <v>Primary</v>
          </cell>
        </row>
        <row r="2008">
          <cell r="A2008">
            <v>8847003</v>
          </cell>
          <cell r="B2008">
            <v>117051</v>
          </cell>
          <cell r="C2008" t="str">
            <v>Barrs Court School</v>
          </cell>
          <cell r="D2008" t="str">
            <v>Herefordshire</v>
          </cell>
          <cell r="E2008" t="str">
            <v>Foundation Special School</v>
          </cell>
          <cell r="F2008" t="str">
            <v>Special</v>
          </cell>
        </row>
        <row r="2009">
          <cell r="A2009">
            <v>3314000</v>
          </cell>
          <cell r="B2009">
            <v>103727</v>
          </cell>
          <cell r="C2009" t="str">
            <v>Barr's Hill School and Community College</v>
          </cell>
          <cell r="D2009" t="str">
            <v>Coventry</v>
          </cell>
          <cell r="E2009" t="str">
            <v>Foundation School</v>
          </cell>
          <cell r="F2009" t="str">
            <v>Secondary</v>
          </cell>
        </row>
        <row r="2010">
          <cell r="A2010">
            <v>6734061</v>
          </cell>
          <cell r="B2010">
            <v>401799</v>
          </cell>
          <cell r="C2010" t="str">
            <v>Barry Comprehensive School</v>
          </cell>
          <cell r="D2010" t="str">
            <v>The Vale of Glamorgan</v>
          </cell>
          <cell r="E2010" t="str">
            <v>Welsh Establishment</v>
          </cell>
          <cell r="F2010" t="str">
            <v>Secondary</v>
          </cell>
        </row>
        <row r="2011">
          <cell r="A2011">
            <v>6732111</v>
          </cell>
          <cell r="B2011">
            <v>401085</v>
          </cell>
          <cell r="C2011" t="str">
            <v>Barry Island Primary</v>
          </cell>
          <cell r="D2011" t="str">
            <v>The Vale of Glamorgan</v>
          </cell>
          <cell r="E2011" t="str">
            <v>Welsh Establishment</v>
          </cell>
          <cell r="F2011" t="str">
            <v>Primary</v>
          </cell>
        </row>
        <row r="2012">
          <cell r="A2012">
            <v>9282197</v>
          </cell>
          <cell r="B2012">
            <v>121939</v>
          </cell>
          <cell r="C2012" t="str">
            <v>Barry Primary School</v>
          </cell>
          <cell r="D2012" t="str">
            <v>Northamptonshire</v>
          </cell>
          <cell r="E2012" t="str">
            <v>Community School</v>
          </cell>
          <cell r="F2012" t="str">
            <v>Primary</v>
          </cell>
        </row>
        <row r="2013">
          <cell r="A2013">
            <v>8815456</v>
          </cell>
          <cell r="B2013">
            <v>115372</v>
          </cell>
          <cell r="C2013" t="str">
            <v>Barstable School</v>
          </cell>
          <cell r="D2013" t="str">
            <v>Essex</v>
          </cell>
          <cell r="E2013" t="str">
            <v>Foundation School</v>
          </cell>
          <cell r="F2013" t="str">
            <v>Secondary</v>
          </cell>
        </row>
        <row r="2014">
          <cell r="A2014">
            <v>9204103</v>
          </cell>
          <cell r="B2014">
            <v>129274</v>
          </cell>
          <cell r="C2014" t="str">
            <v>Bartholomew Middle School</v>
          </cell>
          <cell r="D2014" t="str">
            <v>Pre LGR (1996) Humberside</v>
          </cell>
          <cell r="E2014" t="str">
            <v>Community School</v>
          </cell>
          <cell r="F2014" t="str">
            <v>Middle Deemed Secondary</v>
          </cell>
        </row>
        <row r="2015">
          <cell r="A2015">
            <v>9314054</v>
          </cell>
          <cell r="B2015">
            <v>123239</v>
          </cell>
          <cell r="C2015" t="str">
            <v>Bartholomew School</v>
          </cell>
          <cell r="D2015" t="str">
            <v>Oxfordshire</v>
          </cell>
          <cell r="E2015" t="str">
            <v>Community School</v>
          </cell>
          <cell r="F2015" t="str">
            <v>Secondary</v>
          </cell>
        </row>
        <row r="2016">
          <cell r="A2016">
            <v>9311005</v>
          </cell>
          <cell r="B2016">
            <v>122967</v>
          </cell>
          <cell r="C2016" t="str">
            <v>Bartlemas Nursery School</v>
          </cell>
          <cell r="D2016" t="str">
            <v>Oxfordshire</v>
          </cell>
          <cell r="E2016" t="str">
            <v>LA Nursery School</v>
          </cell>
          <cell r="F2016" t="str">
            <v>Nursery</v>
          </cell>
        </row>
        <row r="2017">
          <cell r="A2017">
            <v>9337020</v>
          </cell>
          <cell r="B2017">
            <v>131235</v>
          </cell>
          <cell r="C2017" t="str">
            <v>Bartletts Elm Special School</v>
          </cell>
          <cell r="D2017" t="str">
            <v>Somerset</v>
          </cell>
          <cell r="E2017" t="str">
            <v>Community Special School</v>
          </cell>
          <cell r="F2017" t="str">
            <v>Special</v>
          </cell>
        </row>
        <row r="2018">
          <cell r="A2018">
            <v>8503197</v>
          </cell>
          <cell r="B2018">
            <v>116338</v>
          </cell>
          <cell r="C2018" t="str">
            <v>Bartley Church of England Junior School</v>
          </cell>
          <cell r="D2018" t="str">
            <v>Hampshire</v>
          </cell>
          <cell r="E2018" t="str">
            <v>Voluntary Controlled School</v>
          </cell>
          <cell r="F2018" t="str">
            <v>Primary</v>
          </cell>
        </row>
        <row r="2019">
          <cell r="A2019">
            <v>3304108</v>
          </cell>
          <cell r="B2019">
            <v>103491</v>
          </cell>
          <cell r="C2019" t="str">
            <v>Bartley Green School A Specialist Technology and Sports College</v>
          </cell>
          <cell r="D2019" t="str">
            <v>Birmingham</v>
          </cell>
          <cell r="E2019" t="str">
            <v>Foundation School</v>
          </cell>
          <cell r="F2019" t="str">
            <v>Secondary</v>
          </cell>
        </row>
        <row r="2020">
          <cell r="A2020">
            <v>3304108</v>
          </cell>
          <cell r="B2020">
            <v>136589</v>
          </cell>
          <cell r="C2020" t="str">
            <v>Bartley Green School A Specialist Technology and Sports College</v>
          </cell>
          <cell r="D2020" t="str">
            <v>Birmingham</v>
          </cell>
          <cell r="E2020" t="str">
            <v>Academy Converters</v>
          </cell>
          <cell r="F2020" t="str">
            <v>Secondary</v>
          </cell>
        </row>
        <row r="2021">
          <cell r="A2021">
            <v>8153133</v>
          </cell>
          <cell r="B2021">
            <v>121527</v>
          </cell>
          <cell r="C2021" t="str">
            <v>Barton Church of England Primary School</v>
          </cell>
          <cell r="D2021" t="str">
            <v>North Yorkshire</v>
          </cell>
          <cell r="E2021" t="str">
            <v>Voluntary Controlled School</v>
          </cell>
          <cell r="F2021" t="str">
            <v>Primary</v>
          </cell>
        </row>
        <row r="2022">
          <cell r="A2022">
            <v>3582046</v>
          </cell>
          <cell r="B2022">
            <v>106320</v>
          </cell>
          <cell r="C2022" t="str">
            <v>Barton Clough Primary School</v>
          </cell>
          <cell r="D2022" t="str">
            <v>Trafford</v>
          </cell>
          <cell r="E2022" t="str">
            <v>Community School</v>
          </cell>
          <cell r="F2022" t="str">
            <v>Primary</v>
          </cell>
        </row>
        <row r="2023">
          <cell r="A2023">
            <v>8733301</v>
          </cell>
          <cell r="B2023">
            <v>110829</v>
          </cell>
          <cell r="C2023" t="str">
            <v>Barton CofE VA Primary School</v>
          </cell>
          <cell r="D2023" t="str">
            <v>Cambridgeshire</v>
          </cell>
          <cell r="E2023" t="str">
            <v>Voluntary Aided School</v>
          </cell>
          <cell r="F2023" t="str">
            <v>Primary</v>
          </cell>
        </row>
        <row r="2024">
          <cell r="A2024">
            <v>9202104</v>
          </cell>
          <cell r="B2024">
            <v>129189</v>
          </cell>
          <cell r="C2024" t="str">
            <v>Barton County Infant School</v>
          </cell>
          <cell r="D2024" t="str">
            <v>Pre LGR (1996) Humberside</v>
          </cell>
          <cell r="E2024" t="str">
            <v>Community School</v>
          </cell>
          <cell r="F2024" t="str">
            <v>Primary</v>
          </cell>
        </row>
        <row r="2025">
          <cell r="A2025">
            <v>9202103</v>
          </cell>
          <cell r="B2025">
            <v>129188</v>
          </cell>
          <cell r="C2025" t="str">
            <v>Barton County Junior School</v>
          </cell>
          <cell r="D2025" t="str">
            <v>Pre LGR (1996) Humberside</v>
          </cell>
          <cell r="E2025" t="str">
            <v>Community School</v>
          </cell>
          <cell r="F2025" t="str">
            <v>Primary</v>
          </cell>
        </row>
        <row r="2026">
          <cell r="A2026">
            <v>8865444</v>
          </cell>
          <cell r="B2026">
            <v>118916</v>
          </cell>
          <cell r="C2026" t="str">
            <v>Barton Court Grammar School</v>
          </cell>
          <cell r="D2026" t="str">
            <v>Kent</v>
          </cell>
          <cell r="E2026" t="str">
            <v>Foundation School</v>
          </cell>
          <cell r="F2026" t="str">
            <v>Secondary</v>
          </cell>
        </row>
        <row r="2027">
          <cell r="A2027">
            <v>8865444</v>
          </cell>
          <cell r="B2027">
            <v>137474</v>
          </cell>
          <cell r="C2027" t="str">
            <v>Barton Court Grammar School</v>
          </cell>
          <cell r="D2027" t="str">
            <v>Kent</v>
          </cell>
          <cell r="E2027" t="str">
            <v>Academy Converters</v>
          </cell>
          <cell r="F2027" t="str">
            <v>Secondary</v>
          </cell>
        </row>
        <row r="2028">
          <cell r="A2028">
            <v>8012342</v>
          </cell>
          <cell r="B2028">
            <v>131993</v>
          </cell>
          <cell r="C2028" t="str">
            <v>Barton Hill Nursery and Infant School</v>
          </cell>
          <cell r="D2028" t="str">
            <v>Bristol City of</v>
          </cell>
          <cell r="E2028" t="str">
            <v>Community School</v>
          </cell>
          <cell r="F2028" t="str">
            <v>Primary</v>
          </cell>
        </row>
        <row r="2029">
          <cell r="A2029">
            <v>8013435</v>
          </cell>
          <cell r="B2029">
            <v>130997</v>
          </cell>
          <cell r="C2029" t="str">
            <v>Barton Hill Primary</v>
          </cell>
          <cell r="D2029" t="str">
            <v>Bristol City of</v>
          </cell>
          <cell r="E2029" t="str">
            <v>Community School</v>
          </cell>
          <cell r="F2029" t="str">
            <v>Primary</v>
          </cell>
        </row>
        <row r="2030">
          <cell r="A2030">
            <v>8012145</v>
          </cell>
          <cell r="B2030">
            <v>108995</v>
          </cell>
          <cell r="C2030" t="str">
            <v>Barton Hill Primary School</v>
          </cell>
          <cell r="D2030" t="str">
            <v>Bristol City of</v>
          </cell>
          <cell r="E2030" t="str">
            <v>Community School</v>
          </cell>
          <cell r="F2030" t="str">
            <v>Primary</v>
          </cell>
        </row>
        <row r="2031">
          <cell r="A2031">
            <v>8802452</v>
          </cell>
          <cell r="B2031">
            <v>113228</v>
          </cell>
          <cell r="C2031" t="str">
            <v>Barton Infant and Nursery School and Speech Unit</v>
          </cell>
          <cell r="D2031" t="str">
            <v>Torbay</v>
          </cell>
          <cell r="E2031" t="str">
            <v>Community School</v>
          </cell>
          <cell r="F2031" t="str">
            <v>Primary</v>
          </cell>
        </row>
        <row r="2032">
          <cell r="A2032">
            <v>8802451</v>
          </cell>
          <cell r="B2032">
            <v>113227</v>
          </cell>
          <cell r="C2032" t="str">
            <v>Barton Junior School</v>
          </cell>
          <cell r="D2032" t="str">
            <v>Torbay</v>
          </cell>
          <cell r="E2032" t="str">
            <v>Community School</v>
          </cell>
          <cell r="F2032" t="str">
            <v>Primary</v>
          </cell>
        </row>
        <row r="2033">
          <cell r="A2033">
            <v>8862310</v>
          </cell>
          <cell r="B2033">
            <v>118392</v>
          </cell>
          <cell r="C2033" t="str">
            <v>Barton Junior School</v>
          </cell>
          <cell r="D2033" t="str">
            <v>Kent</v>
          </cell>
          <cell r="E2033" t="str">
            <v>Community School</v>
          </cell>
          <cell r="F2033" t="str">
            <v>Primary</v>
          </cell>
        </row>
        <row r="2034">
          <cell r="A2034">
            <v>3552085</v>
          </cell>
          <cell r="B2034">
            <v>105919</v>
          </cell>
          <cell r="C2034" t="str">
            <v>Barton Moss Community Primary School</v>
          </cell>
          <cell r="D2034" t="str">
            <v>Salford</v>
          </cell>
          <cell r="E2034" t="str">
            <v>Community School</v>
          </cell>
          <cell r="F2034" t="str">
            <v>Primary</v>
          </cell>
        </row>
        <row r="2035">
          <cell r="A2035">
            <v>355611</v>
          </cell>
          <cell r="B2035">
            <v>128604</v>
          </cell>
          <cell r="C2035" t="str">
            <v>Barton Moss Education Centre</v>
          </cell>
          <cell r="D2035" t="str">
            <v>Salford</v>
          </cell>
          <cell r="E2035" t="str">
            <v>Secure Units</v>
          </cell>
          <cell r="F2035" t="str">
            <v>Not applicable</v>
          </cell>
        </row>
        <row r="2036">
          <cell r="A2036">
            <v>9174185</v>
          </cell>
          <cell r="B2036">
            <v>129038</v>
          </cell>
          <cell r="C2036" t="str">
            <v>Barton Peveril College</v>
          </cell>
          <cell r="D2036" t="str">
            <v>Pre LGR (1997) Hampshire</v>
          </cell>
          <cell r="E2036" t="str">
            <v>Community School</v>
          </cell>
          <cell r="F2036" t="str">
            <v>Secondary</v>
          </cell>
        </row>
        <row r="2037">
          <cell r="A2037">
            <v>8508602</v>
          </cell>
          <cell r="B2037">
            <v>130701</v>
          </cell>
          <cell r="C2037" t="str">
            <v>Barton Peveril Sixth Form College</v>
          </cell>
          <cell r="D2037" t="str">
            <v>Hampshire</v>
          </cell>
          <cell r="E2037" t="str">
            <v>Further Education</v>
          </cell>
          <cell r="F2037" t="str">
            <v>16 Plus</v>
          </cell>
        </row>
        <row r="2038">
          <cell r="A2038">
            <v>8802474</v>
          </cell>
          <cell r="B2038">
            <v>131866</v>
          </cell>
          <cell r="C2038" t="str">
            <v>Barton Primary School</v>
          </cell>
          <cell r="D2038" t="str">
            <v>Torbay</v>
          </cell>
          <cell r="E2038" t="str">
            <v>Community School</v>
          </cell>
          <cell r="F2038" t="str">
            <v>Primary</v>
          </cell>
        </row>
        <row r="2039">
          <cell r="A2039">
            <v>9212012</v>
          </cell>
          <cell r="B2039">
            <v>118163</v>
          </cell>
          <cell r="C2039" t="str">
            <v>Barton Primary School and Early Years Centre</v>
          </cell>
          <cell r="D2039" t="str">
            <v>Isle of Wight</v>
          </cell>
          <cell r="E2039" t="str">
            <v>Community School</v>
          </cell>
          <cell r="F2039" t="str">
            <v>Primary</v>
          </cell>
        </row>
        <row r="2040">
          <cell r="A2040">
            <v>9146125</v>
          </cell>
          <cell r="B2040">
            <v>128862</v>
          </cell>
          <cell r="C2040" t="str">
            <v>Barton School</v>
          </cell>
          <cell r="D2040" t="str">
            <v>Pre LGR (1997) East Sussex</v>
          </cell>
          <cell r="E2040" t="str">
            <v>Other Independent School</v>
          </cell>
          <cell r="F2040" t="str">
            <v>Not applicable</v>
          </cell>
        </row>
        <row r="2041">
          <cell r="A2041">
            <v>8136004</v>
          </cell>
          <cell r="B2041">
            <v>134315</v>
          </cell>
          <cell r="C2041" t="str">
            <v>Barton School</v>
          </cell>
          <cell r="D2041" t="str">
            <v>North Lincolnshire</v>
          </cell>
          <cell r="E2041" t="str">
            <v>Other Independent Special School</v>
          </cell>
          <cell r="F2041" t="str">
            <v>Not applicable</v>
          </cell>
        </row>
        <row r="2042">
          <cell r="A2042">
            <v>9282136</v>
          </cell>
          <cell r="B2042">
            <v>129689</v>
          </cell>
          <cell r="C2042" t="str">
            <v>Barton Seagrave County Infant School</v>
          </cell>
          <cell r="D2042" t="str">
            <v>Northamptonshire</v>
          </cell>
          <cell r="E2042" t="str">
            <v>Community School</v>
          </cell>
          <cell r="F2042" t="str">
            <v>Primary</v>
          </cell>
        </row>
        <row r="2043">
          <cell r="A2043">
            <v>9282115</v>
          </cell>
          <cell r="B2043">
            <v>129687</v>
          </cell>
          <cell r="C2043" t="str">
            <v>Barton Seagrave County Junior School</v>
          </cell>
          <cell r="D2043" t="str">
            <v>Northamptonshire</v>
          </cell>
          <cell r="E2043" t="str">
            <v>Community School</v>
          </cell>
          <cell r="F2043" t="str">
            <v>Primary</v>
          </cell>
        </row>
        <row r="2044">
          <cell r="A2044">
            <v>9282217</v>
          </cell>
          <cell r="B2044">
            <v>121951</v>
          </cell>
          <cell r="C2044" t="str">
            <v>Barton Seagrave Primary School</v>
          </cell>
          <cell r="D2044" t="str">
            <v>Northamptonshire</v>
          </cell>
          <cell r="E2044" t="str">
            <v>Community School</v>
          </cell>
          <cell r="F2044" t="str">
            <v>Primary</v>
          </cell>
        </row>
        <row r="2045">
          <cell r="A2045">
            <v>8883577</v>
          </cell>
          <cell r="B2045">
            <v>119562</v>
          </cell>
          <cell r="C2045" t="str">
            <v>Barton St Lawrence Church of England Primary School</v>
          </cell>
          <cell r="D2045" t="str">
            <v>Lancashire</v>
          </cell>
          <cell r="E2045" t="str">
            <v>Voluntary Aided School</v>
          </cell>
          <cell r="F2045" t="str">
            <v>Primary</v>
          </cell>
        </row>
        <row r="2046">
          <cell r="A2046">
            <v>8133057</v>
          </cell>
          <cell r="B2046">
            <v>118006</v>
          </cell>
          <cell r="C2046" t="str">
            <v>Barton St Peter's CofE Primary School</v>
          </cell>
          <cell r="D2046" t="str">
            <v>North Lincolnshire</v>
          </cell>
          <cell r="E2046" t="str">
            <v>Voluntary Controlled School</v>
          </cell>
          <cell r="F2046" t="str">
            <v>Primary</v>
          </cell>
        </row>
        <row r="2047">
          <cell r="A2047">
            <v>8503009</v>
          </cell>
          <cell r="B2047">
            <v>116270</v>
          </cell>
          <cell r="C2047" t="str">
            <v>Barton Stacey Church of England Primary School</v>
          </cell>
          <cell r="D2047" t="str">
            <v>Hampshire</v>
          </cell>
          <cell r="E2047" t="str">
            <v>Voluntary Controlled School</v>
          </cell>
          <cell r="F2047" t="str">
            <v>Primary</v>
          </cell>
        </row>
        <row r="2048">
          <cell r="A2048">
            <v>9382186</v>
          </cell>
          <cell r="B2048">
            <v>125922</v>
          </cell>
          <cell r="C2048" t="str">
            <v>Bartons Infant School, Bognor Regis</v>
          </cell>
          <cell r="D2048" t="str">
            <v>West Sussex</v>
          </cell>
          <cell r="E2048" t="str">
            <v>Community School</v>
          </cell>
          <cell r="F2048" t="str">
            <v>Primary</v>
          </cell>
        </row>
        <row r="2049">
          <cell r="A2049">
            <v>3702052</v>
          </cell>
          <cell r="B2049">
            <v>106575</v>
          </cell>
          <cell r="C2049" t="str">
            <v>Barugh Green Primary School</v>
          </cell>
          <cell r="D2049" t="str">
            <v>Barnsley</v>
          </cell>
          <cell r="E2049" t="str">
            <v>Community School</v>
          </cell>
          <cell r="F2049" t="str">
            <v>Primary</v>
          </cell>
        </row>
        <row r="2050">
          <cell r="A2050">
            <v>8553009</v>
          </cell>
          <cell r="B2050">
            <v>120113</v>
          </cell>
          <cell r="C2050" t="str">
            <v>Barwell Church of England Junior School</v>
          </cell>
          <cell r="D2050" t="str">
            <v>Leicestershire</v>
          </cell>
          <cell r="E2050" t="str">
            <v>Voluntary Controlled School</v>
          </cell>
          <cell r="F2050" t="str">
            <v>Primary</v>
          </cell>
        </row>
        <row r="2051">
          <cell r="A2051">
            <v>8552049</v>
          </cell>
          <cell r="B2051">
            <v>119930</v>
          </cell>
          <cell r="C2051" t="str">
            <v>Barwell Infant School</v>
          </cell>
          <cell r="D2051" t="str">
            <v>Leicestershire</v>
          </cell>
          <cell r="E2051" t="str">
            <v>Community School</v>
          </cell>
          <cell r="F2051" t="str">
            <v>Primary</v>
          </cell>
        </row>
        <row r="2052">
          <cell r="A2052">
            <v>8152390</v>
          </cell>
          <cell r="B2052">
            <v>121444</v>
          </cell>
          <cell r="C2052" t="str">
            <v>Barwic Parade Community Primary School, Selby</v>
          </cell>
          <cell r="D2052" t="str">
            <v>North Yorkshire</v>
          </cell>
          <cell r="E2052" t="str">
            <v>Community School</v>
          </cell>
          <cell r="F2052" t="str">
            <v>Primary</v>
          </cell>
        </row>
        <row r="2053">
          <cell r="A2053">
            <v>9332300</v>
          </cell>
          <cell r="B2053">
            <v>123718</v>
          </cell>
          <cell r="C2053" t="str">
            <v>Barwick and Stoford Community Primary School</v>
          </cell>
          <cell r="D2053" t="str">
            <v>Somerset</v>
          </cell>
          <cell r="E2053" t="str">
            <v>Community School</v>
          </cell>
          <cell r="F2053" t="str">
            <v>Primary</v>
          </cell>
        </row>
        <row r="2054">
          <cell r="A2054">
            <v>3833033</v>
          </cell>
          <cell r="B2054">
            <v>107987</v>
          </cell>
          <cell r="C2054" t="str">
            <v>Barwick-in-Elmet Church of England Voluntary Controlled Primary School</v>
          </cell>
          <cell r="D2054" t="str">
            <v>Leeds</v>
          </cell>
          <cell r="E2054" t="str">
            <v>Voluntary Controlled School</v>
          </cell>
          <cell r="F2054" t="str">
            <v>Primary</v>
          </cell>
        </row>
        <row r="2055">
          <cell r="A2055">
            <v>8933301</v>
          </cell>
          <cell r="B2055">
            <v>123534</v>
          </cell>
          <cell r="C2055" t="str">
            <v>Baschurch CofE Primary School</v>
          </cell>
          <cell r="D2055" t="str">
            <v>Shropshire</v>
          </cell>
          <cell r="E2055" t="str">
            <v>Voluntary Aided School</v>
          </cell>
          <cell r="F2055" t="str">
            <v>Primary</v>
          </cell>
        </row>
        <row r="2056">
          <cell r="A2056">
            <v>3501102</v>
          </cell>
          <cell r="B2056">
            <v>132254</v>
          </cell>
          <cell r="C2056" t="str">
            <v>Base Camp</v>
          </cell>
          <cell r="D2056" t="str">
            <v>Bolton</v>
          </cell>
          <cell r="E2056" t="str">
            <v>Pupil Referral Unit</v>
          </cell>
          <cell r="F2056" t="str">
            <v>PRU</v>
          </cell>
        </row>
        <row r="2057">
          <cell r="A2057">
            <v>8928008</v>
          </cell>
          <cell r="B2057">
            <v>130782</v>
          </cell>
          <cell r="C2057" t="str">
            <v>Basford Hall College</v>
          </cell>
          <cell r="D2057" t="str">
            <v>Nottingham</v>
          </cell>
          <cell r="E2057" t="str">
            <v>Further Education</v>
          </cell>
          <cell r="F2057" t="str">
            <v>16 Plus</v>
          </cell>
        </row>
        <row r="2058">
          <cell r="A2058">
            <v>8721109</v>
          </cell>
          <cell r="B2058">
            <v>128088</v>
          </cell>
          <cell r="C2058" t="str">
            <v>Bashetc</v>
          </cell>
          <cell r="D2058" t="str">
            <v>Wokingham</v>
          </cell>
          <cell r="E2058" t="str">
            <v>Pupil Referral Unit</v>
          </cell>
          <cell r="F2058" t="str">
            <v>PRU</v>
          </cell>
        </row>
        <row r="2059">
          <cell r="A2059">
            <v>8693006</v>
          </cell>
          <cell r="B2059">
            <v>109949</v>
          </cell>
          <cell r="C2059" t="str">
            <v>Basildon C.E. Primary School</v>
          </cell>
          <cell r="D2059" t="str">
            <v>West Berkshire</v>
          </cell>
          <cell r="E2059" t="str">
            <v>Voluntary Controlled School</v>
          </cell>
          <cell r="F2059" t="str">
            <v>Primary</v>
          </cell>
        </row>
        <row r="2060">
          <cell r="A2060">
            <v>8818024</v>
          </cell>
          <cell r="B2060">
            <v>130678</v>
          </cell>
          <cell r="C2060" t="str">
            <v>Basildon College</v>
          </cell>
          <cell r="D2060" t="str">
            <v>Essex</v>
          </cell>
          <cell r="E2060" t="str">
            <v>Further Education</v>
          </cell>
          <cell r="F2060" t="str">
            <v>16 Plus</v>
          </cell>
        </row>
        <row r="2061">
          <cell r="A2061">
            <v>8508001</v>
          </cell>
          <cell r="B2061">
            <v>130688</v>
          </cell>
          <cell r="C2061" t="str">
            <v>Basingstoke College of Technology</v>
          </cell>
          <cell r="D2061" t="str">
            <v>Hampshire</v>
          </cell>
          <cell r="E2061" t="str">
            <v>Further Education</v>
          </cell>
          <cell r="F2061" t="str">
            <v>16 Plus</v>
          </cell>
        </row>
        <row r="2062">
          <cell r="A2062">
            <v>3307016</v>
          </cell>
          <cell r="B2062">
            <v>103606</v>
          </cell>
          <cell r="C2062" t="str">
            <v>Baskerville School</v>
          </cell>
          <cell r="D2062" t="str">
            <v>Birmingham</v>
          </cell>
          <cell r="E2062" t="str">
            <v>Community Special School</v>
          </cell>
          <cell r="F2062" t="str">
            <v>Special</v>
          </cell>
        </row>
        <row r="2063">
          <cell r="A2063">
            <v>8881047</v>
          </cell>
          <cell r="B2063">
            <v>119101</v>
          </cell>
          <cell r="C2063" t="str">
            <v>Basnett Street Nursery School</v>
          </cell>
          <cell r="D2063" t="str">
            <v>Lancashire</v>
          </cell>
          <cell r="E2063" t="str">
            <v>LA Nursery School</v>
          </cell>
          <cell r="F2063" t="str">
            <v>Nursery</v>
          </cell>
        </row>
        <row r="2064">
          <cell r="A2064">
            <v>6804030</v>
          </cell>
          <cell r="B2064">
            <v>401869</v>
          </cell>
          <cell r="C2064" t="str">
            <v>Bassaleg School</v>
          </cell>
          <cell r="D2064" t="str">
            <v>Newport</v>
          </cell>
          <cell r="E2064" t="str">
            <v>Welsh Establishment</v>
          </cell>
          <cell r="F2064" t="str">
            <v>Secondary</v>
          </cell>
        </row>
        <row r="2065">
          <cell r="A2065">
            <v>9092100</v>
          </cell>
          <cell r="B2065">
            <v>112128</v>
          </cell>
          <cell r="C2065" t="str">
            <v>Bassenthwaite Primary School</v>
          </cell>
          <cell r="D2065" t="str">
            <v>Cumbria</v>
          </cell>
          <cell r="E2065" t="str">
            <v>Community School</v>
          </cell>
          <cell r="F2065" t="str">
            <v>Primary</v>
          </cell>
        </row>
        <row r="2066">
          <cell r="A2066">
            <v>8522403</v>
          </cell>
          <cell r="B2066">
            <v>116086</v>
          </cell>
          <cell r="C2066" t="str">
            <v>Bassett Green Infant School</v>
          </cell>
          <cell r="D2066" t="str">
            <v>Southampton</v>
          </cell>
          <cell r="E2066" t="str">
            <v>Community School</v>
          </cell>
          <cell r="F2066" t="str">
            <v>Primary</v>
          </cell>
        </row>
        <row r="2067">
          <cell r="A2067">
            <v>8522402</v>
          </cell>
          <cell r="B2067">
            <v>116085</v>
          </cell>
          <cell r="C2067" t="str">
            <v>Bassett Green Junior School</v>
          </cell>
          <cell r="D2067" t="str">
            <v>Southampton</v>
          </cell>
          <cell r="E2067" t="str">
            <v>Community School</v>
          </cell>
          <cell r="F2067" t="str">
            <v>Primary</v>
          </cell>
        </row>
        <row r="2068">
          <cell r="A2068">
            <v>8522000</v>
          </cell>
          <cell r="B2068">
            <v>131839</v>
          </cell>
          <cell r="C2068" t="str">
            <v>Bassett Green Primary School</v>
          </cell>
          <cell r="D2068" t="str">
            <v>Southampton</v>
          </cell>
          <cell r="E2068" t="str">
            <v>Community School</v>
          </cell>
          <cell r="F2068" t="str">
            <v>Primary</v>
          </cell>
        </row>
        <row r="2069">
          <cell r="A2069">
            <v>2076095</v>
          </cell>
          <cell r="B2069">
            <v>100513</v>
          </cell>
          <cell r="C2069" t="str">
            <v>Bassett House School</v>
          </cell>
          <cell r="D2069" t="str">
            <v>Kensington and Chelsea</v>
          </cell>
          <cell r="E2069" t="str">
            <v>Other Independent School</v>
          </cell>
          <cell r="F2069" t="str">
            <v>Not applicable</v>
          </cell>
        </row>
        <row r="2070">
          <cell r="A2070">
            <v>8782085</v>
          </cell>
          <cell r="B2070">
            <v>113120</v>
          </cell>
          <cell r="C2070" t="str">
            <v>Bassetts Farm Primary School</v>
          </cell>
          <cell r="D2070" t="str">
            <v>Devon</v>
          </cell>
          <cell r="E2070" t="str">
            <v>Community School</v>
          </cell>
          <cell r="F2070" t="str">
            <v>Primary</v>
          </cell>
        </row>
        <row r="2071">
          <cell r="A2071">
            <v>8732002</v>
          </cell>
          <cell r="B2071">
            <v>110602</v>
          </cell>
          <cell r="C2071" t="str">
            <v>Bassingbourn Primary School</v>
          </cell>
          <cell r="D2071" t="str">
            <v>Cambridgeshire</v>
          </cell>
          <cell r="E2071" t="str">
            <v>Community School</v>
          </cell>
          <cell r="F2071" t="str">
            <v>Primary</v>
          </cell>
        </row>
        <row r="2072">
          <cell r="A2072">
            <v>8735401</v>
          </cell>
          <cell r="B2072">
            <v>110895</v>
          </cell>
          <cell r="C2072" t="str">
            <v>Bassingbourn Village College</v>
          </cell>
          <cell r="D2072" t="str">
            <v>Cambridgeshire</v>
          </cell>
          <cell r="E2072" t="str">
            <v>Foundation School</v>
          </cell>
          <cell r="F2072" t="str">
            <v>Secondary</v>
          </cell>
        </row>
        <row r="2073">
          <cell r="A2073">
            <v>8735401</v>
          </cell>
          <cell r="B2073">
            <v>137427</v>
          </cell>
          <cell r="C2073" t="str">
            <v>Bassingbourn Village College</v>
          </cell>
          <cell r="D2073" t="str">
            <v>Cambridgeshire</v>
          </cell>
          <cell r="E2073" t="str">
            <v>Academy Converters</v>
          </cell>
          <cell r="F2073" t="str">
            <v>Secondary</v>
          </cell>
        </row>
        <row r="2074">
          <cell r="A2074">
            <v>9252002</v>
          </cell>
          <cell r="B2074">
            <v>120370</v>
          </cell>
          <cell r="C2074" t="str">
            <v>Bassingham Primary School</v>
          </cell>
          <cell r="D2074" t="str">
            <v>Lincolnshire</v>
          </cell>
          <cell r="E2074" t="str">
            <v>Community School</v>
          </cell>
          <cell r="F2074" t="str">
            <v>Primary</v>
          </cell>
        </row>
        <row r="2075">
          <cell r="A2075">
            <v>8084108</v>
          </cell>
          <cell r="B2075">
            <v>111735</v>
          </cell>
          <cell r="C2075" t="str">
            <v>Bassleton School</v>
          </cell>
          <cell r="D2075" t="str">
            <v>Stockton-on-Tees</v>
          </cell>
          <cell r="E2075" t="str">
            <v>Community School</v>
          </cell>
          <cell r="F2075" t="str">
            <v>Secondary</v>
          </cell>
        </row>
        <row r="2076">
          <cell r="A2076">
            <v>9253005</v>
          </cell>
          <cell r="B2076">
            <v>120514</v>
          </cell>
          <cell r="C2076" t="str">
            <v>Baston CE Primary School</v>
          </cell>
          <cell r="D2076" t="str">
            <v>Lincolnshire</v>
          </cell>
          <cell r="E2076" t="str">
            <v>Voluntary Controlled School</v>
          </cell>
          <cell r="F2076" t="str">
            <v>Primary</v>
          </cell>
        </row>
        <row r="2077">
          <cell r="A2077">
            <v>3056082</v>
          </cell>
          <cell r="B2077">
            <v>136265</v>
          </cell>
          <cell r="C2077" t="str">
            <v>Baston House School</v>
          </cell>
          <cell r="D2077" t="str">
            <v>Bromley</v>
          </cell>
          <cell r="E2077" t="str">
            <v>Other Independent Special School</v>
          </cell>
          <cell r="F2077" t="str">
            <v>Not applicable</v>
          </cell>
        </row>
        <row r="2078">
          <cell r="A2078">
            <v>3056001</v>
          </cell>
          <cell r="B2078">
            <v>101681</v>
          </cell>
          <cell r="C2078" t="str">
            <v>Baston School</v>
          </cell>
          <cell r="D2078" t="str">
            <v>Bromley</v>
          </cell>
          <cell r="E2078" t="str">
            <v>Other Independent School</v>
          </cell>
          <cell r="F2078" t="str">
            <v>Not applicable</v>
          </cell>
        </row>
        <row r="2079">
          <cell r="A2079">
            <v>8852128</v>
          </cell>
          <cell r="B2079">
            <v>116721</v>
          </cell>
          <cell r="C2079" t="str">
            <v>Batchley First and Nursery School</v>
          </cell>
          <cell r="D2079" t="str">
            <v>Worcestershire</v>
          </cell>
          <cell r="E2079" t="str">
            <v>Community School</v>
          </cell>
          <cell r="F2079" t="str">
            <v>Primary</v>
          </cell>
        </row>
        <row r="2080">
          <cell r="A2080">
            <v>9197016</v>
          </cell>
          <cell r="B2080">
            <v>117674</v>
          </cell>
          <cell r="C2080" t="str">
            <v>Batchwood School</v>
          </cell>
          <cell r="D2080" t="str">
            <v>Hertfordshire</v>
          </cell>
          <cell r="E2080" t="str">
            <v>Community Special School</v>
          </cell>
          <cell r="F2080" t="str">
            <v>Special</v>
          </cell>
        </row>
        <row r="2081">
          <cell r="A2081">
            <v>9191006</v>
          </cell>
          <cell r="B2081">
            <v>117068</v>
          </cell>
          <cell r="C2081" t="str">
            <v>Batford Nursery School</v>
          </cell>
          <cell r="D2081" t="str">
            <v>Hertfordshire</v>
          </cell>
          <cell r="E2081" t="str">
            <v>LA Nursery School</v>
          </cell>
          <cell r="F2081" t="str">
            <v>Nursery</v>
          </cell>
        </row>
        <row r="2082">
          <cell r="A2082">
            <v>8006009</v>
          </cell>
          <cell r="B2082">
            <v>109373</v>
          </cell>
          <cell r="C2082" t="str">
            <v>Bath High School</v>
          </cell>
          <cell r="D2082" t="str">
            <v>Bath and North East Somerset</v>
          </cell>
          <cell r="E2082" t="str">
            <v>Other Independent School</v>
          </cell>
          <cell r="F2082" t="str">
            <v>Not applicable</v>
          </cell>
        </row>
        <row r="2083">
          <cell r="A2083">
            <v>865940</v>
          </cell>
          <cell r="B2083">
            <v>134954</v>
          </cell>
          <cell r="C2083" t="str">
            <v>Bath Rugby Education Centre (Bath REC)</v>
          </cell>
          <cell r="D2083" t="str">
            <v>Wiltshire</v>
          </cell>
          <cell r="E2083" t="str">
            <v>Playing for Success Centres</v>
          </cell>
          <cell r="F2083" t="str">
            <v>Not applicable</v>
          </cell>
        </row>
        <row r="2084">
          <cell r="A2084">
            <v>800</v>
          </cell>
          <cell r="B2084">
            <v>133790</v>
          </cell>
          <cell r="C2084" t="str">
            <v>Bath Spa University College</v>
          </cell>
          <cell r="D2084" t="str">
            <v>Bath and North East Somerset</v>
          </cell>
          <cell r="E2084" t="str">
            <v>Higher Education Institutions</v>
          </cell>
          <cell r="F2084" t="str">
            <v>Not applicable</v>
          </cell>
        </row>
        <row r="2085">
          <cell r="A2085">
            <v>8002236</v>
          </cell>
          <cell r="B2085">
            <v>109060</v>
          </cell>
          <cell r="C2085" t="str">
            <v>Bathampton Primary School</v>
          </cell>
          <cell r="D2085" t="str">
            <v>Bath and North East Somerset</v>
          </cell>
          <cell r="E2085" t="str">
            <v>Community School</v>
          </cell>
          <cell r="F2085" t="str">
            <v>Primary</v>
          </cell>
        </row>
        <row r="2086">
          <cell r="A2086">
            <v>8003076</v>
          </cell>
          <cell r="B2086">
            <v>109184</v>
          </cell>
          <cell r="C2086" t="str">
            <v>Batheaston CofE Primary School</v>
          </cell>
          <cell r="D2086" t="str">
            <v>Bath and North East Somerset</v>
          </cell>
          <cell r="E2086" t="str">
            <v>Voluntary Controlled School</v>
          </cell>
          <cell r="F2086" t="str">
            <v>Primary</v>
          </cell>
        </row>
        <row r="2087">
          <cell r="A2087">
            <v>8003077</v>
          </cell>
          <cell r="B2087">
            <v>109185</v>
          </cell>
          <cell r="C2087" t="str">
            <v>Bathford CofE VC Primary School</v>
          </cell>
          <cell r="D2087" t="str">
            <v>Bath and North East Somerset</v>
          </cell>
          <cell r="E2087" t="str">
            <v>Voluntary Controlled School</v>
          </cell>
          <cell r="F2087" t="str">
            <v>Primary</v>
          </cell>
        </row>
        <row r="2088">
          <cell r="A2088">
            <v>8003420</v>
          </cell>
          <cell r="B2088">
            <v>109256</v>
          </cell>
          <cell r="C2088" t="str">
            <v>Bathwick St Mary Church of England Primary School</v>
          </cell>
          <cell r="D2088" t="str">
            <v>Bath and North East Somerset</v>
          </cell>
          <cell r="E2088" t="str">
            <v>Voluntary Aided School</v>
          </cell>
          <cell r="F2088" t="str">
            <v>Primary</v>
          </cell>
        </row>
        <row r="2089">
          <cell r="A2089">
            <v>382941</v>
          </cell>
          <cell r="B2089">
            <v>133457</v>
          </cell>
          <cell r="C2089" t="str">
            <v>Batley Bulldogs Study Centre</v>
          </cell>
          <cell r="D2089" t="str">
            <v>Kirklees</v>
          </cell>
          <cell r="E2089" t="str">
            <v>Playing for Success Centres</v>
          </cell>
          <cell r="F2089" t="str">
            <v>Not applicable</v>
          </cell>
        </row>
        <row r="2090">
          <cell r="A2090">
            <v>3824044</v>
          </cell>
          <cell r="B2090">
            <v>107767</v>
          </cell>
          <cell r="C2090" t="str">
            <v>Batley Business and Enterprise College</v>
          </cell>
          <cell r="D2090" t="str">
            <v>Kirklees</v>
          </cell>
          <cell r="E2090" t="str">
            <v>Community School</v>
          </cell>
          <cell r="F2090" t="str">
            <v>Secondary</v>
          </cell>
        </row>
        <row r="2091">
          <cell r="A2091">
            <v>3824048</v>
          </cell>
          <cell r="B2091">
            <v>107770</v>
          </cell>
          <cell r="C2091" t="str">
            <v>Batley Girls' High School - Visual Arts College</v>
          </cell>
          <cell r="D2091" t="str">
            <v>Kirklees</v>
          </cell>
          <cell r="E2091" t="str">
            <v>Community School</v>
          </cell>
          <cell r="F2091" t="str">
            <v>Secondary</v>
          </cell>
        </row>
        <row r="2092">
          <cell r="A2092">
            <v>3824048</v>
          </cell>
          <cell r="B2092">
            <v>137424</v>
          </cell>
          <cell r="C2092" t="str">
            <v>Batley Girls' High School - Visual Arts College</v>
          </cell>
          <cell r="D2092" t="str">
            <v>Kirklees</v>
          </cell>
          <cell r="E2092" t="str">
            <v>Academy Converters</v>
          </cell>
          <cell r="F2092" t="str">
            <v>Secondary</v>
          </cell>
        </row>
        <row r="2093">
          <cell r="A2093">
            <v>3826012</v>
          </cell>
          <cell r="B2093">
            <v>107790</v>
          </cell>
          <cell r="C2093" t="str">
            <v>Batley Grammar School</v>
          </cell>
          <cell r="D2093" t="str">
            <v>Kirklees</v>
          </cell>
          <cell r="E2093" t="str">
            <v>Other Independent School</v>
          </cell>
          <cell r="F2093" t="str">
            <v>Not applicable</v>
          </cell>
        </row>
        <row r="2094">
          <cell r="A2094">
            <v>3826012</v>
          </cell>
          <cell r="B2094">
            <v>137487</v>
          </cell>
          <cell r="C2094" t="str">
            <v>Batley Grammar School</v>
          </cell>
          <cell r="D2094" t="str">
            <v>Kirklees</v>
          </cell>
          <cell r="E2094" t="str">
            <v>Academy Free Schools</v>
          </cell>
          <cell r="F2094" t="str">
            <v/>
          </cell>
        </row>
        <row r="2095">
          <cell r="A2095">
            <v>3823320</v>
          </cell>
          <cell r="B2095">
            <v>107736</v>
          </cell>
          <cell r="C2095" t="str">
            <v>Batley Parish Church of England Voluntary Aided Junior Infant and Nursery School</v>
          </cell>
          <cell r="D2095" t="str">
            <v>Kirklees</v>
          </cell>
          <cell r="E2095" t="str">
            <v>Voluntary Aided School</v>
          </cell>
          <cell r="F2095" t="str">
            <v>Primary</v>
          </cell>
        </row>
        <row r="2096">
          <cell r="A2096">
            <v>3331003</v>
          </cell>
          <cell r="B2096">
            <v>103886</v>
          </cell>
          <cell r="C2096" t="str">
            <v>Batmans Hill Nursery School</v>
          </cell>
          <cell r="D2096" t="str">
            <v>Sandwell</v>
          </cell>
          <cell r="E2096" t="str">
            <v>LA Nursery School</v>
          </cell>
          <cell r="F2096" t="str">
            <v>Nursery</v>
          </cell>
        </row>
        <row r="2097">
          <cell r="A2097">
            <v>3331101</v>
          </cell>
          <cell r="B2097">
            <v>103888</v>
          </cell>
          <cell r="C2097" t="str">
            <v>Batmans Hill Unit</v>
          </cell>
          <cell r="D2097" t="str">
            <v>Sandwell</v>
          </cell>
          <cell r="E2097" t="str">
            <v>Pupil Referral Unit</v>
          </cell>
          <cell r="F2097" t="str">
            <v>PRU</v>
          </cell>
        </row>
        <row r="2098">
          <cell r="A2098">
            <v>9171106</v>
          </cell>
          <cell r="B2098">
            <v>128975</v>
          </cell>
          <cell r="C2098" t="str">
            <v>Battenburg Pupil Referral Unit</v>
          </cell>
          <cell r="D2098" t="str">
            <v>Pre LGR (1997) Hampshire</v>
          </cell>
          <cell r="E2098" t="str">
            <v>Pupil Referral Unit</v>
          </cell>
          <cell r="F2098" t="str">
            <v>PRU</v>
          </cell>
        </row>
        <row r="2099">
          <cell r="A2099">
            <v>2124329</v>
          </cell>
          <cell r="B2099">
            <v>101055</v>
          </cell>
          <cell r="C2099" t="str">
            <v>Battersea Park School</v>
          </cell>
          <cell r="D2099" t="str">
            <v>Wandsworth</v>
          </cell>
          <cell r="E2099" t="str">
            <v>Foundation School</v>
          </cell>
          <cell r="F2099" t="str">
            <v>Secondary</v>
          </cell>
        </row>
        <row r="2100">
          <cell r="A2100">
            <v>8456018</v>
          </cell>
          <cell r="B2100">
            <v>114622</v>
          </cell>
          <cell r="C2100" t="str">
            <v>Battle Abbey School</v>
          </cell>
          <cell r="D2100" t="str">
            <v>East Sussex</v>
          </cell>
          <cell r="E2100" t="str">
            <v>Other Independent School</v>
          </cell>
          <cell r="F2100" t="str">
            <v>Not applicable</v>
          </cell>
        </row>
        <row r="2101">
          <cell r="A2101">
            <v>8453003</v>
          </cell>
          <cell r="B2101">
            <v>114489</v>
          </cell>
          <cell r="C2101" t="str">
            <v>Battle and Langton Church of England Primary School</v>
          </cell>
          <cell r="D2101" t="str">
            <v>East Sussex</v>
          </cell>
          <cell r="E2101" t="str">
            <v>Voluntary Controlled School</v>
          </cell>
          <cell r="F2101" t="str">
            <v>Primary</v>
          </cell>
        </row>
        <row r="2102">
          <cell r="A2102">
            <v>3921002</v>
          </cell>
          <cell r="B2102">
            <v>108564</v>
          </cell>
          <cell r="C2102" t="str">
            <v>Battle Hill Nursery School</v>
          </cell>
          <cell r="D2102" t="str">
            <v>North Tyneside</v>
          </cell>
          <cell r="E2102" t="str">
            <v>LA Nursery School</v>
          </cell>
          <cell r="F2102" t="str">
            <v>Nursery</v>
          </cell>
        </row>
        <row r="2103">
          <cell r="A2103">
            <v>3922068</v>
          </cell>
          <cell r="B2103">
            <v>108595</v>
          </cell>
          <cell r="C2103" t="str">
            <v>Battle Hill Primary School</v>
          </cell>
          <cell r="D2103" t="str">
            <v>North Tyneside</v>
          </cell>
          <cell r="E2103" t="str">
            <v>Foundation School</v>
          </cell>
          <cell r="F2103" t="str">
            <v>Primary</v>
          </cell>
        </row>
        <row r="2104">
          <cell r="A2104">
            <v>8702001</v>
          </cell>
          <cell r="B2104">
            <v>109777</v>
          </cell>
          <cell r="C2104" t="str">
            <v>Battle Primary School</v>
          </cell>
          <cell r="D2104" t="str">
            <v>Reading</v>
          </cell>
          <cell r="E2104" t="str">
            <v>Community School</v>
          </cell>
          <cell r="F2104" t="str">
            <v>Primary</v>
          </cell>
        </row>
        <row r="2105">
          <cell r="A2105">
            <v>9366583</v>
          </cell>
          <cell r="B2105">
            <v>134433</v>
          </cell>
          <cell r="C2105" t="str">
            <v>Battlebridge Education Centre</v>
          </cell>
          <cell r="D2105" t="str">
            <v>Surrey</v>
          </cell>
          <cell r="E2105" t="str">
            <v>Other Independent School</v>
          </cell>
          <cell r="F2105" t="str">
            <v>Not applicable</v>
          </cell>
        </row>
        <row r="2106">
          <cell r="A2106">
            <v>9167022</v>
          </cell>
          <cell r="B2106">
            <v>115828</v>
          </cell>
          <cell r="C2106" t="str">
            <v>Battledown Centre for Children and Families</v>
          </cell>
          <cell r="D2106" t="str">
            <v>Gloucestershire</v>
          </cell>
          <cell r="E2106" t="str">
            <v>Community Special School</v>
          </cell>
          <cell r="F2106" t="str">
            <v>Special</v>
          </cell>
        </row>
        <row r="2107">
          <cell r="A2107">
            <v>8552162</v>
          </cell>
          <cell r="B2107">
            <v>119971</v>
          </cell>
          <cell r="C2107" t="str">
            <v>Battling Brook Community Primary School</v>
          </cell>
          <cell r="D2107" t="str">
            <v>Leicestershire</v>
          </cell>
          <cell r="E2107" t="str">
            <v>Community School</v>
          </cell>
          <cell r="F2107" t="str">
            <v>Primary</v>
          </cell>
        </row>
        <row r="2108">
          <cell r="A2108">
            <v>3822084</v>
          </cell>
          <cell r="B2108">
            <v>107654</v>
          </cell>
          <cell r="C2108" t="str">
            <v>Battye Street Infant and Nursery School</v>
          </cell>
          <cell r="D2108" t="str">
            <v>Kirklees</v>
          </cell>
          <cell r="E2108" t="str">
            <v>Community School</v>
          </cell>
          <cell r="F2108" t="str">
            <v>Primary</v>
          </cell>
        </row>
        <row r="2109">
          <cell r="A2109">
            <v>3824502</v>
          </cell>
          <cell r="B2109">
            <v>127799</v>
          </cell>
          <cell r="C2109" t="str">
            <v>Battyeford CofE (Controlled) Middle School</v>
          </cell>
          <cell r="D2109" t="str">
            <v>Kirklees</v>
          </cell>
          <cell r="E2109" t="str">
            <v>Voluntary Controlled School</v>
          </cell>
          <cell r="F2109" t="str">
            <v>Middle Deemed Secondary</v>
          </cell>
        </row>
        <row r="2110">
          <cell r="A2110">
            <v>3823046</v>
          </cell>
          <cell r="B2110">
            <v>107728</v>
          </cell>
          <cell r="C2110" t="str">
            <v>Battyeford CofE (VC) Primary School</v>
          </cell>
          <cell r="D2110" t="str">
            <v>Kirklees</v>
          </cell>
          <cell r="E2110" t="str">
            <v>Voluntary Controlled School</v>
          </cell>
          <cell r="F2110" t="str">
            <v>Primary</v>
          </cell>
        </row>
        <row r="2111">
          <cell r="A2111">
            <v>3822117</v>
          </cell>
          <cell r="B2111">
            <v>127781</v>
          </cell>
          <cell r="C2111" t="str">
            <v>Battyeford First School</v>
          </cell>
          <cell r="D2111" t="str">
            <v>Kirklees</v>
          </cell>
          <cell r="E2111" t="str">
            <v>Community School</v>
          </cell>
          <cell r="F2111" t="str">
            <v>Primary</v>
          </cell>
        </row>
        <row r="2112">
          <cell r="A2112">
            <v>9252143</v>
          </cell>
          <cell r="B2112">
            <v>120441</v>
          </cell>
          <cell r="C2112" t="str">
            <v>Baumber Primary School</v>
          </cell>
          <cell r="D2112" t="str">
            <v>Lincolnshire</v>
          </cell>
          <cell r="E2112" t="str">
            <v>Community School</v>
          </cell>
          <cell r="F2112" t="str">
            <v>Primary</v>
          </cell>
        </row>
        <row r="2113">
          <cell r="A2113">
            <v>3305400</v>
          </cell>
          <cell r="B2113">
            <v>103547</v>
          </cell>
          <cell r="C2113" t="str">
            <v>Baverstock Foundation School and Specialist Sports College</v>
          </cell>
          <cell r="D2113" t="str">
            <v>Birmingham</v>
          </cell>
          <cell r="E2113" t="str">
            <v>Foundation School</v>
          </cell>
          <cell r="F2113" t="str">
            <v>Secondary</v>
          </cell>
        </row>
        <row r="2114">
          <cell r="A2114">
            <v>9262013</v>
          </cell>
          <cell r="B2114">
            <v>120785</v>
          </cell>
          <cell r="C2114" t="str">
            <v>Bawdeswell Community Primary School</v>
          </cell>
          <cell r="D2114" t="str">
            <v>Norfolk</v>
          </cell>
          <cell r="E2114" t="str">
            <v>Community School</v>
          </cell>
          <cell r="F2114" t="str">
            <v>Primary</v>
          </cell>
        </row>
        <row r="2115">
          <cell r="A2115">
            <v>9332151</v>
          </cell>
          <cell r="B2115">
            <v>129838</v>
          </cell>
          <cell r="C2115" t="str">
            <v>Bawdrip Infant School</v>
          </cell>
          <cell r="D2115" t="str">
            <v>Somerset</v>
          </cell>
          <cell r="E2115" t="str">
            <v>Community School</v>
          </cell>
          <cell r="F2115" t="str">
            <v>Primary</v>
          </cell>
        </row>
        <row r="2116">
          <cell r="A2116">
            <v>9353074</v>
          </cell>
          <cell r="B2116">
            <v>124719</v>
          </cell>
          <cell r="C2116" t="str">
            <v>Bawdsey Church of England Voluntary Controlled Primary School</v>
          </cell>
          <cell r="D2116" t="str">
            <v>Suffolk</v>
          </cell>
          <cell r="E2116" t="str">
            <v>Voluntary Controlled School</v>
          </cell>
          <cell r="F2116" t="str">
            <v>Primary</v>
          </cell>
        </row>
        <row r="2117">
          <cell r="A2117">
            <v>9372423</v>
          </cell>
          <cell r="B2117">
            <v>125581</v>
          </cell>
          <cell r="C2117" t="str">
            <v>Bawnmore Community Infant School</v>
          </cell>
          <cell r="D2117" t="str">
            <v>Warwickshire</v>
          </cell>
          <cell r="E2117" t="str">
            <v>Community School</v>
          </cell>
          <cell r="F2117" t="str">
            <v>Primary</v>
          </cell>
        </row>
        <row r="2118">
          <cell r="A2118">
            <v>3712175</v>
          </cell>
          <cell r="B2118">
            <v>106737</v>
          </cell>
          <cell r="C2118" t="str">
            <v>Bawtry Mayflower Primary School</v>
          </cell>
          <cell r="D2118" t="str">
            <v>Doncaster</v>
          </cell>
          <cell r="E2118" t="str">
            <v>Community School</v>
          </cell>
          <cell r="F2118" t="str">
            <v>Primary</v>
          </cell>
        </row>
        <row r="2119">
          <cell r="A2119">
            <v>8883334</v>
          </cell>
          <cell r="B2119">
            <v>119440</v>
          </cell>
          <cell r="C2119" t="str">
            <v>Baxenden St John's Church of England Primary School</v>
          </cell>
          <cell r="D2119" t="str">
            <v>Lancashire</v>
          </cell>
          <cell r="E2119" t="str">
            <v>Voluntary Aided School</v>
          </cell>
          <cell r="F2119" t="str">
            <v>Primary</v>
          </cell>
        </row>
        <row r="2120">
          <cell r="A2120">
            <v>8856032</v>
          </cell>
          <cell r="B2120">
            <v>131118</v>
          </cell>
          <cell r="C2120" t="str">
            <v>Baxhill Preparatory School</v>
          </cell>
          <cell r="D2120" t="str">
            <v>Worcestershire</v>
          </cell>
          <cell r="E2120" t="str">
            <v>Other Independent School</v>
          </cell>
          <cell r="F2120" t="str">
            <v>Not applicable</v>
          </cell>
        </row>
        <row r="2121">
          <cell r="A2121">
            <v>8854019</v>
          </cell>
          <cell r="B2121">
            <v>116938</v>
          </cell>
          <cell r="C2121" t="str">
            <v>Baxter Business and Enterprise College</v>
          </cell>
          <cell r="D2121" t="str">
            <v>Worcestershire</v>
          </cell>
          <cell r="E2121" t="str">
            <v>Community School</v>
          </cell>
          <cell r="F2121" t="str">
            <v>Secondary</v>
          </cell>
        </row>
        <row r="2122">
          <cell r="A2122">
            <v>8854007</v>
          </cell>
          <cell r="B2122">
            <v>135062</v>
          </cell>
          <cell r="C2122" t="str">
            <v>Baxter College</v>
          </cell>
          <cell r="D2122" t="str">
            <v>Worcestershire</v>
          </cell>
          <cell r="E2122" t="str">
            <v>Foundation School</v>
          </cell>
          <cell r="F2122" t="str">
            <v>Secondary</v>
          </cell>
        </row>
        <row r="2123">
          <cell r="A2123">
            <v>8505408</v>
          </cell>
          <cell r="B2123">
            <v>116501</v>
          </cell>
          <cell r="C2123" t="str">
            <v>Bay House School</v>
          </cell>
          <cell r="D2123" t="str">
            <v>Hampshire</v>
          </cell>
          <cell r="E2123" t="str">
            <v>Foundation School</v>
          </cell>
          <cell r="F2123" t="str">
            <v>Secondary</v>
          </cell>
        </row>
        <row r="2124">
          <cell r="A2124">
            <v>8112000</v>
          </cell>
          <cell r="B2124">
            <v>133480</v>
          </cell>
          <cell r="C2124" t="str">
            <v>Bay Primary School</v>
          </cell>
          <cell r="D2124" t="str">
            <v>East Riding of Yorkshire</v>
          </cell>
          <cell r="E2124" t="str">
            <v>Community School</v>
          </cell>
          <cell r="F2124" t="str">
            <v>Primary</v>
          </cell>
        </row>
        <row r="2125">
          <cell r="A2125">
            <v>9312521</v>
          </cell>
          <cell r="B2125">
            <v>123044</v>
          </cell>
          <cell r="C2125" t="str">
            <v>Bayards Hill Primary School</v>
          </cell>
          <cell r="D2125" t="str">
            <v>Oxfordshire</v>
          </cell>
          <cell r="E2125" t="str">
            <v>Community School</v>
          </cell>
          <cell r="F2125" t="str">
            <v>Primary</v>
          </cell>
        </row>
        <row r="2126">
          <cell r="A2126">
            <v>8507032</v>
          </cell>
          <cell r="B2126">
            <v>116617</v>
          </cell>
          <cell r="C2126" t="str">
            <v>Baycroft School</v>
          </cell>
          <cell r="D2126" t="str">
            <v>Hampshire</v>
          </cell>
          <cell r="E2126" t="str">
            <v>Community Special School</v>
          </cell>
          <cell r="F2126" t="str">
            <v>Special</v>
          </cell>
        </row>
        <row r="2127">
          <cell r="A2127">
            <v>8653306</v>
          </cell>
          <cell r="B2127">
            <v>126394</v>
          </cell>
          <cell r="C2127" t="str">
            <v>Baydon St Nicholas Church of England Primary School</v>
          </cell>
          <cell r="D2127" t="str">
            <v>Wiltshire</v>
          </cell>
          <cell r="E2127" t="str">
            <v>Voluntary Aided School</v>
          </cell>
          <cell r="F2127" t="str">
            <v>Primary</v>
          </cell>
        </row>
        <row r="2128">
          <cell r="A2128">
            <v>9193007</v>
          </cell>
          <cell r="B2128">
            <v>117387</v>
          </cell>
          <cell r="C2128" t="str">
            <v>Bayford Church of England Voluntary Controlled Primary School</v>
          </cell>
          <cell r="D2128" t="str">
            <v>Hertfordshire</v>
          </cell>
          <cell r="E2128" t="str">
            <v>Voluntary Controlled School</v>
          </cell>
          <cell r="F2128" t="str">
            <v>Primary</v>
          </cell>
        </row>
        <row r="2129">
          <cell r="A2129">
            <v>8711021</v>
          </cell>
          <cell r="B2129">
            <v>109761</v>
          </cell>
          <cell r="C2129" t="str">
            <v>Baylis Court Nursery School</v>
          </cell>
          <cell r="D2129" t="str">
            <v>Slough</v>
          </cell>
          <cell r="E2129" t="str">
            <v>LA Nursery School</v>
          </cell>
          <cell r="F2129" t="str">
            <v>Nursery</v>
          </cell>
        </row>
        <row r="2130">
          <cell r="A2130">
            <v>8714082</v>
          </cell>
          <cell r="B2130">
            <v>110074</v>
          </cell>
          <cell r="C2130" t="str">
            <v>Baylis Court School</v>
          </cell>
          <cell r="D2130" t="str">
            <v>Slough</v>
          </cell>
          <cell r="E2130" t="str">
            <v>Foundation School</v>
          </cell>
          <cell r="F2130" t="str">
            <v>Secondary</v>
          </cell>
        </row>
        <row r="2131">
          <cell r="A2131">
            <v>8714082</v>
          </cell>
          <cell r="B2131">
            <v>137259</v>
          </cell>
          <cell r="C2131" t="str">
            <v>Baylis Court School</v>
          </cell>
          <cell r="D2131" t="str">
            <v>Slough</v>
          </cell>
          <cell r="E2131" t="str">
            <v>Academy Converters</v>
          </cell>
          <cell r="F2131" t="str">
            <v>Secondary</v>
          </cell>
        </row>
        <row r="2132">
          <cell r="A2132">
            <v>8812088</v>
          </cell>
          <cell r="B2132">
            <v>114767</v>
          </cell>
          <cell r="C2132" t="str">
            <v>Baynards Primary School</v>
          </cell>
          <cell r="D2132" t="str">
            <v>Essex</v>
          </cell>
          <cell r="E2132" t="str">
            <v>Community School</v>
          </cell>
          <cell r="F2132" t="str">
            <v>Primary</v>
          </cell>
        </row>
        <row r="2133">
          <cell r="A2133">
            <v>2051059</v>
          </cell>
          <cell r="B2133">
            <v>100318</v>
          </cell>
          <cell r="C2133" t="str">
            <v>Bayonne Nursery School</v>
          </cell>
          <cell r="D2133" t="str">
            <v>Hammersmith and Fulham</v>
          </cell>
          <cell r="E2133" t="str">
            <v>LA Nursery School</v>
          </cell>
          <cell r="F2133" t="str">
            <v>Nursery</v>
          </cell>
        </row>
        <row r="2134">
          <cell r="A2134">
            <v>8134491</v>
          </cell>
          <cell r="B2134">
            <v>118109</v>
          </cell>
          <cell r="C2134" t="str">
            <v>Baysgarth School</v>
          </cell>
          <cell r="D2134" t="str">
            <v>North Lincolnshire</v>
          </cell>
          <cell r="E2134" t="str">
            <v>Community School</v>
          </cell>
          <cell r="F2134" t="str">
            <v>Secondary</v>
          </cell>
        </row>
        <row r="2135">
          <cell r="A2135">
            <v>7086001</v>
          </cell>
          <cell r="B2135">
            <v>132351</v>
          </cell>
          <cell r="C2135" t="str">
            <v>Bayside Comprehensive School</v>
          </cell>
          <cell r="D2135" t="str">
            <v>Gibraltar Overseas Establishments</v>
          </cell>
          <cell r="E2135" t="str">
            <v>Service Childrens Education</v>
          </cell>
          <cell r="F2135" t="str">
            <v>Not applicable</v>
          </cell>
        </row>
        <row r="2136">
          <cell r="A2136">
            <v>9323009</v>
          </cell>
          <cell r="B2136">
            <v>129794</v>
          </cell>
          <cell r="C2136" t="str">
            <v>Bayston Hill CofE Junior School</v>
          </cell>
          <cell r="D2136" t="str">
            <v>Pre LGR (1998) Shropshire</v>
          </cell>
          <cell r="E2136" t="str">
            <v>Voluntary Controlled School</v>
          </cell>
          <cell r="F2136" t="str">
            <v>Primary</v>
          </cell>
        </row>
        <row r="2137">
          <cell r="A2137">
            <v>9322133</v>
          </cell>
          <cell r="B2137">
            <v>129792</v>
          </cell>
          <cell r="C2137" t="str">
            <v>Bayston Hill County Infant School</v>
          </cell>
          <cell r="D2137" t="str">
            <v>Pre LGR (1998) Shropshire</v>
          </cell>
          <cell r="E2137" t="str">
            <v>Community School</v>
          </cell>
          <cell r="F2137" t="str">
            <v>Primary</v>
          </cell>
        </row>
        <row r="2138">
          <cell r="A2138">
            <v>9314100</v>
          </cell>
          <cell r="B2138">
            <v>123247</v>
          </cell>
          <cell r="C2138" t="str">
            <v>Bayswater Middle School</v>
          </cell>
          <cell r="D2138" t="str">
            <v>Oxfordshire</v>
          </cell>
          <cell r="E2138" t="str">
            <v>Community School</v>
          </cell>
          <cell r="F2138" t="str">
            <v>Middle Deemed Secondary</v>
          </cell>
        </row>
        <row r="2139">
          <cell r="A2139">
            <v>8853001</v>
          </cell>
          <cell r="B2139">
            <v>116781</v>
          </cell>
          <cell r="C2139" t="str">
            <v>Bayton CofE Primary School</v>
          </cell>
          <cell r="D2139" t="str">
            <v>Worcestershire</v>
          </cell>
          <cell r="E2139" t="str">
            <v>Voluntary Controlled School</v>
          </cell>
          <cell r="F2139" t="str">
            <v>Primary</v>
          </cell>
        </row>
        <row r="2140">
          <cell r="A2140">
            <v>8027039</v>
          </cell>
          <cell r="B2140">
            <v>109409</v>
          </cell>
          <cell r="C2140" t="str">
            <v>Baytree School</v>
          </cell>
          <cell r="D2140" t="str">
            <v>North Somerset</v>
          </cell>
          <cell r="E2140" t="str">
            <v>Community Special School</v>
          </cell>
          <cell r="F2140" t="str">
            <v>Special</v>
          </cell>
        </row>
        <row r="2141">
          <cell r="A2141">
            <v>2086404</v>
          </cell>
          <cell r="B2141">
            <v>133518</v>
          </cell>
          <cell r="C2141" t="str">
            <v>Bbi School</v>
          </cell>
          <cell r="D2141" t="str">
            <v>Lambeth</v>
          </cell>
          <cell r="E2141" t="str">
            <v>Other Independent Special School</v>
          </cell>
          <cell r="F2141" t="str">
            <v>Not applicable</v>
          </cell>
        </row>
        <row r="2142">
          <cell r="A2142">
            <v>9232046</v>
          </cell>
          <cell r="B2142">
            <v>129465</v>
          </cell>
          <cell r="C2142" t="str">
            <v>Beach County Junior School</v>
          </cell>
          <cell r="D2142" t="str">
            <v>Pre LGR (1998) Lancashire</v>
          </cell>
          <cell r="E2142" t="str">
            <v>Community School</v>
          </cell>
          <cell r="F2142" t="str">
            <v>Primary</v>
          </cell>
        </row>
        <row r="2143">
          <cell r="A2143">
            <v>3432058</v>
          </cell>
          <cell r="B2143">
            <v>104873</v>
          </cell>
          <cell r="C2143" t="str">
            <v>Beach Road Primary School</v>
          </cell>
          <cell r="D2143" t="str">
            <v>Sefton</v>
          </cell>
          <cell r="E2143" t="str">
            <v>Community School</v>
          </cell>
          <cell r="F2143" t="str">
            <v>Primary</v>
          </cell>
        </row>
        <row r="2144">
          <cell r="A2144">
            <v>9262014</v>
          </cell>
          <cell r="B2144">
            <v>120786</v>
          </cell>
          <cell r="C2144" t="str">
            <v>Beachamwell First School</v>
          </cell>
          <cell r="D2144" t="str">
            <v>Norfolk</v>
          </cell>
          <cell r="E2144" t="str">
            <v>Community School</v>
          </cell>
          <cell r="F2144" t="str">
            <v>Primary</v>
          </cell>
        </row>
        <row r="2145">
          <cell r="A2145">
            <v>8256002</v>
          </cell>
          <cell r="B2145">
            <v>110550</v>
          </cell>
          <cell r="C2145" t="str">
            <v>Beachborough School</v>
          </cell>
          <cell r="D2145" t="str">
            <v>Buckinghamshire</v>
          </cell>
          <cell r="E2145" t="str">
            <v>Other Independent School</v>
          </cell>
          <cell r="F2145" t="str">
            <v>Not applicable</v>
          </cell>
        </row>
        <row r="2146">
          <cell r="A2146">
            <v>2131101</v>
          </cell>
          <cell r="B2146">
            <v>133923</v>
          </cell>
          <cell r="C2146" t="str">
            <v>Beachcroft School</v>
          </cell>
          <cell r="D2146" t="str">
            <v>Westminster</v>
          </cell>
          <cell r="E2146" t="str">
            <v>Pupil Referral Unit</v>
          </cell>
          <cell r="F2146" t="str">
            <v>PRU</v>
          </cell>
        </row>
        <row r="2147">
          <cell r="A2147">
            <v>8454026</v>
          </cell>
          <cell r="B2147">
            <v>114585</v>
          </cell>
          <cell r="C2147" t="str">
            <v>Beacon Community College</v>
          </cell>
          <cell r="D2147" t="str">
            <v>East Sussex</v>
          </cell>
          <cell r="E2147" t="str">
            <v>Community School</v>
          </cell>
          <cell r="F2147" t="str">
            <v>Secondary</v>
          </cell>
        </row>
        <row r="2148">
          <cell r="A2148">
            <v>9082130</v>
          </cell>
          <cell r="B2148">
            <v>111829</v>
          </cell>
          <cell r="C2148" t="str">
            <v>Beacon Community Junior School</v>
          </cell>
          <cell r="D2148" t="str">
            <v>Cornwall</v>
          </cell>
          <cell r="E2148" t="str">
            <v>Community School</v>
          </cell>
          <cell r="F2148" t="str">
            <v>Primary</v>
          </cell>
        </row>
        <row r="2149">
          <cell r="A2149">
            <v>8782018</v>
          </cell>
          <cell r="B2149">
            <v>113074</v>
          </cell>
          <cell r="C2149" t="str">
            <v>Beacon Heath First School</v>
          </cell>
          <cell r="D2149" t="str">
            <v>Devon</v>
          </cell>
          <cell r="E2149" t="str">
            <v>Community School</v>
          </cell>
          <cell r="F2149" t="str">
            <v>Primary</v>
          </cell>
        </row>
        <row r="2150">
          <cell r="A2150">
            <v>9362136</v>
          </cell>
          <cell r="B2150">
            <v>124978</v>
          </cell>
          <cell r="C2150" t="str">
            <v>Beacon Hill Community Primary School</v>
          </cell>
          <cell r="D2150" t="str">
            <v>Surrey</v>
          </cell>
          <cell r="E2150" t="str">
            <v>Community School</v>
          </cell>
          <cell r="F2150" t="str">
            <v>Primary</v>
          </cell>
        </row>
        <row r="2151">
          <cell r="A2151">
            <v>9094001</v>
          </cell>
          <cell r="B2151">
            <v>112375</v>
          </cell>
          <cell r="C2151" t="str">
            <v>Beacon Hill Community School</v>
          </cell>
          <cell r="D2151" t="str">
            <v>Cumbria</v>
          </cell>
          <cell r="E2151" t="str">
            <v>Community School</v>
          </cell>
          <cell r="F2151" t="str">
            <v>Secondary</v>
          </cell>
        </row>
        <row r="2152">
          <cell r="A2152">
            <v>9357007</v>
          </cell>
          <cell r="B2152">
            <v>124908</v>
          </cell>
          <cell r="C2152" t="str">
            <v>Beacon Hill School</v>
          </cell>
          <cell r="D2152" t="str">
            <v>Suffolk</v>
          </cell>
          <cell r="E2152" t="str">
            <v>Community Special School</v>
          </cell>
          <cell r="F2152" t="str">
            <v>Special</v>
          </cell>
        </row>
        <row r="2153">
          <cell r="A2153">
            <v>3927008</v>
          </cell>
          <cell r="B2153">
            <v>131544</v>
          </cell>
          <cell r="C2153" t="str">
            <v>Beacon Hill School</v>
          </cell>
          <cell r="D2153" t="str">
            <v>North Tyneside</v>
          </cell>
          <cell r="E2153" t="str">
            <v>Foundation Special School</v>
          </cell>
          <cell r="F2153" t="str">
            <v>Special</v>
          </cell>
        </row>
        <row r="2154">
          <cell r="A2154">
            <v>8837072</v>
          </cell>
          <cell r="B2154">
            <v>134767</v>
          </cell>
          <cell r="C2154" t="str">
            <v>Beacon Hill School</v>
          </cell>
          <cell r="D2154" t="str">
            <v>Thurrock</v>
          </cell>
          <cell r="E2154" t="str">
            <v>Community Special School</v>
          </cell>
          <cell r="F2154" t="str">
            <v>Special</v>
          </cell>
        </row>
        <row r="2155">
          <cell r="A2155">
            <v>3352109</v>
          </cell>
          <cell r="B2155">
            <v>104182</v>
          </cell>
          <cell r="C2155" t="str">
            <v>Beacon Infant School</v>
          </cell>
          <cell r="D2155" t="str">
            <v>Walsall</v>
          </cell>
          <cell r="E2155" t="str">
            <v>Community School</v>
          </cell>
          <cell r="F2155" t="str">
            <v>Primary</v>
          </cell>
        </row>
        <row r="2156">
          <cell r="A2156">
            <v>9082105</v>
          </cell>
          <cell r="B2156">
            <v>111812</v>
          </cell>
          <cell r="C2156" t="str">
            <v>Beacon Infant School</v>
          </cell>
          <cell r="D2156" t="str">
            <v>Cornwall</v>
          </cell>
          <cell r="E2156" t="str">
            <v>Community School</v>
          </cell>
          <cell r="F2156" t="str">
            <v>Primary</v>
          </cell>
        </row>
        <row r="2157">
          <cell r="A2157">
            <v>9082202</v>
          </cell>
          <cell r="B2157">
            <v>128539</v>
          </cell>
          <cell r="C2157" t="str">
            <v>Beacon Infant School</v>
          </cell>
          <cell r="D2157" t="str">
            <v>Cornwall</v>
          </cell>
          <cell r="E2157" t="str">
            <v>Community School</v>
          </cell>
          <cell r="F2157" t="str">
            <v>Primary</v>
          </cell>
        </row>
        <row r="2158">
          <cell r="A2158">
            <v>3352110</v>
          </cell>
          <cell r="B2158">
            <v>104183</v>
          </cell>
          <cell r="C2158" t="str">
            <v>Beacon Junior School</v>
          </cell>
          <cell r="D2158" t="str">
            <v>Walsall</v>
          </cell>
          <cell r="E2158" t="str">
            <v>Community School</v>
          </cell>
          <cell r="F2158" t="str">
            <v>Primary</v>
          </cell>
        </row>
        <row r="2159">
          <cell r="A2159">
            <v>3352247</v>
          </cell>
          <cell r="B2159">
            <v>131580</v>
          </cell>
          <cell r="C2159" t="str">
            <v>Beacon Primary School</v>
          </cell>
          <cell r="D2159" t="str">
            <v>Walsall</v>
          </cell>
          <cell r="E2159" t="str">
            <v>Community School</v>
          </cell>
          <cell r="F2159" t="str">
            <v>Primary</v>
          </cell>
        </row>
        <row r="2160">
          <cell r="A2160">
            <v>8886057</v>
          </cell>
          <cell r="B2160">
            <v>136072</v>
          </cell>
          <cell r="C2160" t="str">
            <v>Beacon Reach</v>
          </cell>
          <cell r="D2160" t="str">
            <v>Lancashire</v>
          </cell>
          <cell r="E2160" t="str">
            <v>Other Independent Special School</v>
          </cell>
          <cell r="F2160" t="str">
            <v>Not applicable</v>
          </cell>
        </row>
        <row r="2161">
          <cell r="A2161">
            <v>8032329</v>
          </cell>
          <cell r="B2161">
            <v>109133</v>
          </cell>
          <cell r="C2161" t="str">
            <v>Beacon Rise Primary School</v>
          </cell>
          <cell r="D2161" t="str">
            <v>South Gloucestershire</v>
          </cell>
          <cell r="E2161" t="str">
            <v>Community School</v>
          </cell>
          <cell r="F2161" t="str">
            <v>Primary</v>
          </cell>
        </row>
        <row r="2162">
          <cell r="A2162">
            <v>3567000</v>
          </cell>
          <cell r="B2162">
            <v>127521</v>
          </cell>
          <cell r="C2162" t="str">
            <v>Beacon School</v>
          </cell>
          <cell r="D2162" t="str">
            <v>Stockport</v>
          </cell>
          <cell r="E2162" t="str">
            <v>Community Special School</v>
          </cell>
          <cell r="F2162" t="str">
            <v>Special</v>
          </cell>
        </row>
        <row r="2163">
          <cell r="A2163">
            <v>3357001</v>
          </cell>
          <cell r="B2163">
            <v>104268</v>
          </cell>
          <cell r="C2163" t="str">
            <v>Beacon Special School</v>
          </cell>
          <cell r="D2163" t="str">
            <v>Walsall</v>
          </cell>
          <cell r="E2163" t="str">
            <v>Community Special School</v>
          </cell>
          <cell r="F2163" t="str">
            <v>Special</v>
          </cell>
        </row>
        <row r="2164">
          <cell r="A2164">
            <v>9292076</v>
          </cell>
          <cell r="B2164">
            <v>122193</v>
          </cell>
          <cell r="C2164" t="str">
            <v>Beaconhill Community Primary School</v>
          </cell>
          <cell r="D2164" t="str">
            <v>Northumberland</v>
          </cell>
          <cell r="E2164" t="str">
            <v>Community School</v>
          </cell>
          <cell r="F2164" t="str">
            <v>Primary</v>
          </cell>
        </row>
        <row r="2165">
          <cell r="A2165">
            <v>8255402</v>
          </cell>
          <cell r="B2165">
            <v>110528</v>
          </cell>
          <cell r="C2165" t="str">
            <v>Beaconsfield High School</v>
          </cell>
          <cell r="D2165" t="str">
            <v>Buckinghamshire</v>
          </cell>
          <cell r="E2165" t="str">
            <v>Foundation School</v>
          </cell>
          <cell r="F2165" t="str">
            <v>Secondary</v>
          </cell>
        </row>
        <row r="2166">
          <cell r="A2166">
            <v>3072083</v>
          </cell>
          <cell r="B2166">
            <v>101878</v>
          </cell>
          <cell r="C2166" t="str">
            <v>Beaconsfield Primary and Nursery School</v>
          </cell>
          <cell r="D2166" t="str">
            <v>Ealing</v>
          </cell>
          <cell r="E2166" t="str">
            <v>Community School</v>
          </cell>
          <cell r="F2166" t="str">
            <v>Primary</v>
          </cell>
        </row>
        <row r="2167">
          <cell r="A2167">
            <v>9095222</v>
          </cell>
          <cell r="B2167">
            <v>112424</v>
          </cell>
          <cell r="C2167" t="str">
            <v>Beaconside CofE Junior School</v>
          </cell>
          <cell r="D2167" t="str">
            <v>Cumbria</v>
          </cell>
          <cell r="E2167" t="str">
            <v>Foundation School</v>
          </cell>
          <cell r="F2167" t="str">
            <v>Primary</v>
          </cell>
        </row>
        <row r="2168">
          <cell r="A2168">
            <v>9095221</v>
          </cell>
          <cell r="B2168">
            <v>112423</v>
          </cell>
          <cell r="C2168" t="str">
            <v>Beaconside CofE Primary School</v>
          </cell>
          <cell r="D2168" t="str">
            <v>Cumbria</v>
          </cell>
          <cell r="E2168" t="str">
            <v>Voluntary Aided School</v>
          </cell>
          <cell r="F2168" t="str">
            <v>Primary</v>
          </cell>
        </row>
        <row r="2169">
          <cell r="A2169">
            <v>8852197</v>
          </cell>
          <cell r="B2169">
            <v>116768</v>
          </cell>
          <cell r="C2169" t="str">
            <v>Beaconside Primary and Nursery School</v>
          </cell>
          <cell r="D2169" t="str">
            <v>Worcestershire</v>
          </cell>
          <cell r="E2169" t="str">
            <v>Community School</v>
          </cell>
          <cell r="F2169" t="str">
            <v>Primary</v>
          </cell>
        </row>
        <row r="2170">
          <cell r="A2170">
            <v>9362455</v>
          </cell>
          <cell r="B2170">
            <v>130053</v>
          </cell>
          <cell r="C2170" t="str">
            <v>Beadles Lane First School</v>
          </cell>
          <cell r="D2170" t="str">
            <v>Surrey</v>
          </cell>
          <cell r="E2170" t="str">
            <v>Community School</v>
          </cell>
          <cell r="F2170" t="str">
            <v>Primary</v>
          </cell>
        </row>
        <row r="2171">
          <cell r="A2171">
            <v>8782206</v>
          </cell>
          <cell r="B2171">
            <v>113129</v>
          </cell>
          <cell r="C2171" t="str">
            <v>Beaford Community Primary &amp; Nursery School</v>
          </cell>
          <cell r="D2171" t="str">
            <v>Devon</v>
          </cell>
          <cell r="E2171" t="str">
            <v>Community School</v>
          </cell>
          <cell r="F2171" t="str">
            <v>Primary</v>
          </cell>
        </row>
        <row r="2172">
          <cell r="A2172">
            <v>3174030</v>
          </cell>
          <cell r="B2172">
            <v>102855</v>
          </cell>
          <cell r="C2172" t="str">
            <v>Beal High School</v>
          </cell>
          <cell r="D2172" t="str">
            <v>Redbridge</v>
          </cell>
          <cell r="E2172" t="str">
            <v>Community School</v>
          </cell>
          <cell r="F2172" t="str">
            <v>Secondary</v>
          </cell>
        </row>
        <row r="2173">
          <cell r="A2173">
            <v>3532091</v>
          </cell>
          <cell r="B2173">
            <v>105672</v>
          </cell>
          <cell r="C2173" t="str">
            <v>Beal Vale Primary School</v>
          </cell>
          <cell r="D2173" t="str">
            <v>Oldham</v>
          </cell>
          <cell r="E2173" t="str">
            <v>Community School</v>
          </cell>
          <cell r="F2173" t="str">
            <v>Primary</v>
          </cell>
        </row>
        <row r="2174">
          <cell r="A2174">
            <v>9352092</v>
          </cell>
          <cell r="B2174">
            <v>124595</v>
          </cell>
          <cell r="C2174" t="str">
            <v>Bealings School</v>
          </cell>
          <cell r="D2174" t="str">
            <v>Suffolk</v>
          </cell>
          <cell r="E2174" t="str">
            <v>Community School</v>
          </cell>
          <cell r="F2174" t="str">
            <v>Primary</v>
          </cell>
        </row>
        <row r="2175">
          <cell r="A2175">
            <v>3012024</v>
          </cell>
          <cell r="B2175">
            <v>101202</v>
          </cell>
          <cell r="C2175" t="str">
            <v>Beam Primary School</v>
          </cell>
          <cell r="D2175" t="str">
            <v>Barking and Dagenham</v>
          </cell>
          <cell r="E2175" t="str">
            <v>Community School</v>
          </cell>
          <cell r="F2175" t="str">
            <v>Primary</v>
          </cell>
        </row>
        <row r="2176">
          <cell r="A2176">
            <v>8354505</v>
          </cell>
          <cell r="B2176">
            <v>113884</v>
          </cell>
          <cell r="C2176" t="str">
            <v>Beaminster School</v>
          </cell>
          <cell r="D2176" t="str">
            <v>Dorset</v>
          </cell>
          <cell r="E2176" t="str">
            <v>Voluntary Controlled School</v>
          </cell>
          <cell r="F2176" t="str">
            <v>Secondary</v>
          </cell>
        </row>
        <row r="2177">
          <cell r="A2177">
            <v>8354951</v>
          </cell>
          <cell r="B2177">
            <v>132883</v>
          </cell>
          <cell r="C2177" t="str">
            <v>Beaminster-Colfox Combined Sixth Form</v>
          </cell>
          <cell r="D2177" t="str">
            <v>Dorset</v>
          </cell>
          <cell r="E2177" t="str">
            <v>Sixth Form Centres</v>
          </cell>
          <cell r="F2177" t="str">
            <v>16 Plus</v>
          </cell>
        </row>
        <row r="2178">
          <cell r="A2178">
            <v>8402205</v>
          </cell>
          <cell r="B2178">
            <v>114021</v>
          </cell>
          <cell r="C2178" t="str">
            <v>Beamish Primary School</v>
          </cell>
          <cell r="D2178" t="str">
            <v>Durham</v>
          </cell>
          <cell r="E2178" t="str">
            <v>Community School</v>
          </cell>
          <cell r="F2178" t="str">
            <v>Primary</v>
          </cell>
        </row>
        <row r="2179">
          <cell r="A2179">
            <v>8772001</v>
          </cell>
          <cell r="B2179">
            <v>110965</v>
          </cell>
          <cell r="C2179" t="str">
            <v>Beamont Community Infant School</v>
          </cell>
          <cell r="D2179" t="str">
            <v>Warrington</v>
          </cell>
          <cell r="E2179" t="str">
            <v>Community School</v>
          </cell>
          <cell r="F2179" t="str">
            <v>Primary</v>
          </cell>
        </row>
        <row r="2180">
          <cell r="A2180">
            <v>8772000</v>
          </cell>
          <cell r="B2180">
            <v>110964</v>
          </cell>
          <cell r="C2180" t="str">
            <v>Beamont Community Junior School</v>
          </cell>
          <cell r="D2180" t="str">
            <v>Warrington</v>
          </cell>
          <cell r="E2180" t="str">
            <v>Community School</v>
          </cell>
          <cell r="F2180" t="str">
            <v>Primary</v>
          </cell>
        </row>
        <row r="2181">
          <cell r="A2181">
            <v>8773794</v>
          </cell>
          <cell r="B2181">
            <v>135161</v>
          </cell>
          <cell r="C2181" t="str">
            <v>Beamont Community Primary School</v>
          </cell>
          <cell r="D2181" t="str">
            <v>Warrington</v>
          </cell>
          <cell r="E2181" t="str">
            <v>Community School</v>
          </cell>
          <cell r="F2181" t="str">
            <v>Primary</v>
          </cell>
        </row>
        <row r="2182">
          <cell r="A2182">
            <v>8862120</v>
          </cell>
          <cell r="B2182">
            <v>118266</v>
          </cell>
          <cell r="C2182" t="str">
            <v>Bean Primary School</v>
          </cell>
          <cell r="D2182" t="str">
            <v>Kent</v>
          </cell>
          <cell r="E2182" t="str">
            <v>Community School</v>
          </cell>
          <cell r="F2182" t="str">
            <v>Primary</v>
          </cell>
        </row>
        <row r="2183">
          <cell r="A2183">
            <v>9284043</v>
          </cell>
          <cell r="B2183">
            <v>122062</v>
          </cell>
          <cell r="C2183" t="str">
            <v>Beanfield Community College</v>
          </cell>
          <cell r="D2183" t="str">
            <v>Northamptonshire</v>
          </cell>
          <cell r="E2183" t="str">
            <v>Community School</v>
          </cell>
          <cell r="F2183" t="str">
            <v>Secondary</v>
          </cell>
        </row>
        <row r="2184">
          <cell r="A2184">
            <v>9282124</v>
          </cell>
          <cell r="B2184">
            <v>121886</v>
          </cell>
          <cell r="C2184" t="str">
            <v>Beanfield Infant School</v>
          </cell>
          <cell r="D2184" t="str">
            <v>Northamptonshire</v>
          </cell>
          <cell r="E2184" t="str">
            <v>Community School</v>
          </cell>
          <cell r="F2184" t="str">
            <v>Primary</v>
          </cell>
        </row>
        <row r="2185">
          <cell r="A2185">
            <v>9285204</v>
          </cell>
          <cell r="B2185">
            <v>122106</v>
          </cell>
          <cell r="C2185" t="str">
            <v>Beanfield Junior School</v>
          </cell>
          <cell r="D2185" t="str">
            <v>Northamptonshire</v>
          </cell>
          <cell r="E2185" t="str">
            <v>Foundation School</v>
          </cell>
          <cell r="F2185" t="str">
            <v>Primary</v>
          </cell>
        </row>
        <row r="2186">
          <cell r="A2186">
            <v>9283510</v>
          </cell>
          <cell r="B2186">
            <v>134900</v>
          </cell>
          <cell r="C2186" t="str">
            <v>Beanfield Primary School</v>
          </cell>
          <cell r="D2186" t="str">
            <v>Northamptonshire</v>
          </cell>
          <cell r="E2186" t="str">
            <v>Community School</v>
          </cell>
          <cell r="F2186" t="str">
            <v>Primary</v>
          </cell>
        </row>
        <row r="2187">
          <cell r="A2187">
            <v>8252225</v>
          </cell>
          <cell r="B2187">
            <v>110318</v>
          </cell>
          <cell r="C2187" t="str">
            <v>Bearbrook Combined School</v>
          </cell>
          <cell r="D2187" t="str">
            <v>Buckinghamshire</v>
          </cell>
          <cell r="E2187" t="str">
            <v>Community School</v>
          </cell>
          <cell r="F2187" t="str">
            <v>Primary</v>
          </cell>
        </row>
        <row r="2188">
          <cell r="A2188">
            <v>8912464</v>
          </cell>
          <cell r="B2188">
            <v>122584</v>
          </cell>
          <cell r="C2188" t="str">
            <v>Beardall Street Primary and Nursery School</v>
          </cell>
          <cell r="D2188" t="str">
            <v>Nottinghamshire</v>
          </cell>
          <cell r="E2188" t="str">
            <v>Community School</v>
          </cell>
          <cell r="F2188" t="str">
            <v>Primary</v>
          </cell>
        </row>
        <row r="2189">
          <cell r="A2189">
            <v>8894001</v>
          </cell>
          <cell r="B2189">
            <v>119708</v>
          </cell>
          <cell r="C2189" t="str">
            <v>Beardwood Humanities College</v>
          </cell>
          <cell r="D2189" t="str">
            <v>Blackburn with Darwen</v>
          </cell>
          <cell r="E2189" t="str">
            <v>Community School</v>
          </cell>
          <cell r="F2189" t="str">
            <v>Secondary</v>
          </cell>
        </row>
        <row r="2190">
          <cell r="A2190">
            <v>8783115</v>
          </cell>
          <cell r="B2190">
            <v>113400</v>
          </cell>
          <cell r="C2190" t="str">
            <v>Bearnes Voluntary Primary School</v>
          </cell>
          <cell r="D2190" t="str">
            <v>Devon</v>
          </cell>
          <cell r="E2190" t="str">
            <v>Voluntary Controlled School</v>
          </cell>
          <cell r="F2190" t="str">
            <v>Primary</v>
          </cell>
        </row>
        <row r="2191">
          <cell r="A2191">
            <v>8402477</v>
          </cell>
          <cell r="B2191">
            <v>114129</v>
          </cell>
          <cell r="C2191" t="str">
            <v>Bearpark Primary School</v>
          </cell>
          <cell r="D2191" t="str">
            <v>Durham</v>
          </cell>
          <cell r="E2191" t="str">
            <v>Community School</v>
          </cell>
          <cell r="F2191" t="str">
            <v>Primary</v>
          </cell>
        </row>
        <row r="2192">
          <cell r="A2192">
            <v>8726001</v>
          </cell>
          <cell r="B2192">
            <v>110137</v>
          </cell>
          <cell r="C2192" t="str">
            <v>Bearwood College</v>
          </cell>
          <cell r="D2192" t="str">
            <v>Wokingham</v>
          </cell>
          <cell r="E2192" t="str">
            <v>Other Independent School</v>
          </cell>
          <cell r="F2192" t="str">
            <v>Not applicable</v>
          </cell>
        </row>
        <row r="2193">
          <cell r="A2193">
            <v>8362264</v>
          </cell>
          <cell r="B2193">
            <v>113749</v>
          </cell>
          <cell r="C2193" t="str">
            <v>Bearwood Primary and Nursery School</v>
          </cell>
          <cell r="D2193" t="str">
            <v>Poole</v>
          </cell>
          <cell r="E2193" t="str">
            <v>Community School</v>
          </cell>
          <cell r="F2193" t="str">
            <v>Primary</v>
          </cell>
        </row>
        <row r="2194">
          <cell r="A2194">
            <v>3332105</v>
          </cell>
          <cell r="B2194">
            <v>103933</v>
          </cell>
          <cell r="C2194" t="str">
            <v>Bearwood Primary School</v>
          </cell>
          <cell r="D2194" t="str">
            <v>Sandwell</v>
          </cell>
          <cell r="E2194" t="str">
            <v>Community School</v>
          </cell>
          <cell r="F2194" t="str">
            <v>Primary</v>
          </cell>
        </row>
        <row r="2195">
          <cell r="A2195">
            <v>8722100</v>
          </cell>
          <cell r="B2195">
            <v>109836</v>
          </cell>
          <cell r="C2195" t="str">
            <v>Bearwood Primary School</v>
          </cell>
          <cell r="D2195" t="str">
            <v>Wokingham</v>
          </cell>
          <cell r="E2195" t="str">
            <v>Community School</v>
          </cell>
          <cell r="F2195" t="str">
            <v>Primary</v>
          </cell>
        </row>
        <row r="2196">
          <cell r="A2196">
            <v>2117168</v>
          </cell>
          <cell r="B2196">
            <v>100989</v>
          </cell>
          <cell r="C2196" t="str">
            <v>Beatrice Tate School</v>
          </cell>
          <cell r="D2196" t="str">
            <v>Tower Hamlets</v>
          </cell>
          <cell r="E2196" t="str">
            <v>Community Special School</v>
          </cell>
          <cell r="F2196" t="str">
            <v>Special</v>
          </cell>
        </row>
        <row r="2197">
          <cell r="A2197">
            <v>2122034</v>
          </cell>
          <cell r="B2197">
            <v>100997</v>
          </cell>
          <cell r="C2197" t="str">
            <v>Beatrix Potter Primary School</v>
          </cell>
          <cell r="D2197" t="str">
            <v>Wandsworth</v>
          </cell>
          <cell r="E2197" t="str">
            <v>Community School</v>
          </cell>
          <cell r="F2197" t="str">
            <v>Primary</v>
          </cell>
        </row>
        <row r="2198">
          <cell r="A2198">
            <v>8224126</v>
          </cell>
          <cell r="B2198">
            <v>109692</v>
          </cell>
          <cell r="C2198" t="str">
            <v>Beauchamp Middle School</v>
          </cell>
          <cell r="D2198" t="str">
            <v>Bedford</v>
          </cell>
          <cell r="E2198" t="str">
            <v>Community School</v>
          </cell>
          <cell r="F2198" t="str">
            <v>Middle Deemed Secondary</v>
          </cell>
        </row>
        <row r="2199">
          <cell r="A2199">
            <v>8815406</v>
          </cell>
          <cell r="B2199">
            <v>115322</v>
          </cell>
          <cell r="C2199" t="str">
            <v>Beauchamps High School</v>
          </cell>
          <cell r="D2199" t="str">
            <v>Essex</v>
          </cell>
          <cell r="E2199" t="str">
            <v>Foundation School</v>
          </cell>
          <cell r="F2199" t="str">
            <v>Secondary</v>
          </cell>
        </row>
        <row r="2200">
          <cell r="A2200">
            <v>9362912</v>
          </cell>
          <cell r="B2200">
            <v>125096</v>
          </cell>
          <cell r="C2200" t="str">
            <v>Beauclerc Infant and Nursery School</v>
          </cell>
          <cell r="D2200" t="str">
            <v>Surrey</v>
          </cell>
          <cell r="E2200" t="str">
            <v>Community School</v>
          </cell>
          <cell r="F2200" t="str">
            <v>Primary</v>
          </cell>
        </row>
        <row r="2201">
          <cell r="A2201">
            <v>8355950</v>
          </cell>
          <cell r="B2201">
            <v>113956</v>
          </cell>
          <cell r="C2201" t="str">
            <v>Beaucroft Foundation School</v>
          </cell>
          <cell r="D2201" t="str">
            <v>Dorset</v>
          </cell>
          <cell r="E2201" t="str">
            <v>Foundation Special School</v>
          </cell>
          <cell r="F2201" t="str">
            <v>Special</v>
          </cell>
        </row>
        <row r="2202">
          <cell r="A2202">
            <v>8232067</v>
          </cell>
          <cell r="B2202">
            <v>109466</v>
          </cell>
          <cell r="C2202" t="str">
            <v>Beaudesert Lower School</v>
          </cell>
          <cell r="D2202" t="str">
            <v>Central Bedfordshire</v>
          </cell>
          <cell r="E2202" t="str">
            <v>Community School</v>
          </cell>
          <cell r="F2202" t="str">
            <v>Primary</v>
          </cell>
        </row>
        <row r="2203">
          <cell r="A2203">
            <v>9166015</v>
          </cell>
          <cell r="B2203">
            <v>115786</v>
          </cell>
          <cell r="C2203" t="str">
            <v>Beaudesert Park School</v>
          </cell>
          <cell r="D2203" t="str">
            <v>Gloucestershire</v>
          </cell>
          <cell r="E2203" t="str">
            <v>Other Independent School</v>
          </cell>
          <cell r="F2203" t="str">
            <v>Not applicable</v>
          </cell>
        </row>
        <row r="2204">
          <cell r="A2204">
            <v>9362942</v>
          </cell>
          <cell r="B2204">
            <v>125118</v>
          </cell>
          <cell r="C2204" t="str">
            <v>Beaufort Community Primary School</v>
          </cell>
          <cell r="D2204" t="str">
            <v>Surrey</v>
          </cell>
          <cell r="E2204" t="str">
            <v>Community School</v>
          </cell>
          <cell r="F2204" t="str">
            <v>Primary</v>
          </cell>
        </row>
        <row r="2205">
          <cell r="A2205">
            <v>8312004</v>
          </cell>
          <cell r="B2205">
            <v>131980</v>
          </cell>
          <cell r="C2205" t="str">
            <v>Beaufort Community Primary School</v>
          </cell>
          <cell r="D2205" t="str">
            <v>Derby</v>
          </cell>
          <cell r="E2205" t="str">
            <v>Community School</v>
          </cell>
          <cell r="F2205" t="str">
            <v>Primary</v>
          </cell>
        </row>
        <row r="2206">
          <cell r="A2206">
            <v>9164015</v>
          </cell>
          <cell r="B2206">
            <v>115721</v>
          </cell>
          <cell r="C2206" t="str">
            <v>Beaufort Community School</v>
          </cell>
          <cell r="D2206" t="str">
            <v>Gloucestershire</v>
          </cell>
          <cell r="E2206" t="str">
            <v>Foundation School</v>
          </cell>
          <cell r="F2206" t="str">
            <v>Secondary</v>
          </cell>
        </row>
        <row r="2207">
          <cell r="A2207">
            <v>9362920</v>
          </cell>
          <cell r="B2207">
            <v>130063</v>
          </cell>
          <cell r="C2207" t="str">
            <v>Beaufort County First School</v>
          </cell>
          <cell r="D2207" t="str">
            <v>Surrey</v>
          </cell>
          <cell r="E2207" t="str">
            <v>Community School</v>
          </cell>
          <cell r="F2207" t="str">
            <v>Primary</v>
          </cell>
        </row>
        <row r="2208">
          <cell r="A2208">
            <v>9362922</v>
          </cell>
          <cell r="B2208">
            <v>130064</v>
          </cell>
          <cell r="C2208" t="str">
            <v>Beaufort County Middle School</v>
          </cell>
          <cell r="D2208" t="str">
            <v>Surrey</v>
          </cell>
          <cell r="E2208" t="str">
            <v>Community School</v>
          </cell>
          <cell r="F2208" t="str">
            <v>Middle Deemed Primary</v>
          </cell>
        </row>
        <row r="2209">
          <cell r="A2209">
            <v>6772277</v>
          </cell>
          <cell r="B2209">
            <v>401407</v>
          </cell>
          <cell r="C2209" t="str">
            <v>Beaufort Hill Primary School</v>
          </cell>
          <cell r="D2209" t="str">
            <v>Blaenau Gwent</v>
          </cell>
          <cell r="E2209" t="str">
            <v>Welsh Establishment</v>
          </cell>
          <cell r="F2209" t="str">
            <v>Primary</v>
          </cell>
        </row>
        <row r="2210">
          <cell r="A2210">
            <v>2052035</v>
          </cell>
          <cell r="B2210">
            <v>126616</v>
          </cell>
          <cell r="C2210" t="str">
            <v>Beaufort House School</v>
          </cell>
          <cell r="D2210" t="str">
            <v>Hammersmith and Fulham</v>
          </cell>
          <cell r="E2210" t="str">
            <v>Community School</v>
          </cell>
          <cell r="F2210" t="str">
            <v>Primary</v>
          </cell>
        </row>
        <row r="2211">
          <cell r="A2211">
            <v>8312404</v>
          </cell>
          <cell r="B2211">
            <v>112716</v>
          </cell>
          <cell r="C2211" t="str">
            <v>Beaufort Infant School</v>
          </cell>
          <cell r="D2211" t="str">
            <v>Derby</v>
          </cell>
          <cell r="E2211" t="str">
            <v>Community School</v>
          </cell>
          <cell r="F2211" t="str">
            <v>Primary</v>
          </cell>
        </row>
        <row r="2212">
          <cell r="A2212">
            <v>3412012</v>
          </cell>
          <cell r="B2212">
            <v>104518</v>
          </cell>
          <cell r="C2212" t="str">
            <v>Beaufort Junior Mixed and Infant School</v>
          </cell>
          <cell r="D2212" t="str">
            <v>Liverpool</v>
          </cell>
          <cell r="E2212" t="str">
            <v>Community School</v>
          </cell>
          <cell r="F2212" t="str">
            <v>Primary</v>
          </cell>
        </row>
        <row r="2213">
          <cell r="A2213">
            <v>8312403</v>
          </cell>
          <cell r="B2213">
            <v>112715</v>
          </cell>
          <cell r="C2213" t="str">
            <v>Beaufort Junior School</v>
          </cell>
          <cell r="D2213" t="str">
            <v>Derby</v>
          </cell>
          <cell r="E2213" t="str">
            <v>Community School</v>
          </cell>
          <cell r="F2213" t="str">
            <v>Primary</v>
          </cell>
        </row>
        <row r="2214">
          <cell r="A2214">
            <v>3412224</v>
          </cell>
          <cell r="B2214">
            <v>131430</v>
          </cell>
          <cell r="C2214" t="str">
            <v>Beaufort Park Primary School</v>
          </cell>
          <cell r="D2214" t="str">
            <v>Liverpool</v>
          </cell>
          <cell r="E2214" t="str">
            <v>Community School</v>
          </cell>
          <cell r="F2214" t="str">
            <v>Primary</v>
          </cell>
        </row>
        <row r="2215">
          <cell r="A2215">
            <v>3307052</v>
          </cell>
          <cell r="B2215">
            <v>103627</v>
          </cell>
          <cell r="C2215" t="str">
            <v>Beaufort School</v>
          </cell>
          <cell r="D2215" t="str">
            <v>Birmingham</v>
          </cell>
          <cell r="E2215" t="str">
            <v>Community Special School</v>
          </cell>
          <cell r="F2215" t="str">
            <v>Special</v>
          </cell>
        </row>
        <row r="2216">
          <cell r="A2216">
            <v>9292227</v>
          </cell>
          <cell r="B2216">
            <v>122222</v>
          </cell>
          <cell r="C2216" t="str">
            <v>Beaufront First School</v>
          </cell>
          <cell r="D2216" t="str">
            <v>Northumberland</v>
          </cell>
          <cell r="E2216" t="str">
            <v>Community School</v>
          </cell>
          <cell r="F2216" t="str">
            <v>Primary</v>
          </cell>
        </row>
        <row r="2217">
          <cell r="A2217">
            <v>9222609</v>
          </cell>
          <cell r="B2217">
            <v>129394</v>
          </cell>
          <cell r="C2217" t="str">
            <v>Beauherne County Infant School</v>
          </cell>
          <cell r="D2217" t="str">
            <v>Pre LGR (1998) Kent</v>
          </cell>
          <cell r="E2217" t="str">
            <v>Community School</v>
          </cell>
          <cell r="F2217" t="str">
            <v>Primary</v>
          </cell>
        </row>
        <row r="2218">
          <cell r="A2218">
            <v>9222610</v>
          </cell>
          <cell r="B2218">
            <v>129395</v>
          </cell>
          <cell r="C2218" t="str">
            <v>Beauherne County Junior School</v>
          </cell>
          <cell r="D2218" t="str">
            <v>Pre LGR (1998) Kent</v>
          </cell>
          <cell r="E2218" t="str">
            <v>Community School</v>
          </cell>
          <cell r="F2218" t="str">
            <v>Primary</v>
          </cell>
        </row>
        <row r="2219">
          <cell r="A2219">
            <v>7076002</v>
          </cell>
          <cell r="B2219">
            <v>132523</v>
          </cell>
          <cell r="C2219" t="str">
            <v>Beaulieu Convent School</v>
          </cell>
          <cell r="D2219" t="str">
            <v>Jersey Offshore Establishments</v>
          </cell>
          <cell r="E2219" t="str">
            <v>Offshore Schools</v>
          </cell>
          <cell r="F2219" t="str">
            <v>Not applicable</v>
          </cell>
        </row>
        <row r="2220">
          <cell r="A2220">
            <v>8502014</v>
          </cell>
          <cell r="B2220">
            <v>115861</v>
          </cell>
          <cell r="C2220" t="str">
            <v>Beaulieu Village Primary School</v>
          </cell>
          <cell r="D2220" t="str">
            <v>Hampshire</v>
          </cell>
          <cell r="E2220" t="str">
            <v>Community School</v>
          </cell>
          <cell r="F2220" t="str">
            <v>Primary</v>
          </cell>
        </row>
        <row r="2221">
          <cell r="A2221">
            <v>855941</v>
          </cell>
          <cell r="B2221">
            <v>135492</v>
          </cell>
          <cell r="C2221" t="str">
            <v>Beaumanor Study Support Centre</v>
          </cell>
          <cell r="D2221" t="str">
            <v>Leicestershire</v>
          </cell>
          <cell r="E2221" t="str">
            <v>Playing for Success Centres</v>
          </cell>
          <cell r="F2221" t="str">
            <v>Not applicable</v>
          </cell>
        </row>
        <row r="2222">
          <cell r="A2222">
            <v>9266115</v>
          </cell>
          <cell r="B2222">
            <v>129638</v>
          </cell>
          <cell r="C2222" t="str">
            <v>Beaumont College</v>
          </cell>
          <cell r="D2222" t="str">
            <v>Norfolk</v>
          </cell>
          <cell r="E2222" t="str">
            <v>Other Independent School</v>
          </cell>
          <cell r="F2222" t="str">
            <v>Not applicable</v>
          </cell>
        </row>
        <row r="2223">
          <cell r="A2223">
            <v>9097904</v>
          </cell>
          <cell r="B2223">
            <v>131840</v>
          </cell>
          <cell r="C2223" t="str">
            <v>Beaumont College - A Scope College</v>
          </cell>
          <cell r="D2223" t="str">
            <v>Cumbria</v>
          </cell>
          <cell r="E2223" t="str">
            <v>Special College</v>
          </cell>
          <cell r="F2223" t="str">
            <v>16 Plus</v>
          </cell>
        </row>
        <row r="2224">
          <cell r="A2224">
            <v>9352931</v>
          </cell>
          <cell r="B2224">
            <v>133605</v>
          </cell>
          <cell r="C2224" t="str">
            <v>Beaumont Community Primary School</v>
          </cell>
          <cell r="D2224" t="str">
            <v>Suffolk</v>
          </cell>
          <cell r="E2224" t="str">
            <v>Community School</v>
          </cell>
          <cell r="F2224" t="str">
            <v>Primary</v>
          </cell>
        </row>
        <row r="2225">
          <cell r="A2225">
            <v>8417031</v>
          </cell>
          <cell r="B2225">
            <v>114348</v>
          </cell>
          <cell r="C2225" t="str">
            <v>Beaumont Hill School</v>
          </cell>
          <cell r="D2225" t="str">
            <v>Darlington</v>
          </cell>
          <cell r="E2225" t="str">
            <v>Community Special School</v>
          </cell>
          <cell r="F2225" t="str">
            <v>Special</v>
          </cell>
        </row>
        <row r="2226">
          <cell r="A2226">
            <v>8502532</v>
          </cell>
          <cell r="B2226">
            <v>116156</v>
          </cell>
          <cell r="C2226" t="str">
            <v>Beaumont Junior School</v>
          </cell>
          <cell r="D2226" t="str">
            <v>Hampshire</v>
          </cell>
          <cell r="E2226" t="str">
            <v>Community School</v>
          </cell>
          <cell r="F2226" t="str">
            <v>Primary</v>
          </cell>
        </row>
        <row r="2227">
          <cell r="A2227">
            <v>8564242</v>
          </cell>
          <cell r="B2227">
            <v>120281</v>
          </cell>
          <cell r="C2227" t="str">
            <v>Beaumont Leys School</v>
          </cell>
          <cell r="D2227" t="str">
            <v>Leicester</v>
          </cell>
          <cell r="E2227" t="str">
            <v>Community School</v>
          </cell>
          <cell r="F2227" t="str">
            <v>Secondary</v>
          </cell>
        </row>
        <row r="2228">
          <cell r="A2228">
            <v>8562363</v>
          </cell>
          <cell r="B2228">
            <v>120087</v>
          </cell>
          <cell r="C2228" t="str">
            <v>Beaumont Lodge Primary School</v>
          </cell>
          <cell r="D2228" t="str">
            <v>Leicester</v>
          </cell>
          <cell r="E2228" t="str">
            <v>Community School</v>
          </cell>
          <cell r="F2228" t="str">
            <v>Primary</v>
          </cell>
        </row>
        <row r="2229">
          <cell r="A2229">
            <v>3062062</v>
          </cell>
          <cell r="B2229">
            <v>101756</v>
          </cell>
          <cell r="C2229" t="str">
            <v>Beaumont Primary School</v>
          </cell>
          <cell r="D2229" t="str">
            <v>Croydon</v>
          </cell>
          <cell r="E2229" t="str">
            <v>Community School</v>
          </cell>
          <cell r="F2229" t="str">
            <v>Primary</v>
          </cell>
        </row>
        <row r="2230">
          <cell r="A2230">
            <v>3502040</v>
          </cell>
          <cell r="B2230">
            <v>105173</v>
          </cell>
          <cell r="C2230" t="str">
            <v>Beaumont Primary School</v>
          </cell>
          <cell r="D2230" t="str">
            <v>Bolton</v>
          </cell>
          <cell r="E2230" t="str">
            <v>Community School</v>
          </cell>
          <cell r="F2230" t="str">
            <v>Primary</v>
          </cell>
        </row>
        <row r="2231">
          <cell r="A2231">
            <v>9194043</v>
          </cell>
          <cell r="B2231">
            <v>117514</v>
          </cell>
          <cell r="C2231" t="str">
            <v>Beaumont School</v>
          </cell>
          <cell r="D2231" t="str">
            <v>Hertfordshire</v>
          </cell>
          <cell r="E2231" t="str">
            <v>Community School</v>
          </cell>
          <cell r="F2231" t="str">
            <v>Secondary</v>
          </cell>
        </row>
        <row r="2232">
          <cell r="A2232">
            <v>8732082</v>
          </cell>
          <cell r="B2232">
            <v>110643</v>
          </cell>
          <cell r="C2232" t="str">
            <v>Beaupre Community Primary School</v>
          </cell>
          <cell r="D2232" t="str">
            <v>Cambridgeshire</v>
          </cell>
          <cell r="E2232" t="str">
            <v>Community School</v>
          </cell>
          <cell r="F2232" t="str">
            <v>Primary</v>
          </cell>
        </row>
        <row r="2233">
          <cell r="A2233">
            <v>3322108</v>
          </cell>
          <cell r="B2233">
            <v>103798</v>
          </cell>
          <cell r="C2233" t="str">
            <v>Beauty Bank Primary School</v>
          </cell>
          <cell r="D2233" t="str">
            <v>Dudley</v>
          </cell>
          <cell r="E2233" t="str">
            <v>Community School</v>
          </cell>
          <cell r="F2233" t="str">
            <v>Primary</v>
          </cell>
        </row>
        <row r="2234">
          <cell r="A2234">
            <v>8861100</v>
          </cell>
          <cell r="B2234">
            <v>118230</v>
          </cell>
          <cell r="C2234" t="str">
            <v>Beaver Education Project At Beaver Centre</v>
          </cell>
          <cell r="D2234" t="str">
            <v>Kent</v>
          </cell>
          <cell r="E2234" t="str">
            <v>Pupil Referral Unit</v>
          </cell>
          <cell r="F2234" t="str">
            <v>PRU</v>
          </cell>
        </row>
        <row r="2235">
          <cell r="A2235">
            <v>8862503</v>
          </cell>
          <cell r="B2235">
            <v>118476</v>
          </cell>
          <cell r="C2235" t="str">
            <v>Beaver Green Infant School</v>
          </cell>
          <cell r="D2235" t="str">
            <v>Kent</v>
          </cell>
          <cell r="E2235" t="str">
            <v>Community School</v>
          </cell>
          <cell r="F2235" t="str">
            <v>Primary</v>
          </cell>
        </row>
        <row r="2236">
          <cell r="A2236">
            <v>8863905</v>
          </cell>
          <cell r="B2236">
            <v>135100</v>
          </cell>
          <cell r="C2236" t="str">
            <v>Beaver Green Primary School</v>
          </cell>
          <cell r="D2236" t="str">
            <v>Kent</v>
          </cell>
          <cell r="E2236" t="str">
            <v>Community School</v>
          </cell>
          <cell r="F2236" t="str">
            <v>Primary</v>
          </cell>
        </row>
        <row r="2237">
          <cell r="A2237">
            <v>3734222</v>
          </cell>
          <cell r="B2237">
            <v>127719</v>
          </cell>
          <cell r="C2237" t="str">
            <v>Beaver Hill School</v>
          </cell>
          <cell r="D2237" t="str">
            <v>Sheffield</v>
          </cell>
          <cell r="E2237" t="str">
            <v>Community School</v>
          </cell>
          <cell r="F2237" t="str">
            <v>Secondary</v>
          </cell>
        </row>
        <row r="2238">
          <cell r="A2238">
            <v>3522032</v>
          </cell>
          <cell r="B2238">
            <v>105393</v>
          </cell>
          <cell r="C2238" t="str">
            <v>Beaver Road Infant School</v>
          </cell>
          <cell r="D2238" t="str">
            <v>Manchester</v>
          </cell>
          <cell r="E2238" t="str">
            <v>Community School</v>
          </cell>
          <cell r="F2238" t="str">
            <v>Primary</v>
          </cell>
        </row>
        <row r="2239">
          <cell r="A2239">
            <v>3522031</v>
          </cell>
          <cell r="B2239">
            <v>105392</v>
          </cell>
          <cell r="C2239" t="str">
            <v>Beaver Road Junior School</v>
          </cell>
          <cell r="D2239" t="str">
            <v>Manchester</v>
          </cell>
          <cell r="E2239" t="str">
            <v>Community School</v>
          </cell>
          <cell r="F2239" t="str">
            <v>Primary</v>
          </cell>
        </row>
        <row r="2240">
          <cell r="A2240">
            <v>3522017</v>
          </cell>
          <cell r="B2240">
            <v>131939</v>
          </cell>
          <cell r="C2240" t="str">
            <v>Beaver Road Primary School</v>
          </cell>
          <cell r="D2240" t="str">
            <v>Manchester</v>
          </cell>
          <cell r="E2240" t="str">
            <v>Community School</v>
          </cell>
          <cell r="F2240" t="str">
            <v>Primary</v>
          </cell>
        </row>
        <row r="2241">
          <cell r="A2241">
            <v>3132073</v>
          </cell>
          <cell r="B2241">
            <v>102520</v>
          </cell>
          <cell r="C2241" t="str">
            <v>Beavers Community Primary School</v>
          </cell>
          <cell r="D2241" t="str">
            <v>Hounslow</v>
          </cell>
          <cell r="E2241" t="str">
            <v>Community School</v>
          </cell>
          <cell r="F2241" t="str">
            <v>Primary</v>
          </cell>
        </row>
        <row r="2242">
          <cell r="A2242">
            <v>2122806</v>
          </cell>
          <cell r="B2242">
            <v>126689</v>
          </cell>
          <cell r="C2242" t="str">
            <v>Beavers Holt Primary School</v>
          </cell>
          <cell r="D2242" t="str">
            <v>Wandsworth</v>
          </cell>
          <cell r="E2242" t="str">
            <v>Community School</v>
          </cell>
          <cell r="F2242" t="str">
            <v>Primary</v>
          </cell>
        </row>
        <row r="2243">
          <cell r="A2243">
            <v>3055408</v>
          </cell>
          <cell r="B2243">
            <v>101674</v>
          </cell>
          <cell r="C2243" t="str">
            <v>Beaverwood School for Girls</v>
          </cell>
          <cell r="D2243" t="str">
            <v>Bromley</v>
          </cell>
          <cell r="E2243" t="str">
            <v>Foundation School</v>
          </cell>
          <cell r="F2243" t="str">
            <v>Secondary</v>
          </cell>
        </row>
        <row r="2244">
          <cell r="A2244">
            <v>3055408</v>
          </cell>
          <cell r="B2244">
            <v>136467</v>
          </cell>
          <cell r="C2244" t="str">
            <v>Beaverwood School for Girls</v>
          </cell>
          <cell r="D2244" t="str">
            <v>Bromley</v>
          </cell>
          <cell r="E2244" t="str">
            <v>Academy Converters</v>
          </cell>
          <cell r="F2244" t="str">
            <v>Secondary</v>
          </cell>
        </row>
        <row r="2245">
          <cell r="A2245">
            <v>3444070</v>
          </cell>
          <cell r="B2245">
            <v>105106</v>
          </cell>
          <cell r="C2245" t="str">
            <v>Bebington High Sports College</v>
          </cell>
          <cell r="D2245" t="str">
            <v>Wirral</v>
          </cell>
          <cell r="E2245" t="str">
            <v>Foundation School</v>
          </cell>
          <cell r="F2245" t="str">
            <v>Secondary</v>
          </cell>
        </row>
        <row r="2246">
          <cell r="A2246">
            <v>9354062</v>
          </cell>
          <cell r="B2246">
            <v>124822</v>
          </cell>
          <cell r="C2246" t="str">
            <v>Beccles Middle School</v>
          </cell>
          <cell r="D2246" t="str">
            <v>Suffolk</v>
          </cell>
          <cell r="E2246" t="str">
            <v>Community School</v>
          </cell>
          <cell r="F2246" t="str">
            <v>Middle Deemed Secondary</v>
          </cell>
        </row>
        <row r="2247">
          <cell r="A2247">
            <v>3732274</v>
          </cell>
          <cell r="B2247">
            <v>107044</v>
          </cell>
          <cell r="C2247" t="str">
            <v>Beck Primary School</v>
          </cell>
          <cell r="D2247" t="str">
            <v>Sheffield</v>
          </cell>
          <cell r="E2247" t="str">
            <v>Community School</v>
          </cell>
          <cell r="F2247" t="str">
            <v>Primary</v>
          </cell>
        </row>
        <row r="2248">
          <cell r="A2248">
            <v>9352018</v>
          </cell>
          <cell r="B2248">
            <v>124541</v>
          </cell>
          <cell r="C2248" t="str">
            <v>Beck Row Primary School</v>
          </cell>
          <cell r="D2248" t="str">
            <v>Suffolk</v>
          </cell>
          <cell r="E2248" t="str">
            <v>Community School</v>
          </cell>
          <cell r="F2248" t="str">
            <v>Primary</v>
          </cell>
        </row>
        <row r="2249">
          <cell r="A2249">
            <v>8933010</v>
          </cell>
          <cell r="B2249">
            <v>123460</v>
          </cell>
          <cell r="C2249" t="str">
            <v>Beckbury CofE Primary School</v>
          </cell>
          <cell r="D2249" t="str">
            <v>Shropshire</v>
          </cell>
          <cell r="E2249" t="str">
            <v>Voluntary Controlled School</v>
          </cell>
          <cell r="F2249" t="str">
            <v>Primary</v>
          </cell>
        </row>
        <row r="2250">
          <cell r="A2250">
            <v>3056006</v>
          </cell>
          <cell r="B2250">
            <v>126799</v>
          </cell>
          <cell r="C2250" t="str">
            <v>Beckenham Convent School</v>
          </cell>
          <cell r="D2250" t="str">
            <v>Bromley</v>
          </cell>
          <cell r="E2250" t="str">
            <v>Other Independent School</v>
          </cell>
          <cell r="F2250" t="str">
            <v>Not applicable</v>
          </cell>
        </row>
        <row r="2251">
          <cell r="A2251">
            <v>9093500</v>
          </cell>
          <cell r="B2251">
            <v>112345</v>
          </cell>
          <cell r="C2251" t="str">
            <v>Beckermet CofE School</v>
          </cell>
          <cell r="D2251" t="str">
            <v>Cumbria</v>
          </cell>
          <cell r="E2251" t="str">
            <v>Voluntary Aided School</v>
          </cell>
          <cell r="F2251" t="str">
            <v>Primary</v>
          </cell>
        </row>
        <row r="2252">
          <cell r="A2252">
            <v>8812134</v>
          </cell>
          <cell r="B2252">
            <v>114794</v>
          </cell>
          <cell r="C2252" t="str">
            <v>Beckers Green Primary School</v>
          </cell>
          <cell r="D2252" t="str">
            <v>Essex</v>
          </cell>
          <cell r="E2252" t="str">
            <v>Community School</v>
          </cell>
          <cell r="F2252" t="str">
            <v>Primary</v>
          </cell>
        </row>
        <row r="2253">
          <cell r="A2253">
            <v>8022319</v>
          </cell>
          <cell r="B2253">
            <v>109123</v>
          </cell>
          <cell r="C2253" t="str">
            <v>Becket Primary School</v>
          </cell>
          <cell r="D2253" t="str">
            <v>North Somerset</v>
          </cell>
          <cell r="E2253" t="str">
            <v>Community School</v>
          </cell>
          <cell r="F2253" t="str">
            <v>Primary</v>
          </cell>
        </row>
        <row r="2254">
          <cell r="A2254">
            <v>8312405</v>
          </cell>
          <cell r="B2254">
            <v>112717</v>
          </cell>
          <cell r="C2254" t="str">
            <v>Becket Primary School</v>
          </cell>
          <cell r="D2254" t="str">
            <v>Derby</v>
          </cell>
          <cell r="E2254" t="str">
            <v>Community School</v>
          </cell>
          <cell r="F2254" t="str">
            <v>Primary</v>
          </cell>
        </row>
        <row r="2255">
          <cell r="A2255">
            <v>9226403</v>
          </cell>
          <cell r="B2255">
            <v>129453</v>
          </cell>
          <cell r="C2255" t="str">
            <v>Becket School</v>
          </cell>
          <cell r="D2255" t="str">
            <v>Pre LGR (1998) Kent</v>
          </cell>
          <cell r="E2255" t="str">
            <v>Other Independent School</v>
          </cell>
          <cell r="F2255" t="str">
            <v>Not applicable</v>
          </cell>
        </row>
        <row r="2256">
          <cell r="A2256">
            <v>3832250</v>
          </cell>
          <cell r="B2256">
            <v>127870</v>
          </cell>
          <cell r="C2256" t="str">
            <v>Beckett Park First School</v>
          </cell>
          <cell r="D2256" t="str">
            <v>Leeds</v>
          </cell>
          <cell r="E2256" t="str">
            <v>Community School</v>
          </cell>
          <cell r="F2256" t="str">
            <v>Primary</v>
          </cell>
        </row>
        <row r="2257">
          <cell r="A2257">
            <v>3834496</v>
          </cell>
          <cell r="B2257">
            <v>128011</v>
          </cell>
          <cell r="C2257" t="str">
            <v>Beckett Park Middle School</v>
          </cell>
          <cell r="D2257" t="str">
            <v>Leeds</v>
          </cell>
          <cell r="E2257" t="str">
            <v>Community School</v>
          </cell>
          <cell r="F2257" t="str">
            <v>Middle Deemed Secondary</v>
          </cell>
        </row>
        <row r="2258">
          <cell r="A2258">
            <v>3832424</v>
          </cell>
          <cell r="B2258">
            <v>107900</v>
          </cell>
          <cell r="C2258" t="str">
            <v>Beckett Park Primary School</v>
          </cell>
          <cell r="D2258" t="str">
            <v>Leeds</v>
          </cell>
          <cell r="E2258" t="str">
            <v>Community School</v>
          </cell>
          <cell r="F2258" t="str">
            <v>Primary</v>
          </cell>
        </row>
        <row r="2259">
          <cell r="A2259">
            <v>3711100</v>
          </cell>
          <cell r="B2259">
            <v>106663</v>
          </cell>
          <cell r="C2259" t="str">
            <v>Beckett Road Centre</v>
          </cell>
          <cell r="D2259" t="str">
            <v>Doncaster</v>
          </cell>
          <cell r="E2259" t="str">
            <v>Pupil Referral Unit</v>
          </cell>
          <cell r="F2259" t="str">
            <v>PRU</v>
          </cell>
        </row>
        <row r="2260">
          <cell r="A2260">
            <v>9316085</v>
          </cell>
          <cell r="B2260">
            <v>129779</v>
          </cell>
          <cell r="C2260" t="str">
            <v>Beckett School</v>
          </cell>
          <cell r="D2260" t="str">
            <v>Oxfordshire</v>
          </cell>
          <cell r="E2260" t="str">
            <v>Other Independent School</v>
          </cell>
          <cell r="F2260" t="str">
            <v>Not applicable</v>
          </cell>
        </row>
        <row r="2261">
          <cell r="A2261">
            <v>3804064</v>
          </cell>
          <cell r="B2261">
            <v>107386</v>
          </cell>
          <cell r="C2261" t="str">
            <v>Beckfoot School</v>
          </cell>
          <cell r="D2261" t="str">
            <v>Bradford</v>
          </cell>
          <cell r="E2261" t="str">
            <v>Community School</v>
          </cell>
          <cell r="F2261" t="str">
            <v>Secondary</v>
          </cell>
        </row>
        <row r="2262">
          <cell r="A2262">
            <v>2022036</v>
          </cell>
          <cell r="B2262">
            <v>100009</v>
          </cell>
          <cell r="C2262" t="str">
            <v>Beckford Primary School</v>
          </cell>
          <cell r="D2262" t="str">
            <v>Camden</v>
          </cell>
          <cell r="E2262" t="str">
            <v>Community School</v>
          </cell>
          <cell r="F2262" t="str">
            <v>Primary</v>
          </cell>
        </row>
        <row r="2263">
          <cell r="A2263">
            <v>8921105</v>
          </cell>
          <cell r="B2263">
            <v>131635</v>
          </cell>
          <cell r="C2263" t="str">
            <v>Beckhampton Centre</v>
          </cell>
          <cell r="D2263" t="str">
            <v>Nottingham</v>
          </cell>
          <cell r="E2263" t="str">
            <v>Pupil Referral Unit</v>
          </cell>
          <cell r="F2263" t="str">
            <v>PRU</v>
          </cell>
        </row>
        <row r="2264">
          <cell r="A2264">
            <v>8921107</v>
          </cell>
          <cell r="B2264">
            <v>131648</v>
          </cell>
          <cell r="C2264" t="str">
            <v>Beckhampton Centre</v>
          </cell>
          <cell r="D2264" t="str">
            <v>Nottingham</v>
          </cell>
          <cell r="E2264" t="str">
            <v>Pupil Referral Unit</v>
          </cell>
          <cell r="F2264" t="str">
            <v>PRU</v>
          </cell>
        </row>
        <row r="2265">
          <cell r="A2265">
            <v>8912679</v>
          </cell>
          <cell r="B2265">
            <v>122615</v>
          </cell>
          <cell r="C2265" t="str">
            <v>Beckingham Primary School</v>
          </cell>
          <cell r="D2265" t="str">
            <v>Nottinghamshire</v>
          </cell>
          <cell r="E2265" t="str">
            <v>Community School</v>
          </cell>
          <cell r="F2265" t="str">
            <v>Primary</v>
          </cell>
        </row>
        <row r="2266">
          <cell r="A2266">
            <v>9333008</v>
          </cell>
          <cell r="B2266">
            <v>123742</v>
          </cell>
          <cell r="C2266" t="str">
            <v>Beckington Church of England First School</v>
          </cell>
          <cell r="D2266" t="str">
            <v>Somerset</v>
          </cell>
          <cell r="E2266" t="str">
            <v>Voluntary Controlled School</v>
          </cell>
          <cell r="F2266" t="str">
            <v>Primary</v>
          </cell>
        </row>
        <row r="2267">
          <cell r="A2267">
            <v>8453004</v>
          </cell>
          <cell r="B2267">
            <v>114490</v>
          </cell>
          <cell r="C2267" t="str">
            <v>Beckley Church of England Primary School</v>
          </cell>
          <cell r="D2267" t="str">
            <v>East Sussex</v>
          </cell>
          <cell r="E2267" t="str">
            <v>Voluntary Controlled School</v>
          </cell>
          <cell r="F2267" t="str">
            <v>Primary</v>
          </cell>
        </row>
        <row r="2268">
          <cell r="A2268">
            <v>9313256</v>
          </cell>
          <cell r="B2268">
            <v>123175</v>
          </cell>
          <cell r="C2268" t="str">
            <v>Beckley Church of England Primary School</v>
          </cell>
          <cell r="D2268" t="str">
            <v>Oxfordshire</v>
          </cell>
          <cell r="E2268" t="str">
            <v>Voluntary Controlled School</v>
          </cell>
          <cell r="F2268" t="str">
            <v>Primary</v>
          </cell>
        </row>
        <row r="2269">
          <cell r="A2269">
            <v>3067004</v>
          </cell>
          <cell r="B2269">
            <v>101853</v>
          </cell>
          <cell r="C2269" t="str">
            <v>Beckmead School</v>
          </cell>
          <cell r="D2269" t="str">
            <v>Croydon</v>
          </cell>
          <cell r="E2269" t="str">
            <v>Community Special School</v>
          </cell>
          <cell r="F2269" t="str">
            <v>Special</v>
          </cell>
        </row>
        <row r="2270">
          <cell r="A2270">
            <v>9093662</v>
          </cell>
          <cell r="B2270">
            <v>134739</v>
          </cell>
          <cell r="C2270" t="str">
            <v>Beckstone Primary School</v>
          </cell>
          <cell r="D2270" t="str">
            <v>Cumbria</v>
          </cell>
          <cell r="E2270" t="str">
            <v>Community School</v>
          </cell>
          <cell r="F2270" t="str">
            <v>Primary</v>
          </cell>
        </row>
        <row r="2271">
          <cell r="A2271">
            <v>3167006</v>
          </cell>
          <cell r="B2271">
            <v>102792</v>
          </cell>
          <cell r="C2271" t="str">
            <v>Beckton Special School</v>
          </cell>
          <cell r="D2271" t="str">
            <v>Newham</v>
          </cell>
          <cell r="E2271" t="str">
            <v>Community Special School</v>
          </cell>
          <cell r="F2271" t="str">
            <v>Special</v>
          </cell>
        </row>
        <row r="2272">
          <cell r="A2272">
            <v>8152348</v>
          </cell>
          <cell r="B2272">
            <v>121411</v>
          </cell>
          <cell r="C2272" t="str">
            <v>Beckwithshaw Community Primary School</v>
          </cell>
          <cell r="D2272" t="str">
            <v>North Yorkshire</v>
          </cell>
          <cell r="E2272" t="str">
            <v>Community School</v>
          </cell>
          <cell r="F2272" t="str">
            <v>Primary</v>
          </cell>
        </row>
        <row r="2273">
          <cell r="A2273">
            <v>3172007</v>
          </cell>
          <cell r="B2273">
            <v>127012</v>
          </cell>
          <cell r="C2273" t="str">
            <v>Becontree Infant School</v>
          </cell>
          <cell r="D2273" t="str">
            <v>Redbridge</v>
          </cell>
          <cell r="E2273" t="str">
            <v>Community School</v>
          </cell>
          <cell r="F2273" t="str">
            <v>Primary</v>
          </cell>
        </row>
        <row r="2274">
          <cell r="A2274">
            <v>3172006</v>
          </cell>
          <cell r="B2274">
            <v>127011</v>
          </cell>
          <cell r="C2274" t="str">
            <v>Becontree Junior School</v>
          </cell>
          <cell r="D2274" t="str">
            <v>Redbridge</v>
          </cell>
          <cell r="E2274" t="str">
            <v>Community School</v>
          </cell>
          <cell r="F2274" t="str">
            <v>Primary</v>
          </cell>
        </row>
        <row r="2275">
          <cell r="A2275">
            <v>3012068</v>
          </cell>
          <cell r="B2275">
            <v>101231</v>
          </cell>
          <cell r="C2275" t="str">
            <v>Becontree Primary School</v>
          </cell>
          <cell r="D2275" t="str">
            <v>Barking and Dagenham</v>
          </cell>
          <cell r="E2275" t="str">
            <v>Community School</v>
          </cell>
          <cell r="F2275" t="str">
            <v>Primary</v>
          </cell>
        </row>
        <row r="2276">
          <cell r="A2276">
            <v>9284058</v>
          </cell>
          <cell r="B2276">
            <v>122068</v>
          </cell>
          <cell r="C2276" t="str">
            <v>Bective Middle School</v>
          </cell>
          <cell r="D2276" t="str">
            <v>Northamptonshire</v>
          </cell>
          <cell r="E2276" t="str">
            <v>Community School</v>
          </cell>
          <cell r="F2276" t="str">
            <v>Middle Deemed Secondary</v>
          </cell>
        </row>
        <row r="2277">
          <cell r="A2277">
            <v>3737038</v>
          </cell>
          <cell r="B2277">
            <v>107184</v>
          </cell>
          <cell r="C2277" t="str">
            <v>Becton School</v>
          </cell>
          <cell r="D2277" t="str">
            <v>Sheffield</v>
          </cell>
          <cell r="E2277" t="str">
            <v>Community Special School</v>
          </cell>
          <cell r="F2277" t="str">
            <v>Special</v>
          </cell>
        </row>
        <row r="2278">
          <cell r="A2278">
            <v>8153010</v>
          </cell>
          <cell r="B2278">
            <v>121479</v>
          </cell>
          <cell r="C2278" t="str">
            <v>Bedale Church of England Primary School</v>
          </cell>
          <cell r="D2278" t="str">
            <v>North Yorkshire</v>
          </cell>
          <cell r="E2278" t="str">
            <v>Voluntary Controlled School</v>
          </cell>
          <cell r="F2278" t="str">
            <v>Primary</v>
          </cell>
        </row>
        <row r="2279">
          <cell r="A2279">
            <v>8154052</v>
          </cell>
          <cell r="B2279">
            <v>121670</v>
          </cell>
          <cell r="C2279" t="str">
            <v>Bedale High School</v>
          </cell>
          <cell r="D2279" t="str">
            <v>North Yorkshire</v>
          </cell>
          <cell r="E2279" t="str">
            <v>Community School</v>
          </cell>
          <cell r="F2279" t="str">
            <v>Secondary</v>
          </cell>
        </row>
        <row r="2280">
          <cell r="A2280">
            <v>8506007</v>
          </cell>
          <cell r="B2280">
            <v>116527</v>
          </cell>
          <cell r="C2280" t="str">
            <v>Bedales School</v>
          </cell>
          <cell r="D2280" t="str">
            <v>Hampshire</v>
          </cell>
          <cell r="E2280" t="str">
            <v>Other Independent School</v>
          </cell>
          <cell r="F2280" t="str">
            <v>Not applicable</v>
          </cell>
        </row>
        <row r="2281">
          <cell r="A2281">
            <v>3192040</v>
          </cell>
          <cell r="B2281">
            <v>102983</v>
          </cell>
          <cell r="C2281" t="str">
            <v>Beddington Infants' School</v>
          </cell>
          <cell r="D2281" t="str">
            <v>Sutton</v>
          </cell>
          <cell r="E2281" t="str">
            <v>Community School</v>
          </cell>
          <cell r="F2281" t="str">
            <v>Primary</v>
          </cell>
        </row>
        <row r="2282">
          <cell r="A2282">
            <v>3192022</v>
          </cell>
          <cell r="B2282">
            <v>102974</v>
          </cell>
          <cell r="C2282" t="str">
            <v>Beddington Park Primary School</v>
          </cell>
          <cell r="D2282" t="str">
            <v>Sutton</v>
          </cell>
          <cell r="E2282" t="str">
            <v>Community School</v>
          </cell>
          <cell r="F2282" t="str">
            <v>Primary</v>
          </cell>
        </row>
        <row r="2283">
          <cell r="A2283">
            <v>9296905</v>
          </cell>
          <cell r="B2283">
            <v>135619</v>
          </cell>
          <cell r="C2283" t="str">
            <v>Bede Academy</v>
          </cell>
          <cell r="D2283" t="str">
            <v>Northumberland</v>
          </cell>
          <cell r="E2283" t="str">
            <v>Academy Sponsor Led</v>
          </cell>
          <cell r="F2283" t="str">
            <v>Not applicable</v>
          </cell>
        </row>
        <row r="2284">
          <cell r="A2284">
            <v>3932055</v>
          </cell>
          <cell r="B2284">
            <v>108693</v>
          </cell>
          <cell r="C2284" t="str">
            <v>Bede Burn Primary School</v>
          </cell>
          <cell r="D2284" t="str">
            <v>South Tyneside</v>
          </cell>
          <cell r="E2284" t="str">
            <v>Community School</v>
          </cell>
          <cell r="F2284" t="str">
            <v>Primary</v>
          </cell>
        </row>
        <row r="2285">
          <cell r="A2285">
            <v>8088605</v>
          </cell>
          <cell r="B2285">
            <v>130578</v>
          </cell>
          <cell r="C2285" t="str">
            <v>Bede College</v>
          </cell>
          <cell r="D2285" t="str">
            <v>Stockton-on-Tees</v>
          </cell>
          <cell r="E2285" t="str">
            <v>Further Education</v>
          </cell>
          <cell r="F2285" t="str">
            <v>16 Plus</v>
          </cell>
        </row>
        <row r="2286">
          <cell r="A2286">
            <v>3902039</v>
          </cell>
          <cell r="B2286">
            <v>108327</v>
          </cell>
          <cell r="C2286" t="str">
            <v>Bede Community Primary School</v>
          </cell>
          <cell r="D2286" t="str">
            <v>Gateshead</v>
          </cell>
          <cell r="E2286" t="str">
            <v>Community School</v>
          </cell>
          <cell r="F2286" t="str">
            <v>Primary</v>
          </cell>
        </row>
        <row r="2287">
          <cell r="A2287">
            <v>3944000</v>
          </cell>
          <cell r="B2287">
            <v>128204</v>
          </cell>
          <cell r="C2287" t="str">
            <v>Bede School</v>
          </cell>
          <cell r="D2287" t="str">
            <v>Sunderland</v>
          </cell>
          <cell r="E2287" t="str">
            <v>Community School</v>
          </cell>
          <cell r="F2287" t="str">
            <v>Secondary</v>
          </cell>
        </row>
        <row r="2288">
          <cell r="A2288">
            <v>9074499</v>
          </cell>
          <cell r="B2288">
            <v>128519</v>
          </cell>
          <cell r="C2288" t="str">
            <v>Bede Sixth Form College</v>
          </cell>
          <cell r="D2288" t="str">
            <v>Pre LGR (1996) Cleveland</v>
          </cell>
          <cell r="E2288" t="str">
            <v>Community School</v>
          </cell>
          <cell r="F2288" t="str">
            <v>Secondary</v>
          </cell>
        </row>
        <row r="2289">
          <cell r="A2289">
            <v>3145950</v>
          </cell>
          <cell r="B2289">
            <v>102621</v>
          </cell>
          <cell r="C2289" t="str">
            <v>Bedelsford School</v>
          </cell>
          <cell r="D2289" t="str">
            <v>Kingston upon Thames</v>
          </cell>
          <cell r="E2289" t="str">
            <v>Foundation Special School</v>
          </cell>
          <cell r="F2289" t="str">
            <v>Special</v>
          </cell>
        </row>
        <row r="2290">
          <cell r="A2290">
            <v>9172600</v>
          </cell>
          <cell r="B2290">
            <v>116159</v>
          </cell>
          <cell r="C2290" t="str">
            <v>Bedenham Infants' School</v>
          </cell>
          <cell r="D2290" t="str">
            <v>Pre LGR (1997) Hampshire</v>
          </cell>
          <cell r="E2290" t="str">
            <v>Community School</v>
          </cell>
          <cell r="F2290" t="str">
            <v>Primary</v>
          </cell>
        </row>
        <row r="2291">
          <cell r="A2291">
            <v>9172601</v>
          </cell>
          <cell r="B2291">
            <v>116160</v>
          </cell>
          <cell r="C2291" t="str">
            <v>Bedenham Junior School</v>
          </cell>
          <cell r="D2291" t="str">
            <v>Pre LGR (1997) Hampshire</v>
          </cell>
          <cell r="E2291" t="str">
            <v>Community School</v>
          </cell>
          <cell r="F2291" t="str">
            <v>Primary</v>
          </cell>
        </row>
        <row r="2292">
          <cell r="A2292">
            <v>8502776</v>
          </cell>
          <cell r="B2292">
            <v>131117</v>
          </cell>
          <cell r="C2292" t="str">
            <v>Bedenham Primary School</v>
          </cell>
          <cell r="D2292" t="str">
            <v>Hampshire</v>
          </cell>
          <cell r="E2292" t="str">
            <v>Community School</v>
          </cell>
          <cell r="F2292" t="str">
            <v>Primary</v>
          </cell>
        </row>
        <row r="2293">
          <cell r="A2293">
            <v>3932078</v>
          </cell>
          <cell r="B2293">
            <v>128183</v>
          </cell>
          <cell r="C2293" t="str">
            <v>Bedewell County Infant School</v>
          </cell>
          <cell r="D2293" t="str">
            <v>South Tyneside</v>
          </cell>
          <cell r="E2293" t="str">
            <v>Community School</v>
          </cell>
          <cell r="F2293" t="str">
            <v>Primary</v>
          </cell>
        </row>
        <row r="2294">
          <cell r="A2294">
            <v>3932077</v>
          </cell>
          <cell r="B2294">
            <v>128182</v>
          </cell>
          <cell r="C2294" t="str">
            <v>Bedewell County Junior School</v>
          </cell>
          <cell r="D2294" t="str">
            <v>South Tyneside</v>
          </cell>
          <cell r="E2294" t="str">
            <v>Community School</v>
          </cell>
          <cell r="F2294" t="str">
            <v>Primary</v>
          </cell>
        </row>
        <row r="2295">
          <cell r="A2295">
            <v>3931021</v>
          </cell>
          <cell r="B2295">
            <v>132799</v>
          </cell>
          <cell r="C2295" t="str">
            <v>Bedewell Early Years Excellence Centre</v>
          </cell>
          <cell r="D2295" t="str">
            <v>South Tyneside</v>
          </cell>
          <cell r="E2295" t="str">
            <v>LA Nursery School</v>
          </cell>
          <cell r="F2295" t="str">
            <v>Nursery</v>
          </cell>
        </row>
        <row r="2296">
          <cell r="A2296">
            <v>3932084</v>
          </cell>
          <cell r="B2296">
            <v>108705</v>
          </cell>
          <cell r="C2296" t="str">
            <v>Bedewell Primary School</v>
          </cell>
          <cell r="D2296" t="str">
            <v>South Tyneside</v>
          </cell>
          <cell r="E2296" t="str">
            <v>Community School</v>
          </cell>
          <cell r="F2296" t="str">
            <v>Primary</v>
          </cell>
        </row>
        <row r="2297">
          <cell r="A2297">
            <v>9353075</v>
          </cell>
          <cell r="B2297">
            <v>124720</v>
          </cell>
          <cell r="C2297" t="str">
            <v>Bedfield Church of England Voluntary Controlled Primary School</v>
          </cell>
          <cell r="D2297" t="str">
            <v>Suffolk</v>
          </cell>
          <cell r="E2297" t="str">
            <v>Voluntary Controlled School</v>
          </cell>
          <cell r="F2297" t="str">
            <v>Primary</v>
          </cell>
        </row>
        <row r="2298">
          <cell r="A2298">
            <v>3132017</v>
          </cell>
          <cell r="B2298">
            <v>102480</v>
          </cell>
          <cell r="C2298" t="str">
            <v>Bedfont Infant and Nursery School</v>
          </cell>
          <cell r="D2298" t="str">
            <v>Hounslow</v>
          </cell>
          <cell r="E2298" t="str">
            <v>Community School</v>
          </cell>
          <cell r="F2298" t="str">
            <v>Primary</v>
          </cell>
        </row>
        <row r="2299">
          <cell r="A2299">
            <v>3132016</v>
          </cell>
          <cell r="B2299">
            <v>102479</v>
          </cell>
          <cell r="C2299" t="str">
            <v>Bedfont Junior School</v>
          </cell>
          <cell r="D2299" t="str">
            <v>Hounslow</v>
          </cell>
          <cell r="E2299" t="str">
            <v>Community School</v>
          </cell>
          <cell r="F2299" t="str">
            <v>Primary</v>
          </cell>
        </row>
        <row r="2300">
          <cell r="A2300">
            <v>3132083</v>
          </cell>
          <cell r="B2300">
            <v>135831</v>
          </cell>
          <cell r="C2300" t="str">
            <v>Bedfont Primary School</v>
          </cell>
          <cell r="D2300" t="str">
            <v>Hounslow</v>
          </cell>
          <cell r="E2300" t="str">
            <v>Community School</v>
          </cell>
          <cell r="F2300" t="str">
            <v>Primary</v>
          </cell>
        </row>
        <row r="2301">
          <cell r="A2301">
            <v>8226905</v>
          </cell>
          <cell r="B2301">
            <v>136085</v>
          </cell>
          <cell r="C2301" t="str">
            <v>Bedford Academy</v>
          </cell>
          <cell r="D2301" t="str">
            <v>Bedford</v>
          </cell>
          <cell r="E2301" t="str">
            <v>Academy Sponsor Led</v>
          </cell>
          <cell r="F2301" t="str">
            <v>Secondary</v>
          </cell>
        </row>
        <row r="2302">
          <cell r="A2302">
            <v>8228000</v>
          </cell>
          <cell r="B2302">
            <v>130597</v>
          </cell>
          <cell r="C2302" t="str">
            <v>Bedford College</v>
          </cell>
          <cell r="D2302" t="str">
            <v>Bedford</v>
          </cell>
          <cell r="E2302" t="str">
            <v>Further Education</v>
          </cell>
          <cell r="F2302" t="str">
            <v>16 Plus</v>
          </cell>
        </row>
        <row r="2303">
          <cell r="A2303">
            <v>3442000</v>
          </cell>
          <cell r="B2303">
            <v>104988</v>
          </cell>
          <cell r="C2303" t="str">
            <v>Bedford Drive Primary School</v>
          </cell>
          <cell r="D2303" t="str">
            <v>Wirral</v>
          </cell>
          <cell r="E2303" t="str">
            <v>Community School</v>
          </cell>
          <cell r="F2303" t="str">
            <v>Primary</v>
          </cell>
        </row>
        <row r="2304">
          <cell r="A2304">
            <v>3834038</v>
          </cell>
          <cell r="B2304">
            <v>127980</v>
          </cell>
          <cell r="C2304" t="str">
            <v>Bedford Field Middle School</v>
          </cell>
          <cell r="D2304" t="str">
            <v>Leeds</v>
          </cell>
          <cell r="E2304" t="str">
            <v>Community School</v>
          </cell>
          <cell r="F2304" t="str">
            <v>Middle Deemed Secondary</v>
          </cell>
        </row>
        <row r="2305">
          <cell r="A2305">
            <v>8226012</v>
          </cell>
          <cell r="B2305">
            <v>109727</v>
          </cell>
          <cell r="C2305" t="str">
            <v>Bedford Girls' School</v>
          </cell>
          <cell r="D2305" t="str">
            <v>Bedford</v>
          </cell>
          <cell r="E2305" t="str">
            <v>Other Independent School</v>
          </cell>
          <cell r="F2305" t="str">
            <v>Not applicable</v>
          </cell>
        </row>
        <row r="2306">
          <cell r="A2306">
            <v>3593027</v>
          </cell>
          <cell r="B2306">
            <v>106446</v>
          </cell>
          <cell r="C2306" t="str">
            <v>Bedford Hall Methodist Primary School</v>
          </cell>
          <cell r="D2306" t="str">
            <v>Wigan</v>
          </cell>
          <cell r="E2306" t="str">
            <v>Voluntary Controlled School</v>
          </cell>
          <cell r="F2306" t="str">
            <v>Primary</v>
          </cell>
        </row>
        <row r="2307">
          <cell r="A2307">
            <v>3593017</v>
          </cell>
          <cell r="B2307">
            <v>127549</v>
          </cell>
          <cell r="C2307" t="str">
            <v>Bedford Hall Methodist Primary School</v>
          </cell>
          <cell r="D2307" t="str">
            <v>Wigan</v>
          </cell>
          <cell r="E2307" t="str">
            <v>Voluntary Controlled School</v>
          </cell>
          <cell r="F2307" t="str">
            <v>Primary</v>
          </cell>
        </row>
        <row r="2308">
          <cell r="A2308">
            <v>3594019</v>
          </cell>
          <cell r="B2308">
            <v>106523</v>
          </cell>
          <cell r="C2308" t="str">
            <v>Bedford High School</v>
          </cell>
          <cell r="D2308" t="str">
            <v>Wigan</v>
          </cell>
          <cell r="E2308" t="str">
            <v>Community School</v>
          </cell>
          <cell r="F2308" t="str">
            <v>Secondary</v>
          </cell>
        </row>
        <row r="2309">
          <cell r="A2309">
            <v>8226009</v>
          </cell>
          <cell r="B2309">
            <v>109716</v>
          </cell>
          <cell r="C2309" t="str">
            <v>Bedford High School</v>
          </cell>
          <cell r="D2309" t="str">
            <v>Bedford</v>
          </cell>
          <cell r="E2309" t="str">
            <v>Other Independent School</v>
          </cell>
          <cell r="F2309" t="str">
            <v>Not applicable</v>
          </cell>
        </row>
        <row r="2310">
          <cell r="A2310">
            <v>3432002</v>
          </cell>
          <cell r="B2310">
            <v>127361</v>
          </cell>
          <cell r="C2310" t="str">
            <v>Bedford Infant School</v>
          </cell>
          <cell r="D2310" t="str">
            <v>Sefton</v>
          </cell>
          <cell r="E2310" t="str">
            <v>Community School</v>
          </cell>
          <cell r="F2310" t="str">
            <v>Primary</v>
          </cell>
        </row>
        <row r="2311">
          <cell r="A2311">
            <v>3432000</v>
          </cell>
          <cell r="B2311">
            <v>127360</v>
          </cell>
          <cell r="C2311" t="str">
            <v>Bedford Junior School</v>
          </cell>
          <cell r="D2311" t="str">
            <v>Sefton</v>
          </cell>
          <cell r="E2311" t="str">
            <v>Community School</v>
          </cell>
          <cell r="F2311" t="str">
            <v>Primary</v>
          </cell>
        </row>
        <row r="2312">
          <cell r="A2312">
            <v>8226011</v>
          </cell>
          <cell r="B2312">
            <v>109728</v>
          </cell>
          <cell r="C2312" t="str">
            <v>Bedford Modern School</v>
          </cell>
          <cell r="D2312" t="str">
            <v>Bedford</v>
          </cell>
          <cell r="E2312" t="str">
            <v>Other Independent School</v>
          </cell>
          <cell r="F2312" t="str">
            <v>Not applicable</v>
          </cell>
        </row>
        <row r="2313">
          <cell r="A2313">
            <v>3432093</v>
          </cell>
          <cell r="B2313">
            <v>104892</v>
          </cell>
          <cell r="C2313" t="str">
            <v>Bedford Primary School</v>
          </cell>
          <cell r="D2313" t="str">
            <v>Sefton</v>
          </cell>
          <cell r="E2313" t="str">
            <v>Community School</v>
          </cell>
          <cell r="F2313" t="str">
            <v>Primary</v>
          </cell>
        </row>
        <row r="2314">
          <cell r="A2314">
            <v>8222061</v>
          </cell>
          <cell r="B2314">
            <v>109461</v>
          </cell>
          <cell r="C2314" t="str">
            <v>Bedford Road Lower School</v>
          </cell>
          <cell r="D2314" t="str">
            <v>Bedford</v>
          </cell>
          <cell r="E2314" t="str">
            <v>Community School</v>
          </cell>
          <cell r="F2314" t="str">
            <v>Primary</v>
          </cell>
        </row>
        <row r="2315">
          <cell r="A2315">
            <v>8226002</v>
          </cell>
          <cell r="B2315">
            <v>109718</v>
          </cell>
          <cell r="C2315" t="str">
            <v>Bedford School</v>
          </cell>
          <cell r="D2315" t="str">
            <v>Bedford</v>
          </cell>
          <cell r="E2315" t="str">
            <v>Other Independent School</v>
          </cell>
          <cell r="F2315" t="str">
            <v>Not applicable</v>
          </cell>
        </row>
        <row r="2316">
          <cell r="A2316">
            <v>9062199</v>
          </cell>
          <cell r="B2316">
            <v>128406</v>
          </cell>
          <cell r="C2316" t="str">
            <v>Bedford Street County Infant School</v>
          </cell>
          <cell r="D2316" t="str">
            <v>Pre LGR (1998) Cheshire</v>
          </cell>
          <cell r="E2316" t="str">
            <v>Community School</v>
          </cell>
          <cell r="F2316" t="str">
            <v>Primary</v>
          </cell>
        </row>
        <row r="2317">
          <cell r="A2317">
            <v>820941</v>
          </cell>
          <cell r="B2317">
            <v>134144</v>
          </cell>
          <cell r="C2317" t="str">
            <v>Bedford Study Centre</v>
          </cell>
          <cell r="D2317" t="str">
            <v>Pre LGR (2009) Bedfordshire</v>
          </cell>
          <cell r="E2317" t="str">
            <v>Playing for Success Centres</v>
          </cell>
          <cell r="F2317" t="str">
            <v>Not applicable</v>
          </cell>
        </row>
        <row r="2318">
          <cell r="A2318">
            <v>822940</v>
          </cell>
          <cell r="B2318">
            <v>133415</v>
          </cell>
          <cell r="C2318" t="str">
            <v>Bedford Study Support Centre</v>
          </cell>
          <cell r="D2318" t="str">
            <v>Bedford</v>
          </cell>
          <cell r="E2318" t="str">
            <v>Playing for Success Centres</v>
          </cell>
          <cell r="F2318" t="str">
            <v>Not applicable</v>
          </cell>
        </row>
        <row r="2319">
          <cell r="A2319">
            <v>8866051</v>
          </cell>
          <cell r="B2319">
            <v>118999</v>
          </cell>
          <cell r="C2319" t="str">
            <v>Bedgebury School</v>
          </cell>
          <cell r="D2319" t="str">
            <v>Kent</v>
          </cell>
          <cell r="E2319" t="str">
            <v>Other Independent School</v>
          </cell>
          <cell r="F2319" t="str">
            <v>Not applicable</v>
          </cell>
        </row>
        <row r="2320">
          <cell r="A2320">
            <v>8252175</v>
          </cell>
          <cell r="B2320">
            <v>110282</v>
          </cell>
          <cell r="C2320" t="str">
            <v>Bedgrove Infant School</v>
          </cell>
          <cell r="D2320" t="str">
            <v>Buckinghamshire</v>
          </cell>
          <cell r="E2320" t="str">
            <v>Foundation School</v>
          </cell>
          <cell r="F2320" t="str">
            <v>Primary</v>
          </cell>
        </row>
        <row r="2321">
          <cell r="A2321">
            <v>8252169</v>
          </cell>
          <cell r="B2321">
            <v>110280</v>
          </cell>
          <cell r="C2321" t="str">
            <v>Bedgrove Junior School</v>
          </cell>
          <cell r="D2321" t="str">
            <v>Buckinghamshire</v>
          </cell>
          <cell r="E2321" t="str">
            <v>Foundation School</v>
          </cell>
          <cell r="F2321" t="str">
            <v>Primary</v>
          </cell>
        </row>
        <row r="2322">
          <cell r="A2322">
            <v>9292032</v>
          </cell>
          <cell r="B2322">
            <v>122177</v>
          </cell>
          <cell r="C2322" t="str">
            <v>Bedlington Station First School</v>
          </cell>
          <cell r="D2322" t="str">
            <v>Northumberland</v>
          </cell>
          <cell r="E2322" t="str">
            <v>Community School</v>
          </cell>
          <cell r="F2322" t="str">
            <v>Primary</v>
          </cell>
        </row>
        <row r="2323">
          <cell r="A2323">
            <v>9292041</v>
          </cell>
          <cell r="B2323">
            <v>122181</v>
          </cell>
          <cell r="C2323" t="str">
            <v>Bedlington Stead Lane First School</v>
          </cell>
          <cell r="D2323" t="str">
            <v>Northumberland</v>
          </cell>
          <cell r="E2323" t="str">
            <v>Community School</v>
          </cell>
          <cell r="F2323" t="str">
            <v>Primary</v>
          </cell>
        </row>
        <row r="2324">
          <cell r="A2324">
            <v>9292030</v>
          </cell>
          <cell r="B2324">
            <v>122176</v>
          </cell>
          <cell r="C2324" t="str">
            <v>Bedlington West End First School</v>
          </cell>
          <cell r="D2324" t="str">
            <v>Northumberland</v>
          </cell>
          <cell r="E2324" t="str">
            <v>Community School</v>
          </cell>
          <cell r="F2324" t="str">
            <v>Primary</v>
          </cell>
        </row>
        <row r="2325">
          <cell r="A2325">
            <v>9293333</v>
          </cell>
          <cell r="B2325">
            <v>122281</v>
          </cell>
          <cell r="C2325" t="str">
            <v>Bedlington Whitley Memorial Church of England First School</v>
          </cell>
          <cell r="D2325" t="str">
            <v>Northumberland</v>
          </cell>
          <cell r="E2325" t="str">
            <v>Voluntary Aided School</v>
          </cell>
          <cell r="F2325" t="str">
            <v>Primary</v>
          </cell>
        </row>
        <row r="2326">
          <cell r="A2326">
            <v>9294434</v>
          </cell>
          <cell r="B2326">
            <v>122360</v>
          </cell>
          <cell r="C2326" t="str">
            <v>Bedlingtonshire Community High School</v>
          </cell>
          <cell r="D2326" t="str">
            <v>Northumberland</v>
          </cell>
          <cell r="E2326" t="str">
            <v>Community School</v>
          </cell>
          <cell r="F2326" t="str">
            <v>Secondary</v>
          </cell>
        </row>
        <row r="2327">
          <cell r="A2327">
            <v>9294041</v>
          </cell>
          <cell r="B2327">
            <v>122325</v>
          </cell>
          <cell r="C2327" t="str">
            <v>Bedlingtonshire Junior High School</v>
          </cell>
          <cell r="D2327" t="str">
            <v>Northumberland</v>
          </cell>
          <cell r="E2327" t="str">
            <v>Community School</v>
          </cell>
          <cell r="F2327" t="str">
            <v>Middle Deemed Secondary</v>
          </cell>
        </row>
        <row r="2328">
          <cell r="A2328">
            <v>6752054</v>
          </cell>
          <cell r="B2328">
            <v>401290</v>
          </cell>
          <cell r="C2328" t="str">
            <v>Bedlinog Primary School</v>
          </cell>
          <cell r="D2328" t="str">
            <v>Merthyr Tydfil</v>
          </cell>
          <cell r="E2328" t="str">
            <v>Welsh Establishment</v>
          </cell>
          <cell r="F2328" t="str">
            <v>Primary</v>
          </cell>
        </row>
        <row r="2329">
          <cell r="A2329">
            <v>8012012</v>
          </cell>
          <cell r="B2329">
            <v>108917</v>
          </cell>
          <cell r="C2329" t="str">
            <v>Bedminster Down Infant School</v>
          </cell>
          <cell r="D2329" t="str">
            <v>Bristol City of</v>
          </cell>
          <cell r="E2329" t="str">
            <v>Community School</v>
          </cell>
          <cell r="F2329" t="str">
            <v>Primary</v>
          </cell>
        </row>
        <row r="2330">
          <cell r="A2330">
            <v>8012011</v>
          </cell>
          <cell r="B2330">
            <v>108916</v>
          </cell>
          <cell r="C2330" t="str">
            <v>Bedminster Down Junior School</v>
          </cell>
          <cell r="D2330" t="str">
            <v>Bristol City of</v>
          </cell>
          <cell r="E2330" t="str">
            <v>Community School</v>
          </cell>
          <cell r="F2330" t="str">
            <v>Primary</v>
          </cell>
        </row>
        <row r="2331">
          <cell r="A2331">
            <v>8014037</v>
          </cell>
          <cell r="B2331">
            <v>109283</v>
          </cell>
          <cell r="C2331" t="str">
            <v>Bedminster Down School</v>
          </cell>
          <cell r="D2331" t="str">
            <v>Bristol City of</v>
          </cell>
          <cell r="E2331" t="str">
            <v>Community School</v>
          </cell>
          <cell r="F2331" t="str">
            <v>Secondary</v>
          </cell>
        </row>
        <row r="2332">
          <cell r="A2332">
            <v>9192270</v>
          </cell>
          <cell r="B2332">
            <v>117248</v>
          </cell>
          <cell r="C2332" t="str">
            <v>Bedmond Village Primary and Nursery School</v>
          </cell>
          <cell r="D2332" t="str">
            <v>Hertfordshire</v>
          </cell>
          <cell r="E2332" t="str">
            <v>Community School</v>
          </cell>
          <cell r="F2332" t="str">
            <v>Primary</v>
          </cell>
        </row>
        <row r="2333">
          <cell r="A2333">
            <v>3032032</v>
          </cell>
          <cell r="B2333">
            <v>101421</v>
          </cell>
          <cell r="C2333" t="str">
            <v>Bedonwell Infant and Nursery School</v>
          </cell>
          <cell r="D2333" t="str">
            <v>Bexley</v>
          </cell>
          <cell r="E2333" t="str">
            <v>Community School</v>
          </cell>
          <cell r="F2333" t="str">
            <v>Primary</v>
          </cell>
        </row>
        <row r="2334">
          <cell r="A2334">
            <v>3032031</v>
          </cell>
          <cell r="B2334">
            <v>101420</v>
          </cell>
          <cell r="C2334" t="str">
            <v>Bedonwell Junior School</v>
          </cell>
          <cell r="D2334" t="str">
            <v>Bexley</v>
          </cell>
          <cell r="E2334" t="str">
            <v>Community School</v>
          </cell>
          <cell r="F2334" t="str">
            <v>Primary</v>
          </cell>
        </row>
        <row r="2335">
          <cell r="A2335">
            <v>3031000</v>
          </cell>
          <cell r="B2335">
            <v>101398</v>
          </cell>
          <cell r="C2335" t="str">
            <v>Bedonwell Nursery School</v>
          </cell>
          <cell r="D2335" t="str">
            <v>Bexley</v>
          </cell>
          <cell r="E2335" t="str">
            <v>LA Nursery School</v>
          </cell>
          <cell r="F2335" t="str">
            <v>Nursery</v>
          </cell>
        </row>
        <row r="2336">
          <cell r="A2336">
            <v>8936000</v>
          </cell>
          <cell r="B2336">
            <v>123599</v>
          </cell>
          <cell r="C2336" t="str">
            <v>Bedstone College</v>
          </cell>
          <cell r="D2336" t="str">
            <v>Shropshire</v>
          </cell>
          <cell r="E2336" t="str">
            <v>Other Independent School</v>
          </cell>
          <cell r="F2336" t="str">
            <v>Not applicable</v>
          </cell>
        </row>
        <row r="2337">
          <cell r="A2337">
            <v>6764093</v>
          </cell>
          <cell r="B2337">
            <v>401842</v>
          </cell>
          <cell r="C2337" t="str">
            <v>Bedwas High School</v>
          </cell>
          <cell r="D2337" t="str">
            <v>Caerphilly</v>
          </cell>
          <cell r="E2337" t="str">
            <v>Welsh Establishment</v>
          </cell>
          <cell r="F2337" t="str">
            <v>Secondary</v>
          </cell>
        </row>
        <row r="2338">
          <cell r="A2338">
            <v>6762335</v>
          </cell>
          <cell r="B2338">
            <v>401369</v>
          </cell>
          <cell r="C2338" t="str">
            <v>Bedwas Infant School</v>
          </cell>
          <cell r="D2338" t="str">
            <v>Caerphilly</v>
          </cell>
          <cell r="E2338" t="str">
            <v>Welsh Establishment</v>
          </cell>
          <cell r="F2338" t="str">
            <v>Primary</v>
          </cell>
        </row>
        <row r="2339">
          <cell r="A2339">
            <v>6762323</v>
          </cell>
          <cell r="B2339">
            <v>401364</v>
          </cell>
          <cell r="C2339" t="str">
            <v>Bedwas Junior School</v>
          </cell>
          <cell r="D2339" t="str">
            <v>Caerphilly</v>
          </cell>
          <cell r="E2339" t="str">
            <v>Welsh Establishment</v>
          </cell>
          <cell r="F2339" t="str">
            <v>Primary</v>
          </cell>
        </row>
        <row r="2340">
          <cell r="A2340">
            <v>9192188</v>
          </cell>
          <cell r="B2340">
            <v>117200</v>
          </cell>
          <cell r="C2340" t="str">
            <v>Bedwell Primary School</v>
          </cell>
          <cell r="D2340" t="str">
            <v>Hertfordshire</v>
          </cell>
          <cell r="E2340" t="str">
            <v>Community School</v>
          </cell>
          <cell r="F2340" t="str">
            <v>Primary</v>
          </cell>
        </row>
        <row r="2341">
          <cell r="A2341">
            <v>6764102</v>
          </cell>
          <cell r="B2341">
            <v>401843</v>
          </cell>
          <cell r="C2341" t="str">
            <v>Bedwellty Comprehensive School</v>
          </cell>
          <cell r="D2341" t="str">
            <v>Caerphilly</v>
          </cell>
          <cell r="E2341" t="str">
            <v>Welsh Establishment</v>
          </cell>
          <cell r="F2341" t="str">
            <v>Secondary</v>
          </cell>
        </row>
        <row r="2342">
          <cell r="A2342">
            <v>9371001</v>
          </cell>
          <cell r="B2342">
            <v>125485</v>
          </cell>
          <cell r="C2342" t="str">
            <v>Bedworth Early Years Centre and Nursery</v>
          </cell>
          <cell r="D2342" t="str">
            <v>Warwickshire</v>
          </cell>
          <cell r="E2342" t="str">
            <v>LA Nursery School</v>
          </cell>
          <cell r="F2342" t="str">
            <v>Nursery</v>
          </cell>
        </row>
        <row r="2343">
          <cell r="A2343">
            <v>9371002</v>
          </cell>
          <cell r="B2343">
            <v>125486</v>
          </cell>
          <cell r="C2343" t="str">
            <v>Bedworth Heath Nursery School</v>
          </cell>
          <cell r="D2343" t="str">
            <v>Warwickshire</v>
          </cell>
          <cell r="E2343" t="str">
            <v>LA Nursery School</v>
          </cell>
          <cell r="F2343" t="str">
            <v>Nursery</v>
          </cell>
        </row>
        <row r="2344">
          <cell r="A2344">
            <v>8856042</v>
          </cell>
          <cell r="B2344">
            <v>137670</v>
          </cell>
          <cell r="C2344" t="str">
            <v>Beech Bank School</v>
          </cell>
          <cell r="D2344" t="str">
            <v>Worcestershire</v>
          </cell>
          <cell r="E2344" t="str">
            <v>Other Independent Special School</v>
          </cell>
          <cell r="F2344" t="str">
            <v>Not applicable</v>
          </cell>
        </row>
        <row r="2345">
          <cell r="A2345">
            <v>8502355</v>
          </cell>
          <cell r="B2345">
            <v>116064</v>
          </cell>
          <cell r="C2345" t="str">
            <v>Beech Down Primary School</v>
          </cell>
          <cell r="D2345" t="str">
            <v>Hampshire</v>
          </cell>
          <cell r="E2345" t="str">
            <v>Community School</v>
          </cell>
          <cell r="F2345" t="str">
            <v>Primary</v>
          </cell>
        </row>
        <row r="2346">
          <cell r="A2346">
            <v>3822146</v>
          </cell>
          <cell r="B2346">
            <v>107692</v>
          </cell>
          <cell r="C2346" t="str">
            <v>Beech Early Years Infant and Junior School</v>
          </cell>
          <cell r="D2346" t="str">
            <v>Kirklees</v>
          </cell>
          <cell r="E2346" t="str">
            <v>Community School</v>
          </cell>
          <cell r="F2346" t="str">
            <v>Primary</v>
          </cell>
        </row>
        <row r="2347">
          <cell r="A2347">
            <v>8251001</v>
          </cell>
          <cell r="B2347">
            <v>110196</v>
          </cell>
          <cell r="C2347" t="str">
            <v>Beech Green Nursery School</v>
          </cell>
          <cell r="D2347" t="str">
            <v>Buckinghamshire</v>
          </cell>
          <cell r="E2347" t="str">
            <v>LA Nursery School</v>
          </cell>
          <cell r="F2347" t="str">
            <v>Nursery</v>
          </cell>
        </row>
        <row r="2348">
          <cell r="A2348">
            <v>9162171</v>
          </cell>
          <cell r="B2348">
            <v>115600</v>
          </cell>
          <cell r="C2348" t="str">
            <v>Beech Green Primary School</v>
          </cell>
          <cell r="D2348" t="str">
            <v>Gloucestershire</v>
          </cell>
          <cell r="E2348" t="str">
            <v>Community School</v>
          </cell>
          <cell r="F2348" t="str">
            <v>Primary</v>
          </cell>
        </row>
        <row r="2349">
          <cell r="A2349">
            <v>8933086</v>
          </cell>
          <cell r="B2349">
            <v>123492</v>
          </cell>
          <cell r="C2349" t="str">
            <v>Beech Grove CofE Junior School</v>
          </cell>
          <cell r="D2349" t="str">
            <v>Shropshire</v>
          </cell>
          <cell r="E2349" t="str">
            <v>Voluntary Controlled School</v>
          </cell>
          <cell r="F2349" t="str">
            <v>Primary</v>
          </cell>
        </row>
        <row r="2350">
          <cell r="A2350">
            <v>8072354</v>
          </cell>
          <cell r="B2350">
            <v>111652</v>
          </cell>
          <cell r="C2350" t="str">
            <v>Beech Grove Primary School</v>
          </cell>
          <cell r="D2350" t="str">
            <v>Redcar and Cleveland</v>
          </cell>
          <cell r="E2350" t="str">
            <v>Community School</v>
          </cell>
          <cell r="F2350" t="str">
            <v>Primary</v>
          </cell>
        </row>
        <row r="2351">
          <cell r="A2351">
            <v>9332224</v>
          </cell>
          <cell r="B2351">
            <v>123711</v>
          </cell>
          <cell r="C2351" t="str">
            <v>Beech Grove Primary School</v>
          </cell>
          <cell r="D2351" t="str">
            <v>Somerset</v>
          </cell>
          <cell r="E2351" t="str">
            <v>Community School</v>
          </cell>
          <cell r="F2351" t="str">
            <v>Primary</v>
          </cell>
        </row>
        <row r="2352">
          <cell r="A2352">
            <v>8062004</v>
          </cell>
          <cell r="B2352">
            <v>134267</v>
          </cell>
          <cell r="C2352" t="str">
            <v>Beech Grove Primary School (Beechwood Avenue)</v>
          </cell>
          <cell r="D2352" t="str">
            <v>Middlesbrough</v>
          </cell>
          <cell r="E2352" t="str">
            <v>Community School</v>
          </cell>
          <cell r="F2352" t="str">
            <v>Primary</v>
          </cell>
        </row>
        <row r="2353">
          <cell r="A2353">
            <v>8062120</v>
          </cell>
          <cell r="B2353">
            <v>111577</v>
          </cell>
          <cell r="C2353" t="str">
            <v>Beech Grove Primary School (Lambton Road)</v>
          </cell>
          <cell r="D2353" t="str">
            <v>Middlesbrough</v>
          </cell>
          <cell r="E2353" t="str">
            <v>Community School</v>
          </cell>
          <cell r="F2353" t="str">
            <v>Primary</v>
          </cell>
        </row>
        <row r="2354">
          <cell r="A2354">
            <v>8866073</v>
          </cell>
          <cell r="B2354">
            <v>131181</v>
          </cell>
          <cell r="C2354" t="str">
            <v>Beech Grove School</v>
          </cell>
          <cell r="D2354" t="str">
            <v>Kent</v>
          </cell>
          <cell r="E2354" t="str">
            <v>Other Independent School</v>
          </cell>
          <cell r="F2354" t="str">
            <v>Not applicable</v>
          </cell>
        </row>
        <row r="2355">
          <cell r="A2355">
            <v>8956008</v>
          </cell>
          <cell r="B2355">
            <v>111474</v>
          </cell>
          <cell r="C2355" t="str">
            <v>Beech Hall School</v>
          </cell>
          <cell r="D2355" t="str">
            <v>Cheshire East</v>
          </cell>
          <cell r="E2355" t="str">
            <v>Other Independent School</v>
          </cell>
          <cell r="F2355" t="str">
            <v>Not applicable</v>
          </cell>
        </row>
        <row r="2356">
          <cell r="A2356">
            <v>9022291</v>
          </cell>
          <cell r="B2356">
            <v>109593</v>
          </cell>
          <cell r="C2356" t="str">
            <v>Beech Hill Community Infant School</v>
          </cell>
          <cell r="D2356" t="str">
            <v>Pre LGR (1997) Bedfordshire</v>
          </cell>
          <cell r="E2356" t="str">
            <v>Community School</v>
          </cell>
          <cell r="F2356" t="str">
            <v>Primary</v>
          </cell>
        </row>
        <row r="2357">
          <cell r="A2357">
            <v>9022290</v>
          </cell>
          <cell r="B2357">
            <v>109592</v>
          </cell>
          <cell r="C2357" t="str">
            <v>Beech Hill Community Junior School</v>
          </cell>
          <cell r="D2357" t="str">
            <v>Pre LGR (1997) Bedfordshire</v>
          </cell>
          <cell r="E2357" t="str">
            <v>Community School</v>
          </cell>
          <cell r="F2357" t="str">
            <v>Primary</v>
          </cell>
        </row>
        <row r="2358">
          <cell r="A2358">
            <v>3592000</v>
          </cell>
          <cell r="B2358">
            <v>106399</v>
          </cell>
          <cell r="C2358" t="str">
            <v>Beech Hill Community Primary School</v>
          </cell>
          <cell r="D2358" t="str">
            <v>Wigan</v>
          </cell>
          <cell r="E2358" t="str">
            <v>Community School</v>
          </cell>
          <cell r="F2358" t="str">
            <v>Primary</v>
          </cell>
        </row>
        <row r="2359">
          <cell r="A2359">
            <v>8212295</v>
          </cell>
          <cell r="B2359">
            <v>131089</v>
          </cell>
          <cell r="C2359" t="str">
            <v>Beech Hill Community Primary School</v>
          </cell>
          <cell r="D2359" t="str">
            <v>Luton</v>
          </cell>
          <cell r="E2359" t="str">
            <v>Community School</v>
          </cell>
          <cell r="F2359" t="str">
            <v>Primary</v>
          </cell>
        </row>
        <row r="2360">
          <cell r="A2360">
            <v>3812019</v>
          </cell>
          <cell r="B2360">
            <v>107488</v>
          </cell>
          <cell r="C2360" t="str">
            <v>Beech Hill Junior and Infant School</v>
          </cell>
          <cell r="D2360" t="str">
            <v>Calderdale</v>
          </cell>
          <cell r="E2360" t="str">
            <v>Community School</v>
          </cell>
          <cell r="F2360" t="str">
            <v>Primary</v>
          </cell>
        </row>
        <row r="2361">
          <cell r="A2361">
            <v>3812019</v>
          </cell>
          <cell r="B2361">
            <v>137337</v>
          </cell>
          <cell r="C2361" t="str">
            <v>Beech Hill Junior and Infant School</v>
          </cell>
          <cell r="D2361" t="str">
            <v>Calderdale</v>
          </cell>
          <cell r="E2361" t="str">
            <v>Academy Converters</v>
          </cell>
          <cell r="F2361" t="str">
            <v>Primary</v>
          </cell>
        </row>
        <row r="2362">
          <cell r="A2362">
            <v>3912004</v>
          </cell>
          <cell r="B2362">
            <v>108441</v>
          </cell>
          <cell r="C2362" t="str">
            <v>Beech Hill Primary School</v>
          </cell>
          <cell r="D2362" t="str">
            <v>Newcastle upon Tyne</v>
          </cell>
          <cell r="E2362" t="str">
            <v>Community School</v>
          </cell>
          <cell r="F2362" t="str">
            <v>Primary</v>
          </cell>
        </row>
        <row r="2363">
          <cell r="A2363">
            <v>8917011</v>
          </cell>
          <cell r="B2363">
            <v>122948</v>
          </cell>
          <cell r="C2363" t="str">
            <v>Beech Hill School</v>
          </cell>
          <cell r="D2363" t="str">
            <v>Nottinghamshire</v>
          </cell>
          <cell r="E2363" t="str">
            <v>Community Special School</v>
          </cell>
          <cell r="F2363" t="str">
            <v>Special</v>
          </cell>
        </row>
        <row r="2364">
          <cell r="A2364">
            <v>9227064</v>
          </cell>
          <cell r="B2364">
            <v>129463</v>
          </cell>
          <cell r="C2364" t="str">
            <v>Beech House Hospital School</v>
          </cell>
          <cell r="D2364" t="str">
            <v>Pre LGR (1998) Kent</v>
          </cell>
          <cell r="E2364" t="str">
            <v>Community Special School</v>
          </cell>
          <cell r="F2364" t="str">
            <v>Special</v>
          </cell>
        </row>
        <row r="2365">
          <cell r="A2365">
            <v>3066075</v>
          </cell>
          <cell r="B2365">
            <v>101841</v>
          </cell>
          <cell r="C2365" t="str">
            <v>Beech House Preparatory School</v>
          </cell>
          <cell r="D2365" t="str">
            <v>Croydon</v>
          </cell>
          <cell r="E2365" t="str">
            <v>Other Independent School</v>
          </cell>
          <cell r="F2365" t="str">
            <v>Not applicable</v>
          </cell>
        </row>
        <row r="2366">
          <cell r="A2366">
            <v>3546001</v>
          </cell>
          <cell r="B2366">
            <v>105855</v>
          </cell>
          <cell r="C2366" t="str">
            <v>Beech House School</v>
          </cell>
          <cell r="D2366" t="str">
            <v>Rochdale</v>
          </cell>
          <cell r="E2366" t="str">
            <v>Other Independent School</v>
          </cell>
          <cell r="F2366" t="str">
            <v>Not applicable</v>
          </cell>
        </row>
        <row r="2367">
          <cell r="A2367">
            <v>3836115</v>
          </cell>
          <cell r="B2367">
            <v>108115</v>
          </cell>
          <cell r="C2367" t="str">
            <v>Beech House School</v>
          </cell>
          <cell r="D2367" t="str">
            <v>Leeds</v>
          </cell>
          <cell r="E2367" t="str">
            <v>Other Independent School</v>
          </cell>
          <cell r="F2367" t="str">
            <v>Not applicable</v>
          </cell>
        </row>
        <row r="2368">
          <cell r="A2368">
            <v>9192373</v>
          </cell>
          <cell r="B2368">
            <v>117301</v>
          </cell>
          <cell r="C2368" t="str">
            <v>Beech Hyde Primary School and Nursery</v>
          </cell>
          <cell r="D2368" t="str">
            <v>Hertfordshire</v>
          </cell>
          <cell r="E2368" t="str">
            <v>Community School</v>
          </cell>
          <cell r="F2368" t="str">
            <v>Primary</v>
          </cell>
        </row>
        <row r="2369">
          <cell r="A2369">
            <v>3552063</v>
          </cell>
          <cell r="B2369">
            <v>105906</v>
          </cell>
          <cell r="C2369" t="str">
            <v>Beech Street Community Primary School</v>
          </cell>
          <cell r="D2369" t="str">
            <v>Salford</v>
          </cell>
          <cell r="E2369" t="str">
            <v>Community School</v>
          </cell>
          <cell r="F2369" t="str">
            <v>Primary</v>
          </cell>
        </row>
        <row r="2370">
          <cell r="A2370">
            <v>8886017</v>
          </cell>
          <cell r="B2370">
            <v>119842</v>
          </cell>
          <cell r="C2370" t="str">
            <v>Beech Tree School - A Scope School</v>
          </cell>
          <cell r="D2370" t="str">
            <v>Lancashire</v>
          </cell>
          <cell r="E2370" t="str">
            <v>Other Independent Special School</v>
          </cell>
          <cell r="F2370" t="str">
            <v>Not applicable</v>
          </cell>
        </row>
        <row r="2371">
          <cell r="A2371">
            <v>8916034</v>
          </cell>
          <cell r="B2371">
            <v>135902</v>
          </cell>
          <cell r="C2371" t="str">
            <v>Beech Trees School</v>
          </cell>
          <cell r="D2371" t="str">
            <v>Nottinghamshire</v>
          </cell>
          <cell r="E2371" t="str">
            <v>Other Independent Special School</v>
          </cell>
          <cell r="F2371" t="str">
            <v>Not applicable</v>
          </cell>
        </row>
        <row r="2372">
          <cell r="A2372">
            <v>3807032</v>
          </cell>
          <cell r="B2372">
            <v>135229</v>
          </cell>
          <cell r="C2372" t="str">
            <v>Beechcliffe Special School</v>
          </cell>
          <cell r="D2372" t="str">
            <v>Bradford</v>
          </cell>
          <cell r="E2372" t="str">
            <v>Community Special School</v>
          </cell>
          <cell r="F2372" t="str">
            <v>Special</v>
          </cell>
        </row>
        <row r="2373">
          <cell r="A2373">
            <v>8352207</v>
          </cell>
          <cell r="B2373">
            <v>113712</v>
          </cell>
          <cell r="C2373" t="str">
            <v>Beechcroft Infant School</v>
          </cell>
          <cell r="D2373" t="str">
            <v>Dorset</v>
          </cell>
          <cell r="E2373" t="str">
            <v>Community School</v>
          </cell>
          <cell r="F2373" t="str">
            <v>Primary</v>
          </cell>
        </row>
        <row r="2374">
          <cell r="A2374">
            <v>8662095</v>
          </cell>
          <cell r="B2374">
            <v>126210</v>
          </cell>
          <cell r="C2374" t="str">
            <v>Beechcroft Infant School</v>
          </cell>
          <cell r="D2374" t="str">
            <v>Swindon</v>
          </cell>
          <cell r="E2374" t="str">
            <v>Community School</v>
          </cell>
          <cell r="F2374" t="str">
            <v>Primary</v>
          </cell>
        </row>
        <row r="2375">
          <cell r="A2375">
            <v>2127131</v>
          </cell>
          <cell r="B2375">
            <v>101100</v>
          </cell>
          <cell r="C2375" t="str">
            <v>Beechcroft School</v>
          </cell>
          <cell r="D2375" t="str">
            <v>Wandsworth</v>
          </cell>
          <cell r="E2375" t="str">
            <v>Community Special School</v>
          </cell>
          <cell r="F2375" t="str">
            <v>Special</v>
          </cell>
        </row>
        <row r="2376">
          <cell r="A2376">
            <v>8352004</v>
          </cell>
          <cell r="B2376">
            <v>134077</v>
          </cell>
          <cell r="C2376" t="str">
            <v>Beechcroft St Pauls CofE VA Primary School</v>
          </cell>
          <cell r="D2376" t="str">
            <v>Dorset</v>
          </cell>
          <cell r="E2376" t="str">
            <v>Voluntary Aided School</v>
          </cell>
          <cell r="F2376" t="str">
            <v>Primary</v>
          </cell>
        </row>
        <row r="2377">
          <cell r="A2377">
            <v>9269900</v>
          </cell>
          <cell r="B2377">
            <v>133248</v>
          </cell>
          <cell r="C2377" t="str">
            <v>Beechcroft Study Centre</v>
          </cell>
          <cell r="D2377" t="str">
            <v>Norfolk</v>
          </cell>
          <cell r="E2377" t="str">
            <v>Miscellaneous</v>
          </cell>
          <cell r="F2377" t="str">
            <v>Not applicable</v>
          </cell>
        </row>
        <row r="2378">
          <cell r="A2378">
            <v>8401033</v>
          </cell>
          <cell r="B2378">
            <v>113985</v>
          </cell>
          <cell r="C2378" t="str">
            <v>Beechdale Nursery School</v>
          </cell>
          <cell r="D2378" t="str">
            <v>Durham</v>
          </cell>
          <cell r="E2378" t="str">
            <v>LA Nursery School</v>
          </cell>
          <cell r="F2378" t="str">
            <v>Nursery</v>
          </cell>
        </row>
        <row r="2379">
          <cell r="A2379">
            <v>3354001</v>
          </cell>
          <cell r="B2379">
            <v>137274</v>
          </cell>
          <cell r="C2379" t="str">
            <v>Beechdale Partnership Academy</v>
          </cell>
          <cell r="D2379" t="str">
            <v>Walsall</v>
          </cell>
          <cell r="E2379" t="str">
            <v>Academy Sponsor Led</v>
          </cell>
          <cell r="F2379" t="str">
            <v>Secondary</v>
          </cell>
        </row>
        <row r="2380">
          <cell r="A2380">
            <v>3352035</v>
          </cell>
          <cell r="B2380">
            <v>104165</v>
          </cell>
          <cell r="C2380" t="str">
            <v>Beechdale Primary School</v>
          </cell>
          <cell r="D2380" t="str">
            <v>Walsall</v>
          </cell>
          <cell r="E2380" t="str">
            <v>Community School</v>
          </cell>
          <cell r="F2380" t="str">
            <v>Primary</v>
          </cell>
        </row>
        <row r="2381">
          <cell r="A2381">
            <v>8005400</v>
          </cell>
          <cell r="B2381">
            <v>109332</v>
          </cell>
          <cell r="C2381" t="str">
            <v>Beechen Cliff School</v>
          </cell>
          <cell r="D2381" t="str">
            <v>Bath and North East Somerset</v>
          </cell>
          <cell r="E2381" t="str">
            <v>Foundation School</v>
          </cell>
          <cell r="F2381" t="str">
            <v>Secondary</v>
          </cell>
        </row>
        <row r="2382">
          <cell r="A2382">
            <v>8005400</v>
          </cell>
          <cell r="B2382">
            <v>136520</v>
          </cell>
          <cell r="C2382" t="str">
            <v>Beechen Cliff School</v>
          </cell>
          <cell r="D2382" t="str">
            <v>Bath and North East Somerset</v>
          </cell>
          <cell r="E2382" t="str">
            <v>Academy Converters</v>
          </cell>
          <cell r="F2382" t="str">
            <v>Secondary</v>
          </cell>
        </row>
        <row r="2383">
          <cell r="A2383">
            <v>3416007</v>
          </cell>
          <cell r="B2383">
            <v>104724</v>
          </cell>
          <cell r="C2383" t="str">
            <v>Beechenhurst Preparatory School</v>
          </cell>
          <cell r="D2383" t="str">
            <v>Liverpool</v>
          </cell>
          <cell r="E2383" t="str">
            <v>Other Independent School</v>
          </cell>
          <cell r="F2383" t="str">
            <v>Not applicable</v>
          </cell>
        </row>
        <row r="2384">
          <cell r="A2384">
            <v>3332001</v>
          </cell>
          <cell r="B2384">
            <v>103892</v>
          </cell>
          <cell r="C2384" t="str">
            <v>Beeches Infant and Nursery School</v>
          </cell>
          <cell r="D2384" t="str">
            <v>Sandwell</v>
          </cell>
          <cell r="E2384" t="str">
            <v>Community School</v>
          </cell>
          <cell r="F2384" t="str">
            <v>Primary</v>
          </cell>
        </row>
        <row r="2385">
          <cell r="A2385">
            <v>3582027</v>
          </cell>
          <cell r="B2385">
            <v>127535</v>
          </cell>
          <cell r="C2385" t="str">
            <v>Beeches Primary School</v>
          </cell>
          <cell r="D2385" t="str">
            <v>Trafford</v>
          </cell>
          <cell r="E2385" t="str">
            <v>Community School</v>
          </cell>
          <cell r="F2385" t="str">
            <v>Primary</v>
          </cell>
        </row>
        <row r="2386">
          <cell r="A2386">
            <v>938611</v>
          </cell>
          <cell r="B2386">
            <v>129023</v>
          </cell>
          <cell r="C2386" t="str">
            <v>Beechfield</v>
          </cell>
          <cell r="D2386" t="str">
            <v>West Sussex</v>
          </cell>
          <cell r="E2386" t="str">
            <v>Secure Units</v>
          </cell>
          <cell r="F2386" t="str">
            <v>Not applicable</v>
          </cell>
        </row>
        <row r="2387">
          <cell r="A2387">
            <v>9332170</v>
          </cell>
          <cell r="B2387">
            <v>123686</v>
          </cell>
          <cell r="C2387" t="str">
            <v>Beechfield Infant School</v>
          </cell>
          <cell r="D2387" t="str">
            <v>Somerset</v>
          </cell>
          <cell r="E2387" t="str">
            <v>Community School</v>
          </cell>
          <cell r="F2387" t="str">
            <v>Primary</v>
          </cell>
        </row>
        <row r="2388">
          <cell r="A2388">
            <v>9192020</v>
          </cell>
          <cell r="B2388">
            <v>117094</v>
          </cell>
          <cell r="C2388" t="str">
            <v>Beechfield School</v>
          </cell>
          <cell r="D2388" t="str">
            <v>Hertfordshire</v>
          </cell>
          <cell r="E2388" t="str">
            <v>Community School</v>
          </cell>
          <cell r="F2388" t="str">
            <v>Primary</v>
          </cell>
        </row>
        <row r="2389">
          <cell r="A2389">
            <v>3152058</v>
          </cell>
          <cell r="B2389">
            <v>102631</v>
          </cell>
          <cell r="C2389" t="str">
            <v>Beecholme Primary School</v>
          </cell>
          <cell r="D2389" t="str">
            <v>Merton</v>
          </cell>
          <cell r="E2389" t="str">
            <v>Community School</v>
          </cell>
          <cell r="F2389" t="str">
            <v>Primary</v>
          </cell>
        </row>
        <row r="2390">
          <cell r="A2390">
            <v>8255203</v>
          </cell>
          <cell r="B2390">
            <v>110521</v>
          </cell>
          <cell r="C2390" t="str">
            <v>Beechview School</v>
          </cell>
          <cell r="D2390" t="str">
            <v>Buckinghamshire</v>
          </cell>
          <cell r="E2390" t="str">
            <v>Foundation School</v>
          </cell>
          <cell r="F2390" t="str">
            <v>Primary</v>
          </cell>
        </row>
        <row r="2391">
          <cell r="A2391">
            <v>6737904</v>
          </cell>
          <cell r="B2391">
            <v>402191</v>
          </cell>
          <cell r="C2391" t="str">
            <v>Beechwood College</v>
          </cell>
          <cell r="D2391" t="str">
            <v>The Vale of Glamorgan</v>
          </cell>
          <cell r="E2391" t="str">
            <v>Welsh Establishment</v>
          </cell>
          <cell r="F2391" t="str">
            <v>Not applicable</v>
          </cell>
        </row>
        <row r="2392">
          <cell r="A2392">
            <v>8552031</v>
          </cell>
          <cell r="B2392">
            <v>119920</v>
          </cell>
          <cell r="C2392" t="str">
            <v>Beechwood Community Infant School</v>
          </cell>
          <cell r="D2392" t="str">
            <v>Leicestershire</v>
          </cell>
          <cell r="E2392" t="str">
            <v>Community School</v>
          </cell>
          <cell r="F2392" t="str">
            <v>Primary</v>
          </cell>
        </row>
        <row r="2393">
          <cell r="A2393">
            <v>9032104</v>
          </cell>
          <cell r="B2393">
            <v>128278</v>
          </cell>
          <cell r="C2393" t="str">
            <v>Beechwood County Infant School</v>
          </cell>
          <cell r="D2393" t="str">
            <v>Pre LGR (1998) Berkshire</v>
          </cell>
          <cell r="E2393" t="str">
            <v>Community School</v>
          </cell>
          <cell r="F2393" t="str">
            <v>Primary</v>
          </cell>
        </row>
        <row r="2394">
          <cell r="A2394">
            <v>9032103</v>
          </cell>
          <cell r="B2394">
            <v>128277</v>
          </cell>
          <cell r="C2394" t="str">
            <v>Beechwood County Junior School</v>
          </cell>
          <cell r="D2394" t="str">
            <v>Pre LGR (1998) Berkshire</v>
          </cell>
          <cell r="E2394" t="str">
            <v>Community School</v>
          </cell>
          <cell r="F2394" t="str">
            <v>Primary</v>
          </cell>
        </row>
        <row r="2395">
          <cell r="A2395">
            <v>3832215</v>
          </cell>
          <cell r="B2395">
            <v>127859</v>
          </cell>
          <cell r="C2395" t="str">
            <v>Beechwood First School</v>
          </cell>
          <cell r="D2395" t="str">
            <v>Leeds</v>
          </cell>
          <cell r="E2395" t="str">
            <v>Community School</v>
          </cell>
          <cell r="F2395" t="str">
            <v>Primary</v>
          </cell>
        </row>
        <row r="2396">
          <cell r="A2396">
            <v>8212221</v>
          </cell>
          <cell r="B2396">
            <v>109531</v>
          </cell>
          <cell r="C2396" t="str">
            <v>Beechwood Infant School</v>
          </cell>
          <cell r="D2396" t="str">
            <v>Luton</v>
          </cell>
          <cell r="E2396" t="str">
            <v>Community School</v>
          </cell>
          <cell r="F2396" t="str">
            <v>Primary</v>
          </cell>
        </row>
        <row r="2397">
          <cell r="A2397">
            <v>8062097</v>
          </cell>
          <cell r="B2397">
            <v>111572</v>
          </cell>
          <cell r="C2397" t="str">
            <v>Beechwood Infant School</v>
          </cell>
          <cell r="D2397" t="str">
            <v>Middlesbrough</v>
          </cell>
          <cell r="E2397" t="str">
            <v>Community School</v>
          </cell>
          <cell r="F2397" t="str">
            <v>Primary</v>
          </cell>
        </row>
        <row r="2398">
          <cell r="A2398">
            <v>8212220</v>
          </cell>
          <cell r="B2398">
            <v>109530</v>
          </cell>
          <cell r="C2398" t="str">
            <v>Beechwood Junior School</v>
          </cell>
          <cell r="D2398" t="str">
            <v>Luton</v>
          </cell>
          <cell r="E2398" t="str">
            <v>Community School</v>
          </cell>
          <cell r="F2398" t="str">
            <v>Primary</v>
          </cell>
        </row>
        <row r="2399">
          <cell r="A2399">
            <v>8062096</v>
          </cell>
          <cell r="B2399">
            <v>111571</v>
          </cell>
          <cell r="C2399" t="str">
            <v>Beechwood Junior School</v>
          </cell>
          <cell r="D2399" t="str">
            <v>Middlesbrough</v>
          </cell>
          <cell r="E2399" t="str">
            <v>Community School</v>
          </cell>
          <cell r="F2399" t="str">
            <v>Primary</v>
          </cell>
        </row>
        <row r="2400">
          <cell r="A2400">
            <v>8522404</v>
          </cell>
          <cell r="B2400">
            <v>116087</v>
          </cell>
          <cell r="C2400" t="str">
            <v>Beechwood Junior School</v>
          </cell>
          <cell r="D2400" t="str">
            <v>Southampton</v>
          </cell>
          <cell r="E2400" t="str">
            <v>Community School</v>
          </cell>
          <cell r="F2400" t="str">
            <v>Primary</v>
          </cell>
        </row>
        <row r="2401">
          <cell r="A2401">
            <v>8311007</v>
          </cell>
          <cell r="B2401">
            <v>112473</v>
          </cell>
          <cell r="C2401" t="str">
            <v>Beechwood Nursery School</v>
          </cell>
          <cell r="D2401" t="str">
            <v>Derby</v>
          </cell>
          <cell r="E2401" t="str">
            <v>LA Nursery School</v>
          </cell>
          <cell r="F2401" t="str">
            <v>Nursery</v>
          </cell>
        </row>
        <row r="2402">
          <cell r="A2402">
            <v>9196045</v>
          </cell>
          <cell r="B2402">
            <v>117620</v>
          </cell>
          <cell r="C2402" t="str">
            <v>Beechwood Park School</v>
          </cell>
          <cell r="D2402" t="str">
            <v>Hertfordshire</v>
          </cell>
          <cell r="E2402" t="str">
            <v>Other Independent School</v>
          </cell>
          <cell r="F2402" t="str">
            <v>Not applicable</v>
          </cell>
        </row>
        <row r="2403">
          <cell r="A2403">
            <v>3316021</v>
          </cell>
          <cell r="B2403">
            <v>127129</v>
          </cell>
          <cell r="C2403" t="str">
            <v>Beechwood Preparatory Independent School</v>
          </cell>
          <cell r="D2403" t="str">
            <v>Coventry</v>
          </cell>
          <cell r="E2403" t="str">
            <v>Other Independent School</v>
          </cell>
          <cell r="F2403" t="str">
            <v>Not applicable</v>
          </cell>
        </row>
        <row r="2404">
          <cell r="A2404">
            <v>3402008</v>
          </cell>
          <cell r="B2404">
            <v>104424</v>
          </cell>
          <cell r="C2404" t="str">
            <v>Beechwood Primary School</v>
          </cell>
          <cell r="D2404" t="str">
            <v>Knowsley</v>
          </cell>
          <cell r="E2404" t="str">
            <v>Community School</v>
          </cell>
          <cell r="F2404" t="str">
            <v>Primary</v>
          </cell>
        </row>
        <row r="2405">
          <cell r="A2405">
            <v>3832444</v>
          </cell>
          <cell r="B2405">
            <v>107920</v>
          </cell>
          <cell r="C2405" t="str">
            <v>Beechwood Primary School</v>
          </cell>
          <cell r="D2405" t="str">
            <v>Leeds</v>
          </cell>
          <cell r="E2405" t="str">
            <v>Community School</v>
          </cell>
          <cell r="F2405" t="str">
            <v>Primary</v>
          </cell>
        </row>
        <row r="2406">
          <cell r="A2406">
            <v>8722245</v>
          </cell>
          <cell r="B2406">
            <v>109936</v>
          </cell>
          <cell r="C2406" t="str">
            <v>Beechwood Primary School</v>
          </cell>
          <cell r="D2406" t="str">
            <v>Wokingham</v>
          </cell>
          <cell r="E2406" t="str">
            <v>Community School</v>
          </cell>
          <cell r="F2406" t="str">
            <v>Primary</v>
          </cell>
        </row>
        <row r="2407">
          <cell r="A2407">
            <v>8762382</v>
          </cell>
          <cell r="B2407">
            <v>111175</v>
          </cell>
          <cell r="C2407" t="str">
            <v>Beechwood Primary School</v>
          </cell>
          <cell r="D2407" t="str">
            <v>Halton</v>
          </cell>
          <cell r="E2407" t="str">
            <v>Community School</v>
          </cell>
          <cell r="F2407" t="str">
            <v>Primary</v>
          </cell>
        </row>
        <row r="2408">
          <cell r="A2408">
            <v>8213363</v>
          </cell>
          <cell r="B2408">
            <v>134701</v>
          </cell>
          <cell r="C2408" t="str">
            <v>Beechwood Primary School</v>
          </cell>
          <cell r="D2408" t="str">
            <v>Luton</v>
          </cell>
          <cell r="E2408" t="str">
            <v>Community School</v>
          </cell>
          <cell r="F2408" t="str">
            <v>Primary</v>
          </cell>
        </row>
        <row r="2409">
          <cell r="A2409">
            <v>8793770</v>
          </cell>
          <cell r="B2409">
            <v>135145</v>
          </cell>
          <cell r="C2409" t="str">
            <v>Beechwood Primary School</v>
          </cell>
          <cell r="D2409" t="str">
            <v>Plymouth</v>
          </cell>
          <cell r="E2409" t="str">
            <v>Community School</v>
          </cell>
          <cell r="F2409" t="str">
            <v>Primary</v>
          </cell>
        </row>
        <row r="2410">
          <cell r="A2410">
            <v>8866011</v>
          </cell>
          <cell r="B2410">
            <v>118949</v>
          </cell>
          <cell r="C2410" t="str">
            <v>Beechwood Sacred Heart School</v>
          </cell>
          <cell r="D2410" t="str">
            <v>Kent</v>
          </cell>
          <cell r="E2410" t="str">
            <v>Other Independent School</v>
          </cell>
          <cell r="F2410" t="str">
            <v>Not applicable</v>
          </cell>
        </row>
        <row r="2411">
          <cell r="A2411">
            <v>2086366</v>
          </cell>
          <cell r="B2411">
            <v>100649</v>
          </cell>
          <cell r="C2411" t="str">
            <v>Beechwood School</v>
          </cell>
          <cell r="D2411" t="str">
            <v>Lambeth</v>
          </cell>
          <cell r="E2411" t="str">
            <v>Other Independent School</v>
          </cell>
          <cell r="F2411" t="str">
            <v>Not applicable</v>
          </cell>
        </row>
        <row r="2412">
          <cell r="A2412">
            <v>8714085</v>
          </cell>
          <cell r="B2412">
            <v>110076</v>
          </cell>
          <cell r="C2412" t="str">
            <v>Beechwood School</v>
          </cell>
          <cell r="D2412" t="str">
            <v>Slough</v>
          </cell>
          <cell r="E2412" t="str">
            <v>Community School</v>
          </cell>
          <cell r="F2412" t="str">
            <v>Secondary</v>
          </cell>
        </row>
        <row r="2413">
          <cell r="A2413">
            <v>8952693</v>
          </cell>
          <cell r="B2413">
            <v>111211</v>
          </cell>
          <cell r="C2413" t="str">
            <v>Beechwood School</v>
          </cell>
          <cell r="D2413" t="str">
            <v>Cheshire East</v>
          </cell>
          <cell r="E2413" t="str">
            <v>Community School</v>
          </cell>
          <cell r="F2413" t="str">
            <v>Primary</v>
          </cell>
        </row>
        <row r="2414">
          <cell r="A2414">
            <v>7066004</v>
          </cell>
          <cell r="B2414">
            <v>132421</v>
          </cell>
          <cell r="C2414" t="str">
            <v>Beechwood School</v>
          </cell>
          <cell r="D2414" t="str">
            <v>Guernsey Offshore Establishments</v>
          </cell>
          <cell r="E2414" t="str">
            <v>Offshore Schools</v>
          </cell>
          <cell r="F2414" t="str">
            <v>Not applicable</v>
          </cell>
        </row>
        <row r="2415">
          <cell r="A2415">
            <v>8736034</v>
          </cell>
          <cell r="B2415">
            <v>134454</v>
          </cell>
          <cell r="C2415" t="str">
            <v>Beechwood School</v>
          </cell>
          <cell r="D2415" t="str">
            <v>Cambridgeshire</v>
          </cell>
          <cell r="E2415" t="str">
            <v>Other Independent School</v>
          </cell>
          <cell r="F2415" t="str">
            <v>Not applicable</v>
          </cell>
        </row>
        <row r="2416">
          <cell r="A2416">
            <v>3306127</v>
          </cell>
          <cell r="B2416">
            <v>135538</v>
          </cell>
          <cell r="C2416" t="str">
            <v>Beechwood School</v>
          </cell>
          <cell r="D2416" t="str">
            <v>Birmingham</v>
          </cell>
          <cell r="E2416" t="str">
            <v>Other Independent School</v>
          </cell>
          <cell r="F2416" t="str">
            <v>Not applicable</v>
          </cell>
        </row>
        <row r="2417">
          <cell r="A2417">
            <v>3832114</v>
          </cell>
          <cell r="B2417">
            <v>127835</v>
          </cell>
          <cell r="C2417" t="str">
            <v>Beecroft First School</v>
          </cell>
          <cell r="D2417" t="str">
            <v>Leeds</v>
          </cell>
          <cell r="E2417" t="str">
            <v>Community School</v>
          </cell>
          <cell r="F2417" t="str">
            <v>Primary</v>
          </cell>
        </row>
        <row r="2418">
          <cell r="A2418">
            <v>8232040</v>
          </cell>
          <cell r="B2418">
            <v>109445</v>
          </cell>
          <cell r="C2418" t="str">
            <v>Beecroft Lower School</v>
          </cell>
          <cell r="D2418" t="str">
            <v>Central Bedfordshire</v>
          </cell>
          <cell r="E2418" t="str">
            <v>Community School</v>
          </cell>
          <cell r="F2418" t="str">
            <v>Primary</v>
          </cell>
        </row>
        <row r="2419">
          <cell r="A2419">
            <v>3832407</v>
          </cell>
          <cell r="B2419">
            <v>107883</v>
          </cell>
          <cell r="C2419" t="str">
            <v>Beecroft Primary School</v>
          </cell>
          <cell r="D2419" t="str">
            <v>Leeds</v>
          </cell>
          <cell r="E2419" t="str">
            <v>Community School</v>
          </cell>
          <cell r="F2419" t="str">
            <v>Primary</v>
          </cell>
        </row>
        <row r="2420">
          <cell r="A2420">
            <v>8693007</v>
          </cell>
          <cell r="B2420">
            <v>109950</v>
          </cell>
          <cell r="C2420" t="str">
            <v>Beedon C.E. (Controlled) Primary School</v>
          </cell>
          <cell r="D2420" t="str">
            <v>West Berkshire</v>
          </cell>
          <cell r="E2420" t="str">
            <v>Voluntary Controlled School</v>
          </cell>
          <cell r="F2420" t="str">
            <v>Primary</v>
          </cell>
        </row>
        <row r="2421">
          <cell r="A2421">
            <v>8113011</v>
          </cell>
          <cell r="B2421">
            <v>117969</v>
          </cell>
          <cell r="C2421" t="str">
            <v>Beeford Church of England Voluntary Controlled Primary School</v>
          </cell>
          <cell r="D2421" t="str">
            <v>East Riding of Yorkshire</v>
          </cell>
          <cell r="E2421" t="str">
            <v>Voluntary Controlled School</v>
          </cell>
          <cell r="F2421" t="str">
            <v>Primary</v>
          </cell>
        </row>
        <row r="2422">
          <cell r="A2422">
            <v>8812789</v>
          </cell>
          <cell r="B2422">
            <v>114996</v>
          </cell>
          <cell r="C2422" t="str">
            <v>Beehive Lane Community Primary School</v>
          </cell>
          <cell r="D2422" t="str">
            <v>Essex</v>
          </cell>
          <cell r="E2422" t="str">
            <v>Community School</v>
          </cell>
          <cell r="F2422" t="str">
            <v>Primary</v>
          </cell>
        </row>
        <row r="2423">
          <cell r="A2423">
            <v>3176051</v>
          </cell>
          <cell r="B2423">
            <v>102867</v>
          </cell>
          <cell r="C2423" t="str">
            <v>Beehive Preparatory School</v>
          </cell>
          <cell r="D2423" t="str">
            <v>Redbridge</v>
          </cell>
          <cell r="E2423" t="str">
            <v>Other Independent School</v>
          </cell>
          <cell r="F2423" t="str">
            <v>Not applicable</v>
          </cell>
        </row>
        <row r="2424">
          <cell r="A2424">
            <v>3096075</v>
          </cell>
          <cell r="B2424">
            <v>126912</v>
          </cell>
          <cell r="C2424" t="str">
            <v>Beehive School</v>
          </cell>
          <cell r="D2424" t="str">
            <v>Haringey</v>
          </cell>
          <cell r="E2424" t="str">
            <v>Other Independent School</v>
          </cell>
          <cell r="F2424" t="str">
            <v>Not applicable</v>
          </cell>
        </row>
        <row r="2425">
          <cell r="A2425">
            <v>2066080</v>
          </cell>
          <cell r="B2425">
            <v>131732</v>
          </cell>
          <cell r="C2425" t="str">
            <v>Beehive School</v>
          </cell>
          <cell r="D2425" t="str">
            <v>Islington</v>
          </cell>
          <cell r="E2425" t="str">
            <v>Other Independent School</v>
          </cell>
          <cell r="F2425" t="str">
            <v>Not applicable</v>
          </cell>
        </row>
        <row r="2426">
          <cell r="A2426">
            <v>3737004</v>
          </cell>
          <cell r="B2426">
            <v>127728</v>
          </cell>
          <cell r="C2426" t="str">
            <v>Beeley Wood First and Middle School</v>
          </cell>
          <cell r="D2426" t="str">
            <v>Sheffield</v>
          </cell>
          <cell r="E2426" t="str">
            <v>Community Special School</v>
          </cell>
          <cell r="F2426" t="str">
            <v>Special</v>
          </cell>
        </row>
        <row r="2427">
          <cell r="A2427">
            <v>3737007</v>
          </cell>
          <cell r="B2427">
            <v>127729</v>
          </cell>
          <cell r="C2427" t="str">
            <v>Beeley Wood Senior School</v>
          </cell>
          <cell r="D2427" t="str">
            <v>Sheffield</v>
          </cell>
          <cell r="E2427" t="str">
            <v>Community Special School</v>
          </cell>
          <cell r="F2427" t="str">
            <v>Special</v>
          </cell>
        </row>
        <row r="2428">
          <cell r="A2428">
            <v>8692050</v>
          </cell>
          <cell r="B2428">
            <v>109802</v>
          </cell>
          <cell r="C2428" t="str">
            <v>Beenham Primary School</v>
          </cell>
          <cell r="D2428" t="str">
            <v>West Berkshire</v>
          </cell>
          <cell r="E2428" t="str">
            <v>Community School</v>
          </cell>
          <cell r="F2428" t="str">
            <v>Primary</v>
          </cell>
        </row>
        <row r="2429">
          <cell r="A2429">
            <v>8783303</v>
          </cell>
          <cell r="B2429">
            <v>113424</v>
          </cell>
          <cell r="C2429" t="str">
            <v>Beer Church of England Primary School</v>
          </cell>
          <cell r="D2429" t="str">
            <v>Devon</v>
          </cell>
          <cell r="E2429" t="str">
            <v>Voluntary Aided School</v>
          </cell>
          <cell r="F2429" t="str">
            <v>Primary</v>
          </cell>
        </row>
        <row r="2430">
          <cell r="A2430">
            <v>8912273</v>
          </cell>
          <cell r="B2430">
            <v>122538</v>
          </cell>
          <cell r="C2430" t="str">
            <v>Beeston Fields Infant and Nursery School</v>
          </cell>
          <cell r="D2430" t="str">
            <v>Nottinghamshire</v>
          </cell>
          <cell r="E2430" t="str">
            <v>Community School</v>
          </cell>
          <cell r="F2430" t="str">
            <v>Primary</v>
          </cell>
        </row>
        <row r="2431">
          <cell r="A2431">
            <v>8912272</v>
          </cell>
          <cell r="B2431">
            <v>122537</v>
          </cell>
          <cell r="C2431" t="str">
            <v>Beeston Fields Junior School</v>
          </cell>
          <cell r="D2431" t="str">
            <v>Nottinghamshire</v>
          </cell>
          <cell r="E2431" t="str">
            <v>Community School</v>
          </cell>
          <cell r="F2431" t="str">
            <v>Primary</v>
          </cell>
        </row>
        <row r="2432">
          <cell r="A2432">
            <v>8912944</v>
          </cell>
          <cell r="B2432">
            <v>132072</v>
          </cell>
          <cell r="C2432" t="str">
            <v>Beeston Fields Primary School and Nursery</v>
          </cell>
          <cell r="D2432" t="str">
            <v>Nottinghamshire</v>
          </cell>
          <cell r="E2432" t="str">
            <v>Community School</v>
          </cell>
          <cell r="F2432" t="str">
            <v>Primary</v>
          </cell>
        </row>
        <row r="2433">
          <cell r="A2433">
            <v>3832009</v>
          </cell>
          <cell r="B2433">
            <v>127808</v>
          </cell>
          <cell r="C2433" t="str">
            <v>Beeston First School</v>
          </cell>
          <cell r="D2433" t="str">
            <v>Leeds</v>
          </cell>
          <cell r="E2433" t="str">
            <v>Community School</v>
          </cell>
          <cell r="F2433" t="str">
            <v>Primary</v>
          </cell>
        </row>
        <row r="2434">
          <cell r="A2434">
            <v>9266058</v>
          </cell>
          <cell r="B2434">
            <v>121231</v>
          </cell>
          <cell r="C2434" t="str">
            <v>Beeston Hall School</v>
          </cell>
          <cell r="D2434" t="str">
            <v>Norfolk</v>
          </cell>
          <cell r="E2434" t="str">
            <v>Other Independent School</v>
          </cell>
          <cell r="F2434" t="str">
            <v>Not applicable</v>
          </cell>
        </row>
        <row r="2435">
          <cell r="A2435">
            <v>3833913</v>
          </cell>
          <cell r="B2435">
            <v>108052</v>
          </cell>
          <cell r="C2435" t="str">
            <v>Beeston Hill St Luke's Church of England Primary School</v>
          </cell>
          <cell r="D2435" t="str">
            <v>Leeds</v>
          </cell>
          <cell r="E2435" t="str">
            <v>Voluntary Aided School</v>
          </cell>
          <cell r="F2435" t="str">
            <v>Primary</v>
          </cell>
        </row>
        <row r="2436">
          <cell r="A2436">
            <v>3832470</v>
          </cell>
          <cell r="B2436">
            <v>107946</v>
          </cell>
          <cell r="C2436" t="str">
            <v>Beeston Primary School</v>
          </cell>
          <cell r="D2436" t="str">
            <v>Leeds</v>
          </cell>
          <cell r="E2436" t="str">
            <v>Community School</v>
          </cell>
          <cell r="F2436" t="str">
            <v>Primary</v>
          </cell>
        </row>
        <row r="2437">
          <cell r="A2437">
            <v>9262015</v>
          </cell>
          <cell r="B2437">
            <v>120787</v>
          </cell>
          <cell r="C2437" t="str">
            <v>Beeston Primary School</v>
          </cell>
          <cell r="D2437" t="str">
            <v>Norfolk</v>
          </cell>
          <cell r="E2437" t="str">
            <v>Community School</v>
          </cell>
          <cell r="F2437" t="str">
            <v>Primary</v>
          </cell>
        </row>
        <row r="2438">
          <cell r="A2438">
            <v>8912282</v>
          </cell>
          <cell r="B2438">
            <v>122540</v>
          </cell>
          <cell r="C2438" t="str">
            <v>Beeston Rylands Junior School</v>
          </cell>
          <cell r="D2438" t="str">
            <v>Nottinghamshire</v>
          </cell>
          <cell r="E2438" t="str">
            <v>Community School</v>
          </cell>
          <cell r="F2438" t="str">
            <v>Primary</v>
          </cell>
        </row>
        <row r="2439">
          <cell r="A2439">
            <v>9093354</v>
          </cell>
          <cell r="B2439">
            <v>112313</v>
          </cell>
          <cell r="C2439" t="str">
            <v>Beetham CofE Primary School</v>
          </cell>
          <cell r="D2439" t="str">
            <v>Cumbria</v>
          </cell>
          <cell r="E2439" t="str">
            <v>Voluntary Aided School</v>
          </cell>
          <cell r="F2439" t="str">
            <v>Primary</v>
          </cell>
        </row>
        <row r="2440">
          <cell r="A2440">
            <v>3532002</v>
          </cell>
          <cell r="B2440">
            <v>105627</v>
          </cell>
          <cell r="C2440" t="str">
            <v>Beever Primary School</v>
          </cell>
          <cell r="D2440" t="str">
            <v>Oldham</v>
          </cell>
          <cell r="E2440" t="str">
            <v>Community School</v>
          </cell>
          <cell r="F2440" t="str">
            <v>Primary</v>
          </cell>
        </row>
        <row r="2441">
          <cell r="A2441">
            <v>8012013</v>
          </cell>
          <cell r="B2441">
            <v>108918</v>
          </cell>
          <cell r="C2441" t="str">
            <v>Begbrook Primary School</v>
          </cell>
          <cell r="D2441" t="str">
            <v>Bristol City of</v>
          </cell>
          <cell r="E2441" t="str">
            <v>Community School</v>
          </cell>
          <cell r="F2441" t="str">
            <v>Primary</v>
          </cell>
        </row>
        <row r="2442">
          <cell r="A2442">
            <v>6663023</v>
          </cell>
          <cell r="B2442">
            <v>400545</v>
          </cell>
          <cell r="C2442" t="str">
            <v>Beguildy C.I.W. School</v>
          </cell>
          <cell r="D2442" t="str">
            <v>Powys</v>
          </cell>
          <cell r="E2442" t="str">
            <v>Welsh Establishment</v>
          </cell>
          <cell r="F2442" t="str">
            <v>Primary</v>
          </cell>
        </row>
        <row r="2443">
          <cell r="A2443">
            <v>3901102</v>
          </cell>
          <cell r="B2443">
            <v>131515</v>
          </cell>
          <cell r="C2443" t="str">
            <v>Behaviour Support</v>
          </cell>
          <cell r="D2443" t="str">
            <v>Gateshead</v>
          </cell>
          <cell r="E2443" t="str">
            <v>Pupil Referral Unit</v>
          </cell>
          <cell r="F2443" t="str">
            <v>PRU</v>
          </cell>
        </row>
        <row r="2444">
          <cell r="A2444">
            <v>3161100</v>
          </cell>
          <cell r="B2444">
            <v>102708</v>
          </cell>
          <cell r="C2444" t="str">
            <v>Behaviour Support and Tuition Service</v>
          </cell>
          <cell r="D2444" t="str">
            <v>Newham</v>
          </cell>
          <cell r="E2444" t="str">
            <v>Pupil Referral Unit</v>
          </cell>
          <cell r="F2444" t="str">
            <v>PRU</v>
          </cell>
        </row>
        <row r="2445">
          <cell r="A2445">
            <v>3311101</v>
          </cell>
          <cell r="B2445">
            <v>103635</v>
          </cell>
          <cell r="C2445" t="str">
            <v>Behaviour Support Service</v>
          </cell>
          <cell r="D2445" t="str">
            <v>Coventry</v>
          </cell>
          <cell r="E2445" t="str">
            <v>Pupil Referral Unit</v>
          </cell>
          <cell r="F2445" t="str">
            <v>PRU</v>
          </cell>
        </row>
        <row r="2446">
          <cell r="A2446">
            <v>3081106</v>
          </cell>
          <cell r="B2446">
            <v>131211</v>
          </cell>
          <cell r="C2446" t="str">
            <v>Behaviour Support Service</v>
          </cell>
          <cell r="D2446" t="str">
            <v>Enfield</v>
          </cell>
          <cell r="E2446" t="str">
            <v>Pupil Referral Unit</v>
          </cell>
          <cell r="F2446" t="str">
            <v>PRU</v>
          </cell>
        </row>
        <row r="2447">
          <cell r="A2447">
            <v>6691109</v>
          </cell>
          <cell r="B2447">
            <v>402174</v>
          </cell>
          <cell r="C2447" t="str">
            <v>Behaviour Support Service</v>
          </cell>
          <cell r="D2447" t="str">
            <v>Carmarthenshire</v>
          </cell>
          <cell r="E2447" t="str">
            <v>Welsh Establishment</v>
          </cell>
          <cell r="F2447" t="str">
            <v>Not applicable</v>
          </cell>
        </row>
        <row r="2448">
          <cell r="A2448">
            <v>3732241</v>
          </cell>
          <cell r="B2448">
            <v>107036</v>
          </cell>
          <cell r="C2448" t="str">
            <v>Beighton Nursery and Infant School</v>
          </cell>
          <cell r="D2448" t="str">
            <v>Sheffield</v>
          </cell>
          <cell r="E2448" t="str">
            <v>Community School</v>
          </cell>
          <cell r="F2448" t="str">
            <v>Primary</v>
          </cell>
        </row>
        <row r="2449">
          <cell r="A2449">
            <v>2046386</v>
          </cell>
          <cell r="B2449">
            <v>126609</v>
          </cell>
          <cell r="C2449" t="str">
            <v>Beis Ahaion School</v>
          </cell>
          <cell r="D2449" t="str">
            <v>Hackney</v>
          </cell>
          <cell r="E2449" t="str">
            <v>Other Independent School</v>
          </cell>
          <cell r="F2449" t="str">
            <v>Not applicable</v>
          </cell>
        </row>
        <row r="2450">
          <cell r="A2450">
            <v>2046398</v>
          </cell>
          <cell r="B2450">
            <v>131170</v>
          </cell>
          <cell r="C2450" t="str">
            <v>Beis Aharon School</v>
          </cell>
          <cell r="D2450" t="str">
            <v>Hackney</v>
          </cell>
          <cell r="E2450" t="str">
            <v>Other Independent School</v>
          </cell>
          <cell r="F2450" t="str">
            <v>Not applicable</v>
          </cell>
        </row>
        <row r="2451">
          <cell r="A2451">
            <v>2046399</v>
          </cell>
          <cell r="B2451">
            <v>102171</v>
          </cell>
          <cell r="C2451" t="str">
            <v>Beis Chinuch Lebonos Girls School</v>
          </cell>
          <cell r="D2451" t="str">
            <v>Hackney</v>
          </cell>
          <cell r="E2451" t="str">
            <v>Other Independent School</v>
          </cell>
          <cell r="F2451" t="str">
            <v>Not applicable</v>
          </cell>
        </row>
        <row r="2452">
          <cell r="A2452">
            <v>3026113</v>
          </cell>
          <cell r="B2452">
            <v>133526</v>
          </cell>
          <cell r="C2452" t="str">
            <v>Beis Hamedrash Elyon</v>
          </cell>
          <cell r="D2452" t="str">
            <v>Barnet</v>
          </cell>
          <cell r="E2452" t="str">
            <v>Other Independent School</v>
          </cell>
          <cell r="F2452" t="str">
            <v>Not applicable</v>
          </cell>
        </row>
        <row r="2453">
          <cell r="A2453">
            <v>3556054</v>
          </cell>
          <cell r="B2453">
            <v>135168</v>
          </cell>
          <cell r="C2453" t="str">
            <v>Beis Hatalmud School</v>
          </cell>
          <cell r="D2453" t="str">
            <v>Salford</v>
          </cell>
          <cell r="E2453" t="str">
            <v>Other Independent School</v>
          </cell>
          <cell r="F2453" t="str">
            <v>Not applicable</v>
          </cell>
        </row>
        <row r="2454">
          <cell r="A2454">
            <v>3556006</v>
          </cell>
          <cell r="B2454">
            <v>136117</v>
          </cell>
          <cell r="C2454" t="str">
            <v>Beis Malka Belz Girls School</v>
          </cell>
          <cell r="D2454" t="str">
            <v>Salford</v>
          </cell>
          <cell r="E2454" t="str">
            <v>Other Independent School</v>
          </cell>
          <cell r="F2454" t="str">
            <v>Not applicable</v>
          </cell>
        </row>
        <row r="2455">
          <cell r="A2455">
            <v>2046337</v>
          </cell>
          <cell r="B2455">
            <v>100295</v>
          </cell>
          <cell r="C2455" t="str">
            <v>Beis Malka Girls' School</v>
          </cell>
          <cell r="D2455" t="str">
            <v>Hackney</v>
          </cell>
          <cell r="E2455" t="str">
            <v>Other Independent School</v>
          </cell>
          <cell r="F2455" t="str">
            <v>Not applicable</v>
          </cell>
        </row>
        <row r="2456">
          <cell r="A2456">
            <v>2046296</v>
          </cell>
          <cell r="B2456">
            <v>100293</v>
          </cell>
          <cell r="C2456" t="str">
            <v>Beis Rochel d'Satmar Girls' School</v>
          </cell>
          <cell r="D2456" t="str">
            <v>Hackney</v>
          </cell>
          <cell r="E2456" t="str">
            <v>Other Independent School</v>
          </cell>
          <cell r="F2456" t="str">
            <v>Not applicable</v>
          </cell>
        </row>
        <row r="2457">
          <cell r="A2457">
            <v>2046002</v>
          </cell>
          <cell r="B2457">
            <v>137505</v>
          </cell>
          <cell r="C2457" t="str">
            <v>Beis Ruchel D'Satmar London</v>
          </cell>
          <cell r="D2457" t="str">
            <v>Hackney</v>
          </cell>
          <cell r="E2457" t="str">
            <v>Other Independent School</v>
          </cell>
          <cell r="F2457" t="str">
            <v>Not applicable</v>
          </cell>
        </row>
        <row r="2458">
          <cell r="A2458">
            <v>3526050</v>
          </cell>
          <cell r="B2458">
            <v>130286</v>
          </cell>
          <cell r="C2458" t="str">
            <v>Beis Ruchel Girls School</v>
          </cell>
          <cell r="D2458" t="str">
            <v>Manchester</v>
          </cell>
          <cell r="E2458" t="str">
            <v>Other Independent School</v>
          </cell>
          <cell r="F2458" t="str">
            <v>Not applicable</v>
          </cell>
        </row>
        <row r="2459">
          <cell r="A2459">
            <v>3556057</v>
          </cell>
          <cell r="B2459">
            <v>136086</v>
          </cell>
          <cell r="C2459" t="str">
            <v>Beis Ruchel Girls School</v>
          </cell>
          <cell r="D2459" t="str">
            <v>Salford</v>
          </cell>
          <cell r="E2459" t="str">
            <v>Other Independent School</v>
          </cell>
          <cell r="F2459" t="str">
            <v>Not applicable</v>
          </cell>
        </row>
        <row r="2460">
          <cell r="A2460">
            <v>9156244</v>
          </cell>
          <cell r="B2460">
            <v>128925</v>
          </cell>
          <cell r="C2460" t="str">
            <v>Beis Shammai Grammar School</v>
          </cell>
          <cell r="D2460" t="str">
            <v>Pre LGR (1998) Essex</v>
          </cell>
          <cell r="E2460" t="str">
            <v>Other Independent School</v>
          </cell>
          <cell r="F2460" t="str">
            <v>Not applicable</v>
          </cell>
        </row>
        <row r="2461">
          <cell r="A2461">
            <v>3026104</v>
          </cell>
          <cell r="B2461">
            <v>131026</v>
          </cell>
          <cell r="C2461" t="str">
            <v>Beis Soroh Schneirer</v>
          </cell>
          <cell r="D2461" t="str">
            <v>Barnet</v>
          </cell>
          <cell r="E2461" t="str">
            <v>Other Independent School</v>
          </cell>
          <cell r="F2461" t="str">
            <v>Not applicable</v>
          </cell>
        </row>
        <row r="2462">
          <cell r="A2462">
            <v>2046400</v>
          </cell>
          <cell r="B2462">
            <v>131342</v>
          </cell>
          <cell r="C2462" t="str">
            <v>Beis Trana Girls' School</v>
          </cell>
          <cell r="D2462" t="str">
            <v>Hackney</v>
          </cell>
          <cell r="E2462" t="str">
            <v>Other Independent School</v>
          </cell>
          <cell r="F2462" t="str">
            <v>Not applicable</v>
          </cell>
        </row>
        <row r="2463">
          <cell r="A2463">
            <v>2046000</v>
          </cell>
          <cell r="B2463">
            <v>136817</v>
          </cell>
          <cell r="C2463" t="str">
            <v>Beis Yaakov Girls School</v>
          </cell>
          <cell r="D2463" t="str">
            <v>Hackney</v>
          </cell>
          <cell r="E2463" t="str">
            <v>Other Independent School</v>
          </cell>
          <cell r="F2463" t="str">
            <v>Not applicable</v>
          </cell>
        </row>
        <row r="2464">
          <cell r="A2464">
            <v>3554018</v>
          </cell>
          <cell r="B2464">
            <v>134196</v>
          </cell>
          <cell r="C2464" t="str">
            <v>Beis Yaakov High School</v>
          </cell>
          <cell r="D2464" t="str">
            <v>Salford</v>
          </cell>
          <cell r="E2464" t="str">
            <v>Voluntary Aided School</v>
          </cell>
          <cell r="F2464" t="str">
            <v>Secondary</v>
          </cell>
        </row>
        <row r="2465">
          <cell r="A2465">
            <v>3046073</v>
          </cell>
          <cell r="B2465">
            <v>101577</v>
          </cell>
          <cell r="C2465" t="str">
            <v>Beis Yaakov Primary School</v>
          </cell>
          <cell r="D2465" t="str">
            <v>Brent</v>
          </cell>
          <cell r="E2465" t="str">
            <v>Other Independent School</v>
          </cell>
          <cell r="F2465" t="str">
            <v>Not applicable</v>
          </cell>
        </row>
        <row r="2466">
          <cell r="A2466">
            <v>3026088</v>
          </cell>
          <cell r="B2466">
            <v>126735</v>
          </cell>
          <cell r="C2466" t="str">
            <v>Beis Yaakov Primary School</v>
          </cell>
          <cell r="D2466" t="str">
            <v>Barnet</v>
          </cell>
          <cell r="E2466" t="str">
            <v>Other Independent School</v>
          </cell>
          <cell r="F2466" t="str">
            <v>Not applicable</v>
          </cell>
        </row>
        <row r="2467">
          <cell r="A2467">
            <v>3022079</v>
          </cell>
          <cell r="B2467">
            <v>133365</v>
          </cell>
          <cell r="C2467" t="str">
            <v>Beis Yaakov Primary School</v>
          </cell>
          <cell r="D2467" t="str">
            <v>Barnet</v>
          </cell>
          <cell r="E2467" t="str">
            <v>Voluntary Aided School</v>
          </cell>
          <cell r="F2467" t="str">
            <v>Primary</v>
          </cell>
        </row>
        <row r="2468">
          <cell r="A2468">
            <v>7072001</v>
          </cell>
          <cell r="B2468">
            <v>132486</v>
          </cell>
          <cell r="C2468" t="str">
            <v>Bel Royal Primary School</v>
          </cell>
          <cell r="D2468" t="str">
            <v>Jersey Offshore Establishments</v>
          </cell>
          <cell r="E2468" t="str">
            <v>Offshore Schools</v>
          </cell>
          <cell r="F2468" t="str">
            <v>Not applicable</v>
          </cell>
        </row>
        <row r="2469">
          <cell r="A2469">
            <v>9092601</v>
          </cell>
          <cell r="B2469">
            <v>112215</v>
          </cell>
          <cell r="C2469" t="str">
            <v>Belah Primary School</v>
          </cell>
          <cell r="D2469" t="str">
            <v>Cumbria</v>
          </cell>
          <cell r="E2469" t="str">
            <v>Community School</v>
          </cell>
          <cell r="F2469" t="str">
            <v>Primary</v>
          </cell>
        </row>
        <row r="2470">
          <cell r="A2470">
            <v>8853002</v>
          </cell>
          <cell r="B2470">
            <v>116782</v>
          </cell>
          <cell r="C2470" t="str">
            <v>Belbroughton CofE Primary School and Nursery</v>
          </cell>
          <cell r="D2470" t="str">
            <v>Worcestershire</v>
          </cell>
          <cell r="E2470" t="str">
            <v>Voluntary Controlled School</v>
          </cell>
          <cell r="F2470" t="str">
            <v>Primary</v>
          </cell>
        </row>
        <row r="2471">
          <cell r="A2471">
            <v>2036298</v>
          </cell>
          <cell r="B2471">
            <v>131387</v>
          </cell>
          <cell r="C2471" t="str">
            <v>Belcanto London Academy Theatre School</v>
          </cell>
          <cell r="D2471" t="str">
            <v>Greenwich</v>
          </cell>
          <cell r="E2471" t="str">
            <v>Other Independent School</v>
          </cell>
          <cell r="F2471" t="str">
            <v>Not applicable</v>
          </cell>
        </row>
        <row r="2472">
          <cell r="A2472">
            <v>8813304</v>
          </cell>
          <cell r="B2472">
            <v>115134</v>
          </cell>
          <cell r="C2472" t="str">
            <v>Belchamp St Paul Church of England Voluntary Aided Primary School</v>
          </cell>
          <cell r="D2472" t="str">
            <v>Essex</v>
          </cell>
          <cell r="E2472" t="str">
            <v>Voluntary Aided School</v>
          </cell>
          <cell r="F2472" t="str">
            <v>Primary</v>
          </cell>
        </row>
        <row r="2473">
          <cell r="A2473">
            <v>8825434</v>
          </cell>
          <cell r="B2473">
            <v>115350</v>
          </cell>
          <cell r="C2473" t="str">
            <v>Belfairs High School</v>
          </cell>
          <cell r="D2473" t="str">
            <v>Southend-on-Sea</v>
          </cell>
          <cell r="E2473" t="str">
            <v>Foundation School</v>
          </cell>
          <cell r="F2473" t="str">
            <v>Secondary</v>
          </cell>
        </row>
        <row r="2474">
          <cell r="A2474">
            <v>3542028</v>
          </cell>
          <cell r="B2474">
            <v>105780</v>
          </cell>
          <cell r="C2474" t="str">
            <v>Belfield Community School</v>
          </cell>
          <cell r="D2474" t="str">
            <v>Rochdale</v>
          </cell>
          <cell r="E2474" t="str">
            <v>Community School</v>
          </cell>
          <cell r="F2474" t="str">
            <v>Primary</v>
          </cell>
        </row>
        <row r="2475">
          <cell r="A2475">
            <v>3537904</v>
          </cell>
          <cell r="B2475">
            <v>131854</v>
          </cell>
          <cell r="C2475" t="str">
            <v>Belford College Limited</v>
          </cell>
          <cell r="D2475" t="str">
            <v>Oldham</v>
          </cell>
          <cell r="E2475" t="str">
            <v>Special College</v>
          </cell>
          <cell r="F2475" t="str">
            <v>16 Plus</v>
          </cell>
        </row>
        <row r="2476">
          <cell r="A2476">
            <v>9292325</v>
          </cell>
          <cell r="B2476">
            <v>122244</v>
          </cell>
          <cell r="C2476" t="str">
            <v>Belford First School</v>
          </cell>
          <cell r="D2476" t="str">
            <v>Northumberland</v>
          </cell>
          <cell r="E2476" t="str">
            <v>Community School</v>
          </cell>
          <cell r="F2476" t="str">
            <v>Primary</v>
          </cell>
        </row>
        <row r="2477">
          <cell r="A2477">
            <v>8612001</v>
          </cell>
          <cell r="B2477">
            <v>132730</v>
          </cell>
          <cell r="C2477" t="str">
            <v>Belgrave CofE (C) Primary School</v>
          </cell>
          <cell r="D2477" t="str">
            <v>Stoke-on-Trent</v>
          </cell>
          <cell r="E2477" t="str">
            <v>Voluntary Controlled School</v>
          </cell>
          <cell r="F2477" t="str">
            <v>Primary</v>
          </cell>
        </row>
        <row r="2478">
          <cell r="A2478">
            <v>8604156</v>
          </cell>
          <cell r="B2478">
            <v>124433</v>
          </cell>
          <cell r="C2478" t="str">
            <v>Belgrave High School</v>
          </cell>
          <cell r="D2478" t="str">
            <v>Staffordshire</v>
          </cell>
          <cell r="E2478" t="str">
            <v>Community School</v>
          </cell>
          <cell r="F2478" t="str">
            <v>Secondary</v>
          </cell>
        </row>
        <row r="2479">
          <cell r="A2479">
            <v>8962066</v>
          </cell>
          <cell r="B2479">
            <v>110984</v>
          </cell>
          <cell r="C2479" t="str">
            <v>Belgrave Primary School</v>
          </cell>
          <cell r="D2479" t="str">
            <v>Cheshire West and Chester</v>
          </cell>
          <cell r="E2479" t="str">
            <v>Community School</v>
          </cell>
          <cell r="F2479" t="str">
            <v>Primary</v>
          </cell>
        </row>
        <row r="2480">
          <cell r="A2480">
            <v>8016019</v>
          </cell>
          <cell r="B2480">
            <v>109382</v>
          </cell>
          <cell r="C2480" t="str">
            <v>Belgrave School</v>
          </cell>
          <cell r="D2480" t="str">
            <v>Bristol City of</v>
          </cell>
          <cell r="E2480" t="str">
            <v>Other Independent Special School</v>
          </cell>
          <cell r="F2480" t="str">
            <v>Not applicable</v>
          </cell>
        </row>
        <row r="2481">
          <cell r="A2481">
            <v>8612001</v>
          </cell>
          <cell r="B2481">
            <v>136549</v>
          </cell>
          <cell r="C2481" t="str">
            <v>Belgrave St Bartholomew's Academy</v>
          </cell>
          <cell r="D2481" t="str">
            <v>Stoke-on-Trent</v>
          </cell>
          <cell r="E2481" t="str">
            <v>Academy Converters</v>
          </cell>
          <cell r="F2481" t="str">
            <v>Primary</v>
          </cell>
        </row>
        <row r="2482">
          <cell r="A2482">
            <v>8563201</v>
          </cell>
          <cell r="B2482">
            <v>120186</v>
          </cell>
          <cell r="C2482" t="str">
            <v>Belgrave St Peter's CofE Primary School</v>
          </cell>
          <cell r="D2482" t="str">
            <v>Leicester</v>
          </cell>
          <cell r="E2482" t="str">
            <v>Voluntary Aided School</v>
          </cell>
          <cell r="F2482" t="str">
            <v>Primary</v>
          </cell>
        </row>
        <row r="2483">
          <cell r="A2483">
            <v>8834392</v>
          </cell>
          <cell r="B2483">
            <v>115225</v>
          </cell>
          <cell r="C2483" t="str">
            <v>Belhus Chase Specialist Humanities College</v>
          </cell>
          <cell r="D2483" t="str">
            <v>Thurrock</v>
          </cell>
          <cell r="E2483" t="str">
            <v>Community School</v>
          </cell>
          <cell r="F2483" t="str">
            <v>Secondary</v>
          </cell>
        </row>
        <row r="2484">
          <cell r="A2484">
            <v>8866131</v>
          </cell>
          <cell r="B2484">
            <v>135605</v>
          </cell>
          <cell r="C2484" t="str">
            <v>Bell Bedgebury International School</v>
          </cell>
          <cell r="D2484" t="str">
            <v>Kent</v>
          </cell>
          <cell r="E2484" t="str">
            <v>Other Independent School</v>
          </cell>
          <cell r="F2484" t="str">
            <v>Not applicable</v>
          </cell>
        </row>
        <row r="2485">
          <cell r="A2485">
            <v>9362430</v>
          </cell>
          <cell r="B2485">
            <v>125058</v>
          </cell>
          <cell r="C2485" t="str">
            <v>Bell Farm Junior School</v>
          </cell>
          <cell r="D2485" t="str">
            <v>Surrey</v>
          </cell>
          <cell r="E2485" t="str">
            <v>Community School</v>
          </cell>
          <cell r="F2485" t="str">
            <v>Primary</v>
          </cell>
        </row>
        <row r="2486">
          <cell r="A2486">
            <v>8252234</v>
          </cell>
          <cell r="B2486">
            <v>110325</v>
          </cell>
          <cell r="C2486" t="str">
            <v>Bell Lane Combined School</v>
          </cell>
          <cell r="D2486" t="str">
            <v>Buckinghamshire</v>
          </cell>
          <cell r="E2486" t="str">
            <v>Community School</v>
          </cell>
          <cell r="F2486" t="str">
            <v>Primary</v>
          </cell>
        </row>
        <row r="2487">
          <cell r="A2487">
            <v>3842202</v>
          </cell>
          <cell r="B2487">
            <v>130965</v>
          </cell>
          <cell r="C2487" t="str">
            <v>Bell Lane Primary (J and I) School</v>
          </cell>
          <cell r="D2487" t="str">
            <v>Wakefield</v>
          </cell>
          <cell r="E2487" t="str">
            <v>Community School</v>
          </cell>
          <cell r="F2487" t="str">
            <v>Primary</v>
          </cell>
        </row>
        <row r="2488">
          <cell r="A2488">
            <v>3022003</v>
          </cell>
          <cell r="B2488">
            <v>101259</v>
          </cell>
          <cell r="C2488" t="str">
            <v>Bell Lane Primary School</v>
          </cell>
          <cell r="D2488" t="str">
            <v>Barnet</v>
          </cell>
          <cell r="E2488" t="str">
            <v>Community School</v>
          </cell>
          <cell r="F2488" t="str">
            <v>Primary</v>
          </cell>
        </row>
        <row r="2489">
          <cell r="A2489">
            <v>8008220</v>
          </cell>
          <cell r="B2489">
            <v>133687</v>
          </cell>
          <cell r="C2489" t="str">
            <v>Bell Language School</v>
          </cell>
          <cell r="D2489" t="str">
            <v>Bath and North East Somerset</v>
          </cell>
          <cell r="E2489" t="str">
            <v>Miscellaneous</v>
          </cell>
          <cell r="F2489" t="str">
            <v>Not applicable</v>
          </cell>
        </row>
        <row r="2490">
          <cell r="A2490">
            <v>8863897</v>
          </cell>
          <cell r="B2490">
            <v>134738</v>
          </cell>
          <cell r="C2490" t="str">
            <v>Bell Wood Community Primary School</v>
          </cell>
          <cell r="D2490" t="str">
            <v>Kent</v>
          </cell>
          <cell r="E2490" t="str">
            <v>Community School</v>
          </cell>
          <cell r="F2490" t="str">
            <v>Primary</v>
          </cell>
        </row>
        <row r="2491">
          <cell r="A2491">
            <v>8862535</v>
          </cell>
          <cell r="B2491">
            <v>118498</v>
          </cell>
          <cell r="C2491" t="str">
            <v>Bell Wood Community School</v>
          </cell>
          <cell r="D2491" t="str">
            <v>Kent</v>
          </cell>
          <cell r="E2491" t="str">
            <v>Community School</v>
          </cell>
          <cell r="F2491" t="str">
            <v>Primary</v>
          </cell>
        </row>
        <row r="2492">
          <cell r="A2492">
            <v>8862446</v>
          </cell>
          <cell r="B2492">
            <v>118445</v>
          </cell>
          <cell r="C2492" t="str">
            <v>Bell Wood Infant and Nursery School</v>
          </cell>
          <cell r="D2492" t="str">
            <v>Kent</v>
          </cell>
          <cell r="E2492" t="str">
            <v>Community School</v>
          </cell>
          <cell r="F2492" t="str">
            <v>Primary</v>
          </cell>
        </row>
        <row r="2493">
          <cell r="A2493">
            <v>3593368</v>
          </cell>
          <cell r="B2493">
            <v>106477</v>
          </cell>
          <cell r="C2493" t="str">
            <v>Belle Green CofE Junior and Infant School</v>
          </cell>
          <cell r="D2493" t="str">
            <v>Wigan</v>
          </cell>
          <cell r="E2493" t="str">
            <v>Voluntary Aided School</v>
          </cell>
          <cell r="F2493" t="str">
            <v>Primary</v>
          </cell>
        </row>
        <row r="2494">
          <cell r="A2494">
            <v>3832015</v>
          </cell>
          <cell r="B2494">
            <v>127809</v>
          </cell>
          <cell r="C2494" t="str">
            <v>Belle Isle First School</v>
          </cell>
          <cell r="D2494" t="str">
            <v>Leeds</v>
          </cell>
          <cell r="E2494" t="str">
            <v>Community School</v>
          </cell>
          <cell r="F2494" t="str">
            <v>Primary</v>
          </cell>
        </row>
        <row r="2495">
          <cell r="A2495">
            <v>3834141</v>
          </cell>
          <cell r="B2495">
            <v>127987</v>
          </cell>
          <cell r="C2495" t="str">
            <v>Belle Isle Middle School</v>
          </cell>
          <cell r="D2495" t="str">
            <v>Leeds</v>
          </cell>
          <cell r="E2495" t="str">
            <v>Community School</v>
          </cell>
          <cell r="F2495" t="str">
            <v>Middle Deemed Secondary</v>
          </cell>
        </row>
        <row r="2496">
          <cell r="A2496">
            <v>3412014</v>
          </cell>
          <cell r="B2496">
            <v>104519</v>
          </cell>
          <cell r="C2496" t="str">
            <v>Belle Vale Community Primary School</v>
          </cell>
          <cell r="D2496" t="str">
            <v>Liverpool</v>
          </cell>
          <cell r="E2496" t="str">
            <v>Community School</v>
          </cell>
          <cell r="F2496" t="str">
            <v>Primary</v>
          </cell>
        </row>
        <row r="2497">
          <cell r="A2497">
            <v>3412191</v>
          </cell>
          <cell r="B2497">
            <v>127277</v>
          </cell>
          <cell r="C2497" t="str">
            <v>Belle Vale County Infant School</v>
          </cell>
          <cell r="D2497" t="str">
            <v>Liverpool</v>
          </cell>
          <cell r="E2497" t="str">
            <v>Community School</v>
          </cell>
          <cell r="F2497" t="str">
            <v>Primary</v>
          </cell>
        </row>
        <row r="2498">
          <cell r="A2498">
            <v>3804022</v>
          </cell>
          <cell r="B2498">
            <v>107361</v>
          </cell>
          <cell r="C2498" t="str">
            <v>Belle Vue Boys' School</v>
          </cell>
          <cell r="D2498" t="str">
            <v>Bradford</v>
          </cell>
          <cell r="E2498" t="str">
            <v>Community School</v>
          </cell>
          <cell r="F2498" t="str">
            <v>Secondary</v>
          </cell>
        </row>
        <row r="2499">
          <cell r="A2499">
            <v>9172529</v>
          </cell>
          <cell r="B2499">
            <v>129010</v>
          </cell>
          <cell r="C2499" t="str">
            <v>Belle Vue County Infant School</v>
          </cell>
          <cell r="D2499" t="str">
            <v>Pre LGR (1997) Hampshire</v>
          </cell>
          <cell r="E2499" t="str">
            <v>Community School</v>
          </cell>
          <cell r="F2499" t="str">
            <v>Primary</v>
          </cell>
        </row>
        <row r="2500">
          <cell r="A2500">
            <v>3802187</v>
          </cell>
          <cell r="B2500">
            <v>107298</v>
          </cell>
          <cell r="C2500" t="str">
            <v>Belle Vue First School</v>
          </cell>
          <cell r="D2500" t="str">
            <v>Bradford</v>
          </cell>
          <cell r="E2500" t="str">
            <v>Community School</v>
          </cell>
          <cell r="F2500" t="str">
            <v>Primary</v>
          </cell>
        </row>
        <row r="2501">
          <cell r="A2501">
            <v>3804041</v>
          </cell>
          <cell r="B2501">
            <v>107368</v>
          </cell>
          <cell r="C2501" t="str">
            <v>Belle Vue Girls' School</v>
          </cell>
          <cell r="D2501" t="str">
            <v>Bradford</v>
          </cell>
          <cell r="E2501" t="str">
            <v>Community School</v>
          </cell>
          <cell r="F2501" t="str">
            <v>Secondary</v>
          </cell>
        </row>
        <row r="2502">
          <cell r="A2502">
            <v>8502729</v>
          </cell>
          <cell r="B2502">
            <v>116234</v>
          </cell>
          <cell r="C2502" t="str">
            <v>Belle Vue Infant School</v>
          </cell>
          <cell r="D2502" t="str">
            <v>Hampshire</v>
          </cell>
          <cell r="E2502" t="str">
            <v>Community School</v>
          </cell>
          <cell r="F2502" t="str">
            <v>Primary</v>
          </cell>
        </row>
        <row r="2503">
          <cell r="A2503">
            <v>9092621</v>
          </cell>
          <cell r="B2503">
            <v>112227</v>
          </cell>
          <cell r="C2503" t="str">
            <v>Belle Vue Junior School</v>
          </cell>
          <cell r="D2503" t="str">
            <v>Cumbria</v>
          </cell>
          <cell r="E2503" t="str">
            <v>Community School</v>
          </cell>
          <cell r="F2503" t="str">
            <v>Primary</v>
          </cell>
        </row>
        <row r="2504">
          <cell r="A2504">
            <v>3322151</v>
          </cell>
          <cell r="B2504">
            <v>103828</v>
          </cell>
          <cell r="C2504" t="str">
            <v>Belle Vue Primary School</v>
          </cell>
          <cell r="D2504" t="str">
            <v>Dudley</v>
          </cell>
          <cell r="E2504" t="str">
            <v>Community School</v>
          </cell>
          <cell r="F2504" t="str">
            <v>Primary</v>
          </cell>
        </row>
        <row r="2505">
          <cell r="A2505">
            <v>9092622</v>
          </cell>
          <cell r="B2505">
            <v>112228</v>
          </cell>
          <cell r="C2505" t="str">
            <v>Belle Vue Primary School</v>
          </cell>
          <cell r="D2505" t="str">
            <v>Cumbria</v>
          </cell>
          <cell r="E2505" t="str">
            <v>Community School</v>
          </cell>
          <cell r="F2505" t="str">
            <v>Primary</v>
          </cell>
        </row>
        <row r="2506">
          <cell r="A2506">
            <v>8653472</v>
          </cell>
          <cell r="B2506">
            <v>135484</v>
          </cell>
          <cell r="C2506" t="str">
            <v>Bellefield Primary and Nursery School</v>
          </cell>
          <cell r="D2506" t="str">
            <v>Wiltshire</v>
          </cell>
          <cell r="E2506" t="str">
            <v>Voluntary Controlled School</v>
          </cell>
          <cell r="F2506" t="str">
            <v>Primary</v>
          </cell>
        </row>
        <row r="2507">
          <cell r="A2507">
            <v>2102038</v>
          </cell>
          <cell r="B2507">
            <v>100775</v>
          </cell>
          <cell r="C2507" t="str">
            <v>Bellenden Primary School</v>
          </cell>
          <cell r="D2507" t="str">
            <v>Southwark</v>
          </cell>
          <cell r="E2507" t="str">
            <v>Community School</v>
          </cell>
          <cell r="F2507" t="str">
            <v>Primary</v>
          </cell>
        </row>
        <row r="2508">
          <cell r="A2508">
            <v>8466009</v>
          </cell>
          <cell r="B2508">
            <v>114664</v>
          </cell>
          <cell r="C2508" t="str">
            <v>Bellerbys College</v>
          </cell>
          <cell r="D2508" t="str">
            <v>Brighton and Hove</v>
          </cell>
          <cell r="E2508" t="str">
            <v>Other Independent School</v>
          </cell>
          <cell r="F2508" t="str">
            <v>Not applicable</v>
          </cell>
        </row>
        <row r="2509">
          <cell r="A2509">
            <v>2036376</v>
          </cell>
          <cell r="B2509">
            <v>134827</v>
          </cell>
          <cell r="C2509" t="str">
            <v>Bellerbys College</v>
          </cell>
          <cell r="D2509" t="str">
            <v>Greenwich</v>
          </cell>
          <cell r="E2509" t="str">
            <v>Other Independent School</v>
          </cell>
          <cell r="F2509" t="str">
            <v>Not applicable</v>
          </cell>
        </row>
        <row r="2510">
          <cell r="A2510">
            <v>9316126</v>
          </cell>
          <cell r="B2510">
            <v>135236</v>
          </cell>
          <cell r="C2510" t="str">
            <v>Bellerby's College</v>
          </cell>
          <cell r="D2510" t="str">
            <v>Oxfordshire</v>
          </cell>
          <cell r="E2510" t="str">
            <v>Other Independent School</v>
          </cell>
          <cell r="F2510" t="str">
            <v>Not applicable</v>
          </cell>
        </row>
        <row r="2511">
          <cell r="A2511">
            <v>8736023</v>
          </cell>
          <cell r="B2511">
            <v>131074</v>
          </cell>
          <cell r="C2511" t="str">
            <v>Bellerbys College Cambridge</v>
          </cell>
          <cell r="D2511" t="str">
            <v>Cambridgeshire</v>
          </cell>
          <cell r="E2511" t="str">
            <v>Other Independent School</v>
          </cell>
          <cell r="F2511" t="str">
            <v>Not applicable</v>
          </cell>
        </row>
        <row r="2512">
          <cell r="A2512">
            <v>2056393</v>
          </cell>
          <cell r="B2512">
            <v>131406</v>
          </cell>
          <cell r="C2512" t="str">
            <v>Bellerbys College London</v>
          </cell>
          <cell r="D2512" t="str">
            <v>Hammersmith and Fulham</v>
          </cell>
          <cell r="E2512" t="str">
            <v>Other Independent School</v>
          </cell>
          <cell r="F2512" t="str">
            <v>Not applicable</v>
          </cell>
        </row>
        <row r="2513">
          <cell r="A2513">
            <v>2126407</v>
          </cell>
          <cell r="B2513">
            <v>134431</v>
          </cell>
          <cell r="C2513" t="str">
            <v>Bellerbys College London</v>
          </cell>
          <cell r="D2513" t="str">
            <v>Wandsworth</v>
          </cell>
          <cell r="E2513" t="str">
            <v>Other Independent School</v>
          </cell>
          <cell r="F2513" t="str">
            <v>Not applicable</v>
          </cell>
        </row>
        <row r="2514">
          <cell r="A2514">
            <v>8456008</v>
          </cell>
          <cell r="B2514">
            <v>114637</v>
          </cell>
          <cell r="C2514" t="str">
            <v>Bellerbys College Mayfield</v>
          </cell>
          <cell r="D2514" t="str">
            <v>East Sussex</v>
          </cell>
          <cell r="E2514" t="str">
            <v>Other Independent School</v>
          </cell>
          <cell r="F2514" t="str">
            <v>Not applicable</v>
          </cell>
        </row>
        <row r="2515">
          <cell r="A2515">
            <v>8456025</v>
          </cell>
          <cell r="B2515">
            <v>114631</v>
          </cell>
          <cell r="C2515" t="str">
            <v>Bellerbys College, Wadhurst</v>
          </cell>
          <cell r="D2515" t="str">
            <v>East Sussex</v>
          </cell>
          <cell r="E2515" t="str">
            <v>Other Independent School</v>
          </cell>
          <cell r="F2515" t="str">
            <v>Not applicable</v>
          </cell>
        </row>
        <row r="2516">
          <cell r="A2516">
            <v>3414787</v>
          </cell>
          <cell r="B2516">
            <v>104709</v>
          </cell>
          <cell r="C2516" t="str">
            <v>Bellerive FCJ Catholic College</v>
          </cell>
          <cell r="D2516" t="str">
            <v>Liverpool</v>
          </cell>
          <cell r="E2516" t="str">
            <v>Voluntary Aided School</v>
          </cell>
          <cell r="F2516" t="str">
            <v>Secondary</v>
          </cell>
        </row>
        <row r="2517">
          <cell r="A2517">
            <v>2122040</v>
          </cell>
          <cell r="B2517">
            <v>100998</v>
          </cell>
          <cell r="C2517" t="str">
            <v>Belleville Primary School</v>
          </cell>
          <cell r="D2517" t="str">
            <v>Wandsworth</v>
          </cell>
          <cell r="E2517" t="str">
            <v>Community School</v>
          </cell>
          <cell r="F2517" t="str">
            <v>Primary</v>
          </cell>
        </row>
        <row r="2518">
          <cell r="A2518">
            <v>2122040</v>
          </cell>
          <cell r="B2518">
            <v>137563</v>
          </cell>
          <cell r="C2518" t="str">
            <v>Belleville Primary School</v>
          </cell>
          <cell r="D2518" t="str">
            <v>Wandsworth</v>
          </cell>
          <cell r="E2518" t="str">
            <v>Academy Converters</v>
          </cell>
          <cell r="F2518" t="str">
            <v>Primary</v>
          </cell>
        </row>
        <row r="2519">
          <cell r="A2519">
            <v>8252192</v>
          </cell>
          <cell r="B2519">
            <v>110295</v>
          </cell>
          <cell r="C2519" t="str">
            <v>Bellfield First School</v>
          </cell>
          <cell r="D2519" t="str">
            <v>Buckinghamshire</v>
          </cell>
          <cell r="E2519" t="str">
            <v>Community School</v>
          </cell>
          <cell r="F2519" t="str">
            <v>Primary</v>
          </cell>
        </row>
        <row r="2520">
          <cell r="A2520">
            <v>3302239</v>
          </cell>
          <cell r="B2520">
            <v>103289</v>
          </cell>
          <cell r="C2520" t="str">
            <v>Bellfield Infant School (NC)</v>
          </cell>
          <cell r="D2520" t="str">
            <v>Birmingham</v>
          </cell>
          <cell r="E2520" t="str">
            <v>Community School</v>
          </cell>
          <cell r="F2520" t="str">
            <v>Primary</v>
          </cell>
        </row>
        <row r="2521">
          <cell r="A2521">
            <v>3302241</v>
          </cell>
          <cell r="B2521">
            <v>103291</v>
          </cell>
          <cell r="C2521" t="str">
            <v>Bellfield Junior SU School</v>
          </cell>
          <cell r="D2521" t="str">
            <v>Birmingham</v>
          </cell>
          <cell r="E2521" t="str">
            <v>Community School</v>
          </cell>
          <cell r="F2521" t="str">
            <v>Primary</v>
          </cell>
        </row>
        <row r="2522">
          <cell r="A2522">
            <v>8252279</v>
          </cell>
          <cell r="B2522">
            <v>110350</v>
          </cell>
          <cell r="C2522" t="str">
            <v>Bellfield Middle School</v>
          </cell>
          <cell r="D2522" t="str">
            <v>Buckinghamshire</v>
          </cell>
          <cell r="E2522" t="str">
            <v>Community School</v>
          </cell>
          <cell r="F2522" t="str">
            <v>Middle Deemed Primary</v>
          </cell>
        </row>
        <row r="2523">
          <cell r="A2523">
            <v>8102039</v>
          </cell>
          <cell r="B2523">
            <v>117715</v>
          </cell>
          <cell r="C2523" t="str">
            <v>Bellfield Primary School</v>
          </cell>
          <cell r="D2523" t="str">
            <v>Kingston upon Hull City of</v>
          </cell>
          <cell r="E2523" t="str">
            <v>Community School</v>
          </cell>
          <cell r="F2523" t="str">
            <v>Primary</v>
          </cell>
        </row>
        <row r="2524">
          <cell r="A2524">
            <v>9362125</v>
          </cell>
          <cell r="B2524">
            <v>130025</v>
          </cell>
          <cell r="C2524" t="str">
            <v>Bellfields Middle School</v>
          </cell>
          <cell r="D2524" t="str">
            <v>Surrey</v>
          </cell>
          <cell r="E2524" t="str">
            <v>Community School</v>
          </cell>
          <cell r="F2524" t="str">
            <v>Middle Deemed Primary</v>
          </cell>
        </row>
        <row r="2525">
          <cell r="A2525">
            <v>9192292</v>
          </cell>
          <cell r="B2525">
            <v>129127</v>
          </cell>
          <cell r="C2525" t="str">
            <v>Bellgate Infant School</v>
          </cell>
          <cell r="D2525" t="str">
            <v>Hertfordshire</v>
          </cell>
          <cell r="E2525" t="str">
            <v>Community School</v>
          </cell>
          <cell r="F2525" t="str">
            <v>Primary</v>
          </cell>
        </row>
        <row r="2526">
          <cell r="A2526">
            <v>9192275</v>
          </cell>
          <cell r="B2526">
            <v>129122</v>
          </cell>
          <cell r="C2526" t="str">
            <v>Bellgate Junior Mixed School</v>
          </cell>
          <cell r="D2526" t="str">
            <v>Hertfordshire</v>
          </cell>
          <cell r="E2526" t="str">
            <v>Community School</v>
          </cell>
          <cell r="F2526" t="str">
            <v>Primary</v>
          </cell>
        </row>
        <row r="2527">
          <cell r="A2527">
            <v>9192999</v>
          </cell>
          <cell r="B2527">
            <v>117381</v>
          </cell>
          <cell r="C2527" t="str">
            <v>Bellgate Primary School</v>
          </cell>
          <cell r="D2527" t="str">
            <v>Hertfordshire</v>
          </cell>
          <cell r="E2527" t="str">
            <v>Community School</v>
          </cell>
          <cell r="F2527" t="str">
            <v>Primary</v>
          </cell>
        </row>
        <row r="2528">
          <cell r="A2528">
            <v>9282193</v>
          </cell>
          <cell r="B2528">
            <v>121936</v>
          </cell>
          <cell r="C2528" t="str">
            <v>Bellinge Primary School</v>
          </cell>
          <cell r="D2528" t="str">
            <v>Northamptonshire</v>
          </cell>
          <cell r="E2528" t="str">
            <v>Community School</v>
          </cell>
          <cell r="F2528" t="str">
            <v>Primary</v>
          </cell>
        </row>
        <row r="2529">
          <cell r="A2529">
            <v>9292043</v>
          </cell>
          <cell r="B2529">
            <v>122183</v>
          </cell>
          <cell r="C2529" t="str">
            <v>Bellingham First School</v>
          </cell>
          <cell r="D2529" t="str">
            <v>Northumberland</v>
          </cell>
          <cell r="E2529" t="str">
            <v>Foundation School</v>
          </cell>
          <cell r="F2529" t="str">
            <v>Primary</v>
          </cell>
        </row>
        <row r="2530">
          <cell r="A2530">
            <v>9294361</v>
          </cell>
          <cell r="B2530">
            <v>122350</v>
          </cell>
          <cell r="C2530" t="str">
            <v>Bellingham Middle School and Sports College</v>
          </cell>
          <cell r="D2530" t="str">
            <v>Northumberland</v>
          </cell>
          <cell r="E2530" t="str">
            <v>Foundation School</v>
          </cell>
          <cell r="F2530" t="str">
            <v>Middle Deemed Secondary</v>
          </cell>
        </row>
        <row r="2531">
          <cell r="A2531">
            <v>3302456</v>
          </cell>
          <cell r="B2531">
            <v>103383</v>
          </cell>
          <cell r="C2531" t="str">
            <v>Bells Farm Junior and Infant School</v>
          </cell>
          <cell r="D2531" t="str">
            <v>Birmingham</v>
          </cell>
          <cell r="E2531" t="str">
            <v>Community School</v>
          </cell>
          <cell r="F2531" t="str">
            <v>Primary</v>
          </cell>
        </row>
        <row r="2532">
          <cell r="A2532">
            <v>9186004</v>
          </cell>
          <cell r="B2532">
            <v>129093</v>
          </cell>
          <cell r="C2532" t="str">
            <v>Belmont Abbey School</v>
          </cell>
          <cell r="D2532" t="str">
            <v>Pre LGR (1998) Hereford &amp; Worcester</v>
          </cell>
          <cell r="E2532" t="str">
            <v>Other Independent School</v>
          </cell>
          <cell r="F2532" t="str">
            <v>Not applicable</v>
          </cell>
        </row>
        <row r="2533">
          <cell r="A2533">
            <v>8402498</v>
          </cell>
          <cell r="B2533">
            <v>114139</v>
          </cell>
          <cell r="C2533" t="str">
            <v>Belmont Cheveley Park Primary School</v>
          </cell>
          <cell r="D2533" t="str">
            <v>Durham</v>
          </cell>
          <cell r="E2533" t="str">
            <v>Community School</v>
          </cell>
          <cell r="F2533" t="str">
            <v>Primary</v>
          </cell>
        </row>
        <row r="2534">
          <cell r="A2534">
            <v>8403161</v>
          </cell>
          <cell r="B2534">
            <v>114227</v>
          </cell>
          <cell r="C2534" t="str">
            <v>Belmont CofE (Controlled) Junior School</v>
          </cell>
          <cell r="D2534" t="str">
            <v>Durham</v>
          </cell>
          <cell r="E2534" t="str">
            <v>Voluntary Controlled School</v>
          </cell>
          <cell r="F2534" t="str">
            <v>Primary</v>
          </cell>
        </row>
        <row r="2535">
          <cell r="A2535">
            <v>9252070</v>
          </cell>
          <cell r="B2535">
            <v>120401</v>
          </cell>
          <cell r="C2535" t="str">
            <v>Belmont Community Primary School</v>
          </cell>
          <cell r="D2535" t="str">
            <v>Lincolnshire</v>
          </cell>
          <cell r="E2535" t="str">
            <v>Community School</v>
          </cell>
          <cell r="F2535" t="str">
            <v>Primary</v>
          </cell>
        </row>
        <row r="2536">
          <cell r="A2536">
            <v>3102081</v>
          </cell>
          <cell r="B2536">
            <v>102210</v>
          </cell>
          <cell r="C2536" t="str">
            <v>Belmont First School</v>
          </cell>
          <cell r="D2536" t="str">
            <v>Harrow</v>
          </cell>
          <cell r="E2536" t="str">
            <v>Community School</v>
          </cell>
          <cell r="F2536" t="str">
            <v>Primary</v>
          </cell>
        </row>
        <row r="2537">
          <cell r="A2537">
            <v>8156017</v>
          </cell>
          <cell r="B2537">
            <v>121746</v>
          </cell>
          <cell r="C2537" t="str">
            <v>Belmont Grosvenor School</v>
          </cell>
          <cell r="D2537" t="str">
            <v>North Yorkshire</v>
          </cell>
          <cell r="E2537" t="str">
            <v>Other Independent School</v>
          </cell>
          <cell r="F2537" t="str">
            <v>Not applicable</v>
          </cell>
        </row>
        <row r="2538">
          <cell r="A2538">
            <v>9116151</v>
          </cell>
          <cell r="B2538">
            <v>128761</v>
          </cell>
          <cell r="C2538" t="str">
            <v>Belmont House School</v>
          </cell>
          <cell r="D2538" t="str">
            <v>Pre LGR (1998) Devon</v>
          </cell>
          <cell r="E2538" t="str">
            <v>Other Independent School</v>
          </cell>
          <cell r="F2538" t="str">
            <v>Not applicable</v>
          </cell>
        </row>
        <row r="2539">
          <cell r="A2539">
            <v>3092003</v>
          </cell>
          <cell r="B2539">
            <v>102079</v>
          </cell>
          <cell r="C2539" t="str">
            <v>Belmont Infant School</v>
          </cell>
          <cell r="D2539" t="str">
            <v>Haringey</v>
          </cell>
          <cell r="E2539" t="str">
            <v>Community School</v>
          </cell>
          <cell r="F2539" t="str">
            <v>Primary</v>
          </cell>
        </row>
        <row r="2540">
          <cell r="A2540">
            <v>8402494</v>
          </cell>
          <cell r="B2540">
            <v>114137</v>
          </cell>
          <cell r="C2540" t="str">
            <v>Belmont Infant School</v>
          </cell>
          <cell r="D2540" t="str">
            <v>Durham</v>
          </cell>
          <cell r="E2540" t="str">
            <v>Community School</v>
          </cell>
          <cell r="F2540" t="str">
            <v>Primary</v>
          </cell>
        </row>
        <row r="2541">
          <cell r="A2541">
            <v>9072089</v>
          </cell>
          <cell r="B2541">
            <v>128497</v>
          </cell>
          <cell r="C2541" t="str">
            <v>Belmont Infant School</v>
          </cell>
          <cell r="D2541" t="str">
            <v>Pre LGR (1996) Cleveland</v>
          </cell>
          <cell r="E2541" t="str">
            <v>Community School</v>
          </cell>
          <cell r="F2541" t="str">
            <v>Primary</v>
          </cell>
        </row>
        <row r="2542">
          <cell r="A2542">
            <v>8612035</v>
          </cell>
          <cell r="B2542">
            <v>123990</v>
          </cell>
          <cell r="C2542" t="str">
            <v>Belmont Infants' School</v>
          </cell>
          <cell r="D2542" t="str">
            <v>Stoke-on-Trent</v>
          </cell>
          <cell r="E2542" t="str">
            <v>Community School</v>
          </cell>
          <cell r="F2542" t="str">
            <v>Primary</v>
          </cell>
        </row>
        <row r="2543">
          <cell r="A2543">
            <v>3092002</v>
          </cell>
          <cell r="B2543">
            <v>102078</v>
          </cell>
          <cell r="C2543" t="str">
            <v>Belmont Junior School</v>
          </cell>
          <cell r="D2543" t="str">
            <v>Haringey</v>
          </cell>
          <cell r="E2543" t="str">
            <v>Community School</v>
          </cell>
          <cell r="F2543" t="str">
            <v>Primary</v>
          </cell>
        </row>
        <row r="2544">
          <cell r="A2544">
            <v>9072083</v>
          </cell>
          <cell r="B2544">
            <v>128495</v>
          </cell>
          <cell r="C2544" t="str">
            <v>Belmont Junior School</v>
          </cell>
          <cell r="D2544" t="str">
            <v>Pre LGR (1996) Cleveland</v>
          </cell>
          <cell r="E2544" t="str">
            <v>Community School</v>
          </cell>
          <cell r="F2544" t="str">
            <v>Primary</v>
          </cell>
        </row>
        <row r="2545">
          <cell r="A2545">
            <v>3804091</v>
          </cell>
          <cell r="B2545">
            <v>107407</v>
          </cell>
          <cell r="C2545" t="str">
            <v>Belmont Middle School</v>
          </cell>
          <cell r="D2545" t="str">
            <v>Bradford</v>
          </cell>
          <cell r="E2545" t="str">
            <v>Community School</v>
          </cell>
          <cell r="F2545" t="str">
            <v>Middle Deemed Secondary</v>
          </cell>
        </row>
        <row r="2546">
          <cell r="A2546">
            <v>3561001</v>
          </cell>
          <cell r="B2546">
            <v>106014</v>
          </cell>
          <cell r="C2546" t="str">
            <v>Belmont Nursery School</v>
          </cell>
          <cell r="D2546" t="str">
            <v>Stockport</v>
          </cell>
          <cell r="E2546" t="str">
            <v>LA Nursery School</v>
          </cell>
          <cell r="F2546" t="str">
            <v>Nursery</v>
          </cell>
        </row>
        <row r="2547">
          <cell r="A2547">
            <v>3201106</v>
          </cell>
          <cell r="B2547">
            <v>135559</v>
          </cell>
          <cell r="C2547" t="str">
            <v>Belmont Park</v>
          </cell>
          <cell r="D2547" t="str">
            <v>Waltham Forest</v>
          </cell>
          <cell r="E2547" t="str">
            <v>Pupil Referral Unit</v>
          </cell>
          <cell r="F2547" t="str">
            <v>PRU</v>
          </cell>
        </row>
        <row r="2548">
          <cell r="A2548">
            <v>3201102</v>
          </cell>
          <cell r="B2548">
            <v>133763</v>
          </cell>
          <cell r="C2548" t="str">
            <v>Belmont Park PRU</v>
          </cell>
          <cell r="D2548" t="str">
            <v>Waltham Forest</v>
          </cell>
          <cell r="E2548" t="str">
            <v>Pupil Referral Unit</v>
          </cell>
          <cell r="F2548" t="str">
            <v>PRU</v>
          </cell>
        </row>
        <row r="2549">
          <cell r="A2549">
            <v>3207011</v>
          </cell>
          <cell r="B2549">
            <v>131697</v>
          </cell>
          <cell r="C2549" t="str">
            <v>Belmont Park School</v>
          </cell>
          <cell r="D2549" t="str">
            <v>Waltham Forest</v>
          </cell>
          <cell r="E2549" t="str">
            <v>Community Special School</v>
          </cell>
          <cell r="F2549" t="str">
            <v>Special</v>
          </cell>
        </row>
        <row r="2550">
          <cell r="A2550">
            <v>3207749</v>
          </cell>
          <cell r="B2550">
            <v>133107</v>
          </cell>
          <cell r="C2550" t="str">
            <v>Belmont Park School</v>
          </cell>
          <cell r="D2550" t="str">
            <v>Waltham Forest</v>
          </cell>
          <cell r="E2550" t="str">
            <v>Community Special School</v>
          </cell>
          <cell r="F2550" t="str">
            <v>Special</v>
          </cell>
        </row>
        <row r="2551">
          <cell r="A2551">
            <v>3032033</v>
          </cell>
          <cell r="B2551">
            <v>101422</v>
          </cell>
          <cell r="C2551" t="str">
            <v>Belmont Primary School</v>
          </cell>
          <cell r="D2551" t="str">
            <v>Bexley</v>
          </cell>
          <cell r="E2551" t="str">
            <v>Community School</v>
          </cell>
          <cell r="F2551" t="str">
            <v>Primary</v>
          </cell>
        </row>
        <row r="2552">
          <cell r="A2552">
            <v>3132003</v>
          </cell>
          <cell r="B2552">
            <v>102470</v>
          </cell>
          <cell r="C2552" t="str">
            <v>Belmont Primary School</v>
          </cell>
          <cell r="D2552" t="str">
            <v>Hounslow</v>
          </cell>
          <cell r="E2552" t="str">
            <v>Community School</v>
          </cell>
          <cell r="F2552" t="str">
            <v>Primary</v>
          </cell>
        </row>
        <row r="2553">
          <cell r="A2553">
            <v>8072365</v>
          </cell>
          <cell r="B2553">
            <v>111662</v>
          </cell>
          <cell r="C2553" t="str">
            <v>Belmont Primary School</v>
          </cell>
          <cell r="D2553" t="str">
            <v>Redcar and Cleveland</v>
          </cell>
          <cell r="E2553" t="str">
            <v>Community School</v>
          </cell>
          <cell r="F2553" t="str">
            <v>Primary</v>
          </cell>
        </row>
        <row r="2554">
          <cell r="A2554">
            <v>8305200</v>
          </cell>
          <cell r="B2554">
            <v>112974</v>
          </cell>
          <cell r="C2554" t="str">
            <v>Belmont Primary School</v>
          </cell>
          <cell r="D2554" t="str">
            <v>Derbyshire</v>
          </cell>
          <cell r="E2554" t="str">
            <v>Foundation School</v>
          </cell>
          <cell r="F2554" t="str">
            <v>Primary</v>
          </cell>
        </row>
        <row r="2555">
          <cell r="A2555">
            <v>3102055</v>
          </cell>
          <cell r="B2555">
            <v>102189</v>
          </cell>
          <cell r="C2555" t="str">
            <v>Belmont School</v>
          </cell>
          <cell r="D2555" t="str">
            <v>Harrow</v>
          </cell>
          <cell r="E2555" t="str">
            <v>Community School</v>
          </cell>
          <cell r="F2555" t="str">
            <v>Primary</v>
          </cell>
        </row>
        <row r="2556">
          <cell r="A2556">
            <v>9366175</v>
          </cell>
          <cell r="B2556">
            <v>125376</v>
          </cell>
          <cell r="C2556" t="str">
            <v>Belmont School</v>
          </cell>
          <cell r="D2556" t="str">
            <v>Surrey</v>
          </cell>
          <cell r="E2556" t="str">
            <v>Other Independent School</v>
          </cell>
          <cell r="F2556" t="str">
            <v>Not applicable</v>
          </cell>
        </row>
        <row r="2557">
          <cell r="A2557">
            <v>8656002</v>
          </cell>
          <cell r="B2557">
            <v>126539</v>
          </cell>
          <cell r="C2557" t="str">
            <v>Belmont School</v>
          </cell>
          <cell r="D2557" t="str">
            <v>Wiltshire</v>
          </cell>
          <cell r="E2557" t="str">
            <v>Other Independent Special School</v>
          </cell>
          <cell r="F2557" t="str">
            <v>Not applicable</v>
          </cell>
        </row>
        <row r="2558">
          <cell r="A2558">
            <v>8886029</v>
          </cell>
          <cell r="B2558">
            <v>131025</v>
          </cell>
          <cell r="C2558" t="str">
            <v>Belmont School</v>
          </cell>
          <cell r="D2558" t="str">
            <v>Lancashire</v>
          </cell>
          <cell r="E2558" t="str">
            <v>Other Independent Special School</v>
          </cell>
          <cell r="F2558" t="str">
            <v>Not applicable</v>
          </cell>
        </row>
        <row r="2559">
          <cell r="A2559">
            <v>9167023</v>
          </cell>
          <cell r="B2559">
            <v>131549</v>
          </cell>
          <cell r="C2559" t="str">
            <v>Belmont School</v>
          </cell>
          <cell r="D2559" t="str">
            <v>Gloucestershire</v>
          </cell>
          <cell r="E2559" t="str">
            <v>Community Special School</v>
          </cell>
          <cell r="F2559" t="str">
            <v>Special</v>
          </cell>
        </row>
        <row r="2560">
          <cell r="A2560">
            <v>8404185</v>
          </cell>
          <cell r="B2560">
            <v>114308</v>
          </cell>
          <cell r="C2560" t="str">
            <v>Belmont School Community Arts College</v>
          </cell>
          <cell r="D2560" t="str">
            <v>Durham</v>
          </cell>
          <cell r="E2560" t="str">
            <v>Community School</v>
          </cell>
          <cell r="F2560" t="str">
            <v>Secondary</v>
          </cell>
        </row>
        <row r="2561">
          <cell r="A2561">
            <v>9237081</v>
          </cell>
          <cell r="B2561">
            <v>129516</v>
          </cell>
          <cell r="C2561" t="str">
            <v>Belmont Special School</v>
          </cell>
          <cell r="D2561" t="str">
            <v>Pre LGR (1998) Lancashire</v>
          </cell>
          <cell r="E2561" t="str">
            <v>Community Special School</v>
          </cell>
          <cell r="F2561" t="str">
            <v>Special</v>
          </cell>
        </row>
        <row r="2562">
          <cell r="A2562">
            <v>3122000</v>
          </cell>
          <cell r="B2562">
            <v>102367</v>
          </cell>
          <cell r="C2562" t="str">
            <v>Belmore Children's Centre, Nursery and Primary School</v>
          </cell>
          <cell r="D2562" t="str">
            <v>Hillingdon</v>
          </cell>
          <cell r="E2562" t="str">
            <v>Community School</v>
          </cell>
          <cell r="F2562" t="str">
            <v>Primary</v>
          </cell>
        </row>
        <row r="2563">
          <cell r="A2563">
            <v>8305404</v>
          </cell>
          <cell r="B2563">
            <v>112989</v>
          </cell>
          <cell r="C2563" t="str">
            <v>Belper School</v>
          </cell>
          <cell r="D2563" t="str">
            <v>Derbyshire</v>
          </cell>
          <cell r="E2563" t="str">
            <v>Foundation School</v>
          </cell>
          <cell r="F2563" t="str">
            <v>Secondary</v>
          </cell>
        </row>
        <row r="2564">
          <cell r="A2564">
            <v>9292044</v>
          </cell>
          <cell r="B2564">
            <v>122184</v>
          </cell>
          <cell r="C2564" t="str">
            <v>Belsay First School</v>
          </cell>
          <cell r="D2564" t="str">
            <v>Northumberland</v>
          </cell>
          <cell r="E2564" t="str">
            <v>Community School</v>
          </cell>
          <cell r="F2564" t="str">
            <v>Primary</v>
          </cell>
        </row>
        <row r="2565">
          <cell r="A2565">
            <v>9358290</v>
          </cell>
          <cell r="B2565">
            <v>133157</v>
          </cell>
          <cell r="C2565" t="str">
            <v>Belstead House Adult Education Centre</v>
          </cell>
          <cell r="D2565" t="str">
            <v>Suffolk</v>
          </cell>
          <cell r="E2565" t="str">
            <v>Miscellaneous</v>
          </cell>
          <cell r="F2565" t="str">
            <v>Not applicable</v>
          </cell>
        </row>
        <row r="2566">
          <cell r="A2566">
            <v>9357005</v>
          </cell>
          <cell r="B2566">
            <v>124906</v>
          </cell>
          <cell r="C2566" t="str">
            <v>Belstead School</v>
          </cell>
          <cell r="D2566" t="str">
            <v>Suffolk</v>
          </cell>
          <cell r="E2566" t="str">
            <v>Community Special School</v>
          </cell>
          <cell r="F2566" t="str">
            <v>Special</v>
          </cell>
        </row>
        <row r="2567">
          <cell r="A2567">
            <v>9192186</v>
          </cell>
          <cell r="B2567">
            <v>129116</v>
          </cell>
          <cell r="C2567" t="str">
            <v>Belswains Infants' School</v>
          </cell>
          <cell r="D2567" t="str">
            <v>Hertfordshire</v>
          </cell>
          <cell r="E2567" t="str">
            <v>Community School</v>
          </cell>
          <cell r="F2567" t="str">
            <v>Primary</v>
          </cell>
        </row>
        <row r="2568">
          <cell r="A2568">
            <v>9192046</v>
          </cell>
          <cell r="B2568">
            <v>129111</v>
          </cell>
          <cell r="C2568" t="str">
            <v>Belswains Junior School</v>
          </cell>
          <cell r="D2568" t="str">
            <v>Hertfordshire</v>
          </cell>
          <cell r="E2568" t="str">
            <v>Community School</v>
          </cell>
          <cell r="F2568" t="str">
            <v>Primary</v>
          </cell>
        </row>
        <row r="2569">
          <cell r="A2569">
            <v>9192466</v>
          </cell>
          <cell r="B2569">
            <v>117365</v>
          </cell>
          <cell r="C2569" t="str">
            <v>Belswains Primary School</v>
          </cell>
          <cell r="D2569" t="str">
            <v>Hertfordshire</v>
          </cell>
          <cell r="E2569" t="str">
            <v>Community School</v>
          </cell>
          <cell r="F2569" t="str">
            <v>Primary</v>
          </cell>
        </row>
        <row r="2570">
          <cell r="A2570">
            <v>8885205</v>
          </cell>
          <cell r="B2570">
            <v>119289</v>
          </cell>
          <cell r="C2570" t="str">
            <v>Belthorn Primary School</v>
          </cell>
          <cell r="D2570" t="str">
            <v>Lancashire</v>
          </cell>
          <cell r="E2570" t="str">
            <v>Foundation School</v>
          </cell>
          <cell r="F2570" t="str">
            <v>Primary</v>
          </cell>
        </row>
        <row r="2571">
          <cell r="A2571">
            <v>8885205</v>
          </cell>
          <cell r="B2571">
            <v>137512</v>
          </cell>
          <cell r="C2571" t="str">
            <v>Belthorn Primary School</v>
          </cell>
          <cell r="D2571" t="str">
            <v>Lancashire</v>
          </cell>
          <cell r="E2571" t="str">
            <v>Academy Converters</v>
          </cell>
          <cell r="F2571" t="str">
            <v>Primary</v>
          </cell>
        </row>
        <row r="2572">
          <cell r="A2572">
            <v>8133058</v>
          </cell>
          <cell r="B2572">
            <v>118007</v>
          </cell>
          <cell r="C2572" t="str">
            <v>Belton All Saints CofE Primary School</v>
          </cell>
          <cell r="D2572" t="str">
            <v>North Lincolnshire</v>
          </cell>
          <cell r="E2572" t="str">
            <v>Voluntary Controlled School</v>
          </cell>
          <cell r="F2572" t="str">
            <v>Primary</v>
          </cell>
        </row>
        <row r="2573">
          <cell r="A2573">
            <v>8553010</v>
          </cell>
          <cell r="B2573">
            <v>120114</v>
          </cell>
          <cell r="C2573" t="str">
            <v>Belton Church of England Primary School</v>
          </cell>
          <cell r="D2573" t="str">
            <v>Leicestershire</v>
          </cell>
          <cell r="E2573" t="str">
            <v>Voluntary Controlled School</v>
          </cell>
          <cell r="F2573" t="str">
            <v>Primary</v>
          </cell>
        </row>
        <row r="2574">
          <cell r="A2574">
            <v>9252054</v>
          </cell>
          <cell r="B2574">
            <v>120392</v>
          </cell>
          <cell r="C2574" t="str">
            <v>Belton Lane Community Primary School</v>
          </cell>
          <cell r="D2574" t="str">
            <v>Lincolnshire</v>
          </cell>
          <cell r="E2574" t="str">
            <v>Community School</v>
          </cell>
          <cell r="F2574" t="str">
            <v>Primary</v>
          </cell>
        </row>
        <row r="2575">
          <cell r="A2575">
            <v>3551020</v>
          </cell>
          <cell r="B2575">
            <v>105880</v>
          </cell>
          <cell r="C2575" t="str">
            <v>Belvedere Community Nursery Centre</v>
          </cell>
          <cell r="D2575" t="str">
            <v>Salford</v>
          </cell>
          <cell r="E2575" t="str">
            <v>LA Nursery School</v>
          </cell>
          <cell r="F2575" t="str">
            <v>Nursery</v>
          </cell>
        </row>
        <row r="2576">
          <cell r="A2576">
            <v>3032060</v>
          </cell>
          <cell r="B2576">
            <v>101438</v>
          </cell>
          <cell r="C2576" t="str">
            <v>Belvedere Infant School</v>
          </cell>
          <cell r="D2576" t="str">
            <v>Bexley</v>
          </cell>
          <cell r="E2576" t="str">
            <v>Community School</v>
          </cell>
          <cell r="F2576" t="str">
            <v>Primary</v>
          </cell>
        </row>
        <row r="2577">
          <cell r="A2577">
            <v>3032040</v>
          </cell>
          <cell r="B2577">
            <v>101425</v>
          </cell>
          <cell r="C2577" t="str">
            <v>Belvedere Junior School</v>
          </cell>
          <cell r="D2577" t="str">
            <v>Bexley</v>
          </cell>
          <cell r="E2577" t="str">
            <v>Community School</v>
          </cell>
          <cell r="F2577" t="str">
            <v>Primary</v>
          </cell>
        </row>
        <row r="2578">
          <cell r="A2578">
            <v>8602144</v>
          </cell>
          <cell r="B2578">
            <v>124050</v>
          </cell>
          <cell r="C2578" t="str">
            <v>Belvedere Junior School</v>
          </cell>
          <cell r="D2578" t="str">
            <v>Staffordshire</v>
          </cell>
          <cell r="E2578" t="str">
            <v>Community School</v>
          </cell>
          <cell r="F2578" t="str">
            <v>Primary</v>
          </cell>
        </row>
        <row r="2579">
          <cell r="A2579">
            <v>3416039</v>
          </cell>
          <cell r="B2579">
            <v>104729</v>
          </cell>
          <cell r="C2579" t="str">
            <v>Belvedere Preparatory School</v>
          </cell>
          <cell r="D2579" t="str">
            <v>Liverpool</v>
          </cell>
          <cell r="E2579" t="str">
            <v>Other Independent School</v>
          </cell>
          <cell r="F2579" t="str">
            <v>Not applicable</v>
          </cell>
        </row>
        <row r="2580">
          <cell r="A2580">
            <v>8932164</v>
          </cell>
          <cell r="B2580">
            <v>123437</v>
          </cell>
          <cell r="C2580" t="str">
            <v>Belvidere Primary School</v>
          </cell>
          <cell r="D2580" t="str">
            <v>Shropshire</v>
          </cell>
          <cell r="E2580" t="str">
            <v>Community School</v>
          </cell>
          <cell r="F2580" t="str">
            <v>Primary</v>
          </cell>
        </row>
        <row r="2581">
          <cell r="A2581">
            <v>8934396</v>
          </cell>
          <cell r="B2581">
            <v>123570</v>
          </cell>
          <cell r="C2581" t="str">
            <v>Belvidere School</v>
          </cell>
          <cell r="D2581" t="str">
            <v>Shropshire</v>
          </cell>
          <cell r="E2581" t="str">
            <v>Community School</v>
          </cell>
          <cell r="F2581" t="str">
            <v>Secondary</v>
          </cell>
        </row>
        <row r="2582">
          <cell r="A2582">
            <v>9286038</v>
          </cell>
          <cell r="B2582">
            <v>136236</v>
          </cell>
          <cell r="C2582" t="str">
            <v>Belview School</v>
          </cell>
          <cell r="D2582" t="str">
            <v>Northamptonshire</v>
          </cell>
          <cell r="E2582" t="str">
            <v>Other Independent Special School</v>
          </cell>
          <cell r="F2582" t="str">
            <v>Not applicable</v>
          </cell>
        </row>
        <row r="2583">
          <cell r="A2583">
            <v>8554036</v>
          </cell>
          <cell r="B2583">
            <v>120259</v>
          </cell>
          <cell r="C2583" t="str">
            <v>Belvoir High School and Melton Vale Post 16 Centre</v>
          </cell>
          <cell r="D2583" t="str">
            <v>Leicestershire</v>
          </cell>
          <cell r="E2583" t="str">
            <v>Foundation School</v>
          </cell>
          <cell r="F2583" t="str">
            <v>Secondary</v>
          </cell>
        </row>
        <row r="2584">
          <cell r="A2584">
            <v>9116147</v>
          </cell>
          <cell r="B2584">
            <v>128759</v>
          </cell>
          <cell r="C2584" t="str">
            <v>Belvoir School</v>
          </cell>
          <cell r="D2584" t="str">
            <v>Pre LGR (1998) Devon</v>
          </cell>
          <cell r="E2584" t="str">
            <v>Other Independent School</v>
          </cell>
          <cell r="F2584" t="str">
            <v>Not applicable</v>
          </cell>
        </row>
        <row r="2585">
          <cell r="A2585">
            <v>8552020</v>
          </cell>
          <cell r="B2585">
            <v>119913</v>
          </cell>
          <cell r="C2585" t="str">
            <v>Belvoirdale Community Primary School</v>
          </cell>
          <cell r="D2585" t="str">
            <v>Leicestershire</v>
          </cell>
          <cell r="E2585" t="str">
            <v>Community School</v>
          </cell>
          <cell r="F2585" t="str">
            <v>Primary</v>
          </cell>
        </row>
        <row r="2586">
          <cell r="A2586">
            <v>3077005</v>
          </cell>
          <cell r="B2586">
            <v>101965</v>
          </cell>
          <cell r="C2586" t="str">
            <v>Belvue School</v>
          </cell>
          <cell r="D2586" t="str">
            <v>Ealing</v>
          </cell>
          <cell r="E2586" t="str">
            <v>Community Special School</v>
          </cell>
          <cell r="F2586" t="str">
            <v>Special</v>
          </cell>
        </row>
        <row r="2587">
          <cell r="A2587">
            <v>9213001</v>
          </cell>
          <cell r="B2587">
            <v>118181</v>
          </cell>
          <cell r="C2587" t="str">
            <v>Bembridge Church of England Primary School</v>
          </cell>
          <cell r="D2587" t="str">
            <v>Isle of Wight</v>
          </cell>
          <cell r="E2587" t="str">
            <v>Voluntary Controlled School</v>
          </cell>
          <cell r="F2587" t="str">
            <v>Primary</v>
          </cell>
        </row>
        <row r="2588">
          <cell r="A2588">
            <v>9216000</v>
          </cell>
          <cell r="B2588">
            <v>118222</v>
          </cell>
          <cell r="C2588" t="str">
            <v>Bembridge School</v>
          </cell>
          <cell r="D2588" t="str">
            <v>Isle of Wight</v>
          </cell>
          <cell r="E2588" t="str">
            <v>Other Independent School</v>
          </cell>
          <cell r="F2588" t="str">
            <v>Not applicable</v>
          </cell>
        </row>
        <row r="2589">
          <cell r="A2589">
            <v>8653448</v>
          </cell>
          <cell r="B2589">
            <v>126434</v>
          </cell>
          <cell r="C2589" t="str">
            <v>Bemerton St John Church of England Aided Primary School</v>
          </cell>
          <cell r="D2589" t="str">
            <v>Wiltshire</v>
          </cell>
          <cell r="E2589" t="str">
            <v>Voluntary Aided School</v>
          </cell>
          <cell r="F2589" t="str">
            <v>Primary</v>
          </cell>
        </row>
        <row r="2590">
          <cell r="A2590">
            <v>8112702</v>
          </cell>
          <cell r="B2590">
            <v>117825</v>
          </cell>
          <cell r="C2590" t="str">
            <v>Bempton Primary School</v>
          </cell>
          <cell r="D2590" t="str">
            <v>East Riding of Yorkshire</v>
          </cell>
          <cell r="E2590" t="str">
            <v>Community School</v>
          </cell>
          <cell r="F2590" t="str">
            <v>Primary</v>
          </cell>
        </row>
        <row r="2591">
          <cell r="A2591">
            <v>8314177</v>
          </cell>
          <cell r="B2591">
            <v>112951</v>
          </cell>
          <cell r="C2591" t="str">
            <v>Bemrose School</v>
          </cell>
          <cell r="D2591" t="str">
            <v>Derby</v>
          </cell>
          <cell r="E2591" t="str">
            <v>Foundation School</v>
          </cell>
          <cell r="F2591" t="str">
            <v>Secondary</v>
          </cell>
        </row>
        <row r="2592">
          <cell r="A2592">
            <v>9104138</v>
          </cell>
          <cell r="B2592">
            <v>128650</v>
          </cell>
          <cell r="C2592" t="str">
            <v>Bemrose School</v>
          </cell>
          <cell r="D2592" t="str">
            <v>Pre LGR (1997) Derbyshire</v>
          </cell>
          <cell r="E2592" t="str">
            <v>Community School</v>
          </cell>
          <cell r="F2592" t="str">
            <v>Secondary</v>
          </cell>
        </row>
        <row r="2593">
          <cell r="A2593">
            <v>2112043</v>
          </cell>
          <cell r="B2593">
            <v>100890</v>
          </cell>
          <cell r="C2593" t="str">
            <v>Ben Jonson Primary School</v>
          </cell>
          <cell r="D2593" t="str">
            <v>Tower Hamlets</v>
          </cell>
          <cell r="E2593" t="str">
            <v>Community School</v>
          </cell>
          <cell r="F2593" t="str">
            <v>Primary</v>
          </cell>
        </row>
        <row r="2594">
          <cell r="A2594">
            <v>3802166</v>
          </cell>
          <cell r="B2594">
            <v>107281</v>
          </cell>
          <cell r="C2594" t="str">
            <v>Ben Rhydding Primary School</v>
          </cell>
          <cell r="D2594" t="str">
            <v>Bradford</v>
          </cell>
          <cell r="E2594" t="str">
            <v>Community School</v>
          </cell>
          <cell r="F2594" t="str">
            <v>Primary</v>
          </cell>
        </row>
        <row r="2595">
          <cell r="A2595">
            <v>3522034</v>
          </cell>
          <cell r="B2595">
            <v>105395</v>
          </cell>
          <cell r="C2595" t="str">
            <v>Benchill Infants' School</v>
          </cell>
          <cell r="D2595" t="str">
            <v>Manchester</v>
          </cell>
          <cell r="E2595" t="str">
            <v>Community School</v>
          </cell>
          <cell r="F2595" t="str">
            <v>Primary</v>
          </cell>
        </row>
        <row r="2596">
          <cell r="A2596">
            <v>3522033</v>
          </cell>
          <cell r="B2596">
            <v>105394</v>
          </cell>
          <cell r="C2596" t="str">
            <v>Benchill Junior School</v>
          </cell>
          <cell r="D2596" t="str">
            <v>Manchester</v>
          </cell>
          <cell r="E2596" t="str">
            <v>Community School</v>
          </cell>
          <cell r="F2596" t="str">
            <v>Primary</v>
          </cell>
        </row>
        <row r="2597">
          <cell r="A2597">
            <v>3522341</v>
          </cell>
          <cell r="B2597">
            <v>132241</v>
          </cell>
          <cell r="C2597" t="str">
            <v>Benchill Primary School</v>
          </cell>
          <cell r="D2597" t="str">
            <v>Manchester</v>
          </cell>
          <cell r="E2597" t="str">
            <v>Foundation School</v>
          </cell>
          <cell r="F2597" t="str">
            <v>Primary</v>
          </cell>
        </row>
        <row r="2598">
          <cell r="A2598">
            <v>8602142</v>
          </cell>
          <cell r="B2598">
            <v>124048</v>
          </cell>
          <cell r="C2598" t="str">
            <v>Bend Oak Junior School</v>
          </cell>
          <cell r="D2598" t="str">
            <v>Staffordshire</v>
          </cell>
          <cell r="E2598" t="str">
            <v>Community School</v>
          </cell>
          <cell r="F2598" t="str">
            <v>Primary</v>
          </cell>
        </row>
        <row r="2599">
          <cell r="A2599">
            <v>8786028</v>
          </cell>
          <cell r="B2599">
            <v>113602</v>
          </cell>
          <cell r="C2599" t="str">
            <v>Bendarroch School</v>
          </cell>
          <cell r="D2599" t="str">
            <v>Devon</v>
          </cell>
          <cell r="E2599" t="str">
            <v>Other Independent School</v>
          </cell>
          <cell r="F2599" t="str">
            <v>Not applicable</v>
          </cell>
        </row>
        <row r="2600">
          <cell r="A2600">
            <v>8562207</v>
          </cell>
          <cell r="B2600">
            <v>119997</v>
          </cell>
          <cell r="C2600" t="str">
            <v>Bendbow Rise Infant School</v>
          </cell>
          <cell r="D2600" t="str">
            <v>Leicester</v>
          </cell>
          <cell r="E2600" t="str">
            <v>Community School</v>
          </cell>
          <cell r="F2600" t="str">
            <v>Primary</v>
          </cell>
        </row>
        <row r="2601">
          <cell r="A2601">
            <v>3943322</v>
          </cell>
          <cell r="B2601">
            <v>108848</v>
          </cell>
          <cell r="C2601" t="str">
            <v>Benedict Biscop Church of England Aided Primary School</v>
          </cell>
          <cell r="D2601" t="str">
            <v>Sunderland</v>
          </cell>
          <cell r="E2601" t="str">
            <v>Voluntary Aided School</v>
          </cell>
          <cell r="F2601" t="str">
            <v>Primary</v>
          </cell>
        </row>
        <row r="2602">
          <cell r="A2602">
            <v>3036060</v>
          </cell>
          <cell r="B2602">
            <v>101484</v>
          </cell>
          <cell r="C2602" t="str">
            <v>Benedict House Preparatory School</v>
          </cell>
          <cell r="D2602" t="str">
            <v>Bexley</v>
          </cell>
          <cell r="E2602" t="str">
            <v>Other Independent School</v>
          </cell>
          <cell r="F2602" t="str">
            <v>Not applicable</v>
          </cell>
        </row>
        <row r="2603">
          <cell r="A2603">
            <v>3056076</v>
          </cell>
          <cell r="B2603">
            <v>126806</v>
          </cell>
          <cell r="C2603" t="str">
            <v>Benedict House School</v>
          </cell>
          <cell r="D2603" t="str">
            <v>Bromley</v>
          </cell>
          <cell r="E2603" t="str">
            <v>Other Independent School</v>
          </cell>
          <cell r="F2603" t="str">
            <v>Not applicable</v>
          </cell>
        </row>
        <row r="2604">
          <cell r="A2604">
            <v>9226414</v>
          </cell>
          <cell r="B2604">
            <v>129456</v>
          </cell>
          <cell r="C2604" t="str">
            <v>Benedict House School</v>
          </cell>
          <cell r="D2604" t="str">
            <v>Pre LGR (1998) Kent</v>
          </cell>
          <cell r="E2604" t="str">
            <v>Other Independent School</v>
          </cell>
          <cell r="F2604" t="str">
            <v>Not applicable</v>
          </cell>
        </row>
        <row r="2605">
          <cell r="A2605">
            <v>3152051</v>
          </cell>
          <cell r="B2605">
            <v>102625</v>
          </cell>
          <cell r="C2605" t="str">
            <v>Benedict Primary School</v>
          </cell>
          <cell r="D2605" t="str">
            <v>Merton</v>
          </cell>
          <cell r="E2605" t="str">
            <v>Community School</v>
          </cell>
          <cell r="F2605" t="str">
            <v>Primary</v>
          </cell>
        </row>
        <row r="2606">
          <cell r="A2606">
            <v>9173210</v>
          </cell>
          <cell r="B2606">
            <v>129027</v>
          </cell>
          <cell r="C2606" t="str">
            <v>Beneficial First School</v>
          </cell>
          <cell r="D2606" t="str">
            <v>Pre LGR (1997) Hampshire</v>
          </cell>
          <cell r="E2606" t="str">
            <v>Voluntary Controlled School</v>
          </cell>
          <cell r="F2606" t="str">
            <v>Primary</v>
          </cell>
        </row>
        <row r="2607">
          <cell r="A2607">
            <v>8863022</v>
          </cell>
          <cell r="B2607">
            <v>118597</v>
          </cell>
          <cell r="C2607" t="str">
            <v>Benenden Church of England Primary School</v>
          </cell>
          <cell r="D2607" t="str">
            <v>Kent</v>
          </cell>
          <cell r="E2607" t="str">
            <v>Voluntary Controlled School</v>
          </cell>
          <cell r="F2607" t="str">
            <v>Primary</v>
          </cell>
        </row>
        <row r="2608">
          <cell r="A2608">
            <v>8866002</v>
          </cell>
          <cell r="B2608">
            <v>118939</v>
          </cell>
          <cell r="C2608" t="str">
            <v>Benenden School</v>
          </cell>
          <cell r="D2608" t="str">
            <v>Kent</v>
          </cell>
          <cell r="E2608" t="str">
            <v>Other Independent School</v>
          </cell>
          <cell r="F2608" t="str">
            <v>Not applicable</v>
          </cell>
        </row>
        <row r="2609">
          <cell r="A2609">
            <v>8462080</v>
          </cell>
          <cell r="B2609">
            <v>114412</v>
          </cell>
          <cell r="C2609" t="str">
            <v>Benfield Junior School</v>
          </cell>
          <cell r="D2609" t="str">
            <v>Brighton and Hove</v>
          </cell>
          <cell r="E2609" t="str">
            <v>Community School</v>
          </cell>
          <cell r="F2609" t="str">
            <v>Primary</v>
          </cell>
        </row>
        <row r="2610">
          <cell r="A2610">
            <v>3914480</v>
          </cell>
          <cell r="B2610">
            <v>108526</v>
          </cell>
          <cell r="C2610" t="str">
            <v>Benfield School</v>
          </cell>
          <cell r="D2610" t="str">
            <v>Newcastle upon Tyne</v>
          </cell>
          <cell r="E2610" t="str">
            <v>Community School</v>
          </cell>
          <cell r="F2610" t="str">
            <v>Secondary</v>
          </cell>
        </row>
        <row r="2611">
          <cell r="A2611">
            <v>9132264</v>
          </cell>
          <cell r="B2611">
            <v>132885</v>
          </cell>
          <cell r="C2611" t="str">
            <v>Benfieldside Infant School</v>
          </cell>
          <cell r="D2611" t="str">
            <v>Pre LGR (1997) Durham</v>
          </cell>
          <cell r="E2611" t="str">
            <v>Community School</v>
          </cell>
          <cell r="F2611" t="str">
            <v>Primary</v>
          </cell>
        </row>
        <row r="2612">
          <cell r="A2612">
            <v>9132263</v>
          </cell>
          <cell r="B2612">
            <v>132886</v>
          </cell>
          <cell r="C2612" t="str">
            <v>Benfieldside Junior School</v>
          </cell>
          <cell r="D2612" t="str">
            <v>Pre LGR (1997) Durham</v>
          </cell>
          <cell r="E2612" t="str">
            <v>Community School</v>
          </cell>
          <cell r="F2612" t="str">
            <v>Primary</v>
          </cell>
        </row>
        <row r="2613">
          <cell r="A2613">
            <v>8402749</v>
          </cell>
          <cell r="B2613">
            <v>114045</v>
          </cell>
          <cell r="C2613" t="str">
            <v>Benfieldside Primary School</v>
          </cell>
          <cell r="D2613" t="str">
            <v>Durham</v>
          </cell>
          <cell r="E2613" t="str">
            <v>Community School</v>
          </cell>
          <cell r="F2613" t="str">
            <v>Primary</v>
          </cell>
        </row>
        <row r="2614">
          <cell r="A2614">
            <v>9192358</v>
          </cell>
          <cell r="B2614">
            <v>129132</v>
          </cell>
          <cell r="C2614" t="str">
            <v>Bengeo Infant School</v>
          </cell>
          <cell r="D2614" t="str">
            <v>Hertfordshire</v>
          </cell>
          <cell r="E2614" t="str">
            <v>Community School</v>
          </cell>
          <cell r="F2614" t="str">
            <v>Primary</v>
          </cell>
        </row>
        <row r="2615">
          <cell r="A2615">
            <v>9192217</v>
          </cell>
          <cell r="B2615">
            <v>129118</v>
          </cell>
          <cell r="C2615" t="str">
            <v>Bengeo Junior School</v>
          </cell>
          <cell r="D2615" t="str">
            <v>Hertfordshire</v>
          </cell>
          <cell r="E2615" t="str">
            <v>Community School</v>
          </cell>
          <cell r="F2615" t="str">
            <v>Primary</v>
          </cell>
        </row>
        <row r="2616">
          <cell r="A2616">
            <v>9192462</v>
          </cell>
          <cell r="B2616">
            <v>117361</v>
          </cell>
          <cell r="C2616" t="str">
            <v>Bengeo Primary School</v>
          </cell>
          <cell r="D2616" t="str">
            <v>Hertfordshire</v>
          </cell>
          <cell r="E2616" t="str">
            <v>Community School</v>
          </cell>
          <cell r="F2616" t="str">
            <v>Primary</v>
          </cell>
        </row>
        <row r="2617">
          <cell r="A2617">
            <v>8853041</v>
          </cell>
          <cell r="B2617">
            <v>116809</v>
          </cell>
          <cell r="C2617" t="str">
            <v>Bengeworth First School</v>
          </cell>
          <cell r="D2617" t="str">
            <v>Worcestershire</v>
          </cell>
          <cell r="E2617" t="str">
            <v>Voluntary Controlled School</v>
          </cell>
          <cell r="F2617" t="str">
            <v>Primary</v>
          </cell>
        </row>
        <row r="2618">
          <cell r="A2618">
            <v>9162165</v>
          </cell>
          <cell r="B2618">
            <v>115598</v>
          </cell>
          <cell r="C2618" t="str">
            <v>Benhall Infant School</v>
          </cell>
          <cell r="D2618" t="str">
            <v>Gloucestershire</v>
          </cell>
          <cell r="E2618" t="str">
            <v>Community School</v>
          </cell>
          <cell r="F2618" t="str">
            <v>Primary</v>
          </cell>
        </row>
        <row r="2619">
          <cell r="A2619">
            <v>9353076</v>
          </cell>
          <cell r="B2619">
            <v>124721</v>
          </cell>
          <cell r="C2619" t="str">
            <v>Benhall St Mary's Church of England Voluntary Controlled Primary School</v>
          </cell>
          <cell r="D2619" t="str">
            <v>Suffolk</v>
          </cell>
          <cell r="E2619" t="str">
            <v>Voluntary Controlled School</v>
          </cell>
          <cell r="F2619" t="str">
            <v>Primary</v>
          </cell>
        </row>
        <row r="2620">
          <cell r="A2620">
            <v>3112009</v>
          </cell>
          <cell r="B2620">
            <v>102273</v>
          </cell>
          <cell r="C2620" t="str">
            <v>Benhurst Primary School</v>
          </cell>
          <cell r="D2620" t="str">
            <v>Havering</v>
          </cell>
          <cell r="E2620" t="str">
            <v>Community School</v>
          </cell>
          <cell r="F2620" t="str">
            <v>Primary</v>
          </cell>
        </row>
        <row r="2621">
          <cell r="A2621">
            <v>9193009</v>
          </cell>
          <cell r="B2621">
            <v>117389</v>
          </cell>
          <cell r="C2621" t="str">
            <v>Benington Church of England Primary School</v>
          </cell>
          <cell r="D2621" t="str">
            <v>Hertfordshire</v>
          </cell>
          <cell r="E2621" t="str">
            <v>Voluntary Controlled School</v>
          </cell>
          <cell r="F2621" t="str">
            <v>Primary</v>
          </cell>
        </row>
        <row r="2622">
          <cell r="A2622">
            <v>9252156</v>
          </cell>
          <cell r="B2622">
            <v>132929</v>
          </cell>
          <cell r="C2622" t="str">
            <v>Benjamin Adlard Junior School</v>
          </cell>
          <cell r="D2622" t="str">
            <v>Lincolnshire</v>
          </cell>
          <cell r="E2622" t="str">
            <v>Community School</v>
          </cell>
          <cell r="F2622" t="str">
            <v>Primary</v>
          </cell>
        </row>
        <row r="2623">
          <cell r="A2623">
            <v>8256042</v>
          </cell>
          <cell r="B2623">
            <v>135805</v>
          </cell>
          <cell r="C2623" t="str">
            <v>Benjamin College</v>
          </cell>
          <cell r="D2623" t="str">
            <v>Buckinghamshire</v>
          </cell>
          <cell r="E2623" t="str">
            <v>Other Independent Special School</v>
          </cell>
          <cell r="F2623" t="str">
            <v>Not applicable</v>
          </cell>
        </row>
        <row r="2624">
          <cell r="A2624">
            <v>3834277</v>
          </cell>
          <cell r="B2624">
            <v>127994</v>
          </cell>
          <cell r="C2624" t="str">
            <v>Benjamin Gott High School</v>
          </cell>
          <cell r="D2624" t="str">
            <v>Leeds</v>
          </cell>
          <cell r="E2624" t="str">
            <v>Community School</v>
          </cell>
          <cell r="F2624" t="str">
            <v>Secondary</v>
          </cell>
        </row>
        <row r="2625">
          <cell r="A2625">
            <v>8304168</v>
          </cell>
          <cell r="B2625">
            <v>112946</v>
          </cell>
          <cell r="C2625" t="str">
            <v>Bennerley Business and Enterprise College</v>
          </cell>
          <cell r="D2625" t="str">
            <v>Derbyshire</v>
          </cell>
          <cell r="E2625" t="str">
            <v>Community School</v>
          </cell>
          <cell r="F2625" t="str">
            <v>Secondary</v>
          </cell>
        </row>
        <row r="2626">
          <cell r="A2626">
            <v>8307014</v>
          </cell>
          <cell r="B2626">
            <v>113037</v>
          </cell>
          <cell r="C2626" t="str">
            <v>Bennerley Fields Specialist Speech and Language College</v>
          </cell>
          <cell r="D2626" t="str">
            <v>Derbyshire</v>
          </cell>
          <cell r="E2626" t="str">
            <v>Community Special School</v>
          </cell>
          <cell r="F2626" t="str">
            <v>Special</v>
          </cell>
        </row>
        <row r="2627">
          <cell r="A2627">
            <v>9317028</v>
          </cell>
          <cell r="B2627">
            <v>123343</v>
          </cell>
          <cell r="C2627" t="str">
            <v>Bennett House School</v>
          </cell>
          <cell r="D2627" t="str">
            <v>Oxfordshire</v>
          </cell>
          <cell r="E2627" t="str">
            <v>Community Special School</v>
          </cell>
          <cell r="F2627" t="str">
            <v>Special</v>
          </cell>
        </row>
        <row r="2628">
          <cell r="A2628">
            <v>8865464</v>
          </cell>
          <cell r="B2628">
            <v>118841</v>
          </cell>
          <cell r="C2628" t="str">
            <v>Bennett Memorial Diocesan School</v>
          </cell>
          <cell r="D2628" t="str">
            <v>Kent</v>
          </cell>
          <cell r="E2628" t="str">
            <v>Voluntary Aided School</v>
          </cell>
          <cell r="F2628" t="str">
            <v>Secondary</v>
          </cell>
        </row>
        <row r="2629">
          <cell r="A2629">
            <v>8865464</v>
          </cell>
          <cell r="B2629">
            <v>136603</v>
          </cell>
          <cell r="C2629" t="str">
            <v>Bennett Memorial Diocesan School</v>
          </cell>
          <cell r="D2629" t="str">
            <v>Kent</v>
          </cell>
          <cell r="E2629" t="str">
            <v>Academy Converters</v>
          </cell>
          <cell r="F2629" t="str">
            <v>Secondary</v>
          </cell>
        </row>
        <row r="2630">
          <cell r="A2630">
            <v>3342062</v>
          </cell>
          <cell r="B2630">
            <v>104068</v>
          </cell>
          <cell r="C2630" t="str">
            <v>Bennetts Well Junior and Infant School</v>
          </cell>
          <cell r="D2630" t="str">
            <v>Solihull</v>
          </cell>
          <cell r="E2630" t="str">
            <v>Community School</v>
          </cell>
          <cell r="F2630" t="str">
            <v>Primary</v>
          </cell>
        </row>
        <row r="2631">
          <cell r="A2631">
            <v>3901000</v>
          </cell>
          <cell r="B2631">
            <v>108320</v>
          </cell>
          <cell r="C2631" t="str">
            <v>Bensham Grove Nursery School</v>
          </cell>
          <cell r="D2631" t="str">
            <v>Gateshead</v>
          </cell>
          <cell r="E2631" t="str">
            <v>LA Nursery School</v>
          </cell>
          <cell r="F2631" t="str">
            <v>Nursery</v>
          </cell>
        </row>
        <row r="2632">
          <cell r="A2632">
            <v>3067000</v>
          </cell>
          <cell r="B2632">
            <v>101851</v>
          </cell>
          <cell r="C2632" t="str">
            <v>Bensham Manor School</v>
          </cell>
          <cell r="D2632" t="str">
            <v>Croydon</v>
          </cell>
          <cell r="E2632" t="str">
            <v>Community Special School</v>
          </cell>
          <cell r="F2632" t="str">
            <v>Special</v>
          </cell>
        </row>
        <row r="2633">
          <cell r="A2633">
            <v>9313181</v>
          </cell>
          <cell r="B2633">
            <v>123125</v>
          </cell>
          <cell r="C2633" t="str">
            <v>Benson Church of England Primary School</v>
          </cell>
          <cell r="D2633" t="str">
            <v>Oxfordshire</v>
          </cell>
          <cell r="E2633" t="str">
            <v>Voluntary Controlled School</v>
          </cell>
          <cell r="F2633" t="str">
            <v>Primary</v>
          </cell>
        </row>
        <row r="2634">
          <cell r="A2634">
            <v>9312464</v>
          </cell>
          <cell r="B2634">
            <v>123035</v>
          </cell>
          <cell r="C2634" t="str">
            <v>Benson Community Infants' School</v>
          </cell>
          <cell r="D2634" t="str">
            <v>Oxfordshire</v>
          </cell>
          <cell r="E2634" t="str">
            <v>Community School</v>
          </cell>
          <cell r="F2634" t="str">
            <v>Primary</v>
          </cell>
        </row>
        <row r="2635">
          <cell r="A2635">
            <v>3302435</v>
          </cell>
          <cell r="B2635">
            <v>103362</v>
          </cell>
          <cell r="C2635" t="str">
            <v>Benson Community School</v>
          </cell>
          <cell r="D2635" t="str">
            <v>Birmingham</v>
          </cell>
          <cell r="E2635" t="str">
            <v>Community School</v>
          </cell>
          <cell r="F2635" t="str">
            <v>Primary</v>
          </cell>
        </row>
        <row r="2636">
          <cell r="A2636">
            <v>3062002</v>
          </cell>
          <cell r="B2636">
            <v>101711</v>
          </cell>
          <cell r="C2636" t="str">
            <v>Benson Primary and Nursery School</v>
          </cell>
          <cell r="D2636" t="str">
            <v>Croydon</v>
          </cell>
          <cell r="E2636" t="str">
            <v>Community School</v>
          </cell>
          <cell r="F2636" t="str">
            <v>Primary</v>
          </cell>
        </row>
        <row r="2637">
          <cell r="A2637">
            <v>8812747</v>
          </cell>
          <cell r="B2637">
            <v>114978</v>
          </cell>
          <cell r="C2637" t="str">
            <v>Bentfield Primary School</v>
          </cell>
          <cell r="D2637" t="str">
            <v>Essex</v>
          </cell>
          <cell r="E2637" t="str">
            <v>Community School</v>
          </cell>
          <cell r="F2637" t="str">
            <v>Primary</v>
          </cell>
        </row>
        <row r="2638">
          <cell r="A2638">
            <v>2042872</v>
          </cell>
          <cell r="B2638">
            <v>100260</v>
          </cell>
          <cell r="C2638" t="str">
            <v>Benthal Primary School</v>
          </cell>
          <cell r="D2638" t="str">
            <v>Hackney</v>
          </cell>
          <cell r="E2638" t="str">
            <v>Community School</v>
          </cell>
          <cell r="F2638" t="str">
            <v>Primary</v>
          </cell>
        </row>
        <row r="2639">
          <cell r="A2639">
            <v>2042044</v>
          </cell>
          <cell r="B2639">
            <v>100217</v>
          </cell>
          <cell r="C2639" t="str">
            <v>Benthal Primary School Infant Department</v>
          </cell>
          <cell r="D2639" t="str">
            <v>Hackney</v>
          </cell>
          <cell r="E2639" t="str">
            <v>Community School</v>
          </cell>
          <cell r="F2639" t="str">
            <v>Primary</v>
          </cell>
        </row>
        <row r="2640">
          <cell r="A2640">
            <v>8611032</v>
          </cell>
          <cell r="B2640">
            <v>123970</v>
          </cell>
          <cell r="C2640" t="str">
            <v>Bentilee Nursery School</v>
          </cell>
          <cell r="D2640" t="str">
            <v>Stoke-on-Trent</v>
          </cell>
          <cell r="E2640" t="str">
            <v>LA Nursery School</v>
          </cell>
          <cell r="F2640" t="str">
            <v>Nursery</v>
          </cell>
        </row>
        <row r="2641">
          <cell r="A2641">
            <v>8612097</v>
          </cell>
          <cell r="B2641">
            <v>124019</v>
          </cell>
          <cell r="C2641" t="str">
            <v>Bentilee Primary School</v>
          </cell>
          <cell r="D2641" t="str">
            <v>Stoke-on-Trent</v>
          </cell>
          <cell r="E2641" t="str">
            <v>Community School</v>
          </cell>
          <cell r="F2641" t="str">
            <v>Primary</v>
          </cell>
        </row>
        <row r="2642">
          <cell r="A2642">
            <v>8922045</v>
          </cell>
          <cell r="B2642">
            <v>122407</v>
          </cell>
          <cell r="C2642" t="str">
            <v>Bentinck Primary and Nursery School</v>
          </cell>
          <cell r="D2642" t="str">
            <v>Nottingham</v>
          </cell>
          <cell r="E2642" t="str">
            <v>Community School</v>
          </cell>
          <cell r="F2642" t="str">
            <v>Primary</v>
          </cell>
        </row>
        <row r="2643">
          <cell r="A2643">
            <v>8503023</v>
          </cell>
          <cell r="B2643">
            <v>116279</v>
          </cell>
          <cell r="C2643" t="str">
            <v>Bentley Church of England Primary School</v>
          </cell>
          <cell r="D2643" t="str">
            <v>Hampshire</v>
          </cell>
          <cell r="E2643" t="str">
            <v>Voluntary Controlled School</v>
          </cell>
          <cell r="F2643" t="str">
            <v>Primary</v>
          </cell>
        </row>
        <row r="2644">
          <cell r="A2644">
            <v>9353117</v>
          </cell>
          <cell r="B2644">
            <v>124754</v>
          </cell>
          <cell r="C2644" t="str">
            <v>Bentley Church of England Voluntary Controlled Primary School</v>
          </cell>
          <cell r="D2644" t="str">
            <v>Suffolk</v>
          </cell>
          <cell r="E2644" t="str">
            <v>Voluntary Controlled School</v>
          </cell>
          <cell r="F2644" t="str">
            <v>Primary</v>
          </cell>
        </row>
        <row r="2645">
          <cell r="A2645">
            <v>3352033</v>
          </cell>
          <cell r="B2645">
            <v>104164</v>
          </cell>
          <cell r="C2645" t="str">
            <v>Bentley Drive Primary School</v>
          </cell>
          <cell r="D2645" t="str">
            <v>Walsall</v>
          </cell>
          <cell r="E2645" t="str">
            <v>Community School</v>
          </cell>
          <cell r="F2645" t="str">
            <v>Primary</v>
          </cell>
        </row>
        <row r="2646">
          <cell r="A2646">
            <v>3832254</v>
          </cell>
          <cell r="B2646">
            <v>127874</v>
          </cell>
          <cell r="C2646" t="str">
            <v>Bentley First School</v>
          </cell>
          <cell r="D2646" t="str">
            <v>Leeds</v>
          </cell>
          <cell r="E2646" t="str">
            <v>Community School</v>
          </cell>
          <cell r="F2646" t="str">
            <v>Primary</v>
          </cell>
        </row>
        <row r="2647">
          <cell r="A2647">
            <v>3343011</v>
          </cell>
          <cell r="B2647">
            <v>104088</v>
          </cell>
          <cell r="C2647" t="str">
            <v>Bentley Heath Church of England Primary School</v>
          </cell>
          <cell r="D2647" t="str">
            <v>Solihull</v>
          </cell>
          <cell r="E2647" t="str">
            <v>Voluntary Controlled School</v>
          </cell>
          <cell r="F2647" t="str">
            <v>Primary</v>
          </cell>
        </row>
        <row r="2648">
          <cell r="A2648">
            <v>3712149</v>
          </cell>
          <cell r="B2648">
            <v>127621</v>
          </cell>
          <cell r="C2648" t="str">
            <v>Bentley High Street First School</v>
          </cell>
          <cell r="D2648" t="str">
            <v>Doncaster</v>
          </cell>
          <cell r="E2648" t="str">
            <v>Community School</v>
          </cell>
          <cell r="F2648" t="str">
            <v>Primary</v>
          </cell>
        </row>
        <row r="2649">
          <cell r="A2649">
            <v>3712150</v>
          </cell>
          <cell r="B2649">
            <v>127622</v>
          </cell>
          <cell r="C2649" t="str">
            <v>Bentley High Street Middle School</v>
          </cell>
          <cell r="D2649" t="str">
            <v>Doncaster</v>
          </cell>
          <cell r="E2649" t="str">
            <v>Community School</v>
          </cell>
          <cell r="F2649" t="str">
            <v>Middle Deemed Primary</v>
          </cell>
        </row>
        <row r="2650">
          <cell r="A2650">
            <v>3712191</v>
          </cell>
          <cell r="B2650">
            <v>106752</v>
          </cell>
          <cell r="C2650" t="str">
            <v>Bentley High Street Primary School</v>
          </cell>
          <cell r="D2650" t="str">
            <v>Doncaster</v>
          </cell>
          <cell r="E2650" t="str">
            <v>Community School</v>
          </cell>
          <cell r="F2650" t="str">
            <v>Primary</v>
          </cell>
        </row>
        <row r="2651">
          <cell r="A2651">
            <v>3712190</v>
          </cell>
          <cell r="B2651">
            <v>106751</v>
          </cell>
          <cell r="C2651" t="str">
            <v>Bentley New Village Primary School</v>
          </cell>
          <cell r="D2651" t="str">
            <v>Doncaster</v>
          </cell>
          <cell r="E2651" t="str">
            <v>Community School</v>
          </cell>
          <cell r="F2651" t="str">
            <v>Primary</v>
          </cell>
        </row>
        <row r="2652">
          <cell r="A2652">
            <v>3832426</v>
          </cell>
          <cell r="B2652">
            <v>107902</v>
          </cell>
          <cell r="C2652" t="str">
            <v>Bentley Primary School</v>
          </cell>
          <cell r="D2652" t="str">
            <v>Leeds</v>
          </cell>
          <cell r="E2652" t="str">
            <v>Community School</v>
          </cell>
          <cell r="F2652" t="str">
            <v>Primary</v>
          </cell>
        </row>
        <row r="2653">
          <cell r="A2653">
            <v>8813402</v>
          </cell>
          <cell r="B2653">
            <v>115151</v>
          </cell>
          <cell r="C2653" t="str">
            <v>Bentley St Paul's Church of England Voluntary Aided Primary School</v>
          </cell>
          <cell r="D2653" t="str">
            <v>Essex</v>
          </cell>
          <cell r="E2653" t="str">
            <v>Voluntary Aided School</v>
          </cell>
          <cell r="F2653" t="str">
            <v>Primary</v>
          </cell>
        </row>
        <row r="2654">
          <cell r="A2654">
            <v>3352101</v>
          </cell>
          <cell r="B2654">
            <v>104174</v>
          </cell>
          <cell r="C2654" t="str">
            <v>Bentley West Primary School Additionally Resourced for Hearing Impaired</v>
          </cell>
          <cell r="D2654" t="str">
            <v>Walsall</v>
          </cell>
          <cell r="E2654" t="str">
            <v>Community School</v>
          </cell>
          <cell r="F2654" t="str">
            <v>Primary</v>
          </cell>
        </row>
        <row r="2655">
          <cell r="A2655">
            <v>3104032</v>
          </cell>
          <cell r="B2655">
            <v>102241</v>
          </cell>
          <cell r="C2655" t="str">
            <v>Bentley Wood High School</v>
          </cell>
          <cell r="D2655" t="str">
            <v>Harrow</v>
          </cell>
          <cell r="E2655" t="str">
            <v>Community School</v>
          </cell>
          <cell r="F2655" t="str">
            <v>Secondary</v>
          </cell>
        </row>
        <row r="2656">
          <cell r="A2656">
            <v>3104032</v>
          </cell>
          <cell r="B2656">
            <v>137178</v>
          </cell>
          <cell r="C2656" t="str">
            <v>Bentley Wood High School</v>
          </cell>
          <cell r="D2656" t="str">
            <v>Harrow</v>
          </cell>
          <cell r="E2656" t="str">
            <v>Academy Converters</v>
          </cell>
          <cell r="F2656" t="str">
            <v>Secondary</v>
          </cell>
        </row>
        <row r="2657">
          <cell r="A2657">
            <v>3922078</v>
          </cell>
          <cell r="B2657">
            <v>108604</v>
          </cell>
          <cell r="C2657" t="str">
            <v>Benton Dene Primary School</v>
          </cell>
          <cell r="D2657" t="str">
            <v>North Tyneside</v>
          </cell>
          <cell r="E2657" t="str">
            <v>Foundation School</v>
          </cell>
          <cell r="F2657" t="str">
            <v>Primary</v>
          </cell>
        </row>
        <row r="2658">
          <cell r="A2658">
            <v>3927004</v>
          </cell>
          <cell r="B2658">
            <v>108655</v>
          </cell>
          <cell r="C2658" t="str">
            <v>Benton Dene School</v>
          </cell>
          <cell r="D2658" t="str">
            <v>North Tyneside</v>
          </cell>
          <cell r="E2658" t="str">
            <v>Foundation Special School</v>
          </cell>
          <cell r="F2658" t="str">
            <v>Special</v>
          </cell>
        </row>
        <row r="2659">
          <cell r="A2659">
            <v>3912050</v>
          </cell>
          <cell r="B2659">
            <v>108459</v>
          </cell>
          <cell r="C2659" t="str">
            <v>Benton Park Primary School</v>
          </cell>
          <cell r="D2659" t="str">
            <v>Newcastle upon Tyne</v>
          </cell>
          <cell r="E2659" t="str">
            <v>Community School</v>
          </cell>
          <cell r="F2659" t="str">
            <v>Primary</v>
          </cell>
        </row>
        <row r="2660">
          <cell r="A2660">
            <v>3834106</v>
          </cell>
          <cell r="B2660">
            <v>108083</v>
          </cell>
          <cell r="C2660" t="str">
            <v>Benton Park School</v>
          </cell>
          <cell r="D2660" t="str">
            <v>Leeds</v>
          </cell>
          <cell r="E2660" t="str">
            <v>Community School</v>
          </cell>
          <cell r="F2660" t="str">
            <v>Secondary</v>
          </cell>
        </row>
        <row r="2661">
          <cell r="A2661">
            <v>3017002</v>
          </cell>
          <cell r="B2661">
            <v>101249</v>
          </cell>
          <cell r="C2661" t="str">
            <v>Bentry School</v>
          </cell>
          <cell r="D2661" t="str">
            <v>Barking and Dagenham</v>
          </cell>
          <cell r="E2661" t="str">
            <v>Community Special School</v>
          </cell>
          <cell r="F2661" t="str">
            <v>Special</v>
          </cell>
        </row>
        <row r="2662">
          <cell r="A2662">
            <v>3737010</v>
          </cell>
          <cell r="B2662">
            <v>107169</v>
          </cell>
          <cell r="C2662" t="str">
            <v>Bents Green School</v>
          </cell>
          <cell r="D2662" t="str">
            <v>Sheffield</v>
          </cell>
          <cell r="E2662" t="str">
            <v>Community Special School</v>
          </cell>
          <cell r="F2662" t="str">
            <v>Special</v>
          </cell>
        </row>
        <row r="2663">
          <cell r="A2663">
            <v>2052045</v>
          </cell>
          <cell r="B2663">
            <v>100323</v>
          </cell>
          <cell r="C2663" t="str">
            <v>Bentworth Primary School</v>
          </cell>
          <cell r="D2663" t="str">
            <v>Hammersmith and Fulham</v>
          </cell>
          <cell r="E2663" t="str">
            <v>Community School</v>
          </cell>
          <cell r="F2663" t="str">
            <v>Primary</v>
          </cell>
        </row>
        <row r="2664">
          <cell r="A2664">
            <v>3446029</v>
          </cell>
          <cell r="B2664">
            <v>105127</v>
          </cell>
          <cell r="C2664" t="str">
            <v>Benty Heath School and Kindergarten</v>
          </cell>
          <cell r="D2664" t="str">
            <v>Wirral</v>
          </cell>
          <cell r="E2664" t="str">
            <v>Other Independent School</v>
          </cell>
          <cell r="F2664" t="str">
            <v>Not applicable</v>
          </cell>
        </row>
        <row r="2665">
          <cell r="A2665">
            <v>8732060</v>
          </cell>
          <cell r="B2665">
            <v>110627</v>
          </cell>
          <cell r="C2665" t="str">
            <v>Benwick Primary School</v>
          </cell>
          <cell r="D2665" t="str">
            <v>Cambridgeshire</v>
          </cell>
          <cell r="E2665" t="str">
            <v>Community School</v>
          </cell>
          <cell r="F2665" t="str">
            <v>Primary</v>
          </cell>
        </row>
        <row r="2666">
          <cell r="A2666">
            <v>8832502</v>
          </cell>
          <cell r="B2666">
            <v>114871</v>
          </cell>
          <cell r="C2666" t="str">
            <v>Benyon Primary School</v>
          </cell>
          <cell r="D2666" t="str">
            <v>Thurrock</v>
          </cell>
          <cell r="E2666" t="str">
            <v>Community School</v>
          </cell>
          <cell r="F2666" t="str">
            <v>Primary</v>
          </cell>
        </row>
        <row r="2667">
          <cell r="A2667">
            <v>8852008</v>
          </cell>
          <cell r="B2667">
            <v>116652</v>
          </cell>
          <cell r="C2667" t="str">
            <v>Beoley First School</v>
          </cell>
          <cell r="D2667" t="str">
            <v>Worcestershire</v>
          </cell>
          <cell r="E2667" t="str">
            <v>Community School</v>
          </cell>
          <cell r="F2667" t="str">
            <v>Primary</v>
          </cell>
        </row>
        <row r="2668">
          <cell r="A2668">
            <v>2107167</v>
          </cell>
          <cell r="B2668">
            <v>100879</v>
          </cell>
          <cell r="C2668" t="str">
            <v>Beormund Primary School</v>
          </cell>
          <cell r="D2668" t="str">
            <v>Southwark</v>
          </cell>
          <cell r="E2668" t="str">
            <v>Community Special School</v>
          </cell>
          <cell r="F2668" t="str">
            <v>Special</v>
          </cell>
        </row>
        <row r="2669">
          <cell r="A2669">
            <v>7022081</v>
          </cell>
          <cell r="B2669">
            <v>133013</v>
          </cell>
          <cell r="C2669" t="str">
            <v>Berakas Service Childrens School</v>
          </cell>
          <cell r="D2669" t="str">
            <v>BFPO Overseas Establishments</v>
          </cell>
          <cell r="E2669" t="str">
            <v>Service Childrens Education</v>
          </cell>
          <cell r="F2669" t="str">
            <v>Not applicable</v>
          </cell>
        </row>
        <row r="2670">
          <cell r="A2670">
            <v>8782600</v>
          </cell>
          <cell r="B2670">
            <v>113246</v>
          </cell>
          <cell r="C2670" t="str">
            <v>Bere Alston Primary School</v>
          </cell>
          <cell r="D2670" t="str">
            <v>Devon</v>
          </cell>
          <cell r="E2670" t="str">
            <v>Community School</v>
          </cell>
          <cell r="F2670" t="str">
            <v>Primary</v>
          </cell>
        </row>
        <row r="2671">
          <cell r="A2671">
            <v>8352001</v>
          </cell>
          <cell r="B2671">
            <v>113658</v>
          </cell>
          <cell r="C2671" t="str">
            <v>Bere Regis School</v>
          </cell>
          <cell r="D2671" t="str">
            <v>Dorset</v>
          </cell>
          <cell r="E2671" t="str">
            <v>Community School</v>
          </cell>
          <cell r="F2671" t="str">
            <v>Primary</v>
          </cell>
        </row>
        <row r="2672">
          <cell r="A2672">
            <v>7022073</v>
          </cell>
          <cell r="B2672">
            <v>133009</v>
          </cell>
          <cell r="C2672" t="str">
            <v>Berengaria Primary School</v>
          </cell>
          <cell r="D2672" t="str">
            <v>BFPO Overseas Establishments</v>
          </cell>
          <cell r="E2672" t="str">
            <v>Service Childrens Education</v>
          </cell>
          <cell r="F2672" t="str">
            <v>Not applicable</v>
          </cell>
        </row>
        <row r="2673">
          <cell r="A2673">
            <v>3056051</v>
          </cell>
          <cell r="B2673">
            <v>126801</v>
          </cell>
          <cell r="C2673" t="str">
            <v>Beresford House School</v>
          </cell>
          <cell r="D2673" t="str">
            <v>Bromley</v>
          </cell>
          <cell r="E2673" t="str">
            <v>Other Independent School</v>
          </cell>
          <cell r="F2673" t="str">
            <v>Not applicable</v>
          </cell>
        </row>
        <row r="2674">
          <cell r="A2674">
            <v>9146130</v>
          </cell>
          <cell r="B2674">
            <v>128863</v>
          </cell>
          <cell r="C2674" t="str">
            <v>Beresford House School</v>
          </cell>
          <cell r="D2674" t="str">
            <v>Pre LGR (1997) East Sussex</v>
          </cell>
          <cell r="E2674" t="str">
            <v>Other Independent School</v>
          </cell>
          <cell r="F2674" t="str">
            <v>Not applicable</v>
          </cell>
        </row>
        <row r="2675">
          <cell r="A2675">
            <v>8603442</v>
          </cell>
          <cell r="B2675">
            <v>124340</v>
          </cell>
          <cell r="C2675" t="str">
            <v>Beresford Memorial CofE (A) First School</v>
          </cell>
          <cell r="D2675" t="str">
            <v>Staffordshire</v>
          </cell>
          <cell r="E2675" t="str">
            <v>Voluntary Aided School</v>
          </cell>
          <cell r="F2675" t="str">
            <v>Primary</v>
          </cell>
        </row>
        <row r="2676">
          <cell r="A2676">
            <v>2042047</v>
          </cell>
          <cell r="B2676">
            <v>126594</v>
          </cell>
          <cell r="C2676" t="str">
            <v>Berger Infant School</v>
          </cell>
          <cell r="D2676" t="str">
            <v>Hackney</v>
          </cell>
          <cell r="E2676" t="str">
            <v>Community School</v>
          </cell>
          <cell r="F2676" t="str">
            <v>Primary</v>
          </cell>
        </row>
        <row r="2677">
          <cell r="A2677">
            <v>2042046</v>
          </cell>
          <cell r="B2677">
            <v>126593</v>
          </cell>
          <cell r="C2677" t="str">
            <v>Berger Junior School</v>
          </cell>
          <cell r="D2677" t="str">
            <v>Hackney</v>
          </cell>
          <cell r="E2677" t="str">
            <v>Community School</v>
          </cell>
          <cell r="F2677" t="str">
            <v>Primary</v>
          </cell>
        </row>
        <row r="2678">
          <cell r="A2678">
            <v>2042048</v>
          </cell>
          <cell r="B2678">
            <v>100218</v>
          </cell>
          <cell r="C2678" t="str">
            <v>Berger Primary School</v>
          </cell>
          <cell r="D2678" t="str">
            <v>Hackney</v>
          </cell>
          <cell r="E2678" t="str">
            <v>Community School</v>
          </cell>
          <cell r="F2678" t="str">
            <v>Primary</v>
          </cell>
        </row>
        <row r="2679">
          <cell r="A2679">
            <v>9312461</v>
          </cell>
          <cell r="B2679">
            <v>123033</v>
          </cell>
          <cell r="C2679" t="str">
            <v>Berinsfield Community Primary School</v>
          </cell>
          <cell r="D2679" t="str">
            <v>Oxfordshire</v>
          </cell>
          <cell r="E2679" t="str">
            <v>Community School</v>
          </cell>
          <cell r="F2679" t="str">
            <v>Primary</v>
          </cell>
        </row>
        <row r="2680">
          <cell r="A2680">
            <v>3132072</v>
          </cell>
          <cell r="B2680">
            <v>126945</v>
          </cell>
          <cell r="C2680" t="str">
            <v>Berkeley Infant and Nursery School</v>
          </cell>
          <cell r="D2680" t="str">
            <v>Hounslow</v>
          </cell>
          <cell r="E2680" t="str">
            <v>Community School</v>
          </cell>
          <cell r="F2680" t="str">
            <v>Primary</v>
          </cell>
        </row>
        <row r="2681">
          <cell r="A2681">
            <v>8132172</v>
          </cell>
          <cell r="B2681">
            <v>117779</v>
          </cell>
          <cell r="C2681" t="str">
            <v>Berkeley Infant School</v>
          </cell>
          <cell r="D2681" t="str">
            <v>North Lincolnshire</v>
          </cell>
          <cell r="E2681" t="str">
            <v>Community School</v>
          </cell>
          <cell r="F2681" t="str">
            <v>Primary</v>
          </cell>
        </row>
        <row r="2682">
          <cell r="A2682">
            <v>8132174</v>
          </cell>
          <cell r="B2682">
            <v>117781</v>
          </cell>
          <cell r="C2682" t="str">
            <v>Berkeley Junior School</v>
          </cell>
          <cell r="D2682" t="str">
            <v>North Lincolnshire</v>
          </cell>
          <cell r="E2682" t="str">
            <v>Community School</v>
          </cell>
          <cell r="F2682" t="str">
            <v>Primary</v>
          </cell>
        </row>
        <row r="2683">
          <cell r="A2683">
            <v>3132002</v>
          </cell>
          <cell r="B2683">
            <v>126942</v>
          </cell>
          <cell r="C2683" t="str">
            <v>Berkeley Junior School</v>
          </cell>
          <cell r="D2683" t="str">
            <v>Hounslow</v>
          </cell>
          <cell r="E2683" t="str">
            <v>Community School</v>
          </cell>
          <cell r="F2683" t="str">
            <v>Primary</v>
          </cell>
        </row>
        <row r="2684">
          <cell r="A2684">
            <v>3132075</v>
          </cell>
          <cell r="B2684">
            <v>102522</v>
          </cell>
          <cell r="C2684" t="str">
            <v>Berkeley Primary School</v>
          </cell>
          <cell r="D2684" t="str">
            <v>Hounslow</v>
          </cell>
          <cell r="E2684" t="str">
            <v>Community School</v>
          </cell>
          <cell r="F2684" t="str">
            <v>Primary</v>
          </cell>
        </row>
        <row r="2685">
          <cell r="A2685">
            <v>9162043</v>
          </cell>
          <cell r="B2685">
            <v>115503</v>
          </cell>
          <cell r="C2685" t="str">
            <v>Berkeley Primary School</v>
          </cell>
          <cell r="D2685" t="str">
            <v>Gloucestershire</v>
          </cell>
          <cell r="E2685" t="str">
            <v>Community School</v>
          </cell>
          <cell r="F2685" t="str">
            <v>Primary</v>
          </cell>
        </row>
        <row r="2686">
          <cell r="A2686">
            <v>9166038</v>
          </cell>
          <cell r="B2686">
            <v>115800</v>
          </cell>
          <cell r="C2686" t="str">
            <v>Berkhampstead School</v>
          </cell>
          <cell r="D2686" t="str">
            <v>Gloucestershire</v>
          </cell>
          <cell r="E2686" t="str">
            <v>Other Independent School</v>
          </cell>
          <cell r="F2686" t="str">
            <v>Not applicable</v>
          </cell>
        </row>
        <row r="2687">
          <cell r="A2687">
            <v>9196005</v>
          </cell>
          <cell r="B2687">
            <v>117604</v>
          </cell>
          <cell r="C2687" t="str">
            <v>Berkhamsted School</v>
          </cell>
          <cell r="D2687" t="str">
            <v>Hertfordshire</v>
          </cell>
          <cell r="E2687" t="str">
            <v>Other Independent School</v>
          </cell>
          <cell r="F2687" t="str">
            <v>Not applicable</v>
          </cell>
        </row>
        <row r="2688">
          <cell r="A2688">
            <v>9196004</v>
          </cell>
          <cell r="B2688">
            <v>117603</v>
          </cell>
          <cell r="C2688" t="str">
            <v>Berkhamsted School for Girls</v>
          </cell>
          <cell r="D2688" t="str">
            <v>Hertfordshire</v>
          </cell>
          <cell r="E2688" t="str">
            <v>Other Independent School</v>
          </cell>
          <cell r="F2688" t="str">
            <v>Not applicable</v>
          </cell>
        </row>
        <row r="2689">
          <cell r="A2689">
            <v>9333009</v>
          </cell>
          <cell r="B2689">
            <v>123743</v>
          </cell>
          <cell r="C2689" t="str">
            <v>Berkley Church of England First School</v>
          </cell>
          <cell r="D2689" t="str">
            <v>Somerset</v>
          </cell>
          <cell r="E2689" t="str">
            <v>Voluntary Aided School</v>
          </cell>
          <cell r="F2689" t="str">
            <v>Primary</v>
          </cell>
        </row>
        <row r="2690">
          <cell r="A2690">
            <v>8688300</v>
          </cell>
          <cell r="B2690">
            <v>130606</v>
          </cell>
          <cell r="C2690" t="str">
            <v>Berkshire College of Agriculture</v>
          </cell>
          <cell r="D2690" t="str">
            <v>Windsor and Maidenhead</v>
          </cell>
          <cell r="E2690" t="str">
            <v>Further Education</v>
          </cell>
          <cell r="F2690" t="str">
            <v>16 Plus</v>
          </cell>
        </row>
        <row r="2691">
          <cell r="A2691">
            <v>9038150</v>
          </cell>
          <cell r="B2691">
            <v>130605</v>
          </cell>
          <cell r="C2691" t="str">
            <v>Berkshire College of Art and Design</v>
          </cell>
          <cell r="D2691" t="str">
            <v>Pre LGR (1998) Berkshire</v>
          </cell>
          <cell r="E2691" t="str">
            <v>Further Education</v>
          </cell>
          <cell r="F2691" t="str">
            <v>16 Plus</v>
          </cell>
        </row>
        <row r="2692">
          <cell r="A2692">
            <v>3343310</v>
          </cell>
          <cell r="B2692">
            <v>104093</v>
          </cell>
          <cell r="C2692" t="str">
            <v>Berkswell Church of England Voluntary Aided Primary School</v>
          </cell>
          <cell r="D2692" t="str">
            <v>Solihull</v>
          </cell>
          <cell r="E2692" t="str">
            <v>Voluntary Aided School</v>
          </cell>
          <cell r="F2692" t="str">
            <v>Primary</v>
          </cell>
        </row>
        <row r="2693">
          <cell r="A2693">
            <v>8603028</v>
          </cell>
          <cell r="B2693">
            <v>124234</v>
          </cell>
          <cell r="C2693" t="str">
            <v>Berkswich CofE (VC) Primary School</v>
          </cell>
          <cell r="D2693" t="str">
            <v>Staffordshire</v>
          </cell>
          <cell r="E2693" t="str">
            <v>Voluntary Controlled School</v>
          </cell>
          <cell r="F2693" t="str">
            <v>Primary</v>
          </cell>
        </row>
        <row r="2694">
          <cell r="A2694">
            <v>3817000</v>
          </cell>
          <cell r="B2694">
            <v>132957</v>
          </cell>
          <cell r="C2694" t="str">
            <v>Bermerside School</v>
          </cell>
          <cell r="D2694" t="str">
            <v>Calderdale</v>
          </cell>
          <cell r="E2694" t="str">
            <v>Community Special School</v>
          </cell>
          <cell r="F2694" t="str">
            <v>Special</v>
          </cell>
        </row>
        <row r="2695">
          <cell r="A2695">
            <v>2106392</v>
          </cell>
          <cell r="B2695">
            <v>133388</v>
          </cell>
          <cell r="C2695" t="str">
            <v>Bermondsey School</v>
          </cell>
          <cell r="D2695" t="str">
            <v>Southwark</v>
          </cell>
          <cell r="E2695" t="str">
            <v>Other Independent School</v>
          </cell>
          <cell r="F2695" t="str">
            <v>Not applicable</v>
          </cell>
        </row>
        <row r="2696">
          <cell r="A2696">
            <v>3546021</v>
          </cell>
          <cell r="B2696">
            <v>131408</v>
          </cell>
          <cell r="C2696" t="str">
            <v>Bernard - Green Corns</v>
          </cell>
          <cell r="D2696" t="str">
            <v>Rochdale</v>
          </cell>
          <cell r="E2696" t="str">
            <v>Other Independent Special School</v>
          </cell>
          <cell r="F2696" t="str">
            <v>Not applicable</v>
          </cell>
        </row>
        <row r="2697">
          <cell r="A2697">
            <v>3942176</v>
          </cell>
          <cell r="B2697">
            <v>108830</v>
          </cell>
          <cell r="C2697" t="str">
            <v>Bernard Gilpin Primary School</v>
          </cell>
          <cell r="D2697" t="str">
            <v>Sunderland</v>
          </cell>
          <cell r="E2697" t="str">
            <v>Community School</v>
          </cell>
          <cell r="F2697" t="str">
            <v>Primary</v>
          </cell>
        </row>
        <row r="2698">
          <cell r="A2698">
            <v>9192090</v>
          </cell>
          <cell r="B2698">
            <v>117135</v>
          </cell>
          <cell r="C2698" t="str">
            <v>Bernards Heath Infants' School</v>
          </cell>
          <cell r="D2698" t="str">
            <v>Hertfordshire</v>
          </cell>
          <cell r="E2698" t="str">
            <v>Community School</v>
          </cell>
          <cell r="F2698" t="str">
            <v>Primary</v>
          </cell>
        </row>
        <row r="2699">
          <cell r="A2699">
            <v>9192100</v>
          </cell>
          <cell r="B2699">
            <v>117143</v>
          </cell>
          <cell r="C2699" t="str">
            <v>Bernards Heath Junior School</v>
          </cell>
          <cell r="D2699" t="str">
            <v>Hertfordshire</v>
          </cell>
          <cell r="E2699" t="str">
            <v>Community School</v>
          </cell>
          <cell r="F2699" t="str">
            <v>Primary</v>
          </cell>
        </row>
        <row r="2700">
          <cell r="A2700">
            <v>9312520</v>
          </cell>
          <cell r="B2700">
            <v>123043</v>
          </cell>
          <cell r="C2700" t="str">
            <v>Bernwood First School</v>
          </cell>
          <cell r="D2700" t="str">
            <v>Oxfordshire</v>
          </cell>
          <cell r="E2700" t="str">
            <v>Community School</v>
          </cell>
          <cell r="F2700" t="str">
            <v>Primary</v>
          </cell>
        </row>
        <row r="2701">
          <cell r="A2701">
            <v>8922047</v>
          </cell>
          <cell r="B2701">
            <v>122409</v>
          </cell>
          <cell r="C2701" t="str">
            <v>Berridge Infant and Nursery School</v>
          </cell>
          <cell r="D2701" t="str">
            <v>Nottingham</v>
          </cell>
          <cell r="E2701" t="str">
            <v>Community School</v>
          </cell>
          <cell r="F2701" t="str">
            <v>Primary</v>
          </cell>
        </row>
        <row r="2702">
          <cell r="A2702">
            <v>8922046</v>
          </cell>
          <cell r="B2702">
            <v>122408</v>
          </cell>
          <cell r="C2702" t="str">
            <v>Berridge Junior School</v>
          </cell>
          <cell r="D2702" t="str">
            <v>Nottingham</v>
          </cell>
          <cell r="E2702" t="str">
            <v>Community School</v>
          </cell>
          <cell r="F2702" t="str">
            <v>Primary</v>
          </cell>
        </row>
        <row r="2703">
          <cell r="A2703">
            <v>6662005</v>
          </cell>
          <cell r="B2703">
            <v>400467</v>
          </cell>
          <cell r="C2703" t="str">
            <v>Berriew C.P. School</v>
          </cell>
          <cell r="D2703" t="str">
            <v>Powys</v>
          </cell>
          <cell r="E2703" t="str">
            <v>Welsh Establishment</v>
          </cell>
          <cell r="F2703" t="str">
            <v>Primary</v>
          </cell>
        </row>
        <row r="2704">
          <cell r="A2704">
            <v>9323302</v>
          </cell>
          <cell r="B2704">
            <v>129804</v>
          </cell>
          <cell r="C2704" t="str">
            <v>Berrington CofE Primary School</v>
          </cell>
          <cell r="D2704" t="str">
            <v>Pre LGR (1998) Shropshire</v>
          </cell>
          <cell r="E2704" t="str">
            <v>Voluntary Aided School</v>
          </cell>
          <cell r="F2704" t="str">
            <v>Primary</v>
          </cell>
        </row>
        <row r="2705">
          <cell r="A2705">
            <v>9333226</v>
          </cell>
          <cell r="B2705">
            <v>123807</v>
          </cell>
          <cell r="C2705" t="str">
            <v>Berrow Church of England Primary School</v>
          </cell>
          <cell r="D2705" t="str">
            <v>Somerset</v>
          </cell>
          <cell r="E2705" t="str">
            <v>Voluntary Controlled School</v>
          </cell>
          <cell r="F2705" t="str">
            <v>Primary</v>
          </cell>
        </row>
        <row r="2706">
          <cell r="A2706">
            <v>9186097</v>
          </cell>
          <cell r="B2706">
            <v>129102</v>
          </cell>
          <cell r="C2706" t="str">
            <v>Berrow Wood School</v>
          </cell>
          <cell r="D2706" t="str">
            <v>Pre LGR (1998) Hereford &amp; Worcester</v>
          </cell>
          <cell r="E2706" t="str">
            <v>Other Independent School</v>
          </cell>
          <cell r="F2706" t="str">
            <v>Not applicable</v>
          </cell>
        </row>
        <row r="2707">
          <cell r="A2707">
            <v>3822004</v>
          </cell>
          <cell r="B2707">
            <v>107599</v>
          </cell>
          <cell r="C2707" t="str">
            <v>Berry Brow Infant and Nursery School</v>
          </cell>
          <cell r="D2707" t="str">
            <v>Kirklees</v>
          </cell>
          <cell r="E2707" t="str">
            <v>Community School</v>
          </cell>
          <cell r="F2707" t="str">
            <v>Primary</v>
          </cell>
        </row>
        <row r="2708">
          <cell r="A2708">
            <v>8912878</v>
          </cell>
          <cell r="B2708">
            <v>122688</v>
          </cell>
          <cell r="C2708" t="str">
            <v>Berry Hill First and Nursery School</v>
          </cell>
          <cell r="D2708" t="str">
            <v>Nottinghamshire</v>
          </cell>
          <cell r="E2708" t="str">
            <v>Community School</v>
          </cell>
          <cell r="F2708" t="str">
            <v>Primary</v>
          </cell>
        </row>
        <row r="2709">
          <cell r="A2709">
            <v>8614041</v>
          </cell>
          <cell r="B2709">
            <v>124387</v>
          </cell>
          <cell r="C2709" t="str">
            <v>Berry Hill High School and Sports College</v>
          </cell>
          <cell r="D2709" t="str">
            <v>Stoke-on-Trent</v>
          </cell>
          <cell r="E2709" t="str">
            <v>Community School</v>
          </cell>
          <cell r="F2709" t="str">
            <v>Secondary</v>
          </cell>
        </row>
        <row r="2710">
          <cell r="A2710">
            <v>8914421</v>
          </cell>
          <cell r="B2710">
            <v>122870</v>
          </cell>
          <cell r="C2710" t="str">
            <v>Berry Hill Middle School</v>
          </cell>
          <cell r="D2710" t="str">
            <v>Nottinghamshire</v>
          </cell>
          <cell r="E2710" t="str">
            <v>Community School</v>
          </cell>
          <cell r="F2710" t="str">
            <v>Middle Deemed Secondary</v>
          </cell>
        </row>
        <row r="2711">
          <cell r="A2711">
            <v>9162103</v>
          </cell>
          <cell r="B2711">
            <v>115549</v>
          </cell>
          <cell r="C2711" t="str">
            <v>Berry Hill Primary School</v>
          </cell>
          <cell r="D2711" t="str">
            <v>Gloucestershire</v>
          </cell>
          <cell r="E2711" t="str">
            <v>Foundation School</v>
          </cell>
          <cell r="F2711" t="str">
            <v>Primary</v>
          </cell>
        </row>
        <row r="2712">
          <cell r="A2712">
            <v>8912947</v>
          </cell>
          <cell r="B2712">
            <v>132242</v>
          </cell>
          <cell r="C2712" t="str">
            <v>Berry Hill Primary School</v>
          </cell>
          <cell r="D2712" t="str">
            <v>Nottinghamshire</v>
          </cell>
          <cell r="E2712" t="str">
            <v>Community School</v>
          </cell>
          <cell r="F2712" t="str">
            <v>Primary</v>
          </cell>
        </row>
        <row r="2713">
          <cell r="A2713">
            <v>8783101</v>
          </cell>
          <cell r="B2713">
            <v>113388</v>
          </cell>
          <cell r="C2713" t="str">
            <v>Berry Pomeroy Parochial Church of England Primary School</v>
          </cell>
          <cell r="D2713" t="str">
            <v>Devon</v>
          </cell>
          <cell r="E2713" t="str">
            <v>Voluntary Controlled School</v>
          </cell>
          <cell r="F2713" t="str">
            <v>Primary</v>
          </cell>
        </row>
        <row r="2714">
          <cell r="A2714">
            <v>3362107</v>
          </cell>
          <cell r="B2714">
            <v>104346</v>
          </cell>
          <cell r="C2714" t="str">
            <v>Berrybrook Primary School</v>
          </cell>
          <cell r="D2714" t="str">
            <v>Wolverhampton</v>
          </cell>
          <cell r="E2714" t="str">
            <v>Community School</v>
          </cell>
          <cell r="F2714" t="str">
            <v>Primary</v>
          </cell>
        </row>
        <row r="2715">
          <cell r="A2715">
            <v>9082524</v>
          </cell>
          <cell r="B2715">
            <v>111924</v>
          </cell>
          <cell r="C2715" t="str">
            <v>Berrycoombe School</v>
          </cell>
          <cell r="D2715" t="str">
            <v>Cornwall</v>
          </cell>
          <cell r="E2715" t="str">
            <v>Community School</v>
          </cell>
          <cell r="F2715" t="str">
            <v>Primary</v>
          </cell>
        </row>
        <row r="2716">
          <cell r="A2716">
            <v>8252212</v>
          </cell>
          <cell r="B2716">
            <v>110308</v>
          </cell>
          <cell r="C2716" t="str">
            <v>Berryfield Infant School</v>
          </cell>
          <cell r="D2716" t="str">
            <v>Buckinghamshire</v>
          </cell>
          <cell r="E2716" t="str">
            <v>Community School</v>
          </cell>
          <cell r="F2716" t="str">
            <v>Primary</v>
          </cell>
        </row>
        <row r="2717">
          <cell r="A2717">
            <v>9193980</v>
          </cell>
          <cell r="B2717">
            <v>134684</v>
          </cell>
          <cell r="C2717" t="str">
            <v>Berrygrove Primary and Nursery School</v>
          </cell>
          <cell r="D2717" t="str">
            <v>Hertfordshire</v>
          </cell>
          <cell r="E2717" t="str">
            <v>Community School</v>
          </cell>
          <cell r="F2717" t="str">
            <v>Primary</v>
          </cell>
        </row>
        <row r="2718">
          <cell r="A2718">
            <v>3072006</v>
          </cell>
          <cell r="B2718">
            <v>101867</v>
          </cell>
          <cell r="C2718" t="str">
            <v>Berrymede Infant School</v>
          </cell>
          <cell r="D2718" t="str">
            <v>Ealing</v>
          </cell>
          <cell r="E2718" t="str">
            <v>Community School</v>
          </cell>
          <cell r="F2718" t="str">
            <v>Primary</v>
          </cell>
        </row>
        <row r="2719">
          <cell r="A2719">
            <v>3072005</v>
          </cell>
          <cell r="B2719">
            <v>101866</v>
          </cell>
          <cell r="C2719" t="str">
            <v>Berrymede Junior School</v>
          </cell>
          <cell r="D2719" t="str">
            <v>Ealing</v>
          </cell>
          <cell r="E2719" t="str">
            <v>Community School</v>
          </cell>
          <cell r="F2719" t="str">
            <v>Primary</v>
          </cell>
        </row>
        <row r="2720">
          <cell r="A2720">
            <v>8783053</v>
          </cell>
          <cell r="B2720">
            <v>113371</v>
          </cell>
          <cell r="C2720" t="str">
            <v>Berrynarbor Church of England Primary School</v>
          </cell>
          <cell r="D2720" t="str">
            <v>Devon</v>
          </cell>
          <cell r="E2720" t="str">
            <v>Voluntary Controlled School</v>
          </cell>
          <cell r="F2720" t="str">
            <v>Primary</v>
          </cell>
        </row>
        <row r="2721">
          <cell r="A2721">
            <v>8502752</v>
          </cell>
          <cell r="B2721">
            <v>116249</v>
          </cell>
          <cell r="C2721" t="str">
            <v>Berrywood Primary School</v>
          </cell>
          <cell r="D2721" t="str">
            <v>Hampshire</v>
          </cell>
          <cell r="E2721" t="str">
            <v>Community School</v>
          </cell>
          <cell r="F2721" t="str">
            <v>Primary</v>
          </cell>
        </row>
        <row r="2722">
          <cell r="A2722">
            <v>2126381</v>
          </cell>
          <cell r="B2722">
            <v>101079</v>
          </cell>
          <cell r="C2722" t="str">
            <v>Bertrum House School</v>
          </cell>
          <cell r="D2722" t="str">
            <v>Wandsworth</v>
          </cell>
          <cell r="E2722" t="str">
            <v>Other Independent School</v>
          </cell>
          <cell r="F2722" t="str">
            <v>Not applicable</v>
          </cell>
        </row>
        <row r="2723">
          <cell r="A2723">
            <v>9294437</v>
          </cell>
          <cell r="B2723">
            <v>122361</v>
          </cell>
          <cell r="C2723" t="str">
            <v>Berwick Community High School</v>
          </cell>
          <cell r="D2723" t="str">
            <v>Northumberland</v>
          </cell>
          <cell r="E2723" t="str">
            <v>Community School</v>
          </cell>
          <cell r="F2723" t="str">
            <v>Secondary</v>
          </cell>
        </row>
        <row r="2724">
          <cell r="A2724">
            <v>9294437</v>
          </cell>
          <cell r="B2724">
            <v>137598</v>
          </cell>
          <cell r="C2724" t="str">
            <v>Berwick Community High School</v>
          </cell>
          <cell r="D2724" t="str">
            <v>Northumberland</v>
          </cell>
          <cell r="E2724" t="str">
            <v>Academy Converters</v>
          </cell>
          <cell r="F2724" t="str">
            <v>Secondary</v>
          </cell>
        </row>
        <row r="2725">
          <cell r="A2725">
            <v>8062326</v>
          </cell>
          <cell r="B2725">
            <v>111626</v>
          </cell>
          <cell r="C2725" t="str">
            <v>Berwick Hills Primary School</v>
          </cell>
          <cell r="D2725" t="str">
            <v>Middlesbrough</v>
          </cell>
          <cell r="E2725" t="str">
            <v>Community School</v>
          </cell>
          <cell r="F2725" t="str">
            <v>Primary</v>
          </cell>
        </row>
        <row r="2726">
          <cell r="A2726">
            <v>9294404</v>
          </cell>
          <cell r="B2726">
            <v>122354</v>
          </cell>
          <cell r="C2726" t="str">
            <v>Berwick Middle School</v>
          </cell>
          <cell r="D2726" t="str">
            <v>Northumberland</v>
          </cell>
          <cell r="E2726" t="str">
            <v>Community School</v>
          </cell>
          <cell r="F2726" t="str">
            <v>Middle Deemed Secondary</v>
          </cell>
        </row>
        <row r="2727">
          <cell r="A2727">
            <v>9392189</v>
          </cell>
          <cell r="B2727">
            <v>130214</v>
          </cell>
          <cell r="C2727" t="str">
            <v>Berwick St James First School</v>
          </cell>
          <cell r="D2727" t="str">
            <v>Pre LGR (1997) Wiltshire</v>
          </cell>
          <cell r="E2727" t="str">
            <v>Community School</v>
          </cell>
          <cell r="F2727" t="str">
            <v>Primary</v>
          </cell>
        </row>
        <row r="2728">
          <cell r="A2728">
            <v>9293046</v>
          </cell>
          <cell r="B2728">
            <v>122271</v>
          </cell>
          <cell r="C2728" t="str">
            <v>Berwick St Mary's Church of England First School</v>
          </cell>
          <cell r="D2728" t="str">
            <v>Northumberland</v>
          </cell>
          <cell r="E2728" t="str">
            <v>Voluntary Controlled School</v>
          </cell>
          <cell r="F2728" t="str">
            <v>Primary</v>
          </cell>
        </row>
        <row r="2729">
          <cell r="A2729">
            <v>9187017</v>
          </cell>
          <cell r="B2729">
            <v>117063</v>
          </cell>
          <cell r="C2729" t="str">
            <v>Besford Court School</v>
          </cell>
          <cell r="D2729" t="str">
            <v>Pre LGR (1998) Hereford &amp; Worcester</v>
          </cell>
          <cell r="E2729" t="str">
            <v>Non-Maintained Special School</v>
          </cell>
          <cell r="F2729" t="str">
            <v>Special</v>
          </cell>
        </row>
        <row r="2730">
          <cell r="A2730">
            <v>3712177</v>
          </cell>
          <cell r="B2730">
            <v>106739</v>
          </cell>
          <cell r="C2730" t="str">
            <v>Bessacarr Primary School</v>
          </cell>
          <cell r="D2730" t="str">
            <v>Doncaster</v>
          </cell>
          <cell r="E2730" t="str">
            <v>Community School</v>
          </cell>
          <cell r="F2730" t="str">
            <v>Primary</v>
          </cell>
        </row>
        <row r="2731">
          <cell r="A2731">
            <v>3109900</v>
          </cell>
          <cell r="B2731">
            <v>133049</v>
          </cell>
          <cell r="C2731" t="str">
            <v>Bessborough Education Trust</v>
          </cell>
          <cell r="D2731" t="str">
            <v>Harrow</v>
          </cell>
          <cell r="E2731" t="str">
            <v>Miscellaneous</v>
          </cell>
          <cell r="F2731" t="str">
            <v>Not applicable</v>
          </cell>
        </row>
        <row r="2732">
          <cell r="A2732">
            <v>2102049</v>
          </cell>
          <cell r="B2732">
            <v>100777</v>
          </cell>
          <cell r="C2732" t="str">
            <v>Bessemer Grange Infants' School</v>
          </cell>
          <cell r="D2732" t="str">
            <v>Southwark</v>
          </cell>
          <cell r="E2732" t="str">
            <v>Community School</v>
          </cell>
          <cell r="F2732" t="str">
            <v>Primary</v>
          </cell>
        </row>
        <row r="2733">
          <cell r="A2733">
            <v>2102048</v>
          </cell>
          <cell r="B2733">
            <v>100776</v>
          </cell>
          <cell r="C2733" t="str">
            <v>Bessemer Grange Junior School</v>
          </cell>
          <cell r="D2733" t="str">
            <v>Southwark</v>
          </cell>
          <cell r="E2733" t="str">
            <v>Community School</v>
          </cell>
          <cell r="F2733" t="str">
            <v>Primary</v>
          </cell>
        </row>
        <row r="2734">
          <cell r="A2734">
            <v>2102856</v>
          </cell>
          <cell r="B2734">
            <v>130918</v>
          </cell>
          <cell r="C2734" t="str">
            <v>Bessemer Grange Primary School</v>
          </cell>
          <cell r="D2734" t="str">
            <v>Southwark</v>
          </cell>
          <cell r="E2734" t="str">
            <v>Community School</v>
          </cell>
          <cell r="F2734" t="str">
            <v>Primary</v>
          </cell>
        </row>
        <row r="2735">
          <cell r="A2735">
            <v>8402395</v>
          </cell>
          <cell r="B2735">
            <v>114092</v>
          </cell>
          <cell r="C2735" t="str">
            <v>Bessemer Park Infant School</v>
          </cell>
          <cell r="D2735" t="str">
            <v>Durham</v>
          </cell>
          <cell r="E2735" t="str">
            <v>Community School</v>
          </cell>
          <cell r="F2735" t="str">
            <v>Primary</v>
          </cell>
        </row>
        <row r="2736">
          <cell r="A2736">
            <v>8401022</v>
          </cell>
          <cell r="B2736">
            <v>113974</v>
          </cell>
          <cell r="C2736" t="str">
            <v>Bessemer Park Nursery School</v>
          </cell>
          <cell r="D2736" t="str">
            <v>Durham</v>
          </cell>
          <cell r="E2736" t="str">
            <v>LA Nursery School</v>
          </cell>
          <cell r="F2736" t="str">
            <v>Nursery</v>
          </cell>
        </row>
        <row r="2737">
          <cell r="A2737">
            <v>8912682</v>
          </cell>
          <cell r="B2737">
            <v>122616</v>
          </cell>
          <cell r="C2737" t="str">
            <v>Besthorpe Primary School</v>
          </cell>
          <cell r="D2737" t="str">
            <v>Nottinghamshire</v>
          </cell>
          <cell r="E2737" t="str">
            <v>Community School</v>
          </cell>
          <cell r="F2737" t="str">
            <v>Primary</v>
          </cell>
        </row>
        <row r="2738">
          <cell r="A2738">
            <v>8113012</v>
          </cell>
          <cell r="B2738">
            <v>117970</v>
          </cell>
          <cell r="C2738" t="str">
            <v>Beswick and Watton CofE (VC) School</v>
          </cell>
          <cell r="D2738" t="str">
            <v>East Riding of Yorkshire</v>
          </cell>
          <cell r="E2738" t="str">
            <v>Voluntary Controlled School</v>
          </cell>
          <cell r="F2738" t="str">
            <v>Primary</v>
          </cell>
        </row>
        <row r="2739">
          <cell r="A2739">
            <v>9362025</v>
          </cell>
          <cell r="B2739">
            <v>130013</v>
          </cell>
          <cell r="C2739" t="str">
            <v>Betchworth County First School</v>
          </cell>
          <cell r="D2739" t="str">
            <v>Surrey</v>
          </cell>
          <cell r="E2739" t="str">
            <v>Community School</v>
          </cell>
          <cell r="F2739" t="str">
            <v>Primary</v>
          </cell>
        </row>
        <row r="2740">
          <cell r="A2740">
            <v>3026092</v>
          </cell>
          <cell r="B2740">
            <v>101388</v>
          </cell>
          <cell r="C2740" t="str">
            <v>Beth Jacob Grammar School for Girls</v>
          </cell>
          <cell r="D2740" t="str">
            <v>Barnet</v>
          </cell>
          <cell r="E2740" t="str">
            <v>Other Independent School</v>
          </cell>
          <cell r="F2740" t="str">
            <v>Not applicable</v>
          </cell>
        </row>
        <row r="2741">
          <cell r="A2741">
            <v>8861111</v>
          </cell>
          <cell r="B2741">
            <v>118241</v>
          </cell>
          <cell r="C2741" t="str">
            <v>Beth Marie Centre</v>
          </cell>
          <cell r="D2741" t="str">
            <v>Kent</v>
          </cell>
          <cell r="E2741" t="str">
            <v>Pupil Referral Unit</v>
          </cell>
          <cell r="F2741" t="str">
            <v>PRU</v>
          </cell>
        </row>
        <row r="2742">
          <cell r="A2742">
            <v>3073300</v>
          </cell>
          <cell r="B2742">
            <v>126875</v>
          </cell>
          <cell r="C2742" t="str">
            <v>Betham's CofE First School</v>
          </cell>
          <cell r="D2742" t="str">
            <v>Ealing</v>
          </cell>
          <cell r="E2742" t="str">
            <v>Voluntary Aided School</v>
          </cell>
          <cell r="F2742" t="str">
            <v>Primary</v>
          </cell>
        </row>
        <row r="2743">
          <cell r="A2743">
            <v>3073307</v>
          </cell>
          <cell r="B2743">
            <v>126876</v>
          </cell>
          <cell r="C2743" t="str">
            <v>Betham's CofE Middle School</v>
          </cell>
          <cell r="D2743" t="str">
            <v>Ealing</v>
          </cell>
          <cell r="E2743" t="str">
            <v>Voluntary Aided School</v>
          </cell>
          <cell r="F2743" t="str">
            <v>Middle Deemed Primary</v>
          </cell>
        </row>
        <row r="2744">
          <cell r="A2744">
            <v>8373683</v>
          </cell>
          <cell r="B2744">
            <v>113844</v>
          </cell>
          <cell r="C2744" t="str">
            <v>Bethany Church of England Junior School</v>
          </cell>
          <cell r="D2744" t="str">
            <v>Bournemouth</v>
          </cell>
          <cell r="E2744" t="str">
            <v>Voluntary Aided School</v>
          </cell>
          <cell r="F2744" t="str">
            <v>Primary</v>
          </cell>
        </row>
        <row r="2745">
          <cell r="A2745">
            <v>3736027</v>
          </cell>
          <cell r="B2745">
            <v>107168</v>
          </cell>
          <cell r="C2745" t="str">
            <v>Bethany School</v>
          </cell>
          <cell r="D2745" t="str">
            <v>Sheffield</v>
          </cell>
          <cell r="E2745" t="str">
            <v>Other Independent School</v>
          </cell>
          <cell r="F2745" t="str">
            <v>Not applicable</v>
          </cell>
        </row>
        <row r="2746">
          <cell r="A2746">
            <v>8866036</v>
          </cell>
          <cell r="B2746">
            <v>118978</v>
          </cell>
          <cell r="C2746" t="str">
            <v>Bethany School</v>
          </cell>
          <cell r="D2746" t="str">
            <v>Kent</v>
          </cell>
          <cell r="E2746" t="str">
            <v>Other Independent School</v>
          </cell>
          <cell r="F2746" t="str">
            <v>Not applicable</v>
          </cell>
        </row>
        <row r="2747">
          <cell r="A2747">
            <v>3306087</v>
          </cell>
          <cell r="B2747">
            <v>103594</v>
          </cell>
          <cell r="C2747" t="str">
            <v>Bethel Christian School</v>
          </cell>
          <cell r="D2747" t="str">
            <v>Birmingham</v>
          </cell>
          <cell r="E2747" t="str">
            <v>Other Independent School</v>
          </cell>
          <cell r="F2747" t="str">
            <v>Not applicable</v>
          </cell>
        </row>
        <row r="2748">
          <cell r="A2748">
            <v>8862278</v>
          </cell>
          <cell r="B2748">
            <v>118372</v>
          </cell>
          <cell r="C2748" t="str">
            <v>Bethersden Primary School</v>
          </cell>
          <cell r="D2748" t="str">
            <v>Kent</v>
          </cell>
          <cell r="E2748" t="str">
            <v>Community School</v>
          </cell>
          <cell r="F2748" t="str">
            <v>Primary</v>
          </cell>
        </row>
        <row r="2749">
          <cell r="A2749">
            <v>3567500</v>
          </cell>
          <cell r="B2749">
            <v>106165</v>
          </cell>
          <cell r="C2749" t="str">
            <v>Bethesda School</v>
          </cell>
          <cell r="D2749" t="str">
            <v>Stockport</v>
          </cell>
          <cell r="E2749" t="str">
            <v>Non-Maintained Special School</v>
          </cell>
          <cell r="F2749" t="str">
            <v>Special</v>
          </cell>
        </row>
        <row r="2750">
          <cell r="A2750">
            <v>2107073</v>
          </cell>
          <cell r="B2750">
            <v>100876</v>
          </cell>
          <cell r="C2750" t="str">
            <v>Bethlem and Maudsley Hospital School</v>
          </cell>
          <cell r="D2750" t="str">
            <v>Southwark</v>
          </cell>
          <cell r="E2750" t="str">
            <v>Community Special School</v>
          </cell>
          <cell r="F2750" t="str">
            <v>Special</v>
          </cell>
        </row>
        <row r="2751">
          <cell r="A2751">
            <v>2114284</v>
          </cell>
          <cell r="B2751">
            <v>100971</v>
          </cell>
          <cell r="C2751" t="str">
            <v>Bethnal Green Technology College</v>
          </cell>
          <cell r="D2751" t="str">
            <v>Tower Hamlets</v>
          </cell>
          <cell r="E2751" t="str">
            <v>Community School</v>
          </cell>
          <cell r="F2751" t="str">
            <v>Secondary</v>
          </cell>
        </row>
        <row r="2752">
          <cell r="A2752">
            <v>3035403</v>
          </cell>
          <cell r="B2752">
            <v>101479</v>
          </cell>
          <cell r="C2752" t="str">
            <v>Beths Grammar School</v>
          </cell>
          <cell r="D2752" t="str">
            <v>Bexley</v>
          </cell>
          <cell r="E2752" t="str">
            <v>Foundation School</v>
          </cell>
          <cell r="F2752" t="str">
            <v>Secondary</v>
          </cell>
        </row>
        <row r="2753">
          <cell r="A2753">
            <v>3035403</v>
          </cell>
          <cell r="B2753">
            <v>136334</v>
          </cell>
          <cell r="C2753" t="str">
            <v>Beths Grammar School</v>
          </cell>
          <cell r="D2753" t="str">
            <v>Bexley</v>
          </cell>
          <cell r="E2753" t="str">
            <v>Academy Converters</v>
          </cell>
          <cell r="F2753" t="str">
            <v>Secondary</v>
          </cell>
        </row>
        <row r="2754">
          <cell r="A2754">
            <v>9204498</v>
          </cell>
          <cell r="B2754">
            <v>129324</v>
          </cell>
          <cell r="C2754" t="str">
            <v>Bethune Junior High School</v>
          </cell>
          <cell r="D2754" t="str">
            <v>Pre LGR (1996) Humberside</v>
          </cell>
          <cell r="E2754" t="str">
            <v>Community School</v>
          </cell>
          <cell r="F2754" t="str">
            <v>Secondary</v>
          </cell>
        </row>
        <row r="2755">
          <cell r="A2755">
            <v>8102891</v>
          </cell>
          <cell r="B2755">
            <v>117918</v>
          </cell>
          <cell r="C2755" t="str">
            <v>Bethune Park Primary School</v>
          </cell>
          <cell r="D2755" t="str">
            <v>Kingston upon Hull City of</v>
          </cell>
          <cell r="E2755" t="str">
            <v>Community School</v>
          </cell>
          <cell r="F2755" t="str">
            <v>Primary</v>
          </cell>
        </row>
        <row r="2756">
          <cell r="A2756">
            <v>8603029</v>
          </cell>
          <cell r="B2756">
            <v>124235</v>
          </cell>
          <cell r="C2756" t="str">
            <v>Betley CofE VC Primary School</v>
          </cell>
          <cell r="D2756" t="str">
            <v>Staffordshire</v>
          </cell>
          <cell r="E2756" t="str">
            <v>Voluntary Controlled School</v>
          </cell>
          <cell r="F2756" t="str">
            <v>Primary</v>
          </cell>
        </row>
        <row r="2757">
          <cell r="A2757">
            <v>9167015</v>
          </cell>
          <cell r="B2757">
            <v>115821</v>
          </cell>
          <cell r="C2757" t="str">
            <v>Bettridge School</v>
          </cell>
          <cell r="D2757" t="str">
            <v>Gloucestershire</v>
          </cell>
          <cell r="E2757" t="str">
            <v>Community Special School</v>
          </cell>
          <cell r="F2757" t="str">
            <v>Special</v>
          </cell>
        </row>
        <row r="2758">
          <cell r="A2758">
            <v>6804025</v>
          </cell>
          <cell r="B2758">
            <v>401867</v>
          </cell>
          <cell r="C2758" t="str">
            <v>Bettws High School</v>
          </cell>
          <cell r="D2758" t="str">
            <v>Newport</v>
          </cell>
          <cell r="E2758" t="str">
            <v>Welsh Establishment</v>
          </cell>
          <cell r="F2758" t="str">
            <v>Secondary</v>
          </cell>
        </row>
        <row r="2759">
          <cell r="A2759">
            <v>6666048</v>
          </cell>
          <cell r="B2759">
            <v>402237</v>
          </cell>
          <cell r="C2759" t="str">
            <v>Bettws Lifehouse</v>
          </cell>
          <cell r="D2759" t="str">
            <v>Powys</v>
          </cell>
          <cell r="E2759" t="str">
            <v>Welsh Establishment</v>
          </cell>
          <cell r="F2759" t="str">
            <v>Not applicable</v>
          </cell>
        </row>
        <row r="2760">
          <cell r="A2760">
            <v>2042899</v>
          </cell>
          <cell r="B2760">
            <v>131706</v>
          </cell>
          <cell r="C2760" t="str">
            <v>Betty Layward Primary School</v>
          </cell>
          <cell r="D2760" t="str">
            <v>Hackney</v>
          </cell>
          <cell r="E2760" t="str">
            <v>Community School</v>
          </cell>
          <cell r="F2760" t="str">
            <v>Primary</v>
          </cell>
        </row>
        <row r="2761">
          <cell r="A2761">
            <v>6692043</v>
          </cell>
          <cell r="B2761">
            <v>400750</v>
          </cell>
          <cell r="C2761" t="str">
            <v>Betws C.P. School</v>
          </cell>
          <cell r="D2761" t="str">
            <v>Carmarthenshire</v>
          </cell>
          <cell r="E2761" t="str">
            <v>Welsh Establishment</v>
          </cell>
          <cell r="F2761" t="str">
            <v>Primary</v>
          </cell>
        </row>
        <row r="2762">
          <cell r="A2762">
            <v>6722051</v>
          </cell>
          <cell r="B2762">
            <v>401026</v>
          </cell>
          <cell r="C2762" t="str">
            <v>Betws Primary School</v>
          </cell>
          <cell r="D2762" t="str">
            <v>Bridgend</v>
          </cell>
          <cell r="E2762" t="str">
            <v>Welsh Establishment</v>
          </cell>
          <cell r="F2762" t="str">
            <v>Primary</v>
          </cell>
        </row>
        <row r="2763">
          <cell r="A2763">
            <v>6623062</v>
          </cell>
          <cell r="B2763">
            <v>400254</v>
          </cell>
          <cell r="C2763" t="str">
            <v>Betws Yn Rhos Primary School</v>
          </cell>
          <cell r="D2763" t="str">
            <v>Conwy</v>
          </cell>
          <cell r="E2763" t="str">
            <v>Welsh Establishment</v>
          </cell>
          <cell r="F2763" t="str">
            <v>Primary</v>
          </cell>
        </row>
        <row r="2764">
          <cell r="A2764">
            <v>3062005</v>
          </cell>
          <cell r="B2764">
            <v>101713</v>
          </cell>
          <cell r="C2764" t="str">
            <v>Beulah Infants' School</v>
          </cell>
          <cell r="D2764" t="str">
            <v>Croydon</v>
          </cell>
          <cell r="E2764" t="str">
            <v>Community School</v>
          </cell>
          <cell r="F2764" t="str">
            <v>Primary</v>
          </cell>
        </row>
        <row r="2765">
          <cell r="A2765">
            <v>3062003</v>
          </cell>
          <cell r="B2765">
            <v>101712</v>
          </cell>
          <cell r="C2765" t="str">
            <v>Beulah Junior School</v>
          </cell>
          <cell r="D2765" t="str">
            <v>Croydon</v>
          </cell>
          <cell r="E2765" t="str">
            <v>Community School</v>
          </cell>
          <cell r="F2765" t="str">
            <v>Primary</v>
          </cell>
        </row>
        <row r="2766">
          <cell r="A2766">
            <v>9142002</v>
          </cell>
          <cell r="B2766">
            <v>128835</v>
          </cell>
          <cell r="C2766" t="str">
            <v>Bevendean County Infant School</v>
          </cell>
          <cell r="D2766" t="str">
            <v>Pre LGR (1997) East Sussex</v>
          </cell>
          <cell r="E2766" t="str">
            <v>Community School</v>
          </cell>
          <cell r="F2766" t="str">
            <v>Primary</v>
          </cell>
        </row>
        <row r="2767">
          <cell r="A2767">
            <v>9142001</v>
          </cell>
          <cell r="B2767">
            <v>128834</v>
          </cell>
          <cell r="C2767" t="str">
            <v>Bevendean Junior School</v>
          </cell>
          <cell r="D2767" t="str">
            <v>Pre LGR (1997) East Sussex</v>
          </cell>
          <cell r="E2767" t="str">
            <v>Community School</v>
          </cell>
          <cell r="F2767" t="str">
            <v>Primary</v>
          </cell>
        </row>
        <row r="2768">
          <cell r="A2768">
            <v>8462163</v>
          </cell>
          <cell r="B2768">
            <v>114485</v>
          </cell>
          <cell r="C2768" t="str">
            <v>Bevendean Primary School</v>
          </cell>
          <cell r="D2768" t="str">
            <v>Brighton and Hove</v>
          </cell>
          <cell r="E2768" t="str">
            <v>Community School</v>
          </cell>
          <cell r="F2768" t="str">
            <v>Primary</v>
          </cell>
        </row>
        <row r="2769">
          <cell r="A2769">
            <v>8114625</v>
          </cell>
          <cell r="B2769">
            <v>118116</v>
          </cell>
          <cell r="C2769" t="str">
            <v>Beverley Grammar School</v>
          </cell>
          <cell r="D2769" t="str">
            <v>East Riding of Yorkshire</v>
          </cell>
          <cell r="E2769" t="str">
            <v>Voluntary Aided School</v>
          </cell>
          <cell r="F2769" t="str">
            <v>Secondary</v>
          </cell>
        </row>
        <row r="2770">
          <cell r="A2770">
            <v>8114625</v>
          </cell>
          <cell r="B2770">
            <v>136995</v>
          </cell>
          <cell r="C2770" t="str">
            <v>Beverley Grammar School</v>
          </cell>
          <cell r="D2770" t="str">
            <v>East Riding of Yorkshire</v>
          </cell>
          <cell r="E2770" t="str">
            <v>Academy Converters</v>
          </cell>
          <cell r="F2770" t="str">
            <v>Secondary</v>
          </cell>
        </row>
        <row r="2771">
          <cell r="A2771">
            <v>8114050</v>
          </cell>
          <cell r="B2771">
            <v>118072</v>
          </cell>
          <cell r="C2771" t="str">
            <v>Beverley High School</v>
          </cell>
          <cell r="D2771" t="str">
            <v>East Riding of Yorkshire</v>
          </cell>
          <cell r="E2771" t="str">
            <v>Community School</v>
          </cell>
          <cell r="F2771" t="str">
            <v>Secondary</v>
          </cell>
        </row>
        <row r="2772">
          <cell r="A2772">
            <v>8114900</v>
          </cell>
          <cell r="B2772">
            <v>134821</v>
          </cell>
          <cell r="C2772" t="str">
            <v>Beverley Joint Sixth</v>
          </cell>
          <cell r="D2772" t="str">
            <v>East Riding of Yorkshire</v>
          </cell>
          <cell r="E2772" t="str">
            <v>Sixth Form Centres</v>
          </cell>
          <cell r="F2772" t="str">
            <v>16 Plus</v>
          </cell>
        </row>
        <row r="2773">
          <cell r="A2773">
            <v>8113013</v>
          </cell>
          <cell r="B2773">
            <v>117971</v>
          </cell>
          <cell r="C2773" t="str">
            <v>Beverley Minster Church of England Voluntary Controlled Primary School</v>
          </cell>
          <cell r="D2773" t="str">
            <v>East Riding of Yorkshire</v>
          </cell>
          <cell r="E2773" t="str">
            <v>Voluntary Controlled School</v>
          </cell>
          <cell r="F2773" t="str">
            <v>Primary</v>
          </cell>
        </row>
        <row r="2774">
          <cell r="A2774">
            <v>8067003</v>
          </cell>
          <cell r="B2774">
            <v>111773</v>
          </cell>
          <cell r="C2774" t="str">
            <v>Beverley School</v>
          </cell>
          <cell r="D2774" t="str">
            <v>Middlesbrough</v>
          </cell>
          <cell r="E2774" t="str">
            <v>Community Special School</v>
          </cell>
          <cell r="F2774" t="str">
            <v>Special</v>
          </cell>
        </row>
        <row r="2775">
          <cell r="A2775">
            <v>8112704</v>
          </cell>
          <cell r="B2775">
            <v>117827</v>
          </cell>
          <cell r="C2775" t="str">
            <v>Beverley St Nicholas Community Primary School</v>
          </cell>
          <cell r="D2775" t="str">
            <v>East Riding of Yorkshire</v>
          </cell>
          <cell r="E2775" t="str">
            <v>Community School</v>
          </cell>
          <cell r="F2775" t="str">
            <v>Primary</v>
          </cell>
        </row>
        <row r="2776">
          <cell r="A2776">
            <v>8112703</v>
          </cell>
          <cell r="B2776">
            <v>117826</v>
          </cell>
          <cell r="C2776" t="str">
            <v>Beverley Walkergate Infant School</v>
          </cell>
          <cell r="D2776" t="str">
            <v>East Riding of Yorkshire</v>
          </cell>
          <cell r="E2776" t="str">
            <v>Community School</v>
          </cell>
          <cell r="F2776" t="str">
            <v>Primary</v>
          </cell>
        </row>
        <row r="2777">
          <cell r="A2777">
            <v>2072050</v>
          </cell>
          <cell r="B2777">
            <v>100479</v>
          </cell>
          <cell r="C2777" t="str">
            <v>Bevington Primary School</v>
          </cell>
          <cell r="D2777" t="str">
            <v>Kensington and Chelsea</v>
          </cell>
          <cell r="E2777" t="str">
            <v>Community School</v>
          </cell>
          <cell r="F2777" t="str">
            <v>Primary</v>
          </cell>
        </row>
        <row r="2778">
          <cell r="A2778">
            <v>8522405</v>
          </cell>
          <cell r="B2778">
            <v>116088</v>
          </cell>
          <cell r="C2778" t="str">
            <v>Bevois Town Primary School</v>
          </cell>
          <cell r="D2778" t="str">
            <v>Southampton</v>
          </cell>
          <cell r="E2778" t="str">
            <v>Community School</v>
          </cell>
          <cell r="F2778" t="str">
            <v>Primary</v>
          </cell>
        </row>
        <row r="2779">
          <cell r="A2779">
            <v>9382157</v>
          </cell>
          <cell r="B2779">
            <v>125903</v>
          </cell>
          <cell r="C2779" t="str">
            <v>Bewbush Community Middle School</v>
          </cell>
          <cell r="D2779" t="str">
            <v>West Sussex</v>
          </cell>
          <cell r="E2779" t="str">
            <v>Community School</v>
          </cell>
          <cell r="F2779" t="str">
            <v>Middle Deemed Primary</v>
          </cell>
        </row>
        <row r="2780">
          <cell r="A2780">
            <v>9383360</v>
          </cell>
          <cell r="B2780">
            <v>133969</v>
          </cell>
          <cell r="C2780" t="str">
            <v>Bewbush Community Primary</v>
          </cell>
          <cell r="D2780" t="str">
            <v>West Sussex</v>
          </cell>
          <cell r="E2780" t="str">
            <v>Community School</v>
          </cell>
          <cell r="F2780" t="str">
            <v>Primary</v>
          </cell>
        </row>
        <row r="2781">
          <cell r="A2781">
            <v>9382228</v>
          </cell>
          <cell r="B2781">
            <v>125951</v>
          </cell>
          <cell r="C2781" t="str">
            <v>Bewbush First School</v>
          </cell>
          <cell r="D2781" t="str">
            <v>West Sussex</v>
          </cell>
          <cell r="E2781" t="str">
            <v>Community School</v>
          </cell>
          <cell r="F2781" t="str">
            <v>Primary</v>
          </cell>
        </row>
        <row r="2782">
          <cell r="A2782">
            <v>9092008</v>
          </cell>
          <cell r="B2782">
            <v>112103</v>
          </cell>
          <cell r="C2782" t="str">
            <v>Bewcastle School</v>
          </cell>
          <cell r="D2782" t="str">
            <v>Cumbria</v>
          </cell>
          <cell r="E2782" t="str">
            <v>Community School</v>
          </cell>
          <cell r="F2782" t="str">
            <v>Primary</v>
          </cell>
        </row>
        <row r="2783">
          <cell r="A2783">
            <v>8854000</v>
          </cell>
          <cell r="B2783">
            <v>116927</v>
          </cell>
          <cell r="C2783" t="str">
            <v>Bewdley High School and Sixth Form Centre</v>
          </cell>
          <cell r="D2783" t="str">
            <v>Worcestershire</v>
          </cell>
          <cell r="E2783" t="str">
            <v>Community School</v>
          </cell>
          <cell r="F2783" t="str">
            <v>Secondary</v>
          </cell>
        </row>
        <row r="2784">
          <cell r="A2784">
            <v>8853397</v>
          </cell>
          <cell r="B2784">
            <v>135076</v>
          </cell>
          <cell r="C2784" t="str">
            <v>Bewdley Primary School</v>
          </cell>
          <cell r="D2784" t="str">
            <v>Worcestershire</v>
          </cell>
          <cell r="E2784" t="str">
            <v>Community School</v>
          </cell>
          <cell r="F2784" t="str">
            <v>Primary</v>
          </cell>
        </row>
        <row r="2785">
          <cell r="A2785">
            <v>8853003</v>
          </cell>
          <cell r="B2785">
            <v>116783</v>
          </cell>
          <cell r="C2785" t="str">
            <v>Bewdley, St Anne's CofE First School</v>
          </cell>
          <cell r="D2785" t="str">
            <v>Worcestershire</v>
          </cell>
          <cell r="E2785" t="str">
            <v>Voluntary Controlled School</v>
          </cell>
          <cell r="F2785" t="str">
            <v>Primary</v>
          </cell>
        </row>
        <row r="2786">
          <cell r="A2786">
            <v>8854582</v>
          </cell>
          <cell r="B2786">
            <v>116990</v>
          </cell>
          <cell r="C2786" t="str">
            <v>Bewdley, St Anne's Middle School</v>
          </cell>
          <cell r="D2786" t="str">
            <v>Worcestershire</v>
          </cell>
          <cell r="E2786" t="str">
            <v>Voluntary Controlled School</v>
          </cell>
          <cell r="F2786" t="str">
            <v>Middle Deemed Secondary</v>
          </cell>
        </row>
        <row r="2787">
          <cell r="A2787">
            <v>8852009</v>
          </cell>
          <cell r="B2787">
            <v>116653</v>
          </cell>
          <cell r="C2787" t="str">
            <v>Bewdley, Wribbenhall First School</v>
          </cell>
          <cell r="D2787" t="str">
            <v>Worcestershire</v>
          </cell>
          <cell r="E2787" t="str">
            <v>Community School</v>
          </cell>
          <cell r="F2787" t="str">
            <v>Primary</v>
          </cell>
        </row>
        <row r="2788">
          <cell r="A2788">
            <v>3832260</v>
          </cell>
          <cell r="B2788">
            <v>127880</v>
          </cell>
          <cell r="C2788" t="str">
            <v>Bewerley Street First School</v>
          </cell>
          <cell r="D2788" t="str">
            <v>Leeds</v>
          </cell>
          <cell r="E2788" t="str">
            <v>Community School</v>
          </cell>
          <cell r="F2788" t="str">
            <v>Primary</v>
          </cell>
        </row>
        <row r="2789">
          <cell r="A2789">
            <v>8112705</v>
          </cell>
          <cell r="B2789">
            <v>117828</v>
          </cell>
          <cell r="C2789" t="str">
            <v>Bewholme Primary School</v>
          </cell>
          <cell r="D2789" t="str">
            <v>East Riding of Yorkshire</v>
          </cell>
          <cell r="E2789" t="str">
            <v>Community School</v>
          </cell>
          <cell r="F2789" t="str">
            <v>Primary</v>
          </cell>
        </row>
        <row r="2790">
          <cell r="A2790">
            <v>8732312</v>
          </cell>
          <cell r="B2790">
            <v>110746</v>
          </cell>
          <cell r="C2790" t="str">
            <v>Bewick Bridge Community Primary School</v>
          </cell>
          <cell r="D2790" t="str">
            <v>Cambridgeshire</v>
          </cell>
          <cell r="E2790" t="str">
            <v>Community School</v>
          </cell>
          <cell r="F2790" t="str">
            <v>Primary</v>
          </cell>
        </row>
        <row r="2791">
          <cell r="A2791">
            <v>3922066</v>
          </cell>
          <cell r="B2791">
            <v>128158</v>
          </cell>
          <cell r="C2791" t="str">
            <v>Bewicke First School</v>
          </cell>
          <cell r="D2791" t="str">
            <v>North Tyneside</v>
          </cell>
          <cell r="E2791" t="str">
            <v>Community School</v>
          </cell>
          <cell r="F2791" t="str">
            <v>Primary</v>
          </cell>
        </row>
        <row r="2792">
          <cell r="A2792">
            <v>8082012</v>
          </cell>
          <cell r="B2792">
            <v>111530</v>
          </cell>
          <cell r="C2792" t="str">
            <v>Bewley Infant School</v>
          </cell>
          <cell r="D2792" t="str">
            <v>Stockton-on-Tees</v>
          </cell>
          <cell r="E2792" t="str">
            <v>Community School</v>
          </cell>
          <cell r="F2792" t="str">
            <v>Primary</v>
          </cell>
        </row>
        <row r="2793">
          <cell r="A2793">
            <v>8082011</v>
          </cell>
          <cell r="B2793">
            <v>111529</v>
          </cell>
          <cell r="C2793" t="str">
            <v>Bewley Junior School</v>
          </cell>
          <cell r="D2793" t="str">
            <v>Stockton-on-Tees</v>
          </cell>
          <cell r="E2793" t="str">
            <v>Community School</v>
          </cell>
          <cell r="F2793" t="str">
            <v>Primary</v>
          </cell>
        </row>
        <row r="2794">
          <cell r="A2794">
            <v>8082088</v>
          </cell>
          <cell r="B2794">
            <v>136093</v>
          </cell>
          <cell r="C2794" t="str">
            <v>Bewley Primary School</v>
          </cell>
          <cell r="D2794" t="str">
            <v>Stockton-on-Tees</v>
          </cell>
          <cell r="E2794" t="str">
            <v>Community School</v>
          </cell>
          <cell r="F2794" t="str">
            <v>Primary</v>
          </cell>
        </row>
        <row r="2795">
          <cell r="A2795">
            <v>9064011</v>
          </cell>
          <cell r="B2795">
            <v>128467</v>
          </cell>
          <cell r="C2795" t="str">
            <v>Bewsey County High School</v>
          </cell>
          <cell r="D2795" t="str">
            <v>Pre LGR (1998) Cheshire</v>
          </cell>
          <cell r="E2795" t="str">
            <v>Community School</v>
          </cell>
          <cell r="F2795" t="str">
            <v>Secondary</v>
          </cell>
        </row>
        <row r="2796">
          <cell r="A2796">
            <v>8772013</v>
          </cell>
          <cell r="B2796">
            <v>110971</v>
          </cell>
          <cell r="C2796" t="str">
            <v>Bewsey Lodge Primary School</v>
          </cell>
          <cell r="D2796" t="str">
            <v>Warrington</v>
          </cell>
          <cell r="E2796" t="str">
            <v>Community School</v>
          </cell>
          <cell r="F2796" t="str">
            <v>Primary</v>
          </cell>
        </row>
        <row r="2797">
          <cell r="A2797">
            <v>3942083</v>
          </cell>
          <cell r="B2797">
            <v>136487</v>
          </cell>
          <cell r="C2797" t="str">
            <v>Bexhill Academy</v>
          </cell>
          <cell r="D2797" t="str">
            <v>Sunderland</v>
          </cell>
          <cell r="E2797" t="str">
            <v>Academy Converters</v>
          </cell>
          <cell r="F2797" t="str">
            <v>Primary</v>
          </cell>
        </row>
        <row r="2798">
          <cell r="A2798">
            <v>9144048</v>
          </cell>
          <cell r="B2798">
            <v>128847</v>
          </cell>
          <cell r="C2798" t="str">
            <v>Bexhill College</v>
          </cell>
          <cell r="D2798" t="str">
            <v>Pre LGR (1997) East Sussex</v>
          </cell>
          <cell r="E2798" t="str">
            <v>Community School</v>
          </cell>
          <cell r="F2798" t="str">
            <v>Secondary</v>
          </cell>
        </row>
        <row r="2799">
          <cell r="A2799">
            <v>8458602</v>
          </cell>
          <cell r="B2799">
            <v>130670</v>
          </cell>
          <cell r="C2799" t="str">
            <v>Bexhill College</v>
          </cell>
          <cell r="D2799" t="str">
            <v>East Sussex</v>
          </cell>
          <cell r="E2799" t="str">
            <v>Further Education</v>
          </cell>
          <cell r="F2799" t="str">
            <v>16 Plus</v>
          </cell>
        </row>
        <row r="2800">
          <cell r="A2800">
            <v>8454044</v>
          </cell>
          <cell r="B2800">
            <v>114595</v>
          </cell>
          <cell r="C2800" t="str">
            <v>Bexhill High School</v>
          </cell>
          <cell r="D2800" t="str">
            <v>East Sussex</v>
          </cell>
          <cell r="E2800" t="str">
            <v>Community School</v>
          </cell>
          <cell r="F2800" t="str">
            <v>Secondary</v>
          </cell>
        </row>
        <row r="2801">
          <cell r="A2801">
            <v>3942083</v>
          </cell>
          <cell r="B2801">
            <v>108780</v>
          </cell>
          <cell r="C2801" t="str">
            <v>Bexhill Primary School</v>
          </cell>
          <cell r="D2801" t="str">
            <v>Sunderland</v>
          </cell>
          <cell r="E2801" t="str">
            <v>Community School</v>
          </cell>
          <cell r="F2801" t="str">
            <v>Primary</v>
          </cell>
        </row>
        <row r="2802">
          <cell r="A2802">
            <v>8451108</v>
          </cell>
          <cell r="B2802">
            <v>114360</v>
          </cell>
          <cell r="C2802" t="str">
            <v>Bexhill Tutorial Unit</v>
          </cell>
          <cell r="D2802" t="str">
            <v>East Sussex</v>
          </cell>
          <cell r="E2802" t="str">
            <v>Pupil Referral Unit</v>
          </cell>
          <cell r="F2802" t="str">
            <v>PRU</v>
          </cell>
        </row>
        <row r="2803">
          <cell r="A2803">
            <v>3038000</v>
          </cell>
          <cell r="B2803">
            <v>130428</v>
          </cell>
          <cell r="C2803" t="str">
            <v>Bexley College</v>
          </cell>
          <cell r="D2803" t="str">
            <v>Bexley</v>
          </cell>
          <cell r="E2803" t="str">
            <v>Further Education</v>
          </cell>
          <cell r="F2803" t="str">
            <v>16 Plus</v>
          </cell>
        </row>
        <row r="2804">
          <cell r="A2804">
            <v>3034000</v>
          </cell>
          <cell r="B2804">
            <v>101462</v>
          </cell>
          <cell r="C2804" t="str">
            <v>Bexley Grammar School</v>
          </cell>
          <cell r="D2804" t="str">
            <v>Bexley</v>
          </cell>
          <cell r="E2804" t="str">
            <v>Foundation School</v>
          </cell>
          <cell r="F2804" t="str">
            <v>Secondary</v>
          </cell>
        </row>
        <row r="2805">
          <cell r="A2805">
            <v>3034000</v>
          </cell>
          <cell r="B2805">
            <v>136369</v>
          </cell>
          <cell r="C2805" t="str">
            <v>Bexley Grammar School</v>
          </cell>
          <cell r="D2805" t="str">
            <v>Bexley</v>
          </cell>
          <cell r="E2805" t="str">
            <v>Academy Converters</v>
          </cell>
          <cell r="F2805" t="str">
            <v>Secondary</v>
          </cell>
        </row>
        <row r="2806">
          <cell r="A2806">
            <v>3034002</v>
          </cell>
          <cell r="B2806">
            <v>137138</v>
          </cell>
          <cell r="C2806" t="str">
            <v>Bexleyheath Academy</v>
          </cell>
          <cell r="D2806" t="str">
            <v>Bexley</v>
          </cell>
          <cell r="E2806" t="str">
            <v>Academy Sponsor Led</v>
          </cell>
          <cell r="F2806" t="str">
            <v>Secondary</v>
          </cell>
        </row>
        <row r="2807">
          <cell r="A2807">
            <v>3034024</v>
          </cell>
          <cell r="B2807">
            <v>101470</v>
          </cell>
          <cell r="C2807" t="str">
            <v>Bexleyheath School</v>
          </cell>
          <cell r="D2807" t="str">
            <v>Bexley</v>
          </cell>
          <cell r="E2807" t="str">
            <v>Foundation School</v>
          </cell>
          <cell r="F2807" t="str">
            <v>Secondary</v>
          </cell>
        </row>
        <row r="2808">
          <cell r="A2808">
            <v>9062372</v>
          </cell>
          <cell r="B2808">
            <v>128439</v>
          </cell>
          <cell r="C2808" t="str">
            <v>Bexton County Infant School</v>
          </cell>
          <cell r="D2808" t="str">
            <v>Pre LGR (1998) Cheshire</v>
          </cell>
          <cell r="E2808" t="str">
            <v>Community School</v>
          </cell>
          <cell r="F2808" t="str">
            <v>Primary</v>
          </cell>
        </row>
        <row r="2809">
          <cell r="A2809">
            <v>9062254</v>
          </cell>
          <cell r="B2809">
            <v>128414</v>
          </cell>
          <cell r="C2809" t="str">
            <v>Bexton County Junior School</v>
          </cell>
          <cell r="D2809" t="str">
            <v>Pre LGR (1998) Cheshire</v>
          </cell>
          <cell r="E2809" t="str">
            <v>Community School</v>
          </cell>
          <cell r="F2809" t="str">
            <v>Primary</v>
          </cell>
        </row>
        <row r="2810">
          <cell r="A2810">
            <v>8952715</v>
          </cell>
          <cell r="B2810">
            <v>111232</v>
          </cell>
          <cell r="C2810" t="str">
            <v>Bexton Primary School</v>
          </cell>
          <cell r="D2810" t="str">
            <v>Cheshire East</v>
          </cell>
          <cell r="E2810" t="str">
            <v>Community School</v>
          </cell>
          <cell r="F2810" t="str">
            <v>Primary</v>
          </cell>
        </row>
        <row r="2811">
          <cell r="A2811">
            <v>9354011</v>
          </cell>
          <cell r="B2811">
            <v>124790</v>
          </cell>
          <cell r="C2811" t="str">
            <v>Beyton Middle School</v>
          </cell>
          <cell r="D2811" t="str">
            <v>Suffolk</v>
          </cell>
          <cell r="E2811" t="str">
            <v>Community School</v>
          </cell>
          <cell r="F2811" t="str">
            <v>Middle Deemed Secondary</v>
          </cell>
        </row>
        <row r="2812">
          <cell r="A2812">
            <v>7022089</v>
          </cell>
          <cell r="B2812">
            <v>132370</v>
          </cell>
          <cell r="C2812" t="str">
            <v>BFS Naples</v>
          </cell>
          <cell r="D2812" t="str">
            <v>BFPO Overseas Establishments</v>
          </cell>
          <cell r="E2812" t="str">
            <v>Service Childrens Education</v>
          </cell>
          <cell r="F2812" t="str">
            <v>Not applicable</v>
          </cell>
        </row>
        <row r="2813">
          <cell r="A2813">
            <v>9196228</v>
          </cell>
          <cell r="B2813">
            <v>117654</v>
          </cell>
          <cell r="C2813" t="str">
            <v>Bhaktivedanta Manor School</v>
          </cell>
          <cell r="D2813" t="str">
            <v>Hertfordshire</v>
          </cell>
          <cell r="E2813" t="str">
            <v>Other Independent School</v>
          </cell>
          <cell r="F2813" t="str">
            <v>Not applicable</v>
          </cell>
        </row>
        <row r="2814">
          <cell r="A2814">
            <v>8602306</v>
          </cell>
          <cell r="B2814">
            <v>124139</v>
          </cell>
          <cell r="C2814" t="str">
            <v>Bhylls Acre Primary School</v>
          </cell>
          <cell r="D2814" t="str">
            <v>Staffordshire</v>
          </cell>
          <cell r="E2814" t="str">
            <v>Community School</v>
          </cell>
          <cell r="F2814" t="str">
            <v>Primary</v>
          </cell>
        </row>
        <row r="2815">
          <cell r="A2815">
            <v>9163019</v>
          </cell>
          <cell r="B2815">
            <v>115611</v>
          </cell>
          <cell r="C2815" t="str">
            <v>Bibury Church of England Primary School</v>
          </cell>
          <cell r="D2815" t="str">
            <v>Gloucestershire</v>
          </cell>
          <cell r="E2815" t="str">
            <v>Voluntary Controlled School</v>
          </cell>
          <cell r="F2815" t="str">
            <v>Primary</v>
          </cell>
        </row>
        <row r="2816">
          <cell r="A2816">
            <v>9311104</v>
          </cell>
          <cell r="B2816">
            <v>122989</v>
          </cell>
          <cell r="C2816" t="str">
            <v>Bicester &amp; Kidlington PRU</v>
          </cell>
          <cell r="D2816" t="str">
            <v>Oxfordshire</v>
          </cell>
          <cell r="E2816" t="str">
            <v>Pupil Referral Unit</v>
          </cell>
          <cell r="F2816" t="str">
            <v>PRU</v>
          </cell>
        </row>
        <row r="2817">
          <cell r="A2817">
            <v>9314030</v>
          </cell>
          <cell r="B2817">
            <v>123233</v>
          </cell>
          <cell r="C2817" t="str">
            <v>Bicester Community College</v>
          </cell>
          <cell r="D2817" t="str">
            <v>Oxfordshire</v>
          </cell>
          <cell r="E2817" t="str">
            <v>Community School</v>
          </cell>
          <cell r="F2817" t="str">
            <v>Secondary</v>
          </cell>
        </row>
        <row r="2818">
          <cell r="A2818">
            <v>9256041</v>
          </cell>
          <cell r="B2818">
            <v>130283</v>
          </cell>
          <cell r="C2818" t="str">
            <v>Bicker Preparatory and Early Years School</v>
          </cell>
          <cell r="D2818" t="str">
            <v>Lincolnshire</v>
          </cell>
          <cell r="E2818" t="str">
            <v>Other Independent School</v>
          </cell>
          <cell r="F2818" t="str">
            <v>Not applicable</v>
          </cell>
        </row>
        <row r="2819">
          <cell r="A2819">
            <v>3593361</v>
          </cell>
          <cell r="B2819">
            <v>106470</v>
          </cell>
          <cell r="C2819" t="str">
            <v>Bickershaw CofE Primary School</v>
          </cell>
          <cell r="D2819" t="str">
            <v>Wigan</v>
          </cell>
          <cell r="E2819" t="str">
            <v>Voluntary Aided School</v>
          </cell>
          <cell r="F2819" t="str">
            <v>Primary</v>
          </cell>
        </row>
        <row r="2820">
          <cell r="A2820">
            <v>8883087</v>
          </cell>
          <cell r="B2820">
            <v>119381</v>
          </cell>
          <cell r="C2820" t="str">
            <v>Bickerstaffe Voluntary Controlled Church of England School</v>
          </cell>
          <cell r="D2820" t="str">
            <v>Lancashire</v>
          </cell>
          <cell r="E2820" t="str">
            <v>Voluntary Controlled School</v>
          </cell>
          <cell r="F2820" t="str">
            <v>Primary</v>
          </cell>
        </row>
        <row r="2821">
          <cell r="A2821">
            <v>8953142</v>
          </cell>
          <cell r="B2821">
            <v>111268</v>
          </cell>
          <cell r="C2821" t="str">
            <v>Bickerton Holy Trinity CofE Primary School</v>
          </cell>
          <cell r="D2821" t="str">
            <v>Cheshire East</v>
          </cell>
          <cell r="E2821" t="str">
            <v>Voluntary Controlled School</v>
          </cell>
          <cell r="F2821" t="str">
            <v>Primary</v>
          </cell>
        </row>
        <row r="2822">
          <cell r="A2822">
            <v>8783768</v>
          </cell>
          <cell r="B2822">
            <v>113493</v>
          </cell>
          <cell r="C2822" t="str">
            <v>Bickleigh Down Church of England Primary School</v>
          </cell>
          <cell r="D2822" t="str">
            <v>Devon</v>
          </cell>
          <cell r="E2822" t="str">
            <v>Voluntary Aided School</v>
          </cell>
          <cell r="F2822" t="str">
            <v>Primary</v>
          </cell>
        </row>
        <row r="2823">
          <cell r="A2823">
            <v>9113750</v>
          </cell>
          <cell r="B2823">
            <v>128714</v>
          </cell>
          <cell r="C2823" t="str">
            <v>Bickleigh Down CofE Primary School</v>
          </cell>
          <cell r="D2823" t="str">
            <v>Pre LGR (1998) Devon</v>
          </cell>
          <cell r="E2823" t="str">
            <v>Voluntary Aided School</v>
          </cell>
          <cell r="F2823" t="str">
            <v>Primary</v>
          </cell>
        </row>
        <row r="2824">
          <cell r="A2824">
            <v>8783165</v>
          </cell>
          <cell r="B2824">
            <v>113421</v>
          </cell>
          <cell r="C2824" t="str">
            <v>Bickleigh on Exe Church of England Primary School</v>
          </cell>
          <cell r="D2824" t="str">
            <v>Devon</v>
          </cell>
          <cell r="E2824" t="str">
            <v>Voluntary Controlled School</v>
          </cell>
          <cell r="F2824" t="str">
            <v>Primary</v>
          </cell>
        </row>
        <row r="2825">
          <cell r="A2825">
            <v>9113000</v>
          </cell>
          <cell r="B2825">
            <v>128706</v>
          </cell>
          <cell r="C2825" t="str">
            <v>Bickleigh On Exe CofE First School</v>
          </cell>
          <cell r="D2825" t="str">
            <v>Pre LGR (1998) Devon</v>
          </cell>
          <cell r="E2825" t="str">
            <v>Voluntary Controlled School</v>
          </cell>
          <cell r="F2825" t="str">
            <v>Primary</v>
          </cell>
        </row>
        <row r="2826">
          <cell r="A2826">
            <v>3056002</v>
          </cell>
          <cell r="B2826">
            <v>101682</v>
          </cell>
          <cell r="C2826" t="str">
            <v>Bickley Park School</v>
          </cell>
          <cell r="D2826" t="str">
            <v>Bromley</v>
          </cell>
          <cell r="E2826" t="str">
            <v>Other Independent School</v>
          </cell>
          <cell r="F2826" t="str">
            <v>Not applicable</v>
          </cell>
        </row>
        <row r="2827">
          <cell r="A2827">
            <v>3056071</v>
          </cell>
          <cell r="B2827">
            <v>101691</v>
          </cell>
          <cell r="C2827" t="str">
            <v>Bickley Parva School</v>
          </cell>
          <cell r="D2827" t="str">
            <v>Bromley</v>
          </cell>
          <cell r="E2827" t="str">
            <v>Other Independent School</v>
          </cell>
          <cell r="F2827" t="str">
            <v>Not applicable</v>
          </cell>
        </row>
        <row r="2828">
          <cell r="A2828">
            <v>3052082</v>
          </cell>
          <cell r="B2828">
            <v>131553</v>
          </cell>
          <cell r="C2828" t="str">
            <v>Bickley Primary School</v>
          </cell>
          <cell r="D2828" t="str">
            <v>Bromley</v>
          </cell>
          <cell r="E2828" t="str">
            <v>Community School</v>
          </cell>
          <cell r="F2828" t="str">
            <v>Primary</v>
          </cell>
        </row>
        <row r="2829">
          <cell r="A2829">
            <v>8933012</v>
          </cell>
          <cell r="B2829">
            <v>123461</v>
          </cell>
          <cell r="C2829" t="str">
            <v>Bicton CofE Primary School</v>
          </cell>
          <cell r="D2829" t="str">
            <v>Shropshire</v>
          </cell>
          <cell r="E2829" t="str">
            <v>Voluntary Controlled School</v>
          </cell>
          <cell r="F2829" t="str">
            <v>Primary</v>
          </cell>
        </row>
        <row r="2830">
          <cell r="A2830">
            <v>8788300</v>
          </cell>
          <cell r="B2830">
            <v>130651</v>
          </cell>
          <cell r="C2830" t="str">
            <v>Bicton College</v>
          </cell>
          <cell r="D2830" t="str">
            <v>Devon</v>
          </cell>
          <cell r="E2830" t="str">
            <v>Further Education</v>
          </cell>
          <cell r="F2830" t="str">
            <v>16 Plus</v>
          </cell>
        </row>
        <row r="2831">
          <cell r="A2831">
            <v>8863023</v>
          </cell>
          <cell r="B2831">
            <v>118598</v>
          </cell>
          <cell r="C2831" t="str">
            <v>Bidborough Church of England Voluntary Controlled Primary School</v>
          </cell>
          <cell r="D2831" t="str">
            <v>Kent</v>
          </cell>
          <cell r="E2831" t="str">
            <v>Voluntary Controlled School</v>
          </cell>
          <cell r="F2831" t="str">
            <v>Primary</v>
          </cell>
        </row>
        <row r="2832">
          <cell r="A2832">
            <v>8502396</v>
          </cell>
          <cell r="B2832">
            <v>116084</v>
          </cell>
          <cell r="C2832" t="str">
            <v>Bidbury Infant School</v>
          </cell>
          <cell r="D2832" t="str">
            <v>Hampshire</v>
          </cell>
          <cell r="E2832" t="str">
            <v>Community School</v>
          </cell>
          <cell r="F2832" t="str">
            <v>Primary</v>
          </cell>
        </row>
        <row r="2833">
          <cell r="A2833">
            <v>8502336</v>
          </cell>
          <cell r="B2833">
            <v>116053</v>
          </cell>
          <cell r="C2833" t="str">
            <v>Bidbury Junior School</v>
          </cell>
          <cell r="D2833" t="str">
            <v>Hampshire</v>
          </cell>
          <cell r="E2833" t="str">
            <v>Community School</v>
          </cell>
          <cell r="F2833" t="str">
            <v>Primary</v>
          </cell>
        </row>
        <row r="2834">
          <cell r="A2834">
            <v>8224124</v>
          </cell>
          <cell r="B2834">
            <v>109690</v>
          </cell>
          <cell r="C2834" t="str">
            <v>Biddenham Upper School and Sports College</v>
          </cell>
          <cell r="D2834" t="str">
            <v>Bedford</v>
          </cell>
          <cell r="E2834" t="str">
            <v>Foundation School</v>
          </cell>
          <cell r="F2834" t="str">
            <v>Secondary</v>
          </cell>
        </row>
        <row r="2835">
          <cell r="A2835">
            <v>8653008</v>
          </cell>
          <cell r="B2835">
            <v>126299</v>
          </cell>
          <cell r="C2835" t="str">
            <v>Biddestone CofE (Controlled) Primary School</v>
          </cell>
          <cell r="D2835" t="str">
            <v>Wiltshire</v>
          </cell>
          <cell r="E2835" t="str">
            <v>Voluntary Controlled School</v>
          </cell>
          <cell r="F2835" t="str">
            <v>Primary</v>
          </cell>
        </row>
        <row r="2836">
          <cell r="A2836">
            <v>3932033</v>
          </cell>
          <cell r="B2836">
            <v>108682</v>
          </cell>
          <cell r="C2836" t="str">
            <v>Biddick Hall Infants' School</v>
          </cell>
          <cell r="D2836" t="str">
            <v>South Tyneside</v>
          </cell>
          <cell r="E2836" t="str">
            <v>Community School</v>
          </cell>
          <cell r="F2836" t="str">
            <v>Primary</v>
          </cell>
        </row>
        <row r="2837">
          <cell r="A2837">
            <v>3932028</v>
          </cell>
          <cell r="B2837">
            <v>108678</v>
          </cell>
          <cell r="C2837" t="str">
            <v>Biddick Hall Junior School</v>
          </cell>
          <cell r="D2837" t="str">
            <v>South Tyneside</v>
          </cell>
          <cell r="E2837" t="str">
            <v>Community School</v>
          </cell>
          <cell r="F2837" t="str">
            <v>Primary</v>
          </cell>
        </row>
        <row r="2838">
          <cell r="A2838">
            <v>3942153</v>
          </cell>
          <cell r="B2838">
            <v>108816</v>
          </cell>
          <cell r="C2838" t="str">
            <v>Biddick Primary School</v>
          </cell>
          <cell r="D2838" t="str">
            <v>Sunderland</v>
          </cell>
          <cell r="E2838" t="str">
            <v>Community School</v>
          </cell>
          <cell r="F2838" t="str">
            <v>Primary</v>
          </cell>
        </row>
        <row r="2839">
          <cell r="A2839">
            <v>3944067</v>
          </cell>
          <cell r="B2839">
            <v>108866</v>
          </cell>
          <cell r="C2839" t="str">
            <v>Biddick School Sports College</v>
          </cell>
          <cell r="D2839" t="str">
            <v>Sunderland</v>
          </cell>
          <cell r="E2839" t="str">
            <v>Community School</v>
          </cell>
          <cell r="F2839" t="str">
            <v>Secondary</v>
          </cell>
        </row>
        <row r="2840">
          <cell r="A2840">
            <v>8604143</v>
          </cell>
          <cell r="B2840">
            <v>124427</v>
          </cell>
          <cell r="C2840" t="str">
            <v>Biddulph High School</v>
          </cell>
          <cell r="D2840" t="str">
            <v>Staffordshire</v>
          </cell>
          <cell r="E2840" t="str">
            <v>Community School</v>
          </cell>
          <cell r="F2840" t="str">
            <v>Secondary</v>
          </cell>
        </row>
        <row r="2841">
          <cell r="A2841">
            <v>8604143</v>
          </cell>
          <cell r="B2841">
            <v>137356</v>
          </cell>
          <cell r="C2841" t="str">
            <v>Biddulph High School</v>
          </cell>
          <cell r="D2841" t="str">
            <v>Staffordshire</v>
          </cell>
          <cell r="E2841" t="str">
            <v>Academy Converters</v>
          </cell>
          <cell r="F2841" t="str">
            <v>Secondary</v>
          </cell>
        </row>
        <row r="2842">
          <cell r="A2842">
            <v>8784061</v>
          </cell>
          <cell r="B2842">
            <v>113516</v>
          </cell>
          <cell r="C2842" t="str">
            <v>Bideford College</v>
          </cell>
          <cell r="D2842" t="str">
            <v>Devon</v>
          </cell>
          <cell r="E2842" t="str">
            <v>Community School</v>
          </cell>
          <cell r="F2842" t="str">
            <v>Secondary</v>
          </cell>
        </row>
        <row r="2843">
          <cell r="A2843">
            <v>9373011</v>
          </cell>
          <cell r="B2843">
            <v>125625</v>
          </cell>
          <cell r="C2843" t="str">
            <v>Bidford-on-Avon CofE Primary School</v>
          </cell>
          <cell r="D2843" t="str">
            <v>Warwickshire</v>
          </cell>
          <cell r="E2843" t="str">
            <v>Voluntary Controlled School</v>
          </cell>
          <cell r="F2843" t="str">
            <v>Primary</v>
          </cell>
        </row>
        <row r="2844">
          <cell r="A2844">
            <v>3442251</v>
          </cell>
          <cell r="B2844">
            <v>127382</v>
          </cell>
          <cell r="C2844" t="str">
            <v>Bidston Avenue Infant School</v>
          </cell>
          <cell r="D2844" t="str">
            <v>Wirral</v>
          </cell>
          <cell r="E2844" t="str">
            <v>Community School</v>
          </cell>
          <cell r="F2844" t="str">
            <v>Primary</v>
          </cell>
        </row>
        <row r="2845">
          <cell r="A2845">
            <v>3442269</v>
          </cell>
          <cell r="B2845">
            <v>127383</v>
          </cell>
          <cell r="C2845" t="str">
            <v>Bidston Avenue Junior School</v>
          </cell>
          <cell r="D2845" t="str">
            <v>Wirral</v>
          </cell>
          <cell r="E2845" t="str">
            <v>Community School</v>
          </cell>
          <cell r="F2845" t="str">
            <v>Primary</v>
          </cell>
        </row>
        <row r="2846">
          <cell r="A2846">
            <v>3442275</v>
          </cell>
          <cell r="B2846">
            <v>105060</v>
          </cell>
          <cell r="C2846" t="str">
            <v>Bidston Avenue Primary School</v>
          </cell>
          <cell r="D2846" t="str">
            <v>Wirral</v>
          </cell>
          <cell r="E2846" t="str">
            <v>Community School</v>
          </cell>
          <cell r="F2846" t="str">
            <v>Primary</v>
          </cell>
        </row>
        <row r="2847">
          <cell r="A2847">
            <v>3443000</v>
          </cell>
          <cell r="B2847">
            <v>127384</v>
          </cell>
          <cell r="C2847" t="str">
            <v>Bidston CofE Infant School</v>
          </cell>
          <cell r="D2847" t="str">
            <v>Wirral</v>
          </cell>
          <cell r="E2847" t="str">
            <v>Voluntary Controlled School</v>
          </cell>
          <cell r="F2847" t="str">
            <v>Primary</v>
          </cell>
        </row>
        <row r="2848">
          <cell r="A2848">
            <v>3442001</v>
          </cell>
          <cell r="B2848">
            <v>131281</v>
          </cell>
          <cell r="C2848" t="str">
            <v>Bidston Village CofE (Controlled) Primary School</v>
          </cell>
          <cell r="D2848" t="str">
            <v>Wirral</v>
          </cell>
          <cell r="E2848" t="str">
            <v>Voluntary Controlled School</v>
          </cell>
          <cell r="F2848" t="str">
            <v>Primary</v>
          </cell>
        </row>
        <row r="2849">
          <cell r="A2849">
            <v>8787044</v>
          </cell>
          <cell r="B2849">
            <v>113643</v>
          </cell>
          <cell r="C2849" t="str">
            <v>Bidwell Brook School</v>
          </cell>
          <cell r="D2849" t="str">
            <v>Devon</v>
          </cell>
          <cell r="E2849" t="str">
            <v>Community Special School</v>
          </cell>
          <cell r="F2849" t="str">
            <v>Special</v>
          </cell>
        </row>
        <row r="2850">
          <cell r="A2850">
            <v>7022008</v>
          </cell>
          <cell r="B2850">
            <v>132269</v>
          </cell>
          <cell r="C2850" t="str">
            <v>Bielefeld Primary School</v>
          </cell>
          <cell r="D2850" t="str">
            <v>BFPO Overseas Establishments</v>
          </cell>
          <cell r="E2850" t="str">
            <v>Service Childrens Education</v>
          </cell>
          <cell r="F2850" t="str">
            <v>Not applicable</v>
          </cell>
        </row>
        <row r="2851">
          <cell r="A2851">
            <v>3803300</v>
          </cell>
          <cell r="B2851">
            <v>107318</v>
          </cell>
          <cell r="C2851" t="str">
            <v>Bierley CofE First School</v>
          </cell>
          <cell r="D2851" t="str">
            <v>Bradford</v>
          </cell>
          <cell r="E2851" t="str">
            <v>Voluntary Aided School</v>
          </cell>
          <cell r="F2851" t="str">
            <v>Primary</v>
          </cell>
        </row>
        <row r="2852">
          <cell r="A2852">
            <v>8253022</v>
          </cell>
          <cell r="B2852">
            <v>110417</v>
          </cell>
          <cell r="C2852" t="str">
            <v>Bierton Church of England Combined School</v>
          </cell>
          <cell r="D2852" t="str">
            <v>Buckinghamshire</v>
          </cell>
          <cell r="E2852" t="str">
            <v>Voluntary Controlled School</v>
          </cell>
          <cell r="F2852" t="str">
            <v>Primary</v>
          </cell>
        </row>
        <row r="2853">
          <cell r="A2853">
            <v>8924072</v>
          </cell>
          <cell r="B2853">
            <v>122844</v>
          </cell>
          <cell r="C2853" t="str">
            <v>Big Wood School</v>
          </cell>
          <cell r="D2853" t="str">
            <v>Nottingham</v>
          </cell>
          <cell r="E2853" t="str">
            <v>Community School</v>
          </cell>
          <cell r="F2853" t="str">
            <v>Secondary</v>
          </cell>
        </row>
        <row r="2854">
          <cell r="A2854">
            <v>8303040</v>
          </cell>
          <cell r="B2854">
            <v>112822</v>
          </cell>
          <cell r="C2854" t="str">
            <v>Biggin CofE Primary School</v>
          </cell>
          <cell r="D2854" t="str">
            <v>Derbyshire</v>
          </cell>
          <cell r="E2854" t="str">
            <v>Voluntary Controlled School</v>
          </cell>
          <cell r="F2854" t="str">
            <v>Primary</v>
          </cell>
        </row>
        <row r="2855">
          <cell r="A2855">
            <v>3052032</v>
          </cell>
          <cell r="B2855">
            <v>101608</v>
          </cell>
          <cell r="C2855" t="str">
            <v>Biggin Hill Infant School</v>
          </cell>
          <cell r="D2855" t="str">
            <v>Bromley</v>
          </cell>
          <cell r="E2855" t="str">
            <v>Community School</v>
          </cell>
          <cell r="F2855" t="str">
            <v>Primary</v>
          </cell>
        </row>
        <row r="2856">
          <cell r="A2856">
            <v>9204483</v>
          </cell>
          <cell r="B2856">
            <v>129312</v>
          </cell>
          <cell r="C2856" t="str">
            <v>Biggin Hill Junior High School</v>
          </cell>
          <cell r="D2856" t="str">
            <v>Pre LGR (1996) Humberside</v>
          </cell>
          <cell r="E2856" t="str">
            <v>Community School</v>
          </cell>
          <cell r="F2856" t="str">
            <v>Secondary</v>
          </cell>
        </row>
        <row r="2857">
          <cell r="A2857">
            <v>3052078</v>
          </cell>
          <cell r="B2857">
            <v>101639</v>
          </cell>
          <cell r="C2857" t="str">
            <v>Biggin Hill Junior School</v>
          </cell>
          <cell r="D2857" t="str">
            <v>Bromley</v>
          </cell>
          <cell r="E2857" t="str">
            <v>Community School</v>
          </cell>
          <cell r="F2857" t="str">
            <v>Primary</v>
          </cell>
        </row>
        <row r="2858">
          <cell r="A2858">
            <v>8102861</v>
          </cell>
          <cell r="B2858">
            <v>117901</v>
          </cell>
          <cell r="C2858" t="str">
            <v>Biggin Hill Primary School</v>
          </cell>
          <cell r="D2858" t="str">
            <v>Kingston upon Hull City of</v>
          </cell>
          <cell r="E2858" t="str">
            <v>Community School</v>
          </cell>
          <cell r="F2858" t="str">
            <v>Primary</v>
          </cell>
        </row>
        <row r="2859">
          <cell r="A2859">
            <v>3053510</v>
          </cell>
          <cell r="B2859">
            <v>135320</v>
          </cell>
          <cell r="C2859" t="str">
            <v>Biggin Hill Primary School</v>
          </cell>
          <cell r="D2859" t="str">
            <v>Bromley</v>
          </cell>
          <cell r="E2859" t="str">
            <v>Community School</v>
          </cell>
          <cell r="F2859" t="str">
            <v>Primary</v>
          </cell>
        </row>
        <row r="2860">
          <cell r="A2860">
            <v>3053510</v>
          </cell>
          <cell r="B2860">
            <v>137244</v>
          </cell>
          <cell r="C2860" t="str">
            <v>Biggin Hill Primary School</v>
          </cell>
          <cell r="D2860" t="str">
            <v>Bromley</v>
          </cell>
          <cell r="E2860" t="str">
            <v>Academy Converters</v>
          </cell>
          <cell r="F2860" t="str">
            <v>Primary</v>
          </cell>
        </row>
        <row r="2861">
          <cell r="A2861">
            <v>2112917</v>
          </cell>
          <cell r="B2861">
            <v>100939</v>
          </cell>
          <cell r="C2861" t="str">
            <v>Bigland Green Primary School</v>
          </cell>
          <cell r="D2861" t="str">
            <v>Tower Hamlets</v>
          </cell>
          <cell r="E2861" t="str">
            <v>Community School</v>
          </cell>
          <cell r="F2861" t="str">
            <v>Primary</v>
          </cell>
        </row>
        <row r="2862">
          <cell r="A2862">
            <v>9262294</v>
          </cell>
          <cell r="B2862">
            <v>120931</v>
          </cell>
          <cell r="C2862" t="str">
            <v>Bignold First School and Nursery</v>
          </cell>
          <cell r="D2862" t="str">
            <v>Norfolk</v>
          </cell>
          <cell r="E2862" t="str">
            <v>Community School</v>
          </cell>
          <cell r="F2862" t="str">
            <v>Primary</v>
          </cell>
        </row>
        <row r="2863">
          <cell r="A2863">
            <v>9262293</v>
          </cell>
          <cell r="B2863">
            <v>120930</v>
          </cell>
          <cell r="C2863" t="str">
            <v>Bignold Middle School</v>
          </cell>
          <cell r="D2863" t="str">
            <v>Norfolk</v>
          </cell>
          <cell r="E2863" t="str">
            <v>Community School</v>
          </cell>
          <cell r="F2863" t="str">
            <v>Middle Deemed Primary</v>
          </cell>
        </row>
        <row r="2864">
          <cell r="A2864">
            <v>9263421</v>
          </cell>
          <cell r="B2864">
            <v>134955</v>
          </cell>
          <cell r="C2864" t="str">
            <v>Bignold Primary School</v>
          </cell>
          <cell r="D2864" t="str">
            <v>Norfolk</v>
          </cell>
          <cell r="E2864" t="str">
            <v>Community School</v>
          </cell>
          <cell r="F2864" t="str">
            <v>Primary</v>
          </cell>
        </row>
        <row r="2865">
          <cell r="A2865">
            <v>6692374</v>
          </cell>
          <cell r="B2865">
            <v>400834</v>
          </cell>
          <cell r="C2865" t="str">
            <v>Bigyn County Primary</v>
          </cell>
          <cell r="D2865" t="str">
            <v>Carmarthenshire</v>
          </cell>
          <cell r="E2865" t="str">
            <v>Welsh Establishment</v>
          </cell>
          <cell r="F2865" t="str">
            <v>Primary</v>
          </cell>
        </row>
        <row r="2866">
          <cell r="A2866">
            <v>8928601</v>
          </cell>
          <cell r="B2866">
            <v>130787</v>
          </cell>
          <cell r="C2866" t="str">
            <v>Bilborough College</v>
          </cell>
          <cell r="D2866" t="str">
            <v>Nottingham</v>
          </cell>
          <cell r="E2866" t="str">
            <v>Further Education</v>
          </cell>
          <cell r="F2866" t="str">
            <v>16 Plus</v>
          </cell>
        </row>
        <row r="2867">
          <cell r="A2867">
            <v>9304003</v>
          </cell>
          <cell r="B2867">
            <v>129727</v>
          </cell>
          <cell r="C2867" t="str">
            <v>Bilborough Sixth Form College</v>
          </cell>
          <cell r="D2867" t="str">
            <v>Pre LGR (1998) Nottinghamshire</v>
          </cell>
          <cell r="E2867" t="str">
            <v>Community School</v>
          </cell>
          <cell r="F2867" t="str">
            <v>Secondary</v>
          </cell>
        </row>
        <row r="2868">
          <cell r="A2868">
            <v>8604517</v>
          </cell>
          <cell r="B2868">
            <v>124453</v>
          </cell>
          <cell r="C2868" t="str">
            <v>Bilbrook CofE (C) Middle School</v>
          </cell>
          <cell r="D2868" t="str">
            <v>Staffordshire</v>
          </cell>
          <cell r="E2868" t="str">
            <v>Voluntary Controlled School</v>
          </cell>
          <cell r="F2868" t="str">
            <v>Middle Deemed Secondary</v>
          </cell>
        </row>
        <row r="2869">
          <cell r="A2869">
            <v>9352002</v>
          </cell>
          <cell r="B2869">
            <v>124531</v>
          </cell>
          <cell r="C2869" t="str">
            <v>Bildeston Primary School</v>
          </cell>
          <cell r="D2869" t="str">
            <v>Suffolk</v>
          </cell>
          <cell r="E2869" t="str">
            <v>Community School</v>
          </cell>
          <cell r="F2869" t="str">
            <v>Primary</v>
          </cell>
        </row>
        <row r="2870">
          <cell r="A2870">
            <v>3902197</v>
          </cell>
          <cell r="B2870">
            <v>108357</v>
          </cell>
          <cell r="C2870" t="str">
            <v>Bill Quay Primary School</v>
          </cell>
          <cell r="D2870" t="str">
            <v>Gateshead</v>
          </cell>
          <cell r="E2870" t="str">
            <v>Community School</v>
          </cell>
          <cell r="F2870" t="str">
            <v>Primary</v>
          </cell>
        </row>
        <row r="2871">
          <cell r="A2871">
            <v>8553011</v>
          </cell>
          <cell r="B2871">
            <v>120115</v>
          </cell>
          <cell r="C2871" t="str">
            <v>Billesdon Parochial Primary School</v>
          </cell>
          <cell r="D2871" t="str">
            <v>Leicestershire</v>
          </cell>
          <cell r="E2871" t="str">
            <v>Voluntary Controlled School</v>
          </cell>
          <cell r="F2871" t="str">
            <v>Primary</v>
          </cell>
        </row>
        <row r="2872">
          <cell r="A2872">
            <v>3302023</v>
          </cell>
          <cell r="B2872">
            <v>103167</v>
          </cell>
          <cell r="C2872" t="str">
            <v>Billesley Infant School</v>
          </cell>
          <cell r="D2872" t="str">
            <v>Birmingham</v>
          </cell>
          <cell r="E2872" t="str">
            <v>Community School</v>
          </cell>
          <cell r="F2872" t="str">
            <v>Primary</v>
          </cell>
        </row>
        <row r="2873">
          <cell r="A2873">
            <v>3302022</v>
          </cell>
          <cell r="B2873">
            <v>103166</v>
          </cell>
          <cell r="C2873" t="str">
            <v>Billesley Junior School</v>
          </cell>
          <cell r="D2873" t="str">
            <v>Birmingham</v>
          </cell>
          <cell r="E2873" t="str">
            <v>Community School</v>
          </cell>
          <cell r="F2873" t="str">
            <v>Primary</v>
          </cell>
        </row>
        <row r="2874">
          <cell r="A2874">
            <v>3302476</v>
          </cell>
          <cell r="B2874">
            <v>131942</v>
          </cell>
          <cell r="C2874" t="str">
            <v>Billesley Primary School</v>
          </cell>
          <cell r="D2874" t="str">
            <v>Birmingham</v>
          </cell>
          <cell r="E2874" t="str">
            <v>Community School</v>
          </cell>
          <cell r="F2874" t="str">
            <v>Primary</v>
          </cell>
        </row>
        <row r="2875">
          <cell r="A2875">
            <v>9287020</v>
          </cell>
          <cell r="B2875">
            <v>122164</v>
          </cell>
          <cell r="C2875" t="str">
            <v>Billing Brook Special School</v>
          </cell>
          <cell r="D2875" t="str">
            <v>Northamptonshire</v>
          </cell>
          <cell r="E2875" t="str">
            <v>Community Special School</v>
          </cell>
          <cell r="F2875" t="str">
            <v>Special</v>
          </cell>
        </row>
        <row r="2876">
          <cell r="A2876">
            <v>9252003</v>
          </cell>
          <cell r="B2876">
            <v>120371</v>
          </cell>
          <cell r="C2876" t="str">
            <v>Billingborough Primary School</v>
          </cell>
          <cell r="D2876" t="str">
            <v>Lincolnshire</v>
          </cell>
          <cell r="E2876" t="str">
            <v>Community School</v>
          </cell>
          <cell r="F2876" t="str">
            <v>Primary</v>
          </cell>
        </row>
        <row r="2877">
          <cell r="A2877">
            <v>8084139</v>
          </cell>
          <cell r="B2877">
            <v>111754</v>
          </cell>
          <cell r="C2877" t="str">
            <v>Billingham Campus School</v>
          </cell>
          <cell r="D2877" t="str">
            <v>Stockton-on-Tees</v>
          </cell>
          <cell r="E2877" t="str">
            <v>Community School</v>
          </cell>
          <cell r="F2877" t="str">
            <v>Secondary</v>
          </cell>
        </row>
        <row r="2878">
          <cell r="A2878">
            <v>8081000</v>
          </cell>
          <cell r="B2878">
            <v>111518</v>
          </cell>
          <cell r="C2878" t="str">
            <v>Billingham Nursery School</v>
          </cell>
          <cell r="D2878" t="str">
            <v>Stockton-on-Tees</v>
          </cell>
          <cell r="E2878" t="str">
            <v>LA Nursery School</v>
          </cell>
          <cell r="F2878" t="str">
            <v>Nursery</v>
          </cell>
        </row>
        <row r="2879">
          <cell r="A2879">
            <v>8082005</v>
          </cell>
          <cell r="B2879">
            <v>111524</v>
          </cell>
          <cell r="C2879" t="str">
            <v>Billingham South Community Primary School</v>
          </cell>
          <cell r="D2879" t="str">
            <v>Stockton-on-Tees</v>
          </cell>
          <cell r="E2879" t="str">
            <v>Community School</v>
          </cell>
          <cell r="F2879" t="str">
            <v>Primary</v>
          </cell>
        </row>
        <row r="2880">
          <cell r="A2880">
            <v>9382187</v>
          </cell>
          <cell r="B2880">
            <v>125923</v>
          </cell>
          <cell r="C2880" t="str">
            <v>Billingshurst Infant School</v>
          </cell>
          <cell r="D2880" t="str">
            <v>West Sussex</v>
          </cell>
          <cell r="E2880" t="str">
            <v>Community School</v>
          </cell>
          <cell r="F2880" t="str">
            <v>Primary</v>
          </cell>
        </row>
        <row r="2881">
          <cell r="A2881">
            <v>9382128</v>
          </cell>
          <cell r="B2881">
            <v>125884</v>
          </cell>
          <cell r="C2881" t="str">
            <v>Billingshurst Junior School</v>
          </cell>
          <cell r="D2881" t="str">
            <v>West Sussex</v>
          </cell>
          <cell r="E2881" t="str">
            <v>Community School</v>
          </cell>
          <cell r="F2881" t="str">
            <v>Primary</v>
          </cell>
        </row>
        <row r="2882">
          <cell r="A2882">
            <v>9383376</v>
          </cell>
          <cell r="B2882">
            <v>135813</v>
          </cell>
          <cell r="C2882" t="str">
            <v>Billingshurst Primary School</v>
          </cell>
          <cell r="D2882" t="str">
            <v>West Sussex</v>
          </cell>
          <cell r="E2882" t="str">
            <v>Community School</v>
          </cell>
          <cell r="F2882" t="str">
            <v>Primary</v>
          </cell>
        </row>
        <row r="2883">
          <cell r="A2883">
            <v>8883516</v>
          </cell>
          <cell r="B2883">
            <v>119519</v>
          </cell>
          <cell r="C2883" t="str">
            <v>Bilsborrow John Cross Church of England Primary School</v>
          </cell>
          <cell r="D2883" t="str">
            <v>Lancashire</v>
          </cell>
          <cell r="E2883" t="str">
            <v>Voluntary Aided School</v>
          </cell>
          <cell r="F2883" t="str">
            <v>Primary</v>
          </cell>
        </row>
        <row r="2884">
          <cell r="A2884">
            <v>8153012</v>
          </cell>
          <cell r="B2884">
            <v>121480</v>
          </cell>
          <cell r="C2884" t="str">
            <v>Bilsdale Midcable Chop Gate Church of England Voluntary Controlled Primary School</v>
          </cell>
          <cell r="D2884" t="str">
            <v>North Yorkshire</v>
          </cell>
          <cell r="E2884" t="str">
            <v>Voluntary Controlled School</v>
          </cell>
          <cell r="F2884" t="str">
            <v>Primary</v>
          </cell>
        </row>
        <row r="2885">
          <cell r="A2885">
            <v>9302689</v>
          </cell>
          <cell r="B2885">
            <v>122619</v>
          </cell>
          <cell r="C2885" t="str">
            <v>Bilsthorpe Infant School</v>
          </cell>
          <cell r="D2885" t="str">
            <v>Pre LGR (1998) Nottinghamshire</v>
          </cell>
          <cell r="E2885" t="str">
            <v>Community School</v>
          </cell>
          <cell r="F2885" t="str">
            <v>Primary</v>
          </cell>
        </row>
        <row r="2886">
          <cell r="A2886">
            <v>9302688</v>
          </cell>
          <cell r="B2886">
            <v>122618</v>
          </cell>
          <cell r="C2886" t="str">
            <v>Bilsthorpe Junior School</v>
          </cell>
          <cell r="D2886" t="str">
            <v>Pre LGR (1998) Nottinghamshire</v>
          </cell>
          <cell r="E2886" t="str">
            <v>Community School</v>
          </cell>
          <cell r="F2886" t="str">
            <v>Primary</v>
          </cell>
        </row>
        <row r="2887">
          <cell r="A2887">
            <v>3363024</v>
          </cell>
          <cell r="B2887">
            <v>130305</v>
          </cell>
          <cell r="C2887" t="str">
            <v>Bilston Church of England Primary School</v>
          </cell>
          <cell r="D2887" t="str">
            <v>Wolverhampton</v>
          </cell>
          <cell r="E2887" t="str">
            <v>Voluntary Controlled School</v>
          </cell>
          <cell r="F2887" t="str">
            <v>Primary</v>
          </cell>
        </row>
        <row r="2888">
          <cell r="A2888">
            <v>3368004</v>
          </cell>
          <cell r="B2888">
            <v>130485</v>
          </cell>
          <cell r="C2888" t="str">
            <v>Bilston Community College</v>
          </cell>
          <cell r="D2888" t="str">
            <v>Wolverhampton</v>
          </cell>
          <cell r="E2888" t="str">
            <v>Further Education</v>
          </cell>
          <cell r="F2888" t="str">
            <v>16 Plus</v>
          </cell>
        </row>
        <row r="2889">
          <cell r="A2889">
            <v>3361010</v>
          </cell>
          <cell r="B2889">
            <v>132018</v>
          </cell>
          <cell r="C2889" t="str">
            <v>Bilston Nursery School Children's Centre</v>
          </cell>
          <cell r="D2889" t="str">
            <v>Wolverhampton</v>
          </cell>
          <cell r="E2889" t="str">
            <v>LA Nursery School</v>
          </cell>
          <cell r="F2889" t="str">
            <v>Nursery</v>
          </cell>
        </row>
        <row r="2890">
          <cell r="A2890">
            <v>9373205</v>
          </cell>
          <cell r="B2890">
            <v>125682</v>
          </cell>
          <cell r="C2890" t="str">
            <v>Bilton CofE Junior School</v>
          </cell>
          <cell r="D2890" t="str">
            <v>Warwickshire</v>
          </cell>
          <cell r="E2890" t="str">
            <v>Voluntary Controlled School</v>
          </cell>
          <cell r="F2890" t="str">
            <v>Primary</v>
          </cell>
        </row>
        <row r="2891">
          <cell r="A2891">
            <v>8112706</v>
          </cell>
          <cell r="B2891">
            <v>117829</v>
          </cell>
          <cell r="C2891" t="str">
            <v>Bilton Community Primary School</v>
          </cell>
          <cell r="D2891" t="str">
            <v>East Riding of Yorkshire</v>
          </cell>
          <cell r="E2891" t="str">
            <v>Community School</v>
          </cell>
          <cell r="F2891" t="str">
            <v>Primary</v>
          </cell>
        </row>
        <row r="2892">
          <cell r="A2892">
            <v>9204453</v>
          </cell>
          <cell r="B2892">
            <v>129290</v>
          </cell>
          <cell r="C2892" t="str">
            <v>Bilton Grange High School</v>
          </cell>
          <cell r="D2892" t="str">
            <v>Pre LGR (1996) Humberside</v>
          </cell>
          <cell r="E2892" t="str">
            <v>Community School</v>
          </cell>
          <cell r="F2892" t="str">
            <v>Secondary</v>
          </cell>
        </row>
        <row r="2893">
          <cell r="A2893">
            <v>9376002</v>
          </cell>
          <cell r="B2893">
            <v>125773</v>
          </cell>
          <cell r="C2893" t="str">
            <v>Bilton Grange School</v>
          </cell>
          <cell r="D2893" t="str">
            <v>Warwickshire</v>
          </cell>
          <cell r="E2893" t="str">
            <v>Other Independent School</v>
          </cell>
          <cell r="F2893" t="str">
            <v>Not applicable</v>
          </cell>
        </row>
        <row r="2894">
          <cell r="A2894">
            <v>9372420</v>
          </cell>
          <cell r="B2894">
            <v>125579</v>
          </cell>
          <cell r="C2894" t="str">
            <v>Bilton Infant School</v>
          </cell>
          <cell r="D2894" t="str">
            <v>Warwickshire</v>
          </cell>
          <cell r="E2894" t="str">
            <v>Community School</v>
          </cell>
          <cell r="F2894" t="str">
            <v>Primary</v>
          </cell>
        </row>
        <row r="2895">
          <cell r="A2895">
            <v>9374238</v>
          </cell>
          <cell r="B2895">
            <v>125749</v>
          </cell>
          <cell r="C2895" t="str">
            <v>Bilton School - A Maths and Computing College</v>
          </cell>
          <cell r="D2895" t="str">
            <v>Warwickshire</v>
          </cell>
          <cell r="E2895" t="str">
            <v>Community School</v>
          </cell>
          <cell r="F2895" t="str">
            <v>Secondary</v>
          </cell>
        </row>
        <row r="2896">
          <cell r="A2896">
            <v>9374238</v>
          </cell>
          <cell r="B2896">
            <v>137691</v>
          </cell>
          <cell r="C2896" t="str">
            <v>Bilton School - A Maths and Computing College</v>
          </cell>
          <cell r="D2896" t="str">
            <v>Warwickshire</v>
          </cell>
          <cell r="E2896" t="str">
            <v>Academy Converters</v>
          </cell>
          <cell r="F2896" t="str">
            <v>Secondary</v>
          </cell>
        </row>
        <row r="2897">
          <cell r="A2897">
            <v>9253116</v>
          </cell>
          <cell r="B2897">
            <v>120565</v>
          </cell>
          <cell r="C2897" t="str">
            <v>Binbrook CofE Primary School</v>
          </cell>
          <cell r="D2897" t="str">
            <v>Lincolnshire</v>
          </cell>
          <cell r="E2897" t="str">
            <v>Voluntary Controlled School</v>
          </cell>
          <cell r="F2897" t="str">
            <v>Primary</v>
          </cell>
        </row>
        <row r="2898">
          <cell r="A2898">
            <v>8352213</v>
          </cell>
          <cell r="B2898">
            <v>113716</v>
          </cell>
          <cell r="C2898" t="str">
            <v>Bincombe Valley Primary School</v>
          </cell>
          <cell r="D2898" t="str">
            <v>Dorset</v>
          </cell>
          <cell r="E2898" t="str">
            <v>Community School</v>
          </cell>
          <cell r="F2898" t="str">
            <v>Primary</v>
          </cell>
        </row>
        <row r="2899">
          <cell r="A2899">
            <v>9333010</v>
          </cell>
          <cell r="B2899">
            <v>123744</v>
          </cell>
          <cell r="C2899" t="str">
            <v>Binegar Church of England VC Primary School</v>
          </cell>
          <cell r="D2899" t="str">
            <v>Somerset</v>
          </cell>
          <cell r="E2899" t="str">
            <v>Voluntary Controlled School</v>
          </cell>
          <cell r="F2899" t="str">
            <v>Primary</v>
          </cell>
        </row>
        <row r="2900">
          <cell r="A2900">
            <v>8673076</v>
          </cell>
          <cell r="B2900">
            <v>109999</v>
          </cell>
          <cell r="C2900" t="str">
            <v>Binfield Church of England Primary School</v>
          </cell>
          <cell r="D2900" t="str">
            <v>Bracknell Forest</v>
          </cell>
          <cell r="E2900" t="str">
            <v>Voluntary Aided School</v>
          </cell>
          <cell r="F2900" t="str">
            <v>Primary</v>
          </cell>
        </row>
        <row r="2901">
          <cell r="A2901">
            <v>8912692</v>
          </cell>
          <cell r="B2901">
            <v>122620</v>
          </cell>
          <cell r="C2901" t="str">
            <v>Bingham Robert Miles Infant School</v>
          </cell>
          <cell r="D2901" t="str">
            <v>Nottinghamshire</v>
          </cell>
          <cell r="E2901" t="str">
            <v>Community School</v>
          </cell>
          <cell r="F2901" t="str">
            <v>Primary</v>
          </cell>
        </row>
        <row r="2902">
          <cell r="A2902">
            <v>3803032</v>
          </cell>
          <cell r="B2902">
            <v>107314</v>
          </cell>
          <cell r="C2902" t="str">
            <v>Bingley CofE First School</v>
          </cell>
          <cell r="D2902" t="str">
            <v>Bradford</v>
          </cell>
          <cell r="E2902" t="str">
            <v>Voluntary Controlled School</v>
          </cell>
          <cell r="F2902" t="str">
            <v>Primary</v>
          </cell>
        </row>
        <row r="2903">
          <cell r="A2903">
            <v>3805400</v>
          </cell>
          <cell r="B2903">
            <v>107439</v>
          </cell>
          <cell r="C2903" t="str">
            <v>Bingley Grammar School</v>
          </cell>
          <cell r="D2903" t="str">
            <v>Bradford</v>
          </cell>
          <cell r="E2903" t="str">
            <v>Voluntary Aided School</v>
          </cell>
          <cell r="F2903" t="str">
            <v>Secondary</v>
          </cell>
        </row>
        <row r="2904">
          <cell r="A2904">
            <v>3362001</v>
          </cell>
          <cell r="B2904">
            <v>127205</v>
          </cell>
          <cell r="C2904" t="str">
            <v>Bingley Infant School</v>
          </cell>
          <cell r="D2904" t="str">
            <v>Wolverhampton</v>
          </cell>
          <cell r="E2904" t="str">
            <v>Community School</v>
          </cell>
          <cell r="F2904" t="str">
            <v>Primary</v>
          </cell>
        </row>
        <row r="2905">
          <cell r="A2905">
            <v>3362104</v>
          </cell>
          <cell r="B2905">
            <v>104343</v>
          </cell>
          <cell r="C2905" t="str">
            <v>Bingley Junior and Infant School</v>
          </cell>
          <cell r="D2905" t="str">
            <v>Wolverhampton</v>
          </cell>
          <cell r="E2905" t="str">
            <v>Community School</v>
          </cell>
          <cell r="F2905" t="str">
            <v>Primary</v>
          </cell>
        </row>
        <row r="2906">
          <cell r="A2906">
            <v>3362000</v>
          </cell>
          <cell r="B2906">
            <v>127204</v>
          </cell>
          <cell r="C2906" t="str">
            <v>Bingley Junior School</v>
          </cell>
          <cell r="D2906" t="str">
            <v>Wolverhampton</v>
          </cell>
          <cell r="E2906" t="str">
            <v>Community School</v>
          </cell>
          <cell r="F2906" t="str">
            <v>Primary</v>
          </cell>
        </row>
        <row r="2907">
          <cell r="A2907">
            <v>9372402</v>
          </cell>
          <cell r="B2907">
            <v>125567</v>
          </cell>
          <cell r="C2907" t="str">
            <v>Binley Woods First School</v>
          </cell>
          <cell r="D2907" t="str">
            <v>Warwickshire</v>
          </cell>
          <cell r="E2907" t="str">
            <v>Community School</v>
          </cell>
          <cell r="F2907" t="str">
            <v>Primary</v>
          </cell>
        </row>
        <row r="2908">
          <cell r="A2908">
            <v>9372592</v>
          </cell>
          <cell r="B2908">
            <v>125599</v>
          </cell>
          <cell r="C2908" t="str">
            <v>Binley Woods Middle School</v>
          </cell>
          <cell r="D2908" t="str">
            <v>Warwickshire</v>
          </cell>
          <cell r="E2908" t="str">
            <v>Community School</v>
          </cell>
          <cell r="F2908" t="str">
            <v>Middle Deemed Primary</v>
          </cell>
        </row>
        <row r="2909">
          <cell r="A2909">
            <v>9372626</v>
          </cell>
          <cell r="B2909">
            <v>130886</v>
          </cell>
          <cell r="C2909" t="str">
            <v>Binley Woods Primary School</v>
          </cell>
          <cell r="D2909" t="str">
            <v>Warwickshire</v>
          </cell>
          <cell r="E2909" t="str">
            <v>Community School</v>
          </cell>
          <cell r="F2909" t="str">
            <v>Primary</v>
          </cell>
        </row>
        <row r="2910">
          <cell r="A2910">
            <v>9365213</v>
          </cell>
          <cell r="B2910">
            <v>125295</v>
          </cell>
          <cell r="C2910" t="str">
            <v>Binscombe Junior School</v>
          </cell>
          <cell r="D2910" t="str">
            <v>Surrey</v>
          </cell>
          <cell r="E2910" t="str">
            <v>Foundation School</v>
          </cell>
          <cell r="F2910" t="str">
            <v>Primary</v>
          </cell>
        </row>
        <row r="2911">
          <cell r="A2911">
            <v>9212038</v>
          </cell>
          <cell r="B2911">
            <v>118176</v>
          </cell>
          <cell r="C2911" t="str">
            <v>Binstead Primary School</v>
          </cell>
          <cell r="D2911" t="str">
            <v>Isle of Wight</v>
          </cell>
          <cell r="E2911" t="str">
            <v>Community School</v>
          </cell>
          <cell r="F2911" t="str">
            <v>Primary</v>
          </cell>
        </row>
        <row r="2912">
          <cell r="A2912">
            <v>8503012</v>
          </cell>
          <cell r="B2912">
            <v>116271</v>
          </cell>
          <cell r="C2912" t="str">
            <v>Binsted Church of England Primary School</v>
          </cell>
          <cell r="D2912" t="str">
            <v>Hampshire</v>
          </cell>
          <cell r="E2912" t="str">
            <v>Voluntary Controlled School</v>
          </cell>
          <cell r="F2912" t="str">
            <v>Primary</v>
          </cell>
        </row>
        <row r="2913">
          <cell r="A2913">
            <v>8813309</v>
          </cell>
          <cell r="B2913">
            <v>115138</v>
          </cell>
          <cell r="C2913" t="str">
            <v>Birch Church of England Voluntary Aided Primary School</v>
          </cell>
          <cell r="D2913" t="str">
            <v>Essex</v>
          </cell>
          <cell r="E2913" t="str">
            <v>Voluntary Aided School</v>
          </cell>
          <cell r="F2913" t="str">
            <v>Primary</v>
          </cell>
        </row>
        <row r="2914">
          <cell r="A2914">
            <v>8692110</v>
          </cell>
          <cell r="B2914">
            <v>109844</v>
          </cell>
          <cell r="C2914" t="str">
            <v>Birch Copse Primary School</v>
          </cell>
          <cell r="D2914" t="str">
            <v>West Berkshire</v>
          </cell>
          <cell r="E2914" t="str">
            <v>Community School</v>
          </cell>
          <cell r="F2914" t="str">
            <v>Primary</v>
          </cell>
        </row>
        <row r="2915">
          <cell r="A2915">
            <v>8672165</v>
          </cell>
          <cell r="B2915">
            <v>109893</v>
          </cell>
          <cell r="C2915" t="str">
            <v>Birch Hill Primary School</v>
          </cell>
          <cell r="D2915" t="str">
            <v>Bracknell Forest</v>
          </cell>
          <cell r="E2915" t="str">
            <v>Community School</v>
          </cell>
          <cell r="F2915" t="str">
            <v>Primary</v>
          </cell>
        </row>
        <row r="2916">
          <cell r="A2916">
            <v>3526045</v>
          </cell>
          <cell r="B2916">
            <v>130386</v>
          </cell>
          <cell r="C2916" t="str">
            <v>Birch House School</v>
          </cell>
          <cell r="D2916" t="str">
            <v>Manchester</v>
          </cell>
          <cell r="E2916" t="str">
            <v>Other Independent Special School</v>
          </cell>
          <cell r="F2916" t="str">
            <v>Not applicable</v>
          </cell>
        </row>
        <row r="2917">
          <cell r="A2917">
            <v>8557215</v>
          </cell>
          <cell r="B2917">
            <v>134640</v>
          </cell>
          <cell r="C2917" t="str">
            <v>Birch Wood (Melton Area Special School)</v>
          </cell>
          <cell r="D2917" t="str">
            <v>Leicestershire</v>
          </cell>
          <cell r="E2917" t="str">
            <v>Community Special School</v>
          </cell>
          <cell r="F2917" t="str">
            <v>Special</v>
          </cell>
        </row>
        <row r="2918">
          <cell r="A2918">
            <v>8813241</v>
          </cell>
          <cell r="B2918">
            <v>115127</v>
          </cell>
          <cell r="C2918" t="str">
            <v>Birchanger Church of England Voluntary Controlled Primary School</v>
          </cell>
          <cell r="D2918" t="str">
            <v>Essex</v>
          </cell>
          <cell r="E2918" t="str">
            <v>Voluntary Controlled School</v>
          </cell>
          <cell r="F2918" t="str">
            <v>Primary</v>
          </cell>
        </row>
        <row r="2919">
          <cell r="A2919">
            <v>9327013</v>
          </cell>
          <cell r="B2919">
            <v>129835</v>
          </cell>
          <cell r="C2919" t="str">
            <v>Birchbank Special School</v>
          </cell>
          <cell r="D2919" t="str">
            <v>Pre LGR (1998) Shropshire</v>
          </cell>
          <cell r="E2919" t="str">
            <v>Community Special School</v>
          </cell>
          <cell r="F2919" t="str">
            <v>Special</v>
          </cell>
        </row>
        <row r="2920">
          <cell r="A2920">
            <v>8852905</v>
          </cell>
          <cell r="B2920">
            <v>135045</v>
          </cell>
          <cell r="C2920" t="str">
            <v>Birchen Coppice Primary School</v>
          </cell>
          <cell r="D2920" t="str">
            <v>Worcestershire</v>
          </cell>
          <cell r="E2920" t="str">
            <v>Community School</v>
          </cell>
          <cell r="F2920" t="str">
            <v>Primary</v>
          </cell>
        </row>
        <row r="2921">
          <cell r="A2921">
            <v>8854418</v>
          </cell>
          <cell r="B2921">
            <v>116967</v>
          </cell>
          <cell r="C2921" t="str">
            <v>Birchensale Middle School</v>
          </cell>
          <cell r="D2921" t="str">
            <v>Worcestershire</v>
          </cell>
          <cell r="E2921" t="str">
            <v>Community School</v>
          </cell>
          <cell r="F2921" t="str">
            <v>Middle Deemed Secondary</v>
          </cell>
        </row>
        <row r="2922">
          <cell r="A2922">
            <v>8602195</v>
          </cell>
          <cell r="B2922">
            <v>124077</v>
          </cell>
          <cell r="C2922" t="str">
            <v>Birches First School</v>
          </cell>
          <cell r="D2922" t="str">
            <v>Staffordshire</v>
          </cell>
          <cell r="E2922" t="str">
            <v>Community School</v>
          </cell>
          <cell r="F2922" t="str">
            <v>Primary</v>
          </cell>
        </row>
        <row r="2923">
          <cell r="A2923">
            <v>3302025</v>
          </cell>
          <cell r="B2923">
            <v>103169</v>
          </cell>
          <cell r="C2923" t="str">
            <v>Birches Green Infant School</v>
          </cell>
          <cell r="D2923" t="str">
            <v>Birmingham</v>
          </cell>
          <cell r="E2923" t="str">
            <v>Community School</v>
          </cell>
          <cell r="F2923" t="str">
            <v>Primary</v>
          </cell>
        </row>
        <row r="2924">
          <cell r="A2924">
            <v>3302024</v>
          </cell>
          <cell r="B2924">
            <v>103168</v>
          </cell>
          <cell r="C2924" t="str">
            <v>Birches Green Junior School</v>
          </cell>
          <cell r="D2924" t="str">
            <v>Birmingham</v>
          </cell>
          <cell r="E2924" t="str">
            <v>Community School</v>
          </cell>
          <cell r="F2924" t="str">
            <v>Primary</v>
          </cell>
        </row>
        <row r="2925">
          <cell r="A2925">
            <v>8614046</v>
          </cell>
          <cell r="B2925">
            <v>124390</v>
          </cell>
          <cell r="C2925" t="str">
            <v>Birches Head High School</v>
          </cell>
          <cell r="D2925" t="str">
            <v>Stoke-on-Trent</v>
          </cell>
          <cell r="E2925" t="str">
            <v>Foundation School</v>
          </cell>
          <cell r="F2925" t="str">
            <v>Secondary</v>
          </cell>
        </row>
        <row r="2926">
          <cell r="A2926">
            <v>9332320</v>
          </cell>
          <cell r="B2926">
            <v>123730</v>
          </cell>
          <cell r="C2926" t="str">
            <v>Birchfield Community Primary School</v>
          </cell>
          <cell r="D2926" t="str">
            <v>Somerset</v>
          </cell>
          <cell r="E2926" t="str">
            <v>Community School</v>
          </cell>
          <cell r="F2926" t="str">
            <v>Primary</v>
          </cell>
        </row>
        <row r="2927">
          <cell r="A2927">
            <v>3302297</v>
          </cell>
          <cell r="B2927">
            <v>103321</v>
          </cell>
          <cell r="C2927" t="str">
            <v>Birchfield Community School</v>
          </cell>
          <cell r="D2927" t="str">
            <v>Birmingham</v>
          </cell>
          <cell r="E2927" t="str">
            <v>Community School</v>
          </cell>
          <cell r="F2927" t="str">
            <v>Primary</v>
          </cell>
        </row>
        <row r="2928">
          <cell r="A2928">
            <v>3412016</v>
          </cell>
          <cell r="B2928">
            <v>127255</v>
          </cell>
          <cell r="C2928" t="str">
            <v>Birchfield County Infant School</v>
          </cell>
          <cell r="D2928" t="str">
            <v>Liverpool</v>
          </cell>
          <cell r="E2928" t="str">
            <v>Community School</v>
          </cell>
          <cell r="F2928" t="str">
            <v>Primary</v>
          </cell>
        </row>
        <row r="2929">
          <cell r="A2929">
            <v>3306083</v>
          </cell>
          <cell r="B2929">
            <v>103591</v>
          </cell>
          <cell r="C2929" t="str">
            <v>Birchfield Independent Girls' School</v>
          </cell>
          <cell r="D2929" t="str">
            <v>Birmingham</v>
          </cell>
          <cell r="E2929" t="str">
            <v>Other Independent School</v>
          </cell>
          <cell r="F2929" t="str">
            <v>Not applicable</v>
          </cell>
        </row>
        <row r="2930">
          <cell r="A2930">
            <v>8761006</v>
          </cell>
          <cell r="B2930">
            <v>110958</v>
          </cell>
          <cell r="C2930" t="str">
            <v>Birchfield Nursery School</v>
          </cell>
          <cell r="D2930" t="str">
            <v>Halton</v>
          </cell>
          <cell r="E2930" t="str">
            <v>LA Nursery School</v>
          </cell>
          <cell r="F2930" t="str">
            <v>Nursery</v>
          </cell>
        </row>
        <row r="2931">
          <cell r="A2931">
            <v>3412015</v>
          </cell>
          <cell r="B2931">
            <v>104520</v>
          </cell>
          <cell r="C2931" t="str">
            <v>Birchfield Primary School</v>
          </cell>
          <cell r="D2931" t="str">
            <v>Liverpool</v>
          </cell>
          <cell r="E2931" t="str">
            <v>Community School</v>
          </cell>
          <cell r="F2931" t="str">
            <v>Primary</v>
          </cell>
        </row>
        <row r="2932">
          <cell r="A2932">
            <v>3832369</v>
          </cell>
          <cell r="B2932">
            <v>107863</v>
          </cell>
          <cell r="C2932" t="str">
            <v>Birchfield Primary School</v>
          </cell>
          <cell r="D2932" t="str">
            <v>Leeds</v>
          </cell>
          <cell r="E2932" t="str">
            <v>Community School</v>
          </cell>
          <cell r="F2932" t="str">
            <v>Primary</v>
          </cell>
        </row>
        <row r="2933">
          <cell r="A2933">
            <v>8936014</v>
          </cell>
          <cell r="B2933">
            <v>123616</v>
          </cell>
          <cell r="C2933" t="str">
            <v>Birchfield School</v>
          </cell>
          <cell r="D2933" t="str">
            <v>Shropshire</v>
          </cell>
          <cell r="E2933" t="str">
            <v>Other Independent School</v>
          </cell>
          <cell r="F2933" t="str">
            <v>Not applicable</v>
          </cell>
        </row>
        <row r="2934">
          <cell r="A2934">
            <v>3522312</v>
          </cell>
          <cell r="B2934">
            <v>105475</v>
          </cell>
          <cell r="C2934" t="str">
            <v>Birchfields Infants' School</v>
          </cell>
          <cell r="D2934" t="str">
            <v>Manchester</v>
          </cell>
          <cell r="E2934" t="str">
            <v>Community School</v>
          </cell>
          <cell r="F2934" t="str">
            <v>Primary</v>
          </cell>
        </row>
        <row r="2935">
          <cell r="A2935">
            <v>3522035</v>
          </cell>
          <cell r="B2935">
            <v>105396</v>
          </cell>
          <cell r="C2935" t="str">
            <v>Birchfields Junior School</v>
          </cell>
          <cell r="D2935" t="str">
            <v>Manchester</v>
          </cell>
          <cell r="E2935" t="str">
            <v>Community School</v>
          </cell>
          <cell r="F2935" t="str">
            <v>Primary</v>
          </cell>
        </row>
        <row r="2936">
          <cell r="A2936">
            <v>3522328</v>
          </cell>
          <cell r="B2936">
            <v>130380</v>
          </cell>
          <cell r="C2936" t="str">
            <v>Birchfields Primary School</v>
          </cell>
          <cell r="D2936" t="str">
            <v>Manchester</v>
          </cell>
          <cell r="E2936" t="str">
            <v>Community School</v>
          </cell>
          <cell r="F2936" t="str">
            <v>Primary</v>
          </cell>
        </row>
        <row r="2937">
          <cell r="A2937">
            <v>6704075</v>
          </cell>
          <cell r="B2937">
            <v>401774</v>
          </cell>
          <cell r="C2937" t="str">
            <v>Birchgrove Comprehensive School</v>
          </cell>
          <cell r="D2937" t="str">
            <v>Swansea</v>
          </cell>
          <cell r="E2937" t="str">
            <v>Welsh Establishment</v>
          </cell>
          <cell r="F2937" t="str">
            <v>Secondary</v>
          </cell>
        </row>
        <row r="2938">
          <cell r="A2938">
            <v>6702087</v>
          </cell>
          <cell r="B2938">
            <v>400901</v>
          </cell>
          <cell r="C2938" t="str">
            <v>Birchgrove Infants School</v>
          </cell>
          <cell r="D2938" t="str">
            <v>Swansea</v>
          </cell>
          <cell r="E2938" t="str">
            <v>Welsh Establishment</v>
          </cell>
          <cell r="F2938" t="str">
            <v>Primary</v>
          </cell>
        </row>
        <row r="2939">
          <cell r="A2939">
            <v>6702097</v>
          </cell>
          <cell r="B2939">
            <v>400906</v>
          </cell>
          <cell r="C2939" t="str">
            <v>Birchgrove Junior School</v>
          </cell>
          <cell r="D2939" t="str">
            <v>Swansea</v>
          </cell>
          <cell r="E2939" t="str">
            <v>Welsh Establishment</v>
          </cell>
          <cell r="F2939" t="str">
            <v>Primary</v>
          </cell>
        </row>
        <row r="2940">
          <cell r="A2940">
            <v>6702236</v>
          </cell>
          <cell r="B2940">
            <v>402086</v>
          </cell>
          <cell r="C2940" t="str">
            <v>Birchgrove Primary</v>
          </cell>
          <cell r="D2940" t="str">
            <v>Swansea</v>
          </cell>
          <cell r="E2940" t="str">
            <v>Welsh Establishment</v>
          </cell>
          <cell r="F2940" t="str">
            <v>Primary</v>
          </cell>
        </row>
        <row r="2941">
          <cell r="A2941">
            <v>6812011</v>
          </cell>
          <cell r="B2941">
            <v>401563</v>
          </cell>
          <cell r="C2941" t="str">
            <v>Birchgrove Primary School</v>
          </cell>
          <cell r="D2941" t="str">
            <v>Cardiff</v>
          </cell>
          <cell r="E2941" t="str">
            <v>Welsh Establishment</v>
          </cell>
          <cell r="F2941" t="str">
            <v>Primary</v>
          </cell>
        </row>
        <row r="2942">
          <cell r="A2942">
            <v>3353114</v>
          </cell>
          <cell r="B2942">
            <v>104229</v>
          </cell>
          <cell r="C2942" t="str">
            <v>Birchills Church of England Primary Community School</v>
          </cell>
          <cell r="D2942" t="str">
            <v>Walsall</v>
          </cell>
          <cell r="E2942" t="str">
            <v>Voluntary Controlled School</v>
          </cell>
          <cell r="F2942" t="str">
            <v>Primary</v>
          </cell>
        </row>
        <row r="2943">
          <cell r="A2943">
            <v>3353004</v>
          </cell>
          <cell r="B2943">
            <v>127197</v>
          </cell>
          <cell r="C2943" t="str">
            <v>Birchills CofE Infant School</v>
          </cell>
          <cell r="D2943" t="str">
            <v>Walsall</v>
          </cell>
          <cell r="E2943" t="str">
            <v>Voluntary Controlled School</v>
          </cell>
          <cell r="F2943" t="str">
            <v>Primary</v>
          </cell>
        </row>
        <row r="2944">
          <cell r="A2944">
            <v>3353006</v>
          </cell>
          <cell r="B2944">
            <v>127198</v>
          </cell>
          <cell r="C2944" t="str">
            <v>Birchills CofE Junior School</v>
          </cell>
          <cell r="D2944" t="str">
            <v>Walsall</v>
          </cell>
          <cell r="E2944" t="str">
            <v>Voluntary Controlled School</v>
          </cell>
          <cell r="F2944" t="str">
            <v>Primary</v>
          </cell>
        </row>
        <row r="2945">
          <cell r="A2945">
            <v>8863178</v>
          </cell>
          <cell r="B2945">
            <v>118693</v>
          </cell>
          <cell r="C2945" t="str">
            <v>Birchington Church of England Primary School</v>
          </cell>
          <cell r="D2945" t="str">
            <v>Kent</v>
          </cell>
          <cell r="E2945" t="str">
            <v>Voluntary Controlled School</v>
          </cell>
          <cell r="F2945" t="str">
            <v>Primary</v>
          </cell>
        </row>
        <row r="2946">
          <cell r="A2946">
            <v>3331104</v>
          </cell>
          <cell r="B2946">
            <v>132191</v>
          </cell>
          <cell r="C2946" t="str">
            <v>Birchley Pupil Referral Unit</v>
          </cell>
          <cell r="D2946" t="str">
            <v>Sandwell</v>
          </cell>
          <cell r="E2946" t="str">
            <v>Pupil Referral Unit</v>
          </cell>
          <cell r="F2946" t="str">
            <v>PRU</v>
          </cell>
        </row>
        <row r="2947">
          <cell r="A2947">
            <v>3337013</v>
          </cell>
          <cell r="B2947">
            <v>104032</v>
          </cell>
          <cell r="C2947" t="str">
            <v>Birchley School</v>
          </cell>
          <cell r="D2947" t="str">
            <v>Sandwell</v>
          </cell>
          <cell r="E2947" t="str">
            <v>Community Special School</v>
          </cell>
          <cell r="F2947" t="str">
            <v>Special</v>
          </cell>
        </row>
        <row r="2948">
          <cell r="A2948">
            <v>3423450</v>
          </cell>
          <cell r="B2948">
            <v>104813</v>
          </cell>
          <cell r="C2948" t="str">
            <v>Birchley St Mary's Catholic Primary School</v>
          </cell>
          <cell r="D2948" t="str">
            <v>St. Helens</v>
          </cell>
          <cell r="E2948" t="str">
            <v>Voluntary Aided School</v>
          </cell>
          <cell r="F2948" t="str">
            <v>Primary</v>
          </cell>
        </row>
        <row r="2949">
          <cell r="A2949">
            <v>9103011</v>
          </cell>
          <cell r="B2949">
            <v>128624</v>
          </cell>
          <cell r="C2949" t="str">
            <v>Birchover CofE Infant School</v>
          </cell>
          <cell r="D2949" t="str">
            <v>Pre LGR (1997) Derbyshire</v>
          </cell>
          <cell r="E2949" t="str">
            <v>Voluntary Controlled School</v>
          </cell>
          <cell r="F2949" t="str">
            <v>Primary</v>
          </cell>
        </row>
        <row r="2950">
          <cell r="A2950">
            <v>9192007</v>
          </cell>
          <cell r="B2950">
            <v>132105</v>
          </cell>
          <cell r="C2950" t="str">
            <v>Birchwood Avenue Primary School</v>
          </cell>
          <cell r="D2950" t="str">
            <v>Hertfordshire</v>
          </cell>
          <cell r="E2950" t="str">
            <v>Community School</v>
          </cell>
          <cell r="F2950" t="str">
            <v>Primary</v>
          </cell>
        </row>
        <row r="2951">
          <cell r="A2951">
            <v>8773316</v>
          </cell>
          <cell r="B2951">
            <v>111304</v>
          </cell>
          <cell r="C2951" t="str">
            <v>Birchwood CofE Primary School</v>
          </cell>
          <cell r="D2951" t="str">
            <v>Warrington</v>
          </cell>
          <cell r="E2951" t="str">
            <v>Voluntary Aided School</v>
          </cell>
          <cell r="F2951" t="str">
            <v>Primary</v>
          </cell>
        </row>
        <row r="2952">
          <cell r="A2952">
            <v>8774226</v>
          </cell>
          <cell r="B2952">
            <v>111444</v>
          </cell>
          <cell r="C2952" t="str">
            <v>Birchwood Community High School</v>
          </cell>
          <cell r="D2952" t="str">
            <v>Warrington</v>
          </cell>
          <cell r="E2952" t="str">
            <v>Community School</v>
          </cell>
          <cell r="F2952" t="str">
            <v>Secondary</v>
          </cell>
        </row>
        <row r="2953">
          <cell r="A2953">
            <v>9252138</v>
          </cell>
          <cell r="B2953">
            <v>129568</v>
          </cell>
          <cell r="C2953" t="str">
            <v>Birchwood County Junior School</v>
          </cell>
          <cell r="D2953" t="str">
            <v>Lincolnshire</v>
          </cell>
          <cell r="E2953" t="str">
            <v>Community School</v>
          </cell>
          <cell r="F2953" t="str">
            <v>Primary</v>
          </cell>
        </row>
        <row r="2954">
          <cell r="A2954">
            <v>9382219</v>
          </cell>
          <cell r="B2954">
            <v>125944</v>
          </cell>
          <cell r="C2954" t="str">
            <v>Birchwood Grove Community Primary School, Burgess Hill</v>
          </cell>
          <cell r="D2954" t="str">
            <v>West Sussex</v>
          </cell>
          <cell r="E2954" t="str">
            <v>Community School</v>
          </cell>
          <cell r="F2954" t="str">
            <v>Primary</v>
          </cell>
        </row>
        <row r="2955">
          <cell r="A2955">
            <v>9194200</v>
          </cell>
          <cell r="B2955">
            <v>117549</v>
          </cell>
          <cell r="C2955" t="str">
            <v>Birchwood High School</v>
          </cell>
          <cell r="D2955" t="str">
            <v>Hertfordshire</v>
          </cell>
          <cell r="E2955" t="str">
            <v>Foundation School</v>
          </cell>
          <cell r="F2955" t="str">
            <v>Secondary</v>
          </cell>
        </row>
        <row r="2956">
          <cell r="A2956">
            <v>9194200</v>
          </cell>
          <cell r="B2956">
            <v>137637</v>
          </cell>
          <cell r="C2956" t="str">
            <v>Birchwood High School</v>
          </cell>
          <cell r="D2956" t="str">
            <v>Hertfordshire</v>
          </cell>
          <cell r="E2956" t="str">
            <v>Academy Converters</v>
          </cell>
          <cell r="F2956" t="str">
            <v>Secondary</v>
          </cell>
        </row>
        <row r="2957">
          <cell r="A2957">
            <v>9191008</v>
          </cell>
          <cell r="B2957">
            <v>117069</v>
          </cell>
          <cell r="C2957" t="str">
            <v>Birchwood Nursery School</v>
          </cell>
          <cell r="D2957" t="str">
            <v>Hertfordshire</v>
          </cell>
          <cell r="E2957" t="str">
            <v>LA Nursery School</v>
          </cell>
          <cell r="F2957" t="str">
            <v>Nursery</v>
          </cell>
        </row>
        <row r="2958">
          <cell r="A2958">
            <v>8601023</v>
          </cell>
          <cell r="B2958">
            <v>123963</v>
          </cell>
          <cell r="C2958" t="str">
            <v>Birchwood Nursery School</v>
          </cell>
          <cell r="D2958" t="str">
            <v>Staffordshire</v>
          </cell>
          <cell r="E2958" t="str">
            <v>LA Nursery School</v>
          </cell>
          <cell r="F2958" t="str">
            <v>Nursery</v>
          </cell>
        </row>
        <row r="2959">
          <cell r="A2959">
            <v>8862642</v>
          </cell>
          <cell r="B2959">
            <v>118557</v>
          </cell>
          <cell r="C2959" t="str">
            <v>Birchwood Primary School</v>
          </cell>
          <cell r="D2959" t="str">
            <v>Kent</v>
          </cell>
          <cell r="E2959" t="str">
            <v>Community School</v>
          </cell>
          <cell r="F2959" t="str">
            <v>Primary</v>
          </cell>
        </row>
        <row r="2960">
          <cell r="A2960">
            <v>9352924</v>
          </cell>
          <cell r="B2960">
            <v>124681</v>
          </cell>
          <cell r="C2960" t="str">
            <v>Birchwood Primary School</v>
          </cell>
          <cell r="D2960" t="str">
            <v>Suffolk</v>
          </cell>
          <cell r="E2960" t="str">
            <v>Community School</v>
          </cell>
          <cell r="F2960" t="str">
            <v>Primary</v>
          </cell>
        </row>
        <row r="2961">
          <cell r="A2961">
            <v>9372619</v>
          </cell>
          <cell r="B2961">
            <v>125621</v>
          </cell>
          <cell r="C2961" t="str">
            <v>Birchwood Primary School</v>
          </cell>
          <cell r="D2961" t="str">
            <v>Warwickshire</v>
          </cell>
          <cell r="E2961" t="str">
            <v>Community School</v>
          </cell>
          <cell r="F2961" t="str">
            <v>Primary</v>
          </cell>
        </row>
        <row r="2962">
          <cell r="A2962">
            <v>8861124</v>
          </cell>
          <cell r="B2962">
            <v>135462</v>
          </cell>
          <cell r="C2962" t="str">
            <v>Birchwood PRU</v>
          </cell>
          <cell r="D2962" t="str">
            <v>Kent</v>
          </cell>
          <cell r="E2962" t="str">
            <v>Pupil Referral Unit</v>
          </cell>
          <cell r="F2962" t="str">
            <v>PRU</v>
          </cell>
        </row>
        <row r="2963">
          <cell r="A2963">
            <v>3552084</v>
          </cell>
          <cell r="B2963">
            <v>127471</v>
          </cell>
          <cell r="C2963" t="str">
            <v>Birchwood School</v>
          </cell>
          <cell r="D2963" t="str">
            <v>Salford</v>
          </cell>
          <cell r="E2963" t="str">
            <v>Community School</v>
          </cell>
          <cell r="F2963" t="str">
            <v>Primary</v>
          </cell>
        </row>
        <row r="2964">
          <cell r="A2964">
            <v>9383002</v>
          </cell>
          <cell r="B2964">
            <v>125972</v>
          </cell>
          <cell r="C2964" t="str">
            <v>Birdham CofE Primary School</v>
          </cell>
          <cell r="D2964" t="str">
            <v>West Sussex</v>
          </cell>
          <cell r="E2964" t="str">
            <v>Voluntary Controlled School</v>
          </cell>
          <cell r="F2964" t="str">
            <v>Primary</v>
          </cell>
        </row>
        <row r="2965">
          <cell r="A2965">
            <v>9162056</v>
          </cell>
          <cell r="B2965">
            <v>115515</v>
          </cell>
          <cell r="C2965" t="str">
            <v>Birdlip Primary School</v>
          </cell>
          <cell r="D2965" t="str">
            <v>Gloucestershire</v>
          </cell>
          <cell r="E2965" t="str">
            <v>Community School</v>
          </cell>
          <cell r="F2965" t="str">
            <v>Primary</v>
          </cell>
        </row>
        <row r="2966">
          <cell r="A2966">
            <v>8602359</v>
          </cell>
          <cell r="B2966">
            <v>124170</v>
          </cell>
          <cell r="C2966" t="str">
            <v>Birds Bush Primary School</v>
          </cell>
          <cell r="D2966" t="str">
            <v>Staffordshire</v>
          </cell>
          <cell r="E2966" t="str">
            <v>Community School</v>
          </cell>
          <cell r="F2966" t="str">
            <v>Primary</v>
          </cell>
        </row>
        <row r="2967">
          <cell r="A2967">
            <v>3822078</v>
          </cell>
          <cell r="B2967">
            <v>107649</v>
          </cell>
          <cell r="C2967" t="str">
            <v>Birdsedge First School</v>
          </cell>
          <cell r="D2967" t="str">
            <v>Kirklees</v>
          </cell>
          <cell r="E2967" t="str">
            <v>Community School</v>
          </cell>
          <cell r="F2967" t="str">
            <v>Primary</v>
          </cell>
        </row>
        <row r="2968">
          <cell r="A2968">
            <v>3702089</v>
          </cell>
          <cell r="B2968">
            <v>106595</v>
          </cell>
          <cell r="C2968" t="str">
            <v>Birdwell Primary School</v>
          </cell>
          <cell r="D2968" t="str">
            <v>Barnsley</v>
          </cell>
          <cell r="E2968" t="str">
            <v>Community School</v>
          </cell>
          <cell r="F2968" t="str">
            <v>Primary</v>
          </cell>
        </row>
        <row r="2969">
          <cell r="A2969">
            <v>8022262</v>
          </cell>
          <cell r="B2969">
            <v>109083</v>
          </cell>
          <cell r="C2969" t="str">
            <v>Birdwell Primary School</v>
          </cell>
          <cell r="D2969" t="str">
            <v>North Somerset</v>
          </cell>
          <cell r="E2969" t="str">
            <v>Community School</v>
          </cell>
          <cell r="F2969" t="str">
            <v>Primary</v>
          </cell>
        </row>
        <row r="2970">
          <cell r="A2970">
            <v>8302095</v>
          </cell>
          <cell r="B2970">
            <v>112543</v>
          </cell>
          <cell r="C2970" t="str">
            <v>Birk Hill Infant School</v>
          </cell>
          <cell r="D2970" t="str">
            <v>Derbyshire</v>
          </cell>
          <cell r="E2970" t="str">
            <v>Community School</v>
          </cell>
          <cell r="F2970" t="str">
            <v>Primary</v>
          </cell>
        </row>
        <row r="2971">
          <cell r="A2971">
            <v>202</v>
          </cell>
          <cell r="B2971">
            <v>133905</v>
          </cell>
          <cell r="C2971" t="str">
            <v>Birkbeck College</v>
          </cell>
          <cell r="D2971" t="str">
            <v>Camden</v>
          </cell>
          <cell r="E2971" t="str">
            <v>Higher Education Institutions</v>
          </cell>
          <cell r="F2971" t="str">
            <v>Not applicable</v>
          </cell>
        </row>
        <row r="2972">
          <cell r="A2972">
            <v>3032042</v>
          </cell>
          <cell r="B2972">
            <v>101426</v>
          </cell>
          <cell r="C2972" t="str">
            <v>Birkbeck Primary School</v>
          </cell>
          <cell r="D2972" t="str">
            <v>Bexley</v>
          </cell>
          <cell r="E2972" t="str">
            <v>Community School</v>
          </cell>
          <cell r="F2972" t="str">
            <v>Primary</v>
          </cell>
        </row>
        <row r="2973">
          <cell r="A2973">
            <v>9254061</v>
          </cell>
          <cell r="B2973">
            <v>120653</v>
          </cell>
          <cell r="C2973" t="str">
            <v>Birkbeck School and Community Arts College</v>
          </cell>
          <cell r="D2973" t="str">
            <v>Lincolnshire</v>
          </cell>
          <cell r="E2973" t="str">
            <v>Foundation School</v>
          </cell>
          <cell r="F2973" t="str">
            <v>Secondary</v>
          </cell>
        </row>
        <row r="2974">
          <cell r="A2974">
            <v>3822006</v>
          </cell>
          <cell r="B2974">
            <v>107601</v>
          </cell>
          <cell r="C2974" t="str">
            <v>Birkby Infant and Nursery School</v>
          </cell>
          <cell r="D2974" t="str">
            <v>Kirklees</v>
          </cell>
          <cell r="E2974" t="str">
            <v>Community School</v>
          </cell>
          <cell r="F2974" t="str">
            <v>Primary</v>
          </cell>
        </row>
        <row r="2975">
          <cell r="A2975">
            <v>3822041</v>
          </cell>
          <cell r="B2975">
            <v>107626</v>
          </cell>
          <cell r="C2975" t="str">
            <v>Birkby Junior School</v>
          </cell>
          <cell r="D2975" t="str">
            <v>Kirklees</v>
          </cell>
          <cell r="E2975" t="str">
            <v>Community School</v>
          </cell>
          <cell r="F2975" t="str">
            <v>Primary</v>
          </cell>
        </row>
        <row r="2976">
          <cell r="A2976">
            <v>3434108</v>
          </cell>
          <cell r="B2976">
            <v>104954</v>
          </cell>
          <cell r="C2976" t="str">
            <v>Birkdale High School</v>
          </cell>
          <cell r="D2976" t="str">
            <v>Sefton</v>
          </cell>
          <cell r="E2976" t="str">
            <v>Community School</v>
          </cell>
          <cell r="F2976" t="str">
            <v>Secondary</v>
          </cell>
        </row>
        <row r="2977">
          <cell r="A2977">
            <v>3824056</v>
          </cell>
          <cell r="B2977">
            <v>107774</v>
          </cell>
          <cell r="C2977" t="str">
            <v>Birkdale High School</v>
          </cell>
          <cell r="D2977" t="str">
            <v>Kirklees</v>
          </cell>
          <cell r="E2977" t="str">
            <v>Community School</v>
          </cell>
          <cell r="F2977" t="str">
            <v>Secondary</v>
          </cell>
        </row>
        <row r="2978">
          <cell r="A2978">
            <v>3434108</v>
          </cell>
          <cell r="B2978">
            <v>137297</v>
          </cell>
          <cell r="C2978" t="str">
            <v>Birkdale High School</v>
          </cell>
          <cell r="D2978" t="str">
            <v>Sefton</v>
          </cell>
          <cell r="E2978" t="str">
            <v>Academy Converters</v>
          </cell>
          <cell r="F2978" t="str">
            <v>Secondary</v>
          </cell>
        </row>
        <row r="2979">
          <cell r="A2979">
            <v>3432030</v>
          </cell>
          <cell r="B2979">
            <v>104860</v>
          </cell>
          <cell r="C2979" t="str">
            <v>Birkdale Primary School</v>
          </cell>
          <cell r="D2979" t="str">
            <v>Sefton</v>
          </cell>
          <cell r="E2979" t="str">
            <v>Community School</v>
          </cell>
          <cell r="F2979" t="str">
            <v>Primary</v>
          </cell>
        </row>
        <row r="2980">
          <cell r="A2980">
            <v>3736005</v>
          </cell>
          <cell r="B2980">
            <v>107163</v>
          </cell>
          <cell r="C2980" t="str">
            <v>Birkdale School</v>
          </cell>
          <cell r="D2980" t="str">
            <v>Sheffield</v>
          </cell>
          <cell r="E2980" t="str">
            <v>Other Independent School</v>
          </cell>
          <cell r="F2980" t="str">
            <v>Not applicable</v>
          </cell>
        </row>
        <row r="2981">
          <cell r="A2981">
            <v>3437001</v>
          </cell>
          <cell r="B2981">
            <v>104976</v>
          </cell>
          <cell r="C2981" t="str">
            <v>Birkdale School for H I Children</v>
          </cell>
          <cell r="D2981" t="str">
            <v>Sefton</v>
          </cell>
          <cell r="E2981" t="str">
            <v>Non-Maintained Special School</v>
          </cell>
          <cell r="F2981" t="str">
            <v>Special</v>
          </cell>
        </row>
        <row r="2982">
          <cell r="A2982">
            <v>3443011</v>
          </cell>
          <cell r="B2982">
            <v>105064</v>
          </cell>
          <cell r="C2982" t="str">
            <v>Birkenhead Christ Church CofE Primary School</v>
          </cell>
          <cell r="D2982" t="str">
            <v>Wirral</v>
          </cell>
          <cell r="E2982" t="str">
            <v>Voluntary Controlled School</v>
          </cell>
          <cell r="F2982" t="str">
            <v>Primary</v>
          </cell>
        </row>
        <row r="2983">
          <cell r="A2983">
            <v>3446024</v>
          </cell>
          <cell r="B2983">
            <v>105124</v>
          </cell>
          <cell r="C2983" t="str">
            <v>Birkenhead High School</v>
          </cell>
          <cell r="D2983" t="str">
            <v>Wirral</v>
          </cell>
          <cell r="E2983" t="str">
            <v>Other Independent School</v>
          </cell>
          <cell r="F2983" t="str">
            <v>Not applicable</v>
          </cell>
        </row>
        <row r="2984">
          <cell r="A2984">
            <v>3446905</v>
          </cell>
          <cell r="B2984">
            <v>135877</v>
          </cell>
          <cell r="C2984" t="str">
            <v>Birkenhead High School Academy</v>
          </cell>
          <cell r="D2984" t="str">
            <v>Wirral</v>
          </cell>
          <cell r="E2984" t="str">
            <v>Academy Sponsor Led</v>
          </cell>
          <cell r="F2984" t="str">
            <v>Not applicable</v>
          </cell>
        </row>
        <row r="2985">
          <cell r="A2985">
            <v>3444004</v>
          </cell>
          <cell r="B2985">
            <v>127385</v>
          </cell>
          <cell r="C2985" t="str">
            <v>Birkenhead Institute High School</v>
          </cell>
          <cell r="D2985" t="str">
            <v>Wirral</v>
          </cell>
          <cell r="E2985" t="str">
            <v>Community School</v>
          </cell>
          <cell r="F2985" t="str">
            <v>Secondary</v>
          </cell>
        </row>
        <row r="2986">
          <cell r="A2986">
            <v>3446023</v>
          </cell>
          <cell r="B2986">
            <v>105123</v>
          </cell>
          <cell r="C2986" t="str">
            <v>Birkenhead School</v>
          </cell>
          <cell r="D2986" t="str">
            <v>Wirral</v>
          </cell>
          <cell r="E2986" t="str">
            <v>Other Independent School</v>
          </cell>
          <cell r="F2986" t="str">
            <v>Not applicable</v>
          </cell>
        </row>
        <row r="2987">
          <cell r="A2987">
            <v>3444072</v>
          </cell>
          <cell r="B2987">
            <v>127388</v>
          </cell>
          <cell r="C2987" t="str">
            <v>Birkenhead Sixth Form College</v>
          </cell>
          <cell r="D2987" t="str">
            <v>Wirral</v>
          </cell>
          <cell r="E2987" t="str">
            <v>Community School</v>
          </cell>
          <cell r="F2987" t="str">
            <v>Secondary</v>
          </cell>
        </row>
        <row r="2988">
          <cell r="A2988">
            <v>3448600</v>
          </cell>
          <cell r="B2988">
            <v>130494</v>
          </cell>
          <cell r="C2988" t="str">
            <v>Birkenhead Sixth Form College</v>
          </cell>
          <cell r="D2988" t="str">
            <v>Wirral</v>
          </cell>
          <cell r="E2988" t="str">
            <v>Further Education</v>
          </cell>
          <cell r="F2988" t="str">
            <v>16 Plus</v>
          </cell>
        </row>
        <row r="2989">
          <cell r="A2989">
            <v>3823048</v>
          </cell>
          <cell r="B2989">
            <v>107730</v>
          </cell>
          <cell r="C2989" t="str">
            <v>Birkenshaw Church of England Voluntary Controlled First and Nursery School</v>
          </cell>
          <cell r="D2989" t="str">
            <v>Kirklees</v>
          </cell>
          <cell r="E2989" t="str">
            <v>Voluntary Controlled School</v>
          </cell>
          <cell r="F2989" t="str">
            <v>Primary</v>
          </cell>
        </row>
        <row r="2990">
          <cell r="A2990">
            <v>3823031</v>
          </cell>
          <cell r="B2990">
            <v>127785</v>
          </cell>
          <cell r="C2990" t="str">
            <v>Birkenshaw CofE (Controlled) First School</v>
          </cell>
          <cell r="D2990" t="str">
            <v>Kirklees</v>
          </cell>
          <cell r="E2990" t="str">
            <v>Voluntary Controlled School</v>
          </cell>
          <cell r="F2990" t="str">
            <v>Primary</v>
          </cell>
        </row>
        <row r="2991">
          <cell r="A2991">
            <v>3822112</v>
          </cell>
          <cell r="B2991">
            <v>127780</v>
          </cell>
          <cell r="C2991" t="str">
            <v>Birkenshaw County First School</v>
          </cell>
          <cell r="D2991" t="str">
            <v>Kirklees</v>
          </cell>
          <cell r="E2991" t="str">
            <v>Community School</v>
          </cell>
          <cell r="F2991" t="str">
            <v>Primary</v>
          </cell>
        </row>
        <row r="2992">
          <cell r="A2992">
            <v>3824045</v>
          </cell>
          <cell r="B2992">
            <v>107768</v>
          </cell>
          <cell r="C2992" t="str">
            <v>Birkenshaw Middle School</v>
          </cell>
          <cell r="D2992" t="str">
            <v>Kirklees</v>
          </cell>
          <cell r="E2992" t="str">
            <v>Community School</v>
          </cell>
          <cell r="F2992" t="str">
            <v>Middle Deemed Secondary</v>
          </cell>
        </row>
        <row r="2993">
          <cell r="A2993">
            <v>8912173</v>
          </cell>
          <cell r="B2993">
            <v>122495</v>
          </cell>
          <cell r="C2993" t="str">
            <v>Birklands Primary and Nursery School</v>
          </cell>
          <cell r="D2993" t="str">
            <v>Nottinghamshire</v>
          </cell>
          <cell r="E2993" t="str">
            <v>Community School</v>
          </cell>
          <cell r="F2993" t="str">
            <v>Primary</v>
          </cell>
        </row>
        <row r="2994">
          <cell r="A2994">
            <v>3702094</v>
          </cell>
          <cell r="B2994">
            <v>127580</v>
          </cell>
          <cell r="C2994" t="str">
            <v>Birkwood First School</v>
          </cell>
          <cell r="D2994" t="str">
            <v>Barnsley</v>
          </cell>
          <cell r="E2994" t="str">
            <v>Community School</v>
          </cell>
          <cell r="F2994" t="str">
            <v>Primary</v>
          </cell>
        </row>
        <row r="2995">
          <cell r="A2995">
            <v>3702132</v>
          </cell>
          <cell r="B2995">
            <v>106620</v>
          </cell>
          <cell r="C2995" t="str">
            <v>Birkwood Primary School</v>
          </cell>
          <cell r="D2995" t="str">
            <v>Barnsley</v>
          </cell>
          <cell r="E2995" t="str">
            <v>Community School</v>
          </cell>
          <cell r="F2995" t="str">
            <v>Primary</v>
          </cell>
        </row>
        <row r="2996">
          <cell r="A2996">
            <v>3734276</v>
          </cell>
          <cell r="B2996">
            <v>107146</v>
          </cell>
          <cell r="C2996" t="str">
            <v>Birley Community College</v>
          </cell>
          <cell r="D2996" t="str">
            <v>Sheffield</v>
          </cell>
          <cell r="E2996" t="str">
            <v>Community School</v>
          </cell>
          <cell r="F2996" t="str">
            <v>Secondary</v>
          </cell>
        </row>
        <row r="2997">
          <cell r="A2997">
            <v>3732353</v>
          </cell>
          <cell r="B2997">
            <v>107096</v>
          </cell>
          <cell r="C2997" t="str">
            <v>Birley Community Primary School</v>
          </cell>
          <cell r="D2997" t="str">
            <v>Sheffield</v>
          </cell>
          <cell r="E2997" t="str">
            <v>Community School</v>
          </cell>
          <cell r="F2997" t="str">
            <v>Primary</v>
          </cell>
        </row>
        <row r="2998">
          <cell r="A2998">
            <v>3732243</v>
          </cell>
          <cell r="B2998">
            <v>127689</v>
          </cell>
          <cell r="C2998" t="str">
            <v>Birley First School</v>
          </cell>
          <cell r="D2998" t="str">
            <v>Sheffield</v>
          </cell>
          <cell r="E2998" t="str">
            <v>Community School</v>
          </cell>
          <cell r="F2998" t="str">
            <v>Primary</v>
          </cell>
        </row>
        <row r="2999">
          <cell r="A2999">
            <v>3524275</v>
          </cell>
          <cell r="B2999">
            <v>127418</v>
          </cell>
          <cell r="C2999" t="str">
            <v>Birley High School</v>
          </cell>
          <cell r="D2999" t="str">
            <v>Manchester</v>
          </cell>
          <cell r="E2999" t="str">
            <v>Community School</v>
          </cell>
          <cell r="F2999" t="str">
            <v>Secondary</v>
          </cell>
        </row>
        <row r="3000">
          <cell r="A3000">
            <v>3732331</v>
          </cell>
          <cell r="B3000">
            <v>127714</v>
          </cell>
          <cell r="C3000" t="str">
            <v>Birley Middle School</v>
          </cell>
          <cell r="D3000" t="str">
            <v>Sheffield</v>
          </cell>
          <cell r="E3000" t="str">
            <v>Community School</v>
          </cell>
          <cell r="F3000" t="str">
            <v>Middle Deemed Primary</v>
          </cell>
        </row>
        <row r="3001">
          <cell r="A3001">
            <v>3731003</v>
          </cell>
          <cell r="B3001">
            <v>106976</v>
          </cell>
          <cell r="C3001" t="str">
            <v>Birley Nursery School</v>
          </cell>
          <cell r="D3001" t="str">
            <v>Sheffield</v>
          </cell>
          <cell r="E3001" t="str">
            <v>LA Nursery School</v>
          </cell>
          <cell r="F3001" t="str">
            <v>Nursery</v>
          </cell>
        </row>
        <row r="3002">
          <cell r="A3002">
            <v>3732323</v>
          </cell>
          <cell r="B3002">
            <v>107067</v>
          </cell>
          <cell r="C3002" t="str">
            <v>Birley Spa Community Primary School</v>
          </cell>
          <cell r="D3002" t="str">
            <v>Sheffield</v>
          </cell>
          <cell r="E3002" t="str">
            <v>Community School</v>
          </cell>
          <cell r="F3002" t="str">
            <v>Primary</v>
          </cell>
        </row>
        <row r="3003">
          <cell r="A3003">
            <v>330941</v>
          </cell>
          <cell r="B3003">
            <v>134092</v>
          </cell>
          <cell r="C3003" t="str">
            <v>Birmingham Bullets Study Support Centre</v>
          </cell>
          <cell r="D3003" t="str">
            <v>Birmingham</v>
          </cell>
          <cell r="E3003" t="str">
            <v>Playing for Success Centres</v>
          </cell>
          <cell r="F3003" t="str">
            <v>Not applicable</v>
          </cell>
        </row>
        <row r="3004">
          <cell r="A3004">
            <v>330942</v>
          </cell>
          <cell r="B3004">
            <v>134093</v>
          </cell>
          <cell r="C3004" t="str">
            <v>Birmingham Bullets Study Support Centre</v>
          </cell>
          <cell r="D3004" t="str">
            <v>Birmingham</v>
          </cell>
          <cell r="E3004" t="str">
            <v>Playing for Success Centres</v>
          </cell>
          <cell r="F3004" t="str">
            <v>Not applicable</v>
          </cell>
        </row>
        <row r="3005">
          <cell r="A3005">
            <v>330</v>
          </cell>
          <cell r="B3005">
            <v>133788</v>
          </cell>
          <cell r="C3005" t="str">
            <v>Birmingham City University</v>
          </cell>
          <cell r="D3005" t="str">
            <v>Birmingham</v>
          </cell>
          <cell r="E3005" t="str">
            <v>Higher Education Institutions</v>
          </cell>
          <cell r="F3005" t="str">
            <v>Not applicable</v>
          </cell>
        </row>
        <row r="3006">
          <cell r="A3006">
            <v>3308019</v>
          </cell>
          <cell r="B3006">
            <v>130463</v>
          </cell>
          <cell r="C3006" t="str">
            <v>Birmingham College of Food Tourism and Creative Studies</v>
          </cell>
          <cell r="D3006" t="str">
            <v>Birmingham</v>
          </cell>
          <cell r="E3006" t="str">
            <v>Further Education</v>
          </cell>
          <cell r="F3006" t="str">
            <v>16 Plus</v>
          </cell>
        </row>
        <row r="3007">
          <cell r="A3007">
            <v>3308030</v>
          </cell>
          <cell r="B3007">
            <v>130466</v>
          </cell>
          <cell r="C3007" t="str">
            <v>Birmingham Metropolitan College</v>
          </cell>
          <cell r="D3007" t="str">
            <v>Birmingham</v>
          </cell>
          <cell r="E3007" t="str">
            <v>Further Education</v>
          </cell>
          <cell r="F3007" t="str">
            <v>16 Plus</v>
          </cell>
        </row>
        <row r="3008">
          <cell r="A3008">
            <v>3306102</v>
          </cell>
          <cell r="B3008">
            <v>133521</v>
          </cell>
          <cell r="C3008" t="str">
            <v>Birmingham Muslim School</v>
          </cell>
          <cell r="D3008" t="str">
            <v>Birmingham</v>
          </cell>
          <cell r="E3008" t="str">
            <v>Other Independent School</v>
          </cell>
          <cell r="F3008" t="str">
            <v>Not applicable</v>
          </cell>
        </row>
        <row r="3009">
          <cell r="A3009">
            <v>3304000</v>
          </cell>
          <cell r="B3009">
            <v>136944</v>
          </cell>
          <cell r="C3009" t="str">
            <v>Birmingham Ormiston Academy 14-19</v>
          </cell>
          <cell r="D3009" t="str">
            <v>Birmingham</v>
          </cell>
          <cell r="E3009" t="str">
            <v>Academy Sponsor Led</v>
          </cell>
          <cell r="F3009" t="str">
            <v>Middle Deemed Secondary</v>
          </cell>
        </row>
        <row r="3010">
          <cell r="A3010">
            <v>3306086</v>
          </cell>
          <cell r="B3010">
            <v>103593</v>
          </cell>
          <cell r="C3010" t="str">
            <v>Birmingham Private School for Boys</v>
          </cell>
          <cell r="D3010" t="str">
            <v>Birmingham</v>
          </cell>
          <cell r="E3010" t="str">
            <v>Other Independent School</v>
          </cell>
          <cell r="F3010" t="str">
            <v>Not applicable</v>
          </cell>
        </row>
        <row r="3011">
          <cell r="A3011">
            <v>3306118</v>
          </cell>
          <cell r="B3011">
            <v>135284</v>
          </cell>
          <cell r="C3011" t="str">
            <v>Birmingham Rathbone School of LE</v>
          </cell>
          <cell r="D3011" t="str">
            <v>Birmingham</v>
          </cell>
          <cell r="E3011" t="str">
            <v>Other Independent Special School</v>
          </cell>
          <cell r="F3011" t="str">
            <v>Not applicable</v>
          </cell>
        </row>
        <row r="3012">
          <cell r="A3012">
            <v>3111100</v>
          </cell>
          <cell r="B3012">
            <v>102263</v>
          </cell>
          <cell r="C3012" t="str">
            <v>Birnam Wood Pupil Referral Unit</v>
          </cell>
          <cell r="D3012" t="str">
            <v>Havering</v>
          </cell>
          <cell r="E3012" t="str">
            <v>Pupil Referral Unit</v>
          </cell>
          <cell r="F3012" t="str">
            <v>PRU</v>
          </cell>
        </row>
        <row r="3013">
          <cell r="A3013">
            <v>3822060</v>
          </cell>
          <cell r="B3013">
            <v>107635</v>
          </cell>
          <cell r="C3013" t="str">
            <v>Birstall Community Primary School</v>
          </cell>
          <cell r="D3013" t="str">
            <v>Kirklees</v>
          </cell>
          <cell r="E3013" t="str">
            <v>Community School</v>
          </cell>
          <cell r="F3013" t="str">
            <v>Primary</v>
          </cell>
        </row>
        <row r="3014">
          <cell r="A3014">
            <v>8153226</v>
          </cell>
          <cell r="B3014">
            <v>121550</v>
          </cell>
          <cell r="C3014" t="str">
            <v>Birstwith Church of England Primary School</v>
          </cell>
          <cell r="D3014" t="str">
            <v>North Yorkshire</v>
          </cell>
          <cell r="E3014" t="str">
            <v>Voluntary Controlled School</v>
          </cell>
          <cell r="F3014" t="str">
            <v>Primary</v>
          </cell>
        </row>
        <row r="3015">
          <cell r="A3015">
            <v>3507007</v>
          </cell>
          <cell r="B3015">
            <v>105280</v>
          </cell>
          <cell r="C3015" t="str">
            <v>Birtenshaw</v>
          </cell>
          <cell r="D3015" t="str">
            <v>Bolton</v>
          </cell>
          <cell r="E3015" t="str">
            <v>Non-Maintained Special School</v>
          </cell>
          <cell r="F3015" t="str">
            <v>Special</v>
          </cell>
        </row>
        <row r="3016">
          <cell r="A3016">
            <v>3547009</v>
          </cell>
          <cell r="B3016">
            <v>105863</v>
          </cell>
          <cell r="C3016" t="str">
            <v>Birtle View School</v>
          </cell>
          <cell r="D3016" t="str">
            <v>Rochdale</v>
          </cell>
          <cell r="E3016" t="str">
            <v>Community Special School</v>
          </cell>
          <cell r="F3016" t="str">
            <v>Special</v>
          </cell>
        </row>
        <row r="3017">
          <cell r="A3017">
            <v>3902163</v>
          </cell>
          <cell r="B3017">
            <v>108337</v>
          </cell>
          <cell r="C3017" t="str">
            <v>Birtley East Community Primary School</v>
          </cell>
          <cell r="D3017" t="str">
            <v>Gateshead</v>
          </cell>
          <cell r="E3017" t="str">
            <v>Community School</v>
          </cell>
          <cell r="F3017" t="str">
            <v>Primary</v>
          </cell>
        </row>
        <row r="3018">
          <cell r="A3018">
            <v>8866136</v>
          </cell>
          <cell r="B3018">
            <v>136211</v>
          </cell>
          <cell r="C3018" t="str">
            <v>Birtley House Independent School</v>
          </cell>
          <cell r="D3018" t="str">
            <v>Kent</v>
          </cell>
          <cell r="E3018" t="str">
            <v>Other Independent School</v>
          </cell>
          <cell r="F3018" t="str">
            <v>Not applicable</v>
          </cell>
        </row>
        <row r="3019">
          <cell r="A3019">
            <v>9082745</v>
          </cell>
          <cell r="B3019">
            <v>111981</v>
          </cell>
          <cell r="C3019" t="str">
            <v>Biscovey Junior School</v>
          </cell>
          <cell r="D3019" t="str">
            <v>Cornwall</v>
          </cell>
          <cell r="E3019" t="str">
            <v>Community School</v>
          </cell>
          <cell r="F3019" t="str">
            <v>Primary</v>
          </cell>
        </row>
        <row r="3020">
          <cell r="A3020">
            <v>9082447</v>
          </cell>
          <cell r="B3020">
            <v>111903</v>
          </cell>
          <cell r="C3020" t="str">
            <v>Biscovey Nursery and Infant Community School</v>
          </cell>
          <cell r="D3020" t="str">
            <v>Cornwall</v>
          </cell>
          <cell r="E3020" t="str">
            <v>Community School</v>
          </cell>
          <cell r="F3020" t="str">
            <v>Primary</v>
          </cell>
        </row>
        <row r="3021">
          <cell r="A3021">
            <v>8683010</v>
          </cell>
          <cell r="B3021">
            <v>109951</v>
          </cell>
          <cell r="C3021" t="str">
            <v>Bisham CofE Primary School</v>
          </cell>
          <cell r="D3021" t="str">
            <v>Windsor and Maidenhead</v>
          </cell>
          <cell r="E3021" t="str">
            <v>Voluntary Controlled School</v>
          </cell>
          <cell r="F3021" t="str">
            <v>Primary</v>
          </cell>
        </row>
        <row r="3022">
          <cell r="A3022">
            <v>8912520</v>
          </cell>
          <cell r="B3022">
            <v>122592</v>
          </cell>
          <cell r="C3022" t="str">
            <v>Bishop Alexander Primary and Nursery School</v>
          </cell>
          <cell r="D3022" t="str">
            <v>Nottinghamshire</v>
          </cell>
          <cell r="E3022" t="str">
            <v>Community School</v>
          </cell>
          <cell r="F3022" t="str">
            <v>Primary</v>
          </cell>
        </row>
        <row r="3023">
          <cell r="A3023">
            <v>8408002</v>
          </cell>
          <cell r="B3023">
            <v>130657</v>
          </cell>
          <cell r="C3023" t="str">
            <v>Bishop Auckland College</v>
          </cell>
          <cell r="D3023" t="str">
            <v>Durham</v>
          </cell>
          <cell r="E3023" t="str">
            <v>Further Education</v>
          </cell>
          <cell r="F3023" t="str">
            <v>16 Plus</v>
          </cell>
        </row>
        <row r="3024">
          <cell r="A3024">
            <v>8404162</v>
          </cell>
          <cell r="B3024">
            <v>114301</v>
          </cell>
          <cell r="C3024" t="str">
            <v>Bishop Barrington School A Sports with Mathematics College</v>
          </cell>
          <cell r="D3024" t="str">
            <v>Durham</v>
          </cell>
          <cell r="E3024" t="str">
            <v>Community School</v>
          </cell>
          <cell r="F3024" t="str">
            <v>Secondary</v>
          </cell>
        </row>
        <row r="3025">
          <cell r="A3025">
            <v>9382155</v>
          </cell>
          <cell r="B3025">
            <v>125902</v>
          </cell>
          <cell r="C3025" t="str">
            <v>Bishop Bell Middle School</v>
          </cell>
          <cell r="D3025" t="str">
            <v>West Sussex</v>
          </cell>
          <cell r="E3025" t="str">
            <v>Community School</v>
          </cell>
          <cell r="F3025" t="str">
            <v>Middle Deemed Primary</v>
          </cell>
        </row>
        <row r="3026">
          <cell r="A3026">
            <v>3523400</v>
          </cell>
          <cell r="B3026">
            <v>105512</v>
          </cell>
          <cell r="C3026" t="str">
            <v>Bishop Bilsborrow Memorial Roman Catholic Primary School Manchester</v>
          </cell>
          <cell r="D3026" t="str">
            <v>Manchester</v>
          </cell>
          <cell r="E3026" t="str">
            <v>Voluntary Aided School</v>
          </cell>
          <cell r="F3026" t="str">
            <v>Primary</v>
          </cell>
        </row>
        <row r="3027">
          <cell r="A3027">
            <v>3503304</v>
          </cell>
          <cell r="B3027">
            <v>105216</v>
          </cell>
          <cell r="C3027" t="str">
            <v>Bishop Bridgeman CofE Primary School</v>
          </cell>
          <cell r="D3027" t="str">
            <v>Bolton</v>
          </cell>
          <cell r="E3027" t="str">
            <v>Voluntary Aided School</v>
          </cell>
          <cell r="F3027" t="str">
            <v>Primary</v>
          </cell>
        </row>
        <row r="3028">
          <cell r="A3028">
            <v>9083392</v>
          </cell>
          <cell r="B3028">
            <v>112005</v>
          </cell>
          <cell r="C3028" t="str">
            <v>Bishop Bronescombe CofE VA School</v>
          </cell>
          <cell r="D3028" t="str">
            <v>Cornwall</v>
          </cell>
          <cell r="E3028" t="str">
            <v>Voluntary Aided School</v>
          </cell>
          <cell r="F3028" t="str">
            <v>Primary</v>
          </cell>
        </row>
        <row r="3029">
          <cell r="A3029">
            <v>8118300</v>
          </cell>
          <cell r="B3029">
            <v>130584</v>
          </cell>
          <cell r="C3029" t="str">
            <v>Bishop Burton College</v>
          </cell>
          <cell r="D3029" t="str">
            <v>East Riding of Yorkshire</v>
          </cell>
          <cell r="E3029" t="str">
            <v>Further Education</v>
          </cell>
          <cell r="F3029" t="str">
            <v>16 Plus</v>
          </cell>
        </row>
        <row r="3030">
          <cell r="A3030">
            <v>9313302</v>
          </cell>
          <cell r="B3030">
            <v>123180</v>
          </cell>
          <cell r="C3030" t="str">
            <v>Bishop Carpenter Church of England Aided Primary School</v>
          </cell>
          <cell r="D3030" t="str">
            <v>Oxfordshire</v>
          </cell>
          <cell r="E3030" t="str">
            <v>Voluntary Aided School</v>
          </cell>
          <cell r="F3030" t="str">
            <v>Primary</v>
          </cell>
        </row>
        <row r="3031">
          <cell r="A3031">
            <v>3305413</v>
          </cell>
          <cell r="B3031">
            <v>103560</v>
          </cell>
          <cell r="C3031" t="str">
            <v>Bishop Challoner Catholic College</v>
          </cell>
          <cell r="D3031" t="str">
            <v>Birmingham</v>
          </cell>
          <cell r="E3031" t="str">
            <v>Voluntary Aided School</v>
          </cell>
          <cell r="F3031" t="str">
            <v>Secondary</v>
          </cell>
        </row>
        <row r="3032">
          <cell r="A3032">
            <v>2114298</v>
          </cell>
          <cell r="B3032">
            <v>133289</v>
          </cell>
          <cell r="C3032" t="str">
            <v>Bishop Challoner Catholic Collegiate Boys School</v>
          </cell>
          <cell r="D3032" t="str">
            <v>Tower Hamlets</v>
          </cell>
          <cell r="E3032" t="str">
            <v>Voluntary Aided School</v>
          </cell>
          <cell r="F3032" t="str">
            <v>Secondary</v>
          </cell>
        </row>
        <row r="3033">
          <cell r="A3033">
            <v>2114726</v>
          </cell>
          <cell r="B3033">
            <v>100978</v>
          </cell>
          <cell r="C3033" t="str">
            <v>Bishop Challoner Catholic Collegiate Girls School</v>
          </cell>
          <cell r="D3033" t="str">
            <v>Tower Hamlets</v>
          </cell>
          <cell r="E3033" t="str">
            <v>Voluntary Aided School</v>
          </cell>
          <cell r="F3033" t="str">
            <v>Secondary</v>
          </cell>
        </row>
        <row r="3034">
          <cell r="A3034">
            <v>8504604</v>
          </cell>
          <cell r="B3034">
            <v>116478</v>
          </cell>
          <cell r="C3034" t="str">
            <v>Bishop Challoner Catholic Secondary School</v>
          </cell>
          <cell r="D3034" t="str">
            <v>Hampshire</v>
          </cell>
          <cell r="E3034" t="str">
            <v>Voluntary Aided School</v>
          </cell>
          <cell r="F3034" t="str">
            <v>Secondary</v>
          </cell>
        </row>
        <row r="3035">
          <cell r="A3035">
            <v>3056003</v>
          </cell>
          <cell r="B3035">
            <v>101683</v>
          </cell>
          <cell r="C3035" t="str">
            <v>Bishop Challoner School</v>
          </cell>
          <cell r="D3035" t="str">
            <v>Bromley</v>
          </cell>
          <cell r="E3035" t="str">
            <v>Other Independent School</v>
          </cell>
          <cell r="F3035" t="str">
            <v>Not applicable</v>
          </cell>
        </row>
        <row r="3036">
          <cell r="A3036">
            <v>6813373</v>
          </cell>
          <cell r="B3036">
            <v>401663</v>
          </cell>
          <cell r="C3036" t="str">
            <v>Bishop Childs C.I.W. Primary School</v>
          </cell>
          <cell r="D3036" t="str">
            <v>Cardiff</v>
          </cell>
          <cell r="E3036" t="str">
            <v>Welsh Establishment</v>
          </cell>
          <cell r="F3036" t="str">
            <v>Primary</v>
          </cell>
        </row>
        <row r="3037">
          <cell r="A3037">
            <v>9083888</v>
          </cell>
          <cell r="B3037">
            <v>112034</v>
          </cell>
          <cell r="C3037" t="str">
            <v>Bishop Cornish CofE VA Primary School</v>
          </cell>
          <cell r="D3037" t="str">
            <v>Cornwall</v>
          </cell>
          <cell r="E3037" t="str">
            <v>Voluntary Aided School</v>
          </cell>
          <cell r="F3037" t="str">
            <v>Primary</v>
          </cell>
        </row>
        <row r="3038">
          <cell r="A3038">
            <v>8742288</v>
          </cell>
          <cell r="B3038">
            <v>110732</v>
          </cell>
          <cell r="C3038" t="str">
            <v>Bishop Creighton Primary School</v>
          </cell>
          <cell r="D3038" t="str">
            <v>Peterborough</v>
          </cell>
          <cell r="E3038" t="str">
            <v>Community School</v>
          </cell>
          <cell r="F3038" t="str">
            <v>Primary</v>
          </cell>
        </row>
        <row r="3039">
          <cell r="A3039">
            <v>8742288</v>
          </cell>
          <cell r="B3039">
            <v>136721</v>
          </cell>
          <cell r="C3039" t="str">
            <v>Bishop Creighton Primary School</v>
          </cell>
          <cell r="D3039" t="str">
            <v>Peterborough</v>
          </cell>
          <cell r="E3039" t="str">
            <v>Academy Converters</v>
          </cell>
          <cell r="F3039" t="str">
            <v>Primary</v>
          </cell>
        </row>
        <row r="3040">
          <cell r="A3040">
            <v>3433376</v>
          </cell>
          <cell r="B3040">
            <v>104942</v>
          </cell>
          <cell r="C3040" t="str">
            <v>Bishop David Sheppard Church of England Primary School</v>
          </cell>
          <cell r="D3040" t="str">
            <v>Sefton</v>
          </cell>
          <cell r="E3040" t="str">
            <v>Voluntary Aided School</v>
          </cell>
          <cell r="F3040" t="str">
            <v>Primary</v>
          </cell>
        </row>
        <row r="3041">
          <cell r="A3041">
            <v>3025408</v>
          </cell>
          <cell r="B3041">
            <v>101365</v>
          </cell>
          <cell r="C3041" t="str">
            <v>Bishop Douglass School Finchley</v>
          </cell>
          <cell r="D3041" t="str">
            <v>Barnet</v>
          </cell>
          <cell r="E3041" t="str">
            <v>Voluntary Aided School</v>
          </cell>
          <cell r="F3041" t="str">
            <v>Secondary</v>
          </cell>
        </row>
        <row r="3042">
          <cell r="A3042">
            <v>8786057</v>
          </cell>
          <cell r="B3042">
            <v>134443</v>
          </cell>
          <cell r="C3042" t="str">
            <v>Bishop Dunstan School</v>
          </cell>
          <cell r="D3042" t="str">
            <v>Devon</v>
          </cell>
          <cell r="E3042" t="str">
            <v>Other Independent Special School</v>
          </cell>
          <cell r="F3042" t="str">
            <v>Not applicable</v>
          </cell>
        </row>
        <row r="3043">
          <cell r="A3043">
            <v>8553345</v>
          </cell>
          <cell r="B3043">
            <v>120218</v>
          </cell>
          <cell r="C3043" t="str">
            <v>Bishop Ellis Catholic Primary School, Thurmaston, Leicestershire</v>
          </cell>
          <cell r="D3043" t="str">
            <v>Leicestershire</v>
          </cell>
          <cell r="E3043" t="str">
            <v>Voluntary Aided School</v>
          </cell>
          <cell r="F3043" t="str">
            <v>Primary</v>
          </cell>
        </row>
        <row r="3044">
          <cell r="A3044">
            <v>7086003</v>
          </cell>
          <cell r="B3044">
            <v>132353</v>
          </cell>
          <cell r="C3044" t="str">
            <v>Bishop Fitzgerald School</v>
          </cell>
          <cell r="D3044" t="str">
            <v>Gibraltar Overseas Establishments</v>
          </cell>
          <cell r="E3044" t="str">
            <v>Service Childrens Education</v>
          </cell>
          <cell r="F3044" t="str">
            <v>Not applicable</v>
          </cell>
        </row>
        <row r="3045">
          <cell r="A3045">
            <v>9334100</v>
          </cell>
          <cell r="B3045">
            <v>123863</v>
          </cell>
          <cell r="C3045" t="str">
            <v>Bishop Fox's Community School</v>
          </cell>
          <cell r="D3045" t="str">
            <v>Somerset</v>
          </cell>
          <cell r="E3045" t="str">
            <v>Community School</v>
          </cell>
          <cell r="F3045" t="str">
            <v>Secondary</v>
          </cell>
        </row>
        <row r="3046">
          <cell r="A3046">
            <v>9334100</v>
          </cell>
          <cell r="B3046">
            <v>136851</v>
          </cell>
          <cell r="C3046" t="str">
            <v>Bishop Fox's School</v>
          </cell>
          <cell r="D3046" t="str">
            <v>Somerset</v>
          </cell>
          <cell r="E3046" t="str">
            <v>Academy Converters</v>
          </cell>
          <cell r="F3046" t="str">
            <v>Secondary</v>
          </cell>
        </row>
        <row r="3047">
          <cell r="A3047">
            <v>3153304</v>
          </cell>
          <cell r="B3047">
            <v>102666</v>
          </cell>
          <cell r="C3047" t="str">
            <v>Bishop Gilpin CofE Primary School</v>
          </cell>
          <cell r="D3047" t="str">
            <v>Merton</v>
          </cell>
          <cell r="E3047" t="str">
            <v>Voluntary Aided School</v>
          </cell>
          <cell r="F3047" t="str">
            <v>Primary</v>
          </cell>
        </row>
        <row r="3048">
          <cell r="A3048">
            <v>9093651</v>
          </cell>
          <cell r="B3048">
            <v>112368</v>
          </cell>
          <cell r="C3048" t="str">
            <v>Bishop Goodwin CofE Nursery and Infant School</v>
          </cell>
          <cell r="D3048" t="str">
            <v>Cumbria</v>
          </cell>
          <cell r="E3048" t="str">
            <v>Voluntary Aided School</v>
          </cell>
          <cell r="F3048" t="str">
            <v>Primary</v>
          </cell>
        </row>
        <row r="3049">
          <cell r="A3049">
            <v>9093650</v>
          </cell>
          <cell r="B3049">
            <v>112367</v>
          </cell>
          <cell r="C3049" t="str">
            <v>Bishop Goodwin Memorial CofE Junior School</v>
          </cell>
          <cell r="D3049" t="str">
            <v>Cumbria</v>
          </cell>
          <cell r="E3049" t="str">
            <v>Voluntary Aided School</v>
          </cell>
          <cell r="F3049" t="str">
            <v>Primary</v>
          </cell>
        </row>
        <row r="3050">
          <cell r="A3050">
            <v>6704044</v>
          </cell>
          <cell r="B3050">
            <v>401768</v>
          </cell>
          <cell r="C3050" t="str">
            <v>Bishop Gore School</v>
          </cell>
          <cell r="D3050" t="str">
            <v>Swansea</v>
          </cell>
          <cell r="E3050" t="str">
            <v>Welsh Establishment</v>
          </cell>
          <cell r="F3050" t="str">
            <v>Secondary</v>
          </cell>
        </row>
        <row r="3051">
          <cell r="A3051">
            <v>3413505</v>
          </cell>
          <cell r="B3051">
            <v>104628</v>
          </cell>
          <cell r="C3051" t="str">
            <v>Bishop Goss RC Junior Mixed and Infant School</v>
          </cell>
          <cell r="D3051" t="str">
            <v>Liverpool</v>
          </cell>
          <cell r="E3051" t="str">
            <v>Voluntary Aided School</v>
          </cell>
          <cell r="F3051" t="str">
            <v>Primary</v>
          </cell>
        </row>
        <row r="3052">
          <cell r="A3052">
            <v>925</v>
          </cell>
          <cell r="B3052">
            <v>133835</v>
          </cell>
          <cell r="C3052" t="str">
            <v>Bishop Grosseteste University College Lincoln</v>
          </cell>
          <cell r="D3052" t="str">
            <v>Lincolnshire</v>
          </cell>
          <cell r="E3052" t="str">
            <v>Higher Education Institutions</v>
          </cell>
          <cell r="F3052" t="str">
            <v>Not applicable</v>
          </cell>
        </row>
        <row r="3053">
          <cell r="A3053">
            <v>3943321</v>
          </cell>
          <cell r="B3053">
            <v>108847</v>
          </cell>
          <cell r="C3053" t="str">
            <v>Bishop Harland Church of England Aided Primary School</v>
          </cell>
          <cell r="D3053" t="str">
            <v>Sunderland</v>
          </cell>
          <cell r="E3053" t="str">
            <v>Voluntary Aided School</v>
          </cell>
          <cell r="F3053" t="str">
            <v>Primary</v>
          </cell>
        </row>
        <row r="3054">
          <cell r="A3054">
            <v>8964158</v>
          </cell>
          <cell r="B3054">
            <v>111424</v>
          </cell>
          <cell r="C3054" t="str">
            <v>Bishop Heber High School</v>
          </cell>
          <cell r="D3054" t="str">
            <v>Cheshire West and Chester</v>
          </cell>
          <cell r="E3054" t="str">
            <v>Foundation School</v>
          </cell>
          <cell r="F3054" t="str">
            <v>Secondary</v>
          </cell>
        </row>
        <row r="3055">
          <cell r="A3055">
            <v>6754600</v>
          </cell>
          <cell r="B3055">
            <v>401829</v>
          </cell>
          <cell r="C3055" t="str">
            <v>Bishop Hedley High School</v>
          </cell>
          <cell r="D3055" t="str">
            <v>Merthyr Tydfil</v>
          </cell>
          <cell r="E3055" t="str">
            <v>Welsh Establishment</v>
          </cell>
          <cell r="F3055" t="str">
            <v>Secondary</v>
          </cell>
        </row>
        <row r="3056">
          <cell r="A3056">
            <v>9333029</v>
          </cell>
          <cell r="B3056">
            <v>123747</v>
          </cell>
          <cell r="C3056" t="str">
            <v>Bishop Henderson Church of England Primary School</v>
          </cell>
          <cell r="D3056" t="str">
            <v>Somerset</v>
          </cell>
          <cell r="E3056" t="str">
            <v>Voluntary Controlled School</v>
          </cell>
          <cell r="F3056" t="str">
            <v>Primary</v>
          </cell>
        </row>
        <row r="3057">
          <cell r="A3057">
            <v>9333439</v>
          </cell>
          <cell r="B3057">
            <v>123852</v>
          </cell>
          <cell r="C3057" t="str">
            <v>Bishop Henderson Church of England Primary School, Taunton</v>
          </cell>
          <cell r="D3057" t="str">
            <v>Somerset</v>
          </cell>
          <cell r="E3057" t="str">
            <v>Voluntary Aided School</v>
          </cell>
          <cell r="F3057" t="str">
            <v>Primary</v>
          </cell>
        </row>
        <row r="3058">
          <cell r="A3058">
            <v>3544602</v>
          </cell>
          <cell r="B3058">
            <v>127461</v>
          </cell>
          <cell r="C3058" t="str">
            <v>Bishop Henshaw RC School</v>
          </cell>
          <cell r="D3058" t="str">
            <v>Rochdale</v>
          </cell>
          <cell r="E3058" t="str">
            <v>Voluntary Aided School</v>
          </cell>
          <cell r="F3058" t="str">
            <v>Secondary</v>
          </cell>
        </row>
        <row r="3059">
          <cell r="A3059">
            <v>8935207</v>
          </cell>
          <cell r="B3059">
            <v>135790</v>
          </cell>
          <cell r="C3059" t="str">
            <v>Bishop Hooper Church of England Primary</v>
          </cell>
          <cell r="D3059" t="str">
            <v>Shropshire</v>
          </cell>
          <cell r="E3059" t="str">
            <v>Foundation School</v>
          </cell>
          <cell r="F3059" t="str">
            <v>Primary</v>
          </cell>
        </row>
        <row r="3060">
          <cell r="A3060">
            <v>8403411</v>
          </cell>
          <cell r="B3060">
            <v>114254</v>
          </cell>
          <cell r="C3060" t="str">
            <v>Bishop Ian Ramsey CofE Primary School</v>
          </cell>
          <cell r="D3060" t="str">
            <v>Durham</v>
          </cell>
          <cell r="E3060" t="str">
            <v>Voluntary Aided School</v>
          </cell>
          <cell r="F3060" t="str">
            <v>Primary</v>
          </cell>
        </row>
        <row r="3061">
          <cell r="A3061">
            <v>2033668</v>
          </cell>
          <cell r="B3061">
            <v>100181</v>
          </cell>
          <cell r="C3061" t="str">
            <v>Bishop John Robinson Church of England Primary School</v>
          </cell>
          <cell r="D3061" t="str">
            <v>Greenwich</v>
          </cell>
          <cell r="E3061" t="str">
            <v>Voluntary Aided School</v>
          </cell>
          <cell r="F3061" t="str">
            <v>Primary</v>
          </cell>
        </row>
        <row r="3062">
          <cell r="A3062">
            <v>3054604</v>
          </cell>
          <cell r="B3062">
            <v>134632</v>
          </cell>
          <cell r="C3062" t="str">
            <v>Bishop Justus CofE School</v>
          </cell>
          <cell r="D3062" t="str">
            <v>Bromley</v>
          </cell>
          <cell r="E3062" t="str">
            <v>Voluntary Aided School</v>
          </cell>
          <cell r="F3062" t="str">
            <v>Secondary</v>
          </cell>
        </row>
        <row r="3063">
          <cell r="A3063">
            <v>3054604</v>
          </cell>
          <cell r="B3063">
            <v>136466</v>
          </cell>
          <cell r="C3063" t="str">
            <v>Bishop Justus CofE School</v>
          </cell>
          <cell r="D3063" t="str">
            <v>Bromley</v>
          </cell>
          <cell r="E3063" t="str">
            <v>Academy Converters</v>
          </cell>
          <cell r="F3063" t="str">
            <v>Secondary</v>
          </cell>
        </row>
        <row r="3064">
          <cell r="A3064">
            <v>9314604</v>
          </cell>
          <cell r="B3064">
            <v>129771</v>
          </cell>
          <cell r="C3064" t="str">
            <v>Bishop Kirk CofE Middle School</v>
          </cell>
          <cell r="D3064" t="str">
            <v>Oxfordshire</v>
          </cell>
          <cell r="E3064" t="str">
            <v>Voluntary Aided School</v>
          </cell>
          <cell r="F3064" t="str">
            <v>Secondary</v>
          </cell>
        </row>
        <row r="3065">
          <cell r="A3065">
            <v>8313525</v>
          </cell>
          <cell r="B3065">
            <v>112914</v>
          </cell>
          <cell r="C3065" t="str">
            <v>Bishop Lonsdale Church of England Aided Primary School and Nursery</v>
          </cell>
          <cell r="D3065" t="str">
            <v>Derby</v>
          </cell>
          <cell r="E3065" t="str">
            <v>Voluntary Aided School</v>
          </cell>
          <cell r="F3065" t="str">
            <v>Primary</v>
          </cell>
        </row>
        <row r="3066">
          <cell r="A3066">
            <v>8603146</v>
          </cell>
          <cell r="B3066">
            <v>124296</v>
          </cell>
          <cell r="C3066" t="str">
            <v>Bishop Lonsdale CofE VC Primary School</v>
          </cell>
          <cell r="D3066" t="str">
            <v>Staffordshire</v>
          </cell>
          <cell r="E3066" t="str">
            <v>Voluntary Controlled School</v>
          </cell>
          <cell r="F3066" t="str">
            <v>Primary</v>
          </cell>
        </row>
        <row r="3067">
          <cell r="A3067">
            <v>9313351</v>
          </cell>
          <cell r="B3067">
            <v>123182</v>
          </cell>
          <cell r="C3067" t="str">
            <v>Bishop Loveday Church of England Primary School</v>
          </cell>
          <cell r="D3067" t="str">
            <v>Oxfordshire</v>
          </cell>
          <cell r="E3067" t="str">
            <v>Voluntary Aided School</v>
          </cell>
          <cell r="F3067" t="str">
            <v>Primary</v>
          </cell>
        </row>
        <row r="3068">
          <cell r="A3068">
            <v>9214500</v>
          </cell>
          <cell r="B3068">
            <v>118218</v>
          </cell>
          <cell r="C3068" t="str">
            <v>Bishop Lovett Church of England Controlled Middle School, Ryde</v>
          </cell>
          <cell r="D3068" t="str">
            <v>Isle of Wight</v>
          </cell>
          <cell r="E3068" t="str">
            <v>Voluntary Controlled School</v>
          </cell>
          <cell r="F3068" t="str">
            <v>Middle Deemed Secondary</v>
          </cell>
        </row>
        <row r="3069">
          <cell r="A3069">
            <v>9384604</v>
          </cell>
          <cell r="B3069">
            <v>126097</v>
          </cell>
          <cell r="C3069" t="str">
            <v>Bishop Luffa Church of England School, Chichester</v>
          </cell>
          <cell r="D3069" t="str">
            <v>West Sussex</v>
          </cell>
          <cell r="E3069" t="str">
            <v>Voluntary Aided School</v>
          </cell>
          <cell r="F3069" t="str">
            <v>Secondary</v>
          </cell>
        </row>
        <row r="3070">
          <cell r="A3070">
            <v>3413306</v>
          </cell>
          <cell r="B3070">
            <v>104621</v>
          </cell>
          <cell r="C3070" t="str">
            <v>Bishop Martin Church of England Primary School</v>
          </cell>
          <cell r="D3070" t="str">
            <v>Liverpool</v>
          </cell>
          <cell r="E3070" t="str">
            <v>Voluntary Aided School</v>
          </cell>
          <cell r="F3070" t="str">
            <v>Primary</v>
          </cell>
        </row>
        <row r="3071">
          <cell r="A3071">
            <v>8883677</v>
          </cell>
          <cell r="B3071">
            <v>119616</v>
          </cell>
          <cell r="C3071" t="str">
            <v>Bishop Martin Church of England Primary School</v>
          </cell>
          <cell r="D3071" t="str">
            <v>Lancashire</v>
          </cell>
          <cell r="E3071" t="str">
            <v>Voluntary Aided School</v>
          </cell>
          <cell r="F3071" t="str">
            <v>Primary</v>
          </cell>
        </row>
        <row r="3072">
          <cell r="A3072">
            <v>3324800</v>
          </cell>
          <cell r="B3072">
            <v>103868</v>
          </cell>
          <cell r="C3072" t="str">
            <v>Bishop Milner Catholic School</v>
          </cell>
          <cell r="D3072" t="str">
            <v>Dudley</v>
          </cell>
          <cell r="E3072" t="str">
            <v>Voluntary Aided School</v>
          </cell>
          <cell r="F3072" t="str">
            <v>Secondary</v>
          </cell>
        </row>
        <row r="3073">
          <cell r="A3073">
            <v>8153227</v>
          </cell>
          <cell r="B3073">
            <v>121551</v>
          </cell>
          <cell r="C3073" t="str">
            <v>Bishop Monkton Church of England Primary School</v>
          </cell>
          <cell r="D3073" t="str">
            <v>North Yorkshire</v>
          </cell>
          <cell r="E3073" t="str">
            <v>Voluntary Controlled School</v>
          </cell>
          <cell r="F3073" t="str">
            <v>Primary</v>
          </cell>
        </row>
        <row r="3074">
          <cell r="A3074">
            <v>8876907</v>
          </cell>
          <cell r="B3074">
            <v>136108</v>
          </cell>
          <cell r="C3074" t="str">
            <v>Bishop of Rochester Academy</v>
          </cell>
          <cell r="D3074" t="str">
            <v>Medway</v>
          </cell>
          <cell r="E3074" t="str">
            <v>Academy Sponsor Led</v>
          </cell>
          <cell r="F3074" t="str">
            <v>Secondary</v>
          </cell>
        </row>
        <row r="3075">
          <cell r="A3075">
            <v>8263377</v>
          </cell>
          <cell r="B3075">
            <v>110481</v>
          </cell>
          <cell r="C3075" t="str">
            <v>Bishop Parker Catholic School</v>
          </cell>
          <cell r="D3075" t="str">
            <v>Milton Keynes</v>
          </cell>
          <cell r="E3075" t="str">
            <v>Voluntary Aided School</v>
          </cell>
          <cell r="F3075" t="str">
            <v>Primary</v>
          </cell>
        </row>
        <row r="3076">
          <cell r="A3076">
            <v>8854754</v>
          </cell>
          <cell r="B3076">
            <v>116993</v>
          </cell>
          <cell r="C3076" t="str">
            <v>Bishop Perowne CofE College</v>
          </cell>
          <cell r="D3076" t="str">
            <v>Worcestershire</v>
          </cell>
          <cell r="E3076" t="str">
            <v>Voluntary Aided School</v>
          </cell>
          <cell r="F3076" t="str">
            <v>Secondary</v>
          </cell>
        </row>
        <row r="3077">
          <cell r="A3077">
            <v>3183322</v>
          </cell>
          <cell r="B3077">
            <v>102918</v>
          </cell>
          <cell r="C3077" t="str">
            <v>Bishop Perrin Church of England Primary School</v>
          </cell>
          <cell r="D3077" t="str">
            <v>Richmond upon Thames</v>
          </cell>
          <cell r="E3077" t="str">
            <v>Voluntary Aided School</v>
          </cell>
          <cell r="F3077" t="str">
            <v>Primary</v>
          </cell>
        </row>
        <row r="3078">
          <cell r="A3078">
            <v>8303338</v>
          </cell>
          <cell r="B3078">
            <v>112893</v>
          </cell>
          <cell r="C3078" t="str">
            <v>Bishop Pursglove CofE (A) Primary School</v>
          </cell>
          <cell r="D3078" t="str">
            <v>Derbyshire</v>
          </cell>
          <cell r="E3078" t="str">
            <v>Voluntary Aided School</v>
          </cell>
          <cell r="F3078" t="str">
            <v>Primary</v>
          </cell>
        </row>
        <row r="3079">
          <cell r="A3079">
            <v>3124600</v>
          </cell>
          <cell r="B3079">
            <v>102429</v>
          </cell>
          <cell r="C3079" t="str">
            <v>Bishop Ramsey CofE Voluntary Aided Secondary School</v>
          </cell>
          <cell r="D3079" t="str">
            <v>Hillingdon</v>
          </cell>
          <cell r="E3079" t="str">
            <v>Voluntary Aided School</v>
          </cell>
          <cell r="F3079" t="str">
            <v>Secondary</v>
          </cell>
        </row>
        <row r="3080">
          <cell r="A3080">
            <v>3124600</v>
          </cell>
          <cell r="B3080">
            <v>137407</v>
          </cell>
          <cell r="C3080" t="str">
            <v>Bishop Ramsey CofE Voluntary Aided Secondary School</v>
          </cell>
          <cell r="D3080" t="str">
            <v>Hillingdon</v>
          </cell>
          <cell r="E3080" t="str">
            <v>Academy Converters</v>
          </cell>
          <cell r="F3080" t="str">
            <v>Secondary</v>
          </cell>
        </row>
        <row r="3081">
          <cell r="A3081">
            <v>8603431</v>
          </cell>
          <cell r="B3081">
            <v>124332</v>
          </cell>
          <cell r="C3081" t="str">
            <v>Bishop Rawle CofE (A) Primary School</v>
          </cell>
          <cell r="D3081" t="str">
            <v>Staffordshire</v>
          </cell>
          <cell r="E3081" t="str">
            <v>Voluntary Aided School</v>
          </cell>
          <cell r="F3081" t="str">
            <v>Primary</v>
          </cell>
        </row>
        <row r="3082">
          <cell r="A3082">
            <v>8884626</v>
          </cell>
          <cell r="B3082">
            <v>137296</v>
          </cell>
          <cell r="C3082" t="str">
            <v>Bishop Rawstorne Church of England Academy</v>
          </cell>
          <cell r="D3082" t="str">
            <v>Lancashire</v>
          </cell>
          <cell r="E3082" t="str">
            <v>Academy Converters</v>
          </cell>
          <cell r="F3082" t="str">
            <v>Secondary</v>
          </cell>
        </row>
        <row r="3083">
          <cell r="A3083">
            <v>8884626</v>
          </cell>
          <cell r="B3083">
            <v>119787</v>
          </cell>
          <cell r="C3083" t="str">
            <v>Bishop Rawstorne Church of England Language College</v>
          </cell>
          <cell r="D3083" t="str">
            <v>Lancashire</v>
          </cell>
          <cell r="E3083" t="str">
            <v>Voluntary Aided School</v>
          </cell>
          <cell r="F3083" t="str">
            <v>Secondary</v>
          </cell>
        </row>
        <row r="3084">
          <cell r="A3084">
            <v>9364620</v>
          </cell>
          <cell r="B3084">
            <v>125277</v>
          </cell>
          <cell r="C3084" t="str">
            <v>Bishop Reindorp CofE School</v>
          </cell>
          <cell r="D3084" t="str">
            <v>Surrey</v>
          </cell>
          <cell r="E3084" t="str">
            <v>Voluntary Aided School</v>
          </cell>
          <cell r="F3084" t="str">
            <v>Secondary</v>
          </cell>
        </row>
        <row r="3085">
          <cell r="A3085">
            <v>3033510</v>
          </cell>
          <cell r="B3085">
            <v>134780</v>
          </cell>
          <cell r="C3085" t="str">
            <v>Bishop Ridley Church of England VA Primary School</v>
          </cell>
          <cell r="D3085" t="str">
            <v>Bexley</v>
          </cell>
          <cell r="E3085" t="str">
            <v>Voluntary Aided School</v>
          </cell>
          <cell r="F3085" t="str">
            <v>Primary</v>
          </cell>
        </row>
        <row r="3086">
          <cell r="A3086">
            <v>8012312</v>
          </cell>
          <cell r="B3086">
            <v>109116</v>
          </cell>
          <cell r="C3086" t="str">
            <v>Bishop Road Primary School</v>
          </cell>
          <cell r="D3086" t="str">
            <v>Bristol City of</v>
          </cell>
          <cell r="E3086" t="str">
            <v>Community School</v>
          </cell>
          <cell r="F3086" t="str">
            <v>Primary</v>
          </cell>
        </row>
        <row r="3087">
          <cell r="A3087">
            <v>9284601</v>
          </cell>
          <cell r="B3087">
            <v>122095</v>
          </cell>
          <cell r="C3087" t="str">
            <v>Bishop Stopford School</v>
          </cell>
          <cell r="D3087" t="str">
            <v>Northamptonshire</v>
          </cell>
          <cell r="E3087" t="str">
            <v>Voluntary Aided School</v>
          </cell>
          <cell r="F3087" t="str">
            <v>Secondary</v>
          </cell>
        </row>
        <row r="3088">
          <cell r="A3088">
            <v>9284601</v>
          </cell>
          <cell r="B3088">
            <v>137086</v>
          </cell>
          <cell r="C3088" t="str">
            <v>Bishop Stopford School</v>
          </cell>
          <cell r="D3088" t="str">
            <v>Northamptonshire</v>
          </cell>
          <cell r="E3088" t="str">
            <v>Academy Converters</v>
          </cell>
          <cell r="F3088" t="str">
            <v>Secondary</v>
          </cell>
        </row>
        <row r="3089">
          <cell r="A3089">
            <v>3084702</v>
          </cell>
          <cell r="B3089">
            <v>102052</v>
          </cell>
          <cell r="C3089" t="str">
            <v>Bishop Stopford's School</v>
          </cell>
          <cell r="D3089" t="str">
            <v>Enfield</v>
          </cell>
          <cell r="E3089" t="str">
            <v>Voluntary Aided School</v>
          </cell>
          <cell r="F3089" t="str">
            <v>Secondary</v>
          </cell>
        </row>
        <row r="3090">
          <cell r="A3090">
            <v>8002237</v>
          </cell>
          <cell r="B3090">
            <v>109061</v>
          </cell>
          <cell r="C3090" t="str">
            <v>Bishop Sutton Primary School</v>
          </cell>
          <cell r="D3090" t="str">
            <v>Bath and North East Somerset</v>
          </cell>
          <cell r="E3090" t="str">
            <v>Community School</v>
          </cell>
          <cell r="F3090" t="str">
            <v>Primary</v>
          </cell>
        </row>
        <row r="3091">
          <cell r="A3091">
            <v>2085401</v>
          </cell>
          <cell r="B3091">
            <v>100638</v>
          </cell>
          <cell r="C3091" t="str">
            <v>Bishop Thomas Grant Catholic Secondary School</v>
          </cell>
          <cell r="D3091" t="str">
            <v>Lambeth</v>
          </cell>
          <cell r="E3091" t="str">
            <v>Voluntary Aided School</v>
          </cell>
          <cell r="F3091" t="str">
            <v>Secondary</v>
          </cell>
        </row>
        <row r="3092">
          <cell r="A3092">
            <v>8153228</v>
          </cell>
          <cell r="B3092">
            <v>121552</v>
          </cell>
          <cell r="C3092" t="str">
            <v>Bishop Thornton Church of England Primary School</v>
          </cell>
          <cell r="D3092" t="str">
            <v>North Yorkshire</v>
          </cell>
          <cell r="E3092" t="str">
            <v>Voluntary Controlled School</v>
          </cell>
          <cell r="F3092" t="str">
            <v>Primary</v>
          </cell>
        </row>
        <row r="3093">
          <cell r="A3093">
            <v>9383344</v>
          </cell>
          <cell r="B3093">
            <v>126050</v>
          </cell>
          <cell r="C3093" t="str">
            <v>Bishop Tufnell CofE Infant School, Felpham</v>
          </cell>
          <cell r="D3093" t="str">
            <v>West Sussex</v>
          </cell>
          <cell r="E3093" t="str">
            <v>Voluntary Aided School</v>
          </cell>
          <cell r="F3093" t="str">
            <v>Primary</v>
          </cell>
        </row>
        <row r="3094">
          <cell r="A3094">
            <v>9383312</v>
          </cell>
          <cell r="B3094">
            <v>126026</v>
          </cell>
          <cell r="C3094" t="str">
            <v>Bishop Tufnell CofE Junior School, Felpham</v>
          </cell>
          <cell r="D3094" t="str">
            <v>West Sussex</v>
          </cell>
          <cell r="E3094" t="str">
            <v>Voluntary Aided School</v>
          </cell>
          <cell r="F3094" t="str">
            <v>Primary</v>
          </cell>
        </row>
        <row r="3095">
          <cell r="A3095">
            <v>3314701</v>
          </cell>
          <cell r="B3095">
            <v>103742</v>
          </cell>
          <cell r="C3095" t="str">
            <v>Bishop Ullathorne Catholic School</v>
          </cell>
          <cell r="D3095" t="str">
            <v>Coventry</v>
          </cell>
          <cell r="E3095" t="str">
            <v>Voluntary Aided School</v>
          </cell>
          <cell r="F3095" t="str">
            <v>Secondary</v>
          </cell>
        </row>
        <row r="3096">
          <cell r="A3096">
            <v>6704600</v>
          </cell>
          <cell r="B3096">
            <v>401777</v>
          </cell>
          <cell r="C3096" t="str">
            <v>Bishop Vaughan R.C. School</v>
          </cell>
          <cell r="D3096" t="str">
            <v>Swansea</v>
          </cell>
          <cell r="E3096" t="str">
            <v>Welsh Establishment</v>
          </cell>
          <cell r="F3096" t="str">
            <v>Secondary</v>
          </cell>
        </row>
        <row r="3097">
          <cell r="A3097">
            <v>3304660</v>
          </cell>
          <cell r="B3097">
            <v>103535</v>
          </cell>
          <cell r="C3097" t="str">
            <v>Bishop Vesey's Grammar School</v>
          </cell>
          <cell r="D3097" t="str">
            <v>Birmingham</v>
          </cell>
          <cell r="E3097" t="str">
            <v>Voluntary Aided School</v>
          </cell>
          <cell r="F3097" t="str">
            <v>Secondary</v>
          </cell>
        </row>
        <row r="3098">
          <cell r="A3098">
            <v>3304661</v>
          </cell>
          <cell r="B3098">
            <v>103536</v>
          </cell>
          <cell r="C3098" t="str">
            <v>Bishop Walsh Catholic School</v>
          </cell>
          <cell r="D3098" t="str">
            <v>Birmingham</v>
          </cell>
          <cell r="E3098" t="str">
            <v>Voluntary Aided School</v>
          </cell>
          <cell r="F3098" t="str">
            <v>Secondary</v>
          </cell>
        </row>
        <row r="3099">
          <cell r="A3099">
            <v>3014701</v>
          </cell>
          <cell r="B3099">
            <v>126722</v>
          </cell>
          <cell r="C3099" t="str">
            <v>Bishop Ward School</v>
          </cell>
          <cell r="D3099" t="str">
            <v>Barking and Dagenham</v>
          </cell>
          <cell r="E3099" t="str">
            <v>Voluntary Aided School</v>
          </cell>
          <cell r="F3099" t="str">
            <v>Secondary</v>
          </cell>
        </row>
        <row r="3100">
          <cell r="A3100">
            <v>3343512</v>
          </cell>
          <cell r="B3100">
            <v>104105</v>
          </cell>
          <cell r="C3100" t="str">
            <v>Bishop Wilson Church of England Primary School</v>
          </cell>
          <cell r="D3100" t="str">
            <v>Solihull</v>
          </cell>
          <cell r="E3100" t="str">
            <v>Voluntary Aided School</v>
          </cell>
          <cell r="F3100" t="str">
            <v>Primary</v>
          </cell>
        </row>
        <row r="3101">
          <cell r="A3101">
            <v>8963500</v>
          </cell>
          <cell r="B3101">
            <v>111312</v>
          </cell>
          <cell r="C3101" t="str">
            <v>Bishop Wilson Church of England Primary School</v>
          </cell>
          <cell r="D3101" t="str">
            <v>Cheshire West and Chester</v>
          </cell>
          <cell r="E3101" t="str">
            <v>Voluntary Aided School</v>
          </cell>
          <cell r="F3101" t="str">
            <v>Primary</v>
          </cell>
        </row>
        <row r="3102">
          <cell r="A3102">
            <v>9153821</v>
          </cell>
          <cell r="B3102">
            <v>128902</v>
          </cell>
          <cell r="C3102" t="str">
            <v>Bishop Wilson CofE Primary School</v>
          </cell>
          <cell r="D3102" t="str">
            <v>Pre LGR (1998) Essex</v>
          </cell>
          <cell r="E3102" t="str">
            <v>Voluntary Aided School</v>
          </cell>
          <cell r="F3102" t="str">
            <v>Primary</v>
          </cell>
        </row>
        <row r="3103">
          <cell r="A3103">
            <v>8113017</v>
          </cell>
          <cell r="B3103">
            <v>117972</v>
          </cell>
          <cell r="C3103" t="str">
            <v>Bishop Wilton Church of England Voluntary Controlled Primary School</v>
          </cell>
          <cell r="D3103" t="str">
            <v>East Riding of Yorkshire</v>
          </cell>
          <cell r="E3103" t="str">
            <v>Voluntary Controlled School</v>
          </cell>
          <cell r="F3103" t="str">
            <v>Primary</v>
          </cell>
        </row>
        <row r="3104">
          <cell r="A3104">
            <v>3123300</v>
          </cell>
          <cell r="B3104">
            <v>102417</v>
          </cell>
          <cell r="C3104" t="str">
            <v>Bishop Winnington-Ingram CofE Primary School</v>
          </cell>
          <cell r="D3104" t="str">
            <v>Hillingdon</v>
          </cell>
          <cell r="E3104" t="str">
            <v>Voluntary Aided School</v>
          </cell>
          <cell r="F3104" t="str">
            <v>Primary</v>
          </cell>
        </row>
        <row r="3105">
          <cell r="A3105">
            <v>9193371</v>
          </cell>
          <cell r="B3105">
            <v>117458</v>
          </cell>
          <cell r="C3105" t="str">
            <v>Bishop Wood Church of England Junior School, Tring</v>
          </cell>
          <cell r="D3105" t="str">
            <v>Hertfordshire</v>
          </cell>
          <cell r="E3105" t="str">
            <v>Voluntary Aided School</v>
          </cell>
          <cell r="F3105" t="str">
            <v>Primary</v>
          </cell>
        </row>
        <row r="3106">
          <cell r="A3106">
            <v>8655413</v>
          </cell>
          <cell r="B3106">
            <v>126508</v>
          </cell>
          <cell r="C3106" t="str">
            <v>Bishop Wordsworth's Grammar School</v>
          </cell>
          <cell r="D3106" t="str">
            <v>Wiltshire</v>
          </cell>
          <cell r="E3106" t="str">
            <v>Voluntary Aided School</v>
          </cell>
          <cell r="F3106" t="str">
            <v>Secondary</v>
          </cell>
        </row>
        <row r="3107">
          <cell r="A3107">
            <v>8655413</v>
          </cell>
          <cell r="B3107">
            <v>136500</v>
          </cell>
          <cell r="C3107" t="str">
            <v>Bishop Wordsworth's Grammar School</v>
          </cell>
          <cell r="D3107" t="str">
            <v>Wiltshire</v>
          </cell>
          <cell r="E3107" t="str">
            <v>Academy Converters</v>
          </cell>
          <cell r="F3107" t="str">
            <v>Secondary</v>
          </cell>
        </row>
        <row r="3108">
          <cell r="A3108">
            <v>9374720</v>
          </cell>
          <cell r="B3108">
            <v>125754</v>
          </cell>
          <cell r="C3108" t="str">
            <v>Bishop Wulstan Catholic School</v>
          </cell>
          <cell r="D3108" t="str">
            <v>Warwickshire</v>
          </cell>
          <cell r="E3108" t="str">
            <v>Voluntary Aided School</v>
          </cell>
          <cell r="F3108" t="str">
            <v>Secondary</v>
          </cell>
        </row>
        <row r="3109">
          <cell r="A3109">
            <v>8653308</v>
          </cell>
          <cell r="B3109">
            <v>126395</v>
          </cell>
          <cell r="C3109" t="str">
            <v>Bishops Cannings Church of England Aided Primary School</v>
          </cell>
          <cell r="D3109" t="str">
            <v>Wiltshire</v>
          </cell>
          <cell r="E3109" t="str">
            <v>Voluntary Aided School</v>
          </cell>
          <cell r="F3109" t="str">
            <v>Primary</v>
          </cell>
        </row>
        <row r="3110">
          <cell r="A3110">
            <v>8932029</v>
          </cell>
          <cell r="B3110">
            <v>123354</v>
          </cell>
          <cell r="C3110" t="str">
            <v>Bishops Castle Primary School</v>
          </cell>
          <cell r="D3110" t="str">
            <v>Shropshire</v>
          </cell>
          <cell r="E3110" t="str">
            <v>Community School</v>
          </cell>
          <cell r="F3110" t="str">
            <v>Primary</v>
          </cell>
        </row>
        <row r="3111">
          <cell r="A3111">
            <v>9162135</v>
          </cell>
          <cell r="B3111">
            <v>115571</v>
          </cell>
          <cell r="C3111" t="str">
            <v>Bishops Cleeve Primary School</v>
          </cell>
          <cell r="D3111" t="str">
            <v>Gloucestershire</v>
          </cell>
          <cell r="E3111" t="str">
            <v>Community School</v>
          </cell>
          <cell r="F3111" t="str">
            <v>Primary</v>
          </cell>
        </row>
        <row r="3112">
          <cell r="A3112">
            <v>9162135</v>
          </cell>
          <cell r="B3112">
            <v>137271</v>
          </cell>
          <cell r="C3112" t="str">
            <v>Bishops Cleeve Primary School</v>
          </cell>
          <cell r="D3112" t="str">
            <v>Gloucestershire</v>
          </cell>
          <cell r="E3112" t="str">
            <v>Academy Converters</v>
          </cell>
          <cell r="F3112" t="str">
            <v>Primary</v>
          </cell>
        </row>
        <row r="3113">
          <cell r="A3113">
            <v>9164608</v>
          </cell>
          <cell r="B3113">
            <v>135028</v>
          </cell>
          <cell r="C3113" t="str">
            <v>Bishops' College</v>
          </cell>
          <cell r="D3113" t="str">
            <v>Gloucestershire</v>
          </cell>
          <cell r="E3113" t="str">
            <v>Voluntary Aided School</v>
          </cell>
          <cell r="F3113" t="str">
            <v>Secondary</v>
          </cell>
        </row>
        <row r="3114">
          <cell r="A3114">
            <v>8862490</v>
          </cell>
          <cell r="B3114">
            <v>118468</v>
          </cell>
          <cell r="C3114" t="str">
            <v>Bishops Down Primary School</v>
          </cell>
          <cell r="D3114" t="str">
            <v>Kent</v>
          </cell>
          <cell r="E3114" t="str">
            <v>Community School</v>
          </cell>
          <cell r="F3114" t="str">
            <v>Primary</v>
          </cell>
        </row>
        <row r="3115">
          <cell r="A3115">
            <v>9194099</v>
          </cell>
          <cell r="B3115">
            <v>117527</v>
          </cell>
          <cell r="C3115" t="str">
            <v>Bishop's Hatfield Girls' School</v>
          </cell>
          <cell r="D3115" t="str">
            <v>Hertfordshire</v>
          </cell>
          <cell r="E3115" t="str">
            <v>Community School</v>
          </cell>
          <cell r="F3115" t="str">
            <v>Secondary</v>
          </cell>
        </row>
        <row r="3116">
          <cell r="A3116">
            <v>9332200</v>
          </cell>
          <cell r="B3116">
            <v>123700</v>
          </cell>
          <cell r="C3116" t="str">
            <v>Bishops Hull Primary School</v>
          </cell>
          <cell r="D3116" t="str">
            <v>Somerset</v>
          </cell>
          <cell r="E3116" t="str">
            <v>Community School</v>
          </cell>
          <cell r="F3116" t="str">
            <v>Primary</v>
          </cell>
        </row>
        <row r="3117">
          <cell r="A3117">
            <v>9372014</v>
          </cell>
          <cell r="B3117">
            <v>125505</v>
          </cell>
          <cell r="C3117" t="str">
            <v>Bishops Itchington Primary School</v>
          </cell>
          <cell r="D3117" t="str">
            <v>Warwickshire</v>
          </cell>
          <cell r="E3117" t="str">
            <v>Community School</v>
          </cell>
          <cell r="F3117" t="str">
            <v>Primary</v>
          </cell>
        </row>
        <row r="3118">
          <cell r="A3118">
            <v>9333175</v>
          </cell>
          <cell r="B3118">
            <v>123791</v>
          </cell>
          <cell r="C3118" t="str">
            <v>Bishops Lydeard Church of England Voluntary Controlled Primary School</v>
          </cell>
          <cell r="D3118" t="str">
            <v>Somerset</v>
          </cell>
          <cell r="E3118" t="str">
            <v>Voluntary Controlled School</v>
          </cell>
          <cell r="F3118" t="str">
            <v>Primary</v>
          </cell>
        </row>
        <row r="3119">
          <cell r="A3119">
            <v>8782210</v>
          </cell>
          <cell r="B3119">
            <v>113133</v>
          </cell>
          <cell r="C3119" t="str">
            <v>Bishops Nympton Primary School</v>
          </cell>
          <cell r="D3119" t="str">
            <v>Devon</v>
          </cell>
          <cell r="E3119" t="str">
            <v>Community School</v>
          </cell>
          <cell r="F3119" t="str">
            <v>Primary</v>
          </cell>
        </row>
        <row r="3120">
          <cell r="A3120">
            <v>8814002</v>
          </cell>
          <cell r="B3120">
            <v>133483</v>
          </cell>
          <cell r="C3120" t="str">
            <v>Bishops Park College</v>
          </cell>
          <cell r="D3120" t="str">
            <v>Essex</v>
          </cell>
          <cell r="E3120" t="str">
            <v>Community School</v>
          </cell>
          <cell r="F3120" t="str">
            <v>Secondary</v>
          </cell>
        </row>
        <row r="3121">
          <cell r="A3121">
            <v>9196007</v>
          </cell>
          <cell r="B3121">
            <v>117605</v>
          </cell>
          <cell r="C3121" t="str">
            <v>Bishop's Stortford College</v>
          </cell>
          <cell r="D3121" t="str">
            <v>Hertfordshire</v>
          </cell>
          <cell r="E3121" t="str">
            <v>Other Independent School</v>
          </cell>
          <cell r="F3121" t="str">
            <v>Not applicable</v>
          </cell>
        </row>
        <row r="3122">
          <cell r="A3122">
            <v>9373141</v>
          </cell>
          <cell r="B3122">
            <v>125657</v>
          </cell>
          <cell r="C3122" t="str">
            <v>Bishops Tachbrook CofE Primary School</v>
          </cell>
          <cell r="D3122" t="str">
            <v>Warwickshire</v>
          </cell>
          <cell r="E3122" t="str">
            <v>Voluntary Controlled School</v>
          </cell>
          <cell r="F3122" t="str">
            <v>Primary</v>
          </cell>
        </row>
        <row r="3123">
          <cell r="A3123">
            <v>8782211</v>
          </cell>
          <cell r="B3123">
            <v>113134</v>
          </cell>
          <cell r="C3123" t="str">
            <v>Bishops Tawton Primary School</v>
          </cell>
          <cell r="D3123" t="str">
            <v>Devon</v>
          </cell>
          <cell r="E3123" t="str">
            <v>Community School</v>
          </cell>
          <cell r="F3123" t="str">
            <v>Primary</v>
          </cell>
        </row>
        <row r="3124">
          <cell r="A3124">
            <v>8502019</v>
          </cell>
          <cell r="B3124">
            <v>115863</v>
          </cell>
          <cell r="C3124" t="str">
            <v>Bishops Waltham Infant School</v>
          </cell>
          <cell r="D3124" t="str">
            <v>Hampshire</v>
          </cell>
          <cell r="E3124" t="str">
            <v>Community School</v>
          </cell>
          <cell r="F3124" t="str">
            <v>Primary</v>
          </cell>
        </row>
        <row r="3125">
          <cell r="A3125">
            <v>8502273</v>
          </cell>
          <cell r="B3125">
            <v>116006</v>
          </cell>
          <cell r="C3125" t="str">
            <v>Bishop's Waltham Junior School</v>
          </cell>
          <cell r="D3125" t="str">
            <v>Hampshire</v>
          </cell>
          <cell r="E3125" t="str">
            <v>Community School</v>
          </cell>
          <cell r="F3125" t="str">
            <v>Primary</v>
          </cell>
        </row>
        <row r="3126">
          <cell r="A3126">
            <v>9192260</v>
          </cell>
          <cell r="B3126">
            <v>129121</v>
          </cell>
          <cell r="C3126" t="str">
            <v>Bishops Wood Infant School</v>
          </cell>
          <cell r="D3126" t="str">
            <v>Hertfordshire</v>
          </cell>
          <cell r="E3126" t="str">
            <v>Community School</v>
          </cell>
          <cell r="F3126" t="str">
            <v>Primary</v>
          </cell>
        </row>
        <row r="3127">
          <cell r="A3127">
            <v>3154061</v>
          </cell>
          <cell r="B3127">
            <v>131786</v>
          </cell>
          <cell r="C3127" t="str">
            <v>Bishopsford Arts College</v>
          </cell>
          <cell r="D3127" t="str">
            <v>Merton</v>
          </cell>
          <cell r="E3127" t="str">
            <v>Foundation School</v>
          </cell>
          <cell r="F3127" t="str">
            <v>Secondary</v>
          </cell>
        </row>
        <row r="3128">
          <cell r="A3128">
            <v>8084105</v>
          </cell>
          <cell r="B3128">
            <v>111733</v>
          </cell>
          <cell r="C3128" t="str">
            <v>Bishopsgarth School</v>
          </cell>
          <cell r="D3128" t="str">
            <v>Stockton-on-Tees</v>
          </cell>
          <cell r="E3128" t="str">
            <v>Community School</v>
          </cell>
          <cell r="F3128" t="str">
            <v>Secondary</v>
          </cell>
        </row>
        <row r="3129">
          <cell r="A3129">
            <v>9366024</v>
          </cell>
          <cell r="B3129">
            <v>125328</v>
          </cell>
          <cell r="C3129" t="str">
            <v>Bishopsgate School</v>
          </cell>
          <cell r="D3129" t="str">
            <v>Surrey</v>
          </cell>
          <cell r="E3129" t="str">
            <v>Other Independent School</v>
          </cell>
          <cell r="F3129" t="str">
            <v>Not applicable</v>
          </cell>
        </row>
        <row r="3130">
          <cell r="A3130">
            <v>3125400</v>
          </cell>
          <cell r="B3130">
            <v>102440</v>
          </cell>
          <cell r="C3130" t="str">
            <v>Bishopshalt School</v>
          </cell>
          <cell r="D3130" t="str">
            <v>Hillingdon</v>
          </cell>
          <cell r="E3130" t="str">
            <v>Foundation School</v>
          </cell>
          <cell r="F3130" t="str">
            <v>Secondary</v>
          </cell>
        </row>
        <row r="3131">
          <cell r="A3131">
            <v>3125400</v>
          </cell>
          <cell r="B3131">
            <v>137633</v>
          </cell>
          <cell r="C3131" t="str">
            <v>Bishopshalt School</v>
          </cell>
          <cell r="D3131" t="str">
            <v>Hillingdon</v>
          </cell>
          <cell r="E3131" t="str">
            <v>Academy Converters</v>
          </cell>
          <cell r="F3131" t="str">
            <v>Secondary</v>
          </cell>
        </row>
        <row r="3132">
          <cell r="A3132">
            <v>9194497</v>
          </cell>
          <cell r="B3132">
            <v>129167</v>
          </cell>
          <cell r="C3132" t="str">
            <v>Bishopslea School</v>
          </cell>
          <cell r="D3132" t="str">
            <v>Hertfordshire</v>
          </cell>
          <cell r="E3132" t="str">
            <v>Community School</v>
          </cell>
          <cell r="F3132" t="str">
            <v>Secondary</v>
          </cell>
        </row>
        <row r="3133">
          <cell r="A3133">
            <v>9363467</v>
          </cell>
          <cell r="B3133">
            <v>130093</v>
          </cell>
          <cell r="C3133" t="str">
            <v>Bishopsmead CofE (Aided) Middle School</v>
          </cell>
          <cell r="D3133" t="str">
            <v>Surrey</v>
          </cell>
          <cell r="E3133" t="str">
            <v>Voluntary Aided School</v>
          </cell>
          <cell r="F3133" t="str">
            <v>Middle Deemed Primary</v>
          </cell>
        </row>
        <row r="3134">
          <cell r="A3134">
            <v>8087022</v>
          </cell>
          <cell r="B3134">
            <v>111780</v>
          </cell>
          <cell r="C3134" t="str">
            <v>Bishopsmill School</v>
          </cell>
          <cell r="D3134" t="str">
            <v>Stockton-on-Tees</v>
          </cell>
          <cell r="E3134" t="str">
            <v>Community Special School</v>
          </cell>
          <cell r="F3134" t="str">
            <v>Special</v>
          </cell>
        </row>
        <row r="3135">
          <cell r="A3135">
            <v>7022010</v>
          </cell>
          <cell r="B3135">
            <v>132388</v>
          </cell>
          <cell r="C3135" t="str">
            <v>Bishopspark First School</v>
          </cell>
          <cell r="D3135" t="str">
            <v>BFPO Overseas Establishments</v>
          </cell>
          <cell r="E3135" t="str">
            <v>Service Childrens Education</v>
          </cell>
          <cell r="F3135" t="str">
            <v>Not applicable</v>
          </cell>
        </row>
        <row r="3136">
          <cell r="A3136">
            <v>8782402</v>
          </cell>
          <cell r="B3136">
            <v>113185</v>
          </cell>
          <cell r="C3136" t="str">
            <v>Bishopsteignton School</v>
          </cell>
          <cell r="D3136" t="str">
            <v>Devon</v>
          </cell>
          <cell r="E3136" t="str">
            <v>Community School</v>
          </cell>
          <cell r="F3136" t="str">
            <v>Primary</v>
          </cell>
        </row>
        <row r="3137">
          <cell r="A3137">
            <v>6704069</v>
          </cell>
          <cell r="B3137">
            <v>401771</v>
          </cell>
          <cell r="C3137" t="str">
            <v>Bishopston Comprehensive School</v>
          </cell>
          <cell r="D3137" t="str">
            <v>Swansea</v>
          </cell>
          <cell r="E3137" t="str">
            <v>Welsh Establishment</v>
          </cell>
          <cell r="F3137" t="str">
            <v>Secondary</v>
          </cell>
        </row>
        <row r="3138">
          <cell r="A3138">
            <v>6702105</v>
          </cell>
          <cell r="B3138">
            <v>400908</v>
          </cell>
          <cell r="C3138" t="str">
            <v>Bishopston Primary School</v>
          </cell>
          <cell r="D3138" t="str">
            <v>Swansea</v>
          </cell>
          <cell r="E3138" t="str">
            <v>Welsh Establishment</v>
          </cell>
          <cell r="F3138" t="str">
            <v>Primary</v>
          </cell>
        </row>
        <row r="3139">
          <cell r="A3139">
            <v>8663009</v>
          </cell>
          <cell r="B3139">
            <v>126300</v>
          </cell>
          <cell r="C3139" t="str">
            <v>Bishopstone Church of England Primary School</v>
          </cell>
          <cell r="D3139" t="str">
            <v>Swindon</v>
          </cell>
          <cell r="E3139" t="str">
            <v>Voluntary Controlled School</v>
          </cell>
          <cell r="F3139" t="str">
            <v>Primary</v>
          </cell>
        </row>
        <row r="3140">
          <cell r="A3140">
            <v>8656041</v>
          </cell>
          <cell r="B3140">
            <v>135486</v>
          </cell>
          <cell r="C3140" t="str">
            <v>Bishopstrow College</v>
          </cell>
          <cell r="D3140" t="str">
            <v>Wiltshire</v>
          </cell>
          <cell r="E3140" t="str">
            <v>Other Independent School</v>
          </cell>
          <cell r="F3140" t="str">
            <v>Not applicable</v>
          </cell>
        </row>
        <row r="3141">
          <cell r="A3141">
            <v>8502315</v>
          </cell>
          <cell r="B3141">
            <v>116035</v>
          </cell>
          <cell r="C3141" t="str">
            <v>Bishopswood Infant School</v>
          </cell>
          <cell r="D3141" t="str">
            <v>Hampshire</v>
          </cell>
          <cell r="E3141" t="str">
            <v>Community School</v>
          </cell>
          <cell r="F3141" t="str">
            <v>Primary</v>
          </cell>
        </row>
        <row r="3142">
          <cell r="A3142">
            <v>8502283</v>
          </cell>
          <cell r="B3142">
            <v>116013</v>
          </cell>
          <cell r="C3142" t="str">
            <v>Bishopswood Junior School</v>
          </cell>
          <cell r="D3142" t="str">
            <v>Hampshire</v>
          </cell>
          <cell r="E3142" t="str">
            <v>Community School</v>
          </cell>
          <cell r="F3142" t="str">
            <v>Primary</v>
          </cell>
        </row>
        <row r="3143">
          <cell r="A3143">
            <v>9317030</v>
          </cell>
          <cell r="B3143">
            <v>123345</v>
          </cell>
          <cell r="C3143" t="str">
            <v>Bishopswood School</v>
          </cell>
          <cell r="D3143" t="str">
            <v>Oxfordshire</v>
          </cell>
          <cell r="E3143" t="str">
            <v>Community Special School</v>
          </cell>
          <cell r="F3143" t="str">
            <v>Special</v>
          </cell>
        </row>
        <row r="3144">
          <cell r="A3144">
            <v>8013002</v>
          </cell>
          <cell r="B3144">
            <v>109141</v>
          </cell>
          <cell r="C3144" t="str">
            <v>Bishopsworth CofE VC Junior School</v>
          </cell>
          <cell r="D3144" t="str">
            <v>Bristol City of</v>
          </cell>
          <cell r="E3144" t="str">
            <v>Voluntary Controlled School</v>
          </cell>
          <cell r="F3144" t="str">
            <v>Primary</v>
          </cell>
        </row>
        <row r="3145">
          <cell r="A3145">
            <v>8162386</v>
          </cell>
          <cell r="B3145">
            <v>121440</v>
          </cell>
          <cell r="C3145" t="str">
            <v>Bishopthorpe Infant School</v>
          </cell>
          <cell r="D3145" t="str">
            <v>York</v>
          </cell>
          <cell r="E3145" t="str">
            <v>Community School</v>
          </cell>
          <cell r="F3145" t="str">
            <v>Primary</v>
          </cell>
        </row>
        <row r="3146">
          <cell r="A3146">
            <v>8081101</v>
          </cell>
          <cell r="B3146">
            <v>111521</v>
          </cell>
          <cell r="C3146" t="str">
            <v>Bishopton Centre</v>
          </cell>
          <cell r="D3146" t="str">
            <v>Stockton-on-Tees</v>
          </cell>
          <cell r="E3146" t="str">
            <v>Pupil Referral Unit</v>
          </cell>
          <cell r="F3146" t="str">
            <v>PRU</v>
          </cell>
        </row>
        <row r="3147">
          <cell r="A3147">
            <v>9372603</v>
          </cell>
          <cell r="B3147">
            <v>125607</v>
          </cell>
          <cell r="C3147" t="str">
            <v>Bishopton Primary School</v>
          </cell>
          <cell r="D3147" t="str">
            <v>Warwickshire</v>
          </cell>
          <cell r="E3147" t="str">
            <v>Community School</v>
          </cell>
          <cell r="F3147" t="str">
            <v>Primary</v>
          </cell>
        </row>
        <row r="3148">
          <cell r="A3148">
            <v>8413211</v>
          </cell>
          <cell r="B3148">
            <v>114233</v>
          </cell>
          <cell r="C3148" t="str">
            <v>Bishopton Redmarshall CofE Primary School</v>
          </cell>
          <cell r="D3148" t="str">
            <v>Darlington</v>
          </cell>
          <cell r="E3148" t="str">
            <v>Voluntary Controlled School</v>
          </cell>
          <cell r="F3148" t="str">
            <v>Primary</v>
          </cell>
        </row>
        <row r="3149">
          <cell r="A3149">
            <v>8413211</v>
          </cell>
          <cell r="B3149">
            <v>137021</v>
          </cell>
          <cell r="C3149" t="str">
            <v>Bishopton Redmarshall CofE Primary School</v>
          </cell>
          <cell r="D3149" t="str">
            <v>Darlington</v>
          </cell>
          <cell r="E3149" t="str">
            <v>Academy Converters</v>
          </cell>
          <cell r="F3149" t="str">
            <v>Primary</v>
          </cell>
        </row>
        <row r="3150">
          <cell r="A3150">
            <v>9163020</v>
          </cell>
          <cell r="B3150">
            <v>115612</v>
          </cell>
          <cell r="C3150" t="str">
            <v>Bisley Blue Coat Church of England Primary School</v>
          </cell>
          <cell r="D3150" t="str">
            <v>Gloucestershire</v>
          </cell>
          <cell r="E3150" t="str">
            <v>Voluntary Controlled School</v>
          </cell>
          <cell r="F3150" t="str">
            <v>Primary</v>
          </cell>
        </row>
        <row r="3151">
          <cell r="A3151">
            <v>9363050</v>
          </cell>
          <cell r="B3151">
            <v>125153</v>
          </cell>
          <cell r="C3151" t="str">
            <v>Bisley CofE Primary School</v>
          </cell>
          <cell r="D3151" t="str">
            <v>Surrey</v>
          </cell>
          <cell r="E3151" t="str">
            <v>Voluntary Aided School</v>
          </cell>
          <cell r="F3151" t="str">
            <v>Primary</v>
          </cell>
        </row>
        <row r="3152">
          <cell r="A3152">
            <v>8903192</v>
          </cell>
          <cell r="B3152">
            <v>119411</v>
          </cell>
          <cell r="C3152" t="str">
            <v>Bispham Endowed Church of England Primary School</v>
          </cell>
          <cell r="D3152" t="str">
            <v>Blackpool</v>
          </cell>
          <cell r="E3152" t="str">
            <v>Voluntary Controlled School</v>
          </cell>
          <cell r="F3152" t="str">
            <v>Primary</v>
          </cell>
        </row>
        <row r="3153">
          <cell r="A3153">
            <v>8904056</v>
          </cell>
          <cell r="B3153">
            <v>119734</v>
          </cell>
          <cell r="C3153" t="str">
            <v>Bispham High School - An Arts College</v>
          </cell>
          <cell r="D3153" t="str">
            <v>Blackpool</v>
          </cell>
          <cell r="E3153" t="str">
            <v>Community School</v>
          </cell>
          <cell r="F3153" t="str">
            <v>Secondary</v>
          </cell>
        </row>
        <row r="3154">
          <cell r="A3154">
            <v>8652225</v>
          </cell>
          <cell r="B3154">
            <v>126291</v>
          </cell>
          <cell r="C3154" t="str">
            <v>Bitham Brook Primary School</v>
          </cell>
          <cell r="D3154" t="str">
            <v>Wiltshire</v>
          </cell>
          <cell r="E3154" t="str">
            <v>Community School</v>
          </cell>
          <cell r="F3154" t="str">
            <v>Primary</v>
          </cell>
        </row>
        <row r="3155">
          <cell r="A3155">
            <v>8933303</v>
          </cell>
          <cell r="B3155">
            <v>123535</v>
          </cell>
          <cell r="C3155" t="str">
            <v>Bitterley CofE Primary School (Aided)</v>
          </cell>
          <cell r="D3155" t="str">
            <v>Shropshire</v>
          </cell>
          <cell r="E3155" t="str">
            <v>Voluntary Aided School</v>
          </cell>
          <cell r="F3155" t="str">
            <v>Primary</v>
          </cell>
        </row>
        <row r="3156">
          <cell r="A3156">
            <v>8523200</v>
          </cell>
          <cell r="B3156">
            <v>116339</v>
          </cell>
          <cell r="C3156" t="str">
            <v>Bitterne CE(VC) Junior School</v>
          </cell>
          <cell r="D3156" t="str">
            <v>Southampton</v>
          </cell>
          <cell r="E3156" t="str">
            <v>Voluntary Controlled School</v>
          </cell>
          <cell r="F3156" t="str">
            <v>Primary</v>
          </cell>
        </row>
        <row r="3157">
          <cell r="A3157">
            <v>8523201</v>
          </cell>
          <cell r="B3157">
            <v>116340</v>
          </cell>
          <cell r="C3157" t="str">
            <v>Bitterne Church of England Infant School</v>
          </cell>
          <cell r="D3157" t="str">
            <v>Southampton</v>
          </cell>
          <cell r="E3157" t="str">
            <v>Voluntary Controlled School</v>
          </cell>
          <cell r="F3157" t="str">
            <v>Primary</v>
          </cell>
        </row>
        <row r="3158">
          <cell r="A3158">
            <v>8522406</v>
          </cell>
          <cell r="B3158">
            <v>116089</v>
          </cell>
          <cell r="C3158" t="str">
            <v>Bitterne Manor Primary School</v>
          </cell>
          <cell r="D3158" t="str">
            <v>Southampton</v>
          </cell>
          <cell r="E3158" t="str">
            <v>Community School</v>
          </cell>
          <cell r="F3158" t="str">
            <v>Primary</v>
          </cell>
        </row>
        <row r="3159">
          <cell r="A3159">
            <v>8522408</v>
          </cell>
          <cell r="B3159">
            <v>116091</v>
          </cell>
          <cell r="C3159" t="str">
            <v>Bitterne Park Infant School</v>
          </cell>
          <cell r="D3159" t="str">
            <v>Southampton</v>
          </cell>
          <cell r="E3159" t="str">
            <v>Community School</v>
          </cell>
          <cell r="F3159" t="str">
            <v>Primary</v>
          </cell>
        </row>
        <row r="3160">
          <cell r="A3160">
            <v>8522407</v>
          </cell>
          <cell r="B3160">
            <v>116090</v>
          </cell>
          <cell r="C3160" t="str">
            <v>Bitterne Park Junior School</v>
          </cell>
          <cell r="D3160" t="str">
            <v>Southampton</v>
          </cell>
          <cell r="E3160" t="str">
            <v>Community School</v>
          </cell>
          <cell r="F3160" t="str">
            <v>Primary</v>
          </cell>
        </row>
        <row r="3161">
          <cell r="A3161">
            <v>8524278</v>
          </cell>
          <cell r="B3161">
            <v>116458</v>
          </cell>
          <cell r="C3161" t="str">
            <v>Bitterne Park School</v>
          </cell>
          <cell r="D3161" t="str">
            <v>Southampton</v>
          </cell>
          <cell r="E3161" t="str">
            <v>Community School</v>
          </cell>
          <cell r="F3161" t="str">
            <v>Secondary</v>
          </cell>
        </row>
        <row r="3162">
          <cell r="A3162">
            <v>8896010</v>
          </cell>
          <cell r="B3162">
            <v>134564</v>
          </cell>
          <cell r="C3162" t="str">
            <v>Bla01 - Blackburn With Darwen</v>
          </cell>
          <cell r="D3162" t="str">
            <v>Blackburn with Darwen</v>
          </cell>
          <cell r="E3162" t="str">
            <v>Other Independent School</v>
          </cell>
          <cell r="F3162" t="str">
            <v>Not applicable</v>
          </cell>
        </row>
        <row r="3163">
          <cell r="A3163">
            <v>8551104</v>
          </cell>
          <cell r="B3163">
            <v>135825</v>
          </cell>
          <cell r="C3163" t="str">
            <v>Blaby Centre</v>
          </cell>
          <cell r="D3163" t="str">
            <v>Leicestershire</v>
          </cell>
          <cell r="E3163" t="str">
            <v>Pupil Referral Unit</v>
          </cell>
          <cell r="F3163" t="str">
            <v>PRU</v>
          </cell>
        </row>
        <row r="3164">
          <cell r="A3164">
            <v>8559565</v>
          </cell>
          <cell r="B3164">
            <v>133686</v>
          </cell>
          <cell r="C3164" t="str">
            <v>Blaby Community Home</v>
          </cell>
          <cell r="D3164" t="str">
            <v>Leicestershire</v>
          </cell>
          <cell r="E3164" t="str">
            <v>Secure Units</v>
          </cell>
          <cell r="F3164" t="str">
            <v>Not applicable</v>
          </cell>
        </row>
        <row r="3165">
          <cell r="A3165">
            <v>8553012</v>
          </cell>
          <cell r="B3165">
            <v>120116</v>
          </cell>
          <cell r="C3165" t="str">
            <v>Blaby Stokes Church of England Primary School</v>
          </cell>
          <cell r="D3165" t="str">
            <v>Leicestershire</v>
          </cell>
          <cell r="E3165" t="str">
            <v>Voluntary Controlled School</v>
          </cell>
          <cell r="F3165" t="str">
            <v>Primary</v>
          </cell>
        </row>
        <row r="3166">
          <cell r="A3166">
            <v>8552115</v>
          </cell>
          <cell r="B3166">
            <v>119956</v>
          </cell>
          <cell r="C3166" t="str">
            <v>Blaby Thistly Meadow Primary School</v>
          </cell>
          <cell r="D3166" t="str">
            <v>Leicestershire</v>
          </cell>
          <cell r="E3166" t="str">
            <v>Community School</v>
          </cell>
          <cell r="F3166" t="str">
            <v>Primary</v>
          </cell>
        </row>
        <row r="3167">
          <cell r="A3167">
            <v>9092220</v>
          </cell>
          <cell r="B3167">
            <v>112160</v>
          </cell>
          <cell r="C3167" t="str">
            <v>Black Combe Junior School</v>
          </cell>
          <cell r="D3167" t="str">
            <v>Cumbria</v>
          </cell>
          <cell r="E3167" t="str">
            <v>Community School</v>
          </cell>
          <cell r="F3167" t="str">
            <v>Primary</v>
          </cell>
        </row>
        <row r="3168">
          <cell r="A3168">
            <v>3354000</v>
          </cell>
          <cell r="B3168">
            <v>136933</v>
          </cell>
          <cell r="C3168" t="str">
            <v>Black Country UTC</v>
          </cell>
          <cell r="D3168" t="str">
            <v>Walsall</v>
          </cell>
          <cell r="E3168" t="str">
            <v>Academy Sponsor Led</v>
          </cell>
          <cell r="F3168" t="str">
            <v>Middle Deemed Secondary</v>
          </cell>
        </row>
        <row r="3169">
          <cell r="A3169">
            <v>3336003</v>
          </cell>
          <cell r="B3169">
            <v>137571</v>
          </cell>
          <cell r="C3169" t="str">
            <v>Black Country Wheels</v>
          </cell>
          <cell r="D3169" t="str">
            <v>Sandwell</v>
          </cell>
          <cell r="E3169" t="str">
            <v>Other Independent School</v>
          </cell>
          <cell r="F3169" t="str">
            <v>Not applicable</v>
          </cell>
        </row>
        <row r="3170">
          <cell r="A3170">
            <v>8952176</v>
          </cell>
          <cell r="B3170">
            <v>111045</v>
          </cell>
          <cell r="C3170" t="str">
            <v>Black Firs Primary School</v>
          </cell>
          <cell r="D3170" t="str">
            <v>Cheshire East</v>
          </cell>
          <cell r="E3170" t="str">
            <v>Community School</v>
          </cell>
          <cell r="F3170" t="str">
            <v>Primary</v>
          </cell>
        </row>
        <row r="3171">
          <cell r="A3171">
            <v>3442226</v>
          </cell>
          <cell r="B3171">
            <v>105027</v>
          </cell>
          <cell r="C3171" t="str">
            <v>Black Horse Hill Infant School</v>
          </cell>
          <cell r="D3171" t="str">
            <v>Wirral</v>
          </cell>
          <cell r="E3171" t="str">
            <v>Community School</v>
          </cell>
          <cell r="F3171" t="str">
            <v>Primary</v>
          </cell>
        </row>
        <row r="3172">
          <cell r="A3172">
            <v>3442232</v>
          </cell>
          <cell r="B3172">
            <v>105032</v>
          </cell>
          <cell r="C3172" t="str">
            <v>Black Horse Hill Junior School</v>
          </cell>
          <cell r="D3172" t="str">
            <v>Wirral</v>
          </cell>
          <cell r="E3172" t="str">
            <v>Community School</v>
          </cell>
          <cell r="F3172" t="str">
            <v>Primary</v>
          </cell>
        </row>
        <row r="3173">
          <cell r="A3173">
            <v>6652187</v>
          </cell>
          <cell r="B3173">
            <v>400416</v>
          </cell>
          <cell r="C3173" t="str">
            <v>Black Lane C.P. School</v>
          </cell>
          <cell r="D3173" t="str">
            <v>Wrexham</v>
          </cell>
          <cell r="E3173" t="str">
            <v>Welsh Establishment</v>
          </cell>
          <cell r="F3173" t="str">
            <v>Primary</v>
          </cell>
        </row>
        <row r="3174">
          <cell r="A3174">
            <v>8887063</v>
          </cell>
          <cell r="B3174">
            <v>119886</v>
          </cell>
          <cell r="C3174" t="str">
            <v>Black Moss School</v>
          </cell>
          <cell r="D3174" t="str">
            <v>Lancashire</v>
          </cell>
          <cell r="E3174" t="str">
            <v>Community Special School</v>
          </cell>
          <cell r="F3174" t="str">
            <v>Special</v>
          </cell>
        </row>
        <row r="3175">
          <cell r="A3175">
            <v>8783056</v>
          </cell>
          <cell r="B3175">
            <v>113372</v>
          </cell>
          <cell r="C3175" t="str">
            <v>Black Torrington Church of England Primary School</v>
          </cell>
          <cell r="D3175" t="str">
            <v>Devon</v>
          </cell>
          <cell r="E3175" t="str">
            <v>Voluntary Controlled School</v>
          </cell>
          <cell r="F3175" t="str">
            <v>Primary</v>
          </cell>
        </row>
        <row r="3176">
          <cell r="A3176">
            <v>8897061</v>
          </cell>
          <cell r="B3176">
            <v>119884</v>
          </cell>
          <cell r="C3176" t="str">
            <v>Blackamoor Special School</v>
          </cell>
          <cell r="D3176" t="str">
            <v>Blackburn with Darwen</v>
          </cell>
          <cell r="E3176" t="str">
            <v>Community Special School</v>
          </cell>
          <cell r="F3176" t="str">
            <v>Special</v>
          </cell>
        </row>
        <row r="3177">
          <cell r="A3177">
            <v>8782403</v>
          </cell>
          <cell r="B3177">
            <v>113186</v>
          </cell>
          <cell r="C3177" t="str">
            <v>Blackawton Primary School</v>
          </cell>
          <cell r="D3177" t="str">
            <v>Devon</v>
          </cell>
          <cell r="E3177" t="str">
            <v>Community School</v>
          </cell>
          <cell r="F3177" t="str">
            <v>Primary</v>
          </cell>
        </row>
        <row r="3178">
          <cell r="A3178">
            <v>9354503</v>
          </cell>
          <cell r="B3178">
            <v>124859</v>
          </cell>
          <cell r="C3178" t="str">
            <v>Blackbourne Church of England Voluntary Controlled Middle School, Stanton</v>
          </cell>
          <cell r="D3178" t="str">
            <v>Suffolk</v>
          </cell>
          <cell r="E3178" t="str">
            <v>Voluntary Controlled School</v>
          </cell>
          <cell r="F3178" t="str">
            <v>Middle Deemed Secondary</v>
          </cell>
        </row>
        <row r="3179">
          <cell r="A3179">
            <v>8453320</v>
          </cell>
          <cell r="B3179">
            <v>114547</v>
          </cell>
          <cell r="C3179" t="str">
            <v>Blackboys Church of England Primary School</v>
          </cell>
          <cell r="D3179" t="str">
            <v>East Sussex</v>
          </cell>
          <cell r="E3179" t="str">
            <v>Voluntary Aided School</v>
          </cell>
          <cell r="F3179" t="str">
            <v>Primary</v>
          </cell>
        </row>
        <row r="3180">
          <cell r="A3180">
            <v>9332330</v>
          </cell>
          <cell r="B3180">
            <v>123737</v>
          </cell>
          <cell r="C3180" t="str">
            <v>Blackbrook Primary School</v>
          </cell>
          <cell r="D3180" t="str">
            <v>Somerset</v>
          </cell>
          <cell r="E3180" t="str">
            <v>Community School</v>
          </cell>
          <cell r="F3180" t="str">
            <v>Primary</v>
          </cell>
        </row>
        <row r="3181">
          <cell r="A3181">
            <v>3423403</v>
          </cell>
          <cell r="B3181">
            <v>104803</v>
          </cell>
          <cell r="C3181" t="str">
            <v>Blackbrook RC Infant School</v>
          </cell>
          <cell r="D3181" t="str">
            <v>St. Helens</v>
          </cell>
          <cell r="E3181" t="str">
            <v>Voluntary Aided School</v>
          </cell>
          <cell r="F3181" t="str">
            <v>Primary</v>
          </cell>
        </row>
        <row r="3182">
          <cell r="A3182">
            <v>3423401</v>
          </cell>
          <cell r="B3182">
            <v>132854</v>
          </cell>
          <cell r="C3182" t="str">
            <v>Blackbrook RC Junior School</v>
          </cell>
          <cell r="D3182" t="str">
            <v>St. Helens</v>
          </cell>
          <cell r="E3182" t="str">
            <v>Miscellaneous</v>
          </cell>
          <cell r="F3182" t="str">
            <v>Not applicable</v>
          </cell>
        </row>
        <row r="3183">
          <cell r="A3183">
            <v>3422071</v>
          </cell>
          <cell r="B3183">
            <v>104802</v>
          </cell>
          <cell r="C3183" t="str">
            <v>Blackbrook St Mary's Catholic Primary School</v>
          </cell>
          <cell r="D3183" t="str">
            <v>St. Helens</v>
          </cell>
          <cell r="E3183" t="str">
            <v>Voluntary Aided School</v>
          </cell>
          <cell r="F3183" t="str">
            <v>Primary</v>
          </cell>
        </row>
        <row r="3184">
          <cell r="A3184">
            <v>8898007</v>
          </cell>
          <cell r="B3184">
            <v>130736</v>
          </cell>
          <cell r="C3184" t="str">
            <v>Blackburn College</v>
          </cell>
          <cell r="D3184" t="str">
            <v>Blackburn with Darwen</v>
          </cell>
          <cell r="E3184" t="str">
            <v>Further Education</v>
          </cell>
          <cell r="F3184" t="str">
            <v>16 Plus</v>
          </cell>
        </row>
        <row r="3185">
          <cell r="A3185">
            <v>3722005</v>
          </cell>
          <cell r="B3185">
            <v>106834</v>
          </cell>
          <cell r="C3185" t="str">
            <v>Blackburn Primary School</v>
          </cell>
          <cell r="D3185" t="str">
            <v>Rotherham</v>
          </cell>
          <cell r="E3185" t="str">
            <v>Community School</v>
          </cell>
          <cell r="F3185" t="str">
            <v>Primary</v>
          </cell>
        </row>
        <row r="3186">
          <cell r="A3186">
            <v>8896012</v>
          </cell>
          <cell r="B3186">
            <v>135933</v>
          </cell>
          <cell r="C3186" t="str">
            <v>Blackburn Raza Muslim Girls School</v>
          </cell>
          <cell r="D3186" t="str">
            <v>Blackburn with Darwen</v>
          </cell>
          <cell r="E3186" t="str">
            <v>Other Independent School</v>
          </cell>
          <cell r="F3186" t="str">
            <v>Not applicable</v>
          </cell>
        </row>
        <row r="3187">
          <cell r="A3187">
            <v>889940</v>
          </cell>
          <cell r="B3187">
            <v>132723</v>
          </cell>
          <cell r="C3187" t="str">
            <v>Blackburn Rovers Study Centre</v>
          </cell>
          <cell r="D3187" t="str">
            <v>Blackburn with Darwen</v>
          </cell>
          <cell r="E3187" t="str">
            <v>Playing for Success Centres</v>
          </cell>
          <cell r="F3187" t="str">
            <v>Not applicable</v>
          </cell>
        </row>
        <row r="3188">
          <cell r="A3188">
            <v>8893002</v>
          </cell>
          <cell r="B3188">
            <v>119355</v>
          </cell>
          <cell r="C3188" t="str">
            <v>Blackburn St Thomas' Church of England Primary School</v>
          </cell>
          <cell r="D3188" t="str">
            <v>Blackburn with Darwen</v>
          </cell>
          <cell r="E3188" t="str">
            <v>Voluntary Controlled School</v>
          </cell>
          <cell r="F3188" t="str">
            <v>Primary</v>
          </cell>
        </row>
        <row r="3189">
          <cell r="A3189">
            <v>8893998</v>
          </cell>
          <cell r="B3189">
            <v>133987</v>
          </cell>
          <cell r="C3189" t="str">
            <v>Blackburn the Redeemer CofE Primary</v>
          </cell>
          <cell r="D3189" t="str">
            <v>Blackburn with Darwen</v>
          </cell>
          <cell r="E3189" t="str">
            <v>Voluntary Aided School</v>
          </cell>
          <cell r="F3189" t="str">
            <v>Primary</v>
          </cell>
        </row>
        <row r="3190">
          <cell r="A3190">
            <v>9262324</v>
          </cell>
          <cell r="B3190">
            <v>120961</v>
          </cell>
          <cell r="C3190" t="str">
            <v>Blackdale Middle School, Norwich</v>
          </cell>
          <cell r="D3190" t="str">
            <v>Norfolk</v>
          </cell>
          <cell r="E3190" t="str">
            <v>Community School</v>
          </cell>
          <cell r="F3190" t="str">
            <v>Middle Deemed Primary</v>
          </cell>
        </row>
        <row r="3191">
          <cell r="A3191">
            <v>9362923</v>
          </cell>
          <cell r="B3191">
            <v>125102</v>
          </cell>
          <cell r="C3191" t="str">
            <v>Blackdown Primary School</v>
          </cell>
          <cell r="D3191" t="str">
            <v>Surrey</v>
          </cell>
          <cell r="E3191" t="str">
            <v>Community School</v>
          </cell>
          <cell r="F3191" t="str">
            <v>Primary</v>
          </cell>
        </row>
        <row r="3192">
          <cell r="A3192">
            <v>3702113</v>
          </cell>
          <cell r="B3192">
            <v>127586</v>
          </cell>
          <cell r="C3192" t="str">
            <v>Blacker Infant School</v>
          </cell>
          <cell r="D3192" t="str">
            <v>Barnsley</v>
          </cell>
          <cell r="E3192" t="str">
            <v>Community School</v>
          </cell>
          <cell r="F3192" t="str">
            <v>Primary</v>
          </cell>
        </row>
        <row r="3193">
          <cell r="A3193">
            <v>3942141</v>
          </cell>
          <cell r="B3193">
            <v>128197</v>
          </cell>
          <cell r="C3193" t="str">
            <v>Blackfell Infant School</v>
          </cell>
          <cell r="D3193" t="str">
            <v>Sunderland</v>
          </cell>
          <cell r="E3193" t="str">
            <v>Community School</v>
          </cell>
          <cell r="F3193" t="str">
            <v>Primary</v>
          </cell>
        </row>
        <row r="3194">
          <cell r="A3194">
            <v>3942140</v>
          </cell>
          <cell r="B3194">
            <v>128196</v>
          </cell>
          <cell r="C3194" t="str">
            <v>Blackfell Junior School</v>
          </cell>
          <cell r="D3194" t="str">
            <v>Sunderland</v>
          </cell>
          <cell r="E3194" t="str">
            <v>Community School</v>
          </cell>
          <cell r="F3194" t="str">
            <v>Primary</v>
          </cell>
        </row>
        <row r="3195">
          <cell r="A3195">
            <v>3942179</v>
          </cell>
          <cell r="B3195">
            <v>108833</v>
          </cell>
          <cell r="C3195" t="str">
            <v>Blackfell Primary School</v>
          </cell>
          <cell r="D3195" t="str">
            <v>Sunderland</v>
          </cell>
          <cell r="E3195" t="str">
            <v>Community School</v>
          </cell>
          <cell r="F3195" t="str">
            <v>Primary</v>
          </cell>
        </row>
        <row r="3196">
          <cell r="A3196">
            <v>3034008</v>
          </cell>
          <cell r="B3196">
            <v>101465</v>
          </cell>
          <cell r="C3196" t="str">
            <v>Blackfen School for Girls</v>
          </cell>
          <cell r="D3196" t="str">
            <v>Bexley</v>
          </cell>
          <cell r="E3196" t="str">
            <v>Community School</v>
          </cell>
          <cell r="F3196" t="str">
            <v>Secondary</v>
          </cell>
        </row>
        <row r="3197">
          <cell r="A3197">
            <v>8502078</v>
          </cell>
          <cell r="B3197">
            <v>115895</v>
          </cell>
          <cell r="C3197" t="str">
            <v>Blackfield Infant School</v>
          </cell>
          <cell r="D3197" t="str">
            <v>Hampshire</v>
          </cell>
          <cell r="E3197" t="str">
            <v>Community School</v>
          </cell>
          <cell r="F3197" t="str">
            <v>Primary</v>
          </cell>
        </row>
        <row r="3198">
          <cell r="A3198">
            <v>8505205</v>
          </cell>
          <cell r="B3198">
            <v>116485</v>
          </cell>
          <cell r="C3198" t="str">
            <v>Blackfield Primary School</v>
          </cell>
          <cell r="D3198" t="str">
            <v>Hampshire</v>
          </cell>
          <cell r="E3198" t="str">
            <v>Foundation School</v>
          </cell>
          <cell r="F3198" t="str">
            <v>Primary</v>
          </cell>
        </row>
        <row r="3199">
          <cell r="A3199">
            <v>9093301</v>
          </cell>
          <cell r="B3199">
            <v>112300</v>
          </cell>
          <cell r="C3199" t="str">
            <v>Blackford CofE Primary School</v>
          </cell>
          <cell r="D3199" t="str">
            <v>Cumbria</v>
          </cell>
          <cell r="E3199" t="str">
            <v>Voluntary Aided School</v>
          </cell>
          <cell r="F3199" t="str">
            <v>Primary</v>
          </cell>
        </row>
        <row r="3200">
          <cell r="A3200">
            <v>8553013</v>
          </cell>
          <cell r="B3200">
            <v>120117</v>
          </cell>
          <cell r="C3200" t="str">
            <v>Blackfordby St Margaret's Church of England (Aided) Primary School</v>
          </cell>
          <cell r="D3200" t="str">
            <v>Leicestershire</v>
          </cell>
          <cell r="E3200" t="str">
            <v>Voluntary Aided School</v>
          </cell>
          <cell r="F3200" t="str">
            <v>Primary</v>
          </cell>
        </row>
        <row r="3201">
          <cell r="A3201">
            <v>8607026</v>
          </cell>
          <cell r="B3201">
            <v>124510</v>
          </cell>
          <cell r="C3201" t="str">
            <v>Blackfriars School</v>
          </cell>
          <cell r="D3201" t="str">
            <v>Staffordshire</v>
          </cell>
          <cell r="E3201" t="str">
            <v>Community Special School</v>
          </cell>
          <cell r="F3201" t="str">
            <v>Special</v>
          </cell>
        </row>
        <row r="3202">
          <cell r="A3202">
            <v>3832284</v>
          </cell>
          <cell r="B3202">
            <v>107818</v>
          </cell>
          <cell r="C3202" t="str">
            <v>Blackgates Infant School</v>
          </cell>
          <cell r="D3202" t="str">
            <v>Leeds</v>
          </cell>
          <cell r="E3202" t="str">
            <v>Community School</v>
          </cell>
          <cell r="F3202" t="str">
            <v>Primary</v>
          </cell>
        </row>
        <row r="3203">
          <cell r="A3203">
            <v>3832318</v>
          </cell>
          <cell r="B3203">
            <v>107836</v>
          </cell>
          <cell r="C3203" t="str">
            <v>Blackgates Primary School</v>
          </cell>
          <cell r="D3203" t="str">
            <v>Leeds</v>
          </cell>
          <cell r="E3203" t="str">
            <v>Community School</v>
          </cell>
          <cell r="F3203" t="str">
            <v>Primary</v>
          </cell>
        </row>
        <row r="3204">
          <cell r="A3204">
            <v>3833918</v>
          </cell>
          <cell r="B3204">
            <v>134406</v>
          </cell>
          <cell r="C3204" t="str">
            <v>Blackgates Primary School</v>
          </cell>
          <cell r="D3204" t="str">
            <v>Leeds</v>
          </cell>
          <cell r="E3204" t="str">
            <v>Community School</v>
          </cell>
          <cell r="F3204" t="str">
            <v>Primary</v>
          </cell>
        </row>
        <row r="3205">
          <cell r="A3205">
            <v>8402737</v>
          </cell>
          <cell r="B3205">
            <v>114201</v>
          </cell>
          <cell r="C3205" t="str">
            <v>Blackhall Colliery Primary School</v>
          </cell>
          <cell r="D3205" t="str">
            <v>Durham</v>
          </cell>
          <cell r="E3205" t="str">
            <v>Community School</v>
          </cell>
          <cell r="F3205" t="str">
            <v>Primary</v>
          </cell>
        </row>
        <row r="3206">
          <cell r="A3206">
            <v>2034715</v>
          </cell>
          <cell r="B3206">
            <v>100195</v>
          </cell>
          <cell r="C3206" t="str">
            <v>Blackheath Bluecoat Church of England School</v>
          </cell>
          <cell r="D3206" t="str">
            <v>Greenwich</v>
          </cell>
          <cell r="E3206" t="str">
            <v>Voluntary Aided School</v>
          </cell>
          <cell r="F3206" t="str">
            <v>Secondary</v>
          </cell>
        </row>
        <row r="3207">
          <cell r="A3207">
            <v>2036295</v>
          </cell>
          <cell r="B3207">
            <v>100756</v>
          </cell>
          <cell r="C3207" t="str">
            <v>Blackheath High School</v>
          </cell>
          <cell r="D3207" t="str">
            <v>Greenwich</v>
          </cell>
          <cell r="E3207" t="str">
            <v>Other Independent School</v>
          </cell>
          <cell r="F3207" t="str">
            <v>Not applicable</v>
          </cell>
        </row>
        <row r="3208">
          <cell r="A3208">
            <v>2096359</v>
          </cell>
          <cell r="B3208">
            <v>131166</v>
          </cell>
          <cell r="C3208" t="str">
            <v>Blackheath High School</v>
          </cell>
          <cell r="D3208" t="str">
            <v>Lewisham</v>
          </cell>
          <cell r="E3208" t="str">
            <v>Other Independent School</v>
          </cell>
          <cell r="F3208" t="str">
            <v>Not applicable</v>
          </cell>
        </row>
        <row r="3209">
          <cell r="A3209">
            <v>3332107</v>
          </cell>
          <cell r="B3209">
            <v>127156</v>
          </cell>
          <cell r="C3209" t="str">
            <v>Blackheath Infant and Nursery School</v>
          </cell>
          <cell r="D3209" t="str">
            <v>Sandwell</v>
          </cell>
          <cell r="E3209" t="str">
            <v>Community School</v>
          </cell>
          <cell r="F3209" t="str">
            <v>Primary</v>
          </cell>
        </row>
        <row r="3210">
          <cell r="A3210">
            <v>3332106</v>
          </cell>
          <cell r="B3210">
            <v>127155</v>
          </cell>
          <cell r="C3210" t="str">
            <v>Blackheath Junior School</v>
          </cell>
          <cell r="D3210" t="str">
            <v>Sandwell</v>
          </cell>
          <cell r="E3210" t="str">
            <v>Community School</v>
          </cell>
          <cell r="F3210" t="str">
            <v>Primary</v>
          </cell>
        </row>
        <row r="3211">
          <cell r="A3211">
            <v>2036114</v>
          </cell>
          <cell r="B3211">
            <v>100199</v>
          </cell>
          <cell r="C3211" t="str">
            <v>Blackheath Preparatory School</v>
          </cell>
          <cell r="D3211" t="str">
            <v>Greenwich</v>
          </cell>
          <cell r="E3211" t="str">
            <v>Other Independent School</v>
          </cell>
          <cell r="F3211" t="str">
            <v>Not applicable</v>
          </cell>
        </row>
        <row r="3212">
          <cell r="A3212">
            <v>3332176</v>
          </cell>
          <cell r="B3212">
            <v>103981</v>
          </cell>
          <cell r="C3212" t="str">
            <v>Blackheath Primary School</v>
          </cell>
          <cell r="D3212" t="str">
            <v>Sandwell</v>
          </cell>
          <cell r="E3212" t="str">
            <v>Community School</v>
          </cell>
          <cell r="F3212" t="str">
            <v>Primary</v>
          </cell>
        </row>
        <row r="3213">
          <cell r="A3213">
            <v>9132265</v>
          </cell>
          <cell r="B3213">
            <v>114042</v>
          </cell>
          <cell r="C3213" t="str">
            <v>Blackhill Infant School</v>
          </cell>
          <cell r="D3213" t="str">
            <v>Pre LGR (1997) Durham</v>
          </cell>
          <cell r="E3213" t="str">
            <v>Community School</v>
          </cell>
          <cell r="F3213" t="str">
            <v>Primary</v>
          </cell>
        </row>
        <row r="3214">
          <cell r="A3214">
            <v>3202026</v>
          </cell>
          <cell r="B3214">
            <v>127034</v>
          </cell>
          <cell r="C3214" t="str">
            <v>Blackhorse Infant School</v>
          </cell>
          <cell r="D3214" t="str">
            <v>Waltham Forest</v>
          </cell>
          <cell r="E3214" t="str">
            <v>Community School</v>
          </cell>
          <cell r="F3214" t="str">
            <v>Primary</v>
          </cell>
        </row>
        <row r="3215">
          <cell r="A3215">
            <v>8032317</v>
          </cell>
          <cell r="B3215">
            <v>109121</v>
          </cell>
          <cell r="C3215" t="str">
            <v>Blackhorse Primary School</v>
          </cell>
          <cell r="D3215" t="str">
            <v>South Gloucestershire</v>
          </cell>
          <cell r="E3215" t="str">
            <v>Community School</v>
          </cell>
          <cell r="F3215" t="str">
            <v>Primary</v>
          </cell>
        </row>
        <row r="3216">
          <cell r="A3216">
            <v>8452129</v>
          </cell>
          <cell r="B3216">
            <v>114456</v>
          </cell>
          <cell r="C3216" t="str">
            <v>Blacklands Primary School</v>
          </cell>
          <cell r="D3216" t="str">
            <v>East Sussex</v>
          </cell>
          <cell r="E3216" t="str">
            <v>Community School</v>
          </cell>
          <cell r="F3216" t="str">
            <v>Primary</v>
          </cell>
        </row>
        <row r="3217">
          <cell r="A3217">
            <v>3522005</v>
          </cell>
          <cell r="B3217">
            <v>137689</v>
          </cell>
          <cell r="C3217" t="str">
            <v>Blackley Academy</v>
          </cell>
          <cell r="D3217" t="str">
            <v>Manchester</v>
          </cell>
          <cell r="E3217" t="str">
            <v>Academy Sponsor Led</v>
          </cell>
          <cell r="F3217" t="str">
            <v>Primary</v>
          </cell>
        </row>
        <row r="3218">
          <cell r="A3218">
            <v>3402049</v>
          </cell>
          <cell r="B3218">
            <v>104445</v>
          </cell>
          <cell r="C3218" t="str">
            <v>Blacklow Brow Primary School</v>
          </cell>
          <cell r="D3218" t="str">
            <v>Knowsley</v>
          </cell>
          <cell r="E3218" t="str">
            <v>Community School</v>
          </cell>
          <cell r="F3218" t="str">
            <v>Primary</v>
          </cell>
        </row>
        <row r="3219">
          <cell r="A3219">
            <v>8847004</v>
          </cell>
          <cell r="B3219">
            <v>117052</v>
          </cell>
          <cell r="C3219" t="str">
            <v>Blackmarston School</v>
          </cell>
          <cell r="D3219" t="str">
            <v>Herefordshire</v>
          </cell>
          <cell r="E3219" t="str">
            <v>Community Special School</v>
          </cell>
          <cell r="F3219" t="str">
            <v>Special</v>
          </cell>
        </row>
        <row r="3220">
          <cell r="A3220">
            <v>8854408</v>
          </cell>
          <cell r="B3220">
            <v>116960</v>
          </cell>
          <cell r="C3220" t="str">
            <v>Blackminster Middle School</v>
          </cell>
          <cell r="D3220" t="str">
            <v>Worcestershire</v>
          </cell>
          <cell r="E3220" t="str">
            <v>Community School</v>
          </cell>
          <cell r="F3220" t="str">
            <v>Middle Deemed Secondary</v>
          </cell>
        </row>
        <row r="3221">
          <cell r="A3221">
            <v>3412171</v>
          </cell>
          <cell r="B3221">
            <v>104592</v>
          </cell>
          <cell r="C3221" t="str">
            <v>Blackmoor Park Infants' School</v>
          </cell>
          <cell r="D3221" t="str">
            <v>Liverpool</v>
          </cell>
          <cell r="E3221" t="str">
            <v>Community School</v>
          </cell>
          <cell r="F3221" t="str">
            <v>Primary</v>
          </cell>
        </row>
        <row r="3222">
          <cell r="A3222">
            <v>3412017</v>
          </cell>
          <cell r="B3222">
            <v>104521</v>
          </cell>
          <cell r="C3222" t="str">
            <v>Blackmoor Park Junior School</v>
          </cell>
          <cell r="D3222" t="str">
            <v>Liverpool</v>
          </cell>
          <cell r="E3222" t="str">
            <v>Community School</v>
          </cell>
          <cell r="F3222" t="str">
            <v>Primary</v>
          </cell>
        </row>
        <row r="3223">
          <cell r="A3223">
            <v>8812640</v>
          </cell>
          <cell r="B3223">
            <v>114929</v>
          </cell>
          <cell r="C3223" t="str">
            <v>Blackmore Primary School</v>
          </cell>
          <cell r="D3223" t="str">
            <v>Essex</v>
          </cell>
          <cell r="E3223" t="str">
            <v>Community School</v>
          </cell>
          <cell r="F3223" t="str">
            <v>Primary</v>
          </cell>
        </row>
        <row r="3224">
          <cell r="A3224">
            <v>8882075</v>
          </cell>
          <cell r="B3224">
            <v>119167</v>
          </cell>
          <cell r="C3224" t="str">
            <v>Blacko Primary School</v>
          </cell>
          <cell r="D3224" t="str">
            <v>Lancashire</v>
          </cell>
          <cell r="E3224" t="str">
            <v>Community School</v>
          </cell>
          <cell r="F3224" t="str">
            <v>Primary</v>
          </cell>
        </row>
        <row r="3225">
          <cell r="A3225">
            <v>8908014</v>
          </cell>
          <cell r="B3225">
            <v>130739</v>
          </cell>
          <cell r="C3225" t="str">
            <v>Blackpool and the Fylde College</v>
          </cell>
          <cell r="D3225" t="str">
            <v>Blackpool</v>
          </cell>
          <cell r="E3225" t="str">
            <v>Further Education</v>
          </cell>
          <cell r="F3225" t="str">
            <v>16 Plus</v>
          </cell>
        </row>
        <row r="3226">
          <cell r="A3226">
            <v>8903619</v>
          </cell>
          <cell r="B3226">
            <v>119593</v>
          </cell>
          <cell r="C3226" t="str">
            <v>Blackpool Baines Endowed Church of England Voluntary Aided Primary School</v>
          </cell>
          <cell r="D3226" t="str">
            <v>Blackpool</v>
          </cell>
          <cell r="E3226" t="str">
            <v>Voluntary Aided School</v>
          </cell>
          <cell r="F3226" t="str">
            <v>Primary</v>
          </cell>
        </row>
        <row r="3227">
          <cell r="A3227">
            <v>8783102</v>
          </cell>
          <cell r="B3227">
            <v>113389</v>
          </cell>
          <cell r="C3227" t="str">
            <v>Blackpool Church of England Primary School</v>
          </cell>
          <cell r="D3227" t="str">
            <v>Devon</v>
          </cell>
          <cell r="E3227" t="str">
            <v>Voluntary Controlled School</v>
          </cell>
          <cell r="F3227" t="str">
            <v>Primary</v>
          </cell>
        </row>
        <row r="3228">
          <cell r="A3228">
            <v>8783102</v>
          </cell>
          <cell r="B3228">
            <v>137665</v>
          </cell>
          <cell r="C3228" t="str">
            <v>Blackpool Church of England Primary School</v>
          </cell>
          <cell r="D3228" t="str">
            <v>Devon</v>
          </cell>
          <cell r="E3228" t="str">
            <v>Academy Converters</v>
          </cell>
          <cell r="F3228" t="str">
            <v>Primary</v>
          </cell>
        </row>
        <row r="3229">
          <cell r="A3229">
            <v>8903621</v>
          </cell>
          <cell r="B3229">
            <v>119595</v>
          </cell>
          <cell r="C3229" t="str">
            <v>Blackpool St John's Church of England Primary School</v>
          </cell>
          <cell r="D3229" t="str">
            <v>Blackpool</v>
          </cell>
          <cell r="E3229" t="str">
            <v>Voluntary Aided School</v>
          </cell>
          <cell r="F3229" t="str">
            <v>Primary</v>
          </cell>
        </row>
        <row r="3230">
          <cell r="A3230">
            <v>8903620</v>
          </cell>
          <cell r="B3230">
            <v>119594</v>
          </cell>
          <cell r="C3230" t="str">
            <v>Blackpool St Nicholas CofE Primary School</v>
          </cell>
          <cell r="D3230" t="str">
            <v>Blackpool</v>
          </cell>
          <cell r="E3230" t="str">
            <v>Voluntary Aided School</v>
          </cell>
          <cell r="F3230" t="str">
            <v>Primary</v>
          </cell>
        </row>
        <row r="3231">
          <cell r="A3231">
            <v>3503023</v>
          </cell>
          <cell r="B3231">
            <v>105211</v>
          </cell>
          <cell r="C3231" t="str">
            <v>Blackrod Anglican/Methodist Primary School</v>
          </cell>
          <cell r="D3231" t="str">
            <v>Bolton</v>
          </cell>
          <cell r="E3231" t="str">
            <v>Voluntary Controlled School</v>
          </cell>
          <cell r="F3231" t="str">
            <v>Primary</v>
          </cell>
        </row>
        <row r="3232">
          <cell r="A3232">
            <v>3502067</v>
          </cell>
          <cell r="B3232">
            <v>105191</v>
          </cell>
          <cell r="C3232" t="str">
            <v>Blackrod Primary School</v>
          </cell>
          <cell r="D3232" t="str">
            <v>Bolton</v>
          </cell>
          <cell r="E3232" t="str">
            <v>Community School</v>
          </cell>
          <cell r="F3232" t="str">
            <v>Primary</v>
          </cell>
        </row>
        <row r="3233">
          <cell r="A3233">
            <v>7076005</v>
          </cell>
          <cell r="B3233">
            <v>133427</v>
          </cell>
          <cell r="C3233" t="str">
            <v>Blacks Academy</v>
          </cell>
          <cell r="D3233" t="str">
            <v>Jersey Offshore Establishments</v>
          </cell>
          <cell r="E3233" t="str">
            <v>Offshore Schools</v>
          </cell>
          <cell r="F3233" t="str">
            <v>Not applicable</v>
          </cell>
        </row>
        <row r="3234">
          <cell r="A3234">
            <v>3532058</v>
          </cell>
          <cell r="B3234">
            <v>105652</v>
          </cell>
          <cell r="C3234" t="str">
            <v>Blackshaw Lane Primary &amp; Nursery School</v>
          </cell>
          <cell r="D3234" t="str">
            <v>Oldham</v>
          </cell>
          <cell r="E3234" t="str">
            <v>Community School</v>
          </cell>
          <cell r="F3234" t="str">
            <v>Primary</v>
          </cell>
        </row>
        <row r="3235">
          <cell r="A3235">
            <v>8603134</v>
          </cell>
          <cell r="B3235">
            <v>124287</v>
          </cell>
          <cell r="C3235" t="str">
            <v>Blackshaw Moor CofE (VC) First School</v>
          </cell>
          <cell r="D3235" t="str">
            <v>Staffordshire</v>
          </cell>
          <cell r="E3235" t="str">
            <v>Voluntary Controlled School</v>
          </cell>
          <cell r="F3235" t="str">
            <v>Primary</v>
          </cell>
        </row>
        <row r="3236">
          <cell r="A3236">
            <v>3502042</v>
          </cell>
          <cell r="B3236">
            <v>105175</v>
          </cell>
          <cell r="C3236" t="str">
            <v>Blackshaw Primary School</v>
          </cell>
          <cell r="D3236" t="str">
            <v>Bolton</v>
          </cell>
          <cell r="E3236" t="str">
            <v>Community School</v>
          </cell>
          <cell r="F3236" t="str">
            <v>Primary</v>
          </cell>
        </row>
        <row r="3237">
          <cell r="A3237">
            <v>9192141</v>
          </cell>
          <cell r="B3237">
            <v>117173</v>
          </cell>
          <cell r="C3237" t="str">
            <v>Blackthorn Junior School</v>
          </cell>
          <cell r="D3237" t="str">
            <v>Hertfordshire</v>
          </cell>
          <cell r="E3237" t="str">
            <v>Community School</v>
          </cell>
          <cell r="F3237" t="str">
            <v>Primary</v>
          </cell>
        </row>
        <row r="3238">
          <cell r="A3238">
            <v>9284081</v>
          </cell>
          <cell r="B3238">
            <v>122085</v>
          </cell>
          <cell r="C3238" t="str">
            <v>Blackthorn Middle School</v>
          </cell>
          <cell r="D3238" t="str">
            <v>Northamptonshire</v>
          </cell>
          <cell r="E3238" t="str">
            <v>Community School</v>
          </cell>
          <cell r="F3238" t="str">
            <v>Middle Deemed Secondary</v>
          </cell>
        </row>
        <row r="3239">
          <cell r="A3239">
            <v>9282195</v>
          </cell>
          <cell r="B3239">
            <v>121937</v>
          </cell>
          <cell r="C3239" t="str">
            <v>Blackthorn Primary School</v>
          </cell>
          <cell r="D3239" t="str">
            <v>Northamptonshire</v>
          </cell>
          <cell r="E3239" t="str">
            <v>Community School</v>
          </cell>
          <cell r="F3239" t="str">
            <v>Primary</v>
          </cell>
        </row>
        <row r="3240">
          <cell r="A3240">
            <v>9382221</v>
          </cell>
          <cell r="B3240">
            <v>125946</v>
          </cell>
          <cell r="C3240" t="str">
            <v>Blackthorns Community Primary School, Lindfield</v>
          </cell>
          <cell r="D3240" t="str">
            <v>West Sussex</v>
          </cell>
          <cell r="E3240" t="str">
            <v>Community School</v>
          </cell>
          <cell r="F3240" t="str">
            <v>Primary</v>
          </cell>
        </row>
        <row r="3241">
          <cell r="A3241">
            <v>9082311</v>
          </cell>
          <cell r="B3241">
            <v>111866</v>
          </cell>
          <cell r="C3241" t="str">
            <v>Blackwater Community Primary School</v>
          </cell>
          <cell r="D3241" t="str">
            <v>Cornwall</v>
          </cell>
          <cell r="E3241" t="str">
            <v>Community School</v>
          </cell>
          <cell r="F3241" t="str">
            <v>Primary</v>
          </cell>
        </row>
        <row r="3242">
          <cell r="A3242">
            <v>8302041</v>
          </cell>
          <cell r="B3242">
            <v>112506</v>
          </cell>
          <cell r="C3242" t="str">
            <v>Blackwell Community Primary and Nursery School</v>
          </cell>
          <cell r="D3242" t="str">
            <v>Derbyshire</v>
          </cell>
          <cell r="E3242" t="str">
            <v>Community School</v>
          </cell>
          <cell r="F3242" t="str">
            <v>Primary</v>
          </cell>
        </row>
        <row r="3243">
          <cell r="A3243">
            <v>9382211</v>
          </cell>
          <cell r="B3243">
            <v>130183</v>
          </cell>
          <cell r="C3243" t="str">
            <v>Blackwell County Junior School</v>
          </cell>
          <cell r="D3243" t="str">
            <v>West Sussex</v>
          </cell>
          <cell r="E3243" t="str">
            <v>Community School</v>
          </cell>
          <cell r="F3243" t="str">
            <v>Primary</v>
          </cell>
        </row>
        <row r="3244">
          <cell r="A3244">
            <v>8852022</v>
          </cell>
          <cell r="B3244">
            <v>116665</v>
          </cell>
          <cell r="C3244" t="str">
            <v>Blackwell First School</v>
          </cell>
          <cell r="D3244" t="str">
            <v>Worcestershire</v>
          </cell>
          <cell r="E3244" t="str">
            <v>Community School</v>
          </cell>
          <cell r="F3244" t="str">
            <v>Primary</v>
          </cell>
        </row>
        <row r="3245">
          <cell r="A3245">
            <v>9382204</v>
          </cell>
          <cell r="B3245">
            <v>130182</v>
          </cell>
          <cell r="C3245" t="str">
            <v>Blackwell Infant School</v>
          </cell>
          <cell r="D3245" t="str">
            <v>West Sussex</v>
          </cell>
          <cell r="E3245" t="str">
            <v>Community School</v>
          </cell>
          <cell r="F3245" t="str">
            <v>Primary</v>
          </cell>
        </row>
        <row r="3246">
          <cell r="A3246">
            <v>9382241</v>
          </cell>
          <cell r="B3246">
            <v>125963</v>
          </cell>
          <cell r="C3246" t="str">
            <v>Blackwell Primary School</v>
          </cell>
          <cell r="D3246" t="str">
            <v>West Sussex</v>
          </cell>
          <cell r="E3246" t="str">
            <v>Community School</v>
          </cell>
          <cell r="F3246" t="str">
            <v>Primary</v>
          </cell>
        </row>
        <row r="3247">
          <cell r="A3247">
            <v>6764046</v>
          </cell>
          <cell r="B3247">
            <v>401832</v>
          </cell>
          <cell r="C3247" t="str">
            <v>Blackwood Comprehensive School</v>
          </cell>
          <cell r="D3247" t="str">
            <v>Caerphilly</v>
          </cell>
          <cell r="E3247" t="str">
            <v>Welsh Establishment</v>
          </cell>
          <cell r="F3247" t="str">
            <v>Secondary</v>
          </cell>
        </row>
        <row r="3248">
          <cell r="A3248">
            <v>6762379</v>
          </cell>
          <cell r="B3248">
            <v>401383</v>
          </cell>
          <cell r="C3248" t="str">
            <v>Blackwood Primary School</v>
          </cell>
          <cell r="D3248" t="str">
            <v>Caerphilly</v>
          </cell>
          <cell r="E3248" t="str">
            <v>Welsh Establishment</v>
          </cell>
          <cell r="F3248" t="str">
            <v>Primary</v>
          </cell>
        </row>
        <row r="3249">
          <cell r="A3249">
            <v>3352234</v>
          </cell>
          <cell r="B3249">
            <v>104211</v>
          </cell>
          <cell r="C3249" t="str">
            <v>Blackwood School</v>
          </cell>
          <cell r="D3249" t="str">
            <v>Walsall</v>
          </cell>
          <cell r="E3249" t="str">
            <v>Community School</v>
          </cell>
          <cell r="F3249" t="str">
            <v>Primary</v>
          </cell>
        </row>
        <row r="3250">
          <cell r="A3250">
            <v>8752057</v>
          </cell>
          <cell r="B3250">
            <v>110978</v>
          </cell>
          <cell r="C3250" t="str">
            <v>Blacon Hall Junior School</v>
          </cell>
          <cell r="D3250" t="str">
            <v>Pre LGR (2009) Cheshire</v>
          </cell>
          <cell r="E3250" t="str">
            <v>Community School</v>
          </cell>
          <cell r="F3250" t="str">
            <v>Primary</v>
          </cell>
        </row>
        <row r="3251">
          <cell r="A3251">
            <v>8964006</v>
          </cell>
          <cell r="B3251">
            <v>111396</v>
          </cell>
          <cell r="C3251" t="str">
            <v>Blacon High School, A Specialist Sports College</v>
          </cell>
          <cell r="D3251" t="str">
            <v>Cheshire West and Chester</v>
          </cell>
          <cell r="E3251" t="str">
            <v>Foundation School</v>
          </cell>
          <cell r="F3251" t="str">
            <v>Secondary</v>
          </cell>
        </row>
        <row r="3252">
          <cell r="A3252">
            <v>8752056</v>
          </cell>
          <cell r="B3252">
            <v>110977</v>
          </cell>
          <cell r="C3252" t="str">
            <v>Blacon Infant School</v>
          </cell>
          <cell r="D3252" t="str">
            <v>Pre LGR (2009) Cheshire</v>
          </cell>
          <cell r="E3252" t="str">
            <v>Community School</v>
          </cell>
          <cell r="F3252" t="str">
            <v>Primary</v>
          </cell>
        </row>
        <row r="3253">
          <cell r="A3253">
            <v>9313146</v>
          </cell>
          <cell r="B3253">
            <v>123119</v>
          </cell>
          <cell r="C3253" t="str">
            <v>Bladon Church of England Primary School</v>
          </cell>
          <cell r="D3253" t="str">
            <v>Oxfordshire</v>
          </cell>
          <cell r="E3253" t="str">
            <v>Voluntary Controlled School</v>
          </cell>
          <cell r="F3253" t="str">
            <v>Primary</v>
          </cell>
        </row>
        <row r="3254">
          <cell r="A3254">
            <v>8306009</v>
          </cell>
          <cell r="B3254">
            <v>113019</v>
          </cell>
          <cell r="C3254" t="str">
            <v>Bladon House School</v>
          </cell>
          <cell r="D3254" t="str">
            <v>Derbyshire</v>
          </cell>
          <cell r="E3254" t="str">
            <v>Other Independent Special School</v>
          </cell>
          <cell r="F3254" t="str">
            <v>Not applicable</v>
          </cell>
        </row>
        <row r="3255">
          <cell r="A3255">
            <v>6783028</v>
          </cell>
          <cell r="B3255">
            <v>402268</v>
          </cell>
          <cell r="C3255" t="str">
            <v>Blaenavon Heritage Voluntary Controlled Primary School</v>
          </cell>
          <cell r="D3255" t="str">
            <v>Torfaen</v>
          </cell>
          <cell r="E3255" t="str">
            <v>Welsh Establishment</v>
          </cell>
          <cell r="F3255" t="str">
            <v>Primary</v>
          </cell>
        </row>
        <row r="3256">
          <cell r="A3256">
            <v>6781010</v>
          </cell>
          <cell r="B3256">
            <v>400028</v>
          </cell>
          <cell r="C3256" t="str">
            <v>Blaenavon Hillside Nursery School</v>
          </cell>
          <cell r="D3256" t="str">
            <v>Torfaen</v>
          </cell>
          <cell r="E3256" t="str">
            <v>Welsh Establishment</v>
          </cell>
          <cell r="F3256" t="str">
            <v>Nursery</v>
          </cell>
        </row>
        <row r="3257">
          <cell r="A3257">
            <v>6712191</v>
          </cell>
          <cell r="B3257">
            <v>400999</v>
          </cell>
          <cell r="C3257" t="str">
            <v>Blaenbaglan Primary School</v>
          </cell>
          <cell r="D3257" t="str">
            <v>Neath Port Talbot</v>
          </cell>
          <cell r="E3257" t="str">
            <v>Welsh Establishment</v>
          </cell>
          <cell r="F3257" t="str">
            <v>Primary</v>
          </cell>
        </row>
        <row r="3258">
          <cell r="A3258">
            <v>6722094</v>
          </cell>
          <cell r="B3258">
            <v>401030</v>
          </cell>
          <cell r="C3258" t="str">
            <v>Blaencaerau Junior School</v>
          </cell>
          <cell r="D3258" t="str">
            <v>Bridgend</v>
          </cell>
          <cell r="E3258" t="str">
            <v>Welsh Establishment</v>
          </cell>
          <cell r="F3258" t="str">
            <v>Primary</v>
          </cell>
        </row>
        <row r="3259">
          <cell r="A3259">
            <v>6742056</v>
          </cell>
          <cell r="B3259">
            <v>401139</v>
          </cell>
          <cell r="C3259" t="str">
            <v>Blaenclydach Infants School</v>
          </cell>
          <cell r="D3259" t="str">
            <v>Rhondda, Cynon, Taff</v>
          </cell>
          <cell r="E3259" t="str">
            <v>Welsh Establishment</v>
          </cell>
          <cell r="F3259" t="str">
            <v>Primary</v>
          </cell>
        </row>
        <row r="3260">
          <cell r="A3260">
            <v>6712101</v>
          </cell>
          <cell r="B3260">
            <v>400952</v>
          </cell>
          <cell r="C3260" t="str">
            <v>Blaendulais Primary School</v>
          </cell>
          <cell r="D3260" t="str">
            <v>Neath Port Talbot</v>
          </cell>
          <cell r="E3260" t="str">
            <v>Welsh Establishment</v>
          </cell>
          <cell r="F3260" t="str">
            <v>Primary</v>
          </cell>
        </row>
        <row r="3261">
          <cell r="A3261">
            <v>6722055</v>
          </cell>
          <cell r="B3261">
            <v>401027</v>
          </cell>
          <cell r="C3261" t="str">
            <v>Blaengarw Primary School</v>
          </cell>
          <cell r="D3261" t="str">
            <v>Bridgend</v>
          </cell>
          <cell r="E3261" t="str">
            <v>Welsh Establishment</v>
          </cell>
          <cell r="F3261" t="str">
            <v>Primary</v>
          </cell>
        </row>
        <row r="3262">
          <cell r="A3262">
            <v>6744056</v>
          </cell>
          <cell r="B3262">
            <v>401811</v>
          </cell>
          <cell r="C3262" t="str">
            <v>Blaengwawr Comprehensive School</v>
          </cell>
          <cell r="D3262" t="str">
            <v>Rhondda, Cynon, Taff</v>
          </cell>
          <cell r="E3262" t="str">
            <v>Welsh Establishment</v>
          </cell>
          <cell r="F3262" t="str">
            <v>Secondary</v>
          </cell>
        </row>
        <row r="3263">
          <cell r="A3263">
            <v>6742070</v>
          </cell>
          <cell r="B3263">
            <v>401146</v>
          </cell>
          <cell r="C3263" t="str">
            <v>Blaengwawr Primary School</v>
          </cell>
          <cell r="D3263" t="str">
            <v>Rhondda, Cynon, Taff</v>
          </cell>
          <cell r="E3263" t="str">
            <v>Welsh Establishment</v>
          </cell>
          <cell r="F3263" t="str">
            <v>Primary</v>
          </cell>
        </row>
        <row r="3264">
          <cell r="A3264">
            <v>6712106</v>
          </cell>
          <cell r="B3264">
            <v>400953</v>
          </cell>
          <cell r="C3264" t="str">
            <v>Blaengwrach Primary School</v>
          </cell>
          <cell r="D3264" t="str">
            <v>Neath Port Talbot</v>
          </cell>
          <cell r="E3264" t="str">
            <v>Welsh Establishment</v>
          </cell>
          <cell r="F3264" t="str">
            <v>Primary</v>
          </cell>
        </row>
        <row r="3265">
          <cell r="A3265">
            <v>6712110</v>
          </cell>
          <cell r="B3265">
            <v>400954</v>
          </cell>
          <cell r="C3265" t="str">
            <v>Blaenhonddan Primary School</v>
          </cell>
          <cell r="D3265" t="str">
            <v>Neath Port Talbot</v>
          </cell>
          <cell r="E3265" t="str">
            <v>Welsh Establishment</v>
          </cell>
          <cell r="F3265" t="str">
            <v>Primary</v>
          </cell>
        </row>
        <row r="3266">
          <cell r="A3266">
            <v>6742062</v>
          </cell>
          <cell r="B3266">
            <v>401143</v>
          </cell>
          <cell r="C3266" t="str">
            <v>Blaenllechau Infant School</v>
          </cell>
          <cell r="D3266" t="str">
            <v>Rhondda, Cynon, Taff</v>
          </cell>
          <cell r="E3266" t="str">
            <v>Welsh Establishment</v>
          </cell>
          <cell r="F3266" t="str">
            <v>Primary</v>
          </cell>
        </row>
        <row r="3267">
          <cell r="A3267">
            <v>6722332</v>
          </cell>
          <cell r="B3267">
            <v>401070</v>
          </cell>
          <cell r="C3267" t="str">
            <v>Blaenllynfi Infants School</v>
          </cell>
          <cell r="D3267" t="str">
            <v>Bridgend</v>
          </cell>
          <cell r="E3267" t="str">
            <v>Welsh Establishment</v>
          </cell>
          <cell r="F3267" t="str">
            <v>Primary</v>
          </cell>
        </row>
        <row r="3268">
          <cell r="A3268">
            <v>6772170</v>
          </cell>
          <cell r="B3268">
            <v>401393</v>
          </cell>
          <cell r="C3268" t="str">
            <v>Blaentillery Primary School</v>
          </cell>
          <cell r="D3268" t="str">
            <v>Blaenau Gwent</v>
          </cell>
          <cell r="E3268" t="str">
            <v>Welsh Establishment</v>
          </cell>
          <cell r="F3268" t="str">
            <v>Primary</v>
          </cell>
        </row>
        <row r="3269">
          <cell r="A3269">
            <v>6772306</v>
          </cell>
          <cell r="B3269">
            <v>401411</v>
          </cell>
          <cell r="C3269" t="str">
            <v>Blaen-Y-Cwm C.P. School</v>
          </cell>
          <cell r="D3269" t="str">
            <v>Blaenau Gwent</v>
          </cell>
          <cell r="E3269" t="str">
            <v>Welsh Establishment</v>
          </cell>
          <cell r="F3269" t="str">
            <v>Primary</v>
          </cell>
        </row>
        <row r="3270">
          <cell r="A3270">
            <v>6702082</v>
          </cell>
          <cell r="B3270">
            <v>400898</v>
          </cell>
          <cell r="C3270" t="str">
            <v>Blaenymaes Primary School</v>
          </cell>
          <cell r="D3270" t="str">
            <v>Swansea</v>
          </cell>
          <cell r="E3270" t="str">
            <v>Welsh Establishment</v>
          </cell>
          <cell r="F3270" t="str">
            <v>Primary</v>
          </cell>
        </row>
        <row r="3271">
          <cell r="A3271">
            <v>9332210</v>
          </cell>
          <cell r="B3271">
            <v>123704</v>
          </cell>
          <cell r="C3271" t="str">
            <v>Blagdon Hill Primary School</v>
          </cell>
          <cell r="D3271" t="str">
            <v>Somerset</v>
          </cell>
          <cell r="E3271" t="str">
            <v>Community School</v>
          </cell>
          <cell r="F3271" t="str">
            <v>Primary</v>
          </cell>
        </row>
        <row r="3272">
          <cell r="A3272">
            <v>8701000</v>
          </cell>
          <cell r="B3272">
            <v>109748</v>
          </cell>
          <cell r="C3272" t="str">
            <v>Blagdon Nursery School and Children's Centre</v>
          </cell>
          <cell r="D3272" t="str">
            <v>Reading</v>
          </cell>
          <cell r="E3272" t="str">
            <v>LA Nursery School</v>
          </cell>
          <cell r="F3272" t="str">
            <v>Nursery</v>
          </cell>
        </row>
        <row r="3273">
          <cell r="A3273">
            <v>8022272</v>
          </cell>
          <cell r="B3273">
            <v>109091</v>
          </cell>
          <cell r="C3273" t="str">
            <v>Blagdon Primary School</v>
          </cell>
          <cell r="D3273" t="str">
            <v>North Somerset</v>
          </cell>
          <cell r="E3273" t="str">
            <v>Community School</v>
          </cell>
          <cell r="F3273" t="str">
            <v>Primary</v>
          </cell>
        </row>
        <row r="3274">
          <cell r="A3274">
            <v>8701001</v>
          </cell>
          <cell r="B3274">
            <v>109749</v>
          </cell>
          <cell r="C3274" t="str">
            <v>Blagrave Nursery School</v>
          </cell>
          <cell r="D3274" t="str">
            <v>Reading</v>
          </cell>
          <cell r="E3274" t="str">
            <v>LA Nursery School</v>
          </cell>
          <cell r="F3274" t="str">
            <v>Nursery</v>
          </cell>
        </row>
        <row r="3275">
          <cell r="A3275">
            <v>6772196</v>
          </cell>
          <cell r="B3275">
            <v>401401</v>
          </cell>
          <cell r="C3275" t="str">
            <v>Blaina Infant School</v>
          </cell>
          <cell r="D3275" t="str">
            <v>Blaenau Gwent</v>
          </cell>
          <cell r="E3275" t="str">
            <v>Welsh Establishment</v>
          </cell>
          <cell r="F3275" t="str">
            <v>Not applicable</v>
          </cell>
        </row>
        <row r="3276">
          <cell r="A3276">
            <v>6772195</v>
          </cell>
          <cell r="B3276">
            <v>401400</v>
          </cell>
          <cell r="C3276" t="str">
            <v>Blaina Junior School</v>
          </cell>
          <cell r="D3276" t="str">
            <v>Blaenau Gwent</v>
          </cell>
          <cell r="E3276" t="str">
            <v>Welsh Establishment</v>
          </cell>
          <cell r="F3276" t="str">
            <v>Not applicable</v>
          </cell>
        </row>
        <row r="3277">
          <cell r="A3277">
            <v>3072157</v>
          </cell>
          <cell r="B3277">
            <v>126871</v>
          </cell>
          <cell r="C3277" t="str">
            <v>Blair Peach First and Nursery School</v>
          </cell>
          <cell r="D3277" t="str">
            <v>Ealing</v>
          </cell>
          <cell r="E3277" t="str">
            <v>Community School</v>
          </cell>
          <cell r="F3277" t="str">
            <v>Primary</v>
          </cell>
        </row>
        <row r="3278">
          <cell r="A3278">
            <v>3072158</v>
          </cell>
          <cell r="B3278">
            <v>126872</v>
          </cell>
          <cell r="C3278" t="str">
            <v>Blair Peach Middle School</v>
          </cell>
          <cell r="D3278" t="str">
            <v>Ealing</v>
          </cell>
          <cell r="E3278" t="str">
            <v>Community School</v>
          </cell>
          <cell r="F3278" t="str">
            <v>Middle Deemed Primary</v>
          </cell>
        </row>
        <row r="3279">
          <cell r="A3279">
            <v>3072162</v>
          </cell>
          <cell r="B3279">
            <v>101892</v>
          </cell>
          <cell r="C3279" t="str">
            <v>Blair Peach Primary School</v>
          </cell>
          <cell r="D3279" t="str">
            <v>Ealing</v>
          </cell>
          <cell r="E3279" t="str">
            <v>Community School</v>
          </cell>
          <cell r="F3279" t="str">
            <v>Primary</v>
          </cell>
        </row>
        <row r="3280">
          <cell r="A3280">
            <v>8012314</v>
          </cell>
          <cell r="B3280">
            <v>109118</v>
          </cell>
          <cell r="C3280" t="str">
            <v>Blaise Primary and Nursery School</v>
          </cell>
          <cell r="D3280" t="str">
            <v>Bristol City of</v>
          </cell>
          <cell r="E3280" t="str">
            <v>Community School</v>
          </cell>
          <cell r="F3280" t="str">
            <v>Primary</v>
          </cell>
        </row>
        <row r="3281">
          <cell r="A3281">
            <v>8604071</v>
          </cell>
          <cell r="B3281">
            <v>124398</v>
          </cell>
          <cell r="C3281" t="str">
            <v>Blake Valley Technology College</v>
          </cell>
          <cell r="D3281" t="str">
            <v>Staffordshire</v>
          </cell>
          <cell r="E3281" t="str">
            <v>Community School</v>
          </cell>
          <cell r="F3281" t="str">
            <v>Secondary</v>
          </cell>
        </row>
        <row r="3282">
          <cell r="A3282">
            <v>8857005</v>
          </cell>
          <cell r="B3282">
            <v>117053</v>
          </cell>
          <cell r="C3282" t="str">
            <v>Blakebrook School</v>
          </cell>
          <cell r="D3282" t="str">
            <v>Worcestershire</v>
          </cell>
          <cell r="E3282" t="str">
            <v>Community Special School</v>
          </cell>
          <cell r="F3282" t="str">
            <v>Special</v>
          </cell>
        </row>
        <row r="3283">
          <cell r="A3283">
            <v>8853005</v>
          </cell>
          <cell r="B3283">
            <v>116784</v>
          </cell>
          <cell r="C3283" t="str">
            <v>Blakedown CofE Primary School</v>
          </cell>
          <cell r="D3283" t="str">
            <v>Worcestershire</v>
          </cell>
          <cell r="E3283" t="str">
            <v>Voluntary Controlled School</v>
          </cell>
          <cell r="F3283" t="str">
            <v>Primary</v>
          </cell>
        </row>
        <row r="3284">
          <cell r="A3284">
            <v>3802062</v>
          </cell>
          <cell r="B3284">
            <v>107224</v>
          </cell>
          <cell r="C3284" t="str">
            <v>Blakehill Primary School</v>
          </cell>
          <cell r="D3284" t="str">
            <v>Bradford</v>
          </cell>
          <cell r="E3284" t="str">
            <v>Community School</v>
          </cell>
          <cell r="F3284" t="str">
            <v>Primary</v>
          </cell>
        </row>
        <row r="3285">
          <cell r="A3285">
            <v>3914482</v>
          </cell>
          <cell r="B3285">
            <v>108527</v>
          </cell>
          <cell r="C3285" t="str">
            <v>Blakelaw School</v>
          </cell>
          <cell r="D3285" t="str">
            <v>Newcastle upon Tyne</v>
          </cell>
          <cell r="E3285" t="str">
            <v>Community School</v>
          </cell>
          <cell r="F3285" t="str">
            <v>Secondary</v>
          </cell>
        </row>
        <row r="3286">
          <cell r="A3286">
            <v>9342311</v>
          </cell>
          <cell r="B3286">
            <v>129898</v>
          </cell>
          <cell r="C3286" t="str">
            <v>Blakeley Heath First School</v>
          </cell>
          <cell r="D3286" t="str">
            <v>Pre LGR (1997) Staffordshire</v>
          </cell>
          <cell r="E3286" t="str">
            <v>Community School</v>
          </cell>
          <cell r="F3286" t="str">
            <v>Primary</v>
          </cell>
        </row>
        <row r="3287">
          <cell r="A3287">
            <v>8602396</v>
          </cell>
          <cell r="B3287">
            <v>124192</v>
          </cell>
          <cell r="C3287" t="str">
            <v>Blakeley Heath Primary School</v>
          </cell>
          <cell r="D3287" t="str">
            <v>Staffordshire</v>
          </cell>
          <cell r="E3287" t="str">
            <v>Community School</v>
          </cell>
          <cell r="F3287" t="str">
            <v>Primary</v>
          </cell>
        </row>
        <row r="3288">
          <cell r="A3288">
            <v>3337016</v>
          </cell>
          <cell r="B3288">
            <v>104035</v>
          </cell>
          <cell r="C3288" t="str">
            <v>Blakeley School</v>
          </cell>
          <cell r="D3288" t="str">
            <v>Sandwell</v>
          </cell>
          <cell r="E3288" t="str">
            <v>Community Special School</v>
          </cell>
          <cell r="F3288" t="str">
            <v>Special</v>
          </cell>
        </row>
        <row r="3289">
          <cell r="A3289">
            <v>3352002</v>
          </cell>
          <cell r="B3289">
            <v>104144</v>
          </cell>
          <cell r="C3289" t="str">
            <v>Blakenall Heath Junior School</v>
          </cell>
          <cell r="D3289" t="str">
            <v>Walsall</v>
          </cell>
          <cell r="E3289" t="str">
            <v>Community School</v>
          </cell>
          <cell r="F3289" t="str">
            <v>Primary</v>
          </cell>
        </row>
        <row r="3290">
          <cell r="A3290">
            <v>9263306</v>
          </cell>
          <cell r="B3290">
            <v>121108</v>
          </cell>
          <cell r="C3290" t="str">
            <v>Blakeney Church of England Voluntary Aided Primary School</v>
          </cell>
          <cell r="D3290" t="str">
            <v>Norfolk</v>
          </cell>
          <cell r="E3290" t="str">
            <v>Voluntary Aided School</v>
          </cell>
          <cell r="F3290" t="str">
            <v>Primary</v>
          </cell>
        </row>
        <row r="3291">
          <cell r="A3291">
            <v>9162042</v>
          </cell>
          <cell r="B3291">
            <v>115502</v>
          </cell>
          <cell r="C3291" t="str">
            <v>Blakeney Primary School</v>
          </cell>
          <cell r="D3291" t="str">
            <v>Gloucestershire</v>
          </cell>
          <cell r="E3291" t="str">
            <v>Community School</v>
          </cell>
          <cell r="F3291" t="str">
            <v>Primary</v>
          </cell>
        </row>
        <row r="3292">
          <cell r="A3292">
            <v>3302028</v>
          </cell>
          <cell r="B3292">
            <v>103171</v>
          </cell>
          <cell r="C3292" t="str">
            <v>Blakenhale Infant School</v>
          </cell>
          <cell r="D3292" t="str">
            <v>Birmingham</v>
          </cell>
          <cell r="E3292" t="str">
            <v>Community School</v>
          </cell>
          <cell r="F3292" t="str">
            <v>Primary</v>
          </cell>
        </row>
        <row r="3293">
          <cell r="A3293">
            <v>3302027</v>
          </cell>
          <cell r="B3293">
            <v>103170</v>
          </cell>
          <cell r="C3293" t="str">
            <v>Blakenhale Junior School</v>
          </cell>
          <cell r="D3293" t="str">
            <v>Birmingham</v>
          </cell>
          <cell r="E3293" t="str">
            <v>Community School</v>
          </cell>
          <cell r="F3293" t="str">
            <v>Primary</v>
          </cell>
        </row>
        <row r="3294">
          <cell r="A3294">
            <v>9283006</v>
          </cell>
          <cell r="B3294">
            <v>121959</v>
          </cell>
          <cell r="C3294" t="str">
            <v>Blakesley Church of England Primary School</v>
          </cell>
          <cell r="D3294" t="str">
            <v>Northamptonshire</v>
          </cell>
          <cell r="E3294" t="str">
            <v>Voluntary Controlled School</v>
          </cell>
          <cell r="F3294" t="str">
            <v>Primary</v>
          </cell>
        </row>
        <row r="3295">
          <cell r="A3295">
            <v>3302254</v>
          </cell>
          <cell r="B3295">
            <v>103300</v>
          </cell>
          <cell r="C3295" t="str">
            <v>Blakesley Hall Primary School</v>
          </cell>
          <cell r="D3295" t="str">
            <v>Birmingham</v>
          </cell>
          <cell r="E3295" t="str">
            <v>Community School</v>
          </cell>
          <cell r="F3295" t="str">
            <v>Primary</v>
          </cell>
        </row>
        <row r="3296">
          <cell r="A3296">
            <v>8084106</v>
          </cell>
          <cell r="B3296">
            <v>111734</v>
          </cell>
          <cell r="C3296" t="str">
            <v>Blakeston School - A Community Sports College</v>
          </cell>
          <cell r="D3296" t="str">
            <v>Stockton-on-Tees</v>
          </cell>
          <cell r="E3296" t="str">
            <v>Community School</v>
          </cell>
          <cell r="F3296" t="str">
            <v>Secondary</v>
          </cell>
        </row>
        <row r="3297">
          <cell r="A3297">
            <v>8894799</v>
          </cell>
          <cell r="B3297">
            <v>134906</v>
          </cell>
          <cell r="C3297" t="str">
            <v>Blakewater College</v>
          </cell>
          <cell r="D3297" t="str">
            <v>Blackburn with Darwen</v>
          </cell>
          <cell r="E3297" t="str">
            <v>Foundation School</v>
          </cell>
          <cell r="F3297" t="str">
            <v>Secondary</v>
          </cell>
        </row>
        <row r="3298">
          <cell r="A3298">
            <v>3097000</v>
          </cell>
          <cell r="B3298">
            <v>102175</v>
          </cell>
          <cell r="C3298" t="str">
            <v>Blanche Nevile School</v>
          </cell>
          <cell r="D3298" t="str">
            <v>Haringey</v>
          </cell>
          <cell r="E3298" t="str">
            <v>Community Special School</v>
          </cell>
          <cell r="F3298" t="str">
            <v>Special</v>
          </cell>
        </row>
        <row r="3299">
          <cell r="A3299">
            <v>7066003</v>
          </cell>
          <cell r="B3299">
            <v>132507</v>
          </cell>
          <cell r="C3299" t="str">
            <v>Blanchelande Girls' College</v>
          </cell>
          <cell r="D3299" t="str">
            <v>Guernsey Offshore Establishments</v>
          </cell>
          <cell r="E3299" t="str">
            <v>Offshore Schools</v>
          </cell>
          <cell r="F3299" t="str">
            <v>Not applicable</v>
          </cell>
        </row>
        <row r="3300">
          <cell r="A3300">
            <v>8353304</v>
          </cell>
          <cell r="B3300">
            <v>113795</v>
          </cell>
          <cell r="C3300" t="str">
            <v>Blandford St Mary Church of England Voluntary Aided Primary School</v>
          </cell>
          <cell r="D3300" t="str">
            <v>Dorset</v>
          </cell>
          <cell r="E3300" t="str">
            <v>Voluntary Aided School</v>
          </cell>
          <cell r="F3300" t="str">
            <v>Primary</v>
          </cell>
        </row>
        <row r="3301">
          <cell r="A3301">
            <v>3322077</v>
          </cell>
          <cell r="B3301">
            <v>103792</v>
          </cell>
          <cell r="C3301" t="str">
            <v>Blanford Mere Primary School</v>
          </cell>
          <cell r="D3301" t="str">
            <v>Dudley</v>
          </cell>
          <cell r="E3301" t="str">
            <v>Community School</v>
          </cell>
          <cell r="F3301" t="str">
            <v>Primary</v>
          </cell>
        </row>
        <row r="3302">
          <cell r="A3302">
            <v>8464067</v>
          </cell>
          <cell r="B3302">
            <v>114606</v>
          </cell>
          <cell r="C3302" t="str">
            <v>Blatchington Mill School and Sixth Form College</v>
          </cell>
          <cell r="D3302" t="str">
            <v>Brighton and Hove</v>
          </cell>
          <cell r="E3302" t="str">
            <v>Community School</v>
          </cell>
          <cell r="F3302" t="str">
            <v>Secondary</v>
          </cell>
        </row>
        <row r="3303">
          <cell r="A3303">
            <v>3904034</v>
          </cell>
          <cell r="B3303">
            <v>108406</v>
          </cell>
          <cell r="C3303" t="str">
            <v>Blaydon Comprehensive School</v>
          </cell>
          <cell r="D3303" t="str">
            <v>Gateshead</v>
          </cell>
          <cell r="E3303" t="str">
            <v>Community School</v>
          </cell>
          <cell r="F3303" t="str">
            <v>Secondary</v>
          </cell>
        </row>
        <row r="3304">
          <cell r="A3304">
            <v>3902182</v>
          </cell>
          <cell r="B3304">
            <v>108349</v>
          </cell>
          <cell r="C3304" t="str">
            <v>Blaydon West Primary School</v>
          </cell>
          <cell r="D3304" t="str">
            <v>Gateshead</v>
          </cell>
          <cell r="E3304" t="str">
            <v>Community School</v>
          </cell>
          <cell r="F3304" t="str">
            <v>Primary</v>
          </cell>
        </row>
        <row r="3305">
          <cell r="A3305">
            <v>3907005</v>
          </cell>
          <cell r="B3305">
            <v>108425</v>
          </cell>
          <cell r="C3305" t="str">
            <v>Bleach Green School</v>
          </cell>
          <cell r="D3305" t="str">
            <v>Gateshead</v>
          </cell>
          <cell r="E3305" t="str">
            <v>Community Special School</v>
          </cell>
          <cell r="F3305" t="str">
            <v>Special</v>
          </cell>
        </row>
        <row r="3306">
          <cell r="A3306">
            <v>3422051</v>
          </cell>
          <cell r="B3306">
            <v>104773</v>
          </cell>
          <cell r="C3306" t="str">
            <v>Bleak Hill Primary School</v>
          </cell>
          <cell r="D3306" t="str">
            <v>St. Helens</v>
          </cell>
          <cell r="E3306" t="str">
            <v>Community School</v>
          </cell>
          <cell r="F3306" t="str">
            <v>Primary</v>
          </cell>
        </row>
        <row r="3307">
          <cell r="A3307">
            <v>3332108</v>
          </cell>
          <cell r="B3307">
            <v>103934</v>
          </cell>
          <cell r="C3307" t="str">
            <v>Bleakhouse Junior School</v>
          </cell>
          <cell r="D3307" t="str">
            <v>Sandwell</v>
          </cell>
          <cell r="E3307" t="str">
            <v>Community School</v>
          </cell>
          <cell r="F3307" t="str">
            <v>Primary</v>
          </cell>
        </row>
        <row r="3308">
          <cell r="A3308">
            <v>8862258</v>
          </cell>
          <cell r="B3308">
            <v>118356</v>
          </cell>
          <cell r="C3308" t="str">
            <v>Blean Primary School</v>
          </cell>
          <cell r="D3308" t="str">
            <v>Kent</v>
          </cell>
          <cell r="E3308" t="str">
            <v>Community School</v>
          </cell>
          <cell r="F3308" t="str">
            <v>Primary</v>
          </cell>
        </row>
        <row r="3309">
          <cell r="A3309">
            <v>8913065</v>
          </cell>
          <cell r="B3309">
            <v>122750</v>
          </cell>
          <cell r="C3309" t="str">
            <v>Bleasby CofE Primary School</v>
          </cell>
          <cell r="D3309" t="str">
            <v>Nottinghamshire</v>
          </cell>
          <cell r="E3309" t="str">
            <v>Voluntary Controlled School</v>
          </cell>
          <cell r="F3309" t="str">
            <v>Primary</v>
          </cell>
        </row>
        <row r="3310">
          <cell r="A3310">
            <v>8883517</v>
          </cell>
          <cell r="B3310">
            <v>119520</v>
          </cell>
          <cell r="C3310" t="str">
            <v>Bleasdale Church of England Primary School</v>
          </cell>
          <cell r="D3310" t="str">
            <v>Lancashire</v>
          </cell>
          <cell r="E3310" t="str">
            <v>Voluntary Aided School</v>
          </cell>
          <cell r="F3310" t="str">
            <v>Primary</v>
          </cell>
        </row>
        <row r="3311">
          <cell r="A3311">
            <v>8887007</v>
          </cell>
          <cell r="B3311">
            <v>119861</v>
          </cell>
          <cell r="C3311" t="str">
            <v>Bleasdale House Community Special School</v>
          </cell>
          <cell r="D3311" t="str">
            <v>Lancashire</v>
          </cell>
          <cell r="E3311" t="str">
            <v>Community Special School</v>
          </cell>
          <cell r="F3311" t="str">
            <v>Special</v>
          </cell>
        </row>
        <row r="3312">
          <cell r="A3312">
            <v>9162045</v>
          </cell>
          <cell r="B3312">
            <v>115505</v>
          </cell>
          <cell r="C3312" t="str">
            <v>Bledington Primary School</v>
          </cell>
          <cell r="D3312" t="str">
            <v>Gloucestershire</v>
          </cell>
          <cell r="E3312" t="str">
            <v>Community School</v>
          </cell>
          <cell r="F3312" t="str">
            <v>Primary</v>
          </cell>
        </row>
        <row r="3313">
          <cell r="A3313">
            <v>8252008</v>
          </cell>
          <cell r="B3313">
            <v>110209</v>
          </cell>
          <cell r="C3313" t="str">
            <v>Bledlow Ridge School</v>
          </cell>
          <cell r="D3313" t="str">
            <v>Buckinghamshire</v>
          </cell>
          <cell r="E3313" t="str">
            <v>Community School</v>
          </cell>
          <cell r="F3313" t="str">
            <v>Primary</v>
          </cell>
        </row>
        <row r="3314">
          <cell r="A3314">
            <v>9093302</v>
          </cell>
          <cell r="B3314">
            <v>128597</v>
          </cell>
          <cell r="C3314" t="str">
            <v>Blencogo CofE Aided School</v>
          </cell>
          <cell r="D3314" t="str">
            <v>Cumbria</v>
          </cell>
          <cell r="E3314" t="str">
            <v>Voluntary Aided School</v>
          </cell>
          <cell r="F3314" t="str">
            <v>Primary</v>
          </cell>
        </row>
        <row r="3315">
          <cell r="A3315">
            <v>8503013</v>
          </cell>
          <cell r="B3315">
            <v>116272</v>
          </cell>
          <cell r="C3315" t="str">
            <v>Blendworth CofE (C) Infant School</v>
          </cell>
          <cell r="D3315" t="str">
            <v>Hampshire</v>
          </cell>
          <cell r="E3315" t="str">
            <v>Voluntary Controlled School</v>
          </cell>
          <cell r="F3315" t="str">
            <v>Primary</v>
          </cell>
        </row>
        <row r="3316">
          <cell r="A3316">
            <v>3832026</v>
          </cell>
          <cell r="B3316">
            <v>127810</v>
          </cell>
          <cell r="C3316" t="str">
            <v>Blenheim First School</v>
          </cell>
          <cell r="D3316" t="str">
            <v>Leeds</v>
          </cell>
          <cell r="E3316" t="str">
            <v>Community School</v>
          </cell>
          <cell r="F3316" t="str">
            <v>Primary</v>
          </cell>
        </row>
        <row r="3317">
          <cell r="A3317">
            <v>9365417</v>
          </cell>
          <cell r="B3317">
            <v>131386</v>
          </cell>
          <cell r="C3317" t="str">
            <v>Blenheim High School</v>
          </cell>
          <cell r="D3317" t="str">
            <v>Surrey</v>
          </cell>
          <cell r="E3317" t="str">
            <v>Foundation School</v>
          </cell>
          <cell r="F3317" t="str">
            <v>Secondary</v>
          </cell>
        </row>
        <row r="3318">
          <cell r="A3318">
            <v>3052050</v>
          </cell>
          <cell r="B3318">
            <v>101621</v>
          </cell>
          <cell r="C3318" t="str">
            <v>Blenheim Infant School</v>
          </cell>
          <cell r="D3318" t="str">
            <v>Bromley</v>
          </cell>
          <cell r="E3318" t="str">
            <v>Community School</v>
          </cell>
          <cell r="F3318" t="str">
            <v>Primary</v>
          </cell>
        </row>
        <row r="3319">
          <cell r="A3319">
            <v>3052049</v>
          </cell>
          <cell r="B3319">
            <v>101620</v>
          </cell>
          <cell r="C3319" t="str">
            <v>Blenheim Junior School</v>
          </cell>
          <cell r="D3319" t="str">
            <v>Bromley</v>
          </cell>
          <cell r="E3319" t="str">
            <v>Community School</v>
          </cell>
          <cell r="F3319" t="str">
            <v>Primary</v>
          </cell>
        </row>
        <row r="3320">
          <cell r="A3320">
            <v>3834492</v>
          </cell>
          <cell r="B3320">
            <v>128008</v>
          </cell>
          <cell r="C3320" t="str">
            <v>Blenheim Middle School</v>
          </cell>
          <cell r="D3320" t="str">
            <v>Leeds</v>
          </cell>
          <cell r="E3320" t="str">
            <v>Community School</v>
          </cell>
          <cell r="F3320" t="str">
            <v>Middle Deemed Secondary</v>
          </cell>
        </row>
        <row r="3321">
          <cell r="A3321">
            <v>9262258</v>
          </cell>
          <cell r="B3321">
            <v>120907</v>
          </cell>
          <cell r="C3321" t="str">
            <v>Blenheim Park Primary School</v>
          </cell>
          <cell r="D3321" t="str">
            <v>Norfolk</v>
          </cell>
          <cell r="E3321" t="str">
            <v>Community School</v>
          </cell>
          <cell r="F3321" t="str">
            <v>Primary</v>
          </cell>
        </row>
        <row r="3322">
          <cell r="A3322">
            <v>3832408</v>
          </cell>
          <cell r="B3322">
            <v>107884</v>
          </cell>
          <cell r="C3322" t="str">
            <v>Blenheim Primary School</v>
          </cell>
          <cell r="D3322" t="str">
            <v>Leeds</v>
          </cell>
          <cell r="E3322" t="str">
            <v>Community School</v>
          </cell>
          <cell r="F3322" t="str">
            <v>Primary</v>
          </cell>
        </row>
        <row r="3323">
          <cell r="A3323">
            <v>8822387</v>
          </cell>
          <cell r="B3323">
            <v>114837</v>
          </cell>
          <cell r="C3323" t="str">
            <v>Blenheim Primary School and Children's Centre</v>
          </cell>
          <cell r="D3323" t="str">
            <v>Southend-on-Sea</v>
          </cell>
          <cell r="E3323" t="str">
            <v>Community School</v>
          </cell>
          <cell r="F3323" t="str">
            <v>Primary</v>
          </cell>
        </row>
        <row r="3324">
          <cell r="A3324">
            <v>3053508</v>
          </cell>
          <cell r="B3324">
            <v>134008</v>
          </cell>
          <cell r="C3324" t="str">
            <v>Blenheim Primary School and Nursery</v>
          </cell>
          <cell r="D3324" t="str">
            <v>Bromley</v>
          </cell>
          <cell r="E3324" t="str">
            <v>Community School</v>
          </cell>
          <cell r="F3324" t="str">
            <v>Primary</v>
          </cell>
        </row>
        <row r="3325">
          <cell r="A3325">
            <v>6782323</v>
          </cell>
          <cell r="B3325">
            <v>402144</v>
          </cell>
          <cell r="C3325" t="str">
            <v>Blenheim Road Community Primary School</v>
          </cell>
          <cell r="D3325" t="str">
            <v>Torfaen</v>
          </cell>
          <cell r="E3325" t="str">
            <v>Welsh Establishment</v>
          </cell>
          <cell r="F3325" t="str">
            <v>Primary</v>
          </cell>
        </row>
        <row r="3326">
          <cell r="A3326">
            <v>9092010</v>
          </cell>
          <cell r="B3326">
            <v>112104</v>
          </cell>
          <cell r="C3326" t="str">
            <v>Blennerhasset School</v>
          </cell>
          <cell r="D3326" t="str">
            <v>Cumbria</v>
          </cell>
          <cell r="E3326" t="str">
            <v>Community School</v>
          </cell>
          <cell r="F3326" t="str">
            <v>Primary</v>
          </cell>
        </row>
        <row r="3327">
          <cell r="A3327">
            <v>3023511</v>
          </cell>
          <cell r="B3327">
            <v>101339</v>
          </cell>
          <cell r="C3327" t="str">
            <v>Blessed Dominic RC School</v>
          </cell>
          <cell r="D3327" t="str">
            <v>Barnet</v>
          </cell>
          <cell r="E3327" t="str">
            <v>Voluntary Aided School</v>
          </cell>
          <cell r="F3327" t="str">
            <v>Primary</v>
          </cell>
        </row>
        <row r="3328">
          <cell r="A3328">
            <v>6634601</v>
          </cell>
          <cell r="B3328">
            <v>401697</v>
          </cell>
          <cell r="C3328" t="str">
            <v>Blessed Edward Jones R.C. School</v>
          </cell>
          <cell r="D3328" t="str">
            <v>Denbighshire</v>
          </cell>
          <cell r="E3328" t="str">
            <v>Welsh Establishment</v>
          </cell>
          <cell r="F3328" t="str">
            <v>Secondary</v>
          </cell>
        </row>
        <row r="3329">
          <cell r="A3329">
            <v>8855402</v>
          </cell>
          <cell r="B3329">
            <v>116999</v>
          </cell>
          <cell r="C3329" t="str">
            <v>Blessed Edward Oldcorne Catholic College</v>
          </cell>
          <cell r="D3329" t="str">
            <v>Worcestershire</v>
          </cell>
          <cell r="E3329" t="str">
            <v>Voluntary Aided School</v>
          </cell>
          <cell r="F3329" t="str">
            <v>Secondary</v>
          </cell>
        </row>
        <row r="3330">
          <cell r="A3330">
            <v>9314600</v>
          </cell>
          <cell r="B3330">
            <v>123270</v>
          </cell>
          <cell r="C3330" t="str">
            <v>Blessed George Napier Catholic School and Sports College</v>
          </cell>
          <cell r="D3330" t="str">
            <v>Oxfordshire</v>
          </cell>
          <cell r="E3330" t="str">
            <v>Voluntary Aided School</v>
          </cell>
          <cell r="F3330" t="str">
            <v>Secondary</v>
          </cell>
        </row>
        <row r="3331">
          <cell r="A3331">
            <v>8705411</v>
          </cell>
          <cell r="B3331">
            <v>110107</v>
          </cell>
          <cell r="C3331" t="str">
            <v>Blessed Hugh Faringdon Catholic School</v>
          </cell>
          <cell r="D3331" t="str">
            <v>Reading</v>
          </cell>
          <cell r="E3331" t="str">
            <v>Voluntary Aided School</v>
          </cell>
          <cell r="F3331" t="str">
            <v>Secondary</v>
          </cell>
        </row>
        <row r="3332">
          <cell r="A3332">
            <v>9254601</v>
          </cell>
          <cell r="B3332">
            <v>129598</v>
          </cell>
          <cell r="C3332" t="str">
            <v>Blessed Hugh More School</v>
          </cell>
          <cell r="D3332" t="str">
            <v>Lincolnshire</v>
          </cell>
          <cell r="E3332" t="str">
            <v>Voluntary Aided School</v>
          </cell>
          <cell r="F3332" t="str">
            <v>Secondary</v>
          </cell>
        </row>
        <row r="3333">
          <cell r="A3333">
            <v>8403511</v>
          </cell>
          <cell r="B3333">
            <v>114283</v>
          </cell>
          <cell r="C3333" t="str">
            <v>Blessed John Duckett Roman Catholic Voluntary Aided Primary</v>
          </cell>
          <cell r="D3333" t="str">
            <v>Durham</v>
          </cell>
          <cell r="E3333" t="str">
            <v>Voluntary Aided School</v>
          </cell>
          <cell r="F3333" t="str">
            <v>Primary</v>
          </cell>
        </row>
        <row r="3334">
          <cell r="A3334">
            <v>8603479</v>
          </cell>
          <cell r="B3334">
            <v>124370</v>
          </cell>
          <cell r="C3334" t="str">
            <v>Blessed Mother Teresa's Catholic Primary School</v>
          </cell>
          <cell r="D3334" t="str">
            <v>Staffordshire</v>
          </cell>
          <cell r="E3334" t="str">
            <v>Voluntary Aided School</v>
          </cell>
          <cell r="F3334" t="str">
            <v>Primary</v>
          </cell>
        </row>
        <row r="3335">
          <cell r="A3335">
            <v>8945405</v>
          </cell>
          <cell r="B3335">
            <v>123598</v>
          </cell>
          <cell r="C3335" t="str">
            <v>Blessed Robert Johnson Catholic College</v>
          </cell>
          <cell r="D3335" t="str">
            <v>Telford and Wrekin</v>
          </cell>
          <cell r="E3335" t="str">
            <v>Voluntary Aided School</v>
          </cell>
          <cell r="F3335" t="str">
            <v>Secondary</v>
          </cell>
        </row>
        <row r="3336">
          <cell r="A3336">
            <v>8604710</v>
          </cell>
          <cell r="B3336">
            <v>124459</v>
          </cell>
          <cell r="C3336" t="str">
            <v>Blessed Robert Sutton Catholic Sports College</v>
          </cell>
          <cell r="D3336" t="str">
            <v>Staffordshire</v>
          </cell>
          <cell r="E3336" t="str">
            <v>Voluntary Aided School</v>
          </cell>
          <cell r="F3336" t="str">
            <v>Secondary</v>
          </cell>
        </row>
        <row r="3337">
          <cell r="A3337">
            <v>8923319</v>
          </cell>
          <cell r="B3337">
            <v>122783</v>
          </cell>
          <cell r="C3337" t="str">
            <v>Blessed Robert Widmerpool Catholic Primary and Nursery School</v>
          </cell>
          <cell r="D3337" t="str">
            <v>Nottingham</v>
          </cell>
          <cell r="E3337" t="str">
            <v>Voluntary Aided School</v>
          </cell>
          <cell r="F3337" t="str">
            <v>Primary</v>
          </cell>
        </row>
        <row r="3338">
          <cell r="A3338">
            <v>8923319</v>
          </cell>
          <cell r="B3338">
            <v>137425</v>
          </cell>
          <cell r="C3338" t="str">
            <v>Blessed Robert Widmerpool Catholic Primary and Nursery School</v>
          </cell>
          <cell r="D3338" t="str">
            <v>Nottingham</v>
          </cell>
          <cell r="E3338" t="str">
            <v>Academy Converters</v>
          </cell>
          <cell r="F3338" t="str">
            <v>Primary</v>
          </cell>
        </row>
        <row r="3339">
          <cell r="A3339">
            <v>3413598</v>
          </cell>
          <cell r="B3339">
            <v>104669</v>
          </cell>
          <cell r="C3339" t="str">
            <v>Blessed Sacrament Catholic Infant School</v>
          </cell>
          <cell r="D3339" t="str">
            <v>Liverpool</v>
          </cell>
          <cell r="E3339" t="str">
            <v>Voluntary Aided School</v>
          </cell>
          <cell r="F3339" t="str">
            <v>Primary</v>
          </cell>
        </row>
        <row r="3340">
          <cell r="A3340">
            <v>3413597</v>
          </cell>
          <cell r="B3340">
            <v>104668</v>
          </cell>
          <cell r="C3340" t="str">
            <v>Blessed Sacrament Catholic Junior School</v>
          </cell>
          <cell r="D3340" t="str">
            <v>Liverpool</v>
          </cell>
          <cell r="E3340" t="str">
            <v>Voluntary Aided School</v>
          </cell>
          <cell r="F3340" t="str">
            <v>Primary</v>
          </cell>
        </row>
        <row r="3341">
          <cell r="A3341">
            <v>2063643</v>
          </cell>
          <cell r="B3341">
            <v>100451</v>
          </cell>
          <cell r="C3341" t="str">
            <v>Blessed Sacrament RC Primary School</v>
          </cell>
          <cell r="D3341" t="str">
            <v>Islington</v>
          </cell>
          <cell r="E3341" t="str">
            <v>Voluntary Aided School</v>
          </cell>
          <cell r="F3341" t="str">
            <v>Primary</v>
          </cell>
        </row>
        <row r="3342">
          <cell r="A3342">
            <v>3585403</v>
          </cell>
          <cell r="B3342">
            <v>106376</v>
          </cell>
          <cell r="C3342" t="str">
            <v>Blessed Thomas Holford Catholic College</v>
          </cell>
          <cell r="D3342" t="str">
            <v>Trafford</v>
          </cell>
          <cell r="E3342" t="str">
            <v>Voluntary Aided School</v>
          </cell>
          <cell r="F3342" t="str">
            <v>Secondary</v>
          </cell>
        </row>
        <row r="3343">
          <cell r="A3343">
            <v>8884804</v>
          </cell>
          <cell r="B3343">
            <v>134997</v>
          </cell>
          <cell r="C3343" t="str">
            <v>Blessed Trinity RC College</v>
          </cell>
          <cell r="D3343" t="str">
            <v>Lancashire</v>
          </cell>
          <cell r="E3343" t="str">
            <v>Voluntary Aided School</v>
          </cell>
          <cell r="F3343" t="str">
            <v>Secondary</v>
          </cell>
        </row>
        <row r="3344">
          <cell r="A3344">
            <v>6623303</v>
          </cell>
          <cell r="B3344">
            <v>400256</v>
          </cell>
          <cell r="C3344" t="str">
            <v>Blessed William Davies School</v>
          </cell>
          <cell r="D3344" t="str">
            <v>Conwy</v>
          </cell>
          <cell r="E3344" t="str">
            <v>Welsh Establishment</v>
          </cell>
          <cell r="F3344" t="str">
            <v>Primary</v>
          </cell>
        </row>
        <row r="3345">
          <cell r="A3345">
            <v>8604607</v>
          </cell>
          <cell r="B3345">
            <v>124455</v>
          </cell>
          <cell r="C3345" t="str">
            <v>Blessed William Howard Catholic School</v>
          </cell>
          <cell r="D3345" t="str">
            <v>Staffordshire</v>
          </cell>
          <cell r="E3345" t="str">
            <v>Voluntary Aided School</v>
          </cell>
          <cell r="F3345" t="str">
            <v>Secondary</v>
          </cell>
        </row>
        <row r="3346">
          <cell r="A3346">
            <v>9313141</v>
          </cell>
          <cell r="B3346">
            <v>123115</v>
          </cell>
          <cell r="C3346" t="str">
            <v>Bletchingdon Parochial Church of England Primary School</v>
          </cell>
          <cell r="D3346" t="str">
            <v>Oxfordshire</v>
          </cell>
          <cell r="E3346" t="str">
            <v>Voluntary Controlled School</v>
          </cell>
          <cell r="F3346" t="str">
            <v>Primary</v>
          </cell>
        </row>
        <row r="3347">
          <cell r="A3347">
            <v>9313248</v>
          </cell>
          <cell r="B3347">
            <v>123167</v>
          </cell>
          <cell r="C3347" t="str">
            <v>Blewbury Endowed Church of England Primary School</v>
          </cell>
          <cell r="D3347" t="str">
            <v>Oxfordshire</v>
          </cell>
          <cell r="E3347" t="str">
            <v>Voluntary Controlled School</v>
          </cell>
          <cell r="F3347" t="str">
            <v>Primary</v>
          </cell>
        </row>
        <row r="3348">
          <cell r="A3348">
            <v>8913793</v>
          </cell>
          <cell r="B3348">
            <v>131560</v>
          </cell>
          <cell r="C3348" t="str">
            <v>Blidworth Oaks Primary School</v>
          </cell>
          <cell r="D3348" t="str">
            <v>Nottinghamshire</v>
          </cell>
          <cell r="E3348" t="str">
            <v>Community School</v>
          </cell>
          <cell r="F3348" t="str">
            <v>Primary</v>
          </cell>
        </row>
        <row r="3349">
          <cell r="A3349">
            <v>8872537</v>
          </cell>
          <cell r="B3349">
            <v>118500</v>
          </cell>
          <cell r="C3349" t="str">
            <v>Bligh Infant School</v>
          </cell>
          <cell r="D3349" t="str">
            <v>Medway</v>
          </cell>
          <cell r="E3349" t="str">
            <v>Community School</v>
          </cell>
          <cell r="F3349" t="str">
            <v>Primary</v>
          </cell>
        </row>
        <row r="3350">
          <cell r="A3350">
            <v>8872492</v>
          </cell>
          <cell r="B3350">
            <v>118470</v>
          </cell>
          <cell r="C3350" t="str">
            <v>Bligh Junior School</v>
          </cell>
          <cell r="D3350" t="str">
            <v>Medway</v>
          </cell>
          <cell r="E3350" t="str">
            <v>Community School</v>
          </cell>
          <cell r="F3350" t="str">
            <v>Primary</v>
          </cell>
        </row>
        <row r="3351">
          <cell r="A3351">
            <v>9363027</v>
          </cell>
          <cell r="B3351">
            <v>130071</v>
          </cell>
          <cell r="C3351" t="str">
            <v>Blindley Heath CofE First School</v>
          </cell>
          <cell r="D3351" t="str">
            <v>Surrey</v>
          </cell>
          <cell r="E3351" t="str">
            <v>Voluntary Controlled School</v>
          </cell>
          <cell r="F3351" t="str">
            <v>Primary</v>
          </cell>
        </row>
        <row r="3352">
          <cell r="A3352">
            <v>9082500</v>
          </cell>
          <cell r="B3352">
            <v>111909</v>
          </cell>
          <cell r="C3352" t="str">
            <v>Blisland Community Primary School</v>
          </cell>
          <cell r="D3352" t="str">
            <v>Cornwall</v>
          </cell>
          <cell r="E3352" t="str">
            <v>Community School</v>
          </cell>
          <cell r="F3352" t="str">
            <v>Primary</v>
          </cell>
        </row>
        <row r="3353">
          <cell r="A3353">
            <v>9282002</v>
          </cell>
          <cell r="B3353">
            <v>121794</v>
          </cell>
          <cell r="C3353" t="str">
            <v>Blisworth Community Primary School</v>
          </cell>
          <cell r="D3353" t="str">
            <v>Northamptonshire</v>
          </cell>
          <cell r="E3353" t="str">
            <v>Community School</v>
          </cell>
          <cell r="F3353" t="str">
            <v>Primary</v>
          </cell>
        </row>
        <row r="3354">
          <cell r="A3354">
            <v>9163021</v>
          </cell>
          <cell r="B3354">
            <v>115613</v>
          </cell>
          <cell r="C3354" t="str">
            <v>Blockley Church of England Primary School</v>
          </cell>
          <cell r="D3354" t="str">
            <v>Gloucestershire</v>
          </cell>
          <cell r="E3354" t="str">
            <v>Voluntary Controlled School</v>
          </cell>
          <cell r="F3354" t="str">
            <v>Primary</v>
          </cell>
        </row>
        <row r="3355">
          <cell r="A3355">
            <v>8402233</v>
          </cell>
          <cell r="B3355">
            <v>114034</v>
          </cell>
          <cell r="C3355" t="str">
            <v>Bloemfontein Primary School</v>
          </cell>
          <cell r="D3355" t="str">
            <v>Durham</v>
          </cell>
          <cell r="E3355" t="str">
            <v>Community School</v>
          </cell>
          <cell r="F3355" t="str">
            <v>Primary</v>
          </cell>
        </row>
        <row r="3356">
          <cell r="A3356">
            <v>9262017</v>
          </cell>
          <cell r="B3356">
            <v>120788</v>
          </cell>
          <cell r="C3356" t="str">
            <v>Blofield Primary School</v>
          </cell>
          <cell r="D3356" t="str">
            <v>Norfolk</v>
          </cell>
          <cell r="E3356" t="str">
            <v>Community School</v>
          </cell>
          <cell r="F3356" t="str">
            <v>Primary</v>
          </cell>
        </row>
        <row r="3357">
          <cell r="A3357">
            <v>3336004</v>
          </cell>
          <cell r="B3357">
            <v>135518</v>
          </cell>
          <cell r="C3357" t="str">
            <v>Bloomfield College</v>
          </cell>
          <cell r="D3357" t="str">
            <v>Sandwell</v>
          </cell>
          <cell r="E3357" t="str">
            <v>Other Independent Special School</v>
          </cell>
          <cell r="F3357" t="str">
            <v>Not applicable</v>
          </cell>
        </row>
        <row r="3358">
          <cell r="A3358">
            <v>3301025</v>
          </cell>
          <cell r="B3358">
            <v>103138</v>
          </cell>
          <cell r="C3358" t="str">
            <v>Bloomsbury Children's Centre</v>
          </cell>
          <cell r="D3358" t="str">
            <v>Birmingham</v>
          </cell>
          <cell r="E3358" t="str">
            <v>LA Nursery School</v>
          </cell>
          <cell r="F3358" t="str">
            <v>Nursery</v>
          </cell>
        </row>
        <row r="3359">
          <cell r="A3359">
            <v>2056388</v>
          </cell>
          <cell r="B3359">
            <v>100377</v>
          </cell>
          <cell r="C3359" t="str">
            <v>Bloomsbury College</v>
          </cell>
          <cell r="D3359" t="str">
            <v>Hammersmith and Fulham</v>
          </cell>
          <cell r="E3359" t="str">
            <v>Other Independent School</v>
          </cell>
          <cell r="F3359" t="str">
            <v>Not applicable</v>
          </cell>
        </row>
        <row r="3360">
          <cell r="A3360">
            <v>3156076</v>
          </cell>
          <cell r="B3360">
            <v>102694</v>
          </cell>
          <cell r="C3360" t="str">
            <v>Blossom House School</v>
          </cell>
          <cell r="D3360" t="str">
            <v>Merton</v>
          </cell>
          <cell r="E3360" t="str">
            <v>Other Independent Special School</v>
          </cell>
          <cell r="F3360" t="str">
            <v>Not applicable</v>
          </cell>
        </row>
        <row r="3361">
          <cell r="A3361">
            <v>3341100</v>
          </cell>
          <cell r="B3361">
            <v>104036</v>
          </cell>
          <cell r="C3361" t="str">
            <v>Blossomfield Centre</v>
          </cell>
          <cell r="D3361" t="str">
            <v>Solihull</v>
          </cell>
          <cell r="E3361" t="str">
            <v>Pupil Referral Unit</v>
          </cell>
          <cell r="F3361" t="str">
            <v>PRU</v>
          </cell>
        </row>
        <row r="3362">
          <cell r="A3362">
            <v>3342000</v>
          </cell>
          <cell r="B3362">
            <v>104039</v>
          </cell>
          <cell r="C3362" t="str">
            <v>Blossomfield Infant and Nursery School</v>
          </cell>
          <cell r="D3362" t="str">
            <v>Solihull</v>
          </cell>
          <cell r="E3362" t="str">
            <v>Community School</v>
          </cell>
          <cell r="F3362" t="str">
            <v>Primary</v>
          </cell>
        </row>
        <row r="3363">
          <cell r="A3363">
            <v>3322000</v>
          </cell>
          <cell r="B3363">
            <v>103771</v>
          </cell>
          <cell r="C3363" t="str">
            <v>Blowers Green Primary School</v>
          </cell>
          <cell r="D3363" t="str">
            <v>Dudley</v>
          </cell>
          <cell r="E3363" t="str">
            <v>Community School</v>
          </cell>
          <cell r="F3363" t="str">
            <v>Primary</v>
          </cell>
        </row>
        <row r="3364">
          <cell r="A3364">
            <v>9372412</v>
          </cell>
          <cell r="B3364">
            <v>125574</v>
          </cell>
          <cell r="C3364" t="str">
            <v>Bloxam Middle School</v>
          </cell>
          <cell r="D3364" t="str">
            <v>Warwickshire</v>
          </cell>
          <cell r="E3364" t="str">
            <v>Community School</v>
          </cell>
          <cell r="F3364" t="str">
            <v>Middle Deemed Primary</v>
          </cell>
        </row>
        <row r="3365">
          <cell r="A3365">
            <v>9313064</v>
          </cell>
          <cell r="B3365">
            <v>123098</v>
          </cell>
          <cell r="C3365" t="str">
            <v>Bloxham Church of England Primary School</v>
          </cell>
          <cell r="D3365" t="str">
            <v>Oxfordshire</v>
          </cell>
          <cell r="E3365" t="str">
            <v>Voluntary Controlled School</v>
          </cell>
          <cell r="F3365" t="str">
            <v>Primary</v>
          </cell>
        </row>
        <row r="3366">
          <cell r="A3366">
            <v>9316002</v>
          </cell>
          <cell r="B3366">
            <v>123275</v>
          </cell>
          <cell r="C3366" t="str">
            <v>Bloxham School</v>
          </cell>
          <cell r="D3366" t="str">
            <v>Oxfordshire</v>
          </cell>
          <cell r="E3366" t="str">
            <v>Other Independent School</v>
          </cell>
          <cell r="F3366" t="str">
            <v>Not applicable</v>
          </cell>
        </row>
        <row r="3367">
          <cell r="A3367">
            <v>3353001</v>
          </cell>
          <cell r="B3367">
            <v>104221</v>
          </cell>
          <cell r="C3367" t="str">
            <v>Bloxwich CofE Primary School</v>
          </cell>
          <cell r="D3367" t="str">
            <v>Walsall</v>
          </cell>
          <cell r="E3367" t="str">
            <v>Voluntary Controlled School</v>
          </cell>
          <cell r="F3367" t="str">
            <v>Primary</v>
          </cell>
        </row>
        <row r="3368">
          <cell r="A3368">
            <v>8922182</v>
          </cell>
          <cell r="B3368">
            <v>122503</v>
          </cell>
          <cell r="C3368" t="str">
            <v>Blue Bell Hill Junior School</v>
          </cell>
          <cell r="D3368" t="str">
            <v>Nottingham</v>
          </cell>
          <cell r="E3368" t="str">
            <v>Community School</v>
          </cell>
          <cell r="F3368" t="str">
            <v>Primary</v>
          </cell>
        </row>
        <row r="3369">
          <cell r="A3369">
            <v>8922183</v>
          </cell>
          <cell r="B3369">
            <v>122504</v>
          </cell>
          <cell r="C3369" t="str">
            <v>Blue Bell Hill Primary and Nursery School</v>
          </cell>
          <cell r="D3369" t="str">
            <v>Nottingham</v>
          </cell>
          <cell r="E3369" t="str">
            <v>Community School</v>
          </cell>
          <cell r="F3369" t="str">
            <v>Primary</v>
          </cell>
        </row>
        <row r="3370">
          <cell r="A3370">
            <v>8306040</v>
          </cell>
          <cell r="B3370">
            <v>136346</v>
          </cell>
          <cell r="C3370" t="str">
            <v>Blue Cedars Independent School</v>
          </cell>
          <cell r="D3370" t="str">
            <v>Derbyshire</v>
          </cell>
          <cell r="E3370" t="str">
            <v>Other Independent School</v>
          </cell>
          <cell r="F3370" t="str">
            <v>Not applicable</v>
          </cell>
        </row>
        <row r="3371">
          <cell r="A3371">
            <v>3353301</v>
          </cell>
          <cell r="B3371">
            <v>104231</v>
          </cell>
          <cell r="C3371" t="str">
            <v>Blue Coat Church of England Aided Infant School</v>
          </cell>
          <cell r="D3371" t="str">
            <v>Walsall</v>
          </cell>
          <cell r="E3371" t="str">
            <v>Voluntary Aided School</v>
          </cell>
          <cell r="F3371" t="str">
            <v>Primary</v>
          </cell>
        </row>
        <row r="3372">
          <cell r="A3372">
            <v>3353300</v>
          </cell>
          <cell r="B3372">
            <v>104230</v>
          </cell>
          <cell r="C3372" t="str">
            <v>Blue Coat Church of England Aided Junior School</v>
          </cell>
          <cell r="D3372" t="str">
            <v>Walsall</v>
          </cell>
          <cell r="E3372" t="str">
            <v>Voluntary Aided School</v>
          </cell>
          <cell r="F3372" t="str">
            <v>Primary</v>
          </cell>
        </row>
        <row r="3373">
          <cell r="A3373">
            <v>3354602</v>
          </cell>
          <cell r="B3373">
            <v>104254</v>
          </cell>
          <cell r="C3373" t="str">
            <v>Blue Coat Church of England Comprehensive School A Performing Arts Specialist College</v>
          </cell>
          <cell r="D3373" t="str">
            <v>Walsall</v>
          </cell>
          <cell r="E3373" t="str">
            <v>Voluntary Aided School</v>
          </cell>
          <cell r="F3373" t="str">
            <v>Secondary</v>
          </cell>
        </row>
        <row r="3374">
          <cell r="A3374">
            <v>8403491</v>
          </cell>
          <cell r="B3374">
            <v>114274</v>
          </cell>
          <cell r="C3374" t="str">
            <v>Blue Coat CofE (Aided) Junior School</v>
          </cell>
          <cell r="D3374" t="str">
            <v>Durham</v>
          </cell>
          <cell r="E3374" t="str">
            <v>Voluntary Aided School</v>
          </cell>
          <cell r="F3374" t="str">
            <v>Primary</v>
          </cell>
        </row>
        <row r="3375">
          <cell r="A3375">
            <v>9165204</v>
          </cell>
          <cell r="B3375">
            <v>115734</v>
          </cell>
          <cell r="C3375" t="str">
            <v>Blue Coat CofE Primary School</v>
          </cell>
          <cell r="D3375" t="str">
            <v>Gloucestershire</v>
          </cell>
          <cell r="E3375" t="str">
            <v>Voluntary Aided School</v>
          </cell>
          <cell r="F3375" t="str">
            <v>Primary</v>
          </cell>
        </row>
        <row r="3376">
          <cell r="A3376">
            <v>2112441</v>
          </cell>
          <cell r="B3376">
            <v>100915</v>
          </cell>
          <cell r="C3376" t="str">
            <v>Blue Gate Fields Infants' School</v>
          </cell>
          <cell r="D3376" t="str">
            <v>Tower Hamlets</v>
          </cell>
          <cell r="E3376" t="str">
            <v>Community School</v>
          </cell>
          <cell r="F3376" t="str">
            <v>Primary</v>
          </cell>
        </row>
        <row r="3377">
          <cell r="A3377">
            <v>2112099</v>
          </cell>
          <cell r="B3377">
            <v>100895</v>
          </cell>
          <cell r="C3377" t="str">
            <v>Blue Gate Fields Junior School</v>
          </cell>
          <cell r="D3377" t="str">
            <v>Tower Hamlets</v>
          </cell>
          <cell r="E3377" t="str">
            <v>Community School</v>
          </cell>
          <cell r="F3377" t="str">
            <v>Primary</v>
          </cell>
        </row>
        <row r="3378">
          <cell r="A3378">
            <v>8916026</v>
          </cell>
          <cell r="B3378">
            <v>131536</v>
          </cell>
          <cell r="C3378" t="str">
            <v>Blue Mountain Education</v>
          </cell>
          <cell r="D3378" t="str">
            <v>Nottinghamshire</v>
          </cell>
          <cell r="E3378" t="str">
            <v>Other Independent Special School</v>
          </cell>
          <cell r="F3378" t="str">
            <v>Not applicable</v>
          </cell>
        </row>
        <row r="3379">
          <cell r="A3379">
            <v>3306213</v>
          </cell>
          <cell r="B3379">
            <v>136513</v>
          </cell>
          <cell r="C3379" t="str">
            <v>Blue River Academy</v>
          </cell>
          <cell r="D3379" t="str">
            <v>Birmingham</v>
          </cell>
          <cell r="E3379" t="str">
            <v>Other Independent Special School</v>
          </cell>
          <cell r="F3379" t="str">
            <v>Not applicable</v>
          </cell>
        </row>
        <row r="3380">
          <cell r="A3380">
            <v>8876130</v>
          </cell>
          <cell r="B3380">
            <v>135576</v>
          </cell>
          <cell r="C3380" t="str">
            <v>Blue Skies School</v>
          </cell>
          <cell r="D3380" t="str">
            <v>Medway</v>
          </cell>
          <cell r="E3380" t="str">
            <v>Other Independent Special School</v>
          </cell>
          <cell r="F3380" t="str">
            <v>Not applicable</v>
          </cell>
        </row>
        <row r="3381">
          <cell r="A3381">
            <v>352940</v>
          </cell>
          <cell r="B3381">
            <v>132705</v>
          </cell>
          <cell r="C3381" t="str">
            <v>Blue Zone 1</v>
          </cell>
          <cell r="D3381" t="str">
            <v>Manchester</v>
          </cell>
          <cell r="E3381" t="str">
            <v>Playing for Success Centres</v>
          </cell>
          <cell r="F3381" t="str">
            <v>Not applicable</v>
          </cell>
        </row>
        <row r="3382">
          <cell r="A3382">
            <v>352941</v>
          </cell>
          <cell r="B3382">
            <v>134255</v>
          </cell>
          <cell r="C3382" t="str">
            <v>Blue Zone 2</v>
          </cell>
          <cell r="D3382" t="str">
            <v>Manchester</v>
          </cell>
          <cell r="E3382" t="str">
            <v>Playing for Success Centres</v>
          </cell>
          <cell r="F3382" t="str">
            <v>Not applicable</v>
          </cell>
        </row>
        <row r="3383">
          <cell r="A3383">
            <v>9263418</v>
          </cell>
          <cell r="B3383">
            <v>134942</v>
          </cell>
          <cell r="C3383" t="str">
            <v>Bluebell Primary School</v>
          </cell>
          <cell r="D3383" t="str">
            <v>Norfolk</v>
          </cell>
          <cell r="E3383" t="str">
            <v>Community School</v>
          </cell>
          <cell r="F3383" t="str">
            <v>Primary</v>
          </cell>
        </row>
        <row r="3384">
          <cell r="A3384">
            <v>8011008</v>
          </cell>
          <cell r="B3384">
            <v>108899</v>
          </cell>
          <cell r="C3384" t="str">
            <v>Bluebell Valley Nursery School</v>
          </cell>
          <cell r="D3384" t="str">
            <v>Bristol City of</v>
          </cell>
          <cell r="E3384" t="str">
            <v>LA Nursery School</v>
          </cell>
          <cell r="F3384" t="str">
            <v>Nursery</v>
          </cell>
        </row>
        <row r="3385">
          <cell r="A3385">
            <v>3413025</v>
          </cell>
          <cell r="B3385">
            <v>133691</v>
          </cell>
          <cell r="C3385" t="str">
            <v>Blueberry Park</v>
          </cell>
          <cell r="D3385" t="str">
            <v>Liverpool</v>
          </cell>
          <cell r="E3385" t="str">
            <v>Community School</v>
          </cell>
          <cell r="F3385" t="str">
            <v>Primary</v>
          </cell>
        </row>
        <row r="3386">
          <cell r="A3386">
            <v>909949</v>
          </cell>
          <cell r="B3386">
            <v>134950</v>
          </cell>
          <cell r="C3386" t="str">
            <v>Bluebirds Study Centre</v>
          </cell>
          <cell r="D3386" t="str">
            <v>Cumbria</v>
          </cell>
          <cell r="E3386" t="str">
            <v>Playing for Success Centres</v>
          </cell>
          <cell r="F3386" t="str">
            <v>Not applicable</v>
          </cell>
        </row>
        <row r="3387">
          <cell r="A3387">
            <v>8812741</v>
          </cell>
          <cell r="B3387">
            <v>114976</v>
          </cell>
          <cell r="C3387" t="str">
            <v>Bluehouse Community Junior School</v>
          </cell>
          <cell r="D3387" t="str">
            <v>Essex</v>
          </cell>
          <cell r="E3387" t="str">
            <v>Community School</v>
          </cell>
          <cell r="F3387" t="str">
            <v>Primary</v>
          </cell>
        </row>
        <row r="3388">
          <cell r="A3388">
            <v>8812801</v>
          </cell>
          <cell r="B3388">
            <v>115002</v>
          </cell>
          <cell r="C3388" t="str">
            <v>Bluehouse Infant and Nursery School</v>
          </cell>
          <cell r="D3388" t="str">
            <v>Essex</v>
          </cell>
          <cell r="E3388" t="str">
            <v>Community School</v>
          </cell>
          <cell r="F3388" t="str">
            <v>Primary</v>
          </cell>
        </row>
        <row r="3389">
          <cell r="A3389">
            <v>8251101</v>
          </cell>
          <cell r="B3389">
            <v>110201</v>
          </cell>
          <cell r="C3389" t="str">
            <v>Blueprint</v>
          </cell>
          <cell r="D3389" t="str">
            <v>Buckinghamshire</v>
          </cell>
          <cell r="E3389" t="str">
            <v>Pupil Referral Unit</v>
          </cell>
          <cell r="F3389" t="str">
            <v>PRU</v>
          </cell>
        </row>
        <row r="3390">
          <cell r="A3390">
            <v>3732222</v>
          </cell>
          <cell r="B3390">
            <v>127682</v>
          </cell>
          <cell r="C3390" t="str">
            <v>Bluestone Middle School</v>
          </cell>
          <cell r="D3390" t="str">
            <v>Sheffield</v>
          </cell>
          <cell r="E3390" t="str">
            <v>Community School</v>
          </cell>
          <cell r="F3390" t="str">
            <v>Middle Deemed Primary</v>
          </cell>
        </row>
        <row r="3391">
          <cell r="A3391">
            <v>3732223</v>
          </cell>
          <cell r="B3391">
            <v>127683</v>
          </cell>
          <cell r="C3391" t="str">
            <v>Bluestone Nursery and First School</v>
          </cell>
          <cell r="D3391" t="str">
            <v>Sheffield</v>
          </cell>
          <cell r="E3391" t="str">
            <v>Community School</v>
          </cell>
          <cell r="F3391" t="str">
            <v>Primary</v>
          </cell>
        </row>
        <row r="3392">
          <cell r="A3392">
            <v>3732335</v>
          </cell>
          <cell r="B3392">
            <v>107078</v>
          </cell>
          <cell r="C3392" t="str">
            <v>Bluestone Primary School</v>
          </cell>
          <cell r="D3392" t="str">
            <v>Sheffield</v>
          </cell>
          <cell r="E3392" t="str">
            <v>Community School</v>
          </cell>
          <cell r="F3392" t="str">
            <v>Primary</v>
          </cell>
        </row>
        <row r="3393">
          <cell r="A3393">
            <v>330940</v>
          </cell>
          <cell r="B3393">
            <v>132699</v>
          </cell>
          <cell r="C3393" t="str">
            <v>Bluezone Learning Centre</v>
          </cell>
          <cell r="D3393" t="str">
            <v>Birmingham</v>
          </cell>
          <cell r="E3393" t="str">
            <v>Playing for Success Centres</v>
          </cell>
          <cell r="F3393" t="str">
            <v>Not applicable</v>
          </cell>
        </row>
        <row r="3394">
          <cell r="A3394">
            <v>8786012</v>
          </cell>
          <cell r="B3394">
            <v>113577</v>
          </cell>
          <cell r="C3394" t="str">
            <v>Blundell's Preparatory School</v>
          </cell>
          <cell r="D3394" t="str">
            <v>Devon</v>
          </cell>
          <cell r="E3394" t="str">
            <v>Other Independent School</v>
          </cell>
          <cell r="F3394" t="str">
            <v>Not applicable</v>
          </cell>
        </row>
        <row r="3395">
          <cell r="A3395">
            <v>8786011</v>
          </cell>
          <cell r="B3395">
            <v>113575</v>
          </cell>
          <cell r="C3395" t="str">
            <v>Blundell's School</v>
          </cell>
          <cell r="D3395" t="str">
            <v>Devon</v>
          </cell>
          <cell r="E3395" t="str">
            <v>Other Independent School</v>
          </cell>
          <cell r="F3395" t="str">
            <v>Not applicable</v>
          </cell>
        </row>
        <row r="3396">
          <cell r="A3396">
            <v>9353114</v>
          </cell>
          <cell r="B3396">
            <v>124751</v>
          </cell>
          <cell r="C3396" t="str">
            <v>Blundeston Church of England Voluntary Controlled Primary School</v>
          </cell>
          <cell r="D3396" t="str">
            <v>Suffolk</v>
          </cell>
          <cell r="E3396" t="str">
            <v>Voluntary Controlled School</v>
          </cell>
          <cell r="F3396" t="str">
            <v>Primary</v>
          </cell>
        </row>
        <row r="3397">
          <cell r="A3397">
            <v>8614037</v>
          </cell>
          <cell r="B3397">
            <v>124384</v>
          </cell>
          <cell r="C3397" t="str">
            <v>Blurton High School - Business and Enterprise College</v>
          </cell>
          <cell r="D3397" t="str">
            <v>Stoke-on-Trent</v>
          </cell>
          <cell r="E3397" t="str">
            <v>Community School</v>
          </cell>
          <cell r="F3397" t="str">
            <v>Secondary</v>
          </cell>
        </row>
        <row r="3398">
          <cell r="A3398">
            <v>9341001</v>
          </cell>
          <cell r="B3398">
            <v>129863</v>
          </cell>
          <cell r="C3398" t="str">
            <v>Blurton Nursery School</v>
          </cell>
          <cell r="D3398" t="str">
            <v>Pre LGR (1997) Staffordshire</v>
          </cell>
          <cell r="E3398" t="str">
            <v>LA Nursery School</v>
          </cell>
          <cell r="F3398" t="str">
            <v>Nursery</v>
          </cell>
        </row>
        <row r="3399">
          <cell r="A3399">
            <v>8612064</v>
          </cell>
          <cell r="B3399">
            <v>124002</v>
          </cell>
          <cell r="C3399" t="str">
            <v>Blurton Primary School</v>
          </cell>
          <cell r="D3399" t="str">
            <v>Stoke-on-Trent</v>
          </cell>
          <cell r="E3399" t="str">
            <v>Community School</v>
          </cell>
          <cell r="F3399" t="str">
            <v>Primary</v>
          </cell>
        </row>
        <row r="3400">
          <cell r="A3400">
            <v>9294014</v>
          </cell>
          <cell r="B3400">
            <v>122320</v>
          </cell>
          <cell r="C3400" t="str">
            <v>Blyth Bebside Middle School</v>
          </cell>
          <cell r="D3400" t="str">
            <v>Northumberland</v>
          </cell>
          <cell r="E3400" t="str">
            <v>Community School</v>
          </cell>
          <cell r="F3400" t="str">
            <v>Middle Deemed Secondary</v>
          </cell>
        </row>
        <row r="3401">
          <cell r="A3401">
            <v>9294442</v>
          </cell>
          <cell r="B3401">
            <v>132189</v>
          </cell>
          <cell r="C3401" t="str">
            <v>Blyth Community College</v>
          </cell>
          <cell r="D3401" t="str">
            <v>Northumberland</v>
          </cell>
          <cell r="E3401" t="str">
            <v>Community School</v>
          </cell>
          <cell r="F3401" t="str">
            <v>Secondary</v>
          </cell>
        </row>
        <row r="3402">
          <cell r="A3402">
            <v>9292405</v>
          </cell>
          <cell r="B3402">
            <v>122257</v>
          </cell>
          <cell r="C3402" t="str">
            <v>Blyth Morpeth Road First School</v>
          </cell>
          <cell r="D3402" t="str">
            <v>Northumberland</v>
          </cell>
          <cell r="E3402" t="str">
            <v>Foundation School</v>
          </cell>
          <cell r="F3402" t="str">
            <v>Primary</v>
          </cell>
        </row>
        <row r="3403">
          <cell r="A3403">
            <v>9292410</v>
          </cell>
          <cell r="B3403">
            <v>122259</v>
          </cell>
          <cell r="C3403" t="str">
            <v>Blyth Plessey Road First School</v>
          </cell>
          <cell r="D3403" t="str">
            <v>Northumberland</v>
          </cell>
          <cell r="E3403" t="str">
            <v>Community School</v>
          </cell>
          <cell r="F3403" t="str">
            <v>Primary</v>
          </cell>
        </row>
        <row r="3404">
          <cell r="A3404">
            <v>9292412</v>
          </cell>
          <cell r="B3404">
            <v>122260</v>
          </cell>
          <cell r="C3404" t="str">
            <v>Blyth Princess Louise First School</v>
          </cell>
          <cell r="D3404" t="str">
            <v>Northumberland</v>
          </cell>
          <cell r="E3404" t="str">
            <v>Community School</v>
          </cell>
          <cell r="F3404" t="str">
            <v>Primary</v>
          </cell>
        </row>
        <row r="3405">
          <cell r="A3405">
            <v>9294017</v>
          </cell>
          <cell r="B3405">
            <v>122321</v>
          </cell>
          <cell r="C3405" t="str">
            <v>Blyth Ridley High School</v>
          </cell>
          <cell r="D3405" t="str">
            <v>Northumberland</v>
          </cell>
          <cell r="E3405" t="str">
            <v>Community School</v>
          </cell>
          <cell r="F3405" t="str">
            <v>Secondary</v>
          </cell>
        </row>
        <row r="3406">
          <cell r="A3406">
            <v>9116141</v>
          </cell>
          <cell r="B3406">
            <v>128756</v>
          </cell>
          <cell r="C3406" t="str">
            <v>Blyth School</v>
          </cell>
          <cell r="D3406" t="str">
            <v>Pre LGR (1998) Devon</v>
          </cell>
          <cell r="E3406" t="str">
            <v>Other Independent School</v>
          </cell>
          <cell r="F3406" t="str">
            <v>Not applicable</v>
          </cell>
        </row>
        <row r="3407">
          <cell r="A3407">
            <v>9292420</v>
          </cell>
          <cell r="B3407">
            <v>122263</v>
          </cell>
          <cell r="C3407" t="str">
            <v>Blyth South Beach First School</v>
          </cell>
          <cell r="D3407" t="str">
            <v>Northumberland</v>
          </cell>
          <cell r="E3407" t="str">
            <v>Community School</v>
          </cell>
          <cell r="F3407" t="str">
            <v>Primary</v>
          </cell>
        </row>
        <row r="3408">
          <cell r="A3408">
            <v>9294020</v>
          </cell>
          <cell r="B3408">
            <v>122322</v>
          </cell>
          <cell r="C3408" t="str">
            <v>Blyth Tynedale High School</v>
          </cell>
          <cell r="D3408" t="str">
            <v>Northumberland</v>
          </cell>
          <cell r="E3408" t="str">
            <v>Community School</v>
          </cell>
          <cell r="F3408" t="str">
            <v>Secondary</v>
          </cell>
        </row>
        <row r="3409">
          <cell r="A3409">
            <v>9294164</v>
          </cell>
          <cell r="B3409">
            <v>122336</v>
          </cell>
          <cell r="C3409" t="str">
            <v>Blyth Tynedale Middle School</v>
          </cell>
          <cell r="D3409" t="str">
            <v>Northumberland</v>
          </cell>
          <cell r="E3409" t="str">
            <v>Community School</v>
          </cell>
          <cell r="F3409" t="str">
            <v>Middle Deemed Secondary</v>
          </cell>
        </row>
        <row r="3410">
          <cell r="A3410">
            <v>8604067</v>
          </cell>
          <cell r="B3410">
            <v>124396</v>
          </cell>
          <cell r="C3410" t="str">
            <v>Blythe Bridge High School</v>
          </cell>
          <cell r="D3410" t="str">
            <v>Staffordshire</v>
          </cell>
          <cell r="E3410" t="str">
            <v>Community School</v>
          </cell>
          <cell r="F3410" t="str">
            <v>Secondary</v>
          </cell>
        </row>
        <row r="3411">
          <cell r="A3411">
            <v>9377024</v>
          </cell>
          <cell r="B3411">
            <v>125802</v>
          </cell>
          <cell r="C3411" t="str">
            <v>Blythe School</v>
          </cell>
          <cell r="D3411" t="str">
            <v>Warwickshire</v>
          </cell>
          <cell r="E3411" t="str">
            <v>Community Special School</v>
          </cell>
          <cell r="F3411" t="str">
            <v>Special</v>
          </cell>
        </row>
        <row r="3412">
          <cell r="A3412">
            <v>9253350</v>
          </cell>
          <cell r="B3412">
            <v>120619</v>
          </cell>
          <cell r="C3412" t="str">
            <v>Blyton Cum Laughton Church of England School</v>
          </cell>
          <cell r="D3412" t="str">
            <v>Lincolnshire</v>
          </cell>
          <cell r="E3412" t="str">
            <v>Voluntary Aided School</v>
          </cell>
          <cell r="F3412" t="str">
            <v>Primary</v>
          </cell>
        </row>
        <row r="3413">
          <cell r="A3413">
            <v>2046001</v>
          </cell>
          <cell r="B3413">
            <v>137318</v>
          </cell>
          <cell r="C3413" t="str">
            <v>Bnei Zion Community School</v>
          </cell>
          <cell r="D3413" t="str">
            <v>Hackney</v>
          </cell>
          <cell r="E3413" t="str">
            <v>Other Independent School</v>
          </cell>
          <cell r="F3413" t="str">
            <v>Not applicable</v>
          </cell>
        </row>
        <row r="3414">
          <cell r="A3414">
            <v>2046242</v>
          </cell>
          <cell r="B3414">
            <v>100291</v>
          </cell>
          <cell r="C3414" t="str">
            <v>Bnois Jerusalem Girls School</v>
          </cell>
          <cell r="D3414" t="str">
            <v>Hackney</v>
          </cell>
          <cell r="E3414" t="str">
            <v>Other Independent School</v>
          </cell>
          <cell r="F3414" t="str">
            <v>Not applicable</v>
          </cell>
        </row>
        <row r="3415">
          <cell r="A3415">
            <v>3046114</v>
          </cell>
          <cell r="B3415">
            <v>136231</v>
          </cell>
          <cell r="C3415" t="str">
            <v>Bnos Beis Yaakov Primary School</v>
          </cell>
          <cell r="D3415" t="str">
            <v>Brent</v>
          </cell>
          <cell r="E3415" t="str">
            <v>Other Independent School</v>
          </cell>
          <cell r="F3415" t="str">
            <v>Not applicable</v>
          </cell>
        </row>
        <row r="3416">
          <cell r="A3416">
            <v>3556011</v>
          </cell>
          <cell r="B3416">
            <v>105996</v>
          </cell>
          <cell r="C3416" t="str">
            <v>Bnos Yisroel School Manchester</v>
          </cell>
          <cell r="D3416" t="str">
            <v>Salford</v>
          </cell>
          <cell r="E3416" t="str">
            <v>Other Independent School</v>
          </cell>
          <cell r="F3416" t="str">
            <v>Not applicable</v>
          </cell>
        </row>
        <row r="3417">
          <cell r="A3417">
            <v>8456044</v>
          </cell>
          <cell r="B3417">
            <v>131474</v>
          </cell>
          <cell r="C3417" t="str">
            <v>Bo Peeps Independent School</v>
          </cell>
          <cell r="D3417" t="str">
            <v>East Sussex</v>
          </cell>
          <cell r="E3417" t="str">
            <v>Other Independent School</v>
          </cell>
          <cell r="F3417" t="str">
            <v>Not applicable</v>
          </cell>
        </row>
        <row r="3418">
          <cell r="A3418">
            <v>3542041</v>
          </cell>
          <cell r="B3418">
            <v>105787</v>
          </cell>
          <cell r="C3418" t="str">
            <v>Boarshaw Community Primary School</v>
          </cell>
          <cell r="D3418" t="str">
            <v>Rochdale</v>
          </cell>
          <cell r="E3418" t="str">
            <v>Community School</v>
          </cell>
          <cell r="F3418" t="str">
            <v>Primary</v>
          </cell>
        </row>
        <row r="3419">
          <cell r="A3419">
            <v>9146161</v>
          </cell>
          <cell r="B3419">
            <v>128871</v>
          </cell>
          <cell r="C3419" t="str">
            <v>Boarzell College</v>
          </cell>
          <cell r="D3419" t="str">
            <v>Pre LGR (1997) East Sussex</v>
          </cell>
          <cell r="E3419" t="str">
            <v>Other Independent School</v>
          </cell>
          <cell r="F3419" t="str">
            <v>Not applicable</v>
          </cell>
        </row>
        <row r="3420">
          <cell r="A3420">
            <v>8782601</v>
          </cell>
          <cell r="B3420">
            <v>113247</v>
          </cell>
          <cell r="C3420" t="str">
            <v>Boasley Cross Community Primary School</v>
          </cell>
          <cell r="D3420" t="str">
            <v>Devon</v>
          </cell>
          <cell r="E3420" t="str">
            <v>Community School</v>
          </cell>
          <cell r="F3420" t="str">
            <v>Primary</v>
          </cell>
        </row>
        <row r="3421">
          <cell r="A3421">
            <v>8862223</v>
          </cell>
          <cell r="B3421">
            <v>118333</v>
          </cell>
          <cell r="C3421" t="str">
            <v>Bobbing Village School</v>
          </cell>
          <cell r="D3421" t="str">
            <v>Kent</v>
          </cell>
          <cell r="E3421" t="str">
            <v>Community School</v>
          </cell>
          <cell r="F3421" t="str">
            <v>Primary</v>
          </cell>
        </row>
        <row r="3422">
          <cell r="A3422">
            <v>8812250</v>
          </cell>
          <cell r="B3422">
            <v>114809</v>
          </cell>
          <cell r="C3422" t="str">
            <v>Bocking Church Street Primary School</v>
          </cell>
          <cell r="D3422" t="str">
            <v>Essex</v>
          </cell>
          <cell r="E3422" t="str">
            <v>Community School</v>
          </cell>
          <cell r="F3422" t="str">
            <v>Primary</v>
          </cell>
        </row>
        <row r="3423">
          <cell r="A3423">
            <v>9283007</v>
          </cell>
          <cell r="B3423">
            <v>121960</v>
          </cell>
          <cell r="C3423" t="str">
            <v>Boddington Church of England Voluntary School</v>
          </cell>
          <cell r="D3423" t="str">
            <v>Northamptonshire</v>
          </cell>
          <cell r="E3423" t="str">
            <v>Voluntary Controlled School</v>
          </cell>
          <cell r="F3423" t="str">
            <v>Primary</v>
          </cell>
        </row>
        <row r="3424">
          <cell r="A3424">
            <v>9187018</v>
          </cell>
          <cell r="B3424">
            <v>129108</v>
          </cell>
          <cell r="C3424" t="str">
            <v>Bodenham Manor School</v>
          </cell>
          <cell r="D3424" t="str">
            <v>Pre LGR (1998) Hereford &amp; Worcester</v>
          </cell>
          <cell r="E3424" t="str">
            <v>Community Special School</v>
          </cell>
          <cell r="F3424" t="str">
            <v>Special</v>
          </cell>
        </row>
        <row r="3425">
          <cell r="A3425">
            <v>6632070</v>
          </cell>
          <cell r="B3425">
            <v>400271</v>
          </cell>
          <cell r="C3425" t="str">
            <v>Bodfari C.P. School</v>
          </cell>
          <cell r="D3425" t="str">
            <v>Denbighshire</v>
          </cell>
          <cell r="E3425" t="str">
            <v>Welsh Establishment</v>
          </cell>
          <cell r="F3425" t="str">
            <v>Primary</v>
          </cell>
        </row>
        <row r="3426">
          <cell r="A3426">
            <v>8453076</v>
          </cell>
          <cell r="B3426">
            <v>114529</v>
          </cell>
          <cell r="C3426" t="str">
            <v>Bodiam Church of England Primary School</v>
          </cell>
          <cell r="D3426" t="str">
            <v>East Sussex</v>
          </cell>
          <cell r="E3426" t="str">
            <v>Voluntary Controlled School</v>
          </cell>
          <cell r="F3426" t="str">
            <v>Primary</v>
          </cell>
        </row>
        <row r="3427">
          <cell r="A3427">
            <v>8456021</v>
          </cell>
          <cell r="B3427">
            <v>114642</v>
          </cell>
          <cell r="C3427" t="str">
            <v>Bodiam Manor School</v>
          </cell>
          <cell r="D3427" t="str">
            <v>East Sussex</v>
          </cell>
          <cell r="E3427" t="str">
            <v>Other Independent School</v>
          </cell>
          <cell r="F3427" t="str">
            <v>Not applicable</v>
          </cell>
        </row>
        <row r="3428">
          <cell r="A3428">
            <v>9084154</v>
          </cell>
          <cell r="B3428">
            <v>112049</v>
          </cell>
          <cell r="C3428" t="str">
            <v>Bodmin College</v>
          </cell>
          <cell r="D3428" t="str">
            <v>Cornwall</v>
          </cell>
          <cell r="E3428" t="str">
            <v>Foundation School</v>
          </cell>
          <cell r="F3428" t="str">
            <v>Secondary</v>
          </cell>
        </row>
        <row r="3429">
          <cell r="A3429">
            <v>9084154</v>
          </cell>
          <cell r="B3429">
            <v>136383</v>
          </cell>
          <cell r="C3429" t="str">
            <v>Bodmin College</v>
          </cell>
          <cell r="D3429" t="str">
            <v>Cornwall</v>
          </cell>
          <cell r="E3429" t="str">
            <v>Academy Converters</v>
          </cell>
          <cell r="F3429" t="str">
            <v>Secondary</v>
          </cell>
        </row>
        <row r="3430">
          <cell r="A3430">
            <v>6632034</v>
          </cell>
          <cell r="B3430">
            <v>400262</v>
          </cell>
          <cell r="C3430" t="str">
            <v>Bodnant Infants School</v>
          </cell>
          <cell r="D3430" t="str">
            <v>Denbighshire</v>
          </cell>
          <cell r="E3430" t="str">
            <v>Welsh Establishment</v>
          </cell>
          <cell r="F3430" t="str">
            <v>Primary</v>
          </cell>
        </row>
        <row r="3431">
          <cell r="A3431">
            <v>6632079</v>
          </cell>
          <cell r="B3431">
            <v>400273</v>
          </cell>
          <cell r="C3431" t="str">
            <v>Bodnant Junior School</v>
          </cell>
          <cell r="D3431" t="str">
            <v>Denbighshire</v>
          </cell>
          <cell r="E3431" t="str">
            <v>Welsh Establishment</v>
          </cell>
          <cell r="F3431" t="str">
            <v>Primary</v>
          </cell>
        </row>
        <row r="3432">
          <cell r="A3432">
            <v>9082229</v>
          </cell>
          <cell r="B3432">
            <v>136523</v>
          </cell>
          <cell r="C3432" t="str">
            <v>Bodriggy Academy</v>
          </cell>
          <cell r="D3432" t="str">
            <v>Cornwall</v>
          </cell>
          <cell r="E3432" t="str">
            <v>Academy Converters</v>
          </cell>
          <cell r="F3432" t="str">
            <v>Primary</v>
          </cell>
        </row>
        <row r="3433">
          <cell r="A3433">
            <v>9082229</v>
          </cell>
          <cell r="B3433">
            <v>111848</v>
          </cell>
          <cell r="C3433" t="str">
            <v>Bodriggy Primary School</v>
          </cell>
          <cell r="D3433" t="str">
            <v>Cornwall</v>
          </cell>
          <cell r="E3433" t="str">
            <v>Community School</v>
          </cell>
          <cell r="F3433" t="str">
            <v>Primary</v>
          </cell>
        </row>
        <row r="3434">
          <cell r="A3434">
            <v>6742069</v>
          </cell>
          <cell r="B3434">
            <v>401145</v>
          </cell>
          <cell r="C3434" t="str">
            <v>Bodringallt Primary School</v>
          </cell>
          <cell r="D3434" t="str">
            <v>Rhondda, Cynon, Taff</v>
          </cell>
          <cell r="E3434" t="str">
            <v>Welsh Establishment</v>
          </cell>
          <cell r="F3434" t="str">
            <v>Primary</v>
          </cell>
        </row>
        <row r="3435">
          <cell r="A3435">
            <v>6741112</v>
          </cell>
          <cell r="B3435">
            <v>402168</v>
          </cell>
          <cell r="C3435" t="str">
            <v>Bodringallt Tuition Group</v>
          </cell>
          <cell r="D3435" t="str">
            <v>Rhondda, Cynon, Taff</v>
          </cell>
          <cell r="E3435" t="str">
            <v>Welsh Establishment</v>
          </cell>
          <cell r="F3435" t="str">
            <v>Not applicable</v>
          </cell>
        </row>
        <row r="3436">
          <cell r="A3436">
            <v>8863146</v>
          </cell>
          <cell r="B3436">
            <v>118673</v>
          </cell>
          <cell r="C3436" t="str">
            <v>Bodsham Church of England Primary School</v>
          </cell>
          <cell r="D3436" t="str">
            <v>Kent</v>
          </cell>
          <cell r="E3436" t="str">
            <v>Voluntary Controlled School</v>
          </cell>
          <cell r="F3436" t="str">
            <v>Primary</v>
          </cell>
        </row>
        <row r="3437">
          <cell r="A3437">
            <v>9381000</v>
          </cell>
          <cell r="B3437">
            <v>125807</v>
          </cell>
          <cell r="C3437" t="str">
            <v>Bognor Regis Nursery School</v>
          </cell>
          <cell r="D3437" t="str">
            <v>West Sussex</v>
          </cell>
          <cell r="E3437" t="str">
            <v>LA Nursery School</v>
          </cell>
          <cell r="F3437" t="str">
            <v>Nursery</v>
          </cell>
        </row>
        <row r="3438">
          <cell r="A3438">
            <v>8505407</v>
          </cell>
          <cell r="B3438">
            <v>116500</v>
          </cell>
          <cell r="C3438" t="str">
            <v>Bohunt School</v>
          </cell>
          <cell r="D3438" t="str">
            <v>Hampshire</v>
          </cell>
          <cell r="E3438" t="str">
            <v>Foundation School</v>
          </cell>
          <cell r="F3438" t="str">
            <v>Secondary</v>
          </cell>
        </row>
        <row r="3439">
          <cell r="A3439">
            <v>8505407</v>
          </cell>
          <cell r="B3439">
            <v>136643</v>
          </cell>
          <cell r="C3439" t="str">
            <v>Bohunt School</v>
          </cell>
          <cell r="D3439" t="str">
            <v>Hampshire</v>
          </cell>
          <cell r="E3439" t="str">
            <v>Academy Converters</v>
          </cell>
          <cell r="F3439" t="str">
            <v>Secondary</v>
          </cell>
        </row>
        <row r="3440">
          <cell r="A3440">
            <v>3912070</v>
          </cell>
          <cell r="B3440">
            <v>128118</v>
          </cell>
          <cell r="C3440" t="str">
            <v>Bolam Street Primary School</v>
          </cell>
          <cell r="D3440" t="str">
            <v>Newcastle upon Tyne</v>
          </cell>
          <cell r="E3440" t="str">
            <v>Community School</v>
          </cell>
          <cell r="F3440" t="str">
            <v>Primary</v>
          </cell>
        </row>
        <row r="3441">
          <cell r="A3441">
            <v>3302402</v>
          </cell>
          <cell r="B3441">
            <v>103342</v>
          </cell>
          <cell r="C3441" t="str">
            <v>Boldmere Infant School and Nursery</v>
          </cell>
          <cell r="D3441" t="str">
            <v>Birmingham</v>
          </cell>
          <cell r="E3441" t="str">
            <v>Community School</v>
          </cell>
          <cell r="F3441" t="str">
            <v>Primary</v>
          </cell>
        </row>
        <row r="3442">
          <cell r="A3442">
            <v>3302401</v>
          </cell>
          <cell r="B3442">
            <v>103341</v>
          </cell>
          <cell r="C3442" t="str">
            <v>Boldmere Junior School</v>
          </cell>
          <cell r="D3442" t="str">
            <v>Birmingham</v>
          </cell>
          <cell r="E3442" t="str">
            <v>Community School</v>
          </cell>
          <cell r="F3442" t="str">
            <v>Primary</v>
          </cell>
        </row>
        <row r="3443">
          <cell r="A3443">
            <v>3933000</v>
          </cell>
          <cell r="B3443">
            <v>108707</v>
          </cell>
          <cell r="C3443" t="str">
            <v>Boldon CofE Primary School</v>
          </cell>
          <cell r="D3443" t="str">
            <v>South Tyneside</v>
          </cell>
          <cell r="E3443" t="str">
            <v>Voluntary Controlled School</v>
          </cell>
          <cell r="F3443" t="str">
            <v>Primary</v>
          </cell>
        </row>
        <row r="3444">
          <cell r="A3444">
            <v>3931018</v>
          </cell>
          <cell r="B3444">
            <v>108665</v>
          </cell>
          <cell r="C3444" t="str">
            <v>Boldon Nursery School</v>
          </cell>
          <cell r="D3444" t="str">
            <v>South Tyneside</v>
          </cell>
          <cell r="E3444" t="str">
            <v>LA Nursery School</v>
          </cell>
          <cell r="F3444" t="str">
            <v>Nursery</v>
          </cell>
        </row>
        <row r="3445">
          <cell r="A3445">
            <v>3934019</v>
          </cell>
          <cell r="B3445">
            <v>108730</v>
          </cell>
          <cell r="C3445" t="str">
            <v>Boldon School</v>
          </cell>
          <cell r="D3445" t="str">
            <v>South Tyneside</v>
          </cell>
          <cell r="E3445" t="str">
            <v>Community School</v>
          </cell>
          <cell r="F3445" t="str">
            <v>Secondary</v>
          </cell>
        </row>
        <row r="3446">
          <cell r="A3446">
            <v>3732011</v>
          </cell>
          <cell r="B3446">
            <v>127640</v>
          </cell>
          <cell r="C3446" t="str">
            <v>Bole Hill Primary School</v>
          </cell>
          <cell r="D3446" t="str">
            <v>Sheffield</v>
          </cell>
          <cell r="E3446" t="str">
            <v>Community School</v>
          </cell>
          <cell r="F3446" t="str">
            <v>Primary</v>
          </cell>
        </row>
        <row r="3447">
          <cell r="A3447">
            <v>8782717</v>
          </cell>
          <cell r="B3447">
            <v>113337</v>
          </cell>
          <cell r="C3447" t="str">
            <v>Bolham Community Primary School</v>
          </cell>
          <cell r="D3447" t="str">
            <v>Devon</v>
          </cell>
          <cell r="E3447" t="str">
            <v>Community School</v>
          </cell>
          <cell r="F3447" t="str">
            <v>Primary</v>
          </cell>
        </row>
        <row r="3448">
          <cell r="A3448">
            <v>9112066</v>
          </cell>
          <cell r="B3448">
            <v>128690</v>
          </cell>
          <cell r="C3448" t="str">
            <v>Bolham First School</v>
          </cell>
          <cell r="D3448" t="str">
            <v>Pre LGR (1998) Devon</v>
          </cell>
          <cell r="E3448" t="str">
            <v>Community School</v>
          </cell>
          <cell r="F3448" t="str">
            <v>Primary</v>
          </cell>
        </row>
        <row r="3449">
          <cell r="A3449">
            <v>2122054</v>
          </cell>
          <cell r="B3449">
            <v>100999</v>
          </cell>
          <cell r="C3449" t="str">
            <v>Bolingbroke Primary School</v>
          </cell>
          <cell r="D3449" t="str">
            <v>Wandsworth</v>
          </cell>
          <cell r="E3449" t="str">
            <v>Community School</v>
          </cell>
          <cell r="F3449" t="str">
            <v>Primary</v>
          </cell>
        </row>
        <row r="3450">
          <cell r="A3450">
            <v>3527010</v>
          </cell>
          <cell r="B3450">
            <v>105603</v>
          </cell>
          <cell r="C3450" t="str">
            <v>Bollin Cross School</v>
          </cell>
          <cell r="D3450" t="str">
            <v>Manchester</v>
          </cell>
          <cell r="E3450" t="str">
            <v>Community Special School</v>
          </cell>
          <cell r="F3450" t="str">
            <v>Special</v>
          </cell>
        </row>
        <row r="3451">
          <cell r="A3451">
            <v>3582014</v>
          </cell>
          <cell r="B3451">
            <v>106296</v>
          </cell>
          <cell r="C3451" t="str">
            <v>Bollin Primary School</v>
          </cell>
          <cell r="D3451" t="str">
            <v>Trafford</v>
          </cell>
          <cell r="E3451" t="str">
            <v>Community School</v>
          </cell>
          <cell r="F3451" t="str">
            <v>Primary</v>
          </cell>
        </row>
        <row r="3452">
          <cell r="A3452">
            <v>8953562</v>
          </cell>
          <cell r="B3452">
            <v>111360</v>
          </cell>
          <cell r="C3452" t="str">
            <v>Bollinbrook CofE Primary School</v>
          </cell>
          <cell r="D3452" t="str">
            <v>Cheshire East</v>
          </cell>
          <cell r="E3452" t="str">
            <v>Voluntary Aided School</v>
          </cell>
          <cell r="F3452" t="str">
            <v>Primary</v>
          </cell>
        </row>
        <row r="3453">
          <cell r="A3453">
            <v>3807028</v>
          </cell>
          <cell r="B3453">
            <v>107475</v>
          </cell>
          <cell r="C3453" t="str">
            <v>Bolling Special School</v>
          </cell>
          <cell r="D3453" t="str">
            <v>Bradford</v>
          </cell>
          <cell r="E3453" t="str">
            <v>Community Special School</v>
          </cell>
          <cell r="F3453" t="str">
            <v>Special</v>
          </cell>
        </row>
        <row r="3454">
          <cell r="A3454">
            <v>8953113</v>
          </cell>
          <cell r="B3454">
            <v>111252</v>
          </cell>
          <cell r="C3454" t="str">
            <v>Bollington Cross CofE Primary School</v>
          </cell>
          <cell r="D3454" t="str">
            <v>Cheshire East</v>
          </cell>
          <cell r="E3454" t="str">
            <v>Voluntary Controlled School</v>
          </cell>
          <cell r="F3454" t="str">
            <v>Primary</v>
          </cell>
        </row>
        <row r="3455">
          <cell r="A3455">
            <v>8953516</v>
          </cell>
          <cell r="B3455">
            <v>111324</v>
          </cell>
          <cell r="C3455" t="str">
            <v>Bollington St John's CofE Primary School</v>
          </cell>
          <cell r="D3455" t="str">
            <v>Cheshire East</v>
          </cell>
          <cell r="E3455" t="str">
            <v>Voluntary Aided School</v>
          </cell>
          <cell r="F3455" t="str">
            <v>Primary</v>
          </cell>
        </row>
        <row r="3456">
          <cell r="A3456">
            <v>9383052</v>
          </cell>
          <cell r="B3456">
            <v>126007</v>
          </cell>
          <cell r="C3456" t="str">
            <v>Bolney CofE Primary School</v>
          </cell>
          <cell r="D3456" t="str">
            <v>West Sussex</v>
          </cell>
          <cell r="E3456" t="str">
            <v>Voluntary Controlled School</v>
          </cell>
          <cell r="F3456" t="str">
            <v>Primary</v>
          </cell>
        </row>
        <row r="3457">
          <cell r="A3457">
            <v>9383372</v>
          </cell>
          <cell r="B3457">
            <v>135607</v>
          </cell>
          <cell r="C3457" t="str">
            <v>Bolnore Village Primary School</v>
          </cell>
          <cell r="D3457" t="str">
            <v>West Sussex</v>
          </cell>
          <cell r="E3457" t="str">
            <v>Foundation School</v>
          </cell>
          <cell r="F3457" t="str">
            <v>Primary</v>
          </cell>
        </row>
        <row r="3458">
          <cell r="A3458">
            <v>3562007</v>
          </cell>
          <cell r="B3458">
            <v>106029</v>
          </cell>
          <cell r="C3458" t="str">
            <v>Bolshaw Primary School</v>
          </cell>
          <cell r="D3458" t="str">
            <v>Stockport</v>
          </cell>
          <cell r="E3458" t="str">
            <v>Community School</v>
          </cell>
          <cell r="F3458" t="str">
            <v>Primary</v>
          </cell>
        </row>
        <row r="3459">
          <cell r="A3459">
            <v>8303012</v>
          </cell>
          <cell r="B3459">
            <v>112801</v>
          </cell>
          <cell r="C3459" t="str">
            <v>Bolsover Church of England Junior School</v>
          </cell>
          <cell r="D3459" t="str">
            <v>Derbyshire</v>
          </cell>
          <cell r="E3459" t="str">
            <v>Voluntary Controlled School</v>
          </cell>
          <cell r="F3459" t="str">
            <v>Primary</v>
          </cell>
        </row>
        <row r="3460">
          <cell r="A3460">
            <v>8302048</v>
          </cell>
          <cell r="B3460">
            <v>112511</v>
          </cell>
          <cell r="C3460" t="str">
            <v>Bolsover Infant School</v>
          </cell>
          <cell r="D3460" t="str">
            <v>Derbyshire</v>
          </cell>
          <cell r="E3460" t="str">
            <v>Community School</v>
          </cell>
          <cell r="F3460" t="str">
            <v>Primary</v>
          </cell>
        </row>
        <row r="3461">
          <cell r="A3461">
            <v>3733020</v>
          </cell>
          <cell r="B3461">
            <v>127716</v>
          </cell>
          <cell r="C3461" t="str">
            <v>Bolsterstone CofE Junior and Infant School</v>
          </cell>
          <cell r="D3461" t="str">
            <v>Sheffield</v>
          </cell>
          <cell r="E3461" t="str">
            <v>Voluntary Controlled School</v>
          </cell>
          <cell r="F3461" t="str">
            <v>Primary</v>
          </cell>
        </row>
        <row r="3462">
          <cell r="A3462">
            <v>3812063</v>
          </cell>
          <cell r="B3462">
            <v>107515</v>
          </cell>
          <cell r="C3462" t="str">
            <v>Bolton Brow Junior Infant and Nursery School</v>
          </cell>
          <cell r="D3462" t="str">
            <v>Calderdale</v>
          </cell>
          <cell r="E3462" t="str">
            <v>Community School</v>
          </cell>
          <cell r="F3462" t="str">
            <v>Primary</v>
          </cell>
        </row>
        <row r="3463">
          <cell r="A3463">
            <v>3812063</v>
          </cell>
          <cell r="B3463">
            <v>137392</v>
          </cell>
          <cell r="C3463" t="str">
            <v>Bolton Brow Junior Infant and Nursery School</v>
          </cell>
          <cell r="D3463" t="str">
            <v>Calderdale</v>
          </cell>
          <cell r="E3463" t="str">
            <v>Academy Converters</v>
          </cell>
          <cell r="F3463" t="str">
            <v>Primary</v>
          </cell>
        </row>
        <row r="3464">
          <cell r="A3464">
            <v>8883809</v>
          </cell>
          <cell r="B3464">
            <v>119688</v>
          </cell>
          <cell r="C3464" t="str">
            <v>Bolton by Bowland Church of England Voluntary Aided Primary School</v>
          </cell>
          <cell r="D3464" t="str">
            <v>Lancashire</v>
          </cell>
          <cell r="E3464" t="str">
            <v>Voluntary Aided School</v>
          </cell>
          <cell r="F3464" t="str">
            <v>Primary</v>
          </cell>
        </row>
        <row r="3465">
          <cell r="A3465">
            <v>3508001</v>
          </cell>
          <cell r="B3465">
            <v>130495</v>
          </cell>
          <cell r="C3465" t="str">
            <v>Bolton College</v>
          </cell>
          <cell r="D3465" t="str">
            <v>Bolton</v>
          </cell>
          <cell r="E3465" t="str">
            <v>Further Education</v>
          </cell>
          <cell r="F3465" t="str">
            <v>16 Plus</v>
          </cell>
        </row>
        <row r="3466">
          <cell r="A3466">
            <v>3501111</v>
          </cell>
          <cell r="B3466">
            <v>134293</v>
          </cell>
          <cell r="C3466" t="str">
            <v>Bolton Community</v>
          </cell>
          <cell r="D3466" t="str">
            <v>Bolton</v>
          </cell>
          <cell r="E3466" t="str">
            <v>Pupil Referral Unit</v>
          </cell>
          <cell r="F3466" t="str">
            <v>PRU</v>
          </cell>
        </row>
        <row r="3467">
          <cell r="A3467">
            <v>3802005</v>
          </cell>
          <cell r="B3467">
            <v>107195</v>
          </cell>
          <cell r="C3467" t="str">
            <v>Bolton Lane First School</v>
          </cell>
          <cell r="D3467" t="str">
            <v>Bradford</v>
          </cell>
          <cell r="E3467" t="str">
            <v>Community School</v>
          </cell>
          <cell r="F3467" t="str">
            <v>Primary</v>
          </cell>
        </row>
        <row r="3468">
          <cell r="A3468">
            <v>3504806</v>
          </cell>
          <cell r="B3468">
            <v>135096</v>
          </cell>
          <cell r="C3468" t="str">
            <v>Bolton Muslim Girls School</v>
          </cell>
          <cell r="D3468" t="str">
            <v>Bolton</v>
          </cell>
          <cell r="E3468" t="str">
            <v>Voluntary Aided School</v>
          </cell>
          <cell r="F3468" t="str">
            <v>Secondary</v>
          </cell>
        </row>
        <row r="3469">
          <cell r="A3469">
            <v>3506016</v>
          </cell>
          <cell r="B3469">
            <v>105273</v>
          </cell>
          <cell r="C3469" t="str">
            <v>Bolton Muslim Girls' School</v>
          </cell>
          <cell r="D3469" t="str">
            <v>Bolton</v>
          </cell>
          <cell r="E3469" t="str">
            <v>Other Independent School</v>
          </cell>
          <cell r="F3469" t="str">
            <v>Not applicable</v>
          </cell>
        </row>
        <row r="3470">
          <cell r="A3470">
            <v>3503336</v>
          </cell>
          <cell r="B3470">
            <v>105229</v>
          </cell>
          <cell r="C3470" t="str">
            <v>Bolton Parish Church CofE Primary School</v>
          </cell>
          <cell r="D3470" t="str">
            <v>Bolton</v>
          </cell>
          <cell r="E3470" t="str">
            <v>Voluntary Aided School</v>
          </cell>
          <cell r="F3470" t="str">
            <v>Primary</v>
          </cell>
        </row>
        <row r="3471">
          <cell r="A3471">
            <v>9273230</v>
          </cell>
          <cell r="B3471">
            <v>129665</v>
          </cell>
          <cell r="C3471" t="str">
            <v>Bolton Percy CofE Primary School</v>
          </cell>
          <cell r="D3471" t="str">
            <v>Pre LGR (1996) North Yorkshire</v>
          </cell>
          <cell r="E3471" t="str">
            <v>Voluntary Controlled School</v>
          </cell>
          <cell r="F3471" t="str">
            <v>Primary</v>
          </cell>
        </row>
        <row r="3472">
          <cell r="A3472">
            <v>9092301</v>
          </cell>
          <cell r="B3472">
            <v>112176</v>
          </cell>
          <cell r="C3472" t="str">
            <v>Bolton Primary School</v>
          </cell>
          <cell r="D3472" t="str">
            <v>Cumbria</v>
          </cell>
          <cell r="E3472" t="str">
            <v>Community School</v>
          </cell>
          <cell r="F3472" t="str">
            <v>Primary</v>
          </cell>
        </row>
        <row r="3473">
          <cell r="A3473">
            <v>3506014</v>
          </cell>
          <cell r="B3473">
            <v>105271</v>
          </cell>
          <cell r="C3473" t="str">
            <v>Bolton School Boys' Division</v>
          </cell>
          <cell r="D3473" t="str">
            <v>Bolton</v>
          </cell>
          <cell r="E3473" t="str">
            <v>Other Independent School</v>
          </cell>
          <cell r="F3473" t="str">
            <v>Not applicable</v>
          </cell>
        </row>
        <row r="3474">
          <cell r="A3474">
            <v>3506015</v>
          </cell>
          <cell r="B3474">
            <v>105272</v>
          </cell>
          <cell r="C3474" t="str">
            <v>Bolton School Girls' Division</v>
          </cell>
          <cell r="D3474" t="str">
            <v>Bolton</v>
          </cell>
          <cell r="E3474" t="str">
            <v>Other Independent School</v>
          </cell>
          <cell r="F3474" t="str">
            <v>Not applicable</v>
          </cell>
        </row>
        <row r="3475">
          <cell r="A3475">
            <v>3508602</v>
          </cell>
          <cell r="B3475">
            <v>131867</v>
          </cell>
          <cell r="C3475" t="str">
            <v>Bolton Sixth Form College</v>
          </cell>
          <cell r="D3475" t="str">
            <v>Bolton</v>
          </cell>
          <cell r="E3475" t="str">
            <v>Further Education</v>
          </cell>
          <cell r="F3475" t="str">
            <v>16 Plus</v>
          </cell>
        </row>
        <row r="3476">
          <cell r="A3476">
            <v>3506906</v>
          </cell>
          <cell r="B3476">
            <v>135981</v>
          </cell>
          <cell r="C3476" t="str">
            <v>Bolton St Catherine's Academy</v>
          </cell>
          <cell r="D3476" t="str">
            <v>Bolton</v>
          </cell>
          <cell r="E3476" t="str">
            <v>Academy Sponsor Led</v>
          </cell>
          <cell r="F3476" t="str">
            <v>Not applicable</v>
          </cell>
        </row>
        <row r="3477">
          <cell r="A3477">
            <v>3802006</v>
          </cell>
          <cell r="B3477">
            <v>107196</v>
          </cell>
          <cell r="C3477" t="str">
            <v>Bolton Woods First School</v>
          </cell>
          <cell r="D3477" t="str">
            <v>Bradford</v>
          </cell>
          <cell r="E3477" t="str">
            <v>Community School</v>
          </cell>
          <cell r="F3477" t="str">
            <v>Primary</v>
          </cell>
        </row>
        <row r="3478">
          <cell r="A3478">
            <v>8883518</v>
          </cell>
          <cell r="B3478">
            <v>119521</v>
          </cell>
          <cell r="C3478" t="str">
            <v>Bolton-le-Sands Church of England Primary School</v>
          </cell>
          <cell r="D3478" t="str">
            <v>Lancashire</v>
          </cell>
          <cell r="E3478" t="str">
            <v>Voluntary Aided School</v>
          </cell>
          <cell r="F3478" t="str">
            <v>Primary</v>
          </cell>
        </row>
        <row r="3479">
          <cell r="A3479">
            <v>8153301</v>
          </cell>
          <cell r="B3479">
            <v>121604</v>
          </cell>
          <cell r="C3479" t="str">
            <v>Bolton-on-Swale St Mary's CofE Primary School</v>
          </cell>
          <cell r="D3479" t="str">
            <v>North Yorkshire</v>
          </cell>
          <cell r="E3479" t="str">
            <v>Voluntary Aided School</v>
          </cell>
          <cell r="F3479" t="str">
            <v>Primary</v>
          </cell>
        </row>
        <row r="3480">
          <cell r="A3480">
            <v>9093002</v>
          </cell>
          <cell r="B3480">
            <v>112245</v>
          </cell>
          <cell r="C3480" t="str">
            <v>Boltons CofE School</v>
          </cell>
          <cell r="D3480" t="str">
            <v>Cumbria</v>
          </cell>
          <cell r="E3480" t="str">
            <v>Voluntary Controlled School</v>
          </cell>
          <cell r="F3480" t="str">
            <v>Primary</v>
          </cell>
        </row>
        <row r="3481">
          <cell r="A3481">
            <v>9082601</v>
          </cell>
          <cell r="B3481">
            <v>128547</v>
          </cell>
          <cell r="C3481" t="str">
            <v>Bolventor Primary School</v>
          </cell>
          <cell r="D3481" t="str">
            <v>Cornwall</v>
          </cell>
          <cell r="E3481" t="str">
            <v>Community School</v>
          </cell>
          <cell r="F3481" t="str">
            <v>Primary</v>
          </cell>
        </row>
        <row r="3482">
          <cell r="A3482">
            <v>8933090</v>
          </cell>
          <cell r="B3482">
            <v>123495</v>
          </cell>
          <cell r="C3482" t="str">
            <v>Bomere Heath CofE Primary School</v>
          </cell>
          <cell r="D3482" t="str">
            <v>Shropshire</v>
          </cell>
          <cell r="E3482" t="str">
            <v>Voluntary Controlled School</v>
          </cell>
          <cell r="F3482" t="str">
            <v>Primary</v>
          </cell>
        </row>
        <row r="3483">
          <cell r="A3483">
            <v>3152052</v>
          </cell>
          <cell r="B3483">
            <v>102626</v>
          </cell>
          <cell r="C3483" t="str">
            <v>Bond Primary School</v>
          </cell>
          <cell r="D3483" t="str">
            <v>Merton</v>
          </cell>
          <cell r="E3483" t="str">
            <v>Community School</v>
          </cell>
          <cell r="F3483" t="str">
            <v>Primary</v>
          </cell>
        </row>
        <row r="3484">
          <cell r="A3484">
            <v>9342235</v>
          </cell>
          <cell r="B3484">
            <v>129885</v>
          </cell>
          <cell r="C3484" t="str">
            <v>Boney Hay County First School</v>
          </cell>
          <cell r="D3484" t="str">
            <v>Pre LGR (1997) Staffordshire</v>
          </cell>
          <cell r="E3484" t="str">
            <v>Community School</v>
          </cell>
          <cell r="F3484" t="str">
            <v>Primary</v>
          </cell>
        </row>
        <row r="3485">
          <cell r="A3485">
            <v>9344136</v>
          </cell>
          <cell r="B3485">
            <v>129941</v>
          </cell>
          <cell r="C3485" t="str">
            <v>Boney Hay Middle School</v>
          </cell>
          <cell r="D3485" t="str">
            <v>Pre LGR (1997) Staffordshire</v>
          </cell>
          <cell r="E3485" t="str">
            <v>Community School</v>
          </cell>
          <cell r="F3485" t="str">
            <v>Middle Deemed Secondary</v>
          </cell>
        </row>
        <row r="3486">
          <cell r="A3486">
            <v>8602410</v>
          </cell>
          <cell r="B3486">
            <v>124206</v>
          </cell>
          <cell r="C3486" t="str">
            <v>Boney Hay Primary School</v>
          </cell>
          <cell r="D3486" t="str">
            <v>Staffordshire</v>
          </cell>
          <cell r="E3486" t="str">
            <v>Community School</v>
          </cell>
          <cell r="F3486" t="str">
            <v>Primary</v>
          </cell>
        </row>
        <row r="3487">
          <cell r="A3487">
            <v>8922177</v>
          </cell>
          <cell r="B3487">
            <v>122499</v>
          </cell>
          <cell r="C3487" t="str">
            <v>Bonington Infant and Nursery School</v>
          </cell>
          <cell r="D3487" t="str">
            <v>Nottingham</v>
          </cell>
          <cell r="E3487" t="str">
            <v>Community School</v>
          </cell>
          <cell r="F3487" t="str">
            <v>Primary</v>
          </cell>
        </row>
        <row r="3488">
          <cell r="A3488">
            <v>2112056</v>
          </cell>
          <cell r="B3488">
            <v>100891</v>
          </cell>
          <cell r="C3488" t="str">
            <v>Bonner Primary School</v>
          </cell>
          <cell r="D3488" t="str">
            <v>Tower Hamlets</v>
          </cell>
          <cell r="E3488" t="str">
            <v>Community School</v>
          </cell>
          <cell r="F3488" t="str">
            <v>Primary</v>
          </cell>
        </row>
        <row r="3489">
          <cell r="A3489">
            <v>8453042</v>
          </cell>
          <cell r="B3489">
            <v>114511</v>
          </cell>
          <cell r="C3489" t="str">
            <v>Bonners CofE School</v>
          </cell>
          <cell r="D3489" t="str">
            <v>East Sussex</v>
          </cell>
          <cell r="E3489" t="str">
            <v>Voluntary Controlled School</v>
          </cell>
          <cell r="F3489" t="str">
            <v>Primary</v>
          </cell>
        </row>
        <row r="3490">
          <cell r="A3490">
            <v>2082058</v>
          </cell>
          <cell r="B3490">
            <v>100558</v>
          </cell>
          <cell r="C3490" t="str">
            <v>Bonneville Infant School</v>
          </cell>
          <cell r="D3490" t="str">
            <v>Lambeth</v>
          </cell>
          <cell r="E3490" t="str">
            <v>Community School</v>
          </cell>
          <cell r="F3490" t="str">
            <v>Primary</v>
          </cell>
        </row>
        <row r="3491">
          <cell r="A3491">
            <v>2082057</v>
          </cell>
          <cell r="B3491">
            <v>100557</v>
          </cell>
          <cell r="C3491" t="str">
            <v>Bonneville Junior School</v>
          </cell>
          <cell r="D3491" t="str">
            <v>Lambeth</v>
          </cell>
          <cell r="E3491" t="str">
            <v>Community School</v>
          </cell>
          <cell r="F3491" t="str">
            <v>Primary</v>
          </cell>
        </row>
        <row r="3492">
          <cell r="A3492">
            <v>2082897</v>
          </cell>
          <cell r="B3492">
            <v>131247</v>
          </cell>
          <cell r="C3492" t="str">
            <v>Bonneville Primary School</v>
          </cell>
          <cell r="D3492" t="str">
            <v>Lambeth</v>
          </cell>
          <cell r="E3492" t="str">
            <v>Community School</v>
          </cell>
          <cell r="F3492" t="str">
            <v>Primary</v>
          </cell>
        </row>
        <row r="3493">
          <cell r="A3493">
            <v>9192309</v>
          </cell>
          <cell r="B3493">
            <v>129129</v>
          </cell>
          <cell r="C3493" t="str">
            <v>Bonneygrove Infants' School</v>
          </cell>
          <cell r="D3493" t="str">
            <v>Hertfordshire</v>
          </cell>
          <cell r="E3493" t="str">
            <v>Community School</v>
          </cell>
          <cell r="F3493" t="str">
            <v>Primary</v>
          </cell>
        </row>
        <row r="3494">
          <cell r="A3494">
            <v>9192246</v>
          </cell>
          <cell r="B3494">
            <v>129119</v>
          </cell>
          <cell r="C3494" t="str">
            <v>Bonneygrove Junior School</v>
          </cell>
          <cell r="D3494" t="str">
            <v>Hertfordshire</v>
          </cell>
          <cell r="E3494" t="str">
            <v>Community School</v>
          </cell>
          <cell r="F3494" t="str">
            <v>Primary</v>
          </cell>
        </row>
        <row r="3495">
          <cell r="A3495">
            <v>9192467</v>
          </cell>
          <cell r="B3495">
            <v>117366</v>
          </cell>
          <cell r="C3495" t="str">
            <v>Bonneygrove Primary School</v>
          </cell>
          <cell r="D3495" t="str">
            <v>Hertfordshire</v>
          </cell>
          <cell r="E3495" t="str">
            <v>Community School</v>
          </cell>
          <cell r="F3495" t="str">
            <v>Primary</v>
          </cell>
        </row>
        <row r="3496">
          <cell r="A3496">
            <v>7046016</v>
          </cell>
          <cell r="B3496">
            <v>132640</v>
          </cell>
          <cell r="C3496" t="str">
            <v>Bonny Island School</v>
          </cell>
          <cell r="D3496" t="str">
            <v>Fieldwork Overseas Establishments</v>
          </cell>
          <cell r="E3496" t="str">
            <v>Service Childrens Education</v>
          </cell>
          <cell r="F3496" t="str">
            <v>Not applicable</v>
          </cell>
        </row>
        <row r="3497">
          <cell r="A3497">
            <v>8832722</v>
          </cell>
          <cell r="B3497">
            <v>114968</v>
          </cell>
          <cell r="C3497" t="str">
            <v>Bonnygate Primary School</v>
          </cell>
          <cell r="D3497" t="str">
            <v>Thurrock</v>
          </cell>
          <cell r="E3497" t="str">
            <v>Community School</v>
          </cell>
          <cell r="F3497" t="str">
            <v>Primary</v>
          </cell>
        </row>
        <row r="3498">
          <cell r="A3498">
            <v>8303326</v>
          </cell>
          <cell r="B3498">
            <v>112888</v>
          </cell>
          <cell r="C3498" t="str">
            <v>Bonsall CofE (A) Primary School</v>
          </cell>
          <cell r="D3498" t="str">
            <v>Derbyshire</v>
          </cell>
          <cell r="E3498" t="str">
            <v>Voluntary Aided School</v>
          </cell>
          <cell r="F3498" t="str">
            <v>Primary</v>
          </cell>
        </row>
        <row r="3499">
          <cell r="A3499">
            <v>2094802</v>
          </cell>
          <cell r="B3499">
            <v>100752</v>
          </cell>
          <cell r="C3499" t="str">
            <v>Bonus Pastor Catholic College</v>
          </cell>
          <cell r="D3499" t="str">
            <v>Lewisham</v>
          </cell>
          <cell r="E3499" t="str">
            <v>Voluntary Aided School</v>
          </cell>
          <cell r="F3499" t="str">
            <v>Secondary</v>
          </cell>
        </row>
        <row r="3500">
          <cell r="A3500">
            <v>3412172</v>
          </cell>
          <cell r="B3500">
            <v>104593</v>
          </cell>
          <cell r="C3500" t="str">
            <v>Booker Avenue Infant School</v>
          </cell>
          <cell r="D3500" t="str">
            <v>Liverpool</v>
          </cell>
          <cell r="E3500" t="str">
            <v>Community School</v>
          </cell>
          <cell r="F3500" t="str">
            <v>Primary</v>
          </cell>
        </row>
        <row r="3501">
          <cell r="A3501">
            <v>3412019</v>
          </cell>
          <cell r="B3501">
            <v>104522</v>
          </cell>
          <cell r="C3501" t="str">
            <v>Booker Avenue Junior School</v>
          </cell>
          <cell r="D3501" t="str">
            <v>Liverpool</v>
          </cell>
          <cell r="E3501" t="str">
            <v>Community School</v>
          </cell>
          <cell r="F3501" t="str">
            <v>Primary</v>
          </cell>
        </row>
        <row r="3502">
          <cell r="A3502">
            <v>8252126</v>
          </cell>
          <cell r="B3502">
            <v>110260</v>
          </cell>
          <cell r="C3502" t="str">
            <v>Booker Hill School</v>
          </cell>
          <cell r="D3502" t="str">
            <v>Buckinghamshire</v>
          </cell>
          <cell r="E3502" t="str">
            <v>Community School</v>
          </cell>
          <cell r="F3502" t="str">
            <v>Primary</v>
          </cell>
        </row>
        <row r="3503">
          <cell r="A3503">
            <v>8257028</v>
          </cell>
          <cell r="B3503">
            <v>110588</v>
          </cell>
          <cell r="C3503" t="str">
            <v>Booker Park Community School</v>
          </cell>
          <cell r="D3503" t="str">
            <v>Buckinghamshire</v>
          </cell>
          <cell r="E3503" t="str">
            <v>Community Special School</v>
          </cell>
          <cell r="F3503" t="str">
            <v>Special</v>
          </cell>
        </row>
        <row r="3504">
          <cell r="A3504">
            <v>6741116</v>
          </cell>
          <cell r="B3504">
            <v>402164</v>
          </cell>
          <cell r="C3504" t="str">
            <v>Books and Babies Group</v>
          </cell>
          <cell r="D3504" t="str">
            <v>Rhondda, Cynon, Taff</v>
          </cell>
          <cell r="E3504" t="str">
            <v>Welsh Establishment</v>
          </cell>
          <cell r="F3504" t="str">
            <v>Not applicable</v>
          </cell>
        </row>
        <row r="3505">
          <cell r="A3505">
            <v>9092207</v>
          </cell>
          <cell r="B3505">
            <v>112155</v>
          </cell>
          <cell r="C3505" t="str">
            <v>Bookwell Primary School</v>
          </cell>
          <cell r="D3505" t="str">
            <v>Cumbria</v>
          </cell>
          <cell r="E3505" t="str">
            <v>Community School</v>
          </cell>
          <cell r="F3505" t="str">
            <v>Primary</v>
          </cell>
        </row>
        <row r="3506">
          <cell r="A3506">
            <v>3506019</v>
          </cell>
          <cell r="B3506">
            <v>135333</v>
          </cell>
          <cell r="C3506" t="str">
            <v>Booth Greencorns Independent School</v>
          </cell>
          <cell r="D3506" t="str">
            <v>Bolton</v>
          </cell>
          <cell r="E3506" t="str">
            <v>Other Independent Special School</v>
          </cell>
          <cell r="F3506" t="str">
            <v>Not applicable</v>
          </cell>
        </row>
        <row r="3507">
          <cell r="A3507">
            <v>8552165</v>
          </cell>
          <cell r="B3507">
            <v>119973</v>
          </cell>
          <cell r="C3507" t="str">
            <v>Booth Wood Primary School</v>
          </cell>
          <cell r="D3507" t="str">
            <v>Leicestershire</v>
          </cell>
          <cell r="E3507" t="str">
            <v>Community School</v>
          </cell>
          <cell r="F3507" t="str">
            <v>Primary</v>
          </cell>
        </row>
        <row r="3508">
          <cell r="A3508">
            <v>8166000</v>
          </cell>
          <cell r="B3508">
            <v>121722</v>
          </cell>
          <cell r="C3508" t="str">
            <v>Bootham School</v>
          </cell>
          <cell r="D3508" t="str">
            <v>York</v>
          </cell>
          <cell r="E3508" t="str">
            <v>Other Independent School</v>
          </cell>
          <cell r="F3508" t="str">
            <v>Not applicable</v>
          </cell>
        </row>
        <row r="3509">
          <cell r="A3509">
            <v>8166005</v>
          </cell>
          <cell r="B3509">
            <v>121728</v>
          </cell>
          <cell r="C3509" t="str">
            <v>Boothan Junior School</v>
          </cell>
          <cell r="D3509" t="str">
            <v>York</v>
          </cell>
          <cell r="E3509" t="str">
            <v>Other Independent School</v>
          </cell>
          <cell r="F3509" t="str">
            <v>Not applicable</v>
          </cell>
        </row>
        <row r="3510">
          <cell r="A3510">
            <v>9107028</v>
          </cell>
          <cell r="B3510">
            <v>113049</v>
          </cell>
          <cell r="C3510" t="str">
            <v>Boothby Meadows School</v>
          </cell>
          <cell r="D3510" t="str">
            <v>Pre LGR (1997) Derbyshire</v>
          </cell>
          <cell r="E3510" t="str">
            <v>Community Special School</v>
          </cell>
          <cell r="F3510" t="str">
            <v>Special</v>
          </cell>
        </row>
        <row r="3511">
          <cell r="A3511">
            <v>8613009</v>
          </cell>
          <cell r="B3511">
            <v>124225</v>
          </cell>
          <cell r="C3511" t="str">
            <v>Boothen CofE (C) Primary School</v>
          </cell>
          <cell r="D3511" t="str">
            <v>Stoke-on-Trent</v>
          </cell>
          <cell r="E3511" t="str">
            <v>Voluntary Controlled School</v>
          </cell>
          <cell r="F3511" t="str">
            <v>Primary</v>
          </cell>
        </row>
        <row r="3512">
          <cell r="A3512">
            <v>9204486</v>
          </cell>
          <cell r="B3512">
            <v>129315</v>
          </cell>
          <cell r="C3512" t="str">
            <v>Boothferry Middle School</v>
          </cell>
          <cell r="D3512" t="str">
            <v>Pre LGR (1996) Humberside</v>
          </cell>
          <cell r="E3512" t="str">
            <v>Community School</v>
          </cell>
          <cell r="F3512" t="str">
            <v>Middle Deemed Secondary</v>
          </cell>
        </row>
        <row r="3513">
          <cell r="A3513">
            <v>8112914</v>
          </cell>
          <cell r="B3513">
            <v>117941</v>
          </cell>
          <cell r="C3513" t="str">
            <v>Boothferry Primary School</v>
          </cell>
          <cell r="D3513" t="str">
            <v>East Riding of Yorkshire</v>
          </cell>
          <cell r="E3513" t="str">
            <v>Community School</v>
          </cell>
          <cell r="F3513" t="str">
            <v>Primary</v>
          </cell>
        </row>
        <row r="3514">
          <cell r="A3514">
            <v>9202785</v>
          </cell>
          <cell r="B3514">
            <v>129241</v>
          </cell>
          <cell r="C3514" t="str">
            <v>Boothferry Road First School</v>
          </cell>
          <cell r="D3514" t="str">
            <v>Pre LGR (1996) Humberside</v>
          </cell>
          <cell r="E3514" t="str">
            <v>Community School</v>
          </cell>
          <cell r="F3514" t="str">
            <v>Primary</v>
          </cell>
        </row>
        <row r="3515">
          <cell r="A3515">
            <v>3822002</v>
          </cell>
          <cell r="B3515">
            <v>107598</v>
          </cell>
          <cell r="C3515" t="str">
            <v>Boothroyd Junior and Infant School</v>
          </cell>
          <cell r="D3515" t="str">
            <v>Kirklees</v>
          </cell>
          <cell r="E3515" t="str">
            <v>Community School</v>
          </cell>
          <cell r="F3515" t="str">
            <v>Primary</v>
          </cell>
        </row>
        <row r="3516">
          <cell r="A3516">
            <v>3822003</v>
          </cell>
          <cell r="B3516">
            <v>127776</v>
          </cell>
          <cell r="C3516" t="str">
            <v>Boothroyd Lane Infant School</v>
          </cell>
          <cell r="D3516" t="str">
            <v>Kirklees</v>
          </cell>
          <cell r="E3516" t="str">
            <v>Community School</v>
          </cell>
          <cell r="F3516" t="str">
            <v>Primary</v>
          </cell>
        </row>
        <row r="3517">
          <cell r="A3517">
            <v>3553043</v>
          </cell>
          <cell r="B3517">
            <v>105942</v>
          </cell>
          <cell r="C3517" t="str">
            <v>Boothstown Methodist Primary School</v>
          </cell>
          <cell r="D3517" t="str">
            <v>Salford</v>
          </cell>
          <cell r="E3517" t="str">
            <v>Voluntary Controlled School</v>
          </cell>
          <cell r="F3517" t="str">
            <v>Primary</v>
          </cell>
        </row>
        <row r="3518">
          <cell r="A3518">
            <v>3815501</v>
          </cell>
          <cell r="B3518">
            <v>127769</v>
          </cell>
          <cell r="C3518" t="str">
            <v>Boothtown Language Centre</v>
          </cell>
          <cell r="D3518" t="str">
            <v>Calderdale</v>
          </cell>
          <cell r="E3518" t="str">
            <v>Legacy types</v>
          </cell>
          <cell r="F3518" t="str">
            <v>Not applicable</v>
          </cell>
        </row>
        <row r="3519">
          <cell r="A3519">
            <v>9284078</v>
          </cell>
          <cell r="B3519">
            <v>122084</v>
          </cell>
          <cell r="C3519" t="str">
            <v>Boothville Middle School</v>
          </cell>
          <cell r="D3519" t="str">
            <v>Northamptonshire</v>
          </cell>
          <cell r="E3519" t="str">
            <v>Community School</v>
          </cell>
          <cell r="F3519" t="str">
            <v>Middle Deemed Secondary</v>
          </cell>
        </row>
        <row r="3520">
          <cell r="A3520">
            <v>9282188</v>
          </cell>
          <cell r="B3520">
            <v>121931</v>
          </cell>
          <cell r="C3520" t="str">
            <v>Boothville Primary School</v>
          </cell>
          <cell r="D3520" t="str">
            <v>Northamptonshire</v>
          </cell>
          <cell r="E3520" t="str">
            <v>Community School</v>
          </cell>
          <cell r="F3520" t="str">
            <v>Primary</v>
          </cell>
        </row>
        <row r="3521">
          <cell r="A3521">
            <v>3434112</v>
          </cell>
          <cell r="B3521">
            <v>104957</v>
          </cell>
          <cell r="C3521" t="str">
            <v>Bootle High School</v>
          </cell>
          <cell r="D3521" t="str">
            <v>Sefton</v>
          </cell>
          <cell r="E3521" t="str">
            <v>Community School</v>
          </cell>
          <cell r="F3521" t="str">
            <v>Secondary</v>
          </cell>
        </row>
        <row r="3522">
          <cell r="A3522">
            <v>8863329</v>
          </cell>
          <cell r="B3522">
            <v>118731</v>
          </cell>
          <cell r="C3522" t="str">
            <v>Borden Church of England Primary School</v>
          </cell>
          <cell r="D3522" t="str">
            <v>Kent</v>
          </cell>
          <cell r="E3522" t="str">
            <v>Voluntary Aided School</v>
          </cell>
          <cell r="F3522" t="str">
            <v>Primary</v>
          </cell>
        </row>
        <row r="3523">
          <cell r="A3523">
            <v>8864527</v>
          </cell>
          <cell r="B3523">
            <v>118837</v>
          </cell>
          <cell r="C3523" t="str">
            <v>Borden Grammar School</v>
          </cell>
          <cell r="D3523" t="str">
            <v>Kent</v>
          </cell>
          <cell r="E3523" t="str">
            <v>Foundation School</v>
          </cell>
          <cell r="F3523" t="str">
            <v>Secondary</v>
          </cell>
        </row>
        <row r="3524">
          <cell r="A3524">
            <v>6653054</v>
          </cell>
          <cell r="B3524">
            <v>400452</v>
          </cell>
          <cell r="C3524" t="str">
            <v>Borderbrook School</v>
          </cell>
          <cell r="D3524" t="str">
            <v>Wrexham</v>
          </cell>
          <cell r="E3524" t="str">
            <v>Welsh Establishment</v>
          </cell>
          <cell r="F3524" t="str">
            <v>Primary</v>
          </cell>
        </row>
        <row r="3525">
          <cell r="A3525">
            <v>3301001</v>
          </cell>
          <cell r="B3525">
            <v>103120</v>
          </cell>
          <cell r="C3525" t="str">
            <v>Bordesley Green East Nursery School</v>
          </cell>
          <cell r="D3525" t="str">
            <v>Birmingham</v>
          </cell>
          <cell r="E3525" t="str">
            <v>LA Nursery School</v>
          </cell>
          <cell r="F3525" t="str">
            <v>Nursery</v>
          </cell>
        </row>
        <row r="3526">
          <cell r="A3526">
            <v>3304115</v>
          </cell>
          <cell r="B3526">
            <v>103493</v>
          </cell>
          <cell r="C3526" t="str">
            <v>Bordesley Green Girls' School - Specialisms: Business, Enterprise &amp; Applied Learning</v>
          </cell>
          <cell r="D3526" t="str">
            <v>Birmingham</v>
          </cell>
          <cell r="E3526" t="str">
            <v>Community School</v>
          </cell>
          <cell r="F3526" t="str">
            <v>Secondary</v>
          </cell>
        </row>
        <row r="3527">
          <cell r="A3527">
            <v>3302030</v>
          </cell>
          <cell r="B3527">
            <v>103172</v>
          </cell>
          <cell r="C3527" t="str">
            <v>Bordesley Green Primary School</v>
          </cell>
          <cell r="D3527" t="str">
            <v>Birmingham</v>
          </cell>
          <cell r="E3527" t="str">
            <v>Community School</v>
          </cell>
          <cell r="F3527" t="str">
            <v>Primary</v>
          </cell>
        </row>
        <row r="3528">
          <cell r="A3528">
            <v>3302002</v>
          </cell>
          <cell r="B3528">
            <v>103153</v>
          </cell>
          <cell r="C3528" t="str">
            <v>Bordesley Village Primary School and Children's Centre</v>
          </cell>
          <cell r="D3528" t="str">
            <v>Birmingham</v>
          </cell>
          <cell r="E3528" t="str">
            <v>Community School</v>
          </cell>
          <cell r="F3528" t="str">
            <v>Primary</v>
          </cell>
        </row>
        <row r="3529">
          <cell r="A3529">
            <v>8502022</v>
          </cell>
          <cell r="B3529">
            <v>115865</v>
          </cell>
          <cell r="C3529" t="str">
            <v>Bordon Infant School</v>
          </cell>
          <cell r="D3529" t="str">
            <v>Hampshire</v>
          </cell>
          <cell r="E3529" t="str">
            <v>Community School</v>
          </cell>
          <cell r="F3529" t="str">
            <v>Primary</v>
          </cell>
        </row>
        <row r="3530">
          <cell r="A3530">
            <v>8502021</v>
          </cell>
          <cell r="B3530">
            <v>115864</v>
          </cell>
          <cell r="C3530" t="str">
            <v>Bordon Junior School</v>
          </cell>
          <cell r="D3530" t="str">
            <v>Hampshire</v>
          </cell>
          <cell r="E3530" t="str">
            <v>Community School</v>
          </cell>
          <cell r="F3530" t="str">
            <v>Primary</v>
          </cell>
        </row>
        <row r="3531">
          <cell r="A3531">
            <v>8812659</v>
          </cell>
          <cell r="B3531">
            <v>114937</v>
          </cell>
          <cell r="C3531" t="str">
            <v>Boreham Primary School</v>
          </cell>
          <cell r="D3531" t="str">
            <v>Essex</v>
          </cell>
          <cell r="E3531" t="str">
            <v>Community School</v>
          </cell>
          <cell r="F3531" t="str">
            <v>Primary</v>
          </cell>
        </row>
        <row r="3532">
          <cell r="A3532">
            <v>8792694</v>
          </cell>
          <cell r="B3532">
            <v>113315</v>
          </cell>
          <cell r="C3532" t="str">
            <v>Boringdon Primary School</v>
          </cell>
          <cell r="D3532" t="str">
            <v>Plymouth</v>
          </cell>
          <cell r="E3532" t="str">
            <v>Community School</v>
          </cell>
          <cell r="F3532" t="str">
            <v>Primary</v>
          </cell>
        </row>
        <row r="3533">
          <cell r="A3533">
            <v>8865201</v>
          </cell>
          <cell r="B3533">
            <v>118847</v>
          </cell>
          <cell r="C3533" t="str">
            <v>Borough Green Primary School</v>
          </cell>
          <cell r="D3533" t="str">
            <v>Kent</v>
          </cell>
          <cell r="E3533" t="str">
            <v>Foundation School</v>
          </cell>
          <cell r="F3533" t="str">
            <v>Primary</v>
          </cell>
        </row>
        <row r="3534">
          <cell r="A3534">
            <v>8411030</v>
          </cell>
          <cell r="B3534">
            <v>113982</v>
          </cell>
          <cell r="C3534" t="str">
            <v>Borough Road Nursery School</v>
          </cell>
          <cell r="D3534" t="str">
            <v>Darlington</v>
          </cell>
          <cell r="E3534" t="str">
            <v>LA Nursery School</v>
          </cell>
          <cell r="F3534" t="str">
            <v>Nursery</v>
          </cell>
        </row>
        <row r="3535">
          <cell r="A3535">
            <v>8154221</v>
          </cell>
          <cell r="B3535">
            <v>121699</v>
          </cell>
          <cell r="C3535" t="str">
            <v>Boroughbridge High School</v>
          </cell>
          <cell r="D3535" t="str">
            <v>North Yorkshire</v>
          </cell>
          <cell r="E3535" t="str">
            <v>Community School</v>
          </cell>
          <cell r="F3535" t="str">
            <v>Secondary</v>
          </cell>
        </row>
        <row r="3536">
          <cell r="A3536">
            <v>8152309</v>
          </cell>
          <cell r="B3536">
            <v>121382</v>
          </cell>
          <cell r="C3536" t="str">
            <v>Boroughbridge Primary School</v>
          </cell>
          <cell r="D3536" t="str">
            <v>North Yorkshire</v>
          </cell>
          <cell r="E3536" t="str">
            <v>Community School</v>
          </cell>
          <cell r="F3536" t="str">
            <v>Primary</v>
          </cell>
        </row>
        <row r="3537">
          <cell r="A3537">
            <v>6652203</v>
          </cell>
          <cell r="B3537">
            <v>400427</v>
          </cell>
          <cell r="C3537" t="str">
            <v>Borras Park Infants School</v>
          </cell>
          <cell r="D3537" t="str">
            <v>Wrexham</v>
          </cell>
          <cell r="E3537" t="str">
            <v>Welsh Establishment</v>
          </cell>
          <cell r="F3537" t="str">
            <v>Primary</v>
          </cell>
        </row>
        <row r="3538">
          <cell r="A3538">
            <v>6652205</v>
          </cell>
          <cell r="B3538">
            <v>400429</v>
          </cell>
          <cell r="C3538" t="str">
            <v>Borras Park Junior C.P. School</v>
          </cell>
          <cell r="D3538" t="str">
            <v>Wrexham</v>
          </cell>
          <cell r="E3538" t="str">
            <v>Welsh Establishment</v>
          </cell>
          <cell r="F3538" t="str">
            <v>Primary</v>
          </cell>
        </row>
        <row r="3539">
          <cell r="A3539">
            <v>8312468</v>
          </cell>
          <cell r="B3539">
            <v>112764</v>
          </cell>
          <cell r="C3539" t="str">
            <v>Borrow Wood Infant School</v>
          </cell>
          <cell r="D3539" t="str">
            <v>Derby</v>
          </cell>
          <cell r="E3539" t="str">
            <v>Community School</v>
          </cell>
          <cell r="F3539" t="str">
            <v>Primary</v>
          </cell>
        </row>
        <row r="3540">
          <cell r="A3540">
            <v>8315201</v>
          </cell>
          <cell r="B3540">
            <v>112975</v>
          </cell>
          <cell r="C3540" t="str">
            <v>Borrow Wood Primary School</v>
          </cell>
          <cell r="D3540" t="str">
            <v>Derby</v>
          </cell>
          <cell r="E3540" t="str">
            <v>Community School</v>
          </cell>
          <cell r="F3540" t="str">
            <v>Primary</v>
          </cell>
        </row>
        <row r="3541">
          <cell r="A3541">
            <v>9093401</v>
          </cell>
          <cell r="B3541">
            <v>112333</v>
          </cell>
          <cell r="C3541" t="str">
            <v>Borrowdale CofE Primary School</v>
          </cell>
          <cell r="D3541" t="str">
            <v>Cumbria</v>
          </cell>
          <cell r="E3541" t="str">
            <v>Voluntary Aided School</v>
          </cell>
          <cell r="F3541" t="str">
            <v>Primary</v>
          </cell>
        </row>
        <row r="3542">
          <cell r="A3542">
            <v>8872526</v>
          </cell>
          <cell r="B3542">
            <v>118492</v>
          </cell>
          <cell r="C3542" t="str">
            <v>Borstal Manor Community School</v>
          </cell>
          <cell r="D3542" t="str">
            <v>Medway</v>
          </cell>
          <cell r="E3542" t="str">
            <v>Community School</v>
          </cell>
          <cell r="F3542" t="str">
            <v>Primary</v>
          </cell>
        </row>
        <row r="3543">
          <cell r="A3543">
            <v>6633050</v>
          </cell>
          <cell r="B3543">
            <v>400308</v>
          </cell>
          <cell r="C3543" t="str">
            <v>Borthyn V.C. Primary School</v>
          </cell>
          <cell r="D3543" t="str">
            <v>Denbighshire</v>
          </cell>
          <cell r="E3543" t="str">
            <v>Welsh Establishment</v>
          </cell>
          <cell r="F3543" t="str">
            <v>Primary</v>
          </cell>
        </row>
        <row r="3544">
          <cell r="A3544">
            <v>8843006</v>
          </cell>
          <cell r="B3544">
            <v>116785</v>
          </cell>
          <cell r="C3544" t="str">
            <v>Bosbury CofE Primary School</v>
          </cell>
          <cell r="D3544" t="str">
            <v>Herefordshire</v>
          </cell>
          <cell r="E3544" t="str">
            <v>Voluntary Controlled School</v>
          </cell>
          <cell r="F3544" t="str">
            <v>Primary</v>
          </cell>
        </row>
        <row r="3545">
          <cell r="A3545">
            <v>9082606</v>
          </cell>
          <cell r="B3545">
            <v>111929</v>
          </cell>
          <cell r="C3545" t="str">
            <v>Boscastle Community Primary School</v>
          </cell>
          <cell r="D3545" t="str">
            <v>Cornwall</v>
          </cell>
          <cell r="E3545" t="str">
            <v>Community School</v>
          </cell>
          <cell r="F3545" t="str">
            <v>Primary</v>
          </cell>
        </row>
        <row r="3546">
          <cell r="A3546">
            <v>9382009</v>
          </cell>
          <cell r="B3546">
            <v>125819</v>
          </cell>
          <cell r="C3546" t="str">
            <v>Bosham Primary School</v>
          </cell>
          <cell r="D3546" t="str">
            <v>West Sussex</v>
          </cell>
          <cell r="E3546" t="str">
            <v>Community School</v>
          </cell>
          <cell r="F3546" t="str">
            <v>Primary</v>
          </cell>
        </row>
        <row r="3547">
          <cell r="A3547">
            <v>9082126</v>
          </cell>
          <cell r="B3547">
            <v>111826</v>
          </cell>
          <cell r="C3547" t="str">
            <v>Boskenwyn Community Primary School</v>
          </cell>
          <cell r="D3547" t="str">
            <v>Cornwall</v>
          </cell>
          <cell r="E3547" t="str">
            <v>Community School</v>
          </cell>
          <cell r="F3547" t="str">
            <v>Primary</v>
          </cell>
        </row>
        <row r="3548">
          <cell r="A3548">
            <v>8953114</v>
          </cell>
          <cell r="B3548">
            <v>111253</v>
          </cell>
          <cell r="C3548" t="str">
            <v>Bosley St Mary's CofE Primary School</v>
          </cell>
          <cell r="D3548" t="str">
            <v>Cheshire East</v>
          </cell>
          <cell r="E3548" t="str">
            <v>Voluntary Controlled School</v>
          </cell>
          <cell r="F3548" t="str">
            <v>Primary</v>
          </cell>
        </row>
        <row r="3549">
          <cell r="A3549">
            <v>9352916</v>
          </cell>
          <cell r="B3549">
            <v>124674</v>
          </cell>
          <cell r="C3549" t="str">
            <v>Bosmere Community Primary School</v>
          </cell>
          <cell r="D3549" t="str">
            <v>Suffolk</v>
          </cell>
          <cell r="E3549" t="str">
            <v>Community School</v>
          </cell>
          <cell r="F3549" t="str">
            <v>Primary</v>
          </cell>
        </row>
        <row r="3550">
          <cell r="A3550">
            <v>8502116</v>
          </cell>
          <cell r="B3550">
            <v>115919</v>
          </cell>
          <cell r="C3550" t="str">
            <v>Bosmere Junior School</v>
          </cell>
          <cell r="D3550" t="str">
            <v>Hampshire</v>
          </cell>
          <cell r="E3550" t="str">
            <v>Community School</v>
          </cell>
          <cell r="F3550" t="str">
            <v>Primary</v>
          </cell>
        </row>
        <row r="3551">
          <cell r="A3551">
            <v>9252234</v>
          </cell>
          <cell r="B3551">
            <v>120500</v>
          </cell>
          <cell r="C3551" t="str">
            <v>Boston Carlton Road Primary School</v>
          </cell>
          <cell r="D3551" t="str">
            <v>Lincolnshire</v>
          </cell>
          <cell r="E3551" t="str">
            <v>Community School</v>
          </cell>
          <cell r="F3551" t="str">
            <v>Primary</v>
          </cell>
        </row>
        <row r="3552">
          <cell r="A3552">
            <v>9258004</v>
          </cell>
          <cell r="B3552">
            <v>130761</v>
          </cell>
          <cell r="C3552" t="str">
            <v>Boston College</v>
          </cell>
          <cell r="D3552" t="str">
            <v>Lincolnshire</v>
          </cell>
          <cell r="E3552" t="str">
            <v>Further Education</v>
          </cell>
          <cell r="F3552" t="str">
            <v>16 Plus</v>
          </cell>
        </row>
        <row r="3553">
          <cell r="A3553">
            <v>9254022</v>
          </cell>
          <cell r="B3553">
            <v>120640</v>
          </cell>
          <cell r="C3553" t="str">
            <v>Boston High School</v>
          </cell>
          <cell r="D3553" t="str">
            <v>Lincolnshire</v>
          </cell>
          <cell r="E3553" t="str">
            <v>Foundation School</v>
          </cell>
          <cell r="F3553" t="str">
            <v>Secondary</v>
          </cell>
        </row>
        <row r="3554">
          <cell r="A3554">
            <v>3834114</v>
          </cell>
          <cell r="B3554">
            <v>108091</v>
          </cell>
          <cell r="C3554" t="str">
            <v>Boston Spa School</v>
          </cell>
          <cell r="D3554" t="str">
            <v>Leeds</v>
          </cell>
          <cell r="E3554" t="str">
            <v>Foundation School</v>
          </cell>
          <cell r="F3554" t="str">
            <v>Secondary</v>
          </cell>
        </row>
        <row r="3555">
          <cell r="A3555">
            <v>9253342</v>
          </cell>
          <cell r="B3555">
            <v>120615</v>
          </cell>
          <cell r="C3555" t="str">
            <v>Boston St Mary's RC Primary School</v>
          </cell>
          <cell r="D3555" t="str">
            <v>Lincolnshire</v>
          </cell>
          <cell r="E3555" t="str">
            <v>Voluntary Aided School</v>
          </cell>
          <cell r="F3555" t="str">
            <v>Primary</v>
          </cell>
        </row>
        <row r="3556">
          <cell r="A3556">
            <v>9252239</v>
          </cell>
          <cell r="B3556">
            <v>120503</v>
          </cell>
          <cell r="C3556" t="str">
            <v>Boston Staniland Primary &amp; Nursery School</v>
          </cell>
          <cell r="D3556" t="str">
            <v>Lincolnshire</v>
          </cell>
          <cell r="E3556" t="str">
            <v>Community School</v>
          </cell>
          <cell r="F3556" t="str">
            <v>Primary</v>
          </cell>
        </row>
        <row r="3557">
          <cell r="A3557">
            <v>9255221</v>
          </cell>
          <cell r="B3557">
            <v>120688</v>
          </cell>
          <cell r="C3557" t="str">
            <v>Boston Tower Road Primary School</v>
          </cell>
          <cell r="D3557" t="str">
            <v>Lincolnshire</v>
          </cell>
          <cell r="E3557" t="str">
            <v>Foundation School</v>
          </cell>
          <cell r="F3557" t="str">
            <v>Primary</v>
          </cell>
        </row>
        <row r="3558">
          <cell r="A3558">
            <v>9255221</v>
          </cell>
          <cell r="B3558">
            <v>136793</v>
          </cell>
          <cell r="C3558" t="str">
            <v>Boston Tower Road Primary School</v>
          </cell>
          <cell r="D3558" t="str">
            <v>Lincolnshire</v>
          </cell>
          <cell r="E3558" t="str">
            <v>Academy Converters</v>
          </cell>
          <cell r="F3558" t="str">
            <v>Primary</v>
          </cell>
        </row>
        <row r="3559">
          <cell r="A3559">
            <v>9252116</v>
          </cell>
          <cell r="B3559">
            <v>120426</v>
          </cell>
          <cell r="C3559" t="str">
            <v>Boston West Primary School</v>
          </cell>
          <cell r="D3559" t="str">
            <v>Lincolnshire</v>
          </cell>
          <cell r="E3559" t="str">
            <v>Community School</v>
          </cell>
          <cell r="F3559" t="str">
            <v>Primary</v>
          </cell>
        </row>
        <row r="3560">
          <cell r="A3560">
            <v>9082321</v>
          </cell>
          <cell r="B3560">
            <v>111875</v>
          </cell>
          <cell r="C3560" t="str">
            <v>Bosvigo School</v>
          </cell>
          <cell r="D3560" t="str">
            <v>Cornwall</v>
          </cell>
          <cell r="E3560" t="str">
            <v>Community School</v>
          </cell>
          <cell r="F3560" t="str">
            <v>Primary</v>
          </cell>
        </row>
        <row r="3561">
          <cell r="A3561">
            <v>8554048</v>
          </cell>
          <cell r="B3561">
            <v>120266</v>
          </cell>
          <cell r="C3561" t="str">
            <v>Bosworth Community College</v>
          </cell>
          <cell r="D3561" t="str">
            <v>Leicestershire</v>
          </cell>
          <cell r="E3561" t="str">
            <v>Foundation School</v>
          </cell>
          <cell r="F3561" t="str">
            <v>Secondary</v>
          </cell>
        </row>
        <row r="3562">
          <cell r="A3562">
            <v>9286062</v>
          </cell>
          <cell r="B3562">
            <v>122149</v>
          </cell>
          <cell r="C3562" t="str">
            <v>Bosworth Independent College</v>
          </cell>
          <cell r="D3562" t="str">
            <v>Northamptonshire</v>
          </cell>
          <cell r="E3562" t="str">
            <v>Other Independent School</v>
          </cell>
          <cell r="F3562" t="str">
            <v>Not applicable</v>
          </cell>
        </row>
        <row r="3563">
          <cell r="A3563">
            <v>8922052</v>
          </cell>
          <cell r="B3563">
            <v>122410</v>
          </cell>
          <cell r="C3563" t="str">
            <v>Bosworth Primary and Nursery School With Focus Provision for Children With ASD</v>
          </cell>
          <cell r="D3563" t="str">
            <v>Nottingham</v>
          </cell>
          <cell r="E3563" t="str">
            <v>Community School</v>
          </cell>
          <cell r="F3563" t="str">
            <v>Primary</v>
          </cell>
        </row>
        <row r="3564">
          <cell r="A3564">
            <v>9294024</v>
          </cell>
          <cell r="B3564">
            <v>122323</v>
          </cell>
          <cell r="C3564" t="str">
            <v>Bothal Middle School</v>
          </cell>
          <cell r="D3564" t="str">
            <v>Northumberland</v>
          </cell>
          <cell r="E3564" t="str">
            <v>Foundation School</v>
          </cell>
          <cell r="F3564" t="str">
            <v>Middle Deemed Secondary</v>
          </cell>
        </row>
        <row r="3565">
          <cell r="A3565">
            <v>8503014</v>
          </cell>
          <cell r="B3565">
            <v>116273</v>
          </cell>
          <cell r="C3565" t="str">
            <v>Botley Church of England Controlled Primary School</v>
          </cell>
          <cell r="D3565" t="str">
            <v>Hampshire</v>
          </cell>
          <cell r="E3565" t="str">
            <v>Voluntary Controlled School</v>
          </cell>
          <cell r="F3565" t="str">
            <v>Primary</v>
          </cell>
        </row>
        <row r="3566">
          <cell r="A3566">
            <v>9312569</v>
          </cell>
          <cell r="B3566">
            <v>123067</v>
          </cell>
          <cell r="C3566" t="str">
            <v>Botley Primary School</v>
          </cell>
          <cell r="D3566" t="str">
            <v>Oxfordshire</v>
          </cell>
          <cell r="E3566" t="str">
            <v>Community School</v>
          </cell>
          <cell r="F3566" t="str">
            <v>Primary</v>
          </cell>
        </row>
        <row r="3567">
          <cell r="A3567">
            <v>8553014</v>
          </cell>
          <cell r="B3567">
            <v>120118</v>
          </cell>
          <cell r="C3567" t="str">
            <v>Bottesford Church of England Primary School</v>
          </cell>
          <cell r="D3567" t="str">
            <v>Leicestershire</v>
          </cell>
          <cell r="E3567" t="str">
            <v>Voluntary Controlled School</v>
          </cell>
          <cell r="F3567" t="str">
            <v>Primary</v>
          </cell>
        </row>
        <row r="3568">
          <cell r="A3568">
            <v>8132173</v>
          </cell>
          <cell r="B3568">
            <v>117780</v>
          </cell>
          <cell r="C3568" t="str">
            <v>Bottesford Infant School</v>
          </cell>
          <cell r="D3568" t="str">
            <v>North Lincolnshire</v>
          </cell>
          <cell r="E3568" t="str">
            <v>Community School</v>
          </cell>
          <cell r="F3568" t="str">
            <v>Primary</v>
          </cell>
        </row>
        <row r="3569">
          <cell r="A3569">
            <v>8132105</v>
          </cell>
          <cell r="B3569">
            <v>117727</v>
          </cell>
          <cell r="C3569" t="str">
            <v>Bottesford Junior School</v>
          </cell>
          <cell r="D3569" t="str">
            <v>North Lincolnshire</v>
          </cell>
          <cell r="E3569" t="str">
            <v>Community School</v>
          </cell>
          <cell r="F3569" t="str">
            <v>Primary</v>
          </cell>
        </row>
        <row r="3570">
          <cell r="A3570">
            <v>8732200</v>
          </cell>
          <cell r="B3570">
            <v>110669</v>
          </cell>
          <cell r="C3570" t="str">
            <v>Bottisham Community Primary School</v>
          </cell>
          <cell r="D3570" t="str">
            <v>Cambridgeshire</v>
          </cell>
          <cell r="E3570" t="str">
            <v>Community School</v>
          </cell>
          <cell r="F3570" t="str">
            <v>Primary</v>
          </cell>
        </row>
        <row r="3571">
          <cell r="A3571">
            <v>8734002</v>
          </cell>
          <cell r="B3571">
            <v>110860</v>
          </cell>
          <cell r="C3571" t="str">
            <v>Bottisham Village College</v>
          </cell>
          <cell r="D3571" t="str">
            <v>Cambridgeshire</v>
          </cell>
          <cell r="E3571" t="str">
            <v>Foundation School</v>
          </cell>
          <cell r="F3571" t="str">
            <v>Secondary</v>
          </cell>
        </row>
        <row r="3572">
          <cell r="A3572">
            <v>8734002</v>
          </cell>
          <cell r="B3572">
            <v>136677</v>
          </cell>
          <cell r="C3572" t="str">
            <v>Bottisham Village College</v>
          </cell>
          <cell r="D3572" t="str">
            <v>Cambridgeshire</v>
          </cell>
          <cell r="E3572" t="str">
            <v>Academy Converters</v>
          </cell>
          <cell r="F3572" t="str">
            <v>Secondary</v>
          </cell>
        </row>
        <row r="3573">
          <cell r="A3573">
            <v>8156023</v>
          </cell>
          <cell r="B3573">
            <v>121753</v>
          </cell>
          <cell r="C3573" t="str">
            <v>Botton Village School</v>
          </cell>
          <cell r="D3573" t="str">
            <v>North Yorkshire</v>
          </cell>
          <cell r="E3573" t="str">
            <v>Other Independent School</v>
          </cell>
          <cell r="F3573" t="str">
            <v>Not applicable</v>
          </cell>
        </row>
        <row r="3574">
          <cell r="A3574">
            <v>3123401</v>
          </cell>
          <cell r="B3574">
            <v>102422</v>
          </cell>
          <cell r="C3574" t="str">
            <v>Botwell House Catholic Primary School</v>
          </cell>
          <cell r="D3574" t="str">
            <v>Hillingdon</v>
          </cell>
          <cell r="E3574" t="str">
            <v>Voluntary Aided School</v>
          </cell>
          <cell r="F3574" t="str">
            <v>Primary</v>
          </cell>
        </row>
        <row r="3575">
          <cell r="A3575">
            <v>9262019</v>
          </cell>
          <cell r="B3575">
            <v>129603</v>
          </cell>
          <cell r="C3575" t="str">
            <v>Boughton County Primary School</v>
          </cell>
          <cell r="D3575" t="str">
            <v>Norfolk</v>
          </cell>
          <cell r="E3575" t="str">
            <v>Community School</v>
          </cell>
          <cell r="F3575" t="str">
            <v>Primary</v>
          </cell>
        </row>
        <row r="3576">
          <cell r="A3576">
            <v>8962357</v>
          </cell>
          <cell r="B3576">
            <v>111164</v>
          </cell>
          <cell r="C3576" t="str">
            <v>Boughton Heath Primary School</v>
          </cell>
          <cell r="D3576" t="str">
            <v>Cheshire West and Chester</v>
          </cell>
          <cell r="E3576" t="str">
            <v>Community School</v>
          </cell>
          <cell r="F3576" t="str">
            <v>Primary</v>
          </cell>
        </row>
        <row r="3577">
          <cell r="A3577">
            <v>9372598</v>
          </cell>
          <cell r="B3577">
            <v>125603</v>
          </cell>
          <cell r="C3577" t="str">
            <v>Boughton Leigh Infant School</v>
          </cell>
          <cell r="D3577" t="str">
            <v>Warwickshire</v>
          </cell>
          <cell r="E3577" t="str">
            <v>Community School</v>
          </cell>
          <cell r="F3577" t="str">
            <v>Primary</v>
          </cell>
        </row>
        <row r="3578">
          <cell r="A3578">
            <v>9372590</v>
          </cell>
          <cell r="B3578">
            <v>125598</v>
          </cell>
          <cell r="C3578" t="str">
            <v>Boughton Leigh Junior School</v>
          </cell>
          <cell r="D3578" t="str">
            <v>Warwickshire</v>
          </cell>
          <cell r="E3578" t="str">
            <v>Community School</v>
          </cell>
          <cell r="F3578" t="str">
            <v>Primary</v>
          </cell>
        </row>
        <row r="3579">
          <cell r="A3579">
            <v>8862161</v>
          </cell>
          <cell r="B3579">
            <v>118288</v>
          </cell>
          <cell r="C3579" t="str">
            <v>Boughton Monchelsea Primary School</v>
          </cell>
          <cell r="D3579" t="str">
            <v>Kent</v>
          </cell>
          <cell r="E3579" t="str">
            <v>Community School</v>
          </cell>
          <cell r="F3579" t="str">
            <v>Primary</v>
          </cell>
        </row>
        <row r="3580">
          <cell r="A3580">
            <v>9282003</v>
          </cell>
          <cell r="B3580">
            <v>121795</v>
          </cell>
          <cell r="C3580" t="str">
            <v>Boughton Primary School</v>
          </cell>
          <cell r="D3580" t="str">
            <v>Northamptonshire</v>
          </cell>
          <cell r="E3580" t="str">
            <v>Community School</v>
          </cell>
          <cell r="F3580" t="str">
            <v>Primary</v>
          </cell>
        </row>
        <row r="3581">
          <cell r="A3581">
            <v>8752067</v>
          </cell>
          <cell r="B3581">
            <v>110985</v>
          </cell>
          <cell r="C3581" t="str">
            <v>Boughton St Paul's Nursery and Infant School</v>
          </cell>
          <cell r="D3581" t="str">
            <v>Pre LGR (2009) Cheshire</v>
          </cell>
          <cell r="E3581" t="str">
            <v>Community School</v>
          </cell>
          <cell r="F3581" t="str">
            <v>Primary</v>
          </cell>
        </row>
        <row r="3582">
          <cell r="A3582">
            <v>8863282</v>
          </cell>
          <cell r="B3582">
            <v>118705</v>
          </cell>
          <cell r="C3582" t="str">
            <v>Boughton-under-Blean and Dunkirk Primary School</v>
          </cell>
          <cell r="D3582" t="str">
            <v>Kent</v>
          </cell>
          <cell r="E3582" t="str">
            <v>Voluntary Controlled School</v>
          </cell>
          <cell r="F3582" t="str">
            <v>Primary</v>
          </cell>
        </row>
        <row r="3583">
          <cell r="A3583">
            <v>9204115</v>
          </cell>
          <cell r="B3583">
            <v>129276</v>
          </cell>
          <cell r="C3583" t="str">
            <v>Boulevard Junior High School</v>
          </cell>
          <cell r="D3583" t="str">
            <v>Pre LGR (1996) Humberside</v>
          </cell>
          <cell r="E3583" t="str">
            <v>Community School</v>
          </cell>
          <cell r="F3583" t="str">
            <v>Secondary</v>
          </cell>
        </row>
        <row r="3584">
          <cell r="A3584">
            <v>9253127</v>
          </cell>
          <cell r="B3584">
            <v>129581</v>
          </cell>
          <cell r="C3584" t="str">
            <v>Boulters CofE School</v>
          </cell>
          <cell r="D3584" t="str">
            <v>Lincolnshire</v>
          </cell>
          <cell r="E3584" t="str">
            <v>Voluntary Controlled School</v>
          </cell>
          <cell r="F3584" t="str">
            <v>Primary</v>
          </cell>
        </row>
        <row r="3585">
          <cell r="A3585">
            <v>8312406</v>
          </cell>
          <cell r="B3585">
            <v>112718</v>
          </cell>
          <cell r="C3585" t="str">
            <v>Boulton Junior School</v>
          </cell>
          <cell r="D3585" t="str">
            <v>Derby</v>
          </cell>
          <cell r="E3585" t="str">
            <v>Community School</v>
          </cell>
          <cell r="F3585" t="str">
            <v>Primary</v>
          </cell>
        </row>
        <row r="3586">
          <cell r="A3586">
            <v>8312407</v>
          </cell>
          <cell r="B3586">
            <v>112719</v>
          </cell>
          <cell r="C3586" t="str">
            <v>Boulton Primary School</v>
          </cell>
          <cell r="D3586" t="str">
            <v>Derby</v>
          </cell>
          <cell r="E3586" t="str">
            <v>Community School</v>
          </cell>
          <cell r="F3586" t="str">
            <v>Primary</v>
          </cell>
        </row>
        <row r="3587">
          <cell r="A3587">
            <v>9172661</v>
          </cell>
          <cell r="B3587">
            <v>129013</v>
          </cell>
          <cell r="C3587" t="str">
            <v>Boundary First School</v>
          </cell>
          <cell r="D3587" t="str">
            <v>Pre LGR (1997) Hampshire</v>
          </cell>
          <cell r="E3587" t="str">
            <v>Community School</v>
          </cell>
          <cell r="F3587" t="str">
            <v>Primary</v>
          </cell>
        </row>
        <row r="3588">
          <cell r="A3588">
            <v>8506047</v>
          </cell>
          <cell r="B3588">
            <v>116558</v>
          </cell>
          <cell r="C3588" t="str">
            <v>Boundary Oak School</v>
          </cell>
          <cell r="D3588" t="str">
            <v>Hampshire</v>
          </cell>
          <cell r="E3588" t="str">
            <v>Other Independent School</v>
          </cell>
          <cell r="F3588" t="str">
            <v>Not applicable</v>
          </cell>
        </row>
        <row r="3589">
          <cell r="A3589">
            <v>8902835</v>
          </cell>
          <cell r="B3589">
            <v>133291</v>
          </cell>
          <cell r="C3589" t="str">
            <v>Boundary Primary School</v>
          </cell>
          <cell r="D3589" t="str">
            <v>Blackpool</v>
          </cell>
          <cell r="E3589" t="str">
            <v>Community School</v>
          </cell>
          <cell r="F3589" t="str">
            <v>Primary</v>
          </cell>
        </row>
        <row r="3590">
          <cell r="A3590">
            <v>3092005</v>
          </cell>
          <cell r="B3590">
            <v>102081</v>
          </cell>
          <cell r="C3590" t="str">
            <v>Bounds Green Infant School</v>
          </cell>
          <cell r="D3590" t="str">
            <v>Haringey</v>
          </cell>
          <cell r="E3590" t="str">
            <v>Community School</v>
          </cell>
          <cell r="F3590" t="str">
            <v>Primary</v>
          </cell>
        </row>
        <row r="3591">
          <cell r="A3591">
            <v>3092004</v>
          </cell>
          <cell r="B3591">
            <v>102080</v>
          </cell>
          <cell r="C3591" t="str">
            <v>Bounds Green Junior School</v>
          </cell>
          <cell r="D3591" t="str">
            <v>Haringey</v>
          </cell>
          <cell r="E3591" t="str">
            <v>Community School</v>
          </cell>
          <cell r="F3591" t="str">
            <v>Primary</v>
          </cell>
        </row>
        <row r="3592">
          <cell r="A3592">
            <v>9384042</v>
          </cell>
          <cell r="B3592">
            <v>126074</v>
          </cell>
          <cell r="C3592" t="str">
            <v>Boundstone Community College</v>
          </cell>
          <cell r="D3592" t="str">
            <v>West Sussex</v>
          </cell>
          <cell r="E3592" t="str">
            <v>Community School</v>
          </cell>
          <cell r="F3592" t="str">
            <v>Secondary</v>
          </cell>
        </row>
        <row r="3593">
          <cell r="A3593">
            <v>9381004</v>
          </cell>
          <cell r="B3593">
            <v>125810</v>
          </cell>
          <cell r="C3593" t="str">
            <v>Boundstone Nursery School, Children and Family Centre</v>
          </cell>
          <cell r="D3593" t="str">
            <v>West Sussex</v>
          </cell>
          <cell r="E3593" t="str">
            <v>LA Nursery School</v>
          </cell>
          <cell r="F3593" t="str">
            <v>Nursery</v>
          </cell>
        </row>
        <row r="3594">
          <cell r="A3594">
            <v>8733002</v>
          </cell>
          <cell r="B3594">
            <v>110782</v>
          </cell>
          <cell r="C3594" t="str">
            <v>Bourn CofE Primary School</v>
          </cell>
          <cell r="D3594" t="str">
            <v>Cambridgeshire</v>
          </cell>
          <cell r="E3594" t="str">
            <v>Voluntary Controlled School</v>
          </cell>
          <cell r="F3594" t="str">
            <v>Primary</v>
          </cell>
        </row>
        <row r="3595">
          <cell r="A3595">
            <v>8733002</v>
          </cell>
          <cell r="B3595">
            <v>137626</v>
          </cell>
          <cell r="C3595" t="str">
            <v>Bourn CofE Primary School</v>
          </cell>
          <cell r="D3595" t="str">
            <v>Cambridgeshire</v>
          </cell>
          <cell r="E3595" t="str">
            <v>Academy Converters</v>
          </cell>
          <cell r="F3595" t="str">
            <v>Primary</v>
          </cell>
        </row>
        <row r="3596">
          <cell r="A3596">
            <v>9253510</v>
          </cell>
          <cell r="B3596">
            <v>136354</v>
          </cell>
          <cell r="C3596" t="str">
            <v>Bourne Abbey Church of England Primary Academy</v>
          </cell>
          <cell r="D3596" t="str">
            <v>Lincolnshire</v>
          </cell>
          <cell r="E3596" t="str">
            <v>Academy Converters</v>
          </cell>
          <cell r="F3596" t="str">
            <v>Primary</v>
          </cell>
        </row>
        <row r="3597">
          <cell r="A3597">
            <v>9253510</v>
          </cell>
          <cell r="B3597">
            <v>135669</v>
          </cell>
          <cell r="C3597" t="str">
            <v>Bourne Abbey Church of England Primary School</v>
          </cell>
          <cell r="D3597" t="str">
            <v>Lincolnshire</v>
          </cell>
          <cell r="E3597" t="str">
            <v>Foundation School</v>
          </cell>
          <cell r="F3597" t="str">
            <v>Primary</v>
          </cell>
        </row>
        <row r="3598">
          <cell r="A3598">
            <v>9255200</v>
          </cell>
          <cell r="B3598">
            <v>120667</v>
          </cell>
          <cell r="C3598" t="str">
            <v>Bourne Abbey Primary School</v>
          </cell>
          <cell r="D3598" t="str">
            <v>Lincolnshire</v>
          </cell>
          <cell r="E3598" t="str">
            <v>Foundation School</v>
          </cell>
          <cell r="F3598" t="str">
            <v>Primary</v>
          </cell>
        </row>
        <row r="3599">
          <cell r="A3599">
            <v>9384028</v>
          </cell>
          <cell r="B3599">
            <v>126069</v>
          </cell>
          <cell r="C3599" t="str">
            <v>Bourne Community College</v>
          </cell>
          <cell r="D3599" t="str">
            <v>West Sussex</v>
          </cell>
          <cell r="E3599" t="str">
            <v>Foundation School</v>
          </cell>
          <cell r="F3599" t="str">
            <v>Secondary</v>
          </cell>
        </row>
        <row r="3600">
          <cell r="A3600">
            <v>9254501</v>
          </cell>
          <cell r="B3600">
            <v>120661</v>
          </cell>
          <cell r="C3600" t="str">
            <v>Bourne Grammar School</v>
          </cell>
          <cell r="D3600" t="str">
            <v>Lincolnshire</v>
          </cell>
          <cell r="E3600" t="str">
            <v>Voluntary Controlled School</v>
          </cell>
          <cell r="F3600" t="str">
            <v>Secondary</v>
          </cell>
        </row>
        <row r="3601">
          <cell r="A3601">
            <v>9227065</v>
          </cell>
          <cell r="B3601">
            <v>119060</v>
          </cell>
          <cell r="C3601" t="str">
            <v>Bourne Place School</v>
          </cell>
          <cell r="D3601" t="str">
            <v>Pre LGR (1998) Kent</v>
          </cell>
          <cell r="E3601" t="str">
            <v>Non-Maintained Special School</v>
          </cell>
          <cell r="F3601" t="str">
            <v>Special</v>
          </cell>
        </row>
        <row r="3602">
          <cell r="A3602">
            <v>3122003</v>
          </cell>
          <cell r="B3602">
            <v>102368</v>
          </cell>
          <cell r="C3602" t="str">
            <v>Bourne Primary School</v>
          </cell>
          <cell r="D3602" t="str">
            <v>Hillingdon</v>
          </cell>
          <cell r="E3602" t="str">
            <v>Community School</v>
          </cell>
          <cell r="F3602" t="str">
            <v>Primary</v>
          </cell>
        </row>
        <row r="3603">
          <cell r="A3603">
            <v>8452151</v>
          </cell>
          <cell r="B3603">
            <v>114473</v>
          </cell>
          <cell r="C3603" t="str">
            <v>Bourne Primary School</v>
          </cell>
          <cell r="D3603" t="str">
            <v>East Sussex</v>
          </cell>
          <cell r="E3603" t="str">
            <v>Community School</v>
          </cell>
          <cell r="F3603" t="str">
            <v>Primary</v>
          </cell>
        </row>
        <row r="3604">
          <cell r="A3604">
            <v>9252072</v>
          </cell>
          <cell r="B3604">
            <v>120402</v>
          </cell>
          <cell r="C3604" t="str">
            <v>Bourne Westfield Primary School</v>
          </cell>
          <cell r="D3604" t="str">
            <v>Lincolnshire</v>
          </cell>
          <cell r="E3604" t="str">
            <v>Foundation School</v>
          </cell>
          <cell r="F3604" t="str">
            <v>Primary</v>
          </cell>
        </row>
        <row r="3605">
          <cell r="A3605">
            <v>9252072</v>
          </cell>
          <cell r="B3605">
            <v>137599</v>
          </cell>
          <cell r="C3605" t="str">
            <v>Bourne Westfield Primary School</v>
          </cell>
          <cell r="D3605" t="str">
            <v>Lincolnshire</v>
          </cell>
          <cell r="E3605" t="str">
            <v>Academy Converters</v>
          </cell>
          <cell r="F3605" t="str">
            <v>Primary</v>
          </cell>
        </row>
        <row r="3606">
          <cell r="A3606">
            <v>9373215</v>
          </cell>
          <cell r="B3606">
            <v>130881</v>
          </cell>
          <cell r="C3606" t="str">
            <v>Bournebrook CofE Primary School</v>
          </cell>
          <cell r="D3606" t="str">
            <v>Warwickshire</v>
          </cell>
          <cell r="E3606" t="str">
            <v>Voluntary Controlled School</v>
          </cell>
          <cell r="F3606" t="str">
            <v>Primary</v>
          </cell>
        </row>
        <row r="3607">
          <cell r="A3607">
            <v>9192360</v>
          </cell>
          <cell r="B3607">
            <v>117296</v>
          </cell>
          <cell r="C3607" t="str">
            <v>Bournehall Primary School</v>
          </cell>
          <cell r="D3607" t="str">
            <v>Hertfordshire</v>
          </cell>
          <cell r="E3607" t="str">
            <v>Community School</v>
          </cell>
          <cell r="F3607" t="str">
            <v>Primary</v>
          </cell>
        </row>
        <row r="3608">
          <cell r="A3608">
            <v>8371100</v>
          </cell>
          <cell r="B3608">
            <v>132817</v>
          </cell>
          <cell r="C3608" t="str">
            <v>Bournemouth Alternative Needs Federation</v>
          </cell>
          <cell r="D3608" t="str">
            <v>Bournemouth</v>
          </cell>
          <cell r="E3608" t="str">
            <v>Pupil Referral Unit</v>
          </cell>
          <cell r="F3608" t="str">
            <v>PRU</v>
          </cell>
        </row>
        <row r="3609">
          <cell r="A3609">
            <v>8376035</v>
          </cell>
          <cell r="B3609">
            <v>134242</v>
          </cell>
          <cell r="C3609" t="str">
            <v>Bournemouth Christian School</v>
          </cell>
          <cell r="D3609" t="str">
            <v>Bournemouth</v>
          </cell>
          <cell r="E3609" t="str">
            <v>Other Independent School</v>
          </cell>
          <cell r="F3609" t="str">
            <v>Not applicable</v>
          </cell>
        </row>
        <row r="3610">
          <cell r="A3610">
            <v>8366001</v>
          </cell>
          <cell r="B3610">
            <v>113929</v>
          </cell>
          <cell r="C3610" t="str">
            <v>Bournemouth Collegiate Preparatory School</v>
          </cell>
          <cell r="D3610" t="str">
            <v>Poole</v>
          </cell>
          <cell r="E3610" t="str">
            <v>Other Independent School</v>
          </cell>
          <cell r="F3610" t="str">
            <v>Not applicable</v>
          </cell>
        </row>
        <row r="3611">
          <cell r="A3611">
            <v>8376002</v>
          </cell>
          <cell r="B3611">
            <v>113937</v>
          </cell>
          <cell r="C3611" t="str">
            <v>Bournemouth Collegiate School</v>
          </cell>
          <cell r="D3611" t="str">
            <v>Bournemouth</v>
          </cell>
          <cell r="E3611" t="str">
            <v>Other Independent School</v>
          </cell>
          <cell r="F3611" t="str">
            <v>Not applicable</v>
          </cell>
        </row>
        <row r="3612">
          <cell r="A3612">
            <v>8376006</v>
          </cell>
          <cell r="B3612">
            <v>131471</v>
          </cell>
          <cell r="C3612" t="str">
            <v>Bournemouth Jewish Day School</v>
          </cell>
          <cell r="D3612" t="str">
            <v>Bournemouth</v>
          </cell>
          <cell r="E3612" t="str">
            <v>Other Independent School</v>
          </cell>
          <cell r="F3612" t="str">
            <v>Not applicable</v>
          </cell>
        </row>
        <row r="3613">
          <cell r="A3613">
            <v>8822013</v>
          </cell>
          <cell r="B3613">
            <v>114713</v>
          </cell>
          <cell r="C3613" t="str">
            <v>Bournemouth Park Infant School and Nursery</v>
          </cell>
          <cell r="D3613" t="str">
            <v>Southend-on-Sea</v>
          </cell>
          <cell r="E3613" t="str">
            <v>Community School</v>
          </cell>
          <cell r="F3613" t="str">
            <v>Primary</v>
          </cell>
        </row>
        <row r="3614">
          <cell r="A3614">
            <v>8822012</v>
          </cell>
          <cell r="B3614">
            <v>114712</v>
          </cell>
          <cell r="C3614" t="str">
            <v>Bournemouth Park Junior School</v>
          </cell>
          <cell r="D3614" t="str">
            <v>Southend-on-Sea</v>
          </cell>
          <cell r="E3614" t="str">
            <v>Community School</v>
          </cell>
          <cell r="F3614" t="str">
            <v>Primary</v>
          </cell>
        </row>
        <row r="3615">
          <cell r="A3615">
            <v>8823822</v>
          </cell>
          <cell r="B3615">
            <v>133771</v>
          </cell>
          <cell r="C3615" t="str">
            <v>Bournemouth Park Primary School</v>
          </cell>
          <cell r="D3615" t="str">
            <v>Southend-on-Sea</v>
          </cell>
          <cell r="E3615" t="str">
            <v>Community School</v>
          </cell>
          <cell r="F3615" t="str">
            <v>Primary</v>
          </cell>
        </row>
        <row r="3616">
          <cell r="A3616">
            <v>8375400</v>
          </cell>
          <cell r="B3616">
            <v>113900</v>
          </cell>
          <cell r="C3616" t="str">
            <v>Bournemouth School</v>
          </cell>
          <cell r="D3616" t="str">
            <v>Bournemouth</v>
          </cell>
          <cell r="E3616" t="str">
            <v>Foundation School</v>
          </cell>
          <cell r="F3616" t="str">
            <v>Secondary</v>
          </cell>
        </row>
        <row r="3617">
          <cell r="A3617">
            <v>8375400</v>
          </cell>
          <cell r="B3617">
            <v>137452</v>
          </cell>
          <cell r="C3617" t="str">
            <v>Bournemouth School</v>
          </cell>
          <cell r="D3617" t="str">
            <v>Bournemouth</v>
          </cell>
          <cell r="E3617" t="str">
            <v>Academy Converters</v>
          </cell>
          <cell r="F3617" t="str">
            <v>Secondary</v>
          </cell>
        </row>
        <row r="3618">
          <cell r="A3618">
            <v>8375405</v>
          </cell>
          <cell r="B3618">
            <v>113905</v>
          </cell>
          <cell r="C3618" t="str">
            <v>Bournemouth School for Girls</v>
          </cell>
          <cell r="D3618" t="str">
            <v>Bournemouth</v>
          </cell>
          <cell r="E3618" t="str">
            <v>Foundation School</v>
          </cell>
          <cell r="F3618" t="str">
            <v>Secondary</v>
          </cell>
        </row>
        <row r="3619">
          <cell r="A3619">
            <v>8375405</v>
          </cell>
          <cell r="B3619">
            <v>136996</v>
          </cell>
          <cell r="C3619" t="str">
            <v>Bournemouth School for Girls</v>
          </cell>
          <cell r="D3619" t="str">
            <v>Bournemouth</v>
          </cell>
          <cell r="E3619" t="str">
            <v>Academy Converters</v>
          </cell>
          <cell r="F3619" t="str">
            <v>Secondary</v>
          </cell>
        </row>
        <row r="3620">
          <cell r="A3620">
            <v>836</v>
          </cell>
          <cell r="B3620">
            <v>133792</v>
          </cell>
          <cell r="C3620" t="str">
            <v>Bournemouth University</v>
          </cell>
          <cell r="D3620" t="str">
            <v>Poole</v>
          </cell>
          <cell r="E3620" t="str">
            <v>Higher Education Institutions</v>
          </cell>
          <cell r="F3620" t="str">
            <v>Not applicable</v>
          </cell>
        </row>
        <row r="3621">
          <cell r="A3621">
            <v>8822128</v>
          </cell>
          <cell r="B3621">
            <v>114791</v>
          </cell>
          <cell r="C3621" t="str">
            <v>Bournes Green Infant School</v>
          </cell>
          <cell r="D3621" t="str">
            <v>Southend-on-Sea</v>
          </cell>
          <cell r="E3621" t="str">
            <v>Community School</v>
          </cell>
          <cell r="F3621" t="str">
            <v>Primary</v>
          </cell>
        </row>
        <row r="3622">
          <cell r="A3622">
            <v>8822123</v>
          </cell>
          <cell r="B3622">
            <v>114786</v>
          </cell>
          <cell r="C3622" t="str">
            <v>Bournes Green Junior School</v>
          </cell>
          <cell r="D3622" t="str">
            <v>Southend-on-Sea</v>
          </cell>
          <cell r="E3622" t="str">
            <v>Community School</v>
          </cell>
          <cell r="F3622" t="str">
            <v>Primary</v>
          </cell>
        </row>
        <row r="3623">
          <cell r="A3623">
            <v>8402146</v>
          </cell>
          <cell r="B3623">
            <v>114018</v>
          </cell>
          <cell r="C3623" t="str">
            <v>Bournmoor Primary School</v>
          </cell>
          <cell r="D3623" t="str">
            <v>Durham</v>
          </cell>
          <cell r="E3623" t="str">
            <v>Community School</v>
          </cell>
          <cell r="F3623" t="str">
            <v>Primary</v>
          </cell>
        </row>
        <row r="3624">
          <cell r="A3624">
            <v>3308003</v>
          </cell>
          <cell r="B3624">
            <v>130459</v>
          </cell>
          <cell r="C3624" t="str">
            <v>Bournville College of Further Education</v>
          </cell>
          <cell r="D3624" t="str">
            <v>Birmingham</v>
          </cell>
          <cell r="E3624" t="str">
            <v>Further Education</v>
          </cell>
          <cell r="F3624" t="str">
            <v>16 Plus</v>
          </cell>
        </row>
        <row r="3625">
          <cell r="A3625">
            <v>8022279</v>
          </cell>
          <cell r="B3625">
            <v>109098</v>
          </cell>
          <cell r="C3625" t="str">
            <v>Bournville Community Infant School</v>
          </cell>
          <cell r="D3625" t="str">
            <v>North Somerset</v>
          </cell>
          <cell r="E3625" t="str">
            <v>Community School</v>
          </cell>
          <cell r="F3625" t="str">
            <v>Primary</v>
          </cell>
        </row>
        <row r="3626">
          <cell r="A3626">
            <v>8023455</v>
          </cell>
          <cell r="B3626">
            <v>135190</v>
          </cell>
          <cell r="C3626" t="str">
            <v>Bournville Community Primary School</v>
          </cell>
          <cell r="D3626" t="str">
            <v>North Somerset</v>
          </cell>
          <cell r="E3626" t="str">
            <v>Community School</v>
          </cell>
          <cell r="F3626" t="str">
            <v>Primary</v>
          </cell>
        </row>
        <row r="3627">
          <cell r="A3627">
            <v>3303354</v>
          </cell>
          <cell r="B3627">
            <v>103446</v>
          </cell>
          <cell r="C3627" t="str">
            <v>Bournville Infant School</v>
          </cell>
          <cell r="D3627" t="str">
            <v>Birmingham</v>
          </cell>
          <cell r="E3627" t="str">
            <v>Voluntary Aided School</v>
          </cell>
          <cell r="F3627" t="str">
            <v>Primary</v>
          </cell>
        </row>
        <row r="3628">
          <cell r="A3628">
            <v>3303353</v>
          </cell>
          <cell r="B3628">
            <v>103445</v>
          </cell>
          <cell r="C3628" t="str">
            <v>Bournville Junior School</v>
          </cell>
          <cell r="D3628" t="str">
            <v>Birmingham</v>
          </cell>
          <cell r="E3628" t="str">
            <v>Voluntary Aided School</v>
          </cell>
          <cell r="F3628" t="str">
            <v>Primary</v>
          </cell>
        </row>
        <row r="3629">
          <cell r="A3629">
            <v>8022278</v>
          </cell>
          <cell r="B3629">
            <v>109097</v>
          </cell>
          <cell r="C3629" t="str">
            <v>Bournville Junior School</v>
          </cell>
          <cell r="D3629" t="str">
            <v>North Somerset</v>
          </cell>
          <cell r="E3629" t="str">
            <v>Community School</v>
          </cell>
          <cell r="F3629" t="str">
            <v>Primary</v>
          </cell>
        </row>
        <row r="3630">
          <cell r="A3630">
            <v>3304238</v>
          </cell>
          <cell r="B3630">
            <v>103515</v>
          </cell>
          <cell r="C3630" t="str">
            <v>Bournville School and Sixth Form Centre</v>
          </cell>
          <cell r="D3630" t="str">
            <v>Birmingham</v>
          </cell>
          <cell r="E3630" t="str">
            <v>Community School</v>
          </cell>
          <cell r="F3630" t="str">
            <v>Secondary</v>
          </cell>
        </row>
        <row r="3631">
          <cell r="A3631">
            <v>8252340</v>
          </cell>
          <cell r="B3631">
            <v>110397</v>
          </cell>
          <cell r="C3631" t="str">
            <v>Bourton Meadow School</v>
          </cell>
          <cell r="D3631" t="str">
            <v>Buckinghamshire</v>
          </cell>
          <cell r="E3631" t="str">
            <v>Foundation School</v>
          </cell>
          <cell r="F3631" t="str">
            <v>Primary</v>
          </cell>
        </row>
        <row r="3632">
          <cell r="A3632">
            <v>9164025</v>
          </cell>
          <cell r="B3632">
            <v>128957</v>
          </cell>
          <cell r="C3632" t="str">
            <v>Bourton Vale School</v>
          </cell>
          <cell r="D3632" t="str">
            <v>Gloucestershire</v>
          </cell>
          <cell r="E3632" t="str">
            <v>Community School</v>
          </cell>
          <cell r="F3632" t="str">
            <v>Secondary</v>
          </cell>
        </row>
        <row r="3633">
          <cell r="A3633">
            <v>9162046</v>
          </cell>
          <cell r="B3633">
            <v>115506</v>
          </cell>
          <cell r="C3633" t="str">
            <v>Bourton-on-the-Water Primary School</v>
          </cell>
          <cell r="D3633" t="str">
            <v>Gloucestershire</v>
          </cell>
          <cell r="E3633" t="str">
            <v>Community School</v>
          </cell>
          <cell r="F3633" t="str">
            <v>Primary</v>
          </cell>
        </row>
        <row r="3634">
          <cell r="A3634">
            <v>2072060</v>
          </cell>
          <cell r="B3634">
            <v>100480</v>
          </cell>
          <cell r="C3634" t="str">
            <v>Bousfield Primary School</v>
          </cell>
          <cell r="D3634" t="str">
            <v>Kensington and Chelsea</v>
          </cell>
          <cell r="E3634" t="str">
            <v>Community School</v>
          </cell>
          <cell r="F3634" t="str">
            <v>Primary</v>
          </cell>
        </row>
        <row r="3635">
          <cell r="A3635">
            <v>2103313</v>
          </cell>
          <cell r="B3635">
            <v>100822</v>
          </cell>
          <cell r="C3635" t="str">
            <v>Boutcher Church of England Primary School</v>
          </cell>
          <cell r="D3635" t="str">
            <v>Southwark</v>
          </cell>
          <cell r="E3635" t="str">
            <v>Voluntary Aided School</v>
          </cell>
          <cell r="F3635" t="str">
            <v>Primary</v>
          </cell>
        </row>
        <row r="3636">
          <cell r="A3636">
            <v>8782404</v>
          </cell>
          <cell r="B3636">
            <v>113187</v>
          </cell>
          <cell r="C3636" t="str">
            <v>Bovey Tracey Primary School</v>
          </cell>
          <cell r="D3636" t="str">
            <v>Devon</v>
          </cell>
          <cell r="E3636" t="str">
            <v>Community School</v>
          </cell>
          <cell r="F3636" t="str">
            <v>Primary</v>
          </cell>
        </row>
        <row r="3637">
          <cell r="A3637">
            <v>9192359</v>
          </cell>
          <cell r="B3637">
            <v>117295</v>
          </cell>
          <cell r="C3637" t="str">
            <v>Bovingdon Infants' School</v>
          </cell>
          <cell r="D3637" t="str">
            <v>Hertfordshire</v>
          </cell>
          <cell r="E3637" t="str">
            <v>Community School</v>
          </cell>
          <cell r="F3637" t="str">
            <v>Primary</v>
          </cell>
        </row>
        <row r="3638">
          <cell r="A3638">
            <v>9192010</v>
          </cell>
          <cell r="B3638">
            <v>117086</v>
          </cell>
          <cell r="C3638" t="str">
            <v>Bovingdon Junior School</v>
          </cell>
          <cell r="D3638" t="str">
            <v>Hertfordshire</v>
          </cell>
          <cell r="E3638" t="str">
            <v>Community School</v>
          </cell>
          <cell r="F3638" t="str">
            <v>Primary</v>
          </cell>
        </row>
        <row r="3639">
          <cell r="A3639">
            <v>9192003</v>
          </cell>
          <cell r="B3639">
            <v>136857</v>
          </cell>
          <cell r="C3639" t="str">
            <v>Bovingdon Primary Academy</v>
          </cell>
          <cell r="D3639" t="str">
            <v>Hertfordshire</v>
          </cell>
          <cell r="E3639" t="str">
            <v>Academy Converters</v>
          </cell>
          <cell r="F3639" t="str">
            <v>Primary</v>
          </cell>
        </row>
        <row r="3640">
          <cell r="A3640">
            <v>9192003</v>
          </cell>
          <cell r="B3640">
            <v>131188</v>
          </cell>
          <cell r="C3640" t="str">
            <v>Bovingdon Primary School</v>
          </cell>
          <cell r="D3640" t="str">
            <v>Hertfordshire</v>
          </cell>
          <cell r="E3640" t="str">
            <v>Community School</v>
          </cell>
          <cell r="F3640" t="str">
            <v>Primary</v>
          </cell>
        </row>
        <row r="3641">
          <cell r="A3641">
            <v>8352042</v>
          </cell>
          <cell r="B3641">
            <v>113680</v>
          </cell>
          <cell r="C3641" t="str">
            <v>Bovington First School</v>
          </cell>
          <cell r="D3641" t="str">
            <v>Dorset</v>
          </cell>
          <cell r="E3641" t="str">
            <v>Community School</v>
          </cell>
          <cell r="F3641" t="str">
            <v>Primary</v>
          </cell>
        </row>
        <row r="3642">
          <cell r="A3642">
            <v>8354027</v>
          </cell>
          <cell r="B3642">
            <v>113857</v>
          </cell>
          <cell r="C3642" t="str">
            <v>Bovington Middle School</v>
          </cell>
          <cell r="D3642" t="str">
            <v>Dorset</v>
          </cell>
          <cell r="E3642" t="str">
            <v>Community School</v>
          </cell>
          <cell r="F3642" t="str">
            <v>Middle Deemed Secondary</v>
          </cell>
        </row>
        <row r="3643">
          <cell r="A3643">
            <v>8263384</v>
          </cell>
          <cell r="B3643">
            <v>134423</v>
          </cell>
          <cell r="C3643" t="str">
            <v>Bow Brickhill CofE VA Primary School</v>
          </cell>
          <cell r="D3643" t="str">
            <v>Milton Keynes</v>
          </cell>
          <cell r="E3643" t="str">
            <v>Voluntary Aided School</v>
          </cell>
          <cell r="F3643" t="str">
            <v>Primary</v>
          </cell>
        </row>
        <row r="3644">
          <cell r="A3644">
            <v>8262013</v>
          </cell>
          <cell r="B3644">
            <v>110212</v>
          </cell>
          <cell r="C3644" t="str">
            <v>Bow Brickhill First School</v>
          </cell>
          <cell r="D3644" t="str">
            <v>Milton Keynes</v>
          </cell>
          <cell r="E3644" t="str">
            <v>Community School</v>
          </cell>
          <cell r="F3644" t="str">
            <v>Primary</v>
          </cell>
        </row>
        <row r="3645">
          <cell r="A3645">
            <v>8782002</v>
          </cell>
          <cell r="B3645">
            <v>113060</v>
          </cell>
          <cell r="C3645" t="str">
            <v>Bow Community Primary School</v>
          </cell>
          <cell r="D3645" t="str">
            <v>Devon</v>
          </cell>
          <cell r="E3645" t="str">
            <v>Community School</v>
          </cell>
          <cell r="F3645" t="str">
            <v>Primary</v>
          </cell>
        </row>
        <row r="3646">
          <cell r="A3646">
            <v>9136001</v>
          </cell>
          <cell r="B3646">
            <v>128825</v>
          </cell>
          <cell r="C3646" t="str">
            <v>Bow School</v>
          </cell>
          <cell r="D3646" t="str">
            <v>Pre LGR (1997) Durham</v>
          </cell>
          <cell r="E3646" t="str">
            <v>Other Independent School</v>
          </cell>
          <cell r="F3646" t="str">
            <v>Not applicable</v>
          </cell>
        </row>
        <row r="3647">
          <cell r="A3647">
            <v>8406006</v>
          </cell>
          <cell r="B3647">
            <v>131417</v>
          </cell>
          <cell r="C3647" t="str">
            <v>Bow School</v>
          </cell>
          <cell r="D3647" t="str">
            <v>Durham</v>
          </cell>
          <cell r="E3647" t="str">
            <v>Other Independent School</v>
          </cell>
          <cell r="F3647" t="str">
            <v>Not applicable</v>
          </cell>
        </row>
        <row r="3648">
          <cell r="A3648">
            <v>2114024</v>
          </cell>
          <cell r="B3648">
            <v>100965</v>
          </cell>
          <cell r="C3648" t="str">
            <v>Bow School of Maths and Computing</v>
          </cell>
          <cell r="D3648" t="str">
            <v>Tower Hamlets</v>
          </cell>
          <cell r="E3648" t="str">
            <v>Community School</v>
          </cell>
          <cell r="F3648" t="str">
            <v>Secondary</v>
          </cell>
        </row>
        <row r="3649">
          <cell r="A3649">
            <v>8912515</v>
          </cell>
          <cell r="B3649">
            <v>122591</v>
          </cell>
          <cell r="C3649" t="str">
            <v>Bowbridge Infant and Nursery School</v>
          </cell>
          <cell r="D3649" t="str">
            <v>Nottinghamshire</v>
          </cell>
          <cell r="E3649" t="str">
            <v>Community School</v>
          </cell>
          <cell r="F3649" t="str">
            <v>Primary</v>
          </cell>
        </row>
        <row r="3650">
          <cell r="A3650">
            <v>8912514</v>
          </cell>
          <cell r="B3650">
            <v>122590</v>
          </cell>
          <cell r="C3650" t="str">
            <v>Bowbridge Junior School</v>
          </cell>
          <cell r="D3650" t="str">
            <v>Nottinghamshire</v>
          </cell>
          <cell r="E3650" t="str">
            <v>Community School</v>
          </cell>
          <cell r="F3650" t="str">
            <v>Primary</v>
          </cell>
        </row>
        <row r="3651">
          <cell r="A3651">
            <v>8913292</v>
          </cell>
          <cell r="B3651">
            <v>132784</v>
          </cell>
          <cell r="C3651" t="str">
            <v>Bowbridge Primary School</v>
          </cell>
          <cell r="D3651" t="str">
            <v>Nottinghamshire</v>
          </cell>
          <cell r="E3651" t="str">
            <v>Community School</v>
          </cell>
          <cell r="F3651" t="str">
            <v>Primary</v>
          </cell>
        </row>
        <row r="3652">
          <cell r="A3652">
            <v>8856025</v>
          </cell>
          <cell r="B3652">
            <v>117034</v>
          </cell>
          <cell r="C3652" t="str">
            <v>Bowbrook House School</v>
          </cell>
          <cell r="D3652" t="str">
            <v>Worcestershire</v>
          </cell>
          <cell r="E3652" t="str">
            <v>Other Independent School</v>
          </cell>
          <cell r="F3652" t="str">
            <v>Not applicable</v>
          </cell>
        </row>
        <row r="3653">
          <cell r="A3653">
            <v>8402389</v>
          </cell>
          <cell r="B3653">
            <v>114088</v>
          </cell>
          <cell r="C3653" t="str">
            <v>Bowburn Infant School</v>
          </cell>
          <cell r="D3653" t="str">
            <v>Durham</v>
          </cell>
          <cell r="E3653" t="str">
            <v>Community School</v>
          </cell>
          <cell r="F3653" t="str">
            <v>Primary</v>
          </cell>
        </row>
        <row r="3654">
          <cell r="A3654">
            <v>8402388</v>
          </cell>
          <cell r="B3654">
            <v>114087</v>
          </cell>
          <cell r="C3654" t="str">
            <v>Bowburn Junior School</v>
          </cell>
          <cell r="D3654" t="str">
            <v>Durham</v>
          </cell>
          <cell r="E3654" t="str">
            <v>Community School</v>
          </cell>
          <cell r="F3654" t="str">
            <v>Primary</v>
          </cell>
        </row>
        <row r="3655">
          <cell r="A3655">
            <v>2117084</v>
          </cell>
          <cell r="B3655">
            <v>100986</v>
          </cell>
          <cell r="C3655" t="str">
            <v>Bowden House School</v>
          </cell>
          <cell r="D3655" t="str">
            <v>Tower Hamlets</v>
          </cell>
          <cell r="E3655" t="str">
            <v>Community Special School</v>
          </cell>
          <cell r="F3655" t="str">
            <v>Special</v>
          </cell>
        </row>
        <row r="3656">
          <cell r="A3656">
            <v>3583301</v>
          </cell>
          <cell r="B3656">
            <v>106338</v>
          </cell>
          <cell r="C3656" t="str">
            <v>Bowdon CofE Primary School</v>
          </cell>
          <cell r="D3656" t="str">
            <v>Trafford</v>
          </cell>
          <cell r="E3656" t="str">
            <v>Voluntary Aided School</v>
          </cell>
          <cell r="F3656" t="str">
            <v>Primary</v>
          </cell>
        </row>
        <row r="3657">
          <cell r="A3657">
            <v>3586015</v>
          </cell>
          <cell r="B3657">
            <v>106388</v>
          </cell>
          <cell r="C3657" t="str">
            <v>Bowdon Preparatory School for Girls</v>
          </cell>
          <cell r="D3657" t="str">
            <v>Trafford</v>
          </cell>
          <cell r="E3657" t="str">
            <v>Other Independent School</v>
          </cell>
          <cell r="F3657" t="str">
            <v>Not applicable</v>
          </cell>
        </row>
        <row r="3658">
          <cell r="A3658">
            <v>8867032</v>
          </cell>
          <cell r="B3658">
            <v>119036</v>
          </cell>
          <cell r="C3658" t="str">
            <v>Bower Grove School</v>
          </cell>
          <cell r="D3658" t="str">
            <v>Kent</v>
          </cell>
          <cell r="E3658" t="str">
            <v>Community Special School</v>
          </cell>
          <cell r="F3658" t="str">
            <v>Special</v>
          </cell>
        </row>
        <row r="3659">
          <cell r="A3659">
            <v>3114042</v>
          </cell>
          <cell r="B3659">
            <v>102348</v>
          </cell>
          <cell r="C3659" t="str">
            <v>Bower Park School</v>
          </cell>
          <cell r="D3659" t="str">
            <v>Havering</v>
          </cell>
          <cell r="E3659" t="str">
            <v>Community School</v>
          </cell>
          <cell r="F3659" t="str">
            <v>Secondary</v>
          </cell>
        </row>
        <row r="3660">
          <cell r="A3660">
            <v>8251005</v>
          </cell>
          <cell r="B3660">
            <v>110199</v>
          </cell>
          <cell r="C3660" t="str">
            <v>Bowerdean Nursery School</v>
          </cell>
          <cell r="D3660" t="str">
            <v>Buckinghamshire</v>
          </cell>
          <cell r="E3660" t="str">
            <v>LA Nursery School</v>
          </cell>
          <cell r="F3660" t="str">
            <v>Nursery</v>
          </cell>
        </row>
        <row r="3661">
          <cell r="A3661">
            <v>8882017</v>
          </cell>
          <cell r="B3661">
            <v>119129</v>
          </cell>
          <cell r="C3661" t="str">
            <v>Bowerham Community Primary School</v>
          </cell>
          <cell r="D3661" t="str">
            <v>Lancashire</v>
          </cell>
          <cell r="E3661" t="str">
            <v>Community School</v>
          </cell>
          <cell r="F3661" t="str">
            <v>Primary</v>
          </cell>
        </row>
        <row r="3662">
          <cell r="A3662">
            <v>8652223</v>
          </cell>
          <cell r="B3662">
            <v>126290</v>
          </cell>
          <cell r="C3662" t="str">
            <v>Bowerhill Primary School</v>
          </cell>
          <cell r="D3662" t="str">
            <v>Wiltshire</v>
          </cell>
          <cell r="E3662" t="str">
            <v>Community School</v>
          </cell>
          <cell r="F3662" t="str">
            <v>Primary</v>
          </cell>
        </row>
        <row r="3663">
          <cell r="A3663">
            <v>8403303</v>
          </cell>
          <cell r="B3663">
            <v>114237</v>
          </cell>
          <cell r="C3663" t="str">
            <v>Bowes Hutchinson's CofE (Aided) School</v>
          </cell>
          <cell r="D3663" t="str">
            <v>Durham</v>
          </cell>
          <cell r="E3663" t="str">
            <v>Voluntary Aided School</v>
          </cell>
          <cell r="F3663" t="str">
            <v>Primary</v>
          </cell>
        </row>
        <row r="3664">
          <cell r="A3664">
            <v>3082002</v>
          </cell>
          <cell r="B3664">
            <v>126883</v>
          </cell>
          <cell r="C3664" t="str">
            <v>Bowes Infant School</v>
          </cell>
          <cell r="D3664" t="str">
            <v>Enfield</v>
          </cell>
          <cell r="E3664" t="str">
            <v>Community School</v>
          </cell>
          <cell r="F3664" t="str">
            <v>Primary</v>
          </cell>
        </row>
        <row r="3665">
          <cell r="A3665">
            <v>3082001</v>
          </cell>
          <cell r="B3665">
            <v>126882</v>
          </cell>
          <cell r="C3665" t="str">
            <v>Bowes Junior School</v>
          </cell>
          <cell r="D3665" t="str">
            <v>Enfield</v>
          </cell>
          <cell r="E3665" t="str">
            <v>Community School</v>
          </cell>
          <cell r="F3665" t="str">
            <v>Primary</v>
          </cell>
        </row>
        <row r="3666">
          <cell r="A3666">
            <v>9194089</v>
          </cell>
          <cell r="B3666">
            <v>129158</v>
          </cell>
          <cell r="C3666" t="str">
            <v>Bowes Lyon High School</v>
          </cell>
          <cell r="D3666" t="str">
            <v>Hertfordshire</v>
          </cell>
          <cell r="E3666" t="str">
            <v>Community School</v>
          </cell>
          <cell r="F3666" t="str">
            <v>Secondary</v>
          </cell>
        </row>
        <row r="3667">
          <cell r="A3667">
            <v>3082081</v>
          </cell>
          <cell r="B3667">
            <v>102021</v>
          </cell>
          <cell r="C3667" t="str">
            <v>Bowes Primary School</v>
          </cell>
          <cell r="D3667" t="str">
            <v>Enfield</v>
          </cell>
          <cell r="E3667" t="str">
            <v>Community School</v>
          </cell>
          <cell r="F3667" t="str">
            <v>Primary</v>
          </cell>
        </row>
        <row r="3668">
          <cell r="A3668">
            <v>8082032</v>
          </cell>
          <cell r="B3668">
            <v>111540</v>
          </cell>
          <cell r="C3668" t="str">
            <v>Bowesfield Primary School</v>
          </cell>
          <cell r="D3668" t="str">
            <v>Stockton-on-Tees</v>
          </cell>
          <cell r="E3668" t="str">
            <v>Community School</v>
          </cell>
          <cell r="F3668" t="str">
            <v>Primary</v>
          </cell>
        </row>
        <row r="3669">
          <cell r="A3669">
            <v>8782042</v>
          </cell>
          <cell r="B3669">
            <v>134174</v>
          </cell>
          <cell r="C3669" t="str">
            <v>Bowhill Primary School</v>
          </cell>
          <cell r="D3669" t="str">
            <v>Devon</v>
          </cell>
          <cell r="E3669" t="str">
            <v>Community School</v>
          </cell>
          <cell r="F3669" t="str">
            <v>Primary</v>
          </cell>
        </row>
        <row r="3670">
          <cell r="A3670">
            <v>3522039</v>
          </cell>
          <cell r="B3670">
            <v>105397</v>
          </cell>
          <cell r="C3670" t="str">
            <v>Bowker Vale Primary School</v>
          </cell>
          <cell r="D3670" t="str">
            <v>Manchester</v>
          </cell>
          <cell r="E3670" t="str">
            <v>Community School</v>
          </cell>
          <cell r="F3670" t="str">
            <v>Primary</v>
          </cell>
        </row>
        <row r="3671">
          <cell r="A3671">
            <v>9252163</v>
          </cell>
          <cell r="B3671">
            <v>129572</v>
          </cell>
          <cell r="C3671" t="str">
            <v>Bowl Alley Lane Junior School</v>
          </cell>
          <cell r="D3671" t="str">
            <v>Lincolnshire</v>
          </cell>
          <cell r="E3671" t="str">
            <v>Community School</v>
          </cell>
          <cell r="F3671" t="str">
            <v>Primary</v>
          </cell>
        </row>
        <row r="3672">
          <cell r="A3672">
            <v>8884041</v>
          </cell>
          <cell r="B3672">
            <v>119726</v>
          </cell>
          <cell r="C3672" t="str">
            <v>Bowland High</v>
          </cell>
          <cell r="D3672" t="str">
            <v>Lancashire</v>
          </cell>
          <cell r="E3672" t="str">
            <v>Community School</v>
          </cell>
          <cell r="F3672" t="str">
            <v>Secondary</v>
          </cell>
        </row>
        <row r="3673">
          <cell r="A3673">
            <v>8884041</v>
          </cell>
          <cell r="B3673">
            <v>136997</v>
          </cell>
          <cell r="C3673" t="str">
            <v>Bowland High</v>
          </cell>
          <cell r="D3673" t="str">
            <v>Lancashire</v>
          </cell>
          <cell r="E3673" t="str">
            <v>Academy Converters</v>
          </cell>
          <cell r="F3673" t="str">
            <v>Secondary</v>
          </cell>
        </row>
        <row r="3674">
          <cell r="A3674">
            <v>3543513</v>
          </cell>
          <cell r="B3674">
            <v>133446</v>
          </cell>
          <cell r="C3674" t="str">
            <v>Bowlee Park Community Primary School</v>
          </cell>
          <cell r="D3674" t="str">
            <v>Rochdale</v>
          </cell>
          <cell r="E3674" t="str">
            <v>Community School</v>
          </cell>
          <cell r="F3674" t="str">
            <v>Primary</v>
          </cell>
        </row>
        <row r="3675">
          <cell r="A3675">
            <v>3804035</v>
          </cell>
          <cell r="B3675">
            <v>107365</v>
          </cell>
          <cell r="C3675" t="str">
            <v>Bowling Community College</v>
          </cell>
          <cell r="D3675" t="str">
            <v>Bradford</v>
          </cell>
          <cell r="E3675" t="str">
            <v>Community School</v>
          </cell>
          <cell r="F3675" t="str">
            <v>Secondary</v>
          </cell>
        </row>
        <row r="3676">
          <cell r="A3676">
            <v>3812048</v>
          </cell>
          <cell r="B3676">
            <v>107503</v>
          </cell>
          <cell r="C3676" t="str">
            <v>Bowling Green Primary School</v>
          </cell>
          <cell r="D3676" t="str">
            <v>Calderdale</v>
          </cell>
          <cell r="E3676" t="str">
            <v>Community School</v>
          </cell>
          <cell r="F3676" t="str">
            <v>Primary</v>
          </cell>
        </row>
        <row r="3677">
          <cell r="A3677">
            <v>3802075</v>
          </cell>
          <cell r="B3677">
            <v>107234</v>
          </cell>
          <cell r="C3677" t="str">
            <v>Bowling Park Primary School</v>
          </cell>
          <cell r="D3677" t="str">
            <v>Bradford</v>
          </cell>
          <cell r="E3677" t="str">
            <v>Community School</v>
          </cell>
          <cell r="F3677" t="str">
            <v>Primary</v>
          </cell>
        </row>
        <row r="3678">
          <cell r="A3678">
            <v>9332106</v>
          </cell>
          <cell r="B3678">
            <v>123672</v>
          </cell>
          <cell r="C3678" t="str">
            <v>Bowlish Infant School</v>
          </cell>
          <cell r="D3678" t="str">
            <v>Somerset</v>
          </cell>
          <cell r="E3678" t="str">
            <v>Community School</v>
          </cell>
          <cell r="F3678" t="str">
            <v>Primary</v>
          </cell>
        </row>
        <row r="3679">
          <cell r="A3679">
            <v>8132568</v>
          </cell>
          <cell r="B3679">
            <v>117812</v>
          </cell>
          <cell r="C3679" t="str">
            <v>Bowmandale Primary School</v>
          </cell>
          <cell r="D3679" t="str">
            <v>North Lincolnshire</v>
          </cell>
          <cell r="E3679" t="str">
            <v>Community School</v>
          </cell>
          <cell r="F3679" t="str">
            <v>Primary</v>
          </cell>
        </row>
        <row r="3680">
          <cell r="A3680">
            <v>9192166</v>
          </cell>
          <cell r="B3680">
            <v>117187</v>
          </cell>
          <cell r="C3680" t="str">
            <v>Bowmansgreen Primary School</v>
          </cell>
          <cell r="D3680" t="str">
            <v>Hertfordshire</v>
          </cell>
          <cell r="E3680" t="str">
            <v>Community School</v>
          </cell>
          <cell r="F3680" t="str">
            <v>Primary</v>
          </cell>
        </row>
        <row r="3681">
          <cell r="A3681">
            <v>3502076</v>
          </cell>
          <cell r="B3681">
            <v>105197</v>
          </cell>
          <cell r="C3681" t="str">
            <v>Bowness Primary School</v>
          </cell>
          <cell r="D3681" t="str">
            <v>Bolton</v>
          </cell>
          <cell r="E3681" t="str">
            <v>Community School</v>
          </cell>
          <cell r="F3681" t="str">
            <v>Primary</v>
          </cell>
        </row>
        <row r="3682">
          <cell r="A3682">
            <v>9095212</v>
          </cell>
          <cell r="B3682">
            <v>112414</v>
          </cell>
          <cell r="C3682" t="str">
            <v>Bowness-on-Solway Primary School</v>
          </cell>
          <cell r="D3682" t="str">
            <v>Cumbria</v>
          </cell>
          <cell r="E3682" t="str">
            <v>Foundation School</v>
          </cell>
          <cell r="F3682" t="str">
            <v>Primary</v>
          </cell>
        </row>
        <row r="3683">
          <cell r="A3683">
            <v>9167012</v>
          </cell>
          <cell r="B3683">
            <v>115818</v>
          </cell>
          <cell r="C3683" t="str">
            <v>Bownham Park School</v>
          </cell>
          <cell r="D3683" t="str">
            <v>Gloucestershire</v>
          </cell>
          <cell r="E3683" t="str">
            <v>Community Special School</v>
          </cell>
          <cell r="F3683" t="str">
            <v>Special</v>
          </cell>
        </row>
        <row r="3684">
          <cell r="A3684">
            <v>3404017</v>
          </cell>
          <cell r="B3684">
            <v>104489</v>
          </cell>
          <cell r="C3684" t="str">
            <v>Bowring Community Sports College</v>
          </cell>
          <cell r="D3684" t="str">
            <v>Knowsley</v>
          </cell>
          <cell r="E3684" t="str">
            <v>Community School</v>
          </cell>
          <cell r="F3684" t="str">
            <v>Secondary</v>
          </cell>
        </row>
        <row r="3685">
          <cell r="A3685">
            <v>8032340</v>
          </cell>
          <cell r="B3685">
            <v>130257</v>
          </cell>
          <cell r="C3685" t="str">
            <v>Bowsland Green Primary School</v>
          </cell>
          <cell r="D3685" t="str">
            <v>South Gloucestershire</v>
          </cell>
          <cell r="E3685" t="str">
            <v>Community School</v>
          </cell>
          <cell r="F3685" t="str">
            <v>Primary</v>
          </cell>
        </row>
        <row r="3686">
          <cell r="A3686">
            <v>9264069</v>
          </cell>
          <cell r="B3686">
            <v>129626</v>
          </cell>
          <cell r="C3686" t="str">
            <v>Bowthorpe School</v>
          </cell>
          <cell r="D3686" t="str">
            <v>Norfolk</v>
          </cell>
          <cell r="E3686" t="str">
            <v>Community School</v>
          </cell>
          <cell r="F3686" t="str">
            <v>Secondary</v>
          </cell>
        </row>
        <row r="3687">
          <cell r="A3687">
            <v>8653013</v>
          </cell>
          <cell r="B3687">
            <v>126302</v>
          </cell>
          <cell r="C3687" t="str">
            <v>Box Church of England Primary School</v>
          </cell>
          <cell r="D3687" t="str">
            <v>Wiltshire</v>
          </cell>
          <cell r="E3687" t="str">
            <v>Voluntary Controlled School</v>
          </cell>
          <cell r="F3687" t="str">
            <v>Primary</v>
          </cell>
        </row>
        <row r="3688">
          <cell r="A3688">
            <v>8652007</v>
          </cell>
          <cell r="B3688">
            <v>126176</v>
          </cell>
          <cell r="C3688" t="str">
            <v>Box Highlands School</v>
          </cell>
          <cell r="D3688" t="str">
            <v>Wiltshire</v>
          </cell>
          <cell r="E3688" t="str">
            <v>Community School</v>
          </cell>
          <cell r="F3688" t="str">
            <v>Primary</v>
          </cell>
        </row>
        <row r="3689">
          <cell r="A3689">
            <v>9366259</v>
          </cell>
          <cell r="B3689">
            <v>125388</v>
          </cell>
          <cell r="C3689" t="str">
            <v>Box Hill School</v>
          </cell>
          <cell r="D3689" t="str">
            <v>Surrey</v>
          </cell>
          <cell r="E3689" t="str">
            <v>Other Independent School</v>
          </cell>
          <cell r="F3689" t="str">
            <v>Not applicable</v>
          </cell>
        </row>
        <row r="3690">
          <cell r="A3690">
            <v>9353006</v>
          </cell>
          <cell r="B3690">
            <v>124691</v>
          </cell>
          <cell r="C3690" t="str">
            <v>Boxford Church of England Voluntary Controlled Primary School</v>
          </cell>
          <cell r="D3690" t="str">
            <v>Suffolk</v>
          </cell>
          <cell r="E3690" t="str">
            <v>Voluntary Controlled School</v>
          </cell>
          <cell r="F3690" t="str">
            <v>Primary</v>
          </cell>
        </row>
        <row r="3691">
          <cell r="A3691">
            <v>9383004</v>
          </cell>
          <cell r="B3691">
            <v>125974</v>
          </cell>
          <cell r="C3691" t="str">
            <v>Boxgrove CofE Primary School</v>
          </cell>
          <cell r="D3691" t="str">
            <v>West Sussex</v>
          </cell>
          <cell r="E3691" t="str">
            <v>Voluntary Controlled School</v>
          </cell>
          <cell r="F3691" t="str">
            <v>Primary</v>
          </cell>
        </row>
        <row r="3692">
          <cell r="A3692">
            <v>2032801</v>
          </cell>
          <cell r="B3692">
            <v>100150</v>
          </cell>
          <cell r="C3692" t="str">
            <v>Boxgrove Primary School</v>
          </cell>
          <cell r="D3692" t="str">
            <v>Greenwich</v>
          </cell>
          <cell r="E3692" t="str">
            <v>Community School</v>
          </cell>
          <cell r="F3692" t="str">
            <v>Primary</v>
          </cell>
        </row>
        <row r="3693">
          <cell r="A3693">
            <v>9362374</v>
          </cell>
          <cell r="B3693">
            <v>125033</v>
          </cell>
          <cell r="C3693" t="str">
            <v>Boxgrove Primary School</v>
          </cell>
          <cell r="D3693" t="str">
            <v>Surrey</v>
          </cell>
          <cell r="E3693" t="str">
            <v>Community School</v>
          </cell>
          <cell r="F3693" t="str">
            <v>Primary</v>
          </cell>
        </row>
        <row r="3694">
          <cell r="A3694">
            <v>9197009</v>
          </cell>
          <cell r="B3694">
            <v>117668</v>
          </cell>
          <cell r="C3694" t="str">
            <v>Boxmoor House School</v>
          </cell>
          <cell r="D3694" t="str">
            <v>Hertfordshire</v>
          </cell>
          <cell r="E3694" t="str">
            <v>Community Special School</v>
          </cell>
          <cell r="F3694" t="str">
            <v>Special</v>
          </cell>
        </row>
        <row r="3695">
          <cell r="A3695">
            <v>9192041</v>
          </cell>
          <cell r="B3695">
            <v>117107</v>
          </cell>
          <cell r="C3695" t="str">
            <v>Boxmoor Primary School</v>
          </cell>
          <cell r="D3695" t="str">
            <v>Hertfordshire</v>
          </cell>
          <cell r="E3695" t="str">
            <v>Community School</v>
          </cell>
          <cell r="F3695" t="str">
            <v>Primary</v>
          </cell>
        </row>
        <row r="3696">
          <cell r="A3696">
            <v>8813018</v>
          </cell>
          <cell r="B3696">
            <v>115072</v>
          </cell>
          <cell r="C3696" t="str">
            <v>Boxted St Peter's Church of England School</v>
          </cell>
          <cell r="D3696" t="str">
            <v>Essex</v>
          </cell>
          <cell r="E3696" t="str">
            <v>Voluntary Controlled School</v>
          </cell>
          <cell r="F3696" t="str">
            <v>Primary</v>
          </cell>
        </row>
        <row r="3697">
          <cell r="A3697">
            <v>8306036</v>
          </cell>
          <cell r="B3697">
            <v>135319</v>
          </cell>
          <cell r="C3697" t="str">
            <v>Boyd House</v>
          </cell>
          <cell r="D3697" t="str">
            <v>Derbyshire</v>
          </cell>
          <cell r="E3697" t="str">
            <v>Other Independent Special School</v>
          </cell>
          <cell r="F3697" t="str">
            <v>Not applicable</v>
          </cell>
        </row>
        <row r="3698">
          <cell r="A3698">
            <v>8683031</v>
          </cell>
          <cell r="B3698">
            <v>109969</v>
          </cell>
          <cell r="C3698" t="str">
            <v>Boyne Hill CofE Infant and Nursery School</v>
          </cell>
          <cell r="D3698" t="str">
            <v>Windsor and Maidenhead</v>
          </cell>
          <cell r="E3698" t="str">
            <v>Voluntary Controlled School</v>
          </cell>
          <cell r="F3698" t="str">
            <v>Primary</v>
          </cell>
        </row>
        <row r="3699">
          <cell r="A3699">
            <v>8112707</v>
          </cell>
          <cell r="B3699">
            <v>117830</v>
          </cell>
          <cell r="C3699" t="str">
            <v>Boynton Primary School</v>
          </cell>
          <cell r="D3699" t="str">
            <v>East Riding of Yorkshire</v>
          </cell>
          <cell r="E3699" t="str">
            <v>Community School</v>
          </cell>
          <cell r="F3699" t="str">
            <v>Primary</v>
          </cell>
        </row>
        <row r="3700">
          <cell r="A3700">
            <v>9074112</v>
          </cell>
          <cell r="B3700">
            <v>128510</v>
          </cell>
          <cell r="C3700" t="str">
            <v>Boynton School</v>
          </cell>
          <cell r="D3700" t="str">
            <v>Pre LGR (1996) Cleveland</v>
          </cell>
          <cell r="E3700" t="str">
            <v>Community School</v>
          </cell>
          <cell r="F3700" t="str">
            <v>Secondary</v>
          </cell>
        </row>
        <row r="3701">
          <cell r="A3701">
            <v>9082602</v>
          </cell>
          <cell r="B3701">
            <v>111926</v>
          </cell>
          <cell r="C3701" t="str">
            <v>Boyton Community Primary School</v>
          </cell>
          <cell r="D3701" t="str">
            <v>Cornwall</v>
          </cell>
          <cell r="E3701" t="str">
            <v>Community School</v>
          </cell>
          <cell r="F3701" t="str">
            <v>Primary</v>
          </cell>
        </row>
        <row r="3702">
          <cell r="A3702">
            <v>9282004</v>
          </cell>
          <cell r="B3702">
            <v>121796</v>
          </cell>
          <cell r="C3702" t="str">
            <v>Bozeat Community Primary School</v>
          </cell>
          <cell r="D3702" t="str">
            <v>Northamptonshire</v>
          </cell>
          <cell r="E3702" t="str">
            <v>Community School</v>
          </cell>
          <cell r="F3702" t="str">
            <v>Primary</v>
          </cell>
        </row>
        <row r="3703">
          <cell r="A3703">
            <v>8016026</v>
          </cell>
          <cell r="B3703">
            <v>134456</v>
          </cell>
          <cell r="C3703" t="str">
            <v>BR102 Bristol Year 11 C.O. Include, Unit 6, the Old Malt House</v>
          </cell>
          <cell r="D3703" t="str">
            <v>Bristol City of</v>
          </cell>
          <cell r="E3703" t="str">
            <v>Other Independent School</v>
          </cell>
          <cell r="F3703" t="str">
            <v>Not applicable</v>
          </cell>
        </row>
        <row r="3704">
          <cell r="A3704">
            <v>8883129</v>
          </cell>
          <cell r="B3704">
            <v>119395</v>
          </cell>
          <cell r="C3704" t="str">
            <v>Brabins Endowed School</v>
          </cell>
          <cell r="D3704" t="str">
            <v>Lancashire</v>
          </cell>
          <cell r="E3704" t="str">
            <v>Voluntary Controlled School</v>
          </cell>
          <cell r="F3704" t="str">
            <v>Primary</v>
          </cell>
        </row>
        <row r="3705">
          <cell r="A3705">
            <v>8863136</v>
          </cell>
          <cell r="B3705">
            <v>118663</v>
          </cell>
          <cell r="C3705" t="str">
            <v>Brabourne Church of England Primary School</v>
          </cell>
          <cell r="D3705" t="str">
            <v>Kent</v>
          </cell>
          <cell r="E3705" t="str">
            <v>Voluntary Controlled School</v>
          </cell>
          <cell r="F3705" t="str">
            <v>Primary</v>
          </cell>
        </row>
        <row r="3706">
          <cell r="A3706">
            <v>3566004</v>
          </cell>
          <cell r="B3706">
            <v>106147</v>
          </cell>
          <cell r="C3706" t="str">
            <v>Brabyns Preparatory School</v>
          </cell>
          <cell r="D3706" t="str">
            <v>Stockport</v>
          </cell>
          <cell r="E3706" t="str">
            <v>Other Independent School</v>
          </cell>
          <cell r="F3706" t="str">
            <v>Not applicable</v>
          </cell>
        </row>
        <row r="3707">
          <cell r="A3707">
            <v>9252009</v>
          </cell>
          <cell r="B3707">
            <v>120372</v>
          </cell>
          <cell r="C3707" t="str">
            <v>Bracebridge Heath St John's Primary School</v>
          </cell>
          <cell r="D3707" t="str">
            <v>Lincolnshire</v>
          </cell>
          <cell r="E3707" t="str">
            <v>Community School</v>
          </cell>
          <cell r="F3707" t="str">
            <v>Primary</v>
          </cell>
        </row>
        <row r="3708">
          <cell r="A3708">
            <v>9252122</v>
          </cell>
          <cell r="B3708">
            <v>120428</v>
          </cell>
          <cell r="C3708" t="str">
            <v>Bracebridge Infant and Nursery School</v>
          </cell>
          <cell r="D3708" t="str">
            <v>Lincolnshire</v>
          </cell>
          <cell r="E3708" t="str">
            <v>Community School</v>
          </cell>
          <cell r="F3708" t="str">
            <v>Primary</v>
          </cell>
        </row>
        <row r="3709">
          <cell r="A3709">
            <v>3832433</v>
          </cell>
          <cell r="B3709">
            <v>107909</v>
          </cell>
          <cell r="C3709" t="str">
            <v>Bracken Edge Primary School</v>
          </cell>
          <cell r="D3709" t="str">
            <v>Leeds</v>
          </cell>
          <cell r="E3709" t="str">
            <v>Community School</v>
          </cell>
          <cell r="F3709" t="str">
            <v>Primary</v>
          </cell>
        </row>
        <row r="3710">
          <cell r="A3710">
            <v>3732348</v>
          </cell>
          <cell r="B3710">
            <v>107091</v>
          </cell>
          <cell r="C3710" t="str">
            <v>Bracken Hill Primary School</v>
          </cell>
          <cell r="D3710" t="str">
            <v>Sheffield</v>
          </cell>
          <cell r="E3710" t="str">
            <v>Community School</v>
          </cell>
          <cell r="F3710" t="str">
            <v>Primary</v>
          </cell>
        </row>
        <row r="3711">
          <cell r="A3711">
            <v>8917032</v>
          </cell>
          <cell r="B3711">
            <v>122961</v>
          </cell>
          <cell r="C3711" t="str">
            <v>Bracken Hill School</v>
          </cell>
          <cell r="D3711" t="str">
            <v>Nottinghamshire</v>
          </cell>
          <cell r="E3711" t="str">
            <v>Community Special School</v>
          </cell>
          <cell r="F3711" t="str">
            <v>Special</v>
          </cell>
        </row>
        <row r="3712">
          <cell r="A3712">
            <v>8912353</v>
          </cell>
          <cell r="B3712">
            <v>122560</v>
          </cell>
          <cell r="C3712" t="str">
            <v>Bracken Lane Primary and Nursery School</v>
          </cell>
          <cell r="D3712" t="str">
            <v>Nottinghamshire</v>
          </cell>
          <cell r="E3712" t="str">
            <v>Community School</v>
          </cell>
          <cell r="F3712" t="str">
            <v>Primary</v>
          </cell>
        </row>
        <row r="3713">
          <cell r="A3713">
            <v>9282213</v>
          </cell>
          <cell r="B3713">
            <v>121947</v>
          </cell>
          <cell r="C3713" t="str">
            <v>Bracken Leas Primary School</v>
          </cell>
          <cell r="D3713" t="str">
            <v>Northamptonshire</v>
          </cell>
          <cell r="E3713" t="str">
            <v>Community School</v>
          </cell>
          <cell r="F3713" t="str">
            <v>Primary</v>
          </cell>
        </row>
        <row r="3714">
          <cell r="A3714">
            <v>8886112</v>
          </cell>
          <cell r="B3714">
            <v>136050</v>
          </cell>
          <cell r="C3714" t="str">
            <v>Bracken School</v>
          </cell>
          <cell r="D3714" t="str">
            <v>Lancashire</v>
          </cell>
          <cell r="E3714" t="str">
            <v>Other Independent Special School</v>
          </cell>
          <cell r="F3714" t="str">
            <v>Not applicable</v>
          </cell>
        </row>
        <row r="3715">
          <cell r="A3715">
            <v>8352202</v>
          </cell>
          <cell r="B3715">
            <v>113709</v>
          </cell>
          <cell r="C3715" t="str">
            <v>Brackenbury Infant School and Community Nursery</v>
          </cell>
          <cell r="D3715" t="str">
            <v>Dorset</v>
          </cell>
          <cell r="E3715" t="str">
            <v>Community School</v>
          </cell>
          <cell r="F3715" t="str">
            <v>Primary</v>
          </cell>
        </row>
        <row r="3716">
          <cell r="A3716">
            <v>2052061</v>
          </cell>
          <cell r="B3716">
            <v>100324</v>
          </cell>
          <cell r="C3716" t="str">
            <v>Brackenbury Primary School</v>
          </cell>
          <cell r="D3716" t="str">
            <v>Hammersmith and Fulham</v>
          </cell>
          <cell r="E3716" t="str">
            <v>Community School</v>
          </cell>
          <cell r="F3716" t="str">
            <v>Primary</v>
          </cell>
        </row>
        <row r="3717">
          <cell r="A3717">
            <v>8156027</v>
          </cell>
          <cell r="B3717">
            <v>121757</v>
          </cell>
          <cell r="C3717" t="str">
            <v>Brackenfield School</v>
          </cell>
          <cell r="D3717" t="str">
            <v>North Yorkshire</v>
          </cell>
          <cell r="E3717" t="str">
            <v>Other Independent School</v>
          </cell>
          <cell r="F3717" t="str">
            <v>Not applicable</v>
          </cell>
        </row>
        <row r="3718">
          <cell r="A3718">
            <v>8307005</v>
          </cell>
          <cell r="B3718">
            <v>113031</v>
          </cell>
          <cell r="C3718" t="str">
            <v>Brackenfield Special School</v>
          </cell>
          <cell r="D3718" t="str">
            <v>Derbyshire</v>
          </cell>
          <cell r="E3718" t="str">
            <v>Community Special School</v>
          </cell>
          <cell r="F3718" t="str">
            <v>Special</v>
          </cell>
        </row>
        <row r="3719">
          <cell r="A3719">
            <v>3802107</v>
          </cell>
          <cell r="B3719">
            <v>107250</v>
          </cell>
          <cell r="C3719" t="str">
            <v>Brackenhill Primary School</v>
          </cell>
          <cell r="D3719" t="str">
            <v>Bradford</v>
          </cell>
          <cell r="E3719" t="str">
            <v>Community School</v>
          </cell>
          <cell r="F3719" t="str">
            <v>Primary</v>
          </cell>
        </row>
        <row r="3720">
          <cell r="A3720">
            <v>8064137</v>
          </cell>
          <cell r="B3720">
            <v>111752</v>
          </cell>
          <cell r="C3720" t="str">
            <v>Brackenhoe School</v>
          </cell>
          <cell r="D3720" t="str">
            <v>Middlesbrough</v>
          </cell>
          <cell r="E3720" t="str">
            <v>Community School</v>
          </cell>
          <cell r="F3720" t="str">
            <v>Secondary</v>
          </cell>
        </row>
        <row r="3721">
          <cell r="A3721">
            <v>8918300</v>
          </cell>
          <cell r="B3721">
            <v>130785</v>
          </cell>
          <cell r="C3721" t="str">
            <v>Brackenhurst College</v>
          </cell>
          <cell r="D3721" t="str">
            <v>Nottinghamshire</v>
          </cell>
          <cell r="E3721" t="str">
            <v>Further Education</v>
          </cell>
          <cell r="F3721" t="str">
            <v>16 Plus</v>
          </cell>
        </row>
        <row r="3722">
          <cell r="A3722">
            <v>8312433</v>
          </cell>
          <cell r="B3722">
            <v>112737</v>
          </cell>
          <cell r="C3722" t="str">
            <v>Brackensdale Infant School</v>
          </cell>
          <cell r="D3722" t="str">
            <v>Derby</v>
          </cell>
          <cell r="E3722" t="str">
            <v>Community School</v>
          </cell>
          <cell r="F3722" t="str">
            <v>Primary</v>
          </cell>
        </row>
        <row r="3723">
          <cell r="A3723">
            <v>8312432</v>
          </cell>
          <cell r="B3723">
            <v>112736</v>
          </cell>
          <cell r="C3723" t="str">
            <v>Brackensdale Junior School</v>
          </cell>
          <cell r="D3723" t="str">
            <v>Derby</v>
          </cell>
          <cell r="E3723" t="str">
            <v>Community School</v>
          </cell>
          <cell r="F3723" t="str">
            <v>Primary</v>
          </cell>
        </row>
        <row r="3724">
          <cell r="A3724">
            <v>3442218</v>
          </cell>
          <cell r="B3724">
            <v>105021</v>
          </cell>
          <cell r="C3724" t="str">
            <v>Brackenwood Infant School</v>
          </cell>
          <cell r="D3724" t="str">
            <v>Wirral</v>
          </cell>
          <cell r="E3724" t="str">
            <v>Community School</v>
          </cell>
          <cell r="F3724" t="str">
            <v>Primary</v>
          </cell>
        </row>
        <row r="3725">
          <cell r="A3725">
            <v>3442210</v>
          </cell>
          <cell r="B3725">
            <v>105013</v>
          </cell>
          <cell r="C3725" t="str">
            <v>Brackenwood Junior School</v>
          </cell>
          <cell r="D3725" t="str">
            <v>Wirral</v>
          </cell>
          <cell r="E3725" t="str">
            <v>Community School</v>
          </cell>
          <cell r="F3725" t="str">
            <v>Primary</v>
          </cell>
        </row>
        <row r="3726">
          <cell r="A3726">
            <v>6722357</v>
          </cell>
          <cell r="B3726">
            <v>401072</v>
          </cell>
          <cell r="C3726" t="str">
            <v>Brackla Infant School</v>
          </cell>
          <cell r="D3726" t="str">
            <v>Bridgend</v>
          </cell>
          <cell r="E3726" t="str">
            <v>Welsh Establishment</v>
          </cell>
          <cell r="F3726" t="str">
            <v>Primary</v>
          </cell>
        </row>
        <row r="3727">
          <cell r="A3727">
            <v>6722303</v>
          </cell>
          <cell r="B3727">
            <v>401068</v>
          </cell>
          <cell r="C3727" t="str">
            <v>Brackla Junior School</v>
          </cell>
          <cell r="D3727" t="str">
            <v>Bridgend</v>
          </cell>
          <cell r="E3727" t="str">
            <v>Welsh Establishment</v>
          </cell>
          <cell r="F3727" t="str">
            <v>Primary</v>
          </cell>
        </row>
        <row r="3728">
          <cell r="A3728">
            <v>6722372</v>
          </cell>
          <cell r="B3728">
            <v>402210</v>
          </cell>
          <cell r="C3728" t="str">
            <v>Brackla Primary School</v>
          </cell>
          <cell r="D3728" t="str">
            <v>Bridgend</v>
          </cell>
          <cell r="E3728" t="str">
            <v>Welsh Establishment</v>
          </cell>
          <cell r="F3728" t="str">
            <v>Primary</v>
          </cell>
        </row>
        <row r="3729">
          <cell r="A3729">
            <v>9283008</v>
          </cell>
          <cell r="B3729">
            <v>121961</v>
          </cell>
          <cell r="C3729" t="str">
            <v>Brackley Church of England Junior School</v>
          </cell>
          <cell r="D3729" t="str">
            <v>Northamptonshire</v>
          </cell>
          <cell r="E3729" t="str">
            <v>Voluntary Controlled School</v>
          </cell>
          <cell r="F3729" t="str">
            <v>Primary</v>
          </cell>
        </row>
        <row r="3730">
          <cell r="A3730">
            <v>9282117</v>
          </cell>
          <cell r="B3730">
            <v>121881</v>
          </cell>
          <cell r="C3730" t="str">
            <v>Brackley Waynflete Infant School</v>
          </cell>
          <cell r="D3730" t="str">
            <v>Northamptonshire</v>
          </cell>
          <cell r="E3730" t="str">
            <v>Community School</v>
          </cell>
          <cell r="F3730" t="str">
            <v>Primary</v>
          </cell>
        </row>
        <row r="3731">
          <cell r="A3731">
            <v>8678006</v>
          </cell>
          <cell r="B3731">
            <v>130603</v>
          </cell>
          <cell r="C3731" t="str">
            <v>Bracknell and Wokingham College</v>
          </cell>
          <cell r="D3731" t="str">
            <v>Bracknell Forest</v>
          </cell>
          <cell r="E3731" t="str">
            <v>Further Education</v>
          </cell>
          <cell r="F3731" t="str">
            <v>16 Plus</v>
          </cell>
        </row>
        <row r="3732">
          <cell r="A3732">
            <v>9266110</v>
          </cell>
          <cell r="B3732">
            <v>129636</v>
          </cell>
          <cell r="C3732" t="str">
            <v>Bracondale School</v>
          </cell>
          <cell r="D3732" t="str">
            <v>Norfolk</v>
          </cell>
          <cell r="E3732" t="str">
            <v>Other Independent School</v>
          </cell>
          <cell r="F3732" t="str">
            <v>Not applicable</v>
          </cell>
        </row>
        <row r="3733">
          <cell r="A3733">
            <v>7052007</v>
          </cell>
          <cell r="B3733">
            <v>132459</v>
          </cell>
          <cell r="C3733" t="str">
            <v>Braddan Primary School</v>
          </cell>
          <cell r="D3733" t="str">
            <v>Isle of Man Offshore Establishments</v>
          </cell>
          <cell r="E3733" t="str">
            <v>Offshore Schools</v>
          </cell>
          <cell r="F3733" t="str">
            <v>Not applicable</v>
          </cell>
        </row>
        <row r="3734">
          <cell r="A3734">
            <v>9083873</v>
          </cell>
          <cell r="B3734">
            <v>112023</v>
          </cell>
          <cell r="C3734" t="str">
            <v>Braddock CofE Primary School</v>
          </cell>
          <cell r="D3734" t="str">
            <v>Cornwall</v>
          </cell>
          <cell r="E3734" t="str">
            <v>Voluntary Aided School</v>
          </cell>
          <cell r="F3734" t="str">
            <v>Primary</v>
          </cell>
        </row>
        <row r="3735">
          <cell r="A3735">
            <v>9342016</v>
          </cell>
          <cell r="B3735">
            <v>129869</v>
          </cell>
          <cell r="C3735" t="str">
            <v>Bradeley Infant School</v>
          </cell>
          <cell r="D3735" t="str">
            <v>Pre LGR (1997) Staffordshire</v>
          </cell>
          <cell r="E3735" t="str">
            <v>Community School</v>
          </cell>
          <cell r="F3735" t="str">
            <v>Primary</v>
          </cell>
        </row>
        <row r="3736">
          <cell r="A3736">
            <v>9263091</v>
          </cell>
          <cell r="B3736">
            <v>129624</v>
          </cell>
          <cell r="C3736" t="str">
            <v>Bradenham VC Primary School</v>
          </cell>
          <cell r="D3736" t="str">
            <v>Norfolk</v>
          </cell>
          <cell r="E3736" t="str">
            <v>Voluntary Controlled School</v>
          </cell>
          <cell r="F3736" t="str">
            <v>Primary</v>
          </cell>
        </row>
        <row r="3737">
          <cell r="A3737">
            <v>8693310</v>
          </cell>
          <cell r="B3737">
            <v>110007</v>
          </cell>
          <cell r="C3737" t="str">
            <v>Bradfield C.E. Primary School</v>
          </cell>
          <cell r="D3737" t="str">
            <v>West Berkshire</v>
          </cell>
          <cell r="E3737" t="str">
            <v>Voluntary Aided School</v>
          </cell>
          <cell r="F3737" t="str">
            <v>Primary</v>
          </cell>
        </row>
        <row r="3738">
          <cell r="A3738">
            <v>8696000</v>
          </cell>
          <cell r="B3738">
            <v>110121</v>
          </cell>
          <cell r="C3738" t="str">
            <v>Bradfield College</v>
          </cell>
          <cell r="D3738" t="str">
            <v>West Berkshire</v>
          </cell>
          <cell r="E3738" t="str">
            <v>Other Independent School</v>
          </cell>
          <cell r="F3738" t="str">
            <v>Not applicable</v>
          </cell>
        </row>
        <row r="3739">
          <cell r="A3739">
            <v>3732328</v>
          </cell>
          <cell r="B3739">
            <v>107072</v>
          </cell>
          <cell r="C3739" t="str">
            <v>Bradfield Dungworth Primary School</v>
          </cell>
          <cell r="D3739" t="str">
            <v>Sheffield</v>
          </cell>
          <cell r="E3739" t="str">
            <v>Community School</v>
          </cell>
          <cell r="F3739" t="str">
            <v>Primary</v>
          </cell>
        </row>
        <row r="3740">
          <cell r="A3740">
            <v>9116106</v>
          </cell>
          <cell r="B3740">
            <v>113600</v>
          </cell>
          <cell r="C3740" t="str">
            <v>Bradfield House School</v>
          </cell>
          <cell r="D3740" t="str">
            <v>Pre LGR (1998) Devon</v>
          </cell>
          <cell r="E3740" t="str">
            <v>Other Independent School</v>
          </cell>
          <cell r="F3740" t="str">
            <v>Not applicable</v>
          </cell>
        </row>
        <row r="3741">
          <cell r="A3741">
            <v>8812044</v>
          </cell>
          <cell r="B3741">
            <v>114735</v>
          </cell>
          <cell r="C3741" t="str">
            <v>Bradfield Primary School</v>
          </cell>
          <cell r="D3741" t="str">
            <v>Essex</v>
          </cell>
          <cell r="E3741" t="str">
            <v>Community School</v>
          </cell>
          <cell r="F3741" t="str">
            <v>Primary</v>
          </cell>
        </row>
        <row r="3742">
          <cell r="A3742">
            <v>3734272</v>
          </cell>
          <cell r="B3742">
            <v>107144</v>
          </cell>
          <cell r="C3742" t="str">
            <v>Bradfield School</v>
          </cell>
          <cell r="D3742" t="str">
            <v>Sheffield</v>
          </cell>
          <cell r="E3742" t="str">
            <v>Community School</v>
          </cell>
          <cell r="F3742" t="str">
            <v>Secondary</v>
          </cell>
        </row>
        <row r="3743">
          <cell r="A3743">
            <v>8877042</v>
          </cell>
          <cell r="B3743">
            <v>119043</v>
          </cell>
          <cell r="C3743" t="str">
            <v>Bradfields School</v>
          </cell>
          <cell r="D3743" t="str">
            <v>Medway</v>
          </cell>
          <cell r="E3743" t="str">
            <v>Community Special School</v>
          </cell>
          <cell r="F3743" t="str">
            <v>Special</v>
          </cell>
        </row>
        <row r="3744">
          <cell r="A3744">
            <v>3806906</v>
          </cell>
          <cell r="B3744">
            <v>135367</v>
          </cell>
          <cell r="C3744" t="str">
            <v>Bradford Academy</v>
          </cell>
          <cell r="D3744" t="str">
            <v>Bradford</v>
          </cell>
          <cell r="E3744" t="str">
            <v>Academy Sponsor Led</v>
          </cell>
          <cell r="F3744" t="str">
            <v>Not applicable</v>
          </cell>
        </row>
        <row r="3745">
          <cell r="A3745">
            <v>3804615</v>
          </cell>
          <cell r="B3745">
            <v>132218</v>
          </cell>
          <cell r="C3745" t="str">
            <v>Bradford Cathedral Community College</v>
          </cell>
          <cell r="D3745" t="str">
            <v>Bradford</v>
          </cell>
          <cell r="E3745" t="str">
            <v>Voluntary Aided School</v>
          </cell>
          <cell r="F3745" t="str">
            <v>Secondary</v>
          </cell>
        </row>
        <row r="3746">
          <cell r="A3746">
            <v>3801104</v>
          </cell>
          <cell r="B3746">
            <v>133411</v>
          </cell>
          <cell r="C3746" t="str">
            <v>Bradford Central PRU</v>
          </cell>
          <cell r="D3746" t="str">
            <v>Bradford</v>
          </cell>
          <cell r="E3746" t="str">
            <v>Pupil Referral Unit</v>
          </cell>
          <cell r="F3746" t="str">
            <v>PRU</v>
          </cell>
        </row>
        <row r="3747">
          <cell r="A3747">
            <v>3806110</v>
          </cell>
          <cell r="B3747">
            <v>107461</v>
          </cell>
          <cell r="C3747" t="str">
            <v>Bradford Christian School</v>
          </cell>
          <cell r="D3747" t="str">
            <v>Bradford</v>
          </cell>
          <cell r="E3747" t="str">
            <v>Other Independent School</v>
          </cell>
          <cell r="F3747" t="str">
            <v>Not applicable</v>
          </cell>
        </row>
        <row r="3748">
          <cell r="A3748">
            <v>3808004</v>
          </cell>
          <cell r="B3748">
            <v>130532</v>
          </cell>
          <cell r="C3748" t="str">
            <v>Bradford College</v>
          </cell>
          <cell r="D3748" t="str">
            <v>Bradford</v>
          </cell>
          <cell r="E3748" t="str">
            <v>Further Education</v>
          </cell>
          <cell r="F3748" t="str">
            <v>16 Plus</v>
          </cell>
        </row>
        <row r="3749">
          <cell r="A3749">
            <v>3801110</v>
          </cell>
          <cell r="B3749">
            <v>135732</v>
          </cell>
          <cell r="C3749" t="str">
            <v>Bradford District PRU</v>
          </cell>
          <cell r="D3749" t="str">
            <v>Bradford</v>
          </cell>
          <cell r="E3749" t="str">
            <v>Pupil Referral Unit</v>
          </cell>
          <cell r="F3749" t="str">
            <v>PRU</v>
          </cell>
        </row>
        <row r="3750">
          <cell r="A3750">
            <v>3806102</v>
          </cell>
          <cell r="B3750">
            <v>107454</v>
          </cell>
          <cell r="C3750" t="str">
            <v>Bradford Girls' Grammar School</v>
          </cell>
          <cell r="D3750" t="str">
            <v>Bradford</v>
          </cell>
          <cell r="E3750" t="str">
            <v>Other Independent School</v>
          </cell>
          <cell r="F3750" t="str">
            <v>Not applicable</v>
          </cell>
        </row>
        <row r="3751">
          <cell r="A3751">
            <v>3806103</v>
          </cell>
          <cell r="B3751">
            <v>107455</v>
          </cell>
          <cell r="C3751" t="str">
            <v>Bradford Grammar School</v>
          </cell>
          <cell r="D3751" t="str">
            <v>Bradford</v>
          </cell>
          <cell r="E3751" t="str">
            <v>Other Independent School</v>
          </cell>
          <cell r="F3751" t="str">
            <v>Not applicable</v>
          </cell>
        </row>
        <row r="3752">
          <cell r="A3752">
            <v>3802009</v>
          </cell>
          <cell r="B3752">
            <v>107197</v>
          </cell>
          <cell r="C3752" t="str">
            <v>Bradford Moor Community Primary School</v>
          </cell>
          <cell r="D3752" t="str">
            <v>Bradford</v>
          </cell>
          <cell r="E3752" t="str">
            <v>Community School</v>
          </cell>
          <cell r="F3752" t="str">
            <v>Primary</v>
          </cell>
        </row>
        <row r="3753">
          <cell r="A3753">
            <v>8782212</v>
          </cell>
          <cell r="B3753">
            <v>113135</v>
          </cell>
          <cell r="C3753" t="str">
            <v>Bradford Primary School</v>
          </cell>
          <cell r="D3753" t="str">
            <v>Devon</v>
          </cell>
          <cell r="E3753" t="str">
            <v>Community School</v>
          </cell>
          <cell r="F3753" t="str">
            <v>Primary</v>
          </cell>
        </row>
        <row r="3754">
          <cell r="A3754">
            <v>9213003</v>
          </cell>
          <cell r="B3754">
            <v>118182</v>
          </cell>
          <cell r="C3754" t="str">
            <v>Brading Church of England Controlled Primary School</v>
          </cell>
          <cell r="D3754" t="str">
            <v>Isle of Wight</v>
          </cell>
          <cell r="E3754" t="str">
            <v>Voluntary Controlled School</v>
          </cell>
          <cell r="F3754" t="str">
            <v>Primary</v>
          </cell>
        </row>
        <row r="3755">
          <cell r="A3755">
            <v>8782472</v>
          </cell>
          <cell r="B3755">
            <v>113241</v>
          </cell>
          <cell r="C3755" t="str">
            <v>Bradley Barton Primary School and Nursery Unit</v>
          </cell>
          <cell r="D3755" t="str">
            <v>Devon</v>
          </cell>
          <cell r="E3755" t="str">
            <v>Community School</v>
          </cell>
          <cell r="F3755" t="str">
            <v>Primary</v>
          </cell>
        </row>
        <row r="3756">
          <cell r="A3756">
            <v>3823006</v>
          </cell>
          <cell r="B3756">
            <v>107704</v>
          </cell>
          <cell r="C3756" t="str">
            <v>Bradley Church of England Voluntary Controlled Infant and Nursery School</v>
          </cell>
          <cell r="D3756" t="str">
            <v>Kirklees</v>
          </cell>
          <cell r="E3756" t="str">
            <v>Voluntary Controlled School</v>
          </cell>
          <cell r="F3756" t="str">
            <v>Primary</v>
          </cell>
        </row>
        <row r="3757">
          <cell r="A3757">
            <v>3823005</v>
          </cell>
          <cell r="B3757">
            <v>107703</v>
          </cell>
          <cell r="C3757" t="str">
            <v>Bradley Church of England Voluntary Controlled Junior School</v>
          </cell>
          <cell r="D3757" t="str">
            <v>Kirklees</v>
          </cell>
          <cell r="E3757" t="str">
            <v>Voluntary Controlled School</v>
          </cell>
          <cell r="F3757" t="str">
            <v>Primary</v>
          </cell>
        </row>
        <row r="3758">
          <cell r="A3758">
            <v>8303015</v>
          </cell>
          <cell r="B3758">
            <v>112802</v>
          </cell>
          <cell r="C3758" t="str">
            <v>Bradley CofE Primary School</v>
          </cell>
          <cell r="D3758" t="str">
            <v>Derbyshire</v>
          </cell>
          <cell r="E3758" t="str">
            <v>Voluntary Controlled School</v>
          </cell>
          <cell r="F3758" t="str">
            <v>Primary</v>
          </cell>
        </row>
        <row r="3759">
          <cell r="A3759">
            <v>9343032</v>
          </cell>
          <cell r="B3759">
            <v>129911</v>
          </cell>
          <cell r="C3759" t="str">
            <v>Bradley Endowed CofE First School</v>
          </cell>
          <cell r="D3759" t="str">
            <v>Pre LGR (1997) Staffordshire</v>
          </cell>
          <cell r="E3759" t="str">
            <v>Voluntary Controlled School</v>
          </cell>
          <cell r="F3759" t="str">
            <v>Primary</v>
          </cell>
        </row>
        <row r="3760">
          <cell r="A3760">
            <v>3572032</v>
          </cell>
          <cell r="B3760">
            <v>106197</v>
          </cell>
          <cell r="C3760" t="str">
            <v>Bradley Green Community Primary School</v>
          </cell>
          <cell r="D3760" t="str">
            <v>Tameside</v>
          </cell>
          <cell r="E3760" t="str">
            <v>Community School</v>
          </cell>
          <cell r="F3760" t="str">
            <v>Primary</v>
          </cell>
        </row>
        <row r="3761">
          <cell r="A3761">
            <v>8881015</v>
          </cell>
          <cell r="B3761">
            <v>119078</v>
          </cell>
          <cell r="C3761" t="str">
            <v>Bradley Nursery School</v>
          </cell>
          <cell r="D3761" t="str">
            <v>Lancashire</v>
          </cell>
          <cell r="E3761" t="str">
            <v>LA Nursery School</v>
          </cell>
          <cell r="F3761" t="str">
            <v>Nursery</v>
          </cell>
        </row>
        <row r="3762">
          <cell r="A3762">
            <v>8122917</v>
          </cell>
          <cell r="B3762">
            <v>117944</v>
          </cell>
          <cell r="C3762" t="str">
            <v>Bradley Park Infant and Nursery School</v>
          </cell>
          <cell r="D3762" t="str">
            <v>North East Lincolnshire</v>
          </cell>
          <cell r="E3762" t="str">
            <v>Community School</v>
          </cell>
          <cell r="F3762" t="str">
            <v>Primary</v>
          </cell>
        </row>
        <row r="3763">
          <cell r="A3763">
            <v>8122918</v>
          </cell>
          <cell r="B3763">
            <v>117945</v>
          </cell>
          <cell r="C3763" t="str">
            <v>Bradley Park Junior School</v>
          </cell>
          <cell r="D3763" t="str">
            <v>North East Lincolnshire</v>
          </cell>
          <cell r="E3763" t="str">
            <v>Community School</v>
          </cell>
          <cell r="F3763" t="str">
            <v>Primary</v>
          </cell>
        </row>
        <row r="3764">
          <cell r="A3764">
            <v>8882087</v>
          </cell>
          <cell r="B3764">
            <v>119175</v>
          </cell>
          <cell r="C3764" t="str">
            <v>Bradley Primary School</v>
          </cell>
          <cell r="D3764" t="str">
            <v>Lancashire</v>
          </cell>
          <cell r="E3764" t="str">
            <v>Community School</v>
          </cell>
          <cell r="F3764" t="str">
            <v>Primary</v>
          </cell>
        </row>
        <row r="3765">
          <cell r="A3765">
            <v>8782019</v>
          </cell>
          <cell r="B3765">
            <v>113075</v>
          </cell>
          <cell r="C3765" t="str">
            <v>Bradley Rowe First School</v>
          </cell>
          <cell r="D3765" t="str">
            <v>Devon</v>
          </cell>
          <cell r="E3765" t="str">
            <v>Community School</v>
          </cell>
          <cell r="F3765" t="str">
            <v>Primary</v>
          </cell>
        </row>
        <row r="3766">
          <cell r="A3766">
            <v>8782020</v>
          </cell>
          <cell r="B3766">
            <v>113076</v>
          </cell>
          <cell r="C3766" t="str">
            <v>Bradley Rowe Middle School</v>
          </cell>
          <cell r="D3766" t="str">
            <v>Devon</v>
          </cell>
          <cell r="E3766" t="str">
            <v>Community School</v>
          </cell>
          <cell r="F3766" t="str">
            <v>Middle Deemed Primary</v>
          </cell>
        </row>
        <row r="3767">
          <cell r="A3767">
            <v>8034104</v>
          </cell>
          <cell r="B3767">
            <v>134036</v>
          </cell>
          <cell r="C3767" t="str">
            <v>Bradley Stoke Community School</v>
          </cell>
          <cell r="D3767" t="str">
            <v>South Gloucestershire</v>
          </cell>
          <cell r="E3767" t="str">
            <v>Community School</v>
          </cell>
          <cell r="F3767" t="str">
            <v>Secondary</v>
          </cell>
        </row>
        <row r="3768">
          <cell r="A3768">
            <v>8152310</v>
          </cell>
          <cell r="B3768">
            <v>121383</v>
          </cell>
          <cell r="C3768" t="str">
            <v>Bradleys Both Community Primary School</v>
          </cell>
          <cell r="D3768" t="str">
            <v>North Yorkshire</v>
          </cell>
          <cell r="E3768" t="str">
            <v>Community School</v>
          </cell>
          <cell r="F3768" t="str">
            <v>Primary</v>
          </cell>
        </row>
        <row r="3769">
          <cell r="A3769">
            <v>8655408</v>
          </cell>
          <cell r="B3769">
            <v>126503</v>
          </cell>
          <cell r="C3769" t="str">
            <v>Bradon Forest School</v>
          </cell>
          <cell r="D3769" t="str">
            <v>Wiltshire</v>
          </cell>
          <cell r="E3769" t="str">
            <v>Foundation School</v>
          </cell>
          <cell r="F3769" t="str">
            <v>Secondary</v>
          </cell>
        </row>
        <row r="3770">
          <cell r="A3770">
            <v>3551015</v>
          </cell>
          <cell r="B3770">
            <v>105877</v>
          </cell>
          <cell r="C3770" t="str">
            <v>Bradshaw Community Nursery Centre</v>
          </cell>
          <cell r="D3770" t="str">
            <v>Salford</v>
          </cell>
          <cell r="E3770" t="str">
            <v>LA Nursery School</v>
          </cell>
          <cell r="F3770" t="str">
            <v>Nursery</v>
          </cell>
        </row>
        <row r="3771">
          <cell r="A3771">
            <v>8772103</v>
          </cell>
          <cell r="B3771">
            <v>110989</v>
          </cell>
          <cell r="C3771" t="str">
            <v>Bradshaw Community Primary School</v>
          </cell>
          <cell r="D3771" t="str">
            <v>Warrington</v>
          </cell>
          <cell r="E3771" t="str">
            <v>Community School</v>
          </cell>
          <cell r="F3771" t="str">
            <v>Primary</v>
          </cell>
        </row>
        <row r="3772">
          <cell r="A3772">
            <v>8306037</v>
          </cell>
          <cell r="B3772">
            <v>136167</v>
          </cell>
          <cell r="C3772" t="str">
            <v>Bradshaw Farm Independent School</v>
          </cell>
          <cell r="D3772" t="str">
            <v>Derbyshire</v>
          </cell>
          <cell r="E3772" t="str">
            <v>Other Independent Special School</v>
          </cell>
          <cell r="F3772" t="str">
            <v>Not applicable</v>
          </cell>
        </row>
        <row r="3773">
          <cell r="A3773">
            <v>3562102</v>
          </cell>
          <cell r="B3773">
            <v>106088</v>
          </cell>
          <cell r="C3773" t="str">
            <v>Bradshaw Hall Infant School</v>
          </cell>
          <cell r="D3773" t="str">
            <v>Stockport</v>
          </cell>
          <cell r="E3773" t="str">
            <v>Community School</v>
          </cell>
          <cell r="F3773" t="str">
            <v>Primary</v>
          </cell>
        </row>
        <row r="3774">
          <cell r="A3774">
            <v>3562008</v>
          </cell>
          <cell r="B3774">
            <v>106030</v>
          </cell>
          <cell r="C3774" t="str">
            <v>Bradshaw Hall Junior School</v>
          </cell>
          <cell r="D3774" t="str">
            <v>Stockport</v>
          </cell>
          <cell r="E3774" t="str">
            <v>Community School</v>
          </cell>
          <cell r="F3774" t="str">
            <v>Primary</v>
          </cell>
        </row>
        <row r="3775">
          <cell r="A3775">
            <v>3562116</v>
          </cell>
          <cell r="B3775">
            <v>131554</v>
          </cell>
          <cell r="C3775" t="str">
            <v>Bradshaw Hall Primary School</v>
          </cell>
          <cell r="D3775" t="str">
            <v>Stockport</v>
          </cell>
          <cell r="E3775" t="str">
            <v>Community School</v>
          </cell>
          <cell r="F3775" t="str">
            <v>Primary</v>
          </cell>
        </row>
        <row r="3776">
          <cell r="A3776">
            <v>3812004</v>
          </cell>
          <cell r="B3776">
            <v>107479</v>
          </cell>
          <cell r="C3776" t="str">
            <v>Bradshaw Primary School</v>
          </cell>
          <cell r="D3776" t="str">
            <v>Calderdale</v>
          </cell>
          <cell r="E3776" t="str">
            <v>Community School</v>
          </cell>
          <cell r="F3776" t="str">
            <v>Primary</v>
          </cell>
        </row>
        <row r="3777">
          <cell r="A3777">
            <v>2127077</v>
          </cell>
          <cell r="B3777">
            <v>101095</v>
          </cell>
          <cell r="C3777" t="str">
            <v>Bradstow School</v>
          </cell>
          <cell r="D3777" t="str">
            <v>Wandsworth</v>
          </cell>
          <cell r="E3777" t="str">
            <v>Community Special School</v>
          </cell>
          <cell r="F3777" t="str">
            <v>Special</v>
          </cell>
        </row>
        <row r="3778">
          <cell r="A3778">
            <v>3732233</v>
          </cell>
          <cell r="B3778">
            <v>107033</v>
          </cell>
          <cell r="C3778" t="str">
            <v>Bradway Primary School</v>
          </cell>
          <cell r="D3778" t="str">
            <v>Sheffield</v>
          </cell>
          <cell r="E3778" t="str">
            <v>Community School</v>
          </cell>
          <cell r="F3778" t="str">
            <v>Primary</v>
          </cell>
        </row>
        <row r="3779">
          <cell r="A3779">
            <v>8303016</v>
          </cell>
          <cell r="B3779">
            <v>112803</v>
          </cell>
          <cell r="C3779" t="str">
            <v>Bradwell CofE (Controlled) Infant School</v>
          </cell>
          <cell r="D3779" t="str">
            <v>Derbyshire</v>
          </cell>
          <cell r="E3779" t="str">
            <v>Voluntary Controlled School</v>
          </cell>
          <cell r="F3779" t="str">
            <v>Primary</v>
          </cell>
        </row>
        <row r="3780">
          <cell r="A3780">
            <v>8602241</v>
          </cell>
          <cell r="B3780">
            <v>124106</v>
          </cell>
          <cell r="C3780" t="str">
            <v>Bradwell County Primary School</v>
          </cell>
          <cell r="D3780" t="str">
            <v>Staffordshire</v>
          </cell>
          <cell r="E3780" t="str">
            <v>Community School</v>
          </cell>
          <cell r="F3780" t="str">
            <v>Primary</v>
          </cell>
        </row>
        <row r="3781">
          <cell r="A3781">
            <v>8302049</v>
          </cell>
          <cell r="B3781">
            <v>112512</v>
          </cell>
          <cell r="C3781" t="str">
            <v>Bradwell Junior School</v>
          </cell>
          <cell r="D3781" t="str">
            <v>Derbyshire</v>
          </cell>
          <cell r="E3781" t="str">
            <v>Community School</v>
          </cell>
          <cell r="F3781" t="str">
            <v>Primary</v>
          </cell>
        </row>
        <row r="3782">
          <cell r="A3782">
            <v>8262309</v>
          </cell>
          <cell r="B3782">
            <v>110369</v>
          </cell>
          <cell r="C3782" t="str">
            <v>Bradwell Village School</v>
          </cell>
          <cell r="D3782" t="str">
            <v>Milton Keynes</v>
          </cell>
          <cell r="E3782" t="str">
            <v>Community School</v>
          </cell>
          <cell r="F3782" t="str">
            <v>Primary</v>
          </cell>
        </row>
        <row r="3783">
          <cell r="A3783">
            <v>8782213</v>
          </cell>
          <cell r="B3783">
            <v>113136</v>
          </cell>
          <cell r="C3783" t="str">
            <v>Bradworthy Community Primary School</v>
          </cell>
          <cell r="D3783" t="str">
            <v>Devon</v>
          </cell>
          <cell r="E3783" t="str">
            <v>Community School</v>
          </cell>
          <cell r="F3783" t="str">
            <v>Primary</v>
          </cell>
        </row>
        <row r="3784">
          <cell r="A3784">
            <v>8782213</v>
          </cell>
          <cell r="B3784">
            <v>136492</v>
          </cell>
          <cell r="C3784" t="str">
            <v>Bradworthy Primary Academy</v>
          </cell>
          <cell r="D3784" t="str">
            <v>Devon</v>
          </cell>
          <cell r="E3784" t="str">
            <v>Academy Converters</v>
          </cell>
          <cell r="F3784" t="str">
            <v>Primary</v>
          </cell>
        </row>
        <row r="3785">
          <cell r="A3785">
            <v>3112078</v>
          </cell>
          <cell r="B3785">
            <v>102314</v>
          </cell>
          <cell r="C3785" t="str">
            <v>Brady Primary School</v>
          </cell>
          <cell r="D3785" t="str">
            <v>Havering</v>
          </cell>
          <cell r="E3785" t="str">
            <v>Community School</v>
          </cell>
          <cell r="F3785" t="str">
            <v>Primary</v>
          </cell>
        </row>
        <row r="3786">
          <cell r="A3786">
            <v>8816000</v>
          </cell>
          <cell r="B3786">
            <v>115386</v>
          </cell>
          <cell r="C3786" t="str">
            <v>Braeside School</v>
          </cell>
          <cell r="D3786" t="str">
            <v>Essex</v>
          </cell>
          <cell r="E3786" t="str">
            <v>Other Independent School</v>
          </cell>
          <cell r="F3786" t="str">
            <v>Not applicable</v>
          </cell>
        </row>
        <row r="3787">
          <cell r="A3787">
            <v>3566020</v>
          </cell>
          <cell r="B3787">
            <v>127520</v>
          </cell>
          <cell r="C3787" t="str">
            <v>Braeside Theatre School</v>
          </cell>
          <cell r="D3787" t="str">
            <v>Stockport</v>
          </cell>
          <cell r="E3787" t="str">
            <v>Other Independent School</v>
          </cell>
          <cell r="F3787" t="str">
            <v>Not applicable</v>
          </cell>
        </row>
        <row r="3788">
          <cell r="A3788">
            <v>9283010</v>
          </cell>
          <cell r="B3788">
            <v>121962</v>
          </cell>
          <cell r="C3788" t="str">
            <v>Brafield CofE Primary School</v>
          </cell>
          <cell r="D3788" t="str">
            <v>Northamptonshire</v>
          </cell>
          <cell r="E3788" t="str">
            <v>Voluntary Controlled School</v>
          </cell>
          <cell r="F3788" t="str">
            <v>Primary</v>
          </cell>
        </row>
        <row r="3789">
          <cell r="A3789">
            <v>3307030</v>
          </cell>
          <cell r="B3789">
            <v>103611</v>
          </cell>
          <cell r="C3789" t="str">
            <v>Braidwood School for the Deaf</v>
          </cell>
          <cell r="D3789" t="str">
            <v>Birmingham</v>
          </cell>
          <cell r="E3789" t="str">
            <v>Foundation Special School</v>
          </cell>
          <cell r="F3789" t="str">
            <v>Special</v>
          </cell>
        </row>
        <row r="3790">
          <cell r="A3790">
            <v>9373014</v>
          </cell>
          <cell r="B3790">
            <v>125626</v>
          </cell>
          <cell r="C3790" t="str">
            <v>Brailes CofE Primary School</v>
          </cell>
          <cell r="D3790" t="str">
            <v>Warwickshire</v>
          </cell>
          <cell r="E3790" t="str">
            <v>Voluntary Controlled School</v>
          </cell>
          <cell r="F3790" t="str">
            <v>Primary</v>
          </cell>
        </row>
        <row r="3791">
          <cell r="A3791">
            <v>8303017</v>
          </cell>
          <cell r="B3791">
            <v>112804</v>
          </cell>
          <cell r="C3791" t="str">
            <v>Brailsford CofE Primary School</v>
          </cell>
          <cell r="D3791" t="str">
            <v>Derbyshire</v>
          </cell>
          <cell r="E3791" t="str">
            <v>Voluntary Controlled School</v>
          </cell>
          <cell r="F3791" t="str">
            <v>Primary</v>
          </cell>
        </row>
        <row r="3792">
          <cell r="A3792">
            <v>3834064</v>
          </cell>
          <cell r="B3792">
            <v>108077</v>
          </cell>
          <cell r="C3792" t="str">
            <v>Braim Wood Boys' High School</v>
          </cell>
          <cell r="D3792" t="str">
            <v>Leeds</v>
          </cell>
          <cell r="E3792" t="str">
            <v>Community School</v>
          </cell>
          <cell r="F3792" t="str">
            <v>Secondary</v>
          </cell>
        </row>
        <row r="3793">
          <cell r="A3793">
            <v>3834275</v>
          </cell>
          <cell r="B3793">
            <v>127993</v>
          </cell>
          <cell r="C3793" t="str">
            <v>Braimwood Middle School</v>
          </cell>
          <cell r="D3793" t="str">
            <v>Leeds</v>
          </cell>
          <cell r="E3793" t="str">
            <v>Community School</v>
          </cell>
          <cell r="F3793" t="str">
            <v>Middle Deemed Secondary</v>
          </cell>
        </row>
        <row r="3794">
          <cell r="A3794">
            <v>3042002</v>
          </cell>
          <cell r="B3794">
            <v>126759</v>
          </cell>
          <cell r="C3794" t="str">
            <v>Braintcroft Infant School</v>
          </cell>
          <cell r="D3794" t="str">
            <v>Brent</v>
          </cell>
          <cell r="E3794" t="str">
            <v>Community School</v>
          </cell>
          <cell r="F3794" t="str">
            <v>Primary</v>
          </cell>
        </row>
        <row r="3795">
          <cell r="A3795">
            <v>3042001</v>
          </cell>
          <cell r="B3795">
            <v>126758</v>
          </cell>
          <cell r="C3795" t="str">
            <v>Braintcroft Junior School</v>
          </cell>
          <cell r="D3795" t="str">
            <v>Brent</v>
          </cell>
          <cell r="E3795" t="str">
            <v>Community School</v>
          </cell>
          <cell r="F3795" t="str">
            <v>Primary</v>
          </cell>
        </row>
        <row r="3796">
          <cell r="A3796">
            <v>3042075</v>
          </cell>
          <cell r="B3796">
            <v>101532</v>
          </cell>
          <cell r="C3796" t="str">
            <v>Braintcroft Primary School</v>
          </cell>
          <cell r="D3796" t="str">
            <v>Brent</v>
          </cell>
          <cell r="E3796" t="str">
            <v>Community School</v>
          </cell>
          <cell r="F3796" t="str">
            <v>Primary</v>
          </cell>
        </row>
        <row r="3797">
          <cell r="A3797">
            <v>8818001</v>
          </cell>
          <cell r="B3797">
            <v>130673</v>
          </cell>
          <cell r="C3797" t="str">
            <v>Braintree College</v>
          </cell>
          <cell r="D3797" t="str">
            <v>Essex</v>
          </cell>
          <cell r="E3797" t="str">
            <v>Further Education</v>
          </cell>
          <cell r="F3797" t="str">
            <v>16 Plus</v>
          </cell>
        </row>
        <row r="3798">
          <cell r="A3798">
            <v>879941</v>
          </cell>
          <cell r="B3798">
            <v>135536</v>
          </cell>
          <cell r="C3798" t="str">
            <v>Brainwaves</v>
          </cell>
          <cell r="D3798" t="str">
            <v>Plymouth</v>
          </cell>
          <cell r="E3798" t="str">
            <v>Playing for Success Centres</v>
          </cell>
          <cell r="F3798" t="str">
            <v>Not applicable</v>
          </cell>
        </row>
        <row r="3799">
          <cell r="A3799">
            <v>8502023</v>
          </cell>
          <cell r="B3799">
            <v>115866</v>
          </cell>
          <cell r="C3799" t="str">
            <v>Braishfield Primary School</v>
          </cell>
          <cell r="D3799" t="str">
            <v>Hampshire</v>
          </cell>
          <cell r="E3799" t="str">
            <v>Community School</v>
          </cell>
          <cell r="F3799" t="str">
            <v>Primary</v>
          </cell>
        </row>
        <row r="3800">
          <cell r="A3800">
            <v>9093402</v>
          </cell>
          <cell r="B3800">
            <v>112334</v>
          </cell>
          <cell r="C3800" t="str">
            <v>Braithwaite CofE VA Primary School</v>
          </cell>
          <cell r="D3800" t="str">
            <v>Cumbria</v>
          </cell>
          <cell r="E3800" t="str">
            <v>Voluntary Aided School</v>
          </cell>
          <cell r="F3800" t="str">
            <v>Primary</v>
          </cell>
        </row>
        <row r="3801">
          <cell r="A3801">
            <v>3807020</v>
          </cell>
          <cell r="B3801">
            <v>107469</v>
          </cell>
          <cell r="C3801" t="str">
            <v>Braithwaite Special School</v>
          </cell>
          <cell r="D3801" t="str">
            <v>Bradford</v>
          </cell>
          <cell r="E3801" t="str">
            <v>Community Special School</v>
          </cell>
          <cell r="F3801" t="str">
            <v>Special</v>
          </cell>
        </row>
        <row r="3802">
          <cell r="A3802">
            <v>3712068</v>
          </cell>
          <cell r="B3802">
            <v>127607</v>
          </cell>
          <cell r="C3802" t="str">
            <v>Braithwell First and Middle School</v>
          </cell>
          <cell r="D3802" t="str">
            <v>Doncaster</v>
          </cell>
          <cell r="E3802" t="str">
            <v>Community School</v>
          </cell>
          <cell r="F3802" t="str">
            <v>Middle Deemed Primary</v>
          </cell>
        </row>
        <row r="3803">
          <cell r="A3803">
            <v>9091010</v>
          </cell>
          <cell r="B3803">
            <v>112092</v>
          </cell>
          <cell r="C3803" t="str">
            <v>Bram Longstaffe Nursery School</v>
          </cell>
          <cell r="D3803" t="str">
            <v>Cumbria</v>
          </cell>
          <cell r="E3803" t="str">
            <v>LA Nursery School</v>
          </cell>
          <cell r="F3803" t="str">
            <v>Nursery</v>
          </cell>
        </row>
        <row r="3804">
          <cell r="A3804">
            <v>9382246</v>
          </cell>
          <cell r="B3804">
            <v>125968</v>
          </cell>
          <cell r="C3804" t="str">
            <v>Bramber First School</v>
          </cell>
          <cell r="D3804" t="str">
            <v>West Sussex</v>
          </cell>
          <cell r="E3804" t="str">
            <v>Community School</v>
          </cell>
          <cell r="F3804" t="str">
            <v>Primary</v>
          </cell>
        </row>
        <row r="3805">
          <cell r="A3805">
            <v>3056052</v>
          </cell>
          <cell r="B3805">
            <v>126802</v>
          </cell>
          <cell r="C3805" t="str">
            <v>Bramble Wood School</v>
          </cell>
          <cell r="D3805" t="str">
            <v>Bromley</v>
          </cell>
          <cell r="E3805" t="str">
            <v>Other Independent School</v>
          </cell>
          <cell r="F3805" t="str">
            <v>Not applicable</v>
          </cell>
        </row>
        <row r="3806">
          <cell r="A3806">
            <v>8062327</v>
          </cell>
          <cell r="B3806">
            <v>111627</v>
          </cell>
          <cell r="C3806" t="str">
            <v>Brambles Primary School</v>
          </cell>
          <cell r="D3806" t="str">
            <v>Middlesbrough</v>
          </cell>
          <cell r="E3806" t="str">
            <v>Community School</v>
          </cell>
          <cell r="F3806" t="str">
            <v>Primary</v>
          </cell>
        </row>
        <row r="3807">
          <cell r="A3807">
            <v>9282222</v>
          </cell>
          <cell r="B3807">
            <v>130963</v>
          </cell>
          <cell r="C3807" t="str">
            <v>Brambleside Community Primary School</v>
          </cell>
          <cell r="D3807" t="str">
            <v>Northamptonshire</v>
          </cell>
          <cell r="E3807" t="str">
            <v>Community School</v>
          </cell>
          <cell r="F3807" t="str">
            <v>Primary</v>
          </cell>
        </row>
        <row r="3808">
          <cell r="A3808">
            <v>9362453</v>
          </cell>
          <cell r="B3808">
            <v>125068</v>
          </cell>
          <cell r="C3808" t="str">
            <v>Brambletye Junior School</v>
          </cell>
          <cell r="D3808" t="str">
            <v>Surrey</v>
          </cell>
          <cell r="E3808" t="str">
            <v>Community School</v>
          </cell>
          <cell r="F3808" t="str">
            <v>Primary</v>
          </cell>
        </row>
        <row r="3809">
          <cell r="A3809">
            <v>9386251</v>
          </cell>
          <cell r="B3809">
            <v>126150</v>
          </cell>
          <cell r="C3809" t="str">
            <v>Brambletye School</v>
          </cell>
          <cell r="D3809" t="str">
            <v>West Sussex</v>
          </cell>
          <cell r="E3809" t="str">
            <v>Other Independent School</v>
          </cell>
          <cell r="F3809" t="str">
            <v>Not applicable</v>
          </cell>
        </row>
        <row r="3810">
          <cell r="A3810">
            <v>8913370</v>
          </cell>
          <cell r="B3810">
            <v>122788</v>
          </cell>
          <cell r="C3810" t="str">
            <v>Bramcote CofE Primary School</v>
          </cell>
          <cell r="D3810" t="str">
            <v>Nottinghamshire</v>
          </cell>
          <cell r="E3810" t="str">
            <v>Voluntary Aided School</v>
          </cell>
          <cell r="F3810" t="str">
            <v>Primary</v>
          </cell>
        </row>
        <row r="3811">
          <cell r="A3811">
            <v>8912271</v>
          </cell>
          <cell r="B3811">
            <v>122536</v>
          </cell>
          <cell r="C3811" t="str">
            <v>Bramcote Hills Primary School</v>
          </cell>
          <cell r="D3811" t="str">
            <v>Nottinghamshire</v>
          </cell>
          <cell r="E3811" t="str">
            <v>Community School</v>
          </cell>
          <cell r="F3811" t="str">
            <v>Primary</v>
          </cell>
        </row>
        <row r="3812">
          <cell r="A3812">
            <v>8914118</v>
          </cell>
          <cell r="B3812">
            <v>122852</v>
          </cell>
          <cell r="C3812" t="str">
            <v>Bramcote Hills Sport and Community College</v>
          </cell>
          <cell r="D3812" t="str">
            <v>Nottinghamshire</v>
          </cell>
          <cell r="E3812" t="str">
            <v>Community School</v>
          </cell>
          <cell r="F3812" t="str">
            <v>Secondary</v>
          </cell>
        </row>
        <row r="3813">
          <cell r="A3813">
            <v>9377015</v>
          </cell>
          <cell r="B3813">
            <v>130173</v>
          </cell>
          <cell r="C3813" t="str">
            <v>Bramcote Hospital School</v>
          </cell>
          <cell r="D3813" t="str">
            <v>Warwickshire</v>
          </cell>
          <cell r="E3813" t="str">
            <v>Community Special School</v>
          </cell>
          <cell r="F3813" t="str">
            <v>Special</v>
          </cell>
        </row>
        <row r="3814">
          <cell r="A3814">
            <v>8916011</v>
          </cell>
          <cell r="B3814">
            <v>122929</v>
          </cell>
          <cell r="C3814" t="str">
            <v>Bramcote Lorne School</v>
          </cell>
          <cell r="D3814" t="str">
            <v>Nottinghamshire</v>
          </cell>
          <cell r="E3814" t="str">
            <v>Other Independent School</v>
          </cell>
          <cell r="F3814" t="str">
            <v>Not applicable</v>
          </cell>
        </row>
        <row r="3815">
          <cell r="A3815">
            <v>8156001</v>
          </cell>
          <cell r="B3815">
            <v>121729</v>
          </cell>
          <cell r="C3815" t="str">
            <v>Bramcote School</v>
          </cell>
          <cell r="D3815" t="str">
            <v>North Yorkshire</v>
          </cell>
          <cell r="E3815" t="str">
            <v>Other Independent School</v>
          </cell>
          <cell r="F3815" t="str">
            <v>Not applicable</v>
          </cell>
        </row>
        <row r="3816">
          <cell r="A3816">
            <v>8786001</v>
          </cell>
          <cell r="B3816">
            <v>113562</v>
          </cell>
          <cell r="C3816" t="str">
            <v>Bramdean School</v>
          </cell>
          <cell r="D3816" t="str">
            <v>Devon</v>
          </cell>
          <cell r="E3816" t="str">
            <v>Other Independent School</v>
          </cell>
          <cell r="F3816" t="str">
            <v>Not applicable</v>
          </cell>
        </row>
        <row r="3817">
          <cell r="A3817">
            <v>9353077</v>
          </cell>
          <cell r="B3817">
            <v>124722</v>
          </cell>
          <cell r="C3817" t="str">
            <v>Bramfield Church of England Voluntary Controlled Primary School</v>
          </cell>
          <cell r="D3817" t="str">
            <v>Suffolk</v>
          </cell>
          <cell r="E3817" t="str">
            <v>Voluntary Controlled School</v>
          </cell>
          <cell r="F3817" t="str">
            <v>Primary</v>
          </cell>
        </row>
        <row r="3818">
          <cell r="A3818">
            <v>9356036</v>
          </cell>
          <cell r="B3818">
            <v>124879</v>
          </cell>
          <cell r="C3818" t="str">
            <v>Bramfield House School</v>
          </cell>
          <cell r="D3818" t="str">
            <v>Suffolk</v>
          </cell>
          <cell r="E3818" t="str">
            <v>Other Independent Special School</v>
          </cell>
          <cell r="F3818" t="str">
            <v>Not applicable</v>
          </cell>
        </row>
        <row r="3819">
          <cell r="A3819">
            <v>9353078</v>
          </cell>
          <cell r="B3819">
            <v>124723</v>
          </cell>
          <cell r="C3819" t="str">
            <v>Bramford Church of England Voluntary Controlled Primary School</v>
          </cell>
          <cell r="D3819" t="str">
            <v>Suffolk</v>
          </cell>
          <cell r="E3819" t="str">
            <v>Voluntary Controlled School</v>
          </cell>
          <cell r="F3819" t="str">
            <v>Primary</v>
          </cell>
        </row>
        <row r="3820">
          <cell r="A3820">
            <v>3322045</v>
          </cell>
          <cell r="B3820">
            <v>103782</v>
          </cell>
          <cell r="C3820" t="str">
            <v>Bramford Primary School</v>
          </cell>
          <cell r="D3820" t="str">
            <v>Dudley</v>
          </cell>
          <cell r="E3820" t="str">
            <v>Community School</v>
          </cell>
          <cell r="F3820" t="str">
            <v>Primary</v>
          </cell>
        </row>
        <row r="3821">
          <cell r="A3821">
            <v>3564002</v>
          </cell>
          <cell r="B3821">
            <v>127506</v>
          </cell>
          <cell r="C3821" t="str">
            <v>Bramhall County High School</v>
          </cell>
          <cell r="D3821" t="str">
            <v>Stockport</v>
          </cell>
          <cell r="E3821" t="str">
            <v>Community School</v>
          </cell>
          <cell r="F3821" t="str">
            <v>Secondary</v>
          </cell>
        </row>
        <row r="3822">
          <cell r="A3822">
            <v>3564038</v>
          </cell>
          <cell r="B3822">
            <v>106139</v>
          </cell>
          <cell r="C3822" t="str">
            <v>Bramhall High School</v>
          </cell>
          <cell r="D3822" t="str">
            <v>Stockport</v>
          </cell>
          <cell r="E3822" t="str">
            <v>Community School</v>
          </cell>
          <cell r="F3822" t="str">
            <v>Secondary</v>
          </cell>
        </row>
        <row r="3823">
          <cell r="A3823">
            <v>3832329</v>
          </cell>
          <cell r="B3823">
            <v>107844</v>
          </cell>
          <cell r="C3823" t="str">
            <v>Bramham Primary School</v>
          </cell>
          <cell r="D3823" t="str">
            <v>Leeds</v>
          </cell>
          <cell r="E3823" t="str">
            <v>Community School</v>
          </cell>
          <cell r="F3823" t="str">
            <v>Primary</v>
          </cell>
        </row>
        <row r="3824">
          <cell r="A3824">
            <v>3832322</v>
          </cell>
          <cell r="B3824">
            <v>127894</v>
          </cell>
          <cell r="C3824" t="str">
            <v>Bramhope First School</v>
          </cell>
          <cell r="D3824" t="str">
            <v>Leeds</v>
          </cell>
          <cell r="E3824" t="str">
            <v>Community School</v>
          </cell>
          <cell r="F3824" t="str">
            <v>Primary</v>
          </cell>
        </row>
        <row r="3825">
          <cell r="A3825">
            <v>3832373</v>
          </cell>
          <cell r="B3825">
            <v>127909</v>
          </cell>
          <cell r="C3825" t="str">
            <v>Bramhope Middle School</v>
          </cell>
          <cell r="D3825" t="str">
            <v>Leeds</v>
          </cell>
          <cell r="E3825" t="str">
            <v>Community School</v>
          </cell>
          <cell r="F3825" t="str">
            <v>Middle Deemed Primary</v>
          </cell>
        </row>
        <row r="3826">
          <cell r="A3826">
            <v>3832406</v>
          </cell>
          <cell r="B3826">
            <v>107882</v>
          </cell>
          <cell r="C3826" t="str">
            <v>Bramhope Primary School</v>
          </cell>
          <cell r="D3826" t="str">
            <v>Leeds</v>
          </cell>
          <cell r="E3826" t="str">
            <v>Community School</v>
          </cell>
          <cell r="F3826" t="str">
            <v>Primary</v>
          </cell>
        </row>
        <row r="3827">
          <cell r="A3827">
            <v>8212293</v>
          </cell>
          <cell r="B3827">
            <v>109594</v>
          </cell>
          <cell r="C3827" t="str">
            <v>Bramingham Primary School</v>
          </cell>
          <cell r="D3827" t="str">
            <v>Luton</v>
          </cell>
          <cell r="E3827" t="str">
            <v>Community School</v>
          </cell>
          <cell r="F3827" t="str">
            <v>Primary</v>
          </cell>
        </row>
        <row r="3828">
          <cell r="A3828">
            <v>8503022</v>
          </cell>
          <cell r="B3828">
            <v>116278</v>
          </cell>
          <cell r="C3828" t="str">
            <v>Bramley Church of England Primary School</v>
          </cell>
          <cell r="D3828" t="str">
            <v>Hampshire</v>
          </cell>
          <cell r="E3828" t="str">
            <v>Voluntary Controlled School</v>
          </cell>
          <cell r="F3828" t="str">
            <v>Primary</v>
          </cell>
        </row>
        <row r="3829">
          <cell r="A3829">
            <v>9363925</v>
          </cell>
          <cell r="B3829">
            <v>125243</v>
          </cell>
          <cell r="C3829" t="str">
            <v>Bramley CofE Aided Infant School</v>
          </cell>
          <cell r="D3829" t="str">
            <v>Surrey</v>
          </cell>
          <cell r="E3829" t="str">
            <v>Voluntary Aided School</v>
          </cell>
          <cell r="F3829" t="str">
            <v>Primary</v>
          </cell>
        </row>
        <row r="3830">
          <cell r="A3830">
            <v>9363308</v>
          </cell>
          <cell r="B3830">
            <v>130078</v>
          </cell>
          <cell r="C3830" t="str">
            <v>Bramley CofE First School</v>
          </cell>
          <cell r="D3830" t="str">
            <v>Surrey</v>
          </cell>
          <cell r="E3830" t="str">
            <v>Voluntary Aided School</v>
          </cell>
          <cell r="F3830" t="str">
            <v>Primary</v>
          </cell>
        </row>
        <row r="3831">
          <cell r="A3831">
            <v>3834500</v>
          </cell>
          <cell r="B3831">
            <v>128015</v>
          </cell>
          <cell r="C3831" t="str">
            <v>Bramley CofE Middle School</v>
          </cell>
          <cell r="D3831" t="str">
            <v>Leeds</v>
          </cell>
          <cell r="E3831" t="str">
            <v>Voluntary Controlled School</v>
          </cell>
          <cell r="F3831" t="str">
            <v>Middle Deemed Secondary</v>
          </cell>
        </row>
        <row r="3832">
          <cell r="A3832">
            <v>3832029</v>
          </cell>
          <cell r="B3832">
            <v>127811</v>
          </cell>
          <cell r="C3832" t="str">
            <v>Bramley First School</v>
          </cell>
          <cell r="D3832" t="str">
            <v>Leeds</v>
          </cell>
          <cell r="E3832" t="str">
            <v>Community School</v>
          </cell>
          <cell r="F3832" t="str">
            <v>Primary</v>
          </cell>
        </row>
        <row r="3833">
          <cell r="A3833">
            <v>3722105</v>
          </cell>
          <cell r="B3833">
            <v>106906</v>
          </cell>
          <cell r="C3833" t="str">
            <v>Bramley Grange Primary School</v>
          </cell>
          <cell r="D3833" t="str">
            <v>Rotherham</v>
          </cell>
          <cell r="E3833" t="str">
            <v>Community School</v>
          </cell>
          <cell r="F3833" t="str">
            <v>Primary</v>
          </cell>
        </row>
        <row r="3834">
          <cell r="A3834">
            <v>3832485</v>
          </cell>
          <cell r="B3834">
            <v>107961</v>
          </cell>
          <cell r="C3834" t="str">
            <v>Bramley Primary School</v>
          </cell>
          <cell r="D3834" t="str">
            <v>Leeds</v>
          </cell>
          <cell r="E3834" t="str">
            <v>Community School</v>
          </cell>
          <cell r="F3834" t="str">
            <v>Primary</v>
          </cell>
        </row>
        <row r="3835">
          <cell r="A3835">
            <v>9366363</v>
          </cell>
          <cell r="B3835">
            <v>125395</v>
          </cell>
          <cell r="C3835" t="str">
            <v>Bramley School</v>
          </cell>
          <cell r="D3835" t="str">
            <v>Surrey</v>
          </cell>
          <cell r="E3835" t="str">
            <v>Other Independent School</v>
          </cell>
          <cell r="F3835" t="str">
            <v>Not applicable</v>
          </cell>
        </row>
        <row r="3836">
          <cell r="A3836">
            <v>3833054</v>
          </cell>
          <cell r="B3836">
            <v>108003</v>
          </cell>
          <cell r="C3836" t="str">
            <v>Bramley St Peter's Church of England Voluntary Controlled Primary School</v>
          </cell>
          <cell r="D3836" t="str">
            <v>Leeds</v>
          </cell>
          <cell r="E3836" t="str">
            <v>Voluntary Controlled School</v>
          </cell>
          <cell r="F3836" t="str">
            <v>Primary</v>
          </cell>
        </row>
        <row r="3837">
          <cell r="A3837">
            <v>3722094</v>
          </cell>
          <cell r="B3837">
            <v>106895</v>
          </cell>
          <cell r="C3837" t="str">
            <v>Bramley Sunnyside Infant School</v>
          </cell>
          <cell r="D3837" t="str">
            <v>Rotherham</v>
          </cell>
          <cell r="E3837" t="str">
            <v>Community School</v>
          </cell>
          <cell r="F3837" t="str">
            <v>Primary</v>
          </cell>
        </row>
        <row r="3838">
          <cell r="A3838">
            <v>3722052</v>
          </cell>
          <cell r="B3838">
            <v>106861</v>
          </cell>
          <cell r="C3838" t="str">
            <v>Bramley Sunnyside Junior School</v>
          </cell>
          <cell r="D3838" t="str">
            <v>Rotherham</v>
          </cell>
          <cell r="E3838" t="str">
            <v>Community School</v>
          </cell>
          <cell r="F3838" t="str">
            <v>Primary</v>
          </cell>
        </row>
        <row r="3839">
          <cell r="A3839">
            <v>8302019</v>
          </cell>
          <cell r="B3839">
            <v>112503</v>
          </cell>
          <cell r="C3839" t="str">
            <v>Bramley Vale Primary School</v>
          </cell>
          <cell r="D3839" t="str">
            <v>Derbyshire</v>
          </cell>
          <cell r="E3839" t="str">
            <v>Community School</v>
          </cell>
          <cell r="F3839" t="str">
            <v>Primary</v>
          </cell>
        </row>
        <row r="3840">
          <cell r="A3840">
            <v>8783001</v>
          </cell>
          <cell r="B3840">
            <v>113347</v>
          </cell>
          <cell r="C3840" t="str">
            <v>Brampford Speke Church of England Primary School</v>
          </cell>
          <cell r="D3840" t="str">
            <v>Devon</v>
          </cell>
          <cell r="E3840" t="str">
            <v>Voluntary Controlled School</v>
          </cell>
          <cell r="F3840" t="str">
            <v>Primary</v>
          </cell>
        </row>
        <row r="3841">
          <cell r="A3841">
            <v>8843305</v>
          </cell>
          <cell r="B3841">
            <v>116867</v>
          </cell>
          <cell r="C3841" t="str">
            <v>Brampton Abbotts CofE Primary School</v>
          </cell>
          <cell r="D3841" t="str">
            <v>Herefordshire</v>
          </cell>
          <cell r="E3841" t="str">
            <v>Voluntary Aided School</v>
          </cell>
          <cell r="F3841" t="str">
            <v>Primary</v>
          </cell>
        </row>
        <row r="3842">
          <cell r="A3842">
            <v>9353079</v>
          </cell>
          <cell r="B3842">
            <v>124724</v>
          </cell>
          <cell r="C3842" t="str">
            <v>Brampton CofE VC Primary School</v>
          </cell>
          <cell r="D3842" t="str">
            <v>Suffolk</v>
          </cell>
          <cell r="E3842" t="str">
            <v>Voluntary Controlled School</v>
          </cell>
          <cell r="F3842" t="str">
            <v>Primary</v>
          </cell>
        </row>
        <row r="3843">
          <cell r="A3843">
            <v>3026101</v>
          </cell>
          <cell r="B3843">
            <v>101393</v>
          </cell>
          <cell r="C3843" t="str">
            <v>Brampton College</v>
          </cell>
          <cell r="D3843" t="str">
            <v>Barnet</v>
          </cell>
          <cell r="E3843" t="str">
            <v>Other Independent School</v>
          </cell>
          <cell r="F3843" t="str">
            <v>Not applicable</v>
          </cell>
        </row>
        <row r="3844">
          <cell r="A3844">
            <v>3722053</v>
          </cell>
          <cell r="B3844">
            <v>106862</v>
          </cell>
          <cell r="C3844" t="str">
            <v>Brampton Cortonwood Infant School</v>
          </cell>
          <cell r="D3844" t="str">
            <v>Rotherham</v>
          </cell>
          <cell r="E3844" t="str">
            <v>Community School</v>
          </cell>
          <cell r="F3844" t="str">
            <v>Primary</v>
          </cell>
        </row>
        <row r="3845">
          <cell r="A3845">
            <v>3723331</v>
          </cell>
          <cell r="B3845">
            <v>106936</v>
          </cell>
          <cell r="C3845" t="str">
            <v>Brampton Ellis CofE Infant School</v>
          </cell>
          <cell r="D3845" t="str">
            <v>Rotherham</v>
          </cell>
          <cell r="E3845" t="str">
            <v>Voluntary Aided School</v>
          </cell>
          <cell r="F3845" t="str">
            <v>Primary</v>
          </cell>
        </row>
        <row r="3846">
          <cell r="A3846">
            <v>3723330</v>
          </cell>
          <cell r="B3846">
            <v>106935</v>
          </cell>
          <cell r="C3846" t="str">
            <v>Brampton Ellis CofE Junior School</v>
          </cell>
          <cell r="D3846" t="str">
            <v>Rotherham</v>
          </cell>
          <cell r="E3846" t="str">
            <v>Voluntary Aided School</v>
          </cell>
          <cell r="F3846" t="str">
            <v>Primary</v>
          </cell>
        </row>
        <row r="3847">
          <cell r="A3847">
            <v>8732231</v>
          </cell>
          <cell r="B3847">
            <v>110697</v>
          </cell>
          <cell r="C3847" t="str">
            <v>Brampton Infant School</v>
          </cell>
          <cell r="D3847" t="str">
            <v>Cambridgeshire</v>
          </cell>
          <cell r="E3847" t="str">
            <v>Community School</v>
          </cell>
          <cell r="F3847" t="str">
            <v>Primary</v>
          </cell>
        </row>
        <row r="3848">
          <cell r="A3848">
            <v>9092013</v>
          </cell>
          <cell r="B3848">
            <v>112105</v>
          </cell>
          <cell r="C3848" t="str">
            <v>Brampton Infant School</v>
          </cell>
          <cell r="D3848" t="str">
            <v>Cumbria</v>
          </cell>
          <cell r="E3848" t="str">
            <v>Community School</v>
          </cell>
          <cell r="F3848" t="str">
            <v>Primary</v>
          </cell>
        </row>
        <row r="3849">
          <cell r="A3849">
            <v>8302282</v>
          </cell>
          <cell r="B3849">
            <v>112658</v>
          </cell>
          <cell r="C3849" t="str">
            <v>Brampton Infant School</v>
          </cell>
          <cell r="D3849" t="str">
            <v>Derbyshire</v>
          </cell>
          <cell r="E3849" t="str">
            <v>Community School</v>
          </cell>
          <cell r="F3849" t="str">
            <v>Primary</v>
          </cell>
        </row>
        <row r="3850">
          <cell r="A3850">
            <v>3162005</v>
          </cell>
          <cell r="B3850">
            <v>126975</v>
          </cell>
          <cell r="C3850" t="str">
            <v>Brampton Infant School</v>
          </cell>
          <cell r="D3850" t="str">
            <v>Newham</v>
          </cell>
          <cell r="E3850" t="str">
            <v>Community School</v>
          </cell>
          <cell r="F3850" t="str">
            <v>Primary</v>
          </cell>
        </row>
        <row r="3851">
          <cell r="A3851">
            <v>8732207</v>
          </cell>
          <cell r="B3851">
            <v>110675</v>
          </cell>
          <cell r="C3851" t="str">
            <v>Brampton Junior School</v>
          </cell>
          <cell r="D3851" t="str">
            <v>Cambridgeshire</v>
          </cell>
          <cell r="E3851" t="str">
            <v>Community School</v>
          </cell>
          <cell r="F3851" t="str">
            <v>Primary</v>
          </cell>
        </row>
        <row r="3852">
          <cell r="A3852">
            <v>8302281</v>
          </cell>
          <cell r="B3852">
            <v>112657</v>
          </cell>
          <cell r="C3852" t="str">
            <v>Brampton Junior School</v>
          </cell>
          <cell r="D3852" t="str">
            <v>Derbyshire</v>
          </cell>
          <cell r="E3852" t="str">
            <v>Community School</v>
          </cell>
          <cell r="F3852" t="str">
            <v>Primary</v>
          </cell>
        </row>
        <row r="3853">
          <cell r="A3853">
            <v>3164031</v>
          </cell>
          <cell r="B3853">
            <v>136669</v>
          </cell>
          <cell r="C3853" t="str">
            <v>Brampton Manor Academy</v>
          </cell>
          <cell r="D3853" t="str">
            <v>Newham</v>
          </cell>
          <cell r="E3853" t="str">
            <v>Academy Converters</v>
          </cell>
          <cell r="F3853" t="str">
            <v>Secondary</v>
          </cell>
        </row>
        <row r="3854">
          <cell r="A3854">
            <v>3164031</v>
          </cell>
          <cell r="B3854">
            <v>102781</v>
          </cell>
          <cell r="C3854" t="str">
            <v>Brampton Manor School</v>
          </cell>
          <cell r="D3854" t="str">
            <v>Newham</v>
          </cell>
          <cell r="E3854" t="str">
            <v>Community School</v>
          </cell>
          <cell r="F3854" t="str">
            <v>Secondary</v>
          </cell>
        </row>
        <row r="3855">
          <cell r="A3855">
            <v>3032000</v>
          </cell>
          <cell r="B3855">
            <v>101401</v>
          </cell>
          <cell r="C3855" t="str">
            <v>Brampton Primary School</v>
          </cell>
          <cell r="D3855" t="str">
            <v>Bexley</v>
          </cell>
          <cell r="E3855" t="str">
            <v>Community School</v>
          </cell>
          <cell r="F3855" t="str">
            <v>Primary</v>
          </cell>
        </row>
        <row r="3856">
          <cell r="A3856">
            <v>3162004</v>
          </cell>
          <cell r="B3856">
            <v>102711</v>
          </cell>
          <cell r="C3856" t="str">
            <v>Brampton Primary School</v>
          </cell>
          <cell r="D3856" t="str">
            <v>Newham</v>
          </cell>
          <cell r="E3856" t="str">
            <v>Community School</v>
          </cell>
          <cell r="F3856" t="str">
            <v>Primary</v>
          </cell>
        </row>
        <row r="3857">
          <cell r="A3857">
            <v>9095203</v>
          </cell>
          <cell r="B3857">
            <v>112405</v>
          </cell>
          <cell r="C3857" t="str">
            <v>Brampton Primary School</v>
          </cell>
          <cell r="D3857" t="str">
            <v>Cumbria</v>
          </cell>
          <cell r="E3857" t="str">
            <v>Foundation School</v>
          </cell>
          <cell r="F3857" t="str">
            <v>Primary</v>
          </cell>
        </row>
        <row r="3858">
          <cell r="A3858">
            <v>8302011</v>
          </cell>
          <cell r="B3858">
            <v>132225</v>
          </cell>
          <cell r="C3858" t="str">
            <v>Brampton Primary School</v>
          </cell>
          <cell r="D3858" t="str">
            <v>Derbyshire</v>
          </cell>
          <cell r="E3858" t="str">
            <v>Community School</v>
          </cell>
          <cell r="F3858" t="str">
            <v>Primary</v>
          </cell>
        </row>
        <row r="3859">
          <cell r="A3859">
            <v>8733942</v>
          </cell>
          <cell r="B3859">
            <v>135131</v>
          </cell>
          <cell r="C3859" t="str">
            <v>Brampton Village Primary School</v>
          </cell>
          <cell r="D3859" t="str">
            <v>Cambridgeshire</v>
          </cell>
          <cell r="E3859" t="str">
            <v>Community School</v>
          </cell>
          <cell r="F3859" t="str">
            <v>Primary</v>
          </cell>
        </row>
        <row r="3860">
          <cell r="A3860">
            <v>9263377</v>
          </cell>
          <cell r="B3860">
            <v>121131</v>
          </cell>
          <cell r="C3860" t="str">
            <v>Brancaster Church of England Voluntary Aided Primary School</v>
          </cell>
          <cell r="D3860" t="str">
            <v>Norfolk</v>
          </cell>
          <cell r="E3860" t="str">
            <v>Voluntary Aided School</v>
          </cell>
          <cell r="F3860" t="str">
            <v>Primary</v>
          </cell>
        </row>
        <row r="3861">
          <cell r="A3861">
            <v>3931013</v>
          </cell>
          <cell r="B3861">
            <v>128173</v>
          </cell>
          <cell r="C3861" t="str">
            <v>Brancepeth Road Nursery School</v>
          </cell>
          <cell r="D3861" t="str">
            <v>South Tyneside</v>
          </cell>
          <cell r="E3861" t="str">
            <v>LA Nursery School</v>
          </cell>
          <cell r="F3861" t="str">
            <v>Nursery</v>
          </cell>
        </row>
        <row r="3862">
          <cell r="A3862">
            <v>8112708</v>
          </cell>
          <cell r="B3862">
            <v>117831</v>
          </cell>
          <cell r="C3862" t="str">
            <v>Brandesburton Primary School</v>
          </cell>
          <cell r="D3862" t="str">
            <v>East Riding of Yorkshire</v>
          </cell>
          <cell r="E3862" t="str">
            <v>Community School</v>
          </cell>
          <cell r="F3862" t="str">
            <v>Primary</v>
          </cell>
        </row>
        <row r="3863">
          <cell r="A3863">
            <v>3332171</v>
          </cell>
          <cell r="B3863">
            <v>103976</v>
          </cell>
          <cell r="C3863" t="str">
            <v>Brandhall Primary School</v>
          </cell>
          <cell r="D3863" t="str">
            <v>Sandwell</v>
          </cell>
          <cell r="E3863" t="str">
            <v>Community School</v>
          </cell>
          <cell r="F3863" t="str">
            <v>Primary</v>
          </cell>
        </row>
        <row r="3864">
          <cell r="A3864">
            <v>2122064</v>
          </cell>
          <cell r="B3864">
            <v>101001</v>
          </cell>
          <cell r="C3864" t="str">
            <v>Brandlehow Primary School</v>
          </cell>
          <cell r="D3864" t="str">
            <v>Wandsworth</v>
          </cell>
          <cell r="E3864" t="str">
            <v>Community School</v>
          </cell>
          <cell r="F3864" t="str">
            <v>Primary</v>
          </cell>
        </row>
        <row r="3865">
          <cell r="A3865">
            <v>9197017</v>
          </cell>
          <cell r="B3865">
            <v>129182</v>
          </cell>
          <cell r="C3865" t="str">
            <v>Brandles School</v>
          </cell>
          <cell r="D3865" t="str">
            <v>Hertfordshire</v>
          </cell>
          <cell r="E3865" t="str">
            <v>Community Special School</v>
          </cell>
          <cell r="F3865" t="str">
            <v>Special</v>
          </cell>
        </row>
        <row r="3866">
          <cell r="A3866">
            <v>9197045</v>
          </cell>
          <cell r="B3866">
            <v>131060</v>
          </cell>
          <cell r="C3866" t="str">
            <v>Brandles School</v>
          </cell>
          <cell r="D3866" t="str">
            <v>Hertfordshire</v>
          </cell>
          <cell r="E3866" t="str">
            <v>Community Special School</v>
          </cell>
          <cell r="F3866" t="str">
            <v>Special</v>
          </cell>
        </row>
        <row r="3867">
          <cell r="A3867">
            <v>3512007</v>
          </cell>
          <cell r="B3867">
            <v>105288</v>
          </cell>
          <cell r="C3867" t="str">
            <v>Brandlesholme Primary School</v>
          </cell>
          <cell r="D3867" t="str">
            <v>Bury</v>
          </cell>
          <cell r="E3867" t="str">
            <v>Community School</v>
          </cell>
          <cell r="F3867" t="str">
            <v>Primary</v>
          </cell>
        </row>
        <row r="3868">
          <cell r="A3868">
            <v>3902200</v>
          </cell>
          <cell r="B3868">
            <v>108359</v>
          </cell>
          <cell r="C3868" t="str">
            <v>Brandling Primary School</v>
          </cell>
          <cell r="D3868" t="str">
            <v>Gateshead</v>
          </cell>
          <cell r="E3868" t="str">
            <v>Community School</v>
          </cell>
          <cell r="F3868" t="str">
            <v>Primary</v>
          </cell>
        </row>
        <row r="3869">
          <cell r="A3869">
            <v>8402552</v>
          </cell>
          <cell r="B3869">
            <v>114158</v>
          </cell>
          <cell r="C3869" t="str">
            <v>Brandon Infants' School</v>
          </cell>
          <cell r="D3869" t="str">
            <v>Durham</v>
          </cell>
          <cell r="E3869" t="str">
            <v>Community School</v>
          </cell>
          <cell r="F3869" t="str">
            <v>Primary</v>
          </cell>
        </row>
        <row r="3870">
          <cell r="A3870">
            <v>8402551</v>
          </cell>
          <cell r="B3870">
            <v>114157</v>
          </cell>
          <cell r="C3870" t="str">
            <v>Brandon Junior School</v>
          </cell>
          <cell r="D3870" t="str">
            <v>Durham</v>
          </cell>
          <cell r="E3870" t="str">
            <v>Community School</v>
          </cell>
          <cell r="F3870" t="str">
            <v>Primary</v>
          </cell>
        </row>
        <row r="3871">
          <cell r="A3871">
            <v>8403525</v>
          </cell>
          <cell r="B3871">
            <v>135207</v>
          </cell>
          <cell r="C3871" t="str">
            <v>Brandon Primary School</v>
          </cell>
          <cell r="D3871" t="str">
            <v>Durham</v>
          </cell>
          <cell r="E3871" t="str">
            <v>Community School</v>
          </cell>
          <cell r="F3871" t="str">
            <v>Primary</v>
          </cell>
        </row>
        <row r="3872">
          <cell r="A3872">
            <v>9024086</v>
          </cell>
          <cell r="B3872">
            <v>128252</v>
          </cell>
          <cell r="C3872" t="str">
            <v>Brandreth Middle School</v>
          </cell>
          <cell r="D3872" t="str">
            <v>Pre LGR (1997) Bedfordshire</v>
          </cell>
          <cell r="E3872" t="str">
            <v>Community School</v>
          </cell>
          <cell r="F3872" t="str">
            <v>Middle Deemed Secondary</v>
          </cell>
        </row>
        <row r="3873">
          <cell r="A3873">
            <v>3502000</v>
          </cell>
          <cell r="B3873">
            <v>105148</v>
          </cell>
          <cell r="C3873" t="str">
            <v>Brandwood Primary School</v>
          </cell>
          <cell r="D3873" t="str">
            <v>Bolton</v>
          </cell>
          <cell r="E3873" t="str">
            <v>Community School</v>
          </cell>
          <cell r="F3873" t="str">
            <v>Primary</v>
          </cell>
        </row>
        <row r="3874">
          <cell r="A3874">
            <v>3112011</v>
          </cell>
          <cell r="B3874">
            <v>102275</v>
          </cell>
          <cell r="C3874" t="str">
            <v>Branfil Infant School</v>
          </cell>
          <cell r="D3874" t="str">
            <v>Havering</v>
          </cell>
          <cell r="E3874" t="str">
            <v>Community School</v>
          </cell>
          <cell r="F3874" t="str">
            <v>Primary</v>
          </cell>
        </row>
        <row r="3875">
          <cell r="A3875">
            <v>3112010</v>
          </cell>
          <cell r="B3875">
            <v>102274</v>
          </cell>
          <cell r="C3875" t="str">
            <v>Branfil Junior School</v>
          </cell>
          <cell r="D3875" t="str">
            <v>Havering</v>
          </cell>
          <cell r="E3875" t="str">
            <v>Community School</v>
          </cell>
          <cell r="F3875" t="str">
            <v>Primary</v>
          </cell>
        </row>
        <row r="3876">
          <cell r="A3876">
            <v>3113509</v>
          </cell>
          <cell r="B3876">
            <v>135588</v>
          </cell>
          <cell r="C3876" t="str">
            <v>Branfil Primary School</v>
          </cell>
          <cell r="D3876" t="str">
            <v>Havering</v>
          </cell>
          <cell r="E3876" t="str">
            <v>Community School</v>
          </cell>
          <cell r="F3876" t="str">
            <v>Primary</v>
          </cell>
        </row>
        <row r="3877">
          <cell r="A3877">
            <v>8362175</v>
          </cell>
          <cell r="B3877">
            <v>113703</v>
          </cell>
          <cell r="C3877" t="str">
            <v>Branksome Heath Middle School</v>
          </cell>
          <cell r="D3877" t="str">
            <v>Poole</v>
          </cell>
          <cell r="E3877" t="str">
            <v>Community School</v>
          </cell>
          <cell r="F3877" t="str">
            <v>Middle Deemed Primary</v>
          </cell>
        </row>
        <row r="3878">
          <cell r="A3878">
            <v>9084155</v>
          </cell>
          <cell r="B3878">
            <v>112050</v>
          </cell>
          <cell r="C3878" t="str">
            <v>Brannel School</v>
          </cell>
          <cell r="D3878" t="str">
            <v>Cornwall</v>
          </cell>
          <cell r="E3878" t="str">
            <v>Community School</v>
          </cell>
          <cell r="F3878" t="str">
            <v>Secondary</v>
          </cell>
        </row>
        <row r="3879">
          <cell r="A3879">
            <v>8783002</v>
          </cell>
          <cell r="B3879">
            <v>113348</v>
          </cell>
          <cell r="C3879" t="str">
            <v>Branscombe Church of England Primary School</v>
          </cell>
          <cell r="D3879" t="str">
            <v>Devon</v>
          </cell>
          <cell r="E3879" t="str">
            <v>Voluntary Controlled School</v>
          </cell>
          <cell r="F3879" t="str">
            <v>Primary</v>
          </cell>
        </row>
        <row r="3880">
          <cell r="A3880">
            <v>9182010</v>
          </cell>
          <cell r="B3880">
            <v>129074</v>
          </cell>
          <cell r="C3880" t="str">
            <v>Bransford Primary School</v>
          </cell>
          <cell r="D3880" t="str">
            <v>Pre LGR (1998) Hereford &amp; Worcester</v>
          </cell>
          <cell r="E3880" t="str">
            <v>Community School</v>
          </cell>
          <cell r="F3880" t="str">
            <v>Primary</v>
          </cell>
        </row>
        <row r="3881">
          <cell r="A3881">
            <v>8503017</v>
          </cell>
          <cell r="B3881">
            <v>116274</v>
          </cell>
          <cell r="C3881" t="str">
            <v>Bransgore Church of England Primary School</v>
          </cell>
          <cell r="D3881" t="str">
            <v>Hampshire</v>
          </cell>
          <cell r="E3881" t="str">
            <v>Voluntary Controlled School</v>
          </cell>
          <cell r="F3881" t="str">
            <v>Primary</v>
          </cell>
        </row>
        <row r="3882">
          <cell r="A3882">
            <v>8503017</v>
          </cell>
          <cell r="B3882">
            <v>137693</v>
          </cell>
          <cell r="C3882" t="str">
            <v>Bransgore Church of England Primary School</v>
          </cell>
          <cell r="D3882" t="str">
            <v>Hampshire</v>
          </cell>
          <cell r="E3882" t="str">
            <v>Academy Converters</v>
          </cell>
          <cell r="F3882" t="str">
            <v>Primary</v>
          </cell>
        </row>
        <row r="3883">
          <cell r="A3883">
            <v>3807024</v>
          </cell>
          <cell r="B3883">
            <v>107471</v>
          </cell>
          <cell r="C3883" t="str">
            <v>Branshaw School</v>
          </cell>
          <cell r="D3883" t="str">
            <v>Bradford</v>
          </cell>
          <cell r="E3883" t="str">
            <v>Community Special School</v>
          </cell>
          <cell r="F3883" t="str">
            <v>Special</v>
          </cell>
        </row>
        <row r="3884">
          <cell r="A3884">
            <v>9204305</v>
          </cell>
          <cell r="B3884">
            <v>129289</v>
          </cell>
          <cell r="C3884" t="str">
            <v>Bransholme High School</v>
          </cell>
          <cell r="D3884" t="str">
            <v>Pre LGR (1996) Humberside</v>
          </cell>
          <cell r="E3884" t="str">
            <v>Community School</v>
          </cell>
          <cell r="F3884" t="str">
            <v>Secondary</v>
          </cell>
        </row>
        <row r="3885">
          <cell r="A3885">
            <v>9255418</v>
          </cell>
          <cell r="B3885">
            <v>136358</v>
          </cell>
          <cell r="C3885" t="str">
            <v>Branston Community Academy</v>
          </cell>
          <cell r="D3885" t="str">
            <v>Lincolnshire</v>
          </cell>
          <cell r="E3885" t="str">
            <v>Academy Converters</v>
          </cell>
          <cell r="F3885" t="str">
            <v>Secondary</v>
          </cell>
        </row>
        <row r="3886">
          <cell r="A3886">
            <v>9255418</v>
          </cell>
          <cell r="B3886">
            <v>120714</v>
          </cell>
          <cell r="C3886" t="str">
            <v>Branston Community College</v>
          </cell>
          <cell r="D3886" t="str">
            <v>Lincolnshire</v>
          </cell>
          <cell r="E3886" t="str">
            <v>Foundation School</v>
          </cell>
          <cell r="F3886" t="str">
            <v>Secondary</v>
          </cell>
        </row>
        <row r="3887">
          <cell r="A3887">
            <v>9252074</v>
          </cell>
          <cell r="B3887">
            <v>120403</v>
          </cell>
          <cell r="C3887" t="str">
            <v>Branston Junior School</v>
          </cell>
          <cell r="D3887" t="str">
            <v>Lincolnshire</v>
          </cell>
          <cell r="E3887" t="str">
            <v>Community School</v>
          </cell>
          <cell r="F3887" t="str">
            <v>Primary</v>
          </cell>
        </row>
        <row r="3888">
          <cell r="A3888">
            <v>9092228</v>
          </cell>
          <cell r="B3888">
            <v>112167</v>
          </cell>
          <cell r="C3888" t="str">
            <v>Bransty Primary School</v>
          </cell>
          <cell r="D3888" t="str">
            <v>Cumbria</v>
          </cell>
          <cell r="E3888" t="str">
            <v>Community School</v>
          </cell>
          <cell r="F3888" t="str">
            <v>Primary</v>
          </cell>
        </row>
        <row r="3889">
          <cell r="A3889">
            <v>9253163</v>
          </cell>
          <cell r="B3889">
            <v>120594</v>
          </cell>
          <cell r="C3889" t="str">
            <v>Brant Broughton Church of England and Methodist Primary School</v>
          </cell>
          <cell r="D3889" t="str">
            <v>Lincolnshire</v>
          </cell>
          <cell r="E3889" t="str">
            <v>Voluntary Controlled School</v>
          </cell>
          <cell r="F3889" t="str">
            <v>Primary</v>
          </cell>
        </row>
        <row r="3890">
          <cell r="A3890">
            <v>9292053</v>
          </cell>
          <cell r="B3890">
            <v>122188</v>
          </cell>
          <cell r="C3890" t="str">
            <v>Branton Community First School</v>
          </cell>
          <cell r="D3890" t="str">
            <v>Northumberland</v>
          </cell>
          <cell r="E3890" t="str">
            <v>Community School</v>
          </cell>
          <cell r="F3890" t="str">
            <v>Primary</v>
          </cell>
        </row>
        <row r="3891">
          <cell r="A3891">
            <v>3713312</v>
          </cell>
          <cell r="B3891">
            <v>106767</v>
          </cell>
          <cell r="C3891" t="str">
            <v>Branton St Wilfrid's Church of England Primary School</v>
          </cell>
          <cell r="D3891" t="str">
            <v>Doncaster</v>
          </cell>
          <cell r="E3891" t="str">
            <v>Voluntary Aided School</v>
          </cell>
          <cell r="F3891" t="str">
            <v>Primary</v>
          </cell>
        </row>
        <row r="3892">
          <cell r="A3892">
            <v>2037196</v>
          </cell>
          <cell r="B3892">
            <v>100209</v>
          </cell>
          <cell r="C3892" t="str">
            <v>Brantridge School</v>
          </cell>
          <cell r="D3892" t="str">
            <v>Greenwich</v>
          </cell>
          <cell r="E3892" t="str">
            <v>Community Special School</v>
          </cell>
          <cell r="F3892" t="str">
            <v>Special</v>
          </cell>
        </row>
        <row r="3893">
          <cell r="A3893">
            <v>9387019</v>
          </cell>
          <cell r="B3893">
            <v>134063</v>
          </cell>
          <cell r="C3893" t="str">
            <v>Brantridge School</v>
          </cell>
          <cell r="D3893" t="str">
            <v>West Sussex</v>
          </cell>
          <cell r="E3893" t="str">
            <v>Non-Maintained Special School</v>
          </cell>
          <cell r="F3893" t="str">
            <v>Special</v>
          </cell>
        </row>
        <row r="3894">
          <cell r="A3894">
            <v>3736010</v>
          </cell>
          <cell r="B3894">
            <v>107164</v>
          </cell>
          <cell r="C3894" t="str">
            <v>Brantwood School</v>
          </cell>
          <cell r="D3894" t="str">
            <v>Sheffield</v>
          </cell>
          <cell r="E3894" t="str">
            <v>Other Independent School</v>
          </cell>
          <cell r="F3894" t="str">
            <v>Not applicable</v>
          </cell>
        </row>
        <row r="3895">
          <cell r="A3895">
            <v>3736002</v>
          </cell>
          <cell r="B3895">
            <v>136936</v>
          </cell>
          <cell r="C3895" t="str">
            <v>Brantwood Specialist School</v>
          </cell>
          <cell r="D3895" t="str">
            <v>Sheffield</v>
          </cell>
          <cell r="E3895" t="str">
            <v>Other Independent Special School</v>
          </cell>
          <cell r="F3895" t="str">
            <v>Not applicable</v>
          </cell>
        </row>
        <row r="3896">
          <cell r="A3896">
            <v>3556004</v>
          </cell>
          <cell r="B3896">
            <v>105991</v>
          </cell>
          <cell r="C3896" t="str">
            <v>Branwood Preparatory School</v>
          </cell>
          <cell r="D3896" t="str">
            <v>Salford</v>
          </cell>
          <cell r="E3896" t="str">
            <v>Other Independent School</v>
          </cell>
          <cell r="F3896" t="str">
            <v>Not applicable</v>
          </cell>
        </row>
        <row r="3897">
          <cell r="A3897">
            <v>3332111</v>
          </cell>
          <cell r="B3897">
            <v>103935</v>
          </cell>
          <cell r="C3897" t="str">
            <v>Brasshouse Infant School</v>
          </cell>
          <cell r="D3897" t="str">
            <v>Sandwell</v>
          </cell>
          <cell r="E3897" t="str">
            <v>Community School</v>
          </cell>
          <cell r="F3897" t="str">
            <v>Primary</v>
          </cell>
        </row>
        <row r="3898">
          <cell r="A3898">
            <v>8302052</v>
          </cell>
          <cell r="B3898">
            <v>112515</v>
          </cell>
          <cell r="C3898" t="str">
            <v>Brassington Primary School</v>
          </cell>
          <cell r="D3898" t="str">
            <v>Derbyshire</v>
          </cell>
          <cell r="E3898" t="str">
            <v>Community School</v>
          </cell>
          <cell r="F3898" t="str">
            <v>Primary</v>
          </cell>
        </row>
        <row r="3899">
          <cell r="A3899">
            <v>9223024</v>
          </cell>
          <cell r="B3899">
            <v>129396</v>
          </cell>
          <cell r="C3899" t="str">
            <v>Brasted CofE Primary School</v>
          </cell>
          <cell r="D3899" t="str">
            <v>Pre LGR (1998) Kent</v>
          </cell>
          <cell r="E3899" t="str">
            <v>Voluntary Controlled School</v>
          </cell>
          <cell r="F3899" t="str">
            <v>Primary</v>
          </cell>
        </row>
        <row r="3900">
          <cell r="A3900">
            <v>8782214</v>
          </cell>
          <cell r="B3900">
            <v>113137</v>
          </cell>
          <cell r="C3900" t="str">
            <v>Bratton Fleming Community Primary School</v>
          </cell>
          <cell r="D3900" t="str">
            <v>Devon</v>
          </cell>
          <cell r="E3900" t="str">
            <v>Community School</v>
          </cell>
          <cell r="F3900" t="str">
            <v>Primary</v>
          </cell>
        </row>
        <row r="3901">
          <cell r="A3901">
            <v>8652009</v>
          </cell>
          <cell r="B3901">
            <v>126178</v>
          </cell>
          <cell r="C3901" t="str">
            <v>Bratton Primary School</v>
          </cell>
          <cell r="D3901" t="str">
            <v>Wiltshire</v>
          </cell>
          <cell r="E3901" t="str">
            <v>Community School</v>
          </cell>
          <cell r="F3901" t="str">
            <v>Primary</v>
          </cell>
        </row>
        <row r="3902">
          <cell r="A3902">
            <v>9283011</v>
          </cell>
          <cell r="B3902">
            <v>121963</v>
          </cell>
          <cell r="C3902" t="str">
            <v>Braunston Church of England Primary School</v>
          </cell>
          <cell r="D3902" t="str">
            <v>Northamptonshire</v>
          </cell>
          <cell r="E3902" t="str">
            <v>Voluntary Controlled School</v>
          </cell>
          <cell r="F3902" t="str">
            <v>Primary</v>
          </cell>
        </row>
        <row r="3903">
          <cell r="A3903">
            <v>8563434</v>
          </cell>
          <cell r="B3903">
            <v>128085</v>
          </cell>
          <cell r="C3903" t="str">
            <v>Braunstone Community Primary School</v>
          </cell>
          <cell r="D3903" t="str">
            <v>Leicester</v>
          </cell>
          <cell r="E3903" t="str">
            <v>Community School</v>
          </cell>
          <cell r="F3903" t="str">
            <v>Primary</v>
          </cell>
        </row>
        <row r="3904">
          <cell r="A3904">
            <v>8562287</v>
          </cell>
          <cell r="B3904">
            <v>120031</v>
          </cell>
          <cell r="C3904" t="str">
            <v>Braunstone Frith Infant School</v>
          </cell>
          <cell r="D3904" t="str">
            <v>Leicester</v>
          </cell>
          <cell r="E3904" t="str">
            <v>Community School</v>
          </cell>
          <cell r="F3904" t="str">
            <v>Primary</v>
          </cell>
        </row>
        <row r="3905">
          <cell r="A3905">
            <v>8562286</v>
          </cell>
          <cell r="B3905">
            <v>120030</v>
          </cell>
          <cell r="C3905" t="str">
            <v>Braunstone Frith Junior School</v>
          </cell>
          <cell r="D3905" t="str">
            <v>Leicester</v>
          </cell>
          <cell r="E3905" t="str">
            <v>Community School</v>
          </cell>
          <cell r="F3905" t="str">
            <v>Primary</v>
          </cell>
        </row>
        <row r="3906">
          <cell r="A3906">
            <v>8784053</v>
          </cell>
          <cell r="B3906">
            <v>113508</v>
          </cell>
          <cell r="C3906" t="str">
            <v>Braunton School and Community College</v>
          </cell>
          <cell r="D3906" t="str">
            <v>Devon</v>
          </cell>
          <cell r="E3906" t="str">
            <v>Community School</v>
          </cell>
          <cell r="F3906" t="str">
            <v>Secondary</v>
          </cell>
        </row>
        <row r="3907">
          <cell r="A3907">
            <v>3361100</v>
          </cell>
          <cell r="B3907">
            <v>104287</v>
          </cell>
          <cell r="C3907" t="str">
            <v>Braybrook Centre</v>
          </cell>
          <cell r="D3907" t="str">
            <v>Wolverhampton</v>
          </cell>
          <cell r="E3907" t="str">
            <v>Pupil Referral Unit</v>
          </cell>
          <cell r="F3907" t="str">
            <v>PRU</v>
          </cell>
        </row>
        <row r="3908">
          <cell r="A3908">
            <v>8742296</v>
          </cell>
          <cell r="B3908">
            <v>110735</v>
          </cell>
          <cell r="C3908" t="str">
            <v>Braybrook Primary School</v>
          </cell>
          <cell r="D3908" t="str">
            <v>Peterborough</v>
          </cell>
          <cell r="E3908" t="str">
            <v>Community School</v>
          </cell>
          <cell r="F3908" t="str">
            <v>Primary</v>
          </cell>
        </row>
        <row r="3909">
          <cell r="A3909">
            <v>9282005</v>
          </cell>
          <cell r="B3909">
            <v>121797</v>
          </cell>
          <cell r="C3909" t="str">
            <v>Braybrooke Primary School</v>
          </cell>
          <cell r="D3909" t="str">
            <v>Northamptonshire</v>
          </cell>
          <cell r="E3909" t="str">
            <v>Community School</v>
          </cell>
          <cell r="F3909" t="str">
            <v>Primary</v>
          </cell>
        </row>
        <row r="3910">
          <cell r="A3910">
            <v>8782230</v>
          </cell>
          <cell r="B3910">
            <v>113153</v>
          </cell>
          <cell r="C3910" t="str">
            <v>Brayford Primary School</v>
          </cell>
          <cell r="D3910" t="str">
            <v>Devon</v>
          </cell>
          <cell r="E3910" t="str">
            <v>Community School</v>
          </cell>
          <cell r="F3910" t="str">
            <v>Primary</v>
          </cell>
        </row>
        <row r="3911">
          <cell r="A3911">
            <v>3307038</v>
          </cell>
          <cell r="B3911">
            <v>103618</v>
          </cell>
          <cell r="C3911" t="str">
            <v>Brays School</v>
          </cell>
          <cell r="D3911" t="str">
            <v>Birmingham</v>
          </cell>
          <cell r="E3911" t="str">
            <v>Community Special School</v>
          </cell>
          <cell r="F3911" t="str">
            <v>Special</v>
          </cell>
        </row>
        <row r="3912">
          <cell r="A3912">
            <v>8153231</v>
          </cell>
          <cell r="B3912">
            <v>121554</v>
          </cell>
          <cell r="C3912" t="str">
            <v>Brayton Church of England Voluntary Controlled Infant School</v>
          </cell>
          <cell r="D3912" t="str">
            <v>North Yorkshire</v>
          </cell>
          <cell r="E3912" t="str">
            <v>Voluntary Controlled School</v>
          </cell>
          <cell r="F3912" t="str">
            <v>Primary</v>
          </cell>
        </row>
        <row r="3913">
          <cell r="A3913">
            <v>8152379</v>
          </cell>
          <cell r="B3913">
            <v>121434</v>
          </cell>
          <cell r="C3913" t="str">
            <v>Brayton Community Junior School</v>
          </cell>
          <cell r="D3913" t="str">
            <v>North Yorkshire</v>
          </cell>
          <cell r="E3913" t="str">
            <v>Community School</v>
          </cell>
          <cell r="F3913" t="str">
            <v>Primary</v>
          </cell>
        </row>
        <row r="3914">
          <cell r="A3914">
            <v>8154224</v>
          </cell>
          <cell r="B3914">
            <v>121701</v>
          </cell>
          <cell r="C3914" t="str">
            <v>Brayton High School</v>
          </cell>
          <cell r="D3914" t="str">
            <v>North Yorkshire</v>
          </cell>
          <cell r="E3914" t="str">
            <v>Community School</v>
          </cell>
          <cell r="F3914" t="str">
            <v>Secondary</v>
          </cell>
        </row>
        <row r="3915">
          <cell r="A3915">
            <v>8683011</v>
          </cell>
          <cell r="B3915">
            <v>109952</v>
          </cell>
          <cell r="C3915" t="str">
            <v>Braywood CofE First School</v>
          </cell>
          <cell r="D3915" t="str">
            <v>Windsor and Maidenhead</v>
          </cell>
          <cell r="E3915" t="str">
            <v>Voluntary Controlled School</v>
          </cell>
          <cell r="F3915" t="str">
            <v>Primary</v>
          </cell>
        </row>
        <row r="3916">
          <cell r="A3916">
            <v>9192064</v>
          </cell>
          <cell r="B3916">
            <v>117119</v>
          </cell>
          <cell r="C3916" t="str">
            <v>Breachwood Green Junior Mixed and Infant School</v>
          </cell>
          <cell r="D3916" t="str">
            <v>Hertfordshire</v>
          </cell>
          <cell r="E3916" t="str">
            <v>Community School</v>
          </cell>
          <cell r="F3916" t="str">
            <v>Primary</v>
          </cell>
        </row>
        <row r="3917">
          <cell r="A3917">
            <v>8303018</v>
          </cell>
          <cell r="B3917">
            <v>112805</v>
          </cell>
          <cell r="C3917" t="str">
            <v>Breadsall CofE VC Primary School</v>
          </cell>
          <cell r="D3917" t="str">
            <v>Derbyshire</v>
          </cell>
          <cell r="E3917" t="str">
            <v>Voluntary Controlled School</v>
          </cell>
          <cell r="F3917" t="str">
            <v>Primary</v>
          </cell>
        </row>
        <row r="3918">
          <cell r="A3918">
            <v>8312446</v>
          </cell>
          <cell r="B3918">
            <v>112746</v>
          </cell>
          <cell r="C3918" t="str">
            <v>Breadsall Hill Top Infant &amp; Nursery School</v>
          </cell>
          <cell r="D3918" t="str">
            <v>Derby</v>
          </cell>
          <cell r="E3918" t="str">
            <v>Community School</v>
          </cell>
          <cell r="F3918" t="str">
            <v>Primary</v>
          </cell>
        </row>
        <row r="3919">
          <cell r="A3919">
            <v>8312447</v>
          </cell>
          <cell r="B3919">
            <v>112747</v>
          </cell>
          <cell r="C3919" t="str">
            <v>Breadsall Hill Top Junior School</v>
          </cell>
          <cell r="D3919" t="str">
            <v>Derby</v>
          </cell>
          <cell r="E3919" t="str">
            <v>Community School</v>
          </cell>
          <cell r="F3919" t="str">
            <v>Primary</v>
          </cell>
        </row>
        <row r="3920">
          <cell r="A3920">
            <v>8301109</v>
          </cell>
          <cell r="B3920">
            <v>133762</v>
          </cell>
          <cell r="C3920" t="str">
            <v>Breadsall Support Centre</v>
          </cell>
          <cell r="D3920" t="str">
            <v>Derbyshire</v>
          </cell>
          <cell r="E3920" t="str">
            <v>Pupil Referral Unit</v>
          </cell>
          <cell r="F3920" t="str">
            <v>PRU</v>
          </cell>
        </row>
        <row r="3921">
          <cell r="A3921">
            <v>9083381</v>
          </cell>
          <cell r="B3921">
            <v>112000</v>
          </cell>
          <cell r="C3921" t="str">
            <v>Breage Church of England School</v>
          </cell>
          <cell r="D3921" t="str">
            <v>Cornwall</v>
          </cell>
          <cell r="E3921" t="str">
            <v>Voluntary Aided School</v>
          </cell>
          <cell r="F3921" t="str">
            <v>Primary</v>
          </cell>
        </row>
        <row r="3922">
          <cell r="A3922">
            <v>3122068</v>
          </cell>
          <cell r="B3922">
            <v>102410</v>
          </cell>
          <cell r="C3922" t="str">
            <v>Breakspear Infant and Nursery School</v>
          </cell>
          <cell r="D3922" t="str">
            <v>Hillingdon</v>
          </cell>
          <cell r="E3922" t="str">
            <v>Community School</v>
          </cell>
          <cell r="F3922" t="str">
            <v>Primary</v>
          </cell>
        </row>
        <row r="3923">
          <cell r="A3923">
            <v>3122004</v>
          </cell>
          <cell r="B3923">
            <v>102369</v>
          </cell>
          <cell r="C3923" t="str">
            <v>Breakspear Junior School</v>
          </cell>
          <cell r="D3923" t="str">
            <v>Hillingdon</v>
          </cell>
          <cell r="E3923" t="str">
            <v>Community School</v>
          </cell>
          <cell r="F3923" t="str">
            <v>Primary</v>
          </cell>
        </row>
        <row r="3924">
          <cell r="A3924">
            <v>9197024</v>
          </cell>
          <cell r="B3924">
            <v>117681</v>
          </cell>
          <cell r="C3924" t="str">
            <v>Breakspeare School</v>
          </cell>
          <cell r="D3924" t="str">
            <v>Hertfordshire</v>
          </cell>
          <cell r="E3924" t="str">
            <v>Community Special School</v>
          </cell>
          <cell r="F3924" t="str">
            <v>Special</v>
          </cell>
        </row>
        <row r="3925">
          <cell r="A3925">
            <v>9163078</v>
          </cell>
          <cell r="B3925">
            <v>115659</v>
          </cell>
          <cell r="C3925" t="str">
            <v>Bream Church of England Primary School</v>
          </cell>
          <cell r="D3925" t="str">
            <v>Gloucestershire</v>
          </cell>
          <cell r="E3925" t="str">
            <v>Voluntary Controlled School</v>
          </cell>
          <cell r="F3925" t="str">
            <v>Primary</v>
          </cell>
        </row>
        <row r="3926">
          <cell r="A3926">
            <v>8503018</v>
          </cell>
          <cell r="B3926">
            <v>116275</v>
          </cell>
          <cell r="C3926" t="str">
            <v>Breamore Church of England Primary School</v>
          </cell>
          <cell r="D3926" t="str">
            <v>Hampshire</v>
          </cell>
          <cell r="E3926" t="str">
            <v>Voluntary Controlled School</v>
          </cell>
          <cell r="F3926" t="str">
            <v>Primary</v>
          </cell>
        </row>
        <row r="3927">
          <cell r="A3927">
            <v>9372009</v>
          </cell>
          <cell r="B3927">
            <v>130146</v>
          </cell>
          <cell r="C3927" t="str">
            <v>Brearley County Junior and Infant School</v>
          </cell>
          <cell r="D3927" t="str">
            <v>Warwickshire</v>
          </cell>
          <cell r="E3927" t="str">
            <v>Community School</v>
          </cell>
          <cell r="F3927" t="str">
            <v>Primary</v>
          </cell>
        </row>
        <row r="3928">
          <cell r="A3928">
            <v>3301002</v>
          </cell>
          <cell r="B3928">
            <v>103121</v>
          </cell>
          <cell r="C3928" t="str">
            <v>Brearley Nursery School</v>
          </cell>
          <cell r="D3928" t="str">
            <v>Birmingham</v>
          </cell>
          <cell r="E3928" t="str">
            <v>LA Nursery School</v>
          </cell>
          <cell r="F3928" t="str">
            <v>Nursery</v>
          </cell>
        </row>
        <row r="3929">
          <cell r="A3929">
            <v>3056004</v>
          </cell>
          <cell r="B3929">
            <v>101684</v>
          </cell>
          <cell r="C3929" t="str">
            <v>Breaside Preparatory School</v>
          </cell>
          <cell r="D3929" t="str">
            <v>Bromley</v>
          </cell>
          <cell r="E3929" t="str">
            <v>Other Independent School</v>
          </cell>
          <cell r="F3929" t="str">
            <v>Not applicable</v>
          </cell>
        </row>
        <row r="3930">
          <cell r="A3930">
            <v>6692069</v>
          </cell>
          <cell r="B3930">
            <v>400766</v>
          </cell>
          <cell r="C3930" t="str">
            <v>Brechfa Primary School</v>
          </cell>
          <cell r="D3930" t="str">
            <v>Carmarthenshire</v>
          </cell>
          <cell r="E3930" t="str">
            <v>Welsh Establishment</v>
          </cell>
          <cell r="F3930" t="str">
            <v>Primary</v>
          </cell>
        </row>
        <row r="3931">
          <cell r="A3931">
            <v>3904016</v>
          </cell>
          <cell r="B3931">
            <v>108402</v>
          </cell>
          <cell r="C3931" t="str">
            <v>Breckenbeds Junior High School</v>
          </cell>
          <cell r="D3931" t="str">
            <v>Gateshead</v>
          </cell>
          <cell r="E3931" t="str">
            <v>Community School</v>
          </cell>
          <cell r="F3931" t="str">
            <v>Secondary</v>
          </cell>
        </row>
        <row r="3932">
          <cell r="A3932">
            <v>8157002</v>
          </cell>
          <cell r="B3932">
            <v>121765</v>
          </cell>
          <cell r="C3932" t="str">
            <v>Breckenbrough School</v>
          </cell>
          <cell r="D3932" t="str">
            <v>North Yorkshire</v>
          </cell>
          <cell r="E3932" t="str">
            <v>Non-Maintained Special School</v>
          </cell>
          <cell r="F3932" t="str">
            <v>Special</v>
          </cell>
        </row>
        <row r="3933">
          <cell r="A3933">
            <v>3414417</v>
          </cell>
          <cell r="B3933">
            <v>104690</v>
          </cell>
          <cell r="C3933" t="str">
            <v>Breckfield Community Comprehensive School</v>
          </cell>
          <cell r="D3933" t="str">
            <v>Liverpool</v>
          </cell>
          <cell r="E3933" t="str">
            <v>Community School</v>
          </cell>
          <cell r="F3933" t="str">
            <v>Secondary</v>
          </cell>
        </row>
        <row r="3934">
          <cell r="A3934">
            <v>3412023</v>
          </cell>
          <cell r="B3934">
            <v>127256</v>
          </cell>
          <cell r="C3934" t="str">
            <v>Breckfield County Infant School</v>
          </cell>
          <cell r="D3934" t="str">
            <v>Liverpool</v>
          </cell>
          <cell r="E3934" t="str">
            <v>Community School</v>
          </cell>
          <cell r="F3934" t="str">
            <v>Primary</v>
          </cell>
        </row>
        <row r="3935">
          <cell r="A3935">
            <v>3412022</v>
          </cell>
          <cell r="B3935">
            <v>104524</v>
          </cell>
          <cell r="C3935" t="str">
            <v>Breckfield Primary School</v>
          </cell>
          <cell r="D3935" t="str">
            <v>Liverpool</v>
          </cell>
          <cell r="E3935" t="str">
            <v>Community School</v>
          </cell>
          <cell r="F3935" t="str">
            <v>Primary</v>
          </cell>
        </row>
        <row r="3936">
          <cell r="A3936">
            <v>9354014</v>
          </cell>
          <cell r="B3936">
            <v>124793</v>
          </cell>
          <cell r="C3936" t="str">
            <v>Breckland Middle School</v>
          </cell>
          <cell r="D3936" t="str">
            <v>Suffolk</v>
          </cell>
          <cell r="E3936" t="str">
            <v>Community School</v>
          </cell>
          <cell r="F3936" t="str">
            <v>Middle Deemed Secondary</v>
          </cell>
        </row>
        <row r="3937">
          <cell r="A3937">
            <v>9266153</v>
          </cell>
          <cell r="B3937">
            <v>134455</v>
          </cell>
          <cell r="C3937" t="str">
            <v>Breckland Park School</v>
          </cell>
          <cell r="D3937" t="str">
            <v>Norfolk</v>
          </cell>
          <cell r="E3937" t="str">
            <v>Other Independent School</v>
          </cell>
          <cell r="F3937" t="str">
            <v>Not applicable</v>
          </cell>
        </row>
        <row r="3938">
          <cell r="A3938">
            <v>2022065</v>
          </cell>
          <cell r="B3938">
            <v>100010</v>
          </cell>
          <cell r="C3938" t="str">
            <v>Brecknock Primary School</v>
          </cell>
          <cell r="D3938" t="str">
            <v>Camden</v>
          </cell>
          <cell r="E3938" t="str">
            <v>Community School</v>
          </cell>
          <cell r="F3938" t="str">
            <v>Primary</v>
          </cell>
        </row>
        <row r="3939">
          <cell r="A3939">
            <v>8062141</v>
          </cell>
          <cell r="B3939">
            <v>111587</v>
          </cell>
          <cell r="C3939" t="str">
            <v>Breckon Hill Primary School</v>
          </cell>
          <cell r="D3939" t="str">
            <v>Middlesbrough</v>
          </cell>
          <cell r="E3939" t="str">
            <v>Community School</v>
          </cell>
          <cell r="F3939" t="str">
            <v>Primary</v>
          </cell>
        </row>
        <row r="3940">
          <cell r="A3940">
            <v>6664022</v>
          </cell>
          <cell r="B3940">
            <v>401731</v>
          </cell>
          <cell r="C3940" t="str">
            <v>Brecon High School</v>
          </cell>
          <cell r="D3940" t="str">
            <v>Powys</v>
          </cell>
          <cell r="E3940" t="str">
            <v>Welsh Establishment</v>
          </cell>
          <cell r="F3940" t="str">
            <v>Secondary</v>
          </cell>
        </row>
        <row r="3941">
          <cell r="A3941">
            <v>6752005</v>
          </cell>
          <cell r="B3941">
            <v>401271</v>
          </cell>
          <cell r="C3941" t="str">
            <v>Brecon Road Infants School</v>
          </cell>
          <cell r="D3941" t="str">
            <v>Merthyr Tydfil</v>
          </cell>
          <cell r="E3941" t="str">
            <v>Welsh Establishment</v>
          </cell>
          <cell r="F3941" t="str">
            <v>Primary</v>
          </cell>
        </row>
        <row r="3942">
          <cell r="A3942">
            <v>3562109</v>
          </cell>
          <cell r="B3942">
            <v>106095</v>
          </cell>
          <cell r="C3942" t="str">
            <v>Bredbury Green Primary School</v>
          </cell>
          <cell r="D3942" t="str">
            <v>Stockport</v>
          </cell>
          <cell r="E3942" t="str">
            <v>Community School</v>
          </cell>
          <cell r="F3942" t="str">
            <v>Primary</v>
          </cell>
        </row>
        <row r="3943">
          <cell r="A3943">
            <v>3564003</v>
          </cell>
          <cell r="B3943">
            <v>127507</v>
          </cell>
          <cell r="C3943" t="str">
            <v>Bredbury School</v>
          </cell>
          <cell r="D3943" t="str">
            <v>Stockport</v>
          </cell>
          <cell r="E3943" t="str">
            <v>Community School</v>
          </cell>
          <cell r="F3943" t="str">
            <v>Secondary</v>
          </cell>
        </row>
        <row r="3944">
          <cell r="A3944">
            <v>8452054</v>
          </cell>
          <cell r="B3944">
            <v>114389</v>
          </cell>
          <cell r="C3944" t="str">
            <v>Brede Primary School</v>
          </cell>
          <cell r="D3944" t="str">
            <v>East Sussex</v>
          </cell>
          <cell r="E3944" t="str">
            <v>Community School</v>
          </cell>
          <cell r="F3944" t="str">
            <v>Primary</v>
          </cell>
        </row>
        <row r="3945">
          <cell r="A3945">
            <v>8842011</v>
          </cell>
          <cell r="B3945">
            <v>116654</v>
          </cell>
          <cell r="C3945" t="str">
            <v>Bredenbury Primary School</v>
          </cell>
          <cell r="D3945" t="str">
            <v>Herefordshire</v>
          </cell>
          <cell r="E3945" t="str">
            <v>Foundation School</v>
          </cell>
          <cell r="F3945" t="str">
            <v>Primary</v>
          </cell>
        </row>
        <row r="3946">
          <cell r="A3946">
            <v>8863330</v>
          </cell>
          <cell r="B3946">
            <v>118732</v>
          </cell>
          <cell r="C3946" t="str">
            <v>Bredgar Church of England Primary School</v>
          </cell>
          <cell r="D3946" t="str">
            <v>Kent</v>
          </cell>
          <cell r="E3946" t="str">
            <v>Voluntary Aided School</v>
          </cell>
          <cell r="F3946" t="str">
            <v>Primary</v>
          </cell>
        </row>
        <row r="3947">
          <cell r="A3947">
            <v>8863061</v>
          </cell>
          <cell r="B3947">
            <v>118619</v>
          </cell>
          <cell r="C3947" t="str">
            <v>Bredhurst Church of England Voluntary Controlled Primary School</v>
          </cell>
          <cell r="D3947" t="str">
            <v>Kent</v>
          </cell>
          <cell r="E3947" t="str">
            <v>Voluntary Controlled School</v>
          </cell>
          <cell r="F3947" t="str">
            <v>Primary</v>
          </cell>
        </row>
        <row r="3948">
          <cell r="A3948">
            <v>2107064</v>
          </cell>
          <cell r="B3948">
            <v>100874</v>
          </cell>
          <cell r="C3948" t="str">
            <v>Bredinghurst School</v>
          </cell>
          <cell r="D3948" t="str">
            <v>Southwark</v>
          </cell>
          <cell r="E3948" t="str">
            <v>Community Special School</v>
          </cell>
          <cell r="F3948" t="str">
            <v>Special</v>
          </cell>
        </row>
        <row r="3949">
          <cell r="A3949">
            <v>8854400</v>
          </cell>
          <cell r="B3949">
            <v>116956</v>
          </cell>
          <cell r="C3949" t="str">
            <v>Bredon Hill Middle School</v>
          </cell>
          <cell r="D3949" t="str">
            <v>Worcestershire</v>
          </cell>
          <cell r="E3949" t="str">
            <v>Community School</v>
          </cell>
          <cell r="F3949" t="str">
            <v>Middle Deemed Secondary</v>
          </cell>
        </row>
        <row r="3950">
          <cell r="A3950">
            <v>8856023</v>
          </cell>
          <cell r="B3950">
            <v>117032</v>
          </cell>
          <cell r="C3950" t="str">
            <v>Bredon School</v>
          </cell>
          <cell r="D3950" t="str">
            <v>Worcestershire</v>
          </cell>
          <cell r="E3950" t="str">
            <v>Other Independent School</v>
          </cell>
          <cell r="F3950" t="str">
            <v>Not applicable</v>
          </cell>
        </row>
        <row r="3951">
          <cell r="A3951">
            <v>8553016</v>
          </cell>
          <cell r="B3951">
            <v>120119</v>
          </cell>
          <cell r="C3951" t="str">
            <v>Breedon on the Hill St Hardulph's Church of England Primary School</v>
          </cell>
          <cell r="D3951" t="str">
            <v>Leicestershire</v>
          </cell>
          <cell r="E3951" t="str">
            <v>Voluntary Controlled School</v>
          </cell>
          <cell r="F3951" t="str">
            <v>Primary</v>
          </cell>
        </row>
        <row r="3952">
          <cell r="A3952">
            <v>3534014</v>
          </cell>
          <cell r="B3952">
            <v>105731</v>
          </cell>
          <cell r="C3952" t="str">
            <v>Breeze Hill School</v>
          </cell>
          <cell r="D3952" t="str">
            <v>Oldham</v>
          </cell>
          <cell r="E3952" t="str">
            <v>Community School</v>
          </cell>
          <cell r="F3952" t="str">
            <v>Secondary</v>
          </cell>
        </row>
        <row r="3953">
          <cell r="A3953">
            <v>3316001</v>
          </cell>
          <cell r="B3953">
            <v>127126</v>
          </cell>
          <cell r="C3953" t="str">
            <v>Bremond College</v>
          </cell>
          <cell r="D3953" t="str">
            <v>Coventry</v>
          </cell>
          <cell r="E3953" t="str">
            <v>Other Independent School</v>
          </cell>
          <cell r="F3953" t="str">
            <v>Not applicable</v>
          </cell>
        </row>
        <row r="3954">
          <cell r="A3954">
            <v>8863306</v>
          </cell>
          <cell r="B3954">
            <v>118714</v>
          </cell>
          <cell r="C3954" t="str">
            <v>Brenchley and Matfield Church of England Voluntary Aided Primary School</v>
          </cell>
          <cell r="D3954" t="str">
            <v>Kent</v>
          </cell>
          <cell r="E3954" t="str">
            <v>Voluntary Aided School</v>
          </cell>
          <cell r="F3954" t="str">
            <v>Primary</v>
          </cell>
        </row>
        <row r="3955">
          <cell r="A3955">
            <v>3041110</v>
          </cell>
          <cell r="B3955">
            <v>134846</v>
          </cell>
          <cell r="C3955" t="str">
            <v>Brent Education Tuition Service</v>
          </cell>
          <cell r="D3955" t="str">
            <v>Brent</v>
          </cell>
          <cell r="E3955" t="str">
            <v>Pupil Referral Unit</v>
          </cell>
          <cell r="F3955" t="str">
            <v>PRU</v>
          </cell>
        </row>
        <row r="3956">
          <cell r="A3956">
            <v>9333227</v>
          </cell>
          <cell r="B3956">
            <v>123808</v>
          </cell>
          <cell r="C3956" t="str">
            <v>Brent Knoll Church of England Primary School</v>
          </cell>
          <cell r="D3956" t="str">
            <v>Somerset</v>
          </cell>
          <cell r="E3956" t="str">
            <v>Voluntary Controlled School</v>
          </cell>
          <cell r="F3956" t="str">
            <v>Primary</v>
          </cell>
        </row>
        <row r="3957">
          <cell r="A3957">
            <v>2097038</v>
          </cell>
          <cell r="B3957">
            <v>100760</v>
          </cell>
          <cell r="C3957" t="str">
            <v>Brent Knoll School</v>
          </cell>
          <cell r="D3957" t="str">
            <v>Lewisham</v>
          </cell>
          <cell r="E3957" t="str">
            <v>Community Special School</v>
          </cell>
          <cell r="F3957" t="str">
            <v>Special</v>
          </cell>
        </row>
        <row r="3958">
          <cell r="A3958">
            <v>3049900</v>
          </cell>
          <cell r="B3958">
            <v>133158</v>
          </cell>
          <cell r="C3958" t="str">
            <v>Brent KS2 PRU</v>
          </cell>
          <cell r="D3958" t="str">
            <v>Brent</v>
          </cell>
          <cell r="E3958" t="str">
            <v>Miscellaneous</v>
          </cell>
          <cell r="F3958" t="str">
            <v>Not applicable</v>
          </cell>
        </row>
        <row r="3959">
          <cell r="A3959">
            <v>3041106</v>
          </cell>
          <cell r="B3959">
            <v>133988</v>
          </cell>
          <cell r="C3959" t="str">
            <v>Brent Tuition Centre</v>
          </cell>
          <cell r="D3959" t="str">
            <v>Brent</v>
          </cell>
          <cell r="E3959" t="str">
            <v>Pupil Referral Unit</v>
          </cell>
          <cell r="F3959" t="str">
            <v>PRU</v>
          </cell>
        </row>
        <row r="3960">
          <cell r="A3960">
            <v>3042003</v>
          </cell>
          <cell r="B3960">
            <v>101496</v>
          </cell>
          <cell r="C3960" t="str">
            <v>Brentfield Primary School</v>
          </cell>
          <cell r="D3960" t="str">
            <v>Brent</v>
          </cell>
          <cell r="E3960" t="str">
            <v>Community School</v>
          </cell>
          <cell r="F3960" t="str">
            <v>Primary</v>
          </cell>
        </row>
        <row r="3961">
          <cell r="A3961">
            <v>3134024</v>
          </cell>
          <cell r="B3961">
            <v>102536</v>
          </cell>
          <cell r="C3961" t="str">
            <v>Brentford School for Girls</v>
          </cell>
          <cell r="D3961" t="str">
            <v>Hounslow</v>
          </cell>
          <cell r="E3961" t="str">
            <v>Community School</v>
          </cell>
          <cell r="F3961" t="str">
            <v>Secondary</v>
          </cell>
        </row>
        <row r="3962">
          <cell r="A3962">
            <v>3552036</v>
          </cell>
          <cell r="B3962">
            <v>105893</v>
          </cell>
          <cell r="C3962" t="str">
            <v>Brentnall Primary School</v>
          </cell>
          <cell r="D3962" t="str">
            <v>Salford</v>
          </cell>
          <cell r="E3962" t="str">
            <v>Community School</v>
          </cell>
          <cell r="F3962" t="str">
            <v>Primary</v>
          </cell>
        </row>
        <row r="3963">
          <cell r="A3963">
            <v>8012109</v>
          </cell>
          <cell r="B3963">
            <v>108980</v>
          </cell>
          <cell r="C3963" t="str">
            <v>Brentry Primary School</v>
          </cell>
          <cell r="D3963" t="str">
            <v>Bristol City of</v>
          </cell>
          <cell r="E3963" t="str">
            <v>Community School</v>
          </cell>
          <cell r="F3963" t="str">
            <v>Primary</v>
          </cell>
        </row>
        <row r="3964">
          <cell r="A3964">
            <v>8866083</v>
          </cell>
          <cell r="B3964">
            <v>131762</v>
          </cell>
          <cell r="C3964" t="str">
            <v>Brents TEC</v>
          </cell>
          <cell r="D3964" t="str">
            <v>Kent</v>
          </cell>
          <cell r="E3964" t="str">
            <v>Other Independent School</v>
          </cell>
          <cell r="F3964" t="str">
            <v>Not applicable</v>
          </cell>
        </row>
        <row r="3965">
          <cell r="A3965">
            <v>3072009</v>
          </cell>
          <cell r="B3965">
            <v>126826</v>
          </cell>
          <cell r="C3965" t="str">
            <v>Brentside First School</v>
          </cell>
          <cell r="D3965" t="str">
            <v>Ealing</v>
          </cell>
          <cell r="E3965" t="str">
            <v>Community School</v>
          </cell>
          <cell r="F3965" t="str">
            <v>Primary</v>
          </cell>
        </row>
        <row r="3966">
          <cell r="A3966">
            <v>3075400</v>
          </cell>
          <cell r="B3966">
            <v>101939</v>
          </cell>
          <cell r="C3966" t="str">
            <v>Brentside High School</v>
          </cell>
          <cell r="D3966" t="str">
            <v>Ealing</v>
          </cell>
          <cell r="E3966" t="str">
            <v>Foundation School</v>
          </cell>
          <cell r="F3966" t="str">
            <v>Secondary</v>
          </cell>
        </row>
        <row r="3967">
          <cell r="A3967">
            <v>3072007</v>
          </cell>
          <cell r="B3967">
            <v>126825</v>
          </cell>
          <cell r="C3967" t="str">
            <v>Brentside Middle School</v>
          </cell>
          <cell r="D3967" t="str">
            <v>Ealing</v>
          </cell>
          <cell r="E3967" t="str">
            <v>Community School</v>
          </cell>
          <cell r="F3967" t="str">
            <v>Middle Deemed Primary</v>
          </cell>
        </row>
        <row r="3968">
          <cell r="A3968">
            <v>3072185</v>
          </cell>
          <cell r="B3968">
            <v>101915</v>
          </cell>
          <cell r="C3968" t="str">
            <v>Brentside Primary School</v>
          </cell>
          <cell r="D3968" t="str">
            <v>Ealing</v>
          </cell>
          <cell r="E3968" t="str">
            <v>Foundation School</v>
          </cell>
          <cell r="F3968" t="str">
            <v>Primary</v>
          </cell>
        </row>
        <row r="3969">
          <cell r="A3969">
            <v>8815459</v>
          </cell>
          <cell r="B3969">
            <v>115375</v>
          </cell>
          <cell r="C3969" t="str">
            <v>Brentwood County High School</v>
          </cell>
          <cell r="D3969" t="str">
            <v>Essex</v>
          </cell>
          <cell r="E3969" t="str">
            <v>Foundation School</v>
          </cell>
          <cell r="F3969" t="str">
            <v>Secondary</v>
          </cell>
        </row>
        <row r="3970">
          <cell r="A3970">
            <v>3441000</v>
          </cell>
          <cell r="B3970">
            <v>104984</v>
          </cell>
          <cell r="C3970" t="str">
            <v>Brentwood Nursery School</v>
          </cell>
          <cell r="D3970" t="str">
            <v>Wirral</v>
          </cell>
          <cell r="E3970" t="str">
            <v>LA Nursery School</v>
          </cell>
          <cell r="F3970" t="str">
            <v>Nursery</v>
          </cell>
        </row>
        <row r="3971">
          <cell r="A3971">
            <v>3587001</v>
          </cell>
          <cell r="B3971">
            <v>106391</v>
          </cell>
          <cell r="C3971" t="str">
            <v>Brentwood School</v>
          </cell>
          <cell r="D3971" t="str">
            <v>Trafford</v>
          </cell>
          <cell r="E3971" t="str">
            <v>Community Special School</v>
          </cell>
          <cell r="F3971" t="str">
            <v>Special</v>
          </cell>
        </row>
        <row r="3972">
          <cell r="A3972">
            <v>8816035</v>
          </cell>
          <cell r="B3972">
            <v>115429</v>
          </cell>
          <cell r="C3972" t="str">
            <v>Brentwood School</v>
          </cell>
          <cell r="D3972" t="str">
            <v>Essex</v>
          </cell>
          <cell r="E3972" t="str">
            <v>Other Independent School</v>
          </cell>
          <cell r="F3972" t="str">
            <v>Not applicable</v>
          </cell>
        </row>
        <row r="3973">
          <cell r="A3973">
            <v>8815461</v>
          </cell>
          <cell r="B3973">
            <v>115377</v>
          </cell>
          <cell r="C3973" t="str">
            <v>Brentwood Ursuline Convent High School</v>
          </cell>
          <cell r="D3973" t="str">
            <v>Essex</v>
          </cell>
          <cell r="E3973" t="str">
            <v>Voluntary Aided School</v>
          </cell>
          <cell r="F3973" t="str">
            <v>Secondary</v>
          </cell>
        </row>
        <row r="3974">
          <cell r="A3974">
            <v>8863200</v>
          </cell>
          <cell r="B3974">
            <v>118703</v>
          </cell>
          <cell r="C3974" t="str">
            <v>Brenzett Church of England Primary School</v>
          </cell>
          <cell r="D3974" t="str">
            <v>Kent</v>
          </cell>
          <cell r="E3974" t="str">
            <v>Voluntary Controlled School</v>
          </cell>
          <cell r="F3974" t="str">
            <v>Primary</v>
          </cell>
        </row>
        <row r="3975">
          <cell r="A3975">
            <v>8953527</v>
          </cell>
          <cell r="B3975">
            <v>111332</v>
          </cell>
          <cell r="C3975" t="str">
            <v>Brereton CofE Primary School</v>
          </cell>
          <cell r="D3975" t="str">
            <v>Cheshire East</v>
          </cell>
          <cell r="E3975" t="str">
            <v>Voluntary Aided School</v>
          </cell>
          <cell r="F3975" t="str">
            <v>Primary</v>
          </cell>
        </row>
        <row r="3976">
          <cell r="A3976">
            <v>9066041</v>
          </cell>
          <cell r="B3976">
            <v>128478</v>
          </cell>
          <cell r="C3976" t="str">
            <v>Brereton Hall School</v>
          </cell>
          <cell r="D3976" t="str">
            <v>Pre LGR (1998) Cheshire</v>
          </cell>
          <cell r="E3976" t="str">
            <v>Other Independent School</v>
          </cell>
          <cell r="F3976" t="str">
            <v>Not applicable</v>
          </cell>
        </row>
        <row r="3977">
          <cell r="A3977">
            <v>9262021</v>
          </cell>
          <cell r="B3977">
            <v>120789</v>
          </cell>
          <cell r="C3977" t="str">
            <v>Bressingham Primary School</v>
          </cell>
          <cell r="D3977" t="str">
            <v>Norfolk</v>
          </cell>
          <cell r="E3977" t="str">
            <v>Community School</v>
          </cell>
          <cell r="F3977" t="str">
            <v>Primary</v>
          </cell>
        </row>
        <row r="3978">
          <cell r="A3978">
            <v>3146051</v>
          </cell>
          <cell r="B3978">
            <v>102613</v>
          </cell>
          <cell r="C3978" t="str">
            <v>Bretby House School</v>
          </cell>
          <cell r="D3978" t="str">
            <v>Kingston upon Thames</v>
          </cell>
          <cell r="E3978" t="str">
            <v>Other Independent School</v>
          </cell>
          <cell r="F3978" t="str">
            <v>Not applicable</v>
          </cell>
        </row>
        <row r="3979">
          <cell r="A3979">
            <v>8852012</v>
          </cell>
          <cell r="B3979">
            <v>116655</v>
          </cell>
          <cell r="C3979" t="str">
            <v>Bretforton First School</v>
          </cell>
          <cell r="D3979" t="str">
            <v>Worcestershire</v>
          </cell>
          <cell r="E3979" t="str">
            <v>Community School</v>
          </cell>
          <cell r="F3979" t="str">
            <v>Primary</v>
          </cell>
        </row>
        <row r="3980">
          <cell r="A3980">
            <v>8883386</v>
          </cell>
          <cell r="B3980">
            <v>119461</v>
          </cell>
          <cell r="C3980" t="str">
            <v>Bretherton Endowed Church of England Voluntary Aided Primary School</v>
          </cell>
          <cell r="D3980" t="str">
            <v>Lancashire</v>
          </cell>
          <cell r="E3980" t="str">
            <v>Voluntary Aided School</v>
          </cell>
          <cell r="F3980" t="str">
            <v>Primary</v>
          </cell>
        </row>
        <row r="3981">
          <cell r="A3981">
            <v>3082004</v>
          </cell>
          <cell r="B3981">
            <v>101978</v>
          </cell>
          <cell r="C3981" t="str">
            <v>Brettenham Infant School</v>
          </cell>
          <cell r="D3981" t="str">
            <v>Enfield</v>
          </cell>
          <cell r="E3981" t="str">
            <v>Community School</v>
          </cell>
          <cell r="F3981" t="str">
            <v>Primary</v>
          </cell>
        </row>
        <row r="3982">
          <cell r="A3982">
            <v>3082003</v>
          </cell>
          <cell r="B3982">
            <v>101977</v>
          </cell>
          <cell r="C3982" t="str">
            <v>Brettenham Junior School</v>
          </cell>
          <cell r="D3982" t="str">
            <v>Enfield</v>
          </cell>
          <cell r="E3982" t="str">
            <v>Community School</v>
          </cell>
          <cell r="F3982" t="str">
            <v>Primary</v>
          </cell>
        </row>
        <row r="3983">
          <cell r="A3983">
            <v>3082086</v>
          </cell>
          <cell r="B3983">
            <v>130933</v>
          </cell>
          <cell r="C3983" t="str">
            <v>Brettenham Primary School</v>
          </cell>
          <cell r="D3983" t="str">
            <v>Enfield</v>
          </cell>
          <cell r="E3983" t="str">
            <v>Community School</v>
          </cell>
          <cell r="F3983" t="str">
            <v>Primary</v>
          </cell>
        </row>
        <row r="3984">
          <cell r="A3984">
            <v>8744079</v>
          </cell>
          <cell r="B3984">
            <v>110880</v>
          </cell>
          <cell r="C3984" t="str">
            <v>Bretton Woods Community School</v>
          </cell>
          <cell r="D3984" t="str">
            <v>Peterborough</v>
          </cell>
          <cell r="E3984" t="str">
            <v>Community School</v>
          </cell>
          <cell r="F3984" t="str">
            <v>Secondary</v>
          </cell>
        </row>
        <row r="3985">
          <cell r="A3985">
            <v>8234046</v>
          </cell>
          <cell r="B3985">
            <v>109659</v>
          </cell>
          <cell r="C3985" t="str">
            <v>Brewers Hill Middle School</v>
          </cell>
          <cell r="D3985" t="str">
            <v>Central Bedfordshire</v>
          </cell>
          <cell r="E3985" t="str">
            <v>Community School</v>
          </cell>
          <cell r="F3985" t="str">
            <v>Middle Deemed Secondary</v>
          </cell>
        </row>
        <row r="3986">
          <cell r="A3986">
            <v>8604516</v>
          </cell>
          <cell r="B3986">
            <v>124452</v>
          </cell>
          <cell r="C3986" t="str">
            <v>Brewood CofE (C) Middle School</v>
          </cell>
          <cell r="D3986" t="str">
            <v>Staffordshire</v>
          </cell>
          <cell r="E3986" t="str">
            <v>Voluntary Controlled School</v>
          </cell>
          <cell r="F3986" t="str">
            <v>Middle Deemed Secondary</v>
          </cell>
        </row>
        <row r="3987">
          <cell r="A3987">
            <v>8866070</v>
          </cell>
          <cell r="B3987">
            <v>119021</v>
          </cell>
          <cell r="C3987" t="str">
            <v>Brewood Secondary School</v>
          </cell>
          <cell r="D3987" t="str">
            <v>Kent</v>
          </cell>
          <cell r="E3987" t="str">
            <v>Other Independent Special School</v>
          </cell>
          <cell r="F3987" t="str">
            <v>Not applicable</v>
          </cell>
        </row>
        <row r="3988">
          <cell r="A3988">
            <v>8742269</v>
          </cell>
          <cell r="B3988">
            <v>110722</v>
          </cell>
          <cell r="C3988" t="str">
            <v>Brewster Avenue Infant School</v>
          </cell>
          <cell r="D3988" t="str">
            <v>Peterborough</v>
          </cell>
          <cell r="E3988" t="str">
            <v>Community School</v>
          </cell>
          <cell r="F3988" t="str">
            <v>Primary</v>
          </cell>
        </row>
        <row r="3989">
          <cell r="A3989">
            <v>9263149</v>
          </cell>
          <cell r="B3989">
            <v>121106</v>
          </cell>
          <cell r="C3989" t="str">
            <v>Breydon Voluntary Controlled Church of England Middle School</v>
          </cell>
          <cell r="D3989" t="str">
            <v>Norfolk</v>
          </cell>
          <cell r="E3989" t="str">
            <v>Voluntary Controlled School</v>
          </cell>
          <cell r="F3989" t="str">
            <v>Middle Deemed Primary</v>
          </cell>
        </row>
        <row r="3990">
          <cell r="A3990">
            <v>8016025</v>
          </cell>
          <cell r="B3990">
            <v>134446</v>
          </cell>
          <cell r="C3990" t="str">
            <v>Bri03 Bridge Year 11</v>
          </cell>
          <cell r="D3990" t="str">
            <v>Bristol City of</v>
          </cell>
          <cell r="E3990" t="str">
            <v>Other Independent School</v>
          </cell>
          <cell r="F3990" t="str">
            <v>Not applicable</v>
          </cell>
        </row>
        <row r="3991">
          <cell r="A3991">
            <v>8016024</v>
          </cell>
          <cell r="B3991">
            <v>134442</v>
          </cell>
          <cell r="C3991" t="str">
            <v>Bri04 Bridge Year 11</v>
          </cell>
          <cell r="D3991" t="str">
            <v>Bristol City of</v>
          </cell>
          <cell r="E3991" t="str">
            <v>Other Independent School</v>
          </cell>
          <cell r="F3991" t="str">
            <v>Not applicable</v>
          </cell>
        </row>
        <row r="3992">
          <cell r="A3992">
            <v>3826026</v>
          </cell>
          <cell r="B3992">
            <v>132732</v>
          </cell>
          <cell r="C3992" t="str">
            <v>Brian Jackson College of Open Learning</v>
          </cell>
          <cell r="D3992" t="str">
            <v>Kirklees</v>
          </cell>
          <cell r="E3992" t="str">
            <v>Other Independent School</v>
          </cell>
          <cell r="F3992" t="str">
            <v>Not applicable</v>
          </cell>
        </row>
        <row r="3993">
          <cell r="A3993">
            <v>9372327</v>
          </cell>
          <cell r="B3993">
            <v>125563</v>
          </cell>
          <cell r="C3993" t="str">
            <v>Briar Hill Infant School</v>
          </cell>
          <cell r="D3993" t="str">
            <v>Warwickshire</v>
          </cell>
          <cell r="E3993" t="str">
            <v>Community School</v>
          </cell>
          <cell r="F3993" t="str">
            <v>Primary</v>
          </cell>
        </row>
        <row r="3994">
          <cell r="A3994">
            <v>9282199</v>
          </cell>
          <cell r="B3994">
            <v>121941</v>
          </cell>
          <cell r="C3994" t="str">
            <v>Briar Hill Primary School</v>
          </cell>
          <cell r="D3994" t="str">
            <v>Northamptonshire</v>
          </cell>
          <cell r="E3994" t="str">
            <v>Community School</v>
          </cell>
          <cell r="F3994" t="str">
            <v>Primary</v>
          </cell>
        </row>
        <row r="3995">
          <cell r="A3995">
            <v>9356059</v>
          </cell>
          <cell r="B3995">
            <v>124891</v>
          </cell>
          <cell r="C3995" t="str">
            <v>Briar Independent School</v>
          </cell>
          <cell r="D3995" t="str">
            <v>Suffolk</v>
          </cell>
          <cell r="E3995" t="str">
            <v>Other Independent School</v>
          </cell>
          <cell r="F3995" t="str">
            <v>Not applicable</v>
          </cell>
        </row>
        <row r="3996">
          <cell r="A3996">
            <v>88879</v>
          </cell>
          <cell r="B3996">
            <v>133110</v>
          </cell>
          <cell r="C3996" t="str">
            <v>Briars Hey</v>
          </cell>
          <cell r="D3996" t="str">
            <v>Lancashire</v>
          </cell>
          <cell r="E3996" t="str">
            <v>Secure Units</v>
          </cell>
          <cell r="F3996" t="str">
            <v>Not applicable</v>
          </cell>
        </row>
        <row r="3997">
          <cell r="A3997">
            <v>8017042</v>
          </cell>
          <cell r="B3997">
            <v>109410</v>
          </cell>
          <cell r="C3997" t="str">
            <v>Briarwood School</v>
          </cell>
          <cell r="D3997" t="str">
            <v>Bristol City of</v>
          </cell>
          <cell r="E3997" t="str">
            <v>Community Special School</v>
          </cell>
          <cell r="F3997" t="str">
            <v>Special</v>
          </cell>
        </row>
        <row r="3998">
          <cell r="A3998">
            <v>8862569</v>
          </cell>
          <cell r="B3998">
            <v>118520</v>
          </cell>
          <cell r="C3998" t="str">
            <v>Briary Primary School</v>
          </cell>
          <cell r="D3998" t="str">
            <v>Kent</v>
          </cell>
          <cell r="E3998" t="str">
            <v>Community School</v>
          </cell>
          <cell r="F3998" t="str">
            <v>Primary</v>
          </cell>
        </row>
        <row r="3999">
          <cell r="A3999">
            <v>8222163</v>
          </cell>
          <cell r="B3999">
            <v>109503</v>
          </cell>
          <cell r="C3999" t="str">
            <v>Brickhill Lower School</v>
          </cell>
          <cell r="D3999" t="str">
            <v>Bedford</v>
          </cell>
          <cell r="E3999" t="str">
            <v>Community School</v>
          </cell>
          <cell r="F3999" t="str">
            <v>Primary</v>
          </cell>
        </row>
        <row r="4000">
          <cell r="A4000">
            <v>9024121</v>
          </cell>
          <cell r="B4000">
            <v>128260</v>
          </cell>
          <cell r="C4000" t="str">
            <v>Brickhill Middle School</v>
          </cell>
          <cell r="D4000" t="str">
            <v>Pre LGR (1997) Bedfordshire</v>
          </cell>
          <cell r="E4000" t="str">
            <v>Community School</v>
          </cell>
          <cell r="F4000" t="str">
            <v>Middle Deemed Secondary</v>
          </cell>
        </row>
        <row r="4001">
          <cell r="A4001">
            <v>3332112</v>
          </cell>
          <cell r="B4001">
            <v>103936</v>
          </cell>
          <cell r="C4001" t="str">
            <v>Brickhouse Primary School</v>
          </cell>
          <cell r="D4001" t="str">
            <v>Sandwell</v>
          </cell>
          <cell r="E4001" t="str">
            <v>Community School</v>
          </cell>
          <cell r="F4001" t="str">
            <v>Primary</v>
          </cell>
        </row>
        <row r="4002">
          <cell r="A4002">
            <v>3362028</v>
          </cell>
          <cell r="B4002">
            <v>104301</v>
          </cell>
          <cell r="C4002" t="str">
            <v>Brickkiln Junior and Infant School</v>
          </cell>
          <cell r="D4002" t="str">
            <v>Wolverhampton</v>
          </cell>
          <cell r="E4002" t="str">
            <v>Community School</v>
          </cell>
          <cell r="F4002" t="str">
            <v>Primary</v>
          </cell>
        </row>
        <row r="4003">
          <cell r="A4003">
            <v>8456034</v>
          </cell>
          <cell r="B4003">
            <v>114644</v>
          </cell>
          <cell r="C4003" t="str">
            <v>Bricklehurst Manor School</v>
          </cell>
          <cell r="D4003" t="str">
            <v>East Sussex</v>
          </cell>
          <cell r="E4003" t="str">
            <v>Other Independent School</v>
          </cell>
          <cell r="F4003" t="str">
            <v>Not applicable</v>
          </cell>
        </row>
        <row r="4004">
          <cell r="A4004">
            <v>9204458</v>
          </cell>
          <cell r="B4004">
            <v>129292</v>
          </cell>
          <cell r="C4004" t="str">
            <v>Bricknell Junior High School</v>
          </cell>
          <cell r="D4004" t="str">
            <v>Pre LGR (1996) Humberside</v>
          </cell>
          <cell r="E4004" t="str">
            <v>Community School</v>
          </cell>
          <cell r="F4004" t="str">
            <v>Secondary</v>
          </cell>
        </row>
        <row r="4005">
          <cell r="A4005">
            <v>8102045</v>
          </cell>
          <cell r="B4005">
            <v>117717</v>
          </cell>
          <cell r="C4005" t="str">
            <v>Bricknell Primary School</v>
          </cell>
          <cell r="D4005" t="str">
            <v>Kingston upon Hull City of</v>
          </cell>
          <cell r="E4005" t="str">
            <v>Community School</v>
          </cell>
          <cell r="F4005" t="str">
            <v>Primary</v>
          </cell>
        </row>
        <row r="4006">
          <cell r="A4006">
            <v>9236087</v>
          </cell>
          <cell r="B4006">
            <v>119847</v>
          </cell>
          <cell r="C4006" t="str">
            <v>Bride Community Church Christian School</v>
          </cell>
          <cell r="D4006" t="str">
            <v>Pre LGR (1998) Lancashire</v>
          </cell>
          <cell r="E4006" t="str">
            <v>Other Independent School</v>
          </cell>
          <cell r="F4006" t="str">
            <v>Not applicable</v>
          </cell>
        </row>
        <row r="4007">
          <cell r="A4007">
            <v>7052009</v>
          </cell>
          <cell r="B4007">
            <v>132446</v>
          </cell>
          <cell r="C4007" t="str">
            <v>Bride Infants School</v>
          </cell>
          <cell r="D4007" t="str">
            <v>Isle of Man Offshore Establishments</v>
          </cell>
          <cell r="E4007" t="str">
            <v>Offshore Schools</v>
          </cell>
          <cell r="F4007" t="str">
            <v>Not applicable</v>
          </cell>
        </row>
        <row r="4008">
          <cell r="A4008">
            <v>9093100</v>
          </cell>
          <cell r="B4008">
            <v>112270</v>
          </cell>
          <cell r="C4008" t="str">
            <v>Bridekirk Dovenby CofE Primary School</v>
          </cell>
          <cell r="D4008" t="str">
            <v>Cumbria</v>
          </cell>
          <cell r="E4008" t="str">
            <v>Voluntary Controlled School</v>
          </cell>
          <cell r="F4008" t="str">
            <v>Primary</v>
          </cell>
        </row>
        <row r="4009">
          <cell r="A4009">
            <v>8782602</v>
          </cell>
          <cell r="B4009">
            <v>113248</v>
          </cell>
          <cell r="C4009" t="str">
            <v>Bridestowe Primary School</v>
          </cell>
          <cell r="D4009" t="str">
            <v>Devon</v>
          </cell>
          <cell r="E4009" t="str">
            <v>Community School</v>
          </cell>
          <cell r="F4009" t="str">
            <v>Primary</v>
          </cell>
        </row>
        <row r="4010">
          <cell r="A4010">
            <v>2059901</v>
          </cell>
          <cell r="B4010">
            <v>133189</v>
          </cell>
          <cell r="C4010" t="str">
            <v>Bridge Academy</v>
          </cell>
          <cell r="D4010" t="str">
            <v>Hammersmith and Fulham</v>
          </cell>
          <cell r="E4010" t="str">
            <v>Miscellaneous</v>
          </cell>
          <cell r="F4010" t="str">
            <v>Not applicable</v>
          </cell>
        </row>
        <row r="4011">
          <cell r="A4011">
            <v>8863122</v>
          </cell>
          <cell r="B4011">
            <v>118654</v>
          </cell>
          <cell r="C4011" t="str">
            <v>Bridge and Patrixbourne Church of England Primary School</v>
          </cell>
          <cell r="D4011" t="str">
            <v>Kent</v>
          </cell>
          <cell r="E4011" t="str">
            <v>Voluntary Controlled School</v>
          </cell>
          <cell r="F4011" t="str">
            <v>Primary</v>
          </cell>
        </row>
        <row r="4012">
          <cell r="A4012">
            <v>3568605</v>
          </cell>
          <cell r="B4012">
            <v>134143</v>
          </cell>
          <cell r="C4012" t="str">
            <v>Bridge College</v>
          </cell>
          <cell r="D4012" t="str">
            <v>Stockport</v>
          </cell>
          <cell r="E4012" t="str">
            <v>Further Education</v>
          </cell>
          <cell r="F4012" t="str">
            <v>16 Plus</v>
          </cell>
        </row>
        <row r="4013">
          <cell r="A4013">
            <v>2021104</v>
          </cell>
          <cell r="B4013">
            <v>134876</v>
          </cell>
          <cell r="C4013" t="str">
            <v>Bridge Education, Camden Tuition Service</v>
          </cell>
          <cell r="D4013" t="str">
            <v>Camden</v>
          </cell>
          <cell r="E4013" t="str">
            <v>Pupil Referral Unit</v>
          </cell>
          <cell r="F4013" t="str">
            <v>PRU</v>
          </cell>
        </row>
        <row r="4014">
          <cell r="A4014">
            <v>8012148</v>
          </cell>
          <cell r="B4014">
            <v>108996</v>
          </cell>
          <cell r="C4014" t="str">
            <v>Bridge Farm Infant School</v>
          </cell>
          <cell r="D4014" t="str">
            <v>Bristol City of</v>
          </cell>
          <cell r="E4014" t="str">
            <v>Community School</v>
          </cell>
          <cell r="F4014" t="str">
            <v>Primary</v>
          </cell>
        </row>
        <row r="4015">
          <cell r="A4015">
            <v>8012137</v>
          </cell>
          <cell r="B4015">
            <v>108990</v>
          </cell>
          <cell r="C4015" t="str">
            <v>Bridge Farm Junior School</v>
          </cell>
          <cell r="D4015" t="str">
            <v>Bristol City of</v>
          </cell>
          <cell r="E4015" t="str">
            <v>Community School</v>
          </cell>
          <cell r="F4015" t="str">
            <v>Primary</v>
          </cell>
        </row>
        <row r="4016">
          <cell r="A4016">
            <v>8013437</v>
          </cell>
          <cell r="B4016">
            <v>132161</v>
          </cell>
          <cell r="C4016" t="str">
            <v>Bridge Farm Primary School</v>
          </cell>
          <cell r="D4016" t="str">
            <v>Bristol City of</v>
          </cell>
          <cell r="E4016" t="str">
            <v>Community School</v>
          </cell>
          <cell r="F4016" t="str">
            <v>Primary</v>
          </cell>
        </row>
        <row r="4017">
          <cell r="A4017">
            <v>3562012</v>
          </cell>
          <cell r="B4017">
            <v>106032</v>
          </cell>
          <cell r="C4017" t="str">
            <v>Bridge Hall Primary School</v>
          </cell>
          <cell r="D4017" t="str">
            <v>Stockport</v>
          </cell>
          <cell r="E4017" t="str">
            <v>Community School</v>
          </cell>
          <cell r="F4017" t="str">
            <v>Primary</v>
          </cell>
        </row>
        <row r="4018">
          <cell r="A4018">
            <v>9036081</v>
          </cell>
          <cell r="B4018">
            <v>128298</v>
          </cell>
          <cell r="C4018" t="str">
            <v>Bridge House Home School</v>
          </cell>
          <cell r="D4018" t="str">
            <v>Pre LGR (1998) Berkshire</v>
          </cell>
          <cell r="E4018" t="str">
            <v>Other Independent School</v>
          </cell>
          <cell r="F4018" t="str">
            <v>Not applicable</v>
          </cell>
        </row>
        <row r="4019">
          <cell r="A4019">
            <v>3837006</v>
          </cell>
          <cell r="B4019">
            <v>128047</v>
          </cell>
          <cell r="C4019" t="str">
            <v>Bridge House School</v>
          </cell>
          <cell r="D4019" t="str">
            <v>Leeds</v>
          </cell>
          <cell r="E4019" t="str">
            <v>Community Special School</v>
          </cell>
          <cell r="F4019" t="str">
            <v>Special</v>
          </cell>
        </row>
        <row r="4020">
          <cell r="A4020">
            <v>3042005</v>
          </cell>
          <cell r="B4020">
            <v>126761</v>
          </cell>
          <cell r="C4020" t="str">
            <v>Bridge Infant School</v>
          </cell>
          <cell r="D4020" t="str">
            <v>Brent</v>
          </cell>
          <cell r="E4020" t="str">
            <v>Community School</v>
          </cell>
          <cell r="F4020" t="str">
            <v>Primary</v>
          </cell>
        </row>
        <row r="4021">
          <cell r="A4021">
            <v>8562210</v>
          </cell>
          <cell r="B4021">
            <v>119999</v>
          </cell>
          <cell r="C4021" t="str">
            <v>Bridge Junior School</v>
          </cell>
          <cell r="D4021" t="str">
            <v>Leicester</v>
          </cell>
          <cell r="E4021" t="str">
            <v>Community School</v>
          </cell>
          <cell r="F4021" t="str">
            <v>Primary</v>
          </cell>
        </row>
        <row r="4022">
          <cell r="A4022">
            <v>3042004</v>
          </cell>
          <cell r="B4022">
            <v>126760</v>
          </cell>
          <cell r="C4022" t="str">
            <v>Bridge Junior School</v>
          </cell>
          <cell r="D4022" t="str">
            <v>Brent</v>
          </cell>
          <cell r="E4022" t="str">
            <v>Community School</v>
          </cell>
          <cell r="F4022" t="str">
            <v>Primary</v>
          </cell>
        </row>
        <row r="4023">
          <cell r="A4023">
            <v>8014042</v>
          </cell>
          <cell r="B4023">
            <v>109286</v>
          </cell>
          <cell r="C4023" t="str">
            <v>Bridge Learning Campus - Secondary</v>
          </cell>
          <cell r="D4023" t="str">
            <v>Bristol City of</v>
          </cell>
          <cell r="E4023" t="str">
            <v>Foundation School</v>
          </cell>
          <cell r="F4023" t="str">
            <v>Secondary</v>
          </cell>
        </row>
        <row r="4024">
          <cell r="A4024">
            <v>8012323</v>
          </cell>
          <cell r="B4024">
            <v>109127</v>
          </cell>
          <cell r="C4024" t="str">
            <v>Bridge Learning Campus Primary</v>
          </cell>
          <cell r="D4024" t="str">
            <v>Bristol City of</v>
          </cell>
          <cell r="E4024" t="str">
            <v>Foundation School</v>
          </cell>
          <cell r="F4024" t="str">
            <v>Primary</v>
          </cell>
        </row>
        <row r="4025">
          <cell r="A4025">
            <v>8011105</v>
          </cell>
          <cell r="B4025">
            <v>135751</v>
          </cell>
          <cell r="C4025" t="str">
            <v>Bridge Learning Campus Student Support Centre</v>
          </cell>
          <cell r="D4025" t="str">
            <v>Bristol City of</v>
          </cell>
          <cell r="E4025" t="str">
            <v>Pupil Referral Unit</v>
          </cell>
          <cell r="F4025" t="str">
            <v>PRU</v>
          </cell>
        </row>
        <row r="4026">
          <cell r="A4026">
            <v>9226415</v>
          </cell>
          <cell r="B4026">
            <v>129457</v>
          </cell>
          <cell r="C4026" t="str">
            <v>Bridge Project School</v>
          </cell>
          <cell r="D4026" t="str">
            <v>Pre LGR (1998) Kent</v>
          </cell>
          <cell r="E4026" t="str">
            <v>Other Independent School</v>
          </cell>
          <cell r="F4026" t="str">
            <v>Not applicable</v>
          </cell>
        </row>
        <row r="4027">
          <cell r="A4027">
            <v>8601105</v>
          </cell>
          <cell r="B4027">
            <v>132131</v>
          </cell>
          <cell r="C4027" t="str">
            <v>Bridge Short Stay School</v>
          </cell>
          <cell r="D4027" t="str">
            <v>Staffordshire</v>
          </cell>
          <cell r="E4027" t="str">
            <v>Pupil Referral Unit</v>
          </cell>
          <cell r="F4027" t="str">
            <v>PRU</v>
          </cell>
        </row>
        <row r="4028">
          <cell r="A4028">
            <v>3061106</v>
          </cell>
          <cell r="B4028">
            <v>133722</v>
          </cell>
          <cell r="C4028" t="str">
            <v>Bridge To School</v>
          </cell>
          <cell r="D4028" t="str">
            <v>Croydon</v>
          </cell>
          <cell r="E4028" t="str">
            <v>Pupil Referral Unit</v>
          </cell>
          <cell r="F4028" t="str">
            <v>PRU</v>
          </cell>
        </row>
        <row r="4029">
          <cell r="A4029">
            <v>9372053</v>
          </cell>
          <cell r="B4029">
            <v>125526</v>
          </cell>
          <cell r="C4029" t="str">
            <v>Bridge Town Primary School</v>
          </cell>
          <cell r="D4029" t="str">
            <v>Warwickshire</v>
          </cell>
          <cell r="E4029" t="str">
            <v>Community School</v>
          </cell>
          <cell r="F4029" t="str">
            <v>Primary</v>
          </cell>
        </row>
        <row r="4030">
          <cell r="A4030">
            <v>8504314</v>
          </cell>
          <cell r="B4030">
            <v>116471</v>
          </cell>
          <cell r="C4030" t="str">
            <v>Bridgemary School</v>
          </cell>
          <cell r="D4030" t="str">
            <v>Hampshire</v>
          </cell>
          <cell r="E4030" t="str">
            <v>Community School</v>
          </cell>
          <cell r="F4030" t="str">
            <v>Secondary</v>
          </cell>
        </row>
        <row r="4031">
          <cell r="A4031">
            <v>8953543</v>
          </cell>
          <cell r="B4031">
            <v>111343</v>
          </cell>
          <cell r="C4031" t="str">
            <v>Bridgemere CofE Primary School</v>
          </cell>
          <cell r="D4031" t="str">
            <v>Cheshire East</v>
          </cell>
          <cell r="E4031" t="str">
            <v>Voluntary Aided School</v>
          </cell>
          <cell r="F4031" t="str">
            <v>Primary</v>
          </cell>
        </row>
        <row r="4032">
          <cell r="A4032">
            <v>6726090</v>
          </cell>
          <cell r="B4032">
            <v>402001</v>
          </cell>
          <cell r="C4032" t="str">
            <v>Bridgend Christian School</v>
          </cell>
          <cell r="D4032" t="str">
            <v>Bridgend</v>
          </cell>
          <cell r="E4032" t="str">
            <v>Welsh Establishment</v>
          </cell>
          <cell r="F4032" t="str">
            <v>Not applicable</v>
          </cell>
        </row>
        <row r="4033">
          <cell r="A4033">
            <v>6721102</v>
          </cell>
          <cell r="B4033">
            <v>401957</v>
          </cell>
          <cell r="C4033" t="str">
            <v>Bridgend Pupil Referral Unit</v>
          </cell>
          <cell r="D4033" t="str">
            <v>Bridgend</v>
          </cell>
          <cell r="E4033" t="str">
            <v>Welsh Establishment</v>
          </cell>
          <cell r="F4033" t="str">
            <v>Not applicable</v>
          </cell>
        </row>
        <row r="4034">
          <cell r="A4034">
            <v>8783057</v>
          </cell>
          <cell r="B4034">
            <v>113373</v>
          </cell>
          <cell r="C4034" t="str">
            <v>Bridgerule Church of England Primary School</v>
          </cell>
          <cell r="D4034" t="str">
            <v>Devon</v>
          </cell>
          <cell r="E4034" t="str">
            <v>Voluntary Controlled School</v>
          </cell>
          <cell r="F4034" t="str">
            <v>Primary</v>
          </cell>
        </row>
        <row r="4035">
          <cell r="A4035">
            <v>8107029</v>
          </cell>
          <cell r="B4035">
            <v>134633</v>
          </cell>
          <cell r="C4035" t="str">
            <v>Bridgeview</v>
          </cell>
          <cell r="D4035" t="str">
            <v>Kingston upon Hull City of</v>
          </cell>
          <cell r="E4035" t="str">
            <v>Community Special School</v>
          </cell>
          <cell r="F4035" t="str">
            <v>Special</v>
          </cell>
        </row>
        <row r="4036">
          <cell r="A4036">
            <v>8117030</v>
          </cell>
          <cell r="B4036">
            <v>118150</v>
          </cell>
          <cell r="C4036" t="str">
            <v>Bridgeview School</v>
          </cell>
          <cell r="D4036" t="str">
            <v>East Riding of Yorkshire</v>
          </cell>
          <cell r="E4036" t="str">
            <v>Community Special School</v>
          </cell>
          <cell r="F4036" t="str">
            <v>Special</v>
          </cell>
        </row>
        <row r="4037">
          <cell r="A4037">
            <v>3111107</v>
          </cell>
          <cell r="B4037">
            <v>134935</v>
          </cell>
          <cell r="C4037" t="str">
            <v>Bridgewater</v>
          </cell>
          <cell r="D4037" t="str">
            <v>Havering</v>
          </cell>
          <cell r="E4037" t="str">
            <v>Pupil Referral Unit</v>
          </cell>
          <cell r="F4037" t="str">
            <v>PRU</v>
          </cell>
        </row>
        <row r="4038">
          <cell r="A4038">
            <v>8774229</v>
          </cell>
          <cell r="B4038">
            <v>111447</v>
          </cell>
          <cell r="C4038" t="str">
            <v>Bridgewater High School</v>
          </cell>
          <cell r="D4038" t="str">
            <v>Warrington</v>
          </cell>
          <cell r="E4038" t="str">
            <v>Community School</v>
          </cell>
          <cell r="F4038" t="str">
            <v>Secondary</v>
          </cell>
        </row>
        <row r="4039">
          <cell r="A4039">
            <v>9194144</v>
          </cell>
          <cell r="B4039">
            <v>117541</v>
          </cell>
          <cell r="C4039" t="str">
            <v>Bridgewater Middle School</v>
          </cell>
          <cell r="D4039" t="str">
            <v>Hertfordshire</v>
          </cell>
          <cell r="E4039" t="str">
            <v>Community School</v>
          </cell>
          <cell r="F4039" t="str">
            <v>Middle Deemed Secondary</v>
          </cell>
        </row>
        <row r="4040">
          <cell r="A4040">
            <v>3501004</v>
          </cell>
          <cell r="B4040">
            <v>105143</v>
          </cell>
          <cell r="C4040" t="str">
            <v>Bridgewater Nursery School</v>
          </cell>
          <cell r="D4040" t="str">
            <v>Bolton</v>
          </cell>
          <cell r="E4040" t="str">
            <v>LA Nursery School</v>
          </cell>
          <cell r="F4040" t="str">
            <v>Nursery</v>
          </cell>
        </row>
        <row r="4041">
          <cell r="A4041">
            <v>3552073</v>
          </cell>
          <cell r="B4041">
            <v>105912</v>
          </cell>
          <cell r="C4041" t="str">
            <v>Bridgewater Primary School</v>
          </cell>
          <cell r="D4041" t="str">
            <v>Salford</v>
          </cell>
          <cell r="E4041" t="str">
            <v>Community School</v>
          </cell>
          <cell r="F4041" t="str">
            <v>Primary</v>
          </cell>
        </row>
        <row r="4042">
          <cell r="A4042">
            <v>3912210</v>
          </cell>
          <cell r="B4042">
            <v>108466</v>
          </cell>
          <cell r="C4042" t="str">
            <v>Bridgewater Primary School</v>
          </cell>
          <cell r="D4042" t="str">
            <v>Newcastle upon Tyne</v>
          </cell>
          <cell r="E4042" t="str">
            <v>Community School</v>
          </cell>
          <cell r="F4042" t="str">
            <v>Primary</v>
          </cell>
        </row>
        <row r="4043">
          <cell r="A4043">
            <v>9282010</v>
          </cell>
          <cell r="B4043">
            <v>122076</v>
          </cell>
          <cell r="C4043" t="str">
            <v>Bridgewater Primary School</v>
          </cell>
          <cell r="D4043" t="str">
            <v>Northamptonshire</v>
          </cell>
          <cell r="E4043" t="str">
            <v>Community School</v>
          </cell>
          <cell r="F4043" t="str">
            <v>Primary</v>
          </cell>
        </row>
        <row r="4044">
          <cell r="A4044">
            <v>3556005</v>
          </cell>
          <cell r="B4044">
            <v>105992</v>
          </cell>
          <cell r="C4044" t="str">
            <v>Bridgewater School</v>
          </cell>
          <cell r="D4044" t="str">
            <v>Salford</v>
          </cell>
          <cell r="E4044" t="str">
            <v>Other Independent School</v>
          </cell>
          <cell r="F4044" t="str">
            <v>Not applicable</v>
          </cell>
        </row>
        <row r="4045">
          <cell r="A4045">
            <v>8691108</v>
          </cell>
          <cell r="B4045">
            <v>131640</v>
          </cell>
          <cell r="C4045" t="str">
            <v>Bridgeway PRU</v>
          </cell>
          <cell r="D4045" t="str">
            <v>West Berkshire</v>
          </cell>
          <cell r="E4045" t="str">
            <v>Pupil Referral Unit</v>
          </cell>
          <cell r="F4045" t="str">
            <v>PRU</v>
          </cell>
        </row>
        <row r="4046">
          <cell r="A4046">
            <v>3571101</v>
          </cell>
          <cell r="B4046">
            <v>133918</v>
          </cell>
          <cell r="C4046" t="str">
            <v>Bridgeway PRU</v>
          </cell>
          <cell r="D4046" t="str">
            <v>Tameside</v>
          </cell>
          <cell r="E4046" t="str">
            <v>Pupil Referral Unit</v>
          </cell>
          <cell r="F4046" t="str">
            <v>PRU</v>
          </cell>
        </row>
        <row r="4047">
          <cell r="A4047">
            <v>8932030</v>
          </cell>
          <cell r="B4047">
            <v>123355</v>
          </cell>
          <cell r="C4047" t="str">
            <v>Bridgnorth County Infant School</v>
          </cell>
          <cell r="D4047" t="str">
            <v>Shropshire</v>
          </cell>
          <cell r="E4047" t="str">
            <v>Community School</v>
          </cell>
          <cell r="F4047" t="str">
            <v>Primary</v>
          </cell>
        </row>
        <row r="4048">
          <cell r="A4048">
            <v>8934500</v>
          </cell>
          <cell r="B4048">
            <v>123586</v>
          </cell>
          <cell r="C4048" t="str">
            <v>Bridgnorth Endowed School</v>
          </cell>
          <cell r="D4048" t="str">
            <v>Shropshire</v>
          </cell>
          <cell r="E4048" t="str">
            <v>Voluntary Controlled School</v>
          </cell>
          <cell r="F4048" t="str">
            <v>Secondary</v>
          </cell>
        </row>
        <row r="4049">
          <cell r="A4049">
            <v>8602177</v>
          </cell>
          <cell r="B4049">
            <v>124067</v>
          </cell>
          <cell r="C4049" t="str">
            <v>Bridgtown Primary School</v>
          </cell>
          <cell r="D4049" t="str">
            <v>Staffordshire</v>
          </cell>
          <cell r="E4049" t="str">
            <v>Community School</v>
          </cell>
          <cell r="F4049" t="str">
            <v>Primary</v>
          </cell>
        </row>
        <row r="4050">
          <cell r="A4050">
            <v>9331119</v>
          </cell>
          <cell r="B4050">
            <v>135233</v>
          </cell>
          <cell r="C4050" t="str">
            <v>Bridgwater Centre</v>
          </cell>
          <cell r="D4050" t="str">
            <v>Somerset</v>
          </cell>
          <cell r="E4050" t="str">
            <v>Pupil Referral Unit</v>
          </cell>
          <cell r="F4050" t="str">
            <v>PRU</v>
          </cell>
        </row>
        <row r="4051">
          <cell r="A4051">
            <v>9331120</v>
          </cell>
          <cell r="B4051">
            <v>135243</v>
          </cell>
          <cell r="C4051" t="str">
            <v>Bridgwater Centre</v>
          </cell>
          <cell r="D4051" t="str">
            <v>Somerset</v>
          </cell>
          <cell r="E4051" t="str">
            <v>Pupil Referral Unit</v>
          </cell>
          <cell r="F4051" t="str">
            <v>PRU</v>
          </cell>
        </row>
        <row r="4052">
          <cell r="A4052">
            <v>9338000</v>
          </cell>
          <cell r="B4052">
            <v>130803</v>
          </cell>
          <cell r="C4052" t="str">
            <v>Bridgwater College</v>
          </cell>
          <cell r="D4052" t="str">
            <v>Somerset</v>
          </cell>
          <cell r="E4052" t="str">
            <v>Further Education</v>
          </cell>
          <cell r="F4052" t="str">
            <v>16 Plus</v>
          </cell>
        </row>
        <row r="4053">
          <cell r="A4053">
            <v>9331107</v>
          </cell>
          <cell r="B4053">
            <v>134519</v>
          </cell>
          <cell r="C4053" t="str">
            <v>Bridgwater Key Stage 3 Centre</v>
          </cell>
          <cell r="D4053" t="str">
            <v>Somerset</v>
          </cell>
          <cell r="E4053" t="str">
            <v>Pupil Referral Unit</v>
          </cell>
          <cell r="F4053" t="str">
            <v>PRU</v>
          </cell>
        </row>
        <row r="4054">
          <cell r="A4054">
            <v>8662011</v>
          </cell>
          <cell r="B4054">
            <v>134134</v>
          </cell>
          <cell r="C4054" t="str">
            <v>Bridlewood Primary School</v>
          </cell>
          <cell r="D4054" t="str">
            <v>Swindon</v>
          </cell>
          <cell r="E4054" t="str">
            <v>Community School</v>
          </cell>
          <cell r="F4054" t="str">
            <v>Primary</v>
          </cell>
        </row>
        <row r="4055">
          <cell r="A4055">
            <v>8111003</v>
          </cell>
          <cell r="B4055">
            <v>117695</v>
          </cell>
          <cell r="C4055" t="str">
            <v>Bridlington Nursery School</v>
          </cell>
          <cell r="D4055" t="str">
            <v>East Riding of Yorkshire</v>
          </cell>
          <cell r="E4055" t="str">
            <v>LA Nursery School</v>
          </cell>
          <cell r="F4055" t="str">
            <v>Nursery</v>
          </cell>
        </row>
        <row r="4056">
          <cell r="A4056">
            <v>8114500</v>
          </cell>
          <cell r="B4056">
            <v>118111</v>
          </cell>
          <cell r="C4056" t="str">
            <v>Bridlington School Sports College</v>
          </cell>
          <cell r="D4056" t="str">
            <v>East Riding of Yorkshire</v>
          </cell>
          <cell r="E4056" t="str">
            <v>Voluntary Controlled School</v>
          </cell>
          <cell r="F4056" t="str">
            <v>Secondary</v>
          </cell>
        </row>
        <row r="4057">
          <cell r="A4057">
            <v>8352003</v>
          </cell>
          <cell r="B4057">
            <v>113660</v>
          </cell>
          <cell r="C4057" t="str">
            <v>Bridport Primary School</v>
          </cell>
          <cell r="D4057" t="str">
            <v>Dorset</v>
          </cell>
          <cell r="E4057" t="str">
            <v>Community School</v>
          </cell>
          <cell r="F4057" t="str">
            <v>Primary</v>
          </cell>
        </row>
        <row r="4058">
          <cell r="A4058">
            <v>8353006</v>
          </cell>
          <cell r="B4058">
            <v>113757</v>
          </cell>
          <cell r="C4058" t="str">
            <v>Bridport, St Mary's Church of England Primary School</v>
          </cell>
          <cell r="D4058" t="str">
            <v>Dorset</v>
          </cell>
          <cell r="E4058" t="str">
            <v>Voluntary Controlled School</v>
          </cell>
          <cell r="F4058" t="str">
            <v>Primary</v>
          </cell>
        </row>
        <row r="4059">
          <cell r="A4059">
            <v>8843307</v>
          </cell>
          <cell r="B4059">
            <v>116869</v>
          </cell>
          <cell r="C4059" t="str">
            <v>Bridstow CofE Primary School</v>
          </cell>
          <cell r="D4059" t="str">
            <v>Herefordshire</v>
          </cell>
          <cell r="E4059" t="str">
            <v>Voluntary Aided School</v>
          </cell>
          <cell r="F4059" t="str">
            <v>Primary</v>
          </cell>
        </row>
        <row r="4060">
          <cell r="A4060">
            <v>8882076</v>
          </cell>
          <cell r="B4060">
            <v>119168</v>
          </cell>
          <cell r="C4060" t="str">
            <v>Briercliffe Primary School</v>
          </cell>
          <cell r="D4060" t="str">
            <v>Lancashire</v>
          </cell>
          <cell r="E4060" t="str">
            <v>Community School</v>
          </cell>
          <cell r="F4060" t="str">
            <v>Primary</v>
          </cell>
        </row>
        <row r="4061">
          <cell r="A4061">
            <v>8884017</v>
          </cell>
          <cell r="B4061">
            <v>119718</v>
          </cell>
          <cell r="C4061" t="str">
            <v>Brierfield Mansfield High School</v>
          </cell>
          <cell r="D4061" t="str">
            <v>Lancashire</v>
          </cell>
          <cell r="E4061" t="str">
            <v>Community School</v>
          </cell>
          <cell r="F4061" t="str">
            <v>Secondary</v>
          </cell>
        </row>
        <row r="4062">
          <cell r="A4062">
            <v>8882077</v>
          </cell>
          <cell r="B4062">
            <v>119169</v>
          </cell>
          <cell r="C4062" t="str">
            <v>Brierfield Walter Street Primary School</v>
          </cell>
          <cell r="D4062" t="str">
            <v>Lancashire</v>
          </cell>
          <cell r="E4062" t="str">
            <v>Community School</v>
          </cell>
          <cell r="F4062" t="str">
            <v>Primary</v>
          </cell>
        </row>
        <row r="4063">
          <cell r="A4063">
            <v>3703011</v>
          </cell>
          <cell r="B4063">
            <v>106629</v>
          </cell>
          <cell r="C4063" t="str">
            <v>Brierley Church of England Voluntary Controlled Primary School</v>
          </cell>
          <cell r="D4063" t="str">
            <v>Barnsley</v>
          </cell>
          <cell r="E4063" t="str">
            <v>Voluntary Controlled School</v>
          </cell>
          <cell r="F4063" t="str">
            <v>Primary</v>
          </cell>
        </row>
        <row r="4064">
          <cell r="A4064">
            <v>3703008</v>
          </cell>
          <cell r="B4064">
            <v>127589</v>
          </cell>
          <cell r="C4064" t="str">
            <v>Brierley CofE First School</v>
          </cell>
          <cell r="D4064" t="str">
            <v>Barnsley</v>
          </cell>
          <cell r="E4064" t="str">
            <v>Voluntary Controlled School</v>
          </cell>
          <cell r="F4064" t="str">
            <v>Primary</v>
          </cell>
        </row>
        <row r="4065">
          <cell r="A4065">
            <v>3322023</v>
          </cell>
          <cell r="B4065">
            <v>103776</v>
          </cell>
          <cell r="C4065" t="str">
            <v>Brierley Hill Primary School</v>
          </cell>
          <cell r="D4065" t="str">
            <v>Dudley</v>
          </cell>
          <cell r="E4065" t="str">
            <v>Community School</v>
          </cell>
          <cell r="F4065" t="str">
            <v>Primary</v>
          </cell>
        </row>
        <row r="4066">
          <cell r="A4066">
            <v>8952201</v>
          </cell>
          <cell r="B4066">
            <v>111061</v>
          </cell>
          <cell r="C4066" t="str">
            <v>Brierley Primary School</v>
          </cell>
          <cell r="D4066" t="str">
            <v>Cheshire East</v>
          </cell>
          <cell r="E4066" t="str">
            <v>Community School</v>
          </cell>
          <cell r="F4066" t="str">
            <v>Primary</v>
          </cell>
        </row>
        <row r="4067">
          <cell r="A4067">
            <v>8054130</v>
          </cell>
          <cell r="B4067">
            <v>111745</v>
          </cell>
          <cell r="C4067" t="str">
            <v>Brierton Community School (A Specialist Sports College)</v>
          </cell>
          <cell r="D4067" t="str">
            <v>Hartlepool</v>
          </cell>
          <cell r="E4067" t="str">
            <v>Community School</v>
          </cell>
          <cell r="F4067" t="str">
            <v>Secondary</v>
          </cell>
        </row>
        <row r="4068">
          <cell r="A4068">
            <v>6772186</v>
          </cell>
          <cell r="B4068">
            <v>401396</v>
          </cell>
          <cell r="C4068" t="str">
            <v>Briery Hill Primary School</v>
          </cell>
          <cell r="D4068" t="str">
            <v>Blaenau Gwent</v>
          </cell>
          <cell r="E4068" t="str">
            <v>Welsh Establishment</v>
          </cell>
          <cell r="F4068" t="str">
            <v>Primary</v>
          </cell>
        </row>
        <row r="4069">
          <cell r="A4069">
            <v>8136000</v>
          </cell>
          <cell r="B4069">
            <v>118129</v>
          </cell>
          <cell r="C4069" t="str">
            <v>Brigg Preparatory School</v>
          </cell>
          <cell r="D4069" t="str">
            <v>North Lincolnshire</v>
          </cell>
          <cell r="E4069" t="str">
            <v>Other Independent School</v>
          </cell>
          <cell r="F4069" t="str">
            <v>Not applicable</v>
          </cell>
        </row>
        <row r="4070">
          <cell r="A4070">
            <v>8132106</v>
          </cell>
          <cell r="B4070">
            <v>117728</v>
          </cell>
          <cell r="C4070" t="str">
            <v>Brigg Primary School</v>
          </cell>
          <cell r="D4070" t="str">
            <v>North Lincolnshire</v>
          </cell>
          <cell r="E4070" t="str">
            <v>Community School</v>
          </cell>
          <cell r="F4070" t="str">
            <v>Primary</v>
          </cell>
        </row>
        <row r="4071">
          <cell r="A4071">
            <v>9093108</v>
          </cell>
          <cell r="B4071">
            <v>132878</v>
          </cell>
          <cell r="C4071" t="str">
            <v>Brigham CofE First School</v>
          </cell>
          <cell r="D4071" t="str">
            <v>Cumbria</v>
          </cell>
          <cell r="E4071" t="str">
            <v>Miscellaneous</v>
          </cell>
          <cell r="F4071" t="str">
            <v>Not applicable</v>
          </cell>
        </row>
        <row r="4072">
          <cell r="A4072">
            <v>3815406</v>
          </cell>
          <cell r="B4072">
            <v>107580</v>
          </cell>
          <cell r="C4072" t="str">
            <v>Brighouse High School</v>
          </cell>
          <cell r="D4072" t="str">
            <v>Calderdale</v>
          </cell>
          <cell r="E4072" t="str">
            <v>Foundation School</v>
          </cell>
          <cell r="F4072" t="str">
            <v>Secondary</v>
          </cell>
        </row>
        <row r="4073">
          <cell r="A4073">
            <v>3815406</v>
          </cell>
          <cell r="B4073">
            <v>136604</v>
          </cell>
          <cell r="C4073" t="str">
            <v>Brighouse High School</v>
          </cell>
          <cell r="D4073" t="str">
            <v>Calderdale</v>
          </cell>
          <cell r="E4073" t="str">
            <v>Academy Converters</v>
          </cell>
          <cell r="F4073" t="str">
            <v>Secondary</v>
          </cell>
        </row>
        <row r="4074">
          <cell r="A4074">
            <v>9213300</v>
          </cell>
          <cell r="B4074">
            <v>118192</v>
          </cell>
          <cell r="C4074" t="str">
            <v>Brighstone Church of England Aided Primary School</v>
          </cell>
          <cell r="D4074" t="str">
            <v>Isle of Wight</v>
          </cell>
          <cell r="E4074" t="str">
            <v>Voluntary Aided School</v>
          </cell>
          <cell r="F4074" t="str">
            <v>Primary</v>
          </cell>
        </row>
        <row r="4075">
          <cell r="A4075">
            <v>3536015</v>
          </cell>
          <cell r="B4075">
            <v>105748</v>
          </cell>
          <cell r="C4075" t="str">
            <v>Bright Futures School</v>
          </cell>
          <cell r="D4075" t="str">
            <v>Oldham</v>
          </cell>
          <cell r="E4075" t="str">
            <v>Other Independent Special School</v>
          </cell>
          <cell r="F4075" t="str">
            <v>Not applicable</v>
          </cell>
        </row>
        <row r="4076">
          <cell r="A4076">
            <v>2126386</v>
          </cell>
          <cell r="B4076">
            <v>101083</v>
          </cell>
          <cell r="C4076" t="str">
            <v>Bright Horizon Preparatory School</v>
          </cell>
          <cell r="D4076" t="str">
            <v>Wandsworth</v>
          </cell>
          <cell r="E4076" t="str">
            <v>Other Independent School</v>
          </cell>
          <cell r="F4076" t="str">
            <v>Not applicable</v>
          </cell>
        </row>
        <row r="4077">
          <cell r="A4077">
            <v>2086388</v>
          </cell>
          <cell r="B4077">
            <v>100653</v>
          </cell>
          <cell r="C4077" t="str">
            <v>Bright Sparks Stage School</v>
          </cell>
          <cell r="D4077" t="str">
            <v>Lambeth</v>
          </cell>
          <cell r="E4077" t="str">
            <v>Other Independent School</v>
          </cell>
          <cell r="F4077" t="str">
            <v>Not applicable</v>
          </cell>
        </row>
        <row r="4078">
          <cell r="A4078">
            <v>3436008</v>
          </cell>
          <cell r="B4078">
            <v>127376</v>
          </cell>
          <cell r="C4078" t="str">
            <v>Brighthelmston School</v>
          </cell>
          <cell r="D4078" t="str">
            <v>Sefton</v>
          </cell>
          <cell r="E4078" t="str">
            <v>Other Independent School</v>
          </cell>
          <cell r="F4078" t="str">
            <v>Not applicable</v>
          </cell>
        </row>
        <row r="4079">
          <cell r="A4079">
            <v>9166016</v>
          </cell>
          <cell r="B4079">
            <v>128964</v>
          </cell>
          <cell r="C4079" t="str">
            <v>Brightlands School</v>
          </cell>
          <cell r="D4079" t="str">
            <v>Gloucestershire</v>
          </cell>
          <cell r="E4079" t="str">
            <v>Other Independent School</v>
          </cell>
          <cell r="F4079" t="str">
            <v>Not applicable</v>
          </cell>
        </row>
        <row r="4080">
          <cell r="A4080">
            <v>8812068</v>
          </cell>
          <cell r="B4080">
            <v>114755</v>
          </cell>
          <cell r="C4080" t="str">
            <v>Brightlingsea Infant School</v>
          </cell>
          <cell r="D4080" t="str">
            <v>Essex</v>
          </cell>
          <cell r="E4080" t="str">
            <v>Community School</v>
          </cell>
          <cell r="F4080" t="str">
            <v>Primary</v>
          </cell>
        </row>
        <row r="4081">
          <cell r="A4081">
            <v>8812072</v>
          </cell>
          <cell r="B4081">
            <v>114758</v>
          </cell>
          <cell r="C4081" t="str">
            <v>Brightlingsea Junior School</v>
          </cell>
          <cell r="D4081" t="str">
            <v>Essex</v>
          </cell>
          <cell r="E4081" t="str">
            <v>Community School</v>
          </cell>
          <cell r="F4081" t="str">
            <v>Primary</v>
          </cell>
        </row>
        <row r="4082">
          <cell r="A4082">
            <v>845941</v>
          </cell>
          <cell r="B4082">
            <v>134282</v>
          </cell>
          <cell r="C4082" t="str">
            <v>Brighton &amp; Hove Albion Football Club Study Support Centre</v>
          </cell>
          <cell r="D4082" t="str">
            <v>East Sussex</v>
          </cell>
          <cell r="E4082" t="str">
            <v>Playing for Success Centres</v>
          </cell>
          <cell r="F4082" t="str">
            <v>Not applicable</v>
          </cell>
        </row>
        <row r="4083">
          <cell r="A4083">
            <v>8466905</v>
          </cell>
          <cell r="B4083">
            <v>136164</v>
          </cell>
          <cell r="C4083" t="str">
            <v>Brighton Aldridge Community Academy</v>
          </cell>
          <cell r="D4083" t="str">
            <v>Brighton and Hove</v>
          </cell>
          <cell r="E4083" t="str">
            <v>Academy Sponsor Led</v>
          </cell>
          <cell r="F4083" t="str">
            <v>Secondary</v>
          </cell>
        </row>
        <row r="4084">
          <cell r="A4084">
            <v>846940</v>
          </cell>
          <cell r="B4084">
            <v>134949</v>
          </cell>
          <cell r="C4084" t="str">
            <v>Brighton and Hove Albion Football Club Pfs Programme C.O. Eric Land, Howzat Learning Centre</v>
          </cell>
          <cell r="D4084" t="str">
            <v>Brighton and Hove</v>
          </cell>
          <cell r="E4084" t="str">
            <v>Playing for Success Centres</v>
          </cell>
          <cell r="F4084" t="str">
            <v>Not applicable</v>
          </cell>
        </row>
        <row r="4085">
          <cell r="A4085">
            <v>8466014</v>
          </cell>
          <cell r="B4085">
            <v>114658</v>
          </cell>
          <cell r="C4085" t="str">
            <v>Brighton and Hove High School</v>
          </cell>
          <cell r="D4085" t="str">
            <v>Brighton and Hove</v>
          </cell>
          <cell r="E4085" t="str">
            <v>Other Independent School</v>
          </cell>
          <cell r="F4085" t="str">
            <v>Not applicable</v>
          </cell>
        </row>
        <row r="4086">
          <cell r="A4086">
            <v>8466012</v>
          </cell>
          <cell r="B4086">
            <v>114672</v>
          </cell>
          <cell r="C4086" t="str">
            <v>Brighton and Hove Montessori School</v>
          </cell>
          <cell r="D4086" t="str">
            <v>Brighton and Hove</v>
          </cell>
          <cell r="E4086" t="str">
            <v>Other Independent School</v>
          </cell>
          <cell r="F4086" t="str">
            <v>Not applicable</v>
          </cell>
        </row>
        <row r="4087">
          <cell r="A4087">
            <v>8466023</v>
          </cell>
          <cell r="B4087">
            <v>133348</v>
          </cell>
          <cell r="C4087" t="str">
            <v>Brighton and Hove Montessori School</v>
          </cell>
          <cell r="D4087" t="str">
            <v>Brighton and Hove</v>
          </cell>
          <cell r="E4087" t="str">
            <v>Other Independent School</v>
          </cell>
          <cell r="F4087" t="str">
            <v>Not applicable</v>
          </cell>
        </row>
        <row r="4088">
          <cell r="A4088">
            <v>3902221</v>
          </cell>
          <cell r="B4088">
            <v>108368</v>
          </cell>
          <cell r="C4088" t="str">
            <v>Brighton Avenue Primary School</v>
          </cell>
          <cell r="D4088" t="str">
            <v>Gateshead</v>
          </cell>
          <cell r="E4088" t="str">
            <v>Community School</v>
          </cell>
          <cell r="F4088" t="str">
            <v>Primary</v>
          </cell>
        </row>
        <row r="4089">
          <cell r="A4089">
            <v>8466008</v>
          </cell>
          <cell r="B4089">
            <v>114614</v>
          </cell>
          <cell r="C4089" t="str">
            <v>Brighton College</v>
          </cell>
          <cell r="D4089" t="str">
            <v>Brighton and Hove</v>
          </cell>
          <cell r="E4089" t="str">
            <v>Other Independent School</v>
          </cell>
          <cell r="F4089" t="str">
            <v>Not applicable</v>
          </cell>
        </row>
        <row r="4090">
          <cell r="A4090">
            <v>8466019</v>
          </cell>
          <cell r="B4090">
            <v>114654</v>
          </cell>
          <cell r="C4090" t="str">
            <v>Brighton College Nursery and Pre-Prep School</v>
          </cell>
          <cell r="D4090" t="str">
            <v>Brighton and Hove</v>
          </cell>
          <cell r="E4090" t="str">
            <v>Other Independent School</v>
          </cell>
          <cell r="F4090" t="str">
            <v>Not applicable</v>
          </cell>
        </row>
        <row r="4091">
          <cell r="A4091">
            <v>8466015</v>
          </cell>
          <cell r="B4091">
            <v>114621</v>
          </cell>
          <cell r="C4091" t="str">
            <v>Brighton College Prep School</v>
          </cell>
          <cell r="D4091" t="str">
            <v>Brighton and Hove</v>
          </cell>
          <cell r="E4091" t="str">
            <v>Other Independent School</v>
          </cell>
          <cell r="F4091" t="str">
            <v>Not applicable</v>
          </cell>
        </row>
        <row r="4092">
          <cell r="A4092">
            <v>8504182</v>
          </cell>
          <cell r="B4092">
            <v>116441</v>
          </cell>
          <cell r="C4092" t="str">
            <v>Brighton Hill Community College</v>
          </cell>
          <cell r="D4092" t="str">
            <v>Hampshire</v>
          </cell>
          <cell r="E4092" t="str">
            <v>Community School</v>
          </cell>
          <cell r="F4092" t="str">
            <v>Secondary</v>
          </cell>
        </row>
        <row r="4093">
          <cell r="A4093">
            <v>9144019</v>
          </cell>
          <cell r="B4093">
            <v>128846</v>
          </cell>
          <cell r="C4093" t="str">
            <v>Brighton Hove and Sussex Sixth Form College</v>
          </cell>
          <cell r="D4093" t="str">
            <v>Pre LGR (1997) East Sussex</v>
          </cell>
          <cell r="E4093" t="str">
            <v>Community School</v>
          </cell>
          <cell r="F4093" t="str">
            <v>Secondary</v>
          </cell>
        </row>
        <row r="4094">
          <cell r="A4094">
            <v>8468601</v>
          </cell>
          <cell r="B4094">
            <v>130669</v>
          </cell>
          <cell r="C4094" t="str">
            <v>Brighton Hove and Sussex Sixth Form College</v>
          </cell>
          <cell r="D4094" t="str">
            <v>Brighton and Hove</v>
          </cell>
          <cell r="E4094" t="str">
            <v>Further Education</v>
          </cell>
          <cell r="F4094" t="str">
            <v>16 Plus</v>
          </cell>
        </row>
        <row r="4095">
          <cell r="A4095">
            <v>8466016</v>
          </cell>
          <cell r="B4095">
            <v>114661</v>
          </cell>
          <cell r="C4095" t="str">
            <v>Brighton Steiner School</v>
          </cell>
          <cell r="D4095" t="str">
            <v>Brighton and Hove</v>
          </cell>
          <cell r="E4095" t="str">
            <v>Other Independent School</v>
          </cell>
          <cell r="F4095" t="str">
            <v>Not applicable</v>
          </cell>
        </row>
        <row r="4096">
          <cell r="A4096">
            <v>8812518</v>
          </cell>
          <cell r="B4096">
            <v>114877</v>
          </cell>
          <cell r="C4096" t="str">
            <v>Brightside Infant School</v>
          </cell>
          <cell r="D4096" t="str">
            <v>Essex</v>
          </cell>
          <cell r="E4096" t="str">
            <v>Community School</v>
          </cell>
          <cell r="F4096" t="str">
            <v>Primary</v>
          </cell>
        </row>
        <row r="4097">
          <cell r="A4097">
            <v>8812478</v>
          </cell>
          <cell r="B4097">
            <v>114862</v>
          </cell>
          <cell r="C4097" t="str">
            <v>Brightside Junior School</v>
          </cell>
          <cell r="D4097" t="str">
            <v>Essex</v>
          </cell>
          <cell r="E4097" t="str">
            <v>Community School</v>
          </cell>
          <cell r="F4097" t="str">
            <v>Primary</v>
          </cell>
        </row>
        <row r="4098">
          <cell r="A4098">
            <v>3732014</v>
          </cell>
          <cell r="B4098">
            <v>106987</v>
          </cell>
          <cell r="C4098" t="str">
            <v>Brightside Nursery and Infant School</v>
          </cell>
          <cell r="D4098" t="str">
            <v>Sheffield</v>
          </cell>
          <cell r="E4098" t="str">
            <v>Community School</v>
          </cell>
          <cell r="F4098" t="str">
            <v>Primary</v>
          </cell>
        </row>
        <row r="4099">
          <cell r="A4099">
            <v>8812015</v>
          </cell>
          <cell r="B4099">
            <v>132164</v>
          </cell>
          <cell r="C4099" t="str">
            <v>Brightside Primary School</v>
          </cell>
          <cell r="D4099" t="str">
            <v>Essex</v>
          </cell>
          <cell r="E4099" t="str">
            <v>Community School</v>
          </cell>
          <cell r="F4099" t="str">
            <v>Primary</v>
          </cell>
        </row>
        <row r="4100">
          <cell r="A4100">
            <v>8693311</v>
          </cell>
          <cell r="B4100">
            <v>110008</v>
          </cell>
          <cell r="C4100" t="str">
            <v>Brightwalton C.E. Aided Primary School</v>
          </cell>
          <cell r="D4100" t="str">
            <v>West Berkshire</v>
          </cell>
          <cell r="E4100" t="str">
            <v>Voluntary Aided School</v>
          </cell>
          <cell r="F4100" t="str">
            <v>Primary</v>
          </cell>
        </row>
        <row r="4101">
          <cell r="A4101">
            <v>9313221</v>
          </cell>
          <cell r="B4101">
            <v>123144</v>
          </cell>
          <cell r="C4101" t="str">
            <v>Brightwell-Cum-Sotwell Church of England (C) Primary School</v>
          </cell>
          <cell r="D4101" t="str">
            <v>Oxfordshire</v>
          </cell>
          <cell r="E4101" t="str">
            <v>Voluntary Controlled School</v>
          </cell>
          <cell r="F4101" t="str">
            <v>Primary</v>
          </cell>
        </row>
        <row r="4102">
          <cell r="A4102">
            <v>8686011</v>
          </cell>
          <cell r="B4102">
            <v>110147</v>
          </cell>
          <cell r="C4102" t="str">
            <v>Brigidine School Windsor</v>
          </cell>
          <cell r="D4102" t="str">
            <v>Windsor and Maidenhead</v>
          </cell>
          <cell r="E4102" t="str">
            <v>Other Independent School</v>
          </cell>
          <cell r="F4102" t="str">
            <v>Not applicable</v>
          </cell>
        </row>
        <row r="4103">
          <cell r="A4103">
            <v>3834113</v>
          </cell>
          <cell r="B4103">
            <v>108090</v>
          </cell>
          <cell r="C4103" t="str">
            <v>Brigshaw High School and Language College</v>
          </cell>
          <cell r="D4103" t="str">
            <v>Leeds</v>
          </cell>
          <cell r="E4103" t="str">
            <v>Foundation School</v>
          </cell>
          <cell r="F4103" t="str">
            <v>Secondary</v>
          </cell>
        </row>
        <row r="4104">
          <cell r="A4104">
            <v>9283200</v>
          </cell>
          <cell r="B4104">
            <v>122011</v>
          </cell>
          <cell r="C4104" t="str">
            <v>Brigstock Latham's Church of England Primary School</v>
          </cell>
          <cell r="D4104" t="str">
            <v>Northamptonshire</v>
          </cell>
          <cell r="E4104" t="str">
            <v>Voluntary Controlled School</v>
          </cell>
          <cell r="F4104" t="str">
            <v>Primary</v>
          </cell>
        </row>
        <row r="4105">
          <cell r="A4105">
            <v>8253023</v>
          </cell>
          <cell r="B4105">
            <v>110418</v>
          </cell>
          <cell r="C4105" t="str">
            <v>Brill Church of England Combined School</v>
          </cell>
          <cell r="D4105" t="str">
            <v>Buckinghamshire</v>
          </cell>
          <cell r="E4105" t="str">
            <v>Voluntary Controlled School</v>
          </cell>
          <cell r="F4105" t="str">
            <v>Primary</v>
          </cell>
        </row>
        <row r="4106">
          <cell r="A4106">
            <v>8843007</v>
          </cell>
          <cell r="B4106">
            <v>116786</v>
          </cell>
          <cell r="C4106" t="str">
            <v>Brilley CofE Primary School</v>
          </cell>
          <cell r="D4106" t="str">
            <v>Herefordshire</v>
          </cell>
          <cell r="E4106" t="str">
            <v>Voluntary Controlled School</v>
          </cell>
          <cell r="F4106" t="str">
            <v>Primary</v>
          </cell>
        </row>
        <row r="4107">
          <cell r="A4107">
            <v>8667013</v>
          </cell>
          <cell r="B4107">
            <v>126556</v>
          </cell>
          <cell r="C4107" t="str">
            <v>Brimble Hill Special School</v>
          </cell>
          <cell r="D4107" t="str">
            <v>Swindon</v>
          </cell>
          <cell r="E4107" t="str">
            <v>Community Special School</v>
          </cell>
          <cell r="F4107" t="str">
            <v>Special</v>
          </cell>
        </row>
        <row r="4108">
          <cell r="A4108">
            <v>8302055</v>
          </cell>
          <cell r="B4108">
            <v>112517</v>
          </cell>
          <cell r="C4108" t="str">
            <v>Brimington Junior School</v>
          </cell>
          <cell r="D4108" t="str">
            <v>Derbyshire</v>
          </cell>
          <cell r="E4108" t="str">
            <v>Community School</v>
          </cell>
          <cell r="F4108" t="str">
            <v>Primary</v>
          </cell>
        </row>
        <row r="4109">
          <cell r="A4109">
            <v>8302056</v>
          </cell>
          <cell r="B4109">
            <v>112518</v>
          </cell>
          <cell r="C4109" t="str">
            <v>Brimington Manor Infant School</v>
          </cell>
          <cell r="D4109" t="str">
            <v>Derbyshire</v>
          </cell>
          <cell r="E4109" t="str">
            <v>Community School</v>
          </cell>
          <cell r="F4109" t="str">
            <v>Primary</v>
          </cell>
        </row>
        <row r="4110">
          <cell r="A4110">
            <v>8693013</v>
          </cell>
          <cell r="B4110">
            <v>109954</v>
          </cell>
          <cell r="C4110" t="str">
            <v>Brimpton C.E. Primary School</v>
          </cell>
          <cell r="D4110" t="str">
            <v>West Berkshire</v>
          </cell>
          <cell r="E4110" t="str">
            <v>Voluntary Controlled School</v>
          </cell>
          <cell r="F4110" t="str">
            <v>Primary</v>
          </cell>
        </row>
        <row r="4111">
          <cell r="A4111">
            <v>3542000</v>
          </cell>
          <cell r="B4111">
            <v>105764</v>
          </cell>
          <cell r="C4111" t="str">
            <v>Brimrod Community Primary School</v>
          </cell>
          <cell r="D4111" t="str">
            <v>Rochdale</v>
          </cell>
          <cell r="E4111" t="str">
            <v>Community School</v>
          </cell>
          <cell r="F4111" t="str">
            <v>Primary</v>
          </cell>
        </row>
        <row r="4112">
          <cell r="A4112">
            <v>3541000</v>
          </cell>
          <cell r="B4112">
            <v>105756</v>
          </cell>
          <cell r="C4112" t="str">
            <v>Brimrod Nursery School</v>
          </cell>
          <cell r="D4112" t="str">
            <v>Rochdale</v>
          </cell>
          <cell r="E4112" t="str">
            <v>LA Nursery School</v>
          </cell>
          <cell r="F4112" t="str">
            <v>Nursery</v>
          </cell>
        </row>
        <row r="4113">
          <cell r="A4113">
            <v>9163335</v>
          </cell>
          <cell r="B4113">
            <v>115690</v>
          </cell>
          <cell r="C4113" t="str">
            <v>Brimscombe Church of England (VA) Primary School</v>
          </cell>
          <cell r="D4113" t="str">
            <v>Gloucestershire</v>
          </cell>
          <cell r="E4113" t="str">
            <v>Voluntary Aided School</v>
          </cell>
          <cell r="F4113" t="str">
            <v>Primary</v>
          </cell>
        </row>
        <row r="4114">
          <cell r="A4114">
            <v>3082006</v>
          </cell>
          <cell r="B4114">
            <v>101980</v>
          </cell>
          <cell r="C4114" t="str">
            <v>Brimsdown Infant School</v>
          </cell>
          <cell r="D4114" t="str">
            <v>Enfield</v>
          </cell>
          <cell r="E4114" t="str">
            <v>Community School</v>
          </cell>
          <cell r="F4114" t="str">
            <v>Primary</v>
          </cell>
        </row>
        <row r="4115">
          <cell r="A4115">
            <v>3082005</v>
          </cell>
          <cell r="B4115">
            <v>101979</v>
          </cell>
          <cell r="C4115" t="str">
            <v>Brimsdown Junior School</v>
          </cell>
          <cell r="D4115" t="str">
            <v>Enfield</v>
          </cell>
          <cell r="E4115" t="str">
            <v>Community School</v>
          </cell>
          <cell r="F4115" t="str">
            <v>Primary</v>
          </cell>
        </row>
        <row r="4116">
          <cell r="A4116">
            <v>3083508</v>
          </cell>
          <cell r="B4116">
            <v>135535</v>
          </cell>
          <cell r="C4116" t="str">
            <v>Brimsdown Primary School</v>
          </cell>
          <cell r="D4116" t="str">
            <v>Enfield</v>
          </cell>
          <cell r="E4116" t="str">
            <v>Community School</v>
          </cell>
          <cell r="F4116" t="str">
            <v>Primary</v>
          </cell>
        </row>
        <row r="4117">
          <cell r="A4117">
            <v>8034146</v>
          </cell>
          <cell r="B4117">
            <v>109319</v>
          </cell>
          <cell r="C4117" t="str">
            <v>Brimsham Green School</v>
          </cell>
          <cell r="D4117" t="str">
            <v>South Gloucestershire</v>
          </cell>
          <cell r="E4117" t="str">
            <v>Community School</v>
          </cell>
          <cell r="F4117" t="str">
            <v>Secondary</v>
          </cell>
        </row>
        <row r="4118">
          <cell r="A4118">
            <v>3562014</v>
          </cell>
          <cell r="B4118">
            <v>106033</v>
          </cell>
          <cell r="C4118" t="str">
            <v>Brindale Primary School</v>
          </cell>
          <cell r="D4118" t="str">
            <v>Stockport</v>
          </cell>
          <cell r="E4118" t="str">
            <v>Community School</v>
          </cell>
          <cell r="F4118" t="str">
            <v>Primary</v>
          </cell>
        </row>
        <row r="4119">
          <cell r="A4119">
            <v>2092304</v>
          </cell>
          <cell r="B4119">
            <v>100687</v>
          </cell>
          <cell r="C4119" t="str">
            <v>Brindishe Green School</v>
          </cell>
          <cell r="D4119" t="str">
            <v>Lewisham</v>
          </cell>
          <cell r="E4119" t="str">
            <v>Community School</v>
          </cell>
          <cell r="F4119" t="str">
            <v>Primary</v>
          </cell>
        </row>
        <row r="4120">
          <cell r="A4120">
            <v>2092887</v>
          </cell>
          <cell r="B4120">
            <v>100717</v>
          </cell>
          <cell r="C4120" t="str">
            <v>Brindishe Lee School</v>
          </cell>
          <cell r="D4120" t="str">
            <v>Lewisham</v>
          </cell>
          <cell r="E4120" t="str">
            <v>Community School</v>
          </cell>
          <cell r="F4120" t="str">
            <v>Primary</v>
          </cell>
        </row>
        <row r="4121">
          <cell r="A4121">
            <v>8882142</v>
          </cell>
          <cell r="B4121">
            <v>119203</v>
          </cell>
          <cell r="C4121" t="str">
            <v>Brindle Gregson Lane Primary School</v>
          </cell>
          <cell r="D4121" t="str">
            <v>Lancashire</v>
          </cell>
          <cell r="E4121" t="str">
            <v>Community School</v>
          </cell>
          <cell r="F4121" t="str">
            <v>Primary</v>
          </cell>
        </row>
        <row r="4122">
          <cell r="A4122">
            <v>8883387</v>
          </cell>
          <cell r="B4122">
            <v>119462</v>
          </cell>
          <cell r="C4122" t="str">
            <v>Brindle St James' Church of England Voluntary Aided Primary School</v>
          </cell>
          <cell r="D4122" t="str">
            <v>Lancashire</v>
          </cell>
          <cell r="E4122" t="str">
            <v>Voluntary Aided School</v>
          </cell>
          <cell r="F4122" t="str">
            <v>Primary</v>
          </cell>
        </row>
        <row r="4123">
          <cell r="A4123">
            <v>8602223</v>
          </cell>
          <cell r="B4123">
            <v>124094</v>
          </cell>
          <cell r="C4123" t="str">
            <v>Brindley Heath Junior School</v>
          </cell>
          <cell r="D4123" t="str">
            <v>Staffordshire</v>
          </cell>
          <cell r="E4123" t="str">
            <v>Community School</v>
          </cell>
          <cell r="F4123" t="str">
            <v>Primary</v>
          </cell>
        </row>
        <row r="4124">
          <cell r="A4124">
            <v>8942152</v>
          </cell>
          <cell r="B4124">
            <v>123428</v>
          </cell>
          <cell r="C4124" t="str">
            <v>Brindleyford Primary School</v>
          </cell>
          <cell r="D4124" t="str">
            <v>Telford and Wrekin</v>
          </cell>
          <cell r="E4124" t="str">
            <v>Community School</v>
          </cell>
          <cell r="F4124" t="str">
            <v>Primary</v>
          </cell>
        </row>
        <row r="4125">
          <cell r="A4125">
            <v>8954220</v>
          </cell>
          <cell r="B4125">
            <v>111439</v>
          </cell>
          <cell r="C4125" t="str">
            <v>Brine Leas High School</v>
          </cell>
          <cell r="D4125" t="str">
            <v>Cheshire East</v>
          </cell>
          <cell r="E4125" t="str">
            <v>Foundation School</v>
          </cell>
          <cell r="F4125" t="str">
            <v>Secondary</v>
          </cell>
        </row>
        <row r="4126">
          <cell r="A4126">
            <v>8954220</v>
          </cell>
          <cell r="B4126">
            <v>136279</v>
          </cell>
          <cell r="C4126" t="str">
            <v>Brine Leas School</v>
          </cell>
          <cell r="D4126" t="str">
            <v>Cheshire East</v>
          </cell>
          <cell r="E4126" t="str">
            <v>Academy Converters</v>
          </cell>
          <cell r="F4126" t="str">
            <v>Secondary</v>
          </cell>
        </row>
        <row r="4127">
          <cell r="A4127">
            <v>8552016</v>
          </cell>
          <cell r="B4127">
            <v>119909</v>
          </cell>
          <cell r="C4127" t="str">
            <v>Bringhurst Primary School</v>
          </cell>
          <cell r="D4127" t="str">
            <v>Leicestershire</v>
          </cell>
          <cell r="E4127" t="str">
            <v>Community School</v>
          </cell>
          <cell r="F4127" t="str">
            <v>Primary</v>
          </cell>
        </row>
        <row r="4128">
          <cell r="A4128">
            <v>8733081</v>
          </cell>
          <cell r="B4128">
            <v>110827</v>
          </cell>
          <cell r="C4128" t="str">
            <v>Brington CofE Primary School</v>
          </cell>
          <cell r="D4128" t="str">
            <v>Cambridgeshire</v>
          </cell>
          <cell r="E4128" t="str">
            <v>Voluntary Controlled School</v>
          </cell>
          <cell r="F4128" t="str">
            <v>Primary</v>
          </cell>
        </row>
        <row r="4129">
          <cell r="A4129">
            <v>9282006</v>
          </cell>
          <cell r="B4129">
            <v>121798</v>
          </cell>
          <cell r="C4129" t="str">
            <v>Brington Primary School</v>
          </cell>
          <cell r="D4129" t="str">
            <v>Northamptonshire</v>
          </cell>
          <cell r="E4129" t="str">
            <v>Community School</v>
          </cell>
          <cell r="F4129" t="str">
            <v>Primary</v>
          </cell>
        </row>
        <row r="4130">
          <cell r="A4130">
            <v>3934014</v>
          </cell>
          <cell r="B4130">
            <v>108728</v>
          </cell>
          <cell r="C4130" t="str">
            <v>Brinkburn School</v>
          </cell>
          <cell r="D4130" t="str">
            <v>South Tyneside</v>
          </cell>
          <cell r="E4130" t="str">
            <v>Community School</v>
          </cell>
          <cell r="F4130" t="str">
            <v>Secondary</v>
          </cell>
        </row>
        <row r="4131">
          <cell r="A4131">
            <v>8922915</v>
          </cell>
          <cell r="B4131">
            <v>122719</v>
          </cell>
          <cell r="C4131" t="str">
            <v>Brinkhill Primary School</v>
          </cell>
          <cell r="D4131" t="str">
            <v>Nottingham</v>
          </cell>
          <cell r="E4131" t="str">
            <v>Community School</v>
          </cell>
          <cell r="F4131" t="str">
            <v>Primary</v>
          </cell>
        </row>
        <row r="4132">
          <cell r="A4132">
            <v>8815280</v>
          </cell>
          <cell r="B4132">
            <v>131219</v>
          </cell>
          <cell r="C4132" t="str">
            <v>Brinkley Grove Primary School</v>
          </cell>
          <cell r="D4132" t="str">
            <v>Essex</v>
          </cell>
          <cell r="E4132" t="str">
            <v>Foundation School</v>
          </cell>
          <cell r="F4132" t="str">
            <v>Primary</v>
          </cell>
        </row>
        <row r="4133">
          <cell r="A4133">
            <v>9373173</v>
          </cell>
          <cell r="B4133">
            <v>125668</v>
          </cell>
          <cell r="C4133" t="str">
            <v>Brinklow CofE First School</v>
          </cell>
          <cell r="D4133" t="str">
            <v>Warwickshire</v>
          </cell>
          <cell r="E4133" t="str">
            <v>Voluntary Controlled School</v>
          </cell>
          <cell r="F4133" t="str">
            <v>Primary</v>
          </cell>
        </row>
        <row r="4134">
          <cell r="A4134">
            <v>9392010</v>
          </cell>
          <cell r="B4134">
            <v>130208</v>
          </cell>
          <cell r="C4134" t="str">
            <v>Brinkworth County Primary School</v>
          </cell>
          <cell r="D4134" t="str">
            <v>Pre LGR (1997) Wiltshire</v>
          </cell>
          <cell r="E4134" t="str">
            <v>Community School</v>
          </cell>
          <cell r="F4134" t="str">
            <v>Primary</v>
          </cell>
        </row>
        <row r="4135">
          <cell r="A4135">
            <v>8653242</v>
          </cell>
          <cell r="B4135">
            <v>126390</v>
          </cell>
          <cell r="C4135" t="str">
            <v>Brinkworth Earl Danby's Church of England Primary</v>
          </cell>
          <cell r="D4135" t="str">
            <v>Wiltshire</v>
          </cell>
          <cell r="E4135" t="str">
            <v>Voluntary Controlled School</v>
          </cell>
          <cell r="F4135" t="str">
            <v>Primary</v>
          </cell>
        </row>
        <row r="4136">
          <cell r="A4136">
            <v>3561004</v>
          </cell>
          <cell r="B4136">
            <v>106017</v>
          </cell>
          <cell r="C4136" t="str">
            <v>Brinnington Early Years Centre</v>
          </cell>
          <cell r="D4136" t="str">
            <v>Stockport</v>
          </cell>
          <cell r="E4136" t="str">
            <v>LA Nursery School</v>
          </cell>
          <cell r="F4136" t="str">
            <v>Nursery</v>
          </cell>
        </row>
        <row r="4137">
          <cell r="A4137">
            <v>3564004</v>
          </cell>
          <cell r="B4137">
            <v>127508</v>
          </cell>
          <cell r="C4137" t="str">
            <v>Brinnington High School</v>
          </cell>
          <cell r="D4137" t="str">
            <v>Stockport</v>
          </cell>
          <cell r="E4137" t="str">
            <v>Community School</v>
          </cell>
          <cell r="F4137" t="str">
            <v>Secondary</v>
          </cell>
        </row>
        <row r="4138">
          <cell r="A4138">
            <v>9388350</v>
          </cell>
          <cell r="B4138">
            <v>130844</v>
          </cell>
          <cell r="C4138" t="str">
            <v>Brinsbury College</v>
          </cell>
          <cell r="D4138" t="str">
            <v>West Sussex</v>
          </cell>
          <cell r="E4138" t="str">
            <v>Further Education</v>
          </cell>
          <cell r="F4138" t="str">
            <v>16 Plus</v>
          </cell>
        </row>
        <row r="4139">
          <cell r="A4139">
            <v>8883997</v>
          </cell>
          <cell r="B4139">
            <v>119705</v>
          </cell>
          <cell r="C4139" t="str">
            <v>Brinscall St John's CofE and Methodist Primary School</v>
          </cell>
          <cell r="D4139" t="str">
            <v>Lancashire</v>
          </cell>
          <cell r="E4139" t="str">
            <v>Voluntary Aided School</v>
          </cell>
          <cell r="F4139" t="str">
            <v>Primary</v>
          </cell>
        </row>
        <row r="4140">
          <cell r="A4140">
            <v>8912395</v>
          </cell>
          <cell r="B4140">
            <v>122566</v>
          </cell>
          <cell r="C4140" t="str">
            <v>Brinsley Primary and Nursery School</v>
          </cell>
          <cell r="D4140" t="str">
            <v>Nottinghamshire</v>
          </cell>
          <cell r="E4140" t="str">
            <v>Community School</v>
          </cell>
          <cell r="F4140" t="str">
            <v>Primary</v>
          </cell>
        </row>
        <row r="4141">
          <cell r="A4141">
            <v>3724024</v>
          </cell>
          <cell r="B4141">
            <v>106960</v>
          </cell>
          <cell r="C4141" t="str">
            <v>Brinsworth Comprehensive School</v>
          </cell>
          <cell r="D4141" t="str">
            <v>Rotherham</v>
          </cell>
          <cell r="E4141" t="str">
            <v>Community School</v>
          </cell>
          <cell r="F4141" t="str">
            <v>Secondary</v>
          </cell>
        </row>
        <row r="4142">
          <cell r="A4142">
            <v>3724024</v>
          </cell>
          <cell r="B4142">
            <v>136301</v>
          </cell>
          <cell r="C4142" t="str">
            <v>Brinsworth Comprehensive School</v>
          </cell>
          <cell r="D4142" t="str">
            <v>Rotherham</v>
          </cell>
          <cell r="E4142" t="str">
            <v>Academy Converters</v>
          </cell>
          <cell r="F4142" t="str">
            <v>Secondary</v>
          </cell>
        </row>
        <row r="4143">
          <cell r="A4143">
            <v>3722121</v>
          </cell>
          <cell r="B4143">
            <v>106918</v>
          </cell>
          <cell r="C4143" t="str">
            <v>Brinsworth Howarth Primary School</v>
          </cell>
          <cell r="D4143" t="str">
            <v>Rotherham</v>
          </cell>
          <cell r="E4143" t="str">
            <v>Community School</v>
          </cell>
          <cell r="F4143" t="str">
            <v>Primary</v>
          </cell>
        </row>
        <row r="4144">
          <cell r="A4144">
            <v>3722055</v>
          </cell>
          <cell r="B4144">
            <v>106864</v>
          </cell>
          <cell r="C4144" t="str">
            <v>Brinsworth Manor Infant School</v>
          </cell>
          <cell r="D4144" t="str">
            <v>Rotherham</v>
          </cell>
          <cell r="E4144" t="str">
            <v>Community School</v>
          </cell>
          <cell r="F4144" t="str">
            <v>Primary</v>
          </cell>
        </row>
        <row r="4145">
          <cell r="A4145">
            <v>3722054</v>
          </cell>
          <cell r="B4145">
            <v>106863</v>
          </cell>
          <cell r="C4145" t="str">
            <v>Brinsworth Manor Junior School</v>
          </cell>
          <cell r="D4145" t="str">
            <v>Rotherham</v>
          </cell>
          <cell r="E4145" t="str">
            <v>Community School</v>
          </cell>
          <cell r="F4145" t="str">
            <v>Primary</v>
          </cell>
        </row>
        <row r="4146">
          <cell r="A4146">
            <v>3722103</v>
          </cell>
          <cell r="B4146">
            <v>106904</v>
          </cell>
          <cell r="C4146" t="str">
            <v>Brinsworth Whitehill Junior School</v>
          </cell>
          <cell r="D4146" t="str">
            <v>Rotherham</v>
          </cell>
          <cell r="E4146" t="str">
            <v>Community School</v>
          </cell>
          <cell r="F4146" t="str">
            <v>Primary</v>
          </cell>
        </row>
        <row r="4147">
          <cell r="A4147">
            <v>3722108</v>
          </cell>
          <cell r="B4147">
            <v>106908</v>
          </cell>
          <cell r="C4147" t="str">
            <v>Brinsworth Whitehill Primary School</v>
          </cell>
          <cell r="D4147" t="str">
            <v>Rotherham</v>
          </cell>
          <cell r="E4147" t="str">
            <v>Community School</v>
          </cell>
          <cell r="F4147" t="str">
            <v>Primary</v>
          </cell>
        </row>
        <row r="4148">
          <cell r="A4148">
            <v>9092502</v>
          </cell>
          <cell r="B4148">
            <v>112199</v>
          </cell>
          <cell r="C4148" t="str">
            <v>Brisbane Park Infant School</v>
          </cell>
          <cell r="D4148" t="str">
            <v>Cumbria</v>
          </cell>
          <cell r="E4148" t="str">
            <v>Community School</v>
          </cell>
          <cell r="F4148" t="str">
            <v>Primary</v>
          </cell>
        </row>
        <row r="4149">
          <cell r="A4149">
            <v>8812708</v>
          </cell>
          <cell r="B4149">
            <v>114963</v>
          </cell>
          <cell r="C4149" t="str">
            <v>Briscoe Junior School</v>
          </cell>
          <cell r="D4149" t="str">
            <v>Essex</v>
          </cell>
          <cell r="E4149" t="str">
            <v>Community School</v>
          </cell>
          <cell r="F4149" t="str">
            <v>Primary</v>
          </cell>
        </row>
        <row r="4150">
          <cell r="A4150">
            <v>3522041</v>
          </cell>
          <cell r="B4150">
            <v>105399</v>
          </cell>
          <cell r="C4150" t="str">
            <v>Briscoe Lane Infants' School</v>
          </cell>
          <cell r="D4150" t="str">
            <v>Manchester</v>
          </cell>
          <cell r="E4150" t="str">
            <v>Community School</v>
          </cell>
          <cell r="F4150" t="str">
            <v>Primary</v>
          </cell>
        </row>
        <row r="4151">
          <cell r="A4151">
            <v>3522040</v>
          </cell>
          <cell r="B4151">
            <v>105398</v>
          </cell>
          <cell r="C4151" t="str">
            <v>Briscoe Lane Primary School</v>
          </cell>
          <cell r="D4151" t="str">
            <v>Manchester</v>
          </cell>
          <cell r="E4151" t="str">
            <v>Community School</v>
          </cell>
          <cell r="F4151" t="str">
            <v>Primary</v>
          </cell>
        </row>
        <row r="4152">
          <cell r="A4152">
            <v>8812698</v>
          </cell>
          <cell r="B4152">
            <v>114956</v>
          </cell>
          <cell r="C4152" t="str">
            <v>Briscoe Primary School and Nursery</v>
          </cell>
          <cell r="D4152" t="str">
            <v>Essex</v>
          </cell>
          <cell r="E4152" t="str">
            <v>Community School</v>
          </cell>
          <cell r="F4152" t="str">
            <v>Primary</v>
          </cell>
        </row>
        <row r="4153">
          <cell r="A4153">
            <v>2031102</v>
          </cell>
          <cell r="B4153">
            <v>100104</v>
          </cell>
          <cell r="C4153" t="str">
            <v>Briset Centre</v>
          </cell>
          <cell r="D4153" t="str">
            <v>Greenwich</v>
          </cell>
          <cell r="E4153" t="str">
            <v>Pupil Referral Unit</v>
          </cell>
          <cell r="F4153" t="str">
            <v>PRU</v>
          </cell>
        </row>
        <row r="4154">
          <cell r="A4154">
            <v>2032907</v>
          </cell>
          <cell r="B4154">
            <v>100161</v>
          </cell>
          <cell r="C4154" t="str">
            <v>Briset Primary School</v>
          </cell>
          <cell r="D4154" t="str">
            <v>Greenwich</v>
          </cell>
          <cell r="E4154" t="str">
            <v>Community School</v>
          </cell>
          <cell r="F4154" t="str">
            <v>Primary</v>
          </cell>
        </row>
        <row r="4155">
          <cell r="A4155">
            <v>9263307</v>
          </cell>
          <cell r="B4155">
            <v>121109</v>
          </cell>
          <cell r="C4155" t="str">
            <v>Brisley Church of England Voluntary Aided Primary School</v>
          </cell>
          <cell r="D4155" t="str">
            <v>Norfolk</v>
          </cell>
          <cell r="E4155" t="str">
            <v>Voluntary Aided School</v>
          </cell>
          <cell r="F4155" t="str">
            <v>Primary</v>
          </cell>
        </row>
        <row r="4156">
          <cell r="A4156">
            <v>8014032</v>
          </cell>
          <cell r="B4156">
            <v>109280</v>
          </cell>
          <cell r="C4156" t="str">
            <v>Brislington Enterprise College</v>
          </cell>
          <cell r="D4156" t="str">
            <v>Bristol City of</v>
          </cell>
          <cell r="E4156" t="str">
            <v>Community School</v>
          </cell>
          <cell r="F4156" t="str">
            <v>Secondary</v>
          </cell>
        </row>
        <row r="4157">
          <cell r="A4157">
            <v>3334129</v>
          </cell>
          <cell r="B4157">
            <v>104016</v>
          </cell>
          <cell r="C4157" t="str">
            <v>Bristnall Hall Technology College</v>
          </cell>
          <cell r="D4157" t="str">
            <v>Sandwell</v>
          </cell>
          <cell r="E4157" t="str">
            <v>Foundation School</v>
          </cell>
          <cell r="F4157" t="str">
            <v>Secondary</v>
          </cell>
        </row>
        <row r="4158">
          <cell r="A4158">
            <v>8016907</v>
          </cell>
          <cell r="B4158">
            <v>135300</v>
          </cell>
          <cell r="C4158" t="str">
            <v>Bristol Brunel Academy</v>
          </cell>
          <cell r="D4158" t="str">
            <v>Bristol City of</v>
          </cell>
          <cell r="E4158" t="str">
            <v>Academy Sponsor Led</v>
          </cell>
          <cell r="F4158" t="str">
            <v>Secondary</v>
          </cell>
        </row>
        <row r="4159">
          <cell r="A4159">
            <v>8016908</v>
          </cell>
          <cell r="B4159">
            <v>135575</v>
          </cell>
          <cell r="C4159" t="str">
            <v>Bristol Cathedral Choir School</v>
          </cell>
          <cell r="D4159" t="str">
            <v>Bristol City of</v>
          </cell>
          <cell r="E4159" t="str">
            <v>Academy Sponsor Led</v>
          </cell>
          <cell r="F4159" t="str">
            <v>Secondary</v>
          </cell>
        </row>
        <row r="4160">
          <cell r="A4160">
            <v>8016012</v>
          </cell>
          <cell r="B4160">
            <v>109368</v>
          </cell>
          <cell r="C4160" t="str">
            <v>Bristol Cathedral School</v>
          </cell>
          <cell r="D4160" t="str">
            <v>Bristol City of</v>
          </cell>
          <cell r="E4160" t="str">
            <v>Other Independent School</v>
          </cell>
          <cell r="F4160" t="str">
            <v>Not applicable</v>
          </cell>
        </row>
        <row r="4161">
          <cell r="A4161">
            <v>801940</v>
          </cell>
          <cell r="B4161">
            <v>132716</v>
          </cell>
          <cell r="C4161" t="str">
            <v>Bristol City Study Centre</v>
          </cell>
          <cell r="D4161" t="str">
            <v>Bristol City of</v>
          </cell>
          <cell r="E4161" t="str">
            <v>Playing for Success Centres</v>
          </cell>
          <cell r="F4161" t="str">
            <v>Not applicable</v>
          </cell>
        </row>
        <row r="4162">
          <cell r="A4162">
            <v>8014001</v>
          </cell>
          <cell r="B4162">
            <v>136822</v>
          </cell>
          <cell r="C4162" t="str">
            <v>Bristol Free School</v>
          </cell>
          <cell r="D4162" t="str">
            <v>Bristol City of</v>
          </cell>
          <cell r="E4162" t="str">
            <v>Academy Free Schools</v>
          </cell>
          <cell r="F4162" t="str">
            <v>Secondary</v>
          </cell>
        </row>
        <row r="4163">
          <cell r="A4163">
            <v>8017001</v>
          </cell>
          <cell r="B4163">
            <v>132239</v>
          </cell>
          <cell r="C4163" t="str">
            <v>Bristol Gateway School</v>
          </cell>
          <cell r="D4163" t="str">
            <v>Bristol City of</v>
          </cell>
          <cell r="E4163" t="str">
            <v>Community Special School</v>
          </cell>
          <cell r="F4163" t="str">
            <v>Special</v>
          </cell>
        </row>
        <row r="4164">
          <cell r="A4164">
            <v>8016013</v>
          </cell>
          <cell r="B4164">
            <v>109369</v>
          </cell>
          <cell r="C4164" t="str">
            <v>Bristol Grammar School</v>
          </cell>
          <cell r="D4164" t="str">
            <v>Bristol City of</v>
          </cell>
          <cell r="E4164" t="str">
            <v>Other Independent School</v>
          </cell>
          <cell r="F4164" t="str">
            <v>Not applicable</v>
          </cell>
        </row>
        <row r="4165">
          <cell r="A4165">
            <v>8017027</v>
          </cell>
          <cell r="B4165">
            <v>132108</v>
          </cell>
          <cell r="C4165" t="str">
            <v>Bristol Hospital Education Service</v>
          </cell>
          <cell r="D4165" t="str">
            <v>Bristol City of</v>
          </cell>
          <cell r="E4165" t="str">
            <v>Community Special School</v>
          </cell>
          <cell r="F4165" t="str">
            <v>Special</v>
          </cell>
        </row>
        <row r="4166">
          <cell r="A4166">
            <v>8011101</v>
          </cell>
          <cell r="B4166">
            <v>133689</v>
          </cell>
          <cell r="C4166" t="str">
            <v>Bristol Hospital Education Service</v>
          </cell>
          <cell r="D4166" t="str">
            <v>Bristol City of</v>
          </cell>
          <cell r="E4166" t="str">
            <v>Pupil Referral Unit</v>
          </cell>
          <cell r="F4166" t="str">
            <v>PRU</v>
          </cell>
        </row>
        <row r="4167">
          <cell r="A4167">
            <v>8016913</v>
          </cell>
          <cell r="B4167">
            <v>135959</v>
          </cell>
          <cell r="C4167" t="str">
            <v>Bristol Metropolitan Academy</v>
          </cell>
          <cell r="D4167" t="str">
            <v>Bristol City of</v>
          </cell>
          <cell r="E4167" t="str">
            <v>Academy Sponsor Led</v>
          </cell>
          <cell r="F4167" t="str">
            <v>Secondary</v>
          </cell>
        </row>
        <row r="4168">
          <cell r="A4168">
            <v>8014045</v>
          </cell>
          <cell r="B4168">
            <v>109287</v>
          </cell>
          <cell r="C4168" t="str">
            <v>Bristol Metropolitan College</v>
          </cell>
          <cell r="D4168" t="str">
            <v>Bristol City of</v>
          </cell>
          <cell r="E4168" t="str">
            <v>Community School</v>
          </cell>
          <cell r="F4168" t="str">
            <v>Secondary</v>
          </cell>
        </row>
        <row r="4169">
          <cell r="A4169">
            <v>801942</v>
          </cell>
          <cell r="B4169">
            <v>135706</v>
          </cell>
          <cell r="C4169" t="str">
            <v>Bristol Rovers FC Study Centre</v>
          </cell>
          <cell r="D4169" t="str">
            <v>Bristol City of</v>
          </cell>
          <cell r="E4169" t="str">
            <v>Playing for Success Centres</v>
          </cell>
          <cell r="F4169" t="str">
            <v>Not applicable</v>
          </cell>
        </row>
        <row r="4170">
          <cell r="A4170">
            <v>8016011</v>
          </cell>
          <cell r="B4170">
            <v>109345</v>
          </cell>
          <cell r="C4170" t="str">
            <v>Bristol Steiner School</v>
          </cell>
          <cell r="D4170" t="str">
            <v>Bristol City of</v>
          </cell>
          <cell r="E4170" t="str">
            <v>Other Independent School</v>
          </cell>
          <cell r="F4170" t="str">
            <v>Not applicable</v>
          </cell>
        </row>
        <row r="4171">
          <cell r="A4171">
            <v>9362336</v>
          </cell>
          <cell r="B4171">
            <v>125020</v>
          </cell>
          <cell r="C4171" t="str">
            <v>Bristow Infant &amp; Nursery School and Sure Start Children's Centre</v>
          </cell>
          <cell r="D4171" t="str">
            <v>Surrey</v>
          </cell>
          <cell r="E4171" t="str">
            <v>Community School</v>
          </cell>
          <cell r="F4171" t="str">
            <v>Primary</v>
          </cell>
        </row>
        <row r="4172">
          <cell r="A4172">
            <v>3066900</v>
          </cell>
          <cell r="B4172">
            <v>101849</v>
          </cell>
          <cell r="C4172" t="str">
            <v>BRIT School for Performing Arts and Technology</v>
          </cell>
          <cell r="D4172" t="str">
            <v>Croydon</v>
          </cell>
          <cell r="E4172" t="str">
            <v>City Technology College</v>
          </cell>
          <cell r="F4172" t="str">
            <v>Not applicable</v>
          </cell>
        </row>
        <row r="4173">
          <cell r="A4173">
            <v>3592033</v>
          </cell>
          <cell r="B4173">
            <v>106417</v>
          </cell>
          <cell r="C4173" t="str">
            <v>Britannia Bridge Primary School</v>
          </cell>
          <cell r="D4173" t="str">
            <v>Wigan</v>
          </cell>
          <cell r="E4173" t="str">
            <v>Community School</v>
          </cell>
          <cell r="F4173" t="str">
            <v>Primary</v>
          </cell>
        </row>
        <row r="4174">
          <cell r="A4174">
            <v>8882109</v>
          </cell>
          <cell r="B4174">
            <v>119189</v>
          </cell>
          <cell r="C4174" t="str">
            <v>Britannia Community Primary School</v>
          </cell>
          <cell r="D4174" t="str">
            <v>Lancashire</v>
          </cell>
          <cell r="E4174" t="str">
            <v>Community School</v>
          </cell>
          <cell r="F4174" t="str">
            <v>Primary</v>
          </cell>
        </row>
        <row r="4175">
          <cell r="A4175">
            <v>3334123</v>
          </cell>
          <cell r="B4175">
            <v>104015</v>
          </cell>
          <cell r="C4175" t="str">
            <v>Britannia High School</v>
          </cell>
          <cell r="D4175" t="str">
            <v>Sandwell</v>
          </cell>
          <cell r="E4175" t="str">
            <v>Community School</v>
          </cell>
          <cell r="F4175" t="str">
            <v>Secondary</v>
          </cell>
        </row>
        <row r="4176">
          <cell r="A4176">
            <v>9352165</v>
          </cell>
          <cell r="B4176">
            <v>124653</v>
          </cell>
          <cell r="C4176" t="str">
            <v>Britannia Primary School and Nursery</v>
          </cell>
          <cell r="D4176" t="str">
            <v>Suffolk</v>
          </cell>
          <cell r="E4176" t="str">
            <v>Community School</v>
          </cell>
          <cell r="F4176" t="str">
            <v>Primary</v>
          </cell>
        </row>
        <row r="4177">
          <cell r="A4177">
            <v>3162099</v>
          </cell>
          <cell r="B4177">
            <v>131613</v>
          </cell>
          <cell r="C4177" t="str">
            <v>Britannia Village Primary School</v>
          </cell>
          <cell r="D4177" t="str">
            <v>Newham</v>
          </cell>
          <cell r="E4177" t="str">
            <v>Community School</v>
          </cell>
          <cell r="F4177" t="str">
            <v>Primary</v>
          </cell>
        </row>
        <row r="4178">
          <cell r="A4178">
            <v>3114003</v>
          </cell>
          <cell r="B4178">
            <v>102339</v>
          </cell>
          <cell r="C4178" t="str">
            <v>Brittons School and Technology College</v>
          </cell>
          <cell r="D4178" t="str">
            <v>Havering</v>
          </cell>
          <cell r="E4178" t="str">
            <v>Foundation School</v>
          </cell>
          <cell r="F4178" t="str">
            <v>Secondary</v>
          </cell>
        </row>
        <row r="4179">
          <cell r="A4179">
            <v>8803103</v>
          </cell>
          <cell r="B4179">
            <v>113390</v>
          </cell>
          <cell r="C4179" t="str">
            <v>Brixham Church of England Primary School</v>
          </cell>
          <cell r="D4179" t="str">
            <v>Torbay</v>
          </cell>
          <cell r="E4179" t="str">
            <v>Voluntary Controlled School</v>
          </cell>
          <cell r="F4179" t="str">
            <v>Primary</v>
          </cell>
        </row>
        <row r="4180">
          <cell r="A4180">
            <v>8804118</v>
          </cell>
          <cell r="B4180">
            <v>113527</v>
          </cell>
          <cell r="C4180" t="str">
            <v>Brixham College</v>
          </cell>
          <cell r="D4180" t="str">
            <v>Torbay</v>
          </cell>
          <cell r="E4180" t="str">
            <v>Foundation School</v>
          </cell>
          <cell r="F4180" t="str">
            <v>Secondary</v>
          </cell>
        </row>
        <row r="4181">
          <cell r="A4181">
            <v>8782077</v>
          </cell>
          <cell r="B4181">
            <v>113116</v>
          </cell>
          <cell r="C4181" t="str">
            <v>Brixington Infants' School</v>
          </cell>
          <cell r="D4181" t="str">
            <v>Devon</v>
          </cell>
          <cell r="E4181" t="str">
            <v>Community School</v>
          </cell>
          <cell r="F4181" t="str">
            <v>Primary</v>
          </cell>
        </row>
        <row r="4182">
          <cell r="A4182">
            <v>8782041</v>
          </cell>
          <cell r="B4182">
            <v>113094</v>
          </cell>
          <cell r="C4182" t="str">
            <v>Brixington Junior School</v>
          </cell>
          <cell r="D4182" t="str">
            <v>Devon</v>
          </cell>
          <cell r="E4182" t="str">
            <v>Community School</v>
          </cell>
          <cell r="F4182" t="str">
            <v>Primary</v>
          </cell>
        </row>
        <row r="4183">
          <cell r="A4183">
            <v>8783776</v>
          </cell>
          <cell r="B4183">
            <v>134375</v>
          </cell>
          <cell r="C4183" t="str">
            <v>Brixington Primary School</v>
          </cell>
          <cell r="D4183" t="str">
            <v>Devon</v>
          </cell>
          <cell r="E4183" t="str">
            <v>Community School</v>
          </cell>
          <cell r="F4183" t="str">
            <v>Primary</v>
          </cell>
        </row>
        <row r="4184">
          <cell r="A4184">
            <v>2088021</v>
          </cell>
          <cell r="B4184">
            <v>133120</v>
          </cell>
          <cell r="C4184" t="str">
            <v>Brixton College for Further Education</v>
          </cell>
          <cell r="D4184" t="str">
            <v>Lambeth</v>
          </cell>
          <cell r="E4184" t="str">
            <v>Miscellaneous</v>
          </cell>
          <cell r="F4184" t="str">
            <v>Not applicable</v>
          </cell>
        </row>
        <row r="4185">
          <cell r="A4185">
            <v>9283012</v>
          </cell>
          <cell r="B4185">
            <v>121964</v>
          </cell>
          <cell r="C4185" t="str">
            <v>Brixworth CofE VC Primary School</v>
          </cell>
          <cell r="D4185" t="str">
            <v>Northamptonshire</v>
          </cell>
          <cell r="E4185" t="str">
            <v>Voluntary Controlled School</v>
          </cell>
          <cell r="F4185" t="str">
            <v>Primary</v>
          </cell>
        </row>
        <row r="4186">
          <cell r="A4186">
            <v>9312250</v>
          </cell>
          <cell r="B4186">
            <v>123013</v>
          </cell>
          <cell r="C4186" t="str">
            <v>Brize Norton Primary School</v>
          </cell>
          <cell r="D4186" t="str">
            <v>Oxfordshire</v>
          </cell>
          <cell r="E4186" t="str">
            <v>Community School</v>
          </cell>
          <cell r="F4186" t="str">
            <v>Primary</v>
          </cell>
        </row>
        <row r="4187">
          <cell r="A4187">
            <v>8653449</v>
          </cell>
          <cell r="B4187">
            <v>126435</v>
          </cell>
          <cell r="C4187" t="str">
            <v>Broad Chalke CofE Primary School</v>
          </cell>
          <cell r="D4187" t="str">
            <v>Wiltshire</v>
          </cell>
          <cell r="E4187" t="str">
            <v>Voluntary Aided School</v>
          </cell>
          <cell r="F4187" t="str">
            <v>Primary</v>
          </cell>
        </row>
        <row r="4188">
          <cell r="A4188">
            <v>3737020</v>
          </cell>
          <cell r="B4188">
            <v>107175</v>
          </cell>
          <cell r="C4188" t="str">
            <v>Broad Elms School</v>
          </cell>
          <cell r="D4188" t="str">
            <v>Sheffield</v>
          </cell>
          <cell r="E4188" t="str">
            <v>Community Special School</v>
          </cell>
          <cell r="F4188" t="str">
            <v>Special</v>
          </cell>
        </row>
        <row r="4189">
          <cell r="A4189">
            <v>6682271</v>
          </cell>
          <cell r="B4189">
            <v>400692</v>
          </cell>
          <cell r="C4189" t="str">
            <v>Broad Haven C.P. School</v>
          </cell>
          <cell r="D4189" t="str">
            <v>Pembrokeshire</v>
          </cell>
          <cell r="E4189" t="str">
            <v>Welsh Establishment</v>
          </cell>
          <cell r="F4189" t="str">
            <v>Primary</v>
          </cell>
        </row>
        <row r="4190">
          <cell r="A4190">
            <v>3312149</v>
          </cell>
          <cell r="B4190">
            <v>103672</v>
          </cell>
          <cell r="C4190" t="str">
            <v>Broad Heath Community Primary School</v>
          </cell>
          <cell r="D4190" t="str">
            <v>Coventry</v>
          </cell>
          <cell r="E4190" t="str">
            <v>Community School</v>
          </cell>
          <cell r="F4190" t="str">
            <v>Primary</v>
          </cell>
        </row>
        <row r="4191">
          <cell r="A4191">
            <v>8653018</v>
          </cell>
          <cell r="B4191">
            <v>126305</v>
          </cell>
          <cell r="C4191" t="str">
            <v>Broad Hinton Church of England Primary School</v>
          </cell>
          <cell r="D4191" t="str">
            <v>Wiltshire</v>
          </cell>
          <cell r="E4191" t="str">
            <v>Voluntary Controlled School</v>
          </cell>
          <cell r="F4191" t="str">
            <v>Primary</v>
          </cell>
        </row>
        <row r="4192">
          <cell r="A4192">
            <v>3834025</v>
          </cell>
          <cell r="B4192">
            <v>127971</v>
          </cell>
          <cell r="C4192" t="str">
            <v>Broad Lane Middle School</v>
          </cell>
          <cell r="D4192" t="str">
            <v>Leeds</v>
          </cell>
          <cell r="E4192" t="str">
            <v>Community School</v>
          </cell>
          <cell r="F4192" t="str">
            <v>Middle Deemed Secondary</v>
          </cell>
        </row>
        <row r="4193">
          <cell r="A4193">
            <v>8452055</v>
          </cell>
          <cell r="B4193">
            <v>114390</v>
          </cell>
          <cell r="C4193" t="str">
            <v>Broad Oak Community Primary School</v>
          </cell>
          <cell r="D4193" t="str">
            <v>East Sussex</v>
          </cell>
          <cell r="E4193" t="str">
            <v>Community School</v>
          </cell>
          <cell r="F4193" t="str">
            <v>Primary</v>
          </cell>
        </row>
        <row r="4194">
          <cell r="A4194">
            <v>3422070</v>
          </cell>
          <cell r="B4194">
            <v>130259</v>
          </cell>
          <cell r="C4194" t="str">
            <v>Broad Oak Community Primary School</v>
          </cell>
          <cell r="D4194" t="str">
            <v>St. Helens</v>
          </cell>
          <cell r="E4194" t="str">
            <v>Community School</v>
          </cell>
          <cell r="F4194" t="str">
            <v>Primary</v>
          </cell>
        </row>
        <row r="4195">
          <cell r="A4195">
            <v>3522298</v>
          </cell>
          <cell r="B4195">
            <v>105467</v>
          </cell>
          <cell r="C4195" t="str">
            <v>Broad Oak Primary School</v>
          </cell>
          <cell r="D4195" t="str">
            <v>Manchester</v>
          </cell>
          <cell r="E4195" t="str">
            <v>Community School</v>
          </cell>
          <cell r="F4195" t="str">
            <v>Primary</v>
          </cell>
        </row>
        <row r="4196">
          <cell r="A4196">
            <v>3514032</v>
          </cell>
          <cell r="B4196">
            <v>105364</v>
          </cell>
          <cell r="C4196" t="str">
            <v>Broad Oak Sports College</v>
          </cell>
          <cell r="D4196" t="str">
            <v>Bury</v>
          </cell>
          <cell r="E4196" t="str">
            <v>Community School</v>
          </cell>
          <cell r="F4196" t="str">
            <v>Secondary</v>
          </cell>
        </row>
        <row r="4197">
          <cell r="A4197">
            <v>9192247</v>
          </cell>
          <cell r="B4197">
            <v>129120</v>
          </cell>
          <cell r="C4197" t="str">
            <v>Broad Oaks Junior Mixed School</v>
          </cell>
          <cell r="D4197" t="str">
            <v>Hertfordshire</v>
          </cell>
          <cell r="E4197" t="str">
            <v>Community School</v>
          </cell>
          <cell r="F4197" t="str">
            <v>Primary</v>
          </cell>
        </row>
        <row r="4198">
          <cell r="A4198">
            <v>3413023</v>
          </cell>
          <cell r="B4198">
            <v>133335</v>
          </cell>
          <cell r="C4198" t="str">
            <v>Broad Square Community Primary School</v>
          </cell>
          <cell r="D4198" t="str">
            <v>Liverpool</v>
          </cell>
          <cell r="E4198" t="str">
            <v>Community School</v>
          </cell>
          <cell r="F4198" t="str">
            <v>Primary</v>
          </cell>
        </row>
        <row r="4199">
          <cell r="A4199">
            <v>3412028</v>
          </cell>
          <cell r="B4199">
            <v>104526</v>
          </cell>
          <cell r="C4199" t="str">
            <v>Broad Square Infant School</v>
          </cell>
          <cell r="D4199" t="str">
            <v>Liverpool</v>
          </cell>
          <cell r="E4199" t="str">
            <v>Community School</v>
          </cell>
          <cell r="F4199" t="str">
            <v>Primary</v>
          </cell>
        </row>
        <row r="4200">
          <cell r="A4200">
            <v>3412027</v>
          </cell>
          <cell r="B4200">
            <v>104525</v>
          </cell>
          <cell r="C4200" t="str">
            <v>Broad Square Junior School</v>
          </cell>
          <cell r="D4200" t="str">
            <v>Liverpool</v>
          </cell>
          <cell r="E4200" t="str">
            <v>Community School</v>
          </cell>
          <cell r="F4200" t="str">
            <v>Primary</v>
          </cell>
        </row>
        <row r="4201">
          <cell r="A4201">
            <v>8752203</v>
          </cell>
          <cell r="B4201">
            <v>111062</v>
          </cell>
          <cell r="C4201" t="str">
            <v>Broad Street Nursery and Infant School</v>
          </cell>
          <cell r="D4201" t="str">
            <v>Pre LGR (2009) Cheshire</v>
          </cell>
          <cell r="E4201" t="str">
            <v>Community School</v>
          </cell>
          <cell r="F4201" t="str">
            <v>Primary</v>
          </cell>
        </row>
        <row r="4202">
          <cell r="A4202">
            <v>8653019</v>
          </cell>
          <cell r="B4202">
            <v>126306</v>
          </cell>
          <cell r="C4202" t="str">
            <v>Broad Town Church of England Primary School</v>
          </cell>
          <cell r="D4202" t="str">
            <v>Wiltshire</v>
          </cell>
          <cell r="E4202" t="str">
            <v>Voluntary Controlled School</v>
          </cell>
          <cell r="F4202" t="str">
            <v>Primary</v>
          </cell>
        </row>
        <row r="4203">
          <cell r="A4203">
            <v>8102884</v>
          </cell>
          <cell r="B4203">
            <v>117913</v>
          </cell>
          <cell r="C4203" t="str">
            <v>Broadacre Primary School</v>
          </cell>
          <cell r="D4203" t="str">
            <v>Kingston upon Hull City of</v>
          </cell>
          <cell r="E4203" t="str">
            <v>Community School</v>
          </cell>
          <cell r="F4203" t="str">
            <v>Primary</v>
          </cell>
        </row>
        <row r="4204">
          <cell r="A4204">
            <v>9344515</v>
          </cell>
          <cell r="B4204">
            <v>129953</v>
          </cell>
          <cell r="C4204" t="str">
            <v>Broadacres CofE Middle School</v>
          </cell>
          <cell r="D4204" t="str">
            <v>Pre LGR (1997) Staffordshire</v>
          </cell>
          <cell r="E4204" t="str">
            <v>Voluntary Controlled School</v>
          </cell>
          <cell r="F4204" t="str">
            <v>Middle Deemed Secondary</v>
          </cell>
        </row>
        <row r="4205">
          <cell r="A4205">
            <v>3572025</v>
          </cell>
          <cell r="B4205">
            <v>106193</v>
          </cell>
          <cell r="C4205" t="str">
            <v>Broadbent Fold Primary School and Nursery</v>
          </cell>
          <cell r="D4205" t="str">
            <v>Tameside</v>
          </cell>
          <cell r="E4205" t="str">
            <v>Community School</v>
          </cell>
          <cell r="F4205" t="str">
            <v>Primary</v>
          </cell>
        </row>
        <row r="4206">
          <cell r="A4206">
            <v>3573001</v>
          </cell>
          <cell r="B4206">
            <v>106227</v>
          </cell>
          <cell r="C4206" t="str">
            <v>Broadbottom Church of England Primary School</v>
          </cell>
          <cell r="D4206" t="str">
            <v>Tameside</v>
          </cell>
          <cell r="E4206" t="str">
            <v>Voluntary Controlled School</v>
          </cell>
          <cell r="F4206" t="str">
            <v>Primary</v>
          </cell>
        </row>
        <row r="4207">
          <cell r="A4207">
            <v>8886099</v>
          </cell>
          <cell r="B4207">
            <v>135303</v>
          </cell>
          <cell r="C4207" t="str">
            <v>Broadclough Lodge</v>
          </cell>
          <cell r="D4207" t="str">
            <v>Lancashire</v>
          </cell>
          <cell r="E4207" t="str">
            <v>Other Independent Special School</v>
          </cell>
          <cell r="F4207" t="str">
            <v>Not applicable</v>
          </cell>
        </row>
        <row r="4208">
          <cell r="A4208">
            <v>8782004</v>
          </cell>
          <cell r="B4208">
            <v>113062</v>
          </cell>
          <cell r="C4208" t="str">
            <v>Broadclyst Community Primary School</v>
          </cell>
          <cell r="D4208" t="str">
            <v>Devon</v>
          </cell>
          <cell r="E4208" t="str">
            <v>Community School</v>
          </cell>
          <cell r="F4208" t="str">
            <v>Primary</v>
          </cell>
        </row>
        <row r="4209">
          <cell r="A4209">
            <v>3542001</v>
          </cell>
          <cell r="B4209">
            <v>134220</v>
          </cell>
          <cell r="C4209" t="str">
            <v>Broadfield Community Primary School</v>
          </cell>
          <cell r="D4209" t="str">
            <v>Rochdale</v>
          </cell>
          <cell r="E4209" t="str">
            <v>Community School</v>
          </cell>
          <cell r="F4209" t="str">
            <v>Primary</v>
          </cell>
        </row>
        <row r="4210">
          <cell r="A4210">
            <v>8882375</v>
          </cell>
          <cell r="B4210">
            <v>119274</v>
          </cell>
          <cell r="C4210" t="str">
            <v>Broadfield County Junior School</v>
          </cell>
          <cell r="D4210" t="str">
            <v>Lancashire</v>
          </cell>
          <cell r="E4210" t="str">
            <v>Community School</v>
          </cell>
          <cell r="F4210" t="str">
            <v>Primary</v>
          </cell>
        </row>
        <row r="4211">
          <cell r="A4211">
            <v>9382184</v>
          </cell>
          <cell r="B4211">
            <v>125920</v>
          </cell>
          <cell r="C4211" t="str">
            <v>Broadfield East Infant School and Nursery</v>
          </cell>
          <cell r="D4211" t="str">
            <v>West Sussex</v>
          </cell>
          <cell r="E4211" t="str">
            <v>Community School</v>
          </cell>
          <cell r="F4211" t="str">
            <v>Primary</v>
          </cell>
        </row>
        <row r="4212">
          <cell r="A4212">
            <v>9382234</v>
          </cell>
          <cell r="B4212">
            <v>125957</v>
          </cell>
          <cell r="C4212" t="str">
            <v>Broadfield East Junior School</v>
          </cell>
          <cell r="D4212" t="str">
            <v>West Sussex</v>
          </cell>
          <cell r="E4212" t="str">
            <v>Community School</v>
          </cell>
          <cell r="F4212" t="str">
            <v>Primary</v>
          </cell>
        </row>
        <row r="4213">
          <cell r="A4213">
            <v>9192212</v>
          </cell>
          <cell r="B4213">
            <v>117216</v>
          </cell>
          <cell r="C4213" t="str">
            <v>Broadfield Infants' School</v>
          </cell>
          <cell r="D4213" t="str">
            <v>Hertfordshire</v>
          </cell>
          <cell r="E4213" t="str">
            <v>Community School</v>
          </cell>
          <cell r="F4213" t="str">
            <v>Primary</v>
          </cell>
        </row>
        <row r="4214">
          <cell r="A4214">
            <v>9192211</v>
          </cell>
          <cell r="B4214">
            <v>117215</v>
          </cell>
          <cell r="C4214" t="str">
            <v>Broadfield Junior School</v>
          </cell>
          <cell r="D4214" t="str">
            <v>Hertfordshire</v>
          </cell>
          <cell r="E4214" t="str">
            <v>Community School</v>
          </cell>
          <cell r="F4214" t="str">
            <v>Primary</v>
          </cell>
        </row>
        <row r="4215">
          <cell r="A4215">
            <v>3532095</v>
          </cell>
          <cell r="B4215">
            <v>105676</v>
          </cell>
          <cell r="C4215" t="str">
            <v>Broadfield Primary School</v>
          </cell>
          <cell r="D4215" t="str">
            <v>Oldham</v>
          </cell>
          <cell r="E4215" t="str">
            <v>Foundation School</v>
          </cell>
          <cell r="F4215" t="str">
            <v>Primary</v>
          </cell>
        </row>
        <row r="4216">
          <cell r="A4216">
            <v>9193991</v>
          </cell>
          <cell r="B4216">
            <v>135339</v>
          </cell>
          <cell r="C4216" t="str">
            <v>Broadfield Primary School</v>
          </cell>
          <cell r="D4216" t="str">
            <v>Hertfordshire</v>
          </cell>
          <cell r="E4216" t="str">
            <v>Community School</v>
          </cell>
          <cell r="F4216" t="str">
            <v>Primary</v>
          </cell>
        </row>
        <row r="4217">
          <cell r="A4217">
            <v>8887060</v>
          </cell>
          <cell r="B4217">
            <v>119883</v>
          </cell>
          <cell r="C4217" t="str">
            <v>Broadfield Specialist School</v>
          </cell>
          <cell r="D4217" t="str">
            <v>Lancashire</v>
          </cell>
          <cell r="E4217" t="str">
            <v>Community Special School</v>
          </cell>
          <cell r="F4217" t="str">
            <v>Special</v>
          </cell>
        </row>
        <row r="4218">
          <cell r="A4218">
            <v>3544080</v>
          </cell>
          <cell r="B4218">
            <v>127457</v>
          </cell>
          <cell r="C4218" t="str">
            <v>Broadfield Upper School</v>
          </cell>
          <cell r="D4218" t="str">
            <v>Rochdale</v>
          </cell>
          <cell r="E4218" t="str">
            <v>Community School</v>
          </cell>
          <cell r="F4218" t="str">
            <v>Secondary</v>
          </cell>
        </row>
        <row r="4219">
          <cell r="A4219">
            <v>3022006</v>
          </cell>
          <cell r="B4219">
            <v>101261</v>
          </cell>
          <cell r="C4219" t="str">
            <v>Broadfields Infant School</v>
          </cell>
          <cell r="D4219" t="str">
            <v>Barnet</v>
          </cell>
          <cell r="E4219" t="str">
            <v>Community School</v>
          </cell>
          <cell r="F4219" t="str">
            <v>Primary</v>
          </cell>
        </row>
        <row r="4220">
          <cell r="A4220">
            <v>3022005</v>
          </cell>
          <cell r="B4220">
            <v>101260</v>
          </cell>
          <cell r="C4220" t="str">
            <v>Broadfields Junior School</v>
          </cell>
          <cell r="D4220" t="str">
            <v>Barnet</v>
          </cell>
          <cell r="E4220" t="str">
            <v>Community School</v>
          </cell>
          <cell r="F4220" t="str">
            <v>Primary</v>
          </cell>
        </row>
        <row r="4221">
          <cell r="A4221">
            <v>8812675</v>
          </cell>
          <cell r="B4221">
            <v>114943</v>
          </cell>
          <cell r="C4221" t="str">
            <v>Broadfields Primary School</v>
          </cell>
          <cell r="D4221" t="str">
            <v>Essex</v>
          </cell>
          <cell r="E4221" t="str">
            <v>Community School</v>
          </cell>
          <cell r="F4221" t="str">
            <v>Primary</v>
          </cell>
        </row>
        <row r="4222">
          <cell r="A4222">
            <v>3023519</v>
          </cell>
          <cell r="B4222">
            <v>134854</v>
          </cell>
          <cell r="C4222" t="str">
            <v>Broadfields Primary School</v>
          </cell>
          <cell r="D4222" t="str">
            <v>Barnet</v>
          </cell>
          <cell r="E4222" t="str">
            <v>Community School</v>
          </cell>
          <cell r="F4222" t="str">
            <v>Primary</v>
          </cell>
        </row>
        <row r="4223">
          <cell r="A4223">
            <v>3112081</v>
          </cell>
          <cell r="B4223">
            <v>102317</v>
          </cell>
          <cell r="C4223" t="str">
            <v>Broadford Primary School</v>
          </cell>
          <cell r="D4223" t="str">
            <v>Havering</v>
          </cell>
          <cell r="E4223" t="str">
            <v>Community School</v>
          </cell>
          <cell r="F4223" t="str">
            <v>Primary</v>
          </cell>
        </row>
        <row r="4224">
          <cell r="A4224">
            <v>3832341</v>
          </cell>
          <cell r="B4224">
            <v>127898</v>
          </cell>
          <cell r="C4224" t="str">
            <v>Broadgate Infant School</v>
          </cell>
          <cell r="D4224" t="str">
            <v>Leeds</v>
          </cell>
          <cell r="E4224" t="str">
            <v>Community School</v>
          </cell>
          <cell r="F4224" t="str">
            <v>Primary</v>
          </cell>
        </row>
        <row r="4225">
          <cell r="A4225">
            <v>3832316</v>
          </cell>
          <cell r="B4225">
            <v>127892</v>
          </cell>
          <cell r="C4225" t="str">
            <v>Broadgate Junior School</v>
          </cell>
          <cell r="D4225" t="str">
            <v>Leeds</v>
          </cell>
          <cell r="E4225" t="str">
            <v>Community School</v>
          </cell>
          <cell r="F4225" t="str">
            <v>Primary</v>
          </cell>
        </row>
        <row r="4226">
          <cell r="A4226">
            <v>3832398</v>
          </cell>
          <cell r="B4226">
            <v>107874</v>
          </cell>
          <cell r="C4226" t="str">
            <v>Broadgate Primary School</v>
          </cell>
          <cell r="D4226" t="str">
            <v>Leeds</v>
          </cell>
          <cell r="E4226" t="str">
            <v>Community School</v>
          </cell>
          <cell r="F4226" t="str">
            <v>Primary</v>
          </cell>
        </row>
        <row r="4227">
          <cell r="A4227">
            <v>9306013</v>
          </cell>
          <cell r="B4227">
            <v>122917</v>
          </cell>
          <cell r="C4227" t="str">
            <v>Broadgate School</v>
          </cell>
          <cell r="D4227" t="str">
            <v>Pre LGR (1998) Nottinghamshire</v>
          </cell>
          <cell r="E4227" t="str">
            <v>Other Independent School</v>
          </cell>
          <cell r="F4227" t="str">
            <v>Not applicable</v>
          </cell>
        </row>
        <row r="4228">
          <cell r="A4228">
            <v>3412026</v>
          </cell>
          <cell r="B4228">
            <v>127258</v>
          </cell>
          <cell r="C4228" t="str">
            <v>Broadgreen County Infant School</v>
          </cell>
          <cell r="D4228" t="str">
            <v>Liverpool</v>
          </cell>
          <cell r="E4228" t="str">
            <v>Community School</v>
          </cell>
          <cell r="F4228" t="str">
            <v>Primary</v>
          </cell>
        </row>
        <row r="4229">
          <cell r="A4229">
            <v>3412024</v>
          </cell>
          <cell r="B4229">
            <v>127257</v>
          </cell>
          <cell r="C4229" t="str">
            <v>Broadgreen County Junior School</v>
          </cell>
          <cell r="D4229" t="str">
            <v>Liverpool</v>
          </cell>
          <cell r="E4229" t="str">
            <v>Community School</v>
          </cell>
          <cell r="F4229" t="str">
            <v>Primary</v>
          </cell>
        </row>
        <row r="4230">
          <cell r="A4230">
            <v>3414425</v>
          </cell>
          <cell r="B4230">
            <v>104696</v>
          </cell>
          <cell r="C4230" t="str">
            <v>Broadgreen International School, A Technology College</v>
          </cell>
          <cell r="D4230" t="str">
            <v>Liverpool</v>
          </cell>
          <cell r="E4230" t="str">
            <v>Foundation School</v>
          </cell>
          <cell r="F4230" t="str">
            <v>Secondary</v>
          </cell>
        </row>
        <row r="4231">
          <cell r="A4231">
            <v>3412215</v>
          </cell>
          <cell r="B4231">
            <v>104611</v>
          </cell>
          <cell r="C4231" t="str">
            <v>Broadgreen Primary School</v>
          </cell>
          <cell r="D4231" t="str">
            <v>Liverpool</v>
          </cell>
          <cell r="E4231" t="str">
            <v>Foundation School</v>
          </cell>
          <cell r="F4231" t="str">
            <v>Primary</v>
          </cell>
        </row>
        <row r="4232">
          <cell r="A4232">
            <v>8853008</v>
          </cell>
          <cell r="B4232">
            <v>116787</v>
          </cell>
          <cell r="C4232" t="str">
            <v>Broadheath CofE Primary School</v>
          </cell>
          <cell r="D4232" t="str">
            <v>Worcestershire</v>
          </cell>
          <cell r="E4232" t="str">
            <v>Voluntary Controlled School</v>
          </cell>
          <cell r="F4232" t="str">
            <v>Primary</v>
          </cell>
        </row>
        <row r="4233">
          <cell r="A4233">
            <v>3582007</v>
          </cell>
          <cell r="B4233">
            <v>106289</v>
          </cell>
          <cell r="C4233" t="str">
            <v>Broadheath Primary School</v>
          </cell>
          <cell r="D4233" t="str">
            <v>Trafford</v>
          </cell>
          <cell r="E4233" t="str">
            <v>Community School</v>
          </cell>
          <cell r="F4233" t="str">
            <v>Primary</v>
          </cell>
        </row>
        <row r="4234">
          <cell r="A4234">
            <v>8783003</v>
          </cell>
          <cell r="B4234">
            <v>113349</v>
          </cell>
          <cell r="C4234" t="str">
            <v>Broadhembury Church of England Primary School</v>
          </cell>
          <cell r="D4234" t="str">
            <v>Devon</v>
          </cell>
          <cell r="E4234" t="str">
            <v>Voluntary Controlled School</v>
          </cell>
          <cell r="F4234" t="str">
            <v>Primary</v>
          </cell>
        </row>
        <row r="4235">
          <cell r="A4235">
            <v>8782408</v>
          </cell>
          <cell r="B4235">
            <v>113191</v>
          </cell>
          <cell r="C4235" t="str">
            <v>Broadhempston Village Primary School</v>
          </cell>
          <cell r="D4235" t="str">
            <v>Devon</v>
          </cell>
          <cell r="E4235" t="str">
            <v>Community School</v>
          </cell>
          <cell r="F4235" t="str">
            <v>Primary</v>
          </cell>
        </row>
        <row r="4236">
          <cell r="A4236">
            <v>3522247</v>
          </cell>
          <cell r="B4236">
            <v>105451</v>
          </cell>
          <cell r="C4236" t="str">
            <v>Broadhurst Primary School</v>
          </cell>
          <cell r="D4236" t="str">
            <v>Manchester</v>
          </cell>
          <cell r="E4236" t="str">
            <v>Community School</v>
          </cell>
          <cell r="F4236" t="str">
            <v>Primary</v>
          </cell>
        </row>
        <row r="4237">
          <cell r="A4237">
            <v>2026384</v>
          </cell>
          <cell r="B4237">
            <v>100081</v>
          </cell>
          <cell r="C4237" t="str">
            <v>Broadhurst School</v>
          </cell>
          <cell r="D4237" t="str">
            <v>Camden</v>
          </cell>
          <cell r="E4237" t="str">
            <v>Other Independent School</v>
          </cell>
          <cell r="F4237" t="str">
            <v>Not applicable</v>
          </cell>
        </row>
        <row r="4238">
          <cell r="A4238">
            <v>9264037</v>
          </cell>
          <cell r="B4238">
            <v>121159</v>
          </cell>
          <cell r="C4238" t="str">
            <v>Broadland High School</v>
          </cell>
          <cell r="D4238" t="str">
            <v>Norfolk</v>
          </cell>
          <cell r="E4238" t="str">
            <v>Community School</v>
          </cell>
          <cell r="F4238" t="str">
            <v>Secondary</v>
          </cell>
        </row>
        <row r="4239">
          <cell r="A4239">
            <v>9356086</v>
          </cell>
          <cell r="B4239">
            <v>135252</v>
          </cell>
          <cell r="C4239" t="str">
            <v>Broadlands Hall</v>
          </cell>
          <cell r="D4239" t="str">
            <v>Suffolk</v>
          </cell>
          <cell r="E4239" t="str">
            <v>Other Independent Special School</v>
          </cell>
          <cell r="F4239" t="str">
            <v>Not applicable</v>
          </cell>
        </row>
        <row r="4240">
          <cell r="A4240">
            <v>8842056</v>
          </cell>
          <cell r="B4240">
            <v>116679</v>
          </cell>
          <cell r="C4240" t="str">
            <v>Broadlands Primary School</v>
          </cell>
          <cell r="D4240" t="str">
            <v>Herefordshire</v>
          </cell>
          <cell r="E4240" t="str">
            <v>Community School</v>
          </cell>
          <cell r="F4240" t="str">
            <v>Primary</v>
          </cell>
        </row>
        <row r="4241">
          <cell r="A4241">
            <v>8004131</v>
          </cell>
          <cell r="B4241">
            <v>109304</v>
          </cell>
          <cell r="C4241" t="str">
            <v>Broadlands School</v>
          </cell>
          <cell r="D4241" t="str">
            <v>Bath and North East Somerset</v>
          </cell>
          <cell r="E4241" t="str">
            <v>Community School</v>
          </cell>
          <cell r="F4241" t="str">
            <v>Secondary</v>
          </cell>
        </row>
        <row r="4242">
          <cell r="A4242">
            <v>8897105</v>
          </cell>
          <cell r="B4242">
            <v>119899</v>
          </cell>
          <cell r="C4242" t="str">
            <v>Broadlands Virtual School</v>
          </cell>
          <cell r="D4242" t="str">
            <v>Blackburn with Darwen</v>
          </cell>
          <cell r="E4242" t="str">
            <v>Community Special School</v>
          </cell>
          <cell r="F4242" t="str">
            <v>Special</v>
          </cell>
        </row>
        <row r="4243">
          <cell r="A4243">
            <v>9212033</v>
          </cell>
          <cell r="B4243">
            <v>118175</v>
          </cell>
          <cell r="C4243" t="str">
            <v>Broadlea Primary School</v>
          </cell>
          <cell r="D4243" t="str">
            <v>Isle of Wight</v>
          </cell>
          <cell r="E4243" t="str">
            <v>Community School</v>
          </cell>
          <cell r="F4243" t="str">
            <v>Primary</v>
          </cell>
        </row>
        <row r="4244">
          <cell r="A4244">
            <v>8352005</v>
          </cell>
          <cell r="B4244">
            <v>113661</v>
          </cell>
          <cell r="C4244" t="str">
            <v>Broadmayne First School</v>
          </cell>
          <cell r="D4244" t="str">
            <v>Dorset</v>
          </cell>
          <cell r="E4244" t="str">
            <v>Community School</v>
          </cell>
          <cell r="F4244" t="str">
            <v>Primary</v>
          </cell>
        </row>
        <row r="4245">
          <cell r="A4245">
            <v>3062044</v>
          </cell>
          <cell r="B4245">
            <v>101740</v>
          </cell>
          <cell r="C4245" t="str">
            <v>Broadmead Junior School</v>
          </cell>
          <cell r="D4245" t="str">
            <v>Croydon</v>
          </cell>
          <cell r="E4245" t="str">
            <v>Community School</v>
          </cell>
          <cell r="F4245" t="str">
            <v>Primary</v>
          </cell>
        </row>
        <row r="4246">
          <cell r="A4246">
            <v>8222128</v>
          </cell>
          <cell r="B4246">
            <v>109483</v>
          </cell>
          <cell r="C4246" t="str">
            <v>Broadmead Lower School</v>
          </cell>
          <cell r="D4246" t="str">
            <v>Bedford</v>
          </cell>
          <cell r="E4246" t="str">
            <v>Community School</v>
          </cell>
          <cell r="F4246" t="str">
            <v>Primary</v>
          </cell>
        </row>
        <row r="4247">
          <cell r="A4247">
            <v>3062089</v>
          </cell>
          <cell r="B4247">
            <v>101775</v>
          </cell>
          <cell r="C4247" t="str">
            <v>Broadmead Nursery and Infant School</v>
          </cell>
          <cell r="D4247" t="str">
            <v>Croydon</v>
          </cell>
          <cell r="E4247" t="str">
            <v>Community School</v>
          </cell>
          <cell r="F4247" t="str">
            <v>Primary</v>
          </cell>
        </row>
        <row r="4248">
          <cell r="A4248">
            <v>3062112</v>
          </cell>
          <cell r="B4248">
            <v>136055</v>
          </cell>
          <cell r="C4248" t="str">
            <v>Broadmead Primary School</v>
          </cell>
          <cell r="D4248" t="str">
            <v>Croydon</v>
          </cell>
          <cell r="E4248" t="str">
            <v>Community School</v>
          </cell>
          <cell r="F4248" t="str">
            <v>Primary</v>
          </cell>
        </row>
        <row r="4249">
          <cell r="A4249">
            <v>8216009</v>
          </cell>
          <cell r="B4249">
            <v>109725</v>
          </cell>
          <cell r="C4249" t="str">
            <v>Broadmead School</v>
          </cell>
          <cell r="D4249" t="str">
            <v>Luton</v>
          </cell>
          <cell r="E4249" t="str">
            <v>Other Independent School</v>
          </cell>
          <cell r="F4249" t="str">
            <v>Not applicable</v>
          </cell>
        </row>
        <row r="4250">
          <cell r="A4250">
            <v>3302238</v>
          </cell>
          <cell r="B4250">
            <v>103288</v>
          </cell>
          <cell r="C4250" t="str">
            <v>Broadmeadow Infant School</v>
          </cell>
          <cell r="D4250" t="str">
            <v>Birmingham</v>
          </cell>
          <cell r="E4250" t="str">
            <v>Community School</v>
          </cell>
          <cell r="F4250" t="str">
            <v>Primary</v>
          </cell>
        </row>
        <row r="4251">
          <cell r="A4251">
            <v>3302236</v>
          </cell>
          <cell r="B4251">
            <v>103286</v>
          </cell>
          <cell r="C4251" t="str">
            <v>Broadmeadow Junior School</v>
          </cell>
          <cell r="D4251" t="str">
            <v>Birmingham</v>
          </cell>
          <cell r="E4251" t="str">
            <v>Community School</v>
          </cell>
          <cell r="F4251" t="str">
            <v>Primary</v>
          </cell>
        </row>
        <row r="4252">
          <cell r="A4252">
            <v>3367011</v>
          </cell>
          <cell r="B4252">
            <v>104416</v>
          </cell>
          <cell r="C4252" t="str">
            <v>Broadmeadow Special School</v>
          </cell>
          <cell r="D4252" t="str">
            <v>Wolverhampton</v>
          </cell>
          <cell r="E4252" t="str">
            <v>Community Special School</v>
          </cell>
          <cell r="F4252" t="str">
            <v>Special</v>
          </cell>
        </row>
        <row r="4253">
          <cell r="A4253">
            <v>9362926</v>
          </cell>
          <cell r="B4253">
            <v>125105</v>
          </cell>
          <cell r="C4253" t="str">
            <v>Broadmere Community Primary School</v>
          </cell>
          <cell r="D4253" t="str">
            <v>Surrey</v>
          </cell>
          <cell r="E4253" t="str">
            <v>Community School</v>
          </cell>
          <cell r="F4253" t="str">
            <v>Primary</v>
          </cell>
        </row>
        <row r="4254">
          <cell r="A4254">
            <v>3572035</v>
          </cell>
          <cell r="B4254">
            <v>127528</v>
          </cell>
          <cell r="C4254" t="str">
            <v>Broadoak County Infant School</v>
          </cell>
          <cell r="D4254" t="str">
            <v>Tameside</v>
          </cell>
          <cell r="E4254" t="str">
            <v>Community School</v>
          </cell>
          <cell r="F4254" t="str">
            <v>Primary</v>
          </cell>
        </row>
        <row r="4255">
          <cell r="A4255">
            <v>3552083</v>
          </cell>
          <cell r="B4255">
            <v>127470</v>
          </cell>
          <cell r="C4255" t="str">
            <v>Broadoak Infant School</v>
          </cell>
          <cell r="D4255" t="str">
            <v>Salford</v>
          </cell>
          <cell r="E4255" t="str">
            <v>Community School</v>
          </cell>
          <cell r="F4255" t="str">
            <v>Primary</v>
          </cell>
        </row>
        <row r="4256">
          <cell r="A4256">
            <v>3552080</v>
          </cell>
          <cell r="B4256">
            <v>127469</v>
          </cell>
          <cell r="C4256" t="str">
            <v>Broadoak Junior School</v>
          </cell>
          <cell r="D4256" t="str">
            <v>Salford</v>
          </cell>
          <cell r="E4256" t="str">
            <v>Community School</v>
          </cell>
          <cell r="F4256" t="str">
            <v>Primary</v>
          </cell>
        </row>
        <row r="4257">
          <cell r="A4257">
            <v>8024142</v>
          </cell>
          <cell r="B4257">
            <v>109315</v>
          </cell>
          <cell r="C4257" t="str">
            <v>Broadoak Mathematics and Computing College</v>
          </cell>
          <cell r="D4257" t="str">
            <v>North Somerset</v>
          </cell>
          <cell r="E4257" t="str">
            <v>Community School</v>
          </cell>
          <cell r="F4257" t="str">
            <v>Secondary</v>
          </cell>
        </row>
        <row r="4258">
          <cell r="A4258">
            <v>3552090</v>
          </cell>
          <cell r="B4258">
            <v>105923</v>
          </cell>
          <cell r="C4258" t="str">
            <v>Broadoak Primary School</v>
          </cell>
          <cell r="D4258" t="str">
            <v>Salford</v>
          </cell>
          <cell r="E4258" t="str">
            <v>Community School</v>
          </cell>
          <cell r="F4258" t="str">
            <v>Primary</v>
          </cell>
        </row>
        <row r="4259">
          <cell r="A4259">
            <v>3572078</v>
          </cell>
          <cell r="B4259">
            <v>106224</v>
          </cell>
          <cell r="C4259" t="str">
            <v>Broadoak Primary School</v>
          </cell>
          <cell r="D4259" t="str">
            <v>Tameside</v>
          </cell>
          <cell r="E4259" t="str">
            <v>Community School</v>
          </cell>
          <cell r="F4259" t="str">
            <v>Primary</v>
          </cell>
        </row>
        <row r="4260">
          <cell r="A4260">
            <v>3552090</v>
          </cell>
          <cell r="B4260">
            <v>137556</v>
          </cell>
          <cell r="C4260" t="str">
            <v>Broadoak Primary School</v>
          </cell>
          <cell r="D4260" t="str">
            <v>Salford</v>
          </cell>
          <cell r="E4260" t="str">
            <v>Academy Converters</v>
          </cell>
          <cell r="F4260" t="str">
            <v>Primary</v>
          </cell>
        </row>
        <row r="4261">
          <cell r="A4261">
            <v>2091100</v>
          </cell>
          <cell r="B4261">
            <v>100669</v>
          </cell>
          <cell r="C4261" t="str">
            <v>Broadoak Rru</v>
          </cell>
          <cell r="D4261" t="str">
            <v>Lewisham</v>
          </cell>
          <cell r="E4261" t="str">
            <v>Pupil Referral Unit</v>
          </cell>
          <cell r="F4261" t="str">
            <v>PRU</v>
          </cell>
        </row>
        <row r="4262">
          <cell r="A4262">
            <v>3584012</v>
          </cell>
          <cell r="B4262">
            <v>106363</v>
          </cell>
          <cell r="C4262" t="str">
            <v>Broadoak School</v>
          </cell>
          <cell r="D4262" t="str">
            <v>Trafford</v>
          </cell>
          <cell r="E4262" t="str">
            <v>Foundation School</v>
          </cell>
          <cell r="F4262" t="str">
            <v>Secondary</v>
          </cell>
        </row>
        <row r="4263">
          <cell r="A4263">
            <v>8362151</v>
          </cell>
          <cell r="B4263">
            <v>113687</v>
          </cell>
          <cell r="C4263" t="str">
            <v>Broadstone First School</v>
          </cell>
          <cell r="D4263" t="str">
            <v>Poole</v>
          </cell>
          <cell r="E4263" t="str">
            <v>Community School</v>
          </cell>
          <cell r="F4263" t="str">
            <v>Primary</v>
          </cell>
        </row>
        <row r="4264">
          <cell r="A4264">
            <v>3562015</v>
          </cell>
          <cell r="B4264">
            <v>106034</v>
          </cell>
          <cell r="C4264" t="str">
            <v>Broadstone Hall Primary School</v>
          </cell>
          <cell r="D4264" t="str">
            <v>Stockport</v>
          </cell>
          <cell r="E4264" t="str">
            <v>Community School</v>
          </cell>
          <cell r="F4264" t="str">
            <v>Primary</v>
          </cell>
        </row>
        <row r="4265">
          <cell r="A4265">
            <v>8364181</v>
          </cell>
          <cell r="B4265">
            <v>113877</v>
          </cell>
          <cell r="C4265" t="str">
            <v>Broadstone Middle School</v>
          </cell>
          <cell r="D4265" t="str">
            <v>Poole</v>
          </cell>
          <cell r="E4265" t="str">
            <v>Community School</v>
          </cell>
          <cell r="F4265" t="str">
            <v>Middle Deemed Secondary</v>
          </cell>
        </row>
        <row r="4266">
          <cell r="A4266">
            <v>3552038</v>
          </cell>
          <cell r="B4266">
            <v>105895</v>
          </cell>
          <cell r="C4266" t="str">
            <v>Broadwalk Primary School</v>
          </cell>
          <cell r="D4266" t="str">
            <v>Salford</v>
          </cell>
          <cell r="E4266" t="str">
            <v>Community School</v>
          </cell>
          <cell r="F4266" t="str">
            <v>Primary</v>
          </cell>
        </row>
        <row r="4267">
          <cell r="A4267">
            <v>8853308</v>
          </cell>
          <cell r="B4267">
            <v>116870</v>
          </cell>
          <cell r="C4267" t="str">
            <v>Broadwas CofE Aided Primary School</v>
          </cell>
          <cell r="D4267" t="str">
            <v>Worcestershire</v>
          </cell>
          <cell r="E4267" t="str">
            <v>Voluntary Aided School</v>
          </cell>
          <cell r="F4267" t="str">
            <v>Primary</v>
          </cell>
        </row>
        <row r="4268">
          <cell r="A4268">
            <v>9383324</v>
          </cell>
          <cell r="B4268">
            <v>126033</v>
          </cell>
          <cell r="C4268" t="str">
            <v>Broadwater CofE First and Middle School</v>
          </cell>
          <cell r="D4268" t="str">
            <v>West Sussex</v>
          </cell>
          <cell r="E4268" t="str">
            <v>Voluntary Aided School</v>
          </cell>
          <cell r="F4268" t="str">
            <v>Middle Deemed Primary</v>
          </cell>
        </row>
        <row r="4269">
          <cell r="A4269">
            <v>9222478</v>
          </cell>
          <cell r="B4269">
            <v>129384</v>
          </cell>
          <cell r="C4269" t="str">
            <v>Broadwater County Infant School</v>
          </cell>
          <cell r="D4269" t="str">
            <v>Pre LGR (1998) Kent</v>
          </cell>
          <cell r="E4269" t="str">
            <v>Community School</v>
          </cell>
          <cell r="F4269" t="str">
            <v>Primary</v>
          </cell>
        </row>
        <row r="4270">
          <cell r="A4270">
            <v>3092056</v>
          </cell>
          <cell r="B4270">
            <v>126902</v>
          </cell>
          <cell r="C4270" t="str">
            <v>Broadwater Farm Infant School</v>
          </cell>
          <cell r="D4270" t="str">
            <v>Haringey</v>
          </cell>
          <cell r="E4270" t="str">
            <v>Community School</v>
          </cell>
          <cell r="F4270" t="str">
            <v>Primary</v>
          </cell>
        </row>
        <row r="4271">
          <cell r="A4271">
            <v>3092071</v>
          </cell>
          <cell r="B4271">
            <v>126905</v>
          </cell>
          <cell r="C4271" t="str">
            <v>Broadwater Farm Junior School</v>
          </cell>
          <cell r="D4271" t="str">
            <v>Haringey</v>
          </cell>
          <cell r="E4271" t="str">
            <v>Community School</v>
          </cell>
          <cell r="F4271" t="str">
            <v>Primary</v>
          </cell>
        </row>
        <row r="4272">
          <cell r="A4272">
            <v>2122157</v>
          </cell>
          <cell r="B4272">
            <v>126679</v>
          </cell>
          <cell r="C4272" t="str">
            <v>Broadwater Infant School</v>
          </cell>
          <cell r="D4272" t="str">
            <v>Wandsworth</v>
          </cell>
          <cell r="E4272" t="str">
            <v>Community School</v>
          </cell>
          <cell r="F4272" t="str">
            <v>Primary</v>
          </cell>
        </row>
        <row r="4273">
          <cell r="A4273">
            <v>9386029</v>
          </cell>
          <cell r="B4273">
            <v>126114</v>
          </cell>
          <cell r="C4273" t="str">
            <v>Broadwater Manor School</v>
          </cell>
          <cell r="D4273" t="str">
            <v>West Sussex</v>
          </cell>
          <cell r="E4273" t="str">
            <v>Other Independent School</v>
          </cell>
          <cell r="F4273" t="str">
            <v>Not applicable</v>
          </cell>
        </row>
        <row r="4274">
          <cell r="A4274">
            <v>2122067</v>
          </cell>
          <cell r="B4274">
            <v>101002</v>
          </cell>
          <cell r="C4274" t="str">
            <v>Broadwater Primary School</v>
          </cell>
          <cell r="D4274" t="str">
            <v>Wandsworth</v>
          </cell>
          <cell r="E4274" t="str">
            <v>Community School</v>
          </cell>
          <cell r="F4274" t="str">
            <v>Primary</v>
          </cell>
        </row>
        <row r="4275">
          <cell r="A4275">
            <v>8862651</v>
          </cell>
          <cell r="B4275">
            <v>118566</v>
          </cell>
          <cell r="C4275" t="str">
            <v>Broadwater Primary School</v>
          </cell>
          <cell r="D4275" t="str">
            <v>Kent</v>
          </cell>
          <cell r="E4275" t="str">
            <v>Community School</v>
          </cell>
          <cell r="F4275" t="str">
            <v>Primary</v>
          </cell>
        </row>
        <row r="4276">
          <cell r="A4276">
            <v>9364058</v>
          </cell>
          <cell r="B4276">
            <v>125249</v>
          </cell>
          <cell r="C4276" t="str">
            <v>Broadwater School</v>
          </cell>
          <cell r="D4276" t="str">
            <v>Surrey</v>
          </cell>
          <cell r="E4276" t="str">
            <v>Community School</v>
          </cell>
          <cell r="F4276" t="str">
            <v>Secondary</v>
          </cell>
        </row>
        <row r="4277">
          <cell r="A4277">
            <v>3424105</v>
          </cell>
          <cell r="B4277">
            <v>104831</v>
          </cell>
          <cell r="C4277" t="str">
            <v>Broadway Community High School</v>
          </cell>
          <cell r="D4277" t="str">
            <v>St. Helens</v>
          </cell>
          <cell r="E4277" t="str">
            <v>Community School</v>
          </cell>
          <cell r="F4277" t="str">
            <v>Secondary</v>
          </cell>
        </row>
        <row r="4278">
          <cell r="A4278">
            <v>3912006</v>
          </cell>
          <cell r="B4278">
            <v>108443</v>
          </cell>
          <cell r="C4278" t="str">
            <v>Broadway East First School</v>
          </cell>
          <cell r="D4278" t="str">
            <v>Newcastle upon Tyne</v>
          </cell>
          <cell r="E4278" t="str">
            <v>Community School</v>
          </cell>
          <cell r="F4278" t="str">
            <v>Primary</v>
          </cell>
        </row>
        <row r="4279">
          <cell r="A4279">
            <v>8852013</v>
          </cell>
          <cell r="B4279">
            <v>116656</v>
          </cell>
          <cell r="C4279" t="str">
            <v>Broadway First School</v>
          </cell>
          <cell r="D4279" t="str">
            <v>Worcestershire</v>
          </cell>
          <cell r="E4279" t="str">
            <v>Community School</v>
          </cell>
          <cell r="F4279" t="str">
            <v>Primary</v>
          </cell>
        </row>
        <row r="4280">
          <cell r="A4280">
            <v>8032231</v>
          </cell>
          <cell r="B4280">
            <v>109057</v>
          </cell>
          <cell r="C4280" t="str">
            <v>Broadway Infant School</v>
          </cell>
          <cell r="D4280" t="str">
            <v>South Gloucestershire</v>
          </cell>
          <cell r="E4280" t="str">
            <v>Community School</v>
          </cell>
          <cell r="F4280" t="str">
            <v>Primary</v>
          </cell>
        </row>
        <row r="4281">
          <cell r="A4281">
            <v>3942004</v>
          </cell>
          <cell r="B4281">
            <v>108757</v>
          </cell>
          <cell r="C4281" t="str">
            <v>Broadway Junior School</v>
          </cell>
          <cell r="D4281" t="str">
            <v>Sunderland</v>
          </cell>
          <cell r="E4281" t="str">
            <v>Community School</v>
          </cell>
          <cell r="F4281" t="str">
            <v>Primary</v>
          </cell>
        </row>
        <row r="4282">
          <cell r="A4282">
            <v>3304227</v>
          </cell>
          <cell r="B4282">
            <v>103511</v>
          </cell>
          <cell r="C4282" t="str">
            <v>Broadway School</v>
          </cell>
          <cell r="D4282" t="str">
            <v>Birmingham</v>
          </cell>
          <cell r="E4282" t="str">
            <v>Community School</v>
          </cell>
          <cell r="F4282" t="str">
            <v>Secondary</v>
          </cell>
        </row>
        <row r="4283">
          <cell r="A4283">
            <v>9163023</v>
          </cell>
          <cell r="B4283">
            <v>128946</v>
          </cell>
          <cell r="C4283" t="str">
            <v>Broadwell CofE Primary School</v>
          </cell>
          <cell r="D4283" t="str">
            <v>Gloucestershire</v>
          </cell>
          <cell r="E4283" t="str">
            <v>Voluntary Controlled School</v>
          </cell>
          <cell r="F4283" t="str">
            <v>Primary</v>
          </cell>
        </row>
        <row r="4284">
          <cell r="A4284">
            <v>8353051</v>
          </cell>
          <cell r="B4284">
            <v>113777</v>
          </cell>
          <cell r="C4284" t="str">
            <v>Broadwindsor Church of England Voluntary Controlled Primary School</v>
          </cell>
          <cell r="D4284" t="str">
            <v>Dorset</v>
          </cell>
          <cell r="E4284" t="str">
            <v>Voluntary Controlled School</v>
          </cell>
          <cell r="F4284" t="str">
            <v>Primary</v>
          </cell>
        </row>
        <row r="4285">
          <cell r="A4285">
            <v>3816010</v>
          </cell>
          <cell r="B4285">
            <v>131960</v>
          </cell>
          <cell r="C4285" t="str">
            <v>Broadwood High School</v>
          </cell>
          <cell r="D4285" t="str">
            <v>Calderdale</v>
          </cell>
          <cell r="E4285" t="str">
            <v>Other Independent Special School</v>
          </cell>
          <cell r="F4285" t="str">
            <v>Not applicable</v>
          </cell>
        </row>
        <row r="4286">
          <cell r="A4286">
            <v>3912226</v>
          </cell>
          <cell r="B4286">
            <v>108469</v>
          </cell>
          <cell r="C4286" t="str">
            <v>Broadwood Infant School</v>
          </cell>
          <cell r="D4286" t="str">
            <v>Newcastle upon Tyne</v>
          </cell>
          <cell r="E4286" t="str">
            <v>Community School</v>
          </cell>
          <cell r="F4286" t="str">
            <v>Primary</v>
          </cell>
        </row>
        <row r="4287">
          <cell r="A4287">
            <v>3912225</v>
          </cell>
          <cell r="B4287">
            <v>108468</v>
          </cell>
          <cell r="C4287" t="str">
            <v>Broadwood Primary School</v>
          </cell>
          <cell r="D4287" t="str">
            <v>Newcastle upon Tyne</v>
          </cell>
          <cell r="E4287" t="str">
            <v>Community School</v>
          </cell>
          <cell r="F4287" t="str">
            <v>Primary</v>
          </cell>
        </row>
        <row r="4288">
          <cell r="A4288">
            <v>8782217</v>
          </cell>
          <cell r="B4288">
            <v>113140</v>
          </cell>
          <cell r="C4288" t="str">
            <v>Broadwoodwidger Primary School</v>
          </cell>
          <cell r="D4288" t="str">
            <v>Devon</v>
          </cell>
          <cell r="E4288" t="str">
            <v>Community School</v>
          </cell>
          <cell r="F4288" t="str">
            <v>Primary</v>
          </cell>
        </row>
        <row r="4289">
          <cell r="A4289">
            <v>9263013</v>
          </cell>
          <cell r="B4289">
            <v>121028</v>
          </cell>
          <cell r="C4289" t="str">
            <v>Brockdish Church of England Voluntary Controlled Primary School</v>
          </cell>
          <cell r="D4289" t="str">
            <v>Norfolk</v>
          </cell>
          <cell r="E4289" t="str">
            <v>Voluntary Controlled School</v>
          </cell>
          <cell r="F4289" t="str">
            <v>Primary</v>
          </cell>
        </row>
        <row r="4290">
          <cell r="A4290">
            <v>8503019</v>
          </cell>
          <cell r="B4290">
            <v>116276</v>
          </cell>
          <cell r="C4290" t="str">
            <v>Brockenhurst Church of England Primary School</v>
          </cell>
          <cell r="D4290" t="str">
            <v>Hampshire</v>
          </cell>
          <cell r="E4290" t="str">
            <v>Voluntary Controlled School</v>
          </cell>
          <cell r="F4290" t="str">
            <v>Primary</v>
          </cell>
        </row>
        <row r="4291">
          <cell r="A4291">
            <v>8508003</v>
          </cell>
          <cell r="B4291">
            <v>130690</v>
          </cell>
          <cell r="C4291" t="str">
            <v>Brockenhurst College</v>
          </cell>
          <cell r="D4291" t="str">
            <v>Hampshire</v>
          </cell>
          <cell r="E4291" t="str">
            <v>Further Education</v>
          </cell>
          <cell r="F4291" t="str">
            <v>16 Plus</v>
          </cell>
        </row>
        <row r="4292">
          <cell r="A4292">
            <v>8032173</v>
          </cell>
          <cell r="B4292">
            <v>109015</v>
          </cell>
          <cell r="C4292" t="str">
            <v>Brockeridge Infant School</v>
          </cell>
          <cell r="D4292" t="str">
            <v>South Gloucestershire</v>
          </cell>
          <cell r="E4292" t="str">
            <v>Community School</v>
          </cell>
          <cell r="F4292" t="str">
            <v>Primary</v>
          </cell>
        </row>
        <row r="4293">
          <cell r="A4293">
            <v>8681102</v>
          </cell>
          <cell r="B4293">
            <v>109768</v>
          </cell>
          <cell r="C4293" t="str">
            <v>Brocket PRU - Alternative Provision</v>
          </cell>
          <cell r="D4293" t="str">
            <v>Windsor and Maidenhead</v>
          </cell>
          <cell r="E4293" t="str">
            <v>Pupil Referral Unit</v>
          </cell>
          <cell r="F4293" t="str">
            <v>PRU</v>
          </cell>
        </row>
        <row r="4294">
          <cell r="A4294">
            <v>8842014</v>
          </cell>
          <cell r="B4294">
            <v>116657</v>
          </cell>
          <cell r="C4294" t="str">
            <v>Brockhampton Primary School</v>
          </cell>
          <cell r="D4294" t="str">
            <v>Herefordshire</v>
          </cell>
          <cell r="E4294" t="str">
            <v>Foundation School</v>
          </cell>
          <cell r="F4294" t="str">
            <v>Primary</v>
          </cell>
        </row>
        <row r="4295">
          <cell r="A4295">
            <v>8842014</v>
          </cell>
          <cell r="B4295">
            <v>137624</v>
          </cell>
          <cell r="C4295" t="str">
            <v>Brockhampton Primary School</v>
          </cell>
          <cell r="D4295" t="str">
            <v>Herefordshire</v>
          </cell>
          <cell r="E4295" t="str">
            <v>Academy Converters</v>
          </cell>
          <cell r="F4295" t="str">
            <v>Primary</v>
          </cell>
        </row>
        <row r="4296">
          <cell r="A4296">
            <v>8865466</v>
          </cell>
          <cell r="B4296">
            <v>118830</v>
          </cell>
          <cell r="C4296" t="str">
            <v>Brockhill Park Performing Arts College</v>
          </cell>
          <cell r="D4296" t="str">
            <v>Kent</v>
          </cell>
          <cell r="E4296" t="str">
            <v>Foundation School</v>
          </cell>
          <cell r="F4296" t="str">
            <v>Secondary</v>
          </cell>
        </row>
        <row r="4297">
          <cell r="A4297">
            <v>8865466</v>
          </cell>
          <cell r="B4297">
            <v>137458</v>
          </cell>
          <cell r="C4297" t="str">
            <v>Brockhill Park Performing Arts College</v>
          </cell>
          <cell r="D4297" t="str">
            <v>Kent</v>
          </cell>
          <cell r="E4297" t="str">
            <v>Academy Converters</v>
          </cell>
          <cell r="F4297" t="str">
            <v>Secondary</v>
          </cell>
        </row>
        <row r="4298">
          <cell r="A4298">
            <v>3823021</v>
          </cell>
          <cell r="B4298">
            <v>107713</v>
          </cell>
          <cell r="C4298" t="str">
            <v>Brockholes Church of England Voluntary Controlled Junior and Infant School</v>
          </cell>
          <cell r="D4298" t="str">
            <v>Kirklees</v>
          </cell>
          <cell r="E4298" t="str">
            <v>Voluntary Controlled School</v>
          </cell>
          <cell r="F4298" t="str">
            <v>Primary</v>
          </cell>
        </row>
        <row r="4299">
          <cell r="A4299">
            <v>8882189</v>
          </cell>
          <cell r="B4299">
            <v>119230</v>
          </cell>
          <cell r="C4299" t="str">
            <v>Brockholes Wood Community Primary School and Nursery</v>
          </cell>
          <cell r="D4299" t="str">
            <v>Lancashire</v>
          </cell>
          <cell r="E4299" t="str">
            <v>Community School</v>
          </cell>
          <cell r="F4299" t="str">
            <v>Primary</v>
          </cell>
        </row>
        <row r="4300">
          <cell r="A4300">
            <v>8696003</v>
          </cell>
          <cell r="B4300">
            <v>110127</v>
          </cell>
          <cell r="C4300" t="str">
            <v>Brockhurst and Marlston House Schools</v>
          </cell>
          <cell r="D4300" t="str">
            <v>West Berkshire</v>
          </cell>
          <cell r="E4300" t="str">
            <v>Other Independent School</v>
          </cell>
          <cell r="F4300" t="str">
            <v>Not applicable</v>
          </cell>
        </row>
        <row r="4301">
          <cell r="A4301">
            <v>9373390</v>
          </cell>
          <cell r="B4301">
            <v>125702</v>
          </cell>
          <cell r="C4301" t="str">
            <v>Brockhurst CofE Middle School</v>
          </cell>
          <cell r="D4301" t="str">
            <v>Warwickshire</v>
          </cell>
          <cell r="E4301" t="str">
            <v>Voluntary Aided School</v>
          </cell>
          <cell r="F4301" t="str">
            <v>Middle Deemed Primary</v>
          </cell>
        </row>
        <row r="4302">
          <cell r="A4302">
            <v>8502627</v>
          </cell>
          <cell r="B4302">
            <v>116177</v>
          </cell>
          <cell r="C4302" t="str">
            <v>Brockhurst Infant School</v>
          </cell>
          <cell r="D4302" t="str">
            <v>Hampshire</v>
          </cell>
          <cell r="E4302" t="str">
            <v>Community School</v>
          </cell>
          <cell r="F4302" t="str">
            <v>Primary</v>
          </cell>
        </row>
        <row r="4303">
          <cell r="A4303">
            <v>8502602</v>
          </cell>
          <cell r="B4303">
            <v>116161</v>
          </cell>
          <cell r="C4303" t="str">
            <v>Brockhurst Junior School</v>
          </cell>
          <cell r="D4303" t="str">
            <v>Hampshire</v>
          </cell>
          <cell r="E4303" t="str">
            <v>Community School</v>
          </cell>
          <cell r="F4303" t="str">
            <v>Primary</v>
          </cell>
        </row>
        <row r="4304">
          <cell r="A4304">
            <v>8554506</v>
          </cell>
          <cell r="B4304">
            <v>120302</v>
          </cell>
          <cell r="C4304" t="str">
            <v>Brockington College</v>
          </cell>
          <cell r="D4304" t="str">
            <v>Leicestershire</v>
          </cell>
          <cell r="E4304" t="str">
            <v>Voluntary Aided School</v>
          </cell>
          <cell r="F4304" t="str">
            <v>Secondary</v>
          </cell>
        </row>
        <row r="4305">
          <cell r="A4305">
            <v>9252145</v>
          </cell>
          <cell r="B4305">
            <v>120442</v>
          </cell>
          <cell r="C4305" t="str">
            <v>Brocklesby Park Primary School</v>
          </cell>
          <cell r="D4305" t="str">
            <v>Lincolnshire</v>
          </cell>
          <cell r="E4305" t="str">
            <v>Community School</v>
          </cell>
          <cell r="F4305" t="str">
            <v>Primary</v>
          </cell>
        </row>
        <row r="4306">
          <cell r="A4306">
            <v>8922086</v>
          </cell>
          <cell r="B4306">
            <v>122433</v>
          </cell>
          <cell r="C4306" t="str">
            <v>Brocklewood Infant and Nursery School</v>
          </cell>
          <cell r="D4306" t="str">
            <v>Nottingham</v>
          </cell>
          <cell r="E4306" t="str">
            <v>Community School</v>
          </cell>
          <cell r="F4306" t="str">
            <v>Primary</v>
          </cell>
        </row>
        <row r="4307">
          <cell r="A4307">
            <v>8922083</v>
          </cell>
          <cell r="B4307">
            <v>122430</v>
          </cell>
          <cell r="C4307" t="str">
            <v>Brocklewood Junior School</v>
          </cell>
          <cell r="D4307" t="str">
            <v>Nottingham</v>
          </cell>
          <cell r="E4307" t="str">
            <v>Community School</v>
          </cell>
          <cell r="F4307" t="str">
            <v>Primary</v>
          </cell>
        </row>
        <row r="4308">
          <cell r="A4308">
            <v>2092068</v>
          </cell>
          <cell r="B4308">
            <v>100674</v>
          </cell>
          <cell r="C4308" t="str">
            <v>Brockley Primary School</v>
          </cell>
          <cell r="D4308" t="str">
            <v>Lewisham</v>
          </cell>
          <cell r="E4308" t="str">
            <v>Community School</v>
          </cell>
          <cell r="F4308" t="str">
            <v>Primary</v>
          </cell>
        </row>
        <row r="4309">
          <cell r="A4309">
            <v>8302046</v>
          </cell>
          <cell r="B4309">
            <v>112510</v>
          </cell>
          <cell r="C4309" t="str">
            <v>Brockley Primary School</v>
          </cell>
          <cell r="D4309" t="str">
            <v>Derbyshire</v>
          </cell>
          <cell r="E4309" t="str">
            <v>Community School</v>
          </cell>
          <cell r="F4309" t="str">
            <v>Primary</v>
          </cell>
        </row>
        <row r="4310">
          <cell r="A4310">
            <v>3322025</v>
          </cell>
          <cell r="B4310">
            <v>127136</v>
          </cell>
          <cell r="C4310" t="str">
            <v>Brockmoor First School</v>
          </cell>
          <cell r="D4310" t="str">
            <v>Dudley</v>
          </cell>
          <cell r="E4310" t="str">
            <v>Community School</v>
          </cell>
          <cell r="F4310" t="str">
            <v>Primary</v>
          </cell>
        </row>
        <row r="4311">
          <cell r="A4311">
            <v>3322024</v>
          </cell>
          <cell r="B4311">
            <v>103777</v>
          </cell>
          <cell r="C4311" t="str">
            <v>Brockmoor Primary School</v>
          </cell>
          <cell r="D4311" t="str">
            <v>Dudley</v>
          </cell>
          <cell r="E4311" t="str">
            <v>Community School</v>
          </cell>
          <cell r="F4311" t="str">
            <v>Primary</v>
          </cell>
        </row>
        <row r="4312">
          <cell r="A4312">
            <v>8552333</v>
          </cell>
          <cell r="B4312">
            <v>120060</v>
          </cell>
          <cell r="C4312" t="str">
            <v>Brocks Hill Primary School</v>
          </cell>
          <cell r="D4312" t="str">
            <v>Leicestershire</v>
          </cell>
          <cell r="E4312" t="str">
            <v>Community School</v>
          </cell>
          <cell r="F4312" t="str">
            <v>Primary</v>
          </cell>
        </row>
        <row r="4313">
          <cell r="A4313">
            <v>9106003</v>
          </cell>
          <cell r="B4313">
            <v>128672</v>
          </cell>
          <cell r="C4313" t="str">
            <v>Brocksford Hall School</v>
          </cell>
          <cell r="D4313" t="str">
            <v>Pre LGR (1997) Derbyshire</v>
          </cell>
          <cell r="E4313" t="str">
            <v>Other Independent School</v>
          </cell>
          <cell r="F4313" t="str">
            <v>Not applicable</v>
          </cell>
        </row>
        <row r="4314">
          <cell r="A4314">
            <v>9192448</v>
          </cell>
          <cell r="B4314">
            <v>117349</v>
          </cell>
          <cell r="C4314" t="str">
            <v>Brockswood Primary School</v>
          </cell>
          <cell r="D4314" t="str">
            <v>Hertfordshire</v>
          </cell>
          <cell r="E4314" t="str">
            <v>Community School</v>
          </cell>
          <cell r="F4314" t="str">
            <v>Primary</v>
          </cell>
        </row>
        <row r="4315">
          <cell r="A4315">
            <v>8933015</v>
          </cell>
          <cell r="B4315">
            <v>123463</v>
          </cell>
          <cell r="C4315" t="str">
            <v>Brockton CofE Primary School</v>
          </cell>
          <cell r="D4315" t="str">
            <v>Shropshire</v>
          </cell>
          <cell r="E4315" t="str">
            <v>Voluntary Controlled School</v>
          </cell>
          <cell r="F4315" t="str">
            <v>Primary</v>
          </cell>
        </row>
        <row r="4316">
          <cell r="A4316">
            <v>9162071</v>
          </cell>
          <cell r="B4316">
            <v>128945</v>
          </cell>
          <cell r="C4316" t="str">
            <v>Brockweir County Primary School</v>
          </cell>
          <cell r="D4316" t="str">
            <v>Gloucestershire</v>
          </cell>
          <cell r="E4316" t="str">
            <v>Community School</v>
          </cell>
          <cell r="F4316" t="str">
            <v>Primary</v>
          </cell>
        </row>
        <row r="4317">
          <cell r="A4317">
            <v>2082788</v>
          </cell>
          <cell r="B4317">
            <v>100596</v>
          </cell>
          <cell r="C4317" t="str">
            <v>Brockwell Infant School</v>
          </cell>
          <cell r="D4317" t="str">
            <v>Lambeth</v>
          </cell>
          <cell r="E4317" t="str">
            <v>Community School</v>
          </cell>
          <cell r="F4317" t="str">
            <v>Primary</v>
          </cell>
        </row>
        <row r="4318">
          <cell r="A4318">
            <v>2082612</v>
          </cell>
          <cell r="B4318">
            <v>100587</v>
          </cell>
          <cell r="C4318" t="str">
            <v>Brockwell Junior School</v>
          </cell>
          <cell r="D4318" t="str">
            <v>Lambeth</v>
          </cell>
          <cell r="E4318" t="str">
            <v>Community School</v>
          </cell>
          <cell r="F4318" t="str">
            <v>Primary</v>
          </cell>
        </row>
        <row r="4319">
          <cell r="A4319">
            <v>8302349</v>
          </cell>
          <cell r="B4319">
            <v>112691</v>
          </cell>
          <cell r="C4319" t="str">
            <v>Brockwell Junior School</v>
          </cell>
          <cell r="D4319" t="str">
            <v>Derbyshire</v>
          </cell>
          <cell r="E4319" t="str">
            <v>Community School</v>
          </cell>
          <cell r="F4319" t="str">
            <v>Primary</v>
          </cell>
        </row>
        <row r="4320">
          <cell r="A4320">
            <v>9294154</v>
          </cell>
          <cell r="B4320">
            <v>122333</v>
          </cell>
          <cell r="C4320" t="str">
            <v>Brockwell Middle School</v>
          </cell>
          <cell r="D4320" t="str">
            <v>Northumberland</v>
          </cell>
          <cell r="E4320" t="str">
            <v>Community School</v>
          </cell>
          <cell r="F4320" t="str">
            <v>Middle Deemed Secondary</v>
          </cell>
        </row>
        <row r="4321">
          <cell r="A4321">
            <v>8302307</v>
          </cell>
          <cell r="B4321">
            <v>112673</v>
          </cell>
          <cell r="C4321" t="str">
            <v>Brockwell Nursery and Infant School</v>
          </cell>
          <cell r="D4321" t="str">
            <v>Derbyshire</v>
          </cell>
          <cell r="E4321" t="str">
            <v>Community School</v>
          </cell>
          <cell r="F4321" t="str">
            <v>Primary</v>
          </cell>
        </row>
        <row r="4322">
          <cell r="A4322">
            <v>2082896</v>
          </cell>
          <cell r="B4322">
            <v>131114</v>
          </cell>
          <cell r="C4322" t="str">
            <v>Brockwell Primary School</v>
          </cell>
          <cell r="D4322" t="str">
            <v>Lambeth</v>
          </cell>
          <cell r="E4322" t="str">
            <v>Community School</v>
          </cell>
          <cell r="F4322" t="str">
            <v>Primary</v>
          </cell>
        </row>
        <row r="4323">
          <cell r="A4323">
            <v>8506069</v>
          </cell>
          <cell r="B4323">
            <v>116574</v>
          </cell>
          <cell r="C4323" t="str">
            <v>Brockwood Park School</v>
          </cell>
          <cell r="D4323" t="str">
            <v>Hampshire</v>
          </cell>
          <cell r="E4323" t="str">
            <v>Other Independent School</v>
          </cell>
          <cell r="F4323" t="str">
            <v>Not applicable</v>
          </cell>
        </row>
        <row r="4324">
          <cell r="A4324">
            <v>9164040</v>
          </cell>
          <cell r="B4324">
            <v>115725</v>
          </cell>
          <cell r="C4324" t="str">
            <v>Brockworth Enterprise School</v>
          </cell>
          <cell r="D4324" t="str">
            <v>Gloucestershire</v>
          </cell>
          <cell r="E4324" t="str">
            <v>Community School</v>
          </cell>
          <cell r="F4324" t="str">
            <v>Secondary</v>
          </cell>
        </row>
        <row r="4325">
          <cell r="A4325">
            <v>9162049</v>
          </cell>
          <cell r="B4325">
            <v>128944</v>
          </cell>
          <cell r="C4325" t="str">
            <v>Brockworth Infant School</v>
          </cell>
          <cell r="D4325" t="str">
            <v>Gloucestershire</v>
          </cell>
          <cell r="E4325" t="str">
            <v>Community School</v>
          </cell>
          <cell r="F4325" t="str">
            <v>Primary</v>
          </cell>
        </row>
        <row r="4326">
          <cell r="A4326">
            <v>9162048</v>
          </cell>
          <cell r="B4326">
            <v>115508</v>
          </cell>
          <cell r="C4326" t="str">
            <v>Brockworth Primary School</v>
          </cell>
          <cell r="D4326" t="str">
            <v>Gloucestershire</v>
          </cell>
          <cell r="E4326" t="str">
            <v>Community School</v>
          </cell>
          <cell r="F4326" t="str">
            <v>Primary</v>
          </cell>
        </row>
        <row r="4327">
          <cell r="A4327">
            <v>3833901</v>
          </cell>
          <cell r="B4327">
            <v>127947</v>
          </cell>
          <cell r="C4327" t="str">
            <v>Brodetsky First School</v>
          </cell>
          <cell r="D4327" t="str">
            <v>Leeds</v>
          </cell>
          <cell r="E4327" t="str">
            <v>Voluntary Aided School</v>
          </cell>
          <cell r="F4327" t="str">
            <v>Primary</v>
          </cell>
        </row>
        <row r="4328">
          <cell r="A4328">
            <v>3833915</v>
          </cell>
          <cell r="B4328">
            <v>108054</v>
          </cell>
          <cell r="C4328" t="str">
            <v>Brodetsky Primary School</v>
          </cell>
          <cell r="D4328" t="str">
            <v>Leeds</v>
          </cell>
          <cell r="E4328" t="str">
            <v>Voluntary Aided School</v>
          </cell>
          <cell r="F4328" t="str">
            <v>Primary</v>
          </cell>
        </row>
        <row r="4329">
          <cell r="A4329">
            <v>3713002</v>
          </cell>
          <cell r="B4329">
            <v>127628</v>
          </cell>
          <cell r="C4329" t="str">
            <v>Brodsworth CofE First and Middle School</v>
          </cell>
          <cell r="D4329" t="str">
            <v>Doncaster</v>
          </cell>
          <cell r="E4329" t="str">
            <v>Voluntary Controlled School</v>
          </cell>
          <cell r="F4329" t="str">
            <v>Middle Deemed Primary</v>
          </cell>
        </row>
        <row r="4330">
          <cell r="A4330">
            <v>9352194</v>
          </cell>
          <cell r="B4330">
            <v>124671</v>
          </cell>
          <cell r="C4330" t="str">
            <v>Broke Hall Community Primary School</v>
          </cell>
          <cell r="D4330" t="str">
            <v>Suffolk</v>
          </cell>
          <cell r="E4330" t="str">
            <v>Community School</v>
          </cell>
          <cell r="F4330" t="str">
            <v>Primary</v>
          </cell>
        </row>
        <row r="4331">
          <cell r="A4331">
            <v>8952706</v>
          </cell>
          <cell r="B4331">
            <v>111223</v>
          </cell>
          <cell r="C4331" t="str">
            <v>Broken Cross Community School</v>
          </cell>
          <cell r="D4331" t="str">
            <v>Cheshire East</v>
          </cell>
          <cell r="E4331" t="str">
            <v>Community School</v>
          </cell>
          <cell r="F4331" t="str">
            <v>Primary</v>
          </cell>
        </row>
        <row r="4332">
          <cell r="A4332">
            <v>9062354</v>
          </cell>
          <cell r="B4332">
            <v>128438</v>
          </cell>
          <cell r="C4332" t="str">
            <v>Broken Cross County Infant School</v>
          </cell>
          <cell r="D4332" t="str">
            <v>Pre LGR (1998) Cheshire</v>
          </cell>
          <cell r="E4332" t="str">
            <v>Community School</v>
          </cell>
          <cell r="F4332" t="str">
            <v>Primary</v>
          </cell>
        </row>
        <row r="4333">
          <cell r="A4333">
            <v>9062148</v>
          </cell>
          <cell r="B4333">
            <v>128401</v>
          </cell>
          <cell r="C4333" t="str">
            <v>Broken Cross County Junior School</v>
          </cell>
          <cell r="D4333" t="str">
            <v>Pre LGR (1998) Cheshire</v>
          </cell>
          <cell r="E4333" t="str">
            <v>Community School</v>
          </cell>
          <cell r="F4333" t="str">
            <v>Primary</v>
          </cell>
        </row>
        <row r="4334">
          <cell r="A4334">
            <v>3442209</v>
          </cell>
          <cell r="B4334">
            <v>105012</v>
          </cell>
          <cell r="C4334" t="str">
            <v>Bromborough Pool Primary School</v>
          </cell>
          <cell r="D4334" t="str">
            <v>Wirral</v>
          </cell>
          <cell r="E4334" t="str">
            <v>Community School</v>
          </cell>
          <cell r="F4334" t="str">
            <v>Primary</v>
          </cell>
        </row>
        <row r="4335">
          <cell r="A4335">
            <v>9163311</v>
          </cell>
          <cell r="B4335">
            <v>115675</v>
          </cell>
          <cell r="C4335" t="str">
            <v>Bromesberrow St Mary's Church of England (Aided) Primary School</v>
          </cell>
          <cell r="D4335" t="str">
            <v>Gloucestershire</v>
          </cell>
          <cell r="E4335" t="str">
            <v>Voluntary Aided School</v>
          </cell>
          <cell r="F4335" t="str">
            <v>Primary</v>
          </cell>
        </row>
        <row r="4336">
          <cell r="A4336">
            <v>9192385</v>
          </cell>
          <cell r="B4336">
            <v>117308</v>
          </cell>
          <cell r="C4336" t="str">
            <v>Bromet Primary School</v>
          </cell>
          <cell r="D4336" t="str">
            <v>Hertfordshire</v>
          </cell>
          <cell r="E4336" t="str">
            <v>Community School</v>
          </cell>
          <cell r="F4336" t="str">
            <v>Primary</v>
          </cell>
        </row>
        <row r="4337">
          <cell r="A4337">
            <v>3302033</v>
          </cell>
          <cell r="B4337">
            <v>103174</v>
          </cell>
          <cell r="C4337" t="str">
            <v>Bromford Infant School</v>
          </cell>
          <cell r="D4337" t="str">
            <v>Birmingham</v>
          </cell>
          <cell r="E4337" t="str">
            <v>Community School</v>
          </cell>
          <cell r="F4337" t="str">
            <v>Primary</v>
          </cell>
        </row>
        <row r="4338">
          <cell r="A4338">
            <v>3302253</v>
          </cell>
          <cell r="B4338">
            <v>103299</v>
          </cell>
          <cell r="C4338" t="str">
            <v>Bromford Junior School</v>
          </cell>
          <cell r="D4338" t="str">
            <v>Birmingham</v>
          </cell>
          <cell r="E4338" t="str">
            <v>Community School</v>
          </cell>
          <cell r="F4338" t="str">
            <v>Primary</v>
          </cell>
        </row>
        <row r="4339">
          <cell r="A4339">
            <v>8223020</v>
          </cell>
          <cell r="B4339">
            <v>109611</v>
          </cell>
          <cell r="C4339" t="str">
            <v>Bromham CofE VC Lower School</v>
          </cell>
          <cell r="D4339" t="str">
            <v>Bedford</v>
          </cell>
          <cell r="E4339" t="str">
            <v>Voluntary Controlled School</v>
          </cell>
          <cell r="F4339" t="str">
            <v>Primary</v>
          </cell>
        </row>
        <row r="4340">
          <cell r="A4340">
            <v>3058000</v>
          </cell>
          <cell r="B4340">
            <v>130430</v>
          </cell>
          <cell r="C4340" t="str">
            <v>Bromley College of Further and Higher Education</v>
          </cell>
          <cell r="D4340" t="str">
            <v>Bromley</v>
          </cell>
          <cell r="E4340" t="str">
            <v>Further Education</v>
          </cell>
          <cell r="F4340" t="str">
            <v>16 Plus</v>
          </cell>
        </row>
        <row r="4341">
          <cell r="A4341">
            <v>2117044</v>
          </cell>
          <cell r="B4341">
            <v>100983</v>
          </cell>
          <cell r="C4341" t="str">
            <v>Bromley Hall School</v>
          </cell>
          <cell r="D4341" t="str">
            <v>Tower Hamlets</v>
          </cell>
          <cell r="E4341" t="str">
            <v>Community Special School</v>
          </cell>
          <cell r="F4341" t="str">
            <v>Special</v>
          </cell>
        </row>
        <row r="4342">
          <cell r="A4342">
            <v>8032192</v>
          </cell>
          <cell r="B4342">
            <v>109029</v>
          </cell>
          <cell r="C4342" t="str">
            <v>Bromley Heath Infant School</v>
          </cell>
          <cell r="D4342" t="str">
            <v>South Gloucestershire</v>
          </cell>
          <cell r="E4342" t="str">
            <v>Community School</v>
          </cell>
          <cell r="F4342" t="str">
            <v>Primary</v>
          </cell>
        </row>
        <row r="4343">
          <cell r="A4343">
            <v>8032191</v>
          </cell>
          <cell r="B4343">
            <v>109028</v>
          </cell>
          <cell r="C4343" t="str">
            <v>Bromley Heath Junior School</v>
          </cell>
          <cell r="D4343" t="str">
            <v>South Gloucestershire</v>
          </cell>
          <cell r="E4343" t="str">
            <v>Community School</v>
          </cell>
          <cell r="F4343" t="str">
            <v>Primary</v>
          </cell>
        </row>
        <row r="4344">
          <cell r="A4344">
            <v>3056073</v>
          </cell>
          <cell r="B4344">
            <v>101692</v>
          </cell>
          <cell r="C4344" t="str">
            <v>Bromley High School</v>
          </cell>
          <cell r="D4344" t="str">
            <v>Bromley</v>
          </cell>
          <cell r="E4344" t="str">
            <v>Other Independent School</v>
          </cell>
          <cell r="F4344" t="str">
            <v>Not applicable</v>
          </cell>
        </row>
        <row r="4345">
          <cell r="A4345">
            <v>3322142</v>
          </cell>
          <cell r="B4345">
            <v>103819</v>
          </cell>
          <cell r="C4345" t="str">
            <v>Bromley Hills Primary School</v>
          </cell>
          <cell r="D4345" t="str">
            <v>Dudley</v>
          </cell>
          <cell r="E4345" t="str">
            <v>Community School</v>
          </cell>
          <cell r="F4345" t="str">
            <v>Primary</v>
          </cell>
        </row>
        <row r="4346">
          <cell r="A4346">
            <v>3051100</v>
          </cell>
          <cell r="B4346">
            <v>101584</v>
          </cell>
          <cell r="C4346" t="str">
            <v>Bromley Pupil Referral Service</v>
          </cell>
          <cell r="D4346" t="str">
            <v>Bromley</v>
          </cell>
          <cell r="E4346" t="str">
            <v>Pupil Referral Unit</v>
          </cell>
          <cell r="F4346" t="str">
            <v>PRU</v>
          </cell>
        </row>
        <row r="4347">
          <cell r="A4347">
            <v>3052003</v>
          </cell>
          <cell r="B4347">
            <v>101588</v>
          </cell>
          <cell r="C4347" t="str">
            <v>Bromley Road Infant School</v>
          </cell>
          <cell r="D4347" t="str">
            <v>Bromley</v>
          </cell>
          <cell r="E4347" t="str">
            <v>Community School</v>
          </cell>
          <cell r="F4347" t="str">
            <v>Primary</v>
          </cell>
        </row>
        <row r="4348">
          <cell r="A4348">
            <v>8876906</v>
          </cell>
          <cell r="B4348">
            <v>136107</v>
          </cell>
          <cell r="C4348" t="str">
            <v>Brompton Academy</v>
          </cell>
          <cell r="D4348" t="str">
            <v>Medway</v>
          </cell>
          <cell r="E4348" t="str">
            <v>Academy Sponsor Led</v>
          </cell>
          <cell r="F4348" t="str">
            <v>Secondary</v>
          </cell>
        </row>
        <row r="4349">
          <cell r="A4349">
            <v>8152250</v>
          </cell>
          <cell r="B4349">
            <v>121373</v>
          </cell>
          <cell r="C4349" t="str">
            <v>Brompton and Sawdon Community Primary School</v>
          </cell>
          <cell r="D4349" t="str">
            <v>North Yorkshire</v>
          </cell>
          <cell r="E4349" t="str">
            <v>Community School</v>
          </cell>
          <cell r="F4349" t="str">
            <v>Primary</v>
          </cell>
        </row>
        <row r="4350">
          <cell r="A4350">
            <v>8152249</v>
          </cell>
          <cell r="B4350">
            <v>121372</v>
          </cell>
          <cell r="C4350" t="str">
            <v>Brompton Community Primary School</v>
          </cell>
          <cell r="D4350" t="str">
            <v>North Yorkshire</v>
          </cell>
          <cell r="E4350" t="str">
            <v>Community School</v>
          </cell>
          <cell r="F4350" t="str">
            <v>Primary</v>
          </cell>
        </row>
        <row r="4351">
          <cell r="A4351">
            <v>8157000</v>
          </cell>
          <cell r="B4351">
            <v>121764</v>
          </cell>
          <cell r="C4351" t="str">
            <v>Brompton Hall School</v>
          </cell>
          <cell r="D4351" t="str">
            <v>North Yorkshire</v>
          </cell>
          <cell r="E4351" t="str">
            <v>Community Special School</v>
          </cell>
          <cell r="F4351" t="str">
            <v>Special</v>
          </cell>
        </row>
        <row r="4352">
          <cell r="A4352">
            <v>8153015</v>
          </cell>
          <cell r="B4352">
            <v>121481</v>
          </cell>
          <cell r="C4352" t="str">
            <v>Brompton-on-Swale Church of England Primary School</v>
          </cell>
          <cell r="D4352" t="str">
            <v>North Yorkshire</v>
          </cell>
          <cell r="E4352" t="str">
            <v>Voluntary Controlled School</v>
          </cell>
          <cell r="F4352" t="str">
            <v>Primary</v>
          </cell>
        </row>
        <row r="4353">
          <cell r="A4353">
            <v>8872646</v>
          </cell>
          <cell r="B4353">
            <v>118561</v>
          </cell>
          <cell r="C4353" t="str">
            <v>Brompton-Westbrook Primary School</v>
          </cell>
          <cell r="D4353" t="str">
            <v>Medway</v>
          </cell>
          <cell r="E4353" t="str">
            <v>Community School</v>
          </cell>
          <cell r="F4353" t="str">
            <v>Primary</v>
          </cell>
        </row>
        <row r="4354">
          <cell r="A4354">
            <v>8856006</v>
          </cell>
          <cell r="B4354">
            <v>117012</v>
          </cell>
          <cell r="C4354" t="str">
            <v>Bromsgrove School</v>
          </cell>
          <cell r="D4354" t="str">
            <v>Worcestershire</v>
          </cell>
          <cell r="E4354" t="str">
            <v>Other Independent School</v>
          </cell>
          <cell r="F4354" t="str">
            <v>Not applicable</v>
          </cell>
        </row>
        <row r="4355">
          <cell r="A4355">
            <v>8862603</v>
          </cell>
          <cell r="B4355">
            <v>118534</v>
          </cell>
          <cell r="C4355" t="str">
            <v>Bromstone Primary School, Broadstairs</v>
          </cell>
          <cell r="D4355" t="str">
            <v>Kent</v>
          </cell>
          <cell r="E4355" t="str">
            <v>Community School</v>
          </cell>
          <cell r="F4355" t="str">
            <v>Primary</v>
          </cell>
        </row>
        <row r="4356">
          <cell r="A4356">
            <v>3044030</v>
          </cell>
          <cell r="B4356">
            <v>126783</v>
          </cell>
          <cell r="C4356" t="str">
            <v>Brondesbury and Kilburn School</v>
          </cell>
          <cell r="D4356" t="str">
            <v>Brent</v>
          </cell>
          <cell r="E4356" t="str">
            <v>Community School</v>
          </cell>
          <cell r="F4356" t="str">
            <v>Secondary</v>
          </cell>
        </row>
        <row r="4357">
          <cell r="A4357">
            <v>3046076</v>
          </cell>
          <cell r="B4357">
            <v>131059</v>
          </cell>
          <cell r="C4357" t="str">
            <v>Brondesbury College London</v>
          </cell>
          <cell r="D4357" t="str">
            <v>Brent</v>
          </cell>
          <cell r="E4357" t="str">
            <v>Other Independent School</v>
          </cell>
          <cell r="F4357" t="str">
            <v>Not applicable</v>
          </cell>
        </row>
        <row r="4358">
          <cell r="A4358">
            <v>6653301</v>
          </cell>
          <cell r="B4358">
            <v>400453</v>
          </cell>
          <cell r="C4358" t="str">
            <v>Bronington Voluntary Aided Primary School</v>
          </cell>
          <cell r="D4358" t="str">
            <v>Wrexham</v>
          </cell>
          <cell r="E4358" t="str">
            <v>Welsh Establishment</v>
          </cell>
          <cell r="F4358" t="str">
            <v>Primary</v>
          </cell>
        </row>
        <row r="4359">
          <cell r="A4359">
            <v>6662123</v>
          </cell>
          <cell r="B4359">
            <v>400532</v>
          </cell>
          <cell r="C4359" t="str">
            <v>Bronllys C.P. School</v>
          </cell>
          <cell r="D4359" t="str">
            <v>Powys</v>
          </cell>
          <cell r="E4359" t="str">
            <v>Welsh Establishment</v>
          </cell>
          <cell r="F4359" t="str">
            <v>Primary</v>
          </cell>
        </row>
        <row r="4360">
          <cell r="A4360">
            <v>3804076</v>
          </cell>
          <cell r="B4360">
            <v>107396</v>
          </cell>
          <cell r="C4360" t="str">
            <v>Bronte Middle School</v>
          </cell>
          <cell r="D4360" t="str">
            <v>Bradford</v>
          </cell>
          <cell r="E4360" t="str">
            <v>Community School</v>
          </cell>
          <cell r="F4360" t="str">
            <v>Middle Deemed Secondary</v>
          </cell>
        </row>
        <row r="4361">
          <cell r="A4361">
            <v>8866026</v>
          </cell>
          <cell r="B4361">
            <v>118967</v>
          </cell>
          <cell r="C4361" t="str">
            <v>Bronte School</v>
          </cell>
          <cell r="D4361" t="str">
            <v>Kent</v>
          </cell>
          <cell r="E4361" t="str">
            <v>Other Independent School</v>
          </cell>
          <cell r="F4361" t="str">
            <v>Not applicable</v>
          </cell>
        </row>
        <row r="4362">
          <cell r="A4362">
            <v>8772433</v>
          </cell>
          <cell r="B4362">
            <v>111202</v>
          </cell>
          <cell r="C4362" t="str">
            <v>Brook Acre Community Primary School</v>
          </cell>
          <cell r="D4362" t="str">
            <v>Warrington</v>
          </cell>
          <cell r="E4362" t="str">
            <v>Community School</v>
          </cell>
          <cell r="F4362" t="str">
            <v>Primary</v>
          </cell>
        </row>
        <row r="4363">
          <cell r="A4363">
            <v>8862279</v>
          </cell>
          <cell r="B4363">
            <v>118373</v>
          </cell>
          <cell r="C4363" t="str">
            <v>Brook Community Primary School</v>
          </cell>
          <cell r="D4363" t="str">
            <v>Kent</v>
          </cell>
          <cell r="E4363" t="str">
            <v>Community School</v>
          </cell>
          <cell r="F4363" t="str">
            <v>Primary</v>
          </cell>
        </row>
        <row r="4364">
          <cell r="A4364">
            <v>2043665</v>
          </cell>
          <cell r="B4364">
            <v>134961</v>
          </cell>
          <cell r="C4364" t="str">
            <v>Brook Community Primary School</v>
          </cell>
          <cell r="D4364" t="str">
            <v>Hackney</v>
          </cell>
          <cell r="E4364" t="str">
            <v>Community School</v>
          </cell>
          <cell r="F4364" t="str">
            <v>Primary</v>
          </cell>
        </row>
        <row r="4365">
          <cell r="A4365">
            <v>8861101</v>
          </cell>
          <cell r="B4365">
            <v>118231</v>
          </cell>
          <cell r="C4365" t="str">
            <v>Brook Education Centre</v>
          </cell>
          <cell r="D4365" t="str">
            <v>Kent</v>
          </cell>
          <cell r="E4365" t="str">
            <v>Pupil Referral Unit</v>
          </cell>
          <cell r="F4365" t="str">
            <v>PRU</v>
          </cell>
        </row>
        <row r="4366">
          <cell r="A4366">
            <v>8757119</v>
          </cell>
          <cell r="B4366">
            <v>111512</v>
          </cell>
          <cell r="C4366" t="str">
            <v>Brook Farm School</v>
          </cell>
          <cell r="D4366" t="str">
            <v>Pre LGR (2009) Cheshire</v>
          </cell>
          <cell r="E4366" t="str">
            <v>Community Special School</v>
          </cell>
          <cell r="F4366" t="str">
            <v>Special</v>
          </cell>
        </row>
        <row r="4367">
          <cell r="A4367">
            <v>8662214</v>
          </cell>
          <cell r="B4367">
            <v>126283</v>
          </cell>
          <cell r="C4367" t="str">
            <v>Brook Field Primary School</v>
          </cell>
          <cell r="D4367" t="str">
            <v>Swindon</v>
          </cell>
          <cell r="E4367" t="str">
            <v>Community School</v>
          </cell>
          <cell r="F4367" t="str">
            <v>Primary</v>
          </cell>
        </row>
        <row r="4368">
          <cell r="A4368">
            <v>8797066</v>
          </cell>
          <cell r="B4368">
            <v>113648</v>
          </cell>
          <cell r="C4368" t="str">
            <v>Brook Green Centre for Learning</v>
          </cell>
          <cell r="D4368" t="str">
            <v>Plymouth</v>
          </cell>
          <cell r="E4368" t="str">
            <v>Community Special School</v>
          </cell>
          <cell r="F4368" t="str">
            <v>Special</v>
          </cell>
        </row>
        <row r="4369">
          <cell r="A4369">
            <v>3316200</v>
          </cell>
          <cell r="B4369">
            <v>135725</v>
          </cell>
          <cell r="C4369" t="str">
            <v>Brook House</v>
          </cell>
          <cell r="D4369" t="str">
            <v>Coventry</v>
          </cell>
          <cell r="E4369" t="str">
            <v>Other Independent Special School</v>
          </cell>
          <cell r="F4369" t="str">
            <v>Not applicable</v>
          </cell>
        </row>
        <row r="4370">
          <cell r="A4370">
            <v>8966033</v>
          </cell>
          <cell r="B4370">
            <v>131289</v>
          </cell>
          <cell r="C4370" t="str">
            <v>Brook House Farm</v>
          </cell>
          <cell r="D4370" t="str">
            <v>Cheshire West and Chester</v>
          </cell>
          <cell r="E4370" t="str">
            <v>Other Independent Special School</v>
          </cell>
          <cell r="F4370" t="str">
            <v>Not applicable</v>
          </cell>
        </row>
        <row r="4371">
          <cell r="A4371">
            <v>3732246</v>
          </cell>
          <cell r="B4371">
            <v>107037</v>
          </cell>
          <cell r="C4371" t="str">
            <v>Brook House Junior School</v>
          </cell>
          <cell r="D4371" t="str">
            <v>Sheffield</v>
          </cell>
          <cell r="E4371" t="str">
            <v>Community School</v>
          </cell>
          <cell r="F4371" t="str">
            <v>Primary</v>
          </cell>
        </row>
        <row r="4372">
          <cell r="A4372">
            <v>3322029</v>
          </cell>
          <cell r="B4372">
            <v>103778</v>
          </cell>
          <cell r="C4372" t="str">
            <v>Brook Primary School</v>
          </cell>
          <cell r="D4372" t="str">
            <v>Dudley</v>
          </cell>
          <cell r="E4372" t="str">
            <v>Community School</v>
          </cell>
          <cell r="F4372" t="str">
            <v>Primary</v>
          </cell>
        </row>
        <row r="4373">
          <cell r="A4373">
            <v>3734223</v>
          </cell>
          <cell r="B4373">
            <v>127720</v>
          </cell>
          <cell r="C4373" t="str">
            <v>Brook School</v>
          </cell>
          <cell r="D4373" t="str">
            <v>Sheffield</v>
          </cell>
          <cell r="E4373" t="str">
            <v>Community School</v>
          </cell>
          <cell r="F4373" t="str">
            <v>Secondary</v>
          </cell>
        </row>
        <row r="4374">
          <cell r="A4374">
            <v>9092626</v>
          </cell>
          <cell r="B4374">
            <v>112231</v>
          </cell>
          <cell r="C4374" t="str">
            <v>Brook Street Primary School</v>
          </cell>
          <cell r="D4374" t="str">
            <v>Cumbria</v>
          </cell>
          <cell r="E4374" t="str">
            <v>Community School</v>
          </cell>
          <cell r="F4374" t="str">
            <v>Primary</v>
          </cell>
        </row>
        <row r="4375">
          <cell r="A4375">
            <v>3522079</v>
          </cell>
          <cell r="B4375">
            <v>105414</v>
          </cell>
          <cell r="C4375" t="str">
            <v>Brookburn Community School</v>
          </cell>
          <cell r="D4375" t="str">
            <v>Manchester</v>
          </cell>
          <cell r="E4375" t="str">
            <v>Community School</v>
          </cell>
          <cell r="F4375" t="str">
            <v>Primary</v>
          </cell>
        </row>
        <row r="4376">
          <cell r="A4376">
            <v>8656036</v>
          </cell>
          <cell r="B4376">
            <v>134459</v>
          </cell>
          <cell r="C4376" t="str">
            <v>Brookdale Education Centre</v>
          </cell>
          <cell r="D4376" t="str">
            <v>Wiltshire</v>
          </cell>
          <cell r="E4376" t="str">
            <v>Other Independent School</v>
          </cell>
          <cell r="F4376" t="str">
            <v>Not applicable</v>
          </cell>
        </row>
        <row r="4377">
          <cell r="A4377">
            <v>3442227</v>
          </cell>
          <cell r="B4377">
            <v>105028</v>
          </cell>
          <cell r="C4377" t="str">
            <v>Brookdale Primary School</v>
          </cell>
          <cell r="D4377" t="str">
            <v>Wirral</v>
          </cell>
          <cell r="E4377" t="str">
            <v>Community School</v>
          </cell>
          <cell r="F4377" t="str">
            <v>Primary</v>
          </cell>
        </row>
        <row r="4378">
          <cell r="A4378">
            <v>8752136</v>
          </cell>
          <cell r="B4378">
            <v>111012</v>
          </cell>
          <cell r="C4378" t="str">
            <v>Brooke Dean Community School</v>
          </cell>
          <cell r="D4378" t="str">
            <v>Pre LGR (2009) Cheshire</v>
          </cell>
          <cell r="E4378" t="str">
            <v>Community School</v>
          </cell>
          <cell r="F4378" t="str">
            <v>Primary</v>
          </cell>
        </row>
        <row r="4379">
          <cell r="A4379">
            <v>8572316</v>
          </cell>
          <cell r="B4379">
            <v>120046</v>
          </cell>
          <cell r="C4379" t="str">
            <v>Brooke Hill Primary School</v>
          </cell>
          <cell r="D4379" t="str">
            <v>Rutland</v>
          </cell>
          <cell r="E4379" t="str">
            <v>Community School</v>
          </cell>
          <cell r="F4379" t="str">
            <v>Primary</v>
          </cell>
        </row>
        <row r="4380">
          <cell r="A4380">
            <v>8572316</v>
          </cell>
          <cell r="B4380">
            <v>137358</v>
          </cell>
          <cell r="C4380" t="str">
            <v>Brooke Hill Primary School</v>
          </cell>
          <cell r="D4380" t="str">
            <v>Rutland</v>
          </cell>
          <cell r="E4380" t="str">
            <v>Academy Converters</v>
          </cell>
          <cell r="F4380" t="str">
            <v>Primary</v>
          </cell>
        </row>
        <row r="4381">
          <cell r="A4381">
            <v>8556005</v>
          </cell>
          <cell r="B4381">
            <v>120341</v>
          </cell>
          <cell r="C4381" t="str">
            <v>Brooke House College</v>
          </cell>
          <cell r="D4381" t="str">
            <v>Leicestershire</v>
          </cell>
          <cell r="E4381" t="str">
            <v>Other Independent School</v>
          </cell>
          <cell r="F4381" t="str">
            <v>Not applicable</v>
          </cell>
        </row>
        <row r="4382">
          <cell r="A4382">
            <v>8556023</v>
          </cell>
          <cell r="B4382">
            <v>135185</v>
          </cell>
          <cell r="C4382" t="str">
            <v>Brooke House Day School</v>
          </cell>
          <cell r="D4382" t="str">
            <v>Leicestershire</v>
          </cell>
          <cell r="E4382" t="str">
            <v>Other Independent School</v>
          </cell>
          <cell r="F4382" t="str">
            <v>Not applicable</v>
          </cell>
        </row>
        <row r="4383">
          <cell r="A4383">
            <v>8576003</v>
          </cell>
          <cell r="B4383">
            <v>120340</v>
          </cell>
          <cell r="C4383" t="str">
            <v>Brooke Priory School</v>
          </cell>
          <cell r="D4383" t="str">
            <v>Rutland</v>
          </cell>
          <cell r="E4383" t="str">
            <v>Other Independent School</v>
          </cell>
          <cell r="F4383" t="str">
            <v>Not applicable</v>
          </cell>
        </row>
        <row r="4384">
          <cell r="A4384">
            <v>9377023</v>
          </cell>
          <cell r="B4384">
            <v>125801</v>
          </cell>
          <cell r="C4384" t="str">
            <v>Brooke School</v>
          </cell>
          <cell r="D4384" t="str">
            <v>Warwickshire</v>
          </cell>
          <cell r="E4384" t="str">
            <v>Community Special School</v>
          </cell>
          <cell r="F4384" t="str">
            <v>Special</v>
          </cell>
        </row>
        <row r="4385">
          <cell r="A4385">
            <v>9263139</v>
          </cell>
          <cell r="B4385">
            <v>121096</v>
          </cell>
          <cell r="C4385" t="str">
            <v>Brooke Voluntary Controlled Church of England Primary School</v>
          </cell>
          <cell r="D4385" t="str">
            <v>Norfolk</v>
          </cell>
          <cell r="E4385" t="str">
            <v>Voluntary Controlled School</v>
          </cell>
          <cell r="F4385" t="str">
            <v>Primary</v>
          </cell>
        </row>
        <row r="4386">
          <cell r="A4386">
            <v>9286907</v>
          </cell>
          <cell r="B4386">
            <v>135317</v>
          </cell>
          <cell r="C4386" t="str">
            <v>Brooke Weston Academy</v>
          </cell>
          <cell r="D4386" t="str">
            <v>Northamptonshire</v>
          </cell>
          <cell r="E4386" t="str">
            <v>Academy Sponsor Led</v>
          </cell>
          <cell r="F4386" t="str">
            <v>Secondary</v>
          </cell>
        </row>
        <row r="4387">
          <cell r="A4387">
            <v>9286900</v>
          </cell>
          <cell r="B4387">
            <v>122153</v>
          </cell>
          <cell r="C4387" t="str">
            <v>Brooke Weston CTC</v>
          </cell>
          <cell r="D4387" t="str">
            <v>Northamptonshire</v>
          </cell>
          <cell r="E4387" t="str">
            <v>City Technology College</v>
          </cell>
          <cell r="F4387" t="str">
            <v>Not applicable</v>
          </cell>
        </row>
        <row r="4388">
          <cell r="A4388">
            <v>8882185</v>
          </cell>
          <cell r="B4388">
            <v>119226</v>
          </cell>
          <cell r="C4388" t="str">
            <v>Brookfield Community Primary School</v>
          </cell>
          <cell r="D4388" t="str">
            <v>Lancashire</v>
          </cell>
          <cell r="E4388" t="str">
            <v>Community School</v>
          </cell>
          <cell r="F4388" t="str">
            <v>Primary</v>
          </cell>
        </row>
        <row r="4389">
          <cell r="A4389">
            <v>8304196</v>
          </cell>
          <cell r="B4389">
            <v>112962</v>
          </cell>
          <cell r="C4389" t="str">
            <v>Brookfield Community School</v>
          </cell>
          <cell r="D4389" t="str">
            <v>Derbyshire</v>
          </cell>
          <cell r="E4389" t="str">
            <v>Community School</v>
          </cell>
          <cell r="F4389" t="str">
            <v>Secondary</v>
          </cell>
        </row>
        <row r="4390">
          <cell r="A4390">
            <v>8304196</v>
          </cell>
          <cell r="B4390">
            <v>136548</v>
          </cell>
          <cell r="C4390" t="str">
            <v>Brookfield Community School</v>
          </cell>
          <cell r="D4390" t="str">
            <v>Derbyshire</v>
          </cell>
          <cell r="E4390" t="str">
            <v>Academy Converters</v>
          </cell>
          <cell r="F4390" t="str">
            <v>Secondary</v>
          </cell>
        </row>
        <row r="4391">
          <cell r="A4391">
            <v>8504136</v>
          </cell>
          <cell r="B4391">
            <v>116419</v>
          </cell>
          <cell r="C4391" t="str">
            <v>Brookfield Community School and Language College</v>
          </cell>
          <cell r="D4391" t="str">
            <v>Hampshire</v>
          </cell>
          <cell r="E4391" t="str">
            <v>Community School</v>
          </cell>
          <cell r="F4391" t="str">
            <v>Secondary</v>
          </cell>
        </row>
        <row r="4392">
          <cell r="A4392">
            <v>3802011</v>
          </cell>
          <cell r="B4392">
            <v>107198</v>
          </cell>
          <cell r="C4392" t="str">
            <v>Brookfield First School</v>
          </cell>
          <cell r="D4392" t="str">
            <v>Bradford</v>
          </cell>
          <cell r="E4392" t="str">
            <v>Community School</v>
          </cell>
          <cell r="F4392" t="str">
            <v>Primary</v>
          </cell>
        </row>
        <row r="4393">
          <cell r="A4393">
            <v>3404003</v>
          </cell>
          <cell r="B4393">
            <v>104483</v>
          </cell>
          <cell r="C4393" t="str">
            <v>Brookfield High School</v>
          </cell>
          <cell r="D4393" t="str">
            <v>Knowsley</v>
          </cell>
          <cell r="E4393" t="str">
            <v>Community School</v>
          </cell>
          <cell r="F4393" t="str">
            <v>Secondary</v>
          </cell>
        </row>
        <row r="4394">
          <cell r="A4394">
            <v>3597015</v>
          </cell>
          <cell r="B4394">
            <v>132159</v>
          </cell>
          <cell r="C4394" t="str">
            <v>Brookfield High School</v>
          </cell>
          <cell r="D4394" t="str">
            <v>Wigan</v>
          </cell>
          <cell r="E4394" t="str">
            <v>Community Special School</v>
          </cell>
          <cell r="F4394" t="str">
            <v>Special</v>
          </cell>
        </row>
        <row r="4395">
          <cell r="A4395">
            <v>3207005</v>
          </cell>
          <cell r="B4395">
            <v>103117</v>
          </cell>
          <cell r="C4395" t="str">
            <v>Brookfield House School</v>
          </cell>
          <cell r="D4395" t="str">
            <v>Waltham Forest</v>
          </cell>
          <cell r="E4395" t="str">
            <v>Community Special School</v>
          </cell>
          <cell r="F4395" t="str">
            <v>Special</v>
          </cell>
        </row>
        <row r="4396">
          <cell r="A4396">
            <v>8862514</v>
          </cell>
          <cell r="B4396">
            <v>118484</v>
          </cell>
          <cell r="C4396" t="str">
            <v>Brookfield Infant School</v>
          </cell>
          <cell r="D4396" t="str">
            <v>Kent</v>
          </cell>
          <cell r="E4396" t="str">
            <v>Community School</v>
          </cell>
          <cell r="F4396" t="str">
            <v>Primary</v>
          </cell>
        </row>
        <row r="4397">
          <cell r="A4397">
            <v>8865223</v>
          </cell>
          <cell r="B4397">
            <v>118869</v>
          </cell>
          <cell r="C4397" t="str">
            <v>Brookfield Junior School</v>
          </cell>
          <cell r="D4397" t="str">
            <v>Kent</v>
          </cell>
          <cell r="E4397" t="str">
            <v>Community School</v>
          </cell>
          <cell r="F4397" t="str">
            <v>Primary</v>
          </cell>
        </row>
        <row r="4398">
          <cell r="A4398">
            <v>8883995</v>
          </cell>
          <cell r="B4398">
            <v>134603</v>
          </cell>
          <cell r="C4398" t="str">
            <v>Brookfield Park Primary School</v>
          </cell>
          <cell r="D4398" t="str">
            <v>Lancashire</v>
          </cell>
          <cell r="E4398" t="str">
            <v>Community School</v>
          </cell>
          <cell r="F4398" t="str">
            <v>Primary</v>
          </cell>
        </row>
        <row r="4399">
          <cell r="A4399">
            <v>2022078</v>
          </cell>
          <cell r="B4399">
            <v>100011</v>
          </cell>
          <cell r="C4399" t="str">
            <v>Brookfield Primary School</v>
          </cell>
          <cell r="D4399" t="str">
            <v>Camden</v>
          </cell>
          <cell r="E4399" t="str">
            <v>Community School</v>
          </cell>
          <cell r="F4399" t="str">
            <v>Primary</v>
          </cell>
        </row>
        <row r="4400">
          <cell r="A4400">
            <v>3192027</v>
          </cell>
          <cell r="B4400">
            <v>102977</v>
          </cell>
          <cell r="C4400" t="str">
            <v>Brookfield Primary School</v>
          </cell>
          <cell r="D4400" t="str">
            <v>Sutton</v>
          </cell>
          <cell r="E4400" t="str">
            <v>Community School</v>
          </cell>
          <cell r="F4400" t="str">
            <v>Primary</v>
          </cell>
        </row>
        <row r="4401">
          <cell r="A4401">
            <v>8302219</v>
          </cell>
          <cell r="B4401">
            <v>112619</v>
          </cell>
          <cell r="C4401" t="str">
            <v>Brookfield Primary School</v>
          </cell>
          <cell r="D4401" t="str">
            <v>Derbyshire</v>
          </cell>
          <cell r="E4401" t="str">
            <v>Community School</v>
          </cell>
          <cell r="F4401" t="str">
            <v>Primary</v>
          </cell>
        </row>
        <row r="4402">
          <cell r="A4402">
            <v>8312512</v>
          </cell>
          <cell r="B4402">
            <v>112774</v>
          </cell>
          <cell r="C4402" t="str">
            <v>Brookfield Primary School</v>
          </cell>
          <cell r="D4402" t="str">
            <v>Derby</v>
          </cell>
          <cell r="E4402" t="str">
            <v>Community School</v>
          </cell>
          <cell r="F4402" t="str">
            <v>Primary</v>
          </cell>
        </row>
        <row r="4403">
          <cell r="A4403">
            <v>6782221</v>
          </cell>
          <cell r="B4403">
            <v>401435</v>
          </cell>
          <cell r="C4403" t="str">
            <v>Brookfield Primary School</v>
          </cell>
          <cell r="D4403" t="str">
            <v>Torfaen</v>
          </cell>
          <cell r="E4403" t="str">
            <v>Welsh Establishment</v>
          </cell>
          <cell r="F4403" t="str">
            <v>Primary</v>
          </cell>
        </row>
        <row r="4404">
          <cell r="A4404">
            <v>9167010</v>
          </cell>
          <cell r="B4404">
            <v>115816</v>
          </cell>
          <cell r="C4404" t="str">
            <v>Brookfield School</v>
          </cell>
          <cell r="D4404" t="str">
            <v>Gloucestershire</v>
          </cell>
          <cell r="E4404" t="str">
            <v>Community Special School</v>
          </cell>
          <cell r="F4404" t="str">
            <v>Special</v>
          </cell>
        </row>
        <row r="4405">
          <cell r="A4405">
            <v>8887100</v>
          </cell>
          <cell r="B4405">
            <v>119895</v>
          </cell>
          <cell r="C4405" t="str">
            <v>Brookfield School</v>
          </cell>
          <cell r="D4405" t="str">
            <v>Lancashire</v>
          </cell>
          <cell r="E4405" t="str">
            <v>Community Special School</v>
          </cell>
          <cell r="F4405" t="str">
            <v>Special</v>
          </cell>
        </row>
        <row r="4406">
          <cell r="A4406">
            <v>9287005</v>
          </cell>
          <cell r="B4406">
            <v>122156</v>
          </cell>
          <cell r="C4406" t="str">
            <v>Brookfield School</v>
          </cell>
          <cell r="D4406" t="str">
            <v>Northamptonshire</v>
          </cell>
          <cell r="E4406" t="str">
            <v>Community Special School</v>
          </cell>
          <cell r="F4406" t="str">
            <v>Special</v>
          </cell>
        </row>
        <row r="4407">
          <cell r="A4407">
            <v>8847008</v>
          </cell>
          <cell r="B4407">
            <v>131817</v>
          </cell>
          <cell r="C4407" t="str">
            <v>Brookfield School</v>
          </cell>
          <cell r="D4407" t="str">
            <v>Herefordshire</v>
          </cell>
          <cell r="E4407" t="str">
            <v>Community Special School</v>
          </cell>
          <cell r="F4407" t="str">
            <v>Special</v>
          </cell>
        </row>
        <row r="4408">
          <cell r="A4408">
            <v>3302034</v>
          </cell>
          <cell r="B4408">
            <v>103175</v>
          </cell>
          <cell r="C4408" t="str">
            <v>Brookfields Primary School</v>
          </cell>
          <cell r="D4408" t="str">
            <v>Birmingham</v>
          </cell>
          <cell r="E4408" t="str">
            <v>Community School</v>
          </cell>
          <cell r="F4408" t="str">
            <v>Primary</v>
          </cell>
        </row>
        <row r="4409">
          <cell r="A4409">
            <v>8767206</v>
          </cell>
          <cell r="B4409">
            <v>111516</v>
          </cell>
          <cell r="C4409" t="str">
            <v>Brookfields School</v>
          </cell>
          <cell r="D4409" t="str">
            <v>Halton</v>
          </cell>
          <cell r="E4409" t="str">
            <v>Community Special School</v>
          </cell>
          <cell r="F4409" t="str">
            <v>Special</v>
          </cell>
        </row>
        <row r="4410">
          <cell r="A4410">
            <v>8697028</v>
          </cell>
          <cell r="B4410">
            <v>110186</v>
          </cell>
          <cell r="C4410" t="str">
            <v>Brookfields Special School</v>
          </cell>
          <cell r="D4410" t="str">
            <v>West Berkshire</v>
          </cell>
          <cell r="E4410" t="str">
            <v>Community Special School</v>
          </cell>
          <cell r="F4410" t="str">
            <v>Special</v>
          </cell>
        </row>
        <row r="4411">
          <cell r="A4411">
            <v>8506018</v>
          </cell>
          <cell r="B4411">
            <v>116591</v>
          </cell>
          <cell r="C4411" t="str">
            <v>Brookham School</v>
          </cell>
          <cell r="D4411" t="str">
            <v>Hampshire</v>
          </cell>
          <cell r="E4411" t="str">
            <v>Other Independent School</v>
          </cell>
          <cell r="F4411" t="str">
            <v>Not applicable</v>
          </cell>
        </row>
        <row r="4412">
          <cell r="A4412">
            <v>3562016</v>
          </cell>
          <cell r="B4412">
            <v>106035</v>
          </cell>
          <cell r="C4412" t="str">
            <v>Brookhead Junior School</v>
          </cell>
          <cell r="D4412" t="str">
            <v>Stockport</v>
          </cell>
          <cell r="E4412" t="str">
            <v>Community School</v>
          </cell>
          <cell r="F4412" t="str">
            <v>Primary</v>
          </cell>
        </row>
        <row r="4413">
          <cell r="A4413">
            <v>8912401</v>
          </cell>
          <cell r="B4413">
            <v>122568</v>
          </cell>
          <cell r="C4413" t="str">
            <v>Brookhill Leys Infant and Nursery School</v>
          </cell>
          <cell r="D4413" t="str">
            <v>Nottinghamshire</v>
          </cell>
          <cell r="E4413" t="str">
            <v>Community School</v>
          </cell>
          <cell r="F4413" t="str">
            <v>Primary</v>
          </cell>
        </row>
        <row r="4414">
          <cell r="A4414">
            <v>8912400</v>
          </cell>
          <cell r="B4414">
            <v>122567</v>
          </cell>
          <cell r="C4414" t="str">
            <v>Brookhill Leys Junior School</v>
          </cell>
          <cell r="D4414" t="str">
            <v>Nottinghamshire</v>
          </cell>
          <cell r="E4414" t="str">
            <v>Community School</v>
          </cell>
          <cell r="F4414" t="str">
            <v>Primary</v>
          </cell>
        </row>
        <row r="4415">
          <cell r="A4415">
            <v>8913789</v>
          </cell>
          <cell r="B4415">
            <v>109309</v>
          </cell>
          <cell r="C4415" t="str">
            <v>Brookhill Leys Primary and Nursery School</v>
          </cell>
          <cell r="D4415" t="str">
            <v>Nottinghamshire</v>
          </cell>
          <cell r="E4415" t="str">
            <v>Community School</v>
          </cell>
          <cell r="F4415" t="str">
            <v>Primary</v>
          </cell>
        </row>
        <row r="4416">
          <cell r="A4416">
            <v>3021000</v>
          </cell>
          <cell r="B4416">
            <v>101251</v>
          </cell>
          <cell r="C4416" t="str">
            <v>Brookhill Nursery School</v>
          </cell>
          <cell r="D4416" t="str">
            <v>Barnet</v>
          </cell>
          <cell r="E4416" t="str">
            <v>LA Nursery School</v>
          </cell>
          <cell r="F4416" t="str">
            <v>Nursery</v>
          </cell>
        </row>
        <row r="4417">
          <cell r="A4417">
            <v>9344174</v>
          </cell>
          <cell r="B4417">
            <v>129949</v>
          </cell>
          <cell r="C4417" t="str">
            <v>Brookhouse High School</v>
          </cell>
          <cell r="D4417" t="str">
            <v>Pre LGR (1997) Staffordshire</v>
          </cell>
          <cell r="E4417" t="str">
            <v>Community School</v>
          </cell>
          <cell r="F4417" t="str">
            <v>Secondary</v>
          </cell>
        </row>
        <row r="4418">
          <cell r="A4418">
            <v>8892823</v>
          </cell>
          <cell r="B4418">
            <v>119344</v>
          </cell>
          <cell r="C4418" t="str">
            <v>Brookhouse Primary School</v>
          </cell>
          <cell r="D4418" t="str">
            <v>Blackburn with Darwen</v>
          </cell>
          <cell r="E4418" t="str">
            <v>Community School</v>
          </cell>
          <cell r="F4418" t="str">
            <v>Primary</v>
          </cell>
        </row>
        <row r="4419">
          <cell r="A4419">
            <v>3442215</v>
          </cell>
          <cell r="B4419">
            <v>105018</v>
          </cell>
          <cell r="C4419" t="str">
            <v>Brookhurst Primary School</v>
          </cell>
          <cell r="D4419" t="str">
            <v>Wirral</v>
          </cell>
          <cell r="E4419" t="str">
            <v>Community School</v>
          </cell>
          <cell r="F4419" t="str">
            <v>Primary</v>
          </cell>
        </row>
        <row r="4420">
          <cell r="A4420">
            <v>9372330</v>
          </cell>
          <cell r="B4420">
            <v>125565</v>
          </cell>
          <cell r="C4420" t="str">
            <v>Brookhurst Primary School</v>
          </cell>
          <cell r="D4420" t="str">
            <v>Warwickshire</v>
          </cell>
          <cell r="E4420" t="str">
            <v>Community School</v>
          </cell>
          <cell r="F4420" t="str">
            <v>Primary</v>
          </cell>
        </row>
        <row r="4421">
          <cell r="A4421">
            <v>8863137</v>
          </cell>
          <cell r="B4421">
            <v>118664</v>
          </cell>
          <cell r="C4421" t="str">
            <v>Brookland Church of England Primary School</v>
          </cell>
          <cell r="D4421" t="str">
            <v>Kent</v>
          </cell>
          <cell r="E4421" t="str">
            <v>Voluntary Controlled School</v>
          </cell>
          <cell r="F4421" t="str">
            <v>Primary</v>
          </cell>
        </row>
        <row r="4422">
          <cell r="A4422">
            <v>3022008</v>
          </cell>
          <cell r="B4422">
            <v>101263</v>
          </cell>
          <cell r="C4422" t="str">
            <v>Brookland Infant and Nursery School</v>
          </cell>
          <cell r="D4422" t="str">
            <v>Barnet</v>
          </cell>
          <cell r="E4422" t="str">
            <v>Community School</v>
          </cell>
          <cell r="F4422" t="str">
            <v>Primary</v>
          </cell>
        </row>
        <row r="4423">
          <cell r="A4423">
            <v>9192317</v>
          </cell>
          <cell r="B4423">
            <v>117272</v>
          </cell>
          <cell r="C4423" t="str">
            <v>Brookland Infant and Nursery School</v>
          </cell>
          <cell r="D4423" t="str">
            <v>Hertfordshire</v>
          </cell>
          <cell r="E4423" t="str">
            <v>Community School</v>
          </cell>
          <cell r="F4423" t="str">
            <v>Primary</v>
          </cell>
        </row>
        <row r="4424">
          <cell r="A4424">
            <v>3022007</v>
          </cell>
          <cell r="B4424">
            <v>101262</v>
          </cell>
          <cell r="C4424" t="str">
            <v>Brookland Junior School</v>
          </cell>
          <cell r="D4424" t="str">
            <v>Barnet</v>
          </cell>
          <cell r="E4424" t="str">
            <v>Community School</v>
          </cell>
          <cell r="F4424" t="str">
            <v>Primary</v>
          </cell>
        </row>
        <row r="4425">
          <cell r="A4425">
            <v>9192250</v>
          </cell>
          <cell r="B4425">
            <v>117233</v>
          </cell>
          <cell r="C4425" t="str">
            <v>Brookland Junior School</v>
          </cell>
          <cell r="D4425" t="str">
            <v>Hertfordshire</v>
          </cell>
          <cell r="E4425" t="str">
            <v>Community School</v>
          </cell>
          <cell r="F4425" t="str">
            <v>Primary</v>
          </cell>
        </row>
        <row r="4426">
          <cell r="A4426">
            <v>9261103</v>
          </cell>
          <cell r="B4426">
            <v>120771</v>
          </cell>
          <cell r="C4426" t="str">
            <v>Brooklands Centre</v>
          </cell>
          <cell r="D4426" t="str">
            <v>Norfolk</v>
          </cell>
          <cell r="E4426" t="str">
            <v>Pupil Referral Unit</v>
          </cell>
          <cell r="F4426" t="str">
            <v>PRU</v>
          </cell>
        </row>
        <row r="4427">
          <cell r="A4427">
            <v>9368007</v>
          </cell>
          <cell r="B4427">
            <v>130825</v>
          </cell>
          <cell r="C4427" t="str">
            <v>Brooklands College</v>
          </cell>
          <cell r="D4427" t="str">
            <v>Surrey</v>
          </cell>
          <cell r="E4427" t="str">
            <v>Further Education</v>
          </cell>
          <cell r="F4427" t="str">
            <v>16 Plus</v>
          </cell>
        </row>
        <row r="4428">
          <cell r="A4428">
            <v>8263391</v>
          </cell>
          <cell r="B4428">
            <v>135271</v>
          </cell>
          <cell r="C4428" t="str">
            <v>Brooklands Farm Primary School</v>
          </cell>
          <cell r="D4428" t="str">
            <v>Milton Keynes</v>
          </cell>
          <cell r="E4428" t="str">
            <v>Community School</v>
          </cell>
          <cell r="F4428" t="str">
            <v>Primary</v>
          </cell>
        </row>
        <row r="4429">
          <cell r="A4429">
            <v>8302166</v>
          </cell>
          <cell r="B4429">
            <v>112588</v>
          </cell>
          <cell r="C4429" t="str">
            <v>Brooklands Infant School</v>
          </cell>
          <cell r="D4429" t="str">
            <v>Derbyshire</v>
          </cell>
          <cell r="E4429" t="str">
            <v>Community School</v>
          </cell>
          <cell r="F4429" t="str">
            <v>Primary</v>
          </cell>
        </row>
        <row r="4430">
          <cell r="A4430">
            <v>8302165</v>
          </cell>
          <cell r="B4430">
            <v>112587</v>
          </cell>
          <cell r="C4430" t="str">
            <v>Brooklands Junior School</v>
          </cell>
          <cell r="D4430" t="str">
            <v>Derbyshire</v>
          </cell>
          <cell r="E4430" t="str">
            <v>Community School</v>
          </cell>
          <cell r="F4430" t="str">
            <v>Primary</v>
          </cell>
        </row>
        <row r="4431">
          <cell r="A4431">
            <v>8234038</v>
          </cell>
          <cell r="B4431">
            <v>109655</v>
          </cell>
          <cell r="C4431" t="str">
            <v>Brooklands Middle School</v>
          </cell>
          <cell r="D4431" t="str">
            <v>Central Bedfordshire</v>
          </cell>
          <cell r="E4431" t="str">
            <v>Community School</v>
          </cell>
          <cell r="F4431" t="str">
            <v>Middle Deemed Secondary</v>
          </cell>
        </row>
        <row r="4432">
          <cell r="A4432">
            <v>8234038</v>
          </cell>
          <cell r="B4432">
            <v>137636</v>
          </cell>
          <cell r="C4432" t="str">
            <v>Brooklands Middle School</v>
          </cell>
          <cell r="D4432" t="str">
            <v>Central Bedfordshire</v>
          </cell>
          <cell r="E4432" t="str">
            <v>Academy Converters</v>
          </cell>
          <cell r="F4432" t="str">
            <v>Middle Deemed Secondary</v>
          </cell>
        </row>
        <row r="4433">
          <cell r="A4433">
            <v>8606004</v>
          </cell>
          <cell r="B4433">
            <v>124475</v>
          </cell>
          <cell r="C4433" t="str">
            <v>Brooklands Preparatory School</v>
          </cell>
          <cell r="D4433" t="str">
            <v>Staffordshire</v>
          </cell>
          <cell r="E4433" t="str">
            <v>Other Independent School</v>
          </cell>
          <cell r="F4433" t="str">
            <v>Not applicable</v>
          </cell>
        </row>
        <row r="4434">
          <cell r="A4434">
            <v>2032790</v>
          </cell>
          <cell r="B4434">
            <v>100148</v>
          </cell>
          <cell r="C4434" t="str">
            <v>Brooklands Primary School</v>
          </cell>
          <cell r="D4434" t="str">
            <v>Greenwich</v>
          </cell>
          <cell r="E4434" t="str">
            <v>Community School</v>
          </cell>
          <cell r="F4434" t="str">
            <v>Primary</v>
          </cell>
        </row>
        <row r="4435">
          <cell r="A4435">
            <v>3582023</v>
          </cell>
          <cell r="B4435">
            <v>106301</v>
          </cell>
          <cell r="C4435" t="str">
            <v>Brooklands Primary School</v>
          </cell>
          <cell r="D4435" t="str">
            <v>Trafford</v>
          </cell>
          <cell r="E4435" t="str">
            <v>Community School</v>
          </cell>
          <cell r="F4435" t="str">
            <v>Primary</v>
          </cell>
        </row>
        <row r="4436">
          <cell r="A4436">
            <v>9352133</v>
          </cell>
          <cell r="B4436">
            <v>124626</v>
          </cell>
          <cell r="C4436" t="str">
            <v>Brooklands Primary School</v>
          </cell>
          <cell r="D4436" t="str">
            <v>Suffolk</v>
          </cell>
          <cell r="E4436" t="str">
            <v>Community School</v>
          </cell>
          <cell r="F4436" t="str">
            <v>Primary</v>
          </cell>
        </row>
        <row r="4437">
          <cell r="A4437">
            <v>8303546</v>
          </cell>
          <cell r="B4437">
            <v>133982</v>
          </cell>
          <cell r="C4437" t="str">
            <v>Brooklands Primary School</v>
          </cell>
          <cell r="D4437" t="str">
            <v>Derbyshire</v>
          </cell>
          <cell r="E4437" t="str">
            <v>Community School</v>
          </cell>
          <cell r="F4437" t="str">
            <v>Primary</v>
          </cell>
        </row>
        <row r="4438">
          <cell r="A4438">
            <v>8157027</v>
          </cell>
          <cell r="B4438">
            <v>121778</v>
          </cell>
          <cell r="C4438" t="str">
            <v>Brooklands School</v>
          </cell>
          <cell r="D4438" t="str">
            <v>North Yorkshire</v>
          </cell>
          <cell r="E4438" t="str">
            <v>Community Special School</v>
          </cell>
          <cell r="F4438" t="str">
            <v>Special</v>
          </cell>
        </row>
        <row r="4439">
          <cell r="A4439">
            <v>9195210</v>
          </cell>
          <cell r="B4439">
            <v>117570</v>
          </cell>
          <cell r="C4439" t="str">
            <v>Brookmans Park Primary School</v>
          </cell>
          <cell r="D4439" t="str">
            <v>Hertfordshire</v>
          </cell>
          <cell r="E4439" t="str">
            <v>Foundation School</v>
          </cell>
          <cell r="F4439" t="str">
            <v>Primary</v>
          </cell>
        </row>
        <row r="4440">
          <cell r="A4440">
            <v>8255200</v>
          </cell>
          <cell r="B4440">
            <v>110518</v>
          </cell>
          <cell r="C4440" t="str">
            <v>Brookmead School</v>
          </cell>
          <cell r="D4440" t="str">
            <v>Buckinghamshire</v>
          </cell>
          <cell r="E4440" t="str">
            <v>Foundation School</v>
          </cell>
          <cell r="F4440" t="str">
            <v>Primary</v>
          </cell>
        </row>
        <row r="4441">
          <cell r="A4441">
            <v>8558300</v>
          </cell>
          <cell r="B4441">
            <v>130754</v>
          </cell>
          <cell r="C4441" t="str">
            <v>Brooksby Melton College</v>
          </cell>
          <cell r="D4441" t="str">
            <v>Leicestershire</v>
          </cell>
          <cell r="E4441" t="str">
            <v>Further Education</v>
          </cell>
          <cell r="F4441" t="str">
            <v>16 Plus</v>
          </cell>
        </row>
        <row r="4442">
          <cell r="A4442">
            <v>8922055</v>
          </cell>
          <cell r="B4442">
            <v>122412</v>
          </cell>
          <cell r="C4442" t="str">
            <v>Brooksby Primary and Nursery School</v>
          </cell>
          <cell r="D4442" t="str">
            <v>Nottingham</v>
          </cell>
          <cell r="E4442" t="str">
            <v>Community School</v>
          </cell>
          <cell r="F4442" t="str">
            <v>Primary</v>
          </cell>
        </row>
        <row r="4443">
          <cell r="A4443">
            <v>3402040</v>
          </cell>
          <cell r="B4443">
            <v>104442</v>
          </cell>
          <cell r="C4443" t="str">
            <v>Brookside Community Primary School</v>
          </cell>
          <cell r="D4443" t="str">
            <v>Knowsley</v>
          </cell>
          <cell r="E4443" t="str">
            <v>Community School</v>
          </cell>
          <cell r="F4443" t="str">
            <v>Primary</v>
          </cell>
        </row>
        <row r="4444">
          <cell r="A4444">
            <v>9332113</v>
          </cell>
          <cell r="B4444">
            <v>123675</v>
          </cell>
          <cell r="C4444" t="str">
            <v>Brookside Community Primary School</v>
          </cell>
          <cell r="D4444" t="str">
            <v>Somerset</v>
          </cell>
          <cell r="E4444" t="str">
            <v>Community School</v>
          </cell>
          <cell r="F4444" t="str">
            <v>Primary</v>
          </cell>
        </row>
        <row r="4445">
          <cell r="A4445">
            <v>9332113</v>
          </cell>
          <cell r="B4445">
            <v>136848</v>
          </cell>
          <cell r="C4445" t="str">
            <v>Brookside Community Primary School</v>
          </cell>
          <cell r="D4445" t="str">
            <v>Somerset</v>
          </cell>
          <cell r="E4445" t="str">
            <v>Academy Converters</v>
          </cell>
          <cell r="F4445" t="str">
            <v>Primary</v>
          </cell>
        </row>
        <row r="4446">
          <cell r="A4446">
            <v>8752249</v>
          </cell>
          <cell r="B4446">
            <v>111094</v>
          </cell>
          <cell r="C4446" t="str">
            <v>Brookside County Infant School</v>
          </cell>
          <cell r="D4446" t="str">
            <v>Pre LGR (2009) Cheshire</v>
          </cell>
          <cell r="E4446" t="str">
            <v>Community School</v>
          </cell>
          <cell r="F4446" t="str">
            <v>Primary</v>
          </cell>
        </row>
        <row r="4447">
          <cell r="A4447">
            <v>3112036</v>
          </cell>
          <cell r="B4447">
            <v>102289</v>
          </cell>
          <cell r="C4447" t="str">
            <v>Brookside Infant School</v>
          </cell>
          <cell r="D4447" t="str">
            <v>Havering</v>
          </cell>
          <cell r="E4447" t="str">
            <v>Community School</v>
          </cell>
          <cell r="F4447" t="str">
            <v>Primary</v>
          </cell>
        </row>
        <row r="4448">
          <cell r="A4448">
            <v>3112035</v>
          </cell>
          <cell r="B4448">
            <v>102288</v>
          </cell>
          <cell r="C4448" t="str">
            <v>Brookside Junior School</v>
          </cell>
          <cell r="D4448" t="str">
            <v>Havering</v>
          </cell>
          <cell r="E4448" t="str">
            <v>Community School</v>
          </cell>
          <cell r="F4448" t="str">
            <v>Primary</v>
          </cell>
        </row>
        <row r="4449">
          <cell r="A4449">
            <v>9324431</v>
          </cell>
          <cell r="B4449">
            <v>129811</v>
          </cell>
          <cell r="C4449" t="str">
            <v>Brookside Middle School</v>
          </cell>
          <cell r="D4449" t="str">
            <v>Pre LGR (1998) Shropshire</v>
          </cell>
          <cell r="E4449" t="str">
            <v>Community School</v>
          </cell>
          <cell r="F4449" t="str">
            <v>Middle Deemed Secondary</v>
          </cell>
        </row>
        <row r="4450">
          <cell r="A4450">
            <v>3122062</v>
          </cell>
          <cell r="B4450">
            <v>102406</v>
          </cell>
          <cell r="C4450" t="str">
            <v>Brookside Primary School</v>
          </cell>
          <cell r="D4450" t="str">
            <v>Hillingdon</v>
          </cell>
          <cell r="E4450" t="str">
            <v>Community School</v>
          </cell>
          <cell r="F4450" t="str">
            <v>Primary</v>
          </cell>
        </row>
        <row r="4451">
          <cell r="A4451">
            <v>3562017</v>
          </cell>
          <cell r="B4451">
            <v>106036</v>
          </cell>
          <cell r="C4451" t="str">
            <v>Brookside Primary School</v>
          </cell>
          <cell r="D4451" t="str">
            <v>Stockport</v>
          </cell>
          <cell r="E4451" t="str">
            <v>Community School</v>
          </cell>
          <cell r="F4451" t="str">
            <v>Primary</v>
          </cell>
        </row>
        <row r="4452">
          <cell r="A4452">
            <v>8912732</v>
          </cell>
          <cell r="B4452">
            <v>122637</v>
          </cell>
          <cell r="C4452" t="str">
            <v>Brookside Primary School</v>
          </cell>
          <cell r="D4452" t="str">
            <v>Nottinghamshire</v>
          </cell>
          <cell r="E4452" t="str">
            <v>Community School</v>
          </cell>
          <cell r="F4452" t="str">
            <v>Primary</v>
          </cell>
        </row>
        <row r="4453">
          <cell r="A4453">
            <v>9312202</v>
          </cell>
          <cell r="B4453">
            <v>123007</v>
          </cell>
          <cell r="C4453" t="str">
            <v>Brookside Primary School</v>
          </cell>
          <cell r="D4453" t="str">
            <v>Oxfordshire</v>
          </cell>
          <cell r="E4453" t="str">
            <v>Community School</v>
          </cell>
          <cell r="F4453" t="str">
            <v>Primary</v>
          </cell>
        </row>
        <row r="4454">
          <cell r="A4454">
            <v>8962732</v>
          </cell>
          <cell r="B4454">
            <v>131956</v>
          </cell>
          <cell r="C4454" t="str">
            <v>Brookside Primary School</v>
          </cell>
          <cell r="D4454" t="str">
            <v>Cheshire West and Chester</v>
          </cell>
          <cell r="E4454" t="str">
            <v>Community School</v>
          </cell>
          <cell r="F4454" t="str">
            <v>Primary</v>
          </cell>
        </row>
        <row r="4455">
          <cell r="A4455">
            <v>8942199</v>
          </cell>
          <cell r="B4455">
            <v>123455</v>
          </cell>
          <cell r="C4455" t="str">
            <v>Brookside Primary School and Early Years Centre</v>
          </cell>
          <cell r="D4455" t="str">
            <v>Telford and Wrekin</v>
          </cell>
          <cell r="E4455" t="str">
            <v>Community School</v>
          </cell>
          <cell r="F4455" t="str">
            <v>Primary</v>
          </cell>
        </row>
        <row r="4456">
          <cell r="A4456">
            <v>8552189</v>
          </cell>
          <cell r="B4456">
            <v>119989</v>
          </cell>
          <cell r="C4456" t="str">
            <v>Brookside Primary School, Oadby</v>
          </cell>
          <cell r="D4456" t="str">
            <v>Leicestershire</v>
          </cell>
          <cell r="E4456" t="str">
            <v>Community School</v>
          </cell>
          <cell r="F4456" t="str">
            <v>Primary</v>
          </cell>
        </row>
        <row r="4457">
          <cell r="A4457">
            <v>3411100</v>
          </cell>
          <cell r="B4457">
            <v>104508</v>
          </cell>
          <cell r="C4457" t="str">
            <v>Brookside Pupil Referral Unit</v>
          </cell>
          <cell r="D4457" t="str">
            <v>Liverpool</v>
          </cell>
          <cell r="E4457" t="str">
            <v>Pupil Referral Unit</v>
          </cell>
          <cell r="F4457" t="str">
            <v>PRU</v>
          </cell>
        </row>
        <row r="4458">
          <cell r="A4458">
            <v>8307010</v>
          </cell>
          <cell r="B4458">
            <v>113034</v>
          </cell>
          <cell r="C4458" t="str">
            <v>Brookside School</v>
          </cell>
          <cell r="D4458" t="str">
            <v>Derbyshire</v>
          </cell>
          <cell r="E4458" t="str">
            <v>Community Special School</v>
          </cell>
          <cell r="F4458" t="str">
            <v>Special</v>
          </cell>
        </row>
        <row r="4459">
          <cell r="A4459">
            <v>9097004</v>
          </cell>
          <cell r="B4459">
            <v>128608</v>
          </cell>
          <cell r="C4459" t="str">
            <v>Brookside School</v>
          </cell>
          <cell r="D4459" t="str">
            <v>Cumbria</v>
          </cell>
          <cell r="E4459" t="str">
            <v>Community Special School</v>
          </cell>
          <cell r="F4459" t="str">
            <v>Special</v>
          </cell>
        </row>
        <row r="4460">
          <cell r="A4460">
            <v>8881114</v>
          </cell>
          <cell r="B4460">
            <v>134128</v>
          </cell>
          <cell r="C4460" t="str">
            <v>Brookside School</v>
          </cell>
          <cell r="D4460" t="str">
            <v>Lancashire</v>
          </cell>
          <cell r="E4460" t="str">
            <v>Pupil Referral Unit</v>
          </cell>
          <cell r="F4460" t="str">
            <v>PRU</v>
          </cell>
        </row>
        <row r="4461">
          <cell r="A4461">
            <v>8262318</v>
          </cell>
          <cell r="B4461">
            <v>110377</v>
          </cell>
          <cell r="C4461" t="str">
            <v>Brooksward First School</v>
          </cell>
          <cell r="D4461" t="str">
            <v>Milton Keynes</v>
          </cell>
          <cell r="E4461" t="str">
            <v>Community School</v>
          </cell>
          <cell r="F4461" t="str">
            <v>Primary</v>
          </cell>
        </row>
        <row r="4462">
          <cell r="A4462">
            <v>8262311</v>
          </cell>
          <cell r="B4462">
            <v>110371</v>
          </cell>
          <cell r="C4462" t="str">
            <v>Brooksward Middle School</v>
          </cell>
          <cell r="D4462" t="str">
            <v>Milton Keynes</v>
          </cell>
          <cell r="E4462" t="str">
            <v>Community School</v>
          </cell>
          <cell r="F4462" t="str">
            <v>Middle Deemed Primary</v>
          </cell>
        </row>
        <row r="4463">
          <cell r="A4463">
            <v>8262005</v>
          </cell>
          <cell r="B4463">
            <v>132210</v>
          </cell>
          <cell r="C4463" t="str">
            <v>Brooksward School</v>
          </cell>
          <cell r="D4463" t="str">
            <v>Milton Keynes</v>
          </cell>
          <cell r="E4463" t="str">
            <v>Foundation School</v>
          </cell>
          <cell r="F4463" t="str">
            <v>Primary</v>
          </cell>
        </row>
        <row r="4464">
          <cell r="A4464">
            <v>8764217</v>
          </cell>
          <cell r="B4464">
            <v>111437</v>
          </cell>
          <cell r="C4464" t="str">
            <v>Brookvale Comprehensive School</v>
          </cell>
          <cell r="D4464" t="str">
            <v>Halton</v>
          </cell>
          <cell r="E4464" t="str">
            <v>Community School</v>
          </cell>
          <cell r="F4464" t="str">
            <v>Secondary</v>
          </cell>
        </row>
        <row r="4465">
          <cell r="A4465">
            <v>8554051</v>
          </cell>
          <cell r="B4465">
            <v>120269</v>
          </cell>
          <cell r="C4465" t="str">
            <v>Brookvale High School Groby</v>
          </cell>
          <cell r="D4465" t="str">
            <v>Leicestershire</v>
          </cell>
          <cell r="E4465" t="str">
            <v>Community School</v>
          </cell>
          <cell r="F4465" t="str">
            <v>Secondary</v>
          </cell>
        </row>
        <row r="4466">
          <cell r="A4466">
            <v>8762380</v>
          </cell>
          <cell r="B4466">
            <v>111173</v>
          </cell>
          <cell r="C4466" t="str">
            <v>Brookvale Infant School</v>
          </cell>
          <cell r="D4466" t="str">
            <v>Halton</v>
          </cell>
          <cell r="E4466" t="str">
            <v>Community School</v>
          </cell>
          <cell r="F4466" t="str">
            <v>Primary</v>
          </cell>
        </row>
        <row r="4467">
          <cell r="A4467">
            <v>8762379</v>
          </cell>
          <cell r="B4467">
            <v>111172</v>
          </cell>
          <cell r="C4467" t="str">
            <v>Brookvale Junior School</v>
          </cell>
          <cell r="D4467" t="str">
            <v>Halton</v>
          </cell>
          <cell r="E4467" t="str">
            <v>Community School</v>
          </cell>
          <cell r="F4467" t="str">
            <v>Primary</v>
          </cell>
        </row>
        <row r="4468">
          <cell r="A4468">
            <v>3302295</v>
          </cell>
          <cell r="B4468">
            <v>103319</v>
          </cell>
          <cell r="C4468" t="str">
            <v>Brookvale Primary School</v>
          </cell>
          <cell r="D4468" t="str">
            <v>Birmingham</v>
          </cell>
          <cell r="E4468" t="str">
            <v>Community School</v>
          </cell>
          <cell r="F4468" t="str">
            <v>Primary</v>
          </cell>
        </row>
        <row r="4469">
          <cell r="A4469">
            <v>8762725</v>
          </cell>
          <cell r="B4469">
            <v>132195</v>
          </cell>
          <cell r="C4469" t="str">
            <v>Brookvale Primary School</v>
          </cell>
          <cell r="D4469" t="str">
            <v>Halton</v>
          </cell>
          <cell r="E4469" t="str">
            <v>Community School</v>
          </cell>
          <cell r="F4469" t="str">
            <v>Primary</v>
          </cell>
        </row>
        <row r="4470">
          <cell r="A4470">
            <v>3524285</v>
          </cell>
          <cell r="B4470">
            <v>105570</v>
          </cell>
          <cell r="C4470" t="str">
            <v>Brookway High School and Sports College</v>
          </cell>
          <cell r="D4470" t="str">
            <v>Manchester</v>
          </cell>
          <cell r="E4470" t="str">
            <v>Community School</v>
          </cell>
          <cell r="F4470" t="str">
            <v>Secondary</v>
          </cell>
        </row>
        <row r="4471">
          <cell r="A4471">
            <v>9362270</v>
          </cell>
          <cell r="B4471">
            <v>124998</v>
          </cell>
          <cell r="C4471" t="str">
            <v>Brookwood Primary School</v>
          </cell>
          <cell r="D4471" t="str">
            <v>Surrey</v>
          </cell>
          <cell r="E4471" t="str">
            <v>Community School</v>
          </cell>
          <cell r="F4471" t="str">
            <v>Primary</v>
          </cell>
        </row>
        <row r="4472">
          <cell r="A4472">
            <v>9192169</v>
          </cell>
          <cell r="B4472">
            <v>117189</v>
          </cell>
          <cell r="C4472" t="str">
            <v>Broom Barns Community Primary School</v>
          </cell>
          <cell r="D4472" t="str">
            <v>Hertfordshire</v>
          </cell>
          <cell r="E4472" t="str">
            <v>Community School</v>
          </cell>
          <cell r="F4472" t="str">
            <v>Primary</v>
          </cell>
        </row>
        <row r="4473">
          <cell r="A4473">
            <v>8401100</v>
          </cell>
          <cell r="B4473">
            <v>113992</v>
          </cell>
          <cell r="C4473" t="str">
            <v>Broom Cottages</v>
          </cell>
          <cell r="D4473" t="str">
            <v>Durham</v>
          </cell>
          <cell r="E4473" t="str">
            <v>Pupil Referral Unit</v>
          </cell>
          <cell r="F4473" t="str">
            <v>PRU</v>
          </cell>
        </row>
        <row r="4474">
          <cell r="A4474">
            <v>8402400</v>
          </cell>
          <cell r="B4474">
            <v>114096</v>
          </cell>
          <cell r="C4474" t="str">
            <v>Broom Cottages Primary School</v>
          </cell>
          <cell r="D4474" t="str">
            <v>Durham</v>
          </cell>
          <cell r="E4474" t="str">
            <v>Community School</v>
          </cell>
          <cell r="F4474" t="str">
            <v>Primary</v>
          </cell>
        </row>
        <row r="4475">
          <cell r="A4475">
            <v>8552360</v>
          </cell>
          <cell r="B4475">
            <v>120085</v>
          </cell>
          <cell r="C4475" t="str">
            <v>Broom Leys School</v>
          </cell>
          <cell r="D4475" t="str">
            <v>Leicestershire</v>
          </cell>
          <cell r="E4475" t="str">
            <v>Community School</v>
          </cell>
          <cell r="F4475" t="str">
            <v>Primary</v>
          </cell>
        </row>
        <row r="4476">
          <cell r="A4476">
            <v>3722006</v>
          </cell>
          <cell r="B4476">
            <v>106835</v>
          </cell>
          <cell r="C4476" t="str">
            <v>Broom Valley Community School</v>
          </cell>
          <cell r="D4476" t="str">
            <v>Rotherham</v>
          </cell>
          <cell r="E4476" t="str">
            <v>Community School</v>
          </cell>
          <cell r="F4476" t="str">
            <v>Primary</v>
          </cell>
        </row>
        <row r="4477">
          <cell r="A4477">
            <v>3722007</v>
          </cell>
          <cell r="B4477">
            <v>106836</v>
          </cell>
          <cell r="C4477" t="str">
            <v>Broom Valley Infant School</v>
          </cell>
          <cell r="D4477" t="str">
            <v>Rotherham</v>
          </cell>
          <cell r="E4477" t="str">
            <v>Community School</v>
          </cell>
          <cell r="F4477" t="str">
            <v>Primary</v>
          </cell>
        </row>
        <row r="4478">
          <cell r="A4478">
            <v>8308300</v>
          </cell>
          <cell r="B4478">
            <v>130644</v>
          </cell>
          <cell r="C4478" t="str">
            <v>Broomfield College</v>
          </cell>
          <cell r="D4478" t="str">
            <v>Derbyshire</v>
          </cell>
          <cell r="E4478" t="str">
            <v>Further Education</v>
          </cell>
          <cell r="F4478" t="str">
            <v>16 Plus</v>
          </cell>
        </row>
        <row r="4479">
          <cell r="A4479">
            <v>8552168</v>
          </cell>
          <cell r="B4479">
            <v>119976</v>
          </cell>
          <cell r="C4479" t="str">
            <v>Broomfield Community Primary School</v>
          </cell>
          <cell r="D4479" t="str">
            <v>Leicestershire</v>
          </cell>
          <cell r="E4479" t="str">
            <v>Community School</v>
          </cell>
          <cell r="F4479" t="str">
            <v>Primary</v>
          </cell>
        </row>
        <row r="4480">
          <cell r="A4480">
            <v>3186050</v>
          </cell>
          <cell r="B4480">
            <v>102938</v>
          </cell>
          <cell r="C4480" t="str">
            <v>Broomfield House School</v>
          </cell>
          <cell r="D4480" t="str">
            <v>Richmond upon Thames</v>
          </cell>
          <cell r="E4480" t="str">
            <v>Other Independent School</v>
          </cell>
          <cell r="F4480" t="str">
            <v>Not applicable</v>
          </cell>
        </row>
        <row r="4481">
          <cell r="A4481">
            <v>8815252</v>
          </cell>
          <cell r="B4481">
            <v>115292</v>
          </cell>
          <cell r="C4481" t="str">
            <v>Broomfield Primary School</v>
          </cell>
          <cell r="D4481" t="str">
            <v>Essex</v>
          </cell>
          <cell r="E4481" t="str">
            <v>Foundation School</v>
          </cell>
          <cell r="F4481" t="str">
            <v>Primary</v>
          </cell>
        </row>
        <row r="4482">
          <cell r="A4482">
            <v>3085401</v>
          </cell>
          <cell r="B4482">
            <v>102056</v>
          </cell>
          <cell r="C4482" t="str">
            <v>Broomfield School</v>
          </cell>
          <cell r="D4482" t="str">
            <v>Enfield</v>
          </cell>
          <cell r="E4482" t="str">
            <v>Foundation School</v>
          </cell>
          <cell r="F4482" t="str">
            <v>Secondary</v>
          </cell>
        </row>
        <row r="4483">
          <cell r="A4483">
            <v>8152225</v>
          </cell>
          <cell r="B4483">
            <v>121359</v>
          </cell>
          <cell r="C4483" t="str">
            <v>Broomfield School</v>
          </cell>
          <cell r="D4483" t="str">
            <v>North Yorkshire</v>
          </cell>
          <cell r="E4483" t="str">
            <v>Community School</v>
          </cell>
          <cell r="F4483" t="str">
            <v>Primary</v>
          </cell>
        </row>
        <row r="4484">
          <cell r="A4484">
            <v>3837061</v>
          </cell>
          <cell r="B4484">
            <v>128066</v>
          </cell>
          <cell r="C4484" t="str">
            <v>Broomfield School</v>
          </cell>
          <cell r="D4484" t="str">
            <v>Leeds</v>
          </cell>
          <cell r="E4484" t="str">
            <v>Community Special School</v>
          </cell>
          <cell r="F4484" t="str">
            <v>Special</v>
          </cell>
        </row>
        <row r="4485">
          <cell r="A4485">
            <v>9174125</v>
          </cell>
          <cell r="B4485">
            <v>129033</v>
          </cell>
          <cell r="C4485" t="str">
            <v>Broomfield School</v>
          </cell>
          <cell r="D4485" t="str">
            <v>Pre LGR (1997) Hampshire</v>
          </cell>
          <cell r="E4485" t="str">
            <v>Community School</v>
          </cell>
          <cell r="F4485" t="str">
            <v>Secondary</v>
          </cell>
        </row>
        <row r="4486">
          <cell r="A4486">
            <v>3837062</v>
          </cell>
          <cell r="B4486">
            <v>108123</v>
          </cell>
          <cell r="C4486" t="str">
            <v>Broomfield South SILC</v>
          </cell>
          <cell r="D4486" t="str">
            <v>Leeds</v>
          </cell>
          <cell r="E4486" t="str">
            <v>Community Special School</v>
          </cell>
          <cell r="F4486" t="str">
            <v>Special</v>
          </cell>
        </row>
        <row r="4487">
          <cell r="A4487">
            <v>8772300</v>
          </cell>
          <cell r="B4487">
            <v>111128</v>
          </cell>
          <cell r="C4487" t="str">
            <v>Broomfields Junior School</v>
          </cell>
          <cell r="D4487" t="str">
            <v>Warrington</v>
          </cell>
          <cell r="E4487" t="str">
            <v>Community School</v>
          </cell>
          <cell r="F4487" t="str">
            <v>Primary</v>
          </cell>
        </row>
        <row r="4488">
          <cell r="A4488">
            <v>8812069</v>
          </cell>
          <cell r="B4488">
            <v>114756</v>
          </cell>
          <cell r="C4488" t="str">
            <v>Broomgrove Infant School</v>
          </cell>
          <cell r="D4488" t="str">
            <v>Essex</v>
          </cell>
          <cell r="E4488" t="str">
            <v>Community School</v>
          </cell>
          <cell r="F4488" t="str">
            <v>Primary</v>
          </cell>
        </row>
        <row r="4489">
          <cell r="A4489">
            <v>8812073</v>
          </cell>
          <cell r="B4489">
            <v>114759</v>
          </cell>
          <cell r="C4489" t="str">
            <v>Broomgrove Junior School</v>
          </cell>
          <cell r="D4489" t="str">
            <v>Essex</v>
          </cell>
          <cell r="E4489" t="str">
            <v>Community School</v>
          </cell>
          <cell r="F4489" t="str">
            <v>Primary</v>
          </cell>
        </row>
        <row r="4490">
          <cell r="A4490">
            <v>3731000</v>
          </cell>
          <cell r="B4490">
            <v>106973</v>
          </cell>
          <cell r="C4490" t="str">
            <v>Broomhall Nursery School</v>
          </cell>
          <cell r="D4490" t="str">
            <v>Sheffield</v>
          </cell>
          <cell r="E4490" t="str">
            <v>LA Nursery School</v>
          </cell>
          <cell r="F4490" t="str">
            <v>Nursery</v>
          </cell>
        </row>
        <row r="4491">
          <cell r="A4491">
            <v>8456022</v>
          </cell>
          <cell r="B4491">
            <v>114643</v>
          </cell>
          <cell r="C4491" t="str">
            <v>Broomham School</v>
          </cell>
          <cell r="D4491" t="str">
            <v>East Sussex</v>
          </cell>
          <cell r="E4491" t="str">
            <v>Other Independent School</v>
          </cell>
          <cell r="F4491" t="str">
            <v>Not applicable</v>
          </cell>
        </row>
        <row r="4492">
          <cell r="A4492">
            <v>9293355</v>
          </cell>
          <cell r="B4492">
            <v>122285</v>
          </cell>
          <cell r="C4492" t="str">
            <v>Broomhaugh Church of England First School</v>
          </cell>
          <cell r="D4492" t="str">
            <v>Northumberland</v>
          </cell>
          <cell r="E4492" t="str">
            <v>Voluntary Aided School</v>
          </cell>
          <cell r="F4492" t="str">
            <v>Primary</v>
          </cell>
        </row>
        <row r="4493">
          <cell r="A4493">
            <v>8786038</v>
          </cell>
          <cell r="B4493">
            <v>113615</v>
          </cell>
          <cell r="C4493" t="str">
            <v>Broomhayes School and Children's Centre</v>
          </cell>
          <cell r="D4493" t="str">
            <v>Devon</v>
          </cell>
          <cell r="E4493" t="str">
            <v>Other Independent Special School</v>
          </cell>
          <cell r="F4493" t="str">
            <v>Not applicable</v>
          </cell>
        </row>
        <row r="4494">
          <cell r="A4494">
            <v>8867002</v>
          </cell>
          <cell r="B4494">
            <v>119026</v>
          </cell>
          <cell r="C4494" t="str">
            <v>Broomhill Bank School</v>
          </cell>
          <cell r="D4494" t="str">
            <v>Kent</v>
          </cell>
          <cell r="E4494" t="str">
            <v>Foundation Special School</v>
          </cell>
          <cell r="F4494" t="str">
            <v>Special</v>
          </cell>
        </row>
        <row r="4495">
          <cell r="A4495">
            <v>9292098</v>
          </cell>
          <cell r="B4495">
            <v>122196</v>
          </cell>
          <cell r="C4495" t="str">
            <v>Broomhill First School</v>
          </cell>
          <cell r="D4495" t="str">
            <v>Northumberland</v>
          </cell>
          <cell r="E4495" t="str">
            <v>Community School</v>
          </cell>
          <cell r="F4495" t="str">
            <v>Primary</v>
          </cell>
        </row>
        <row r="4496">
          <cell r="A4496">
            <v>8912879</v>
          </cell>
          <cell r="B4496">
            <v>122689</v>
          </cell>
          <cell r="C4496" t="str">
            <v>Broomhill First School</v>
          </cell>
          <cell r="D4496" t="str">
            <v>Nottinghamshire</v>
          </cell>
          <cell r="E4496" t="str">
            <v>Community School</v>
          </cell>
          <cell r="F4496" t="str">
            <v>Primary</v>
          </cell>
        </row>
        <row r="4497">
          <cell r="A4497">
            <v>3735204</v>
          </cell>
          <cell r="B4497">
            <v>107154</v>
          </cell>
          <cell r="C4497" t="str">
            <v>Broomhill Infant School</v>
          </cell>
          <cell r="D4497" t="str">
            <v>Sheffield</v>
          </cell>
          <cell r="E4497" t="str">
            <v>Foundation School</v>
          </cell>
          <cell r="F4497" t="str">
            <v>Primary</v>
          </cell>
        </row>
        <row r="4498">
          <cell r="A4498">
            <v>8012115</v>
          </cell>
          <cell r="B4498">
            <v>108983</v>
          </cell>
          <cell r="C4498" t="str">
            <v>Broomhill Infant School</v>
          </cell>
          <cell r="D4498" t="str">
            <v>Bristol City of</v>
          </cell>
          <cell r="E4498" t="str">
            <v>Community School</v>
          </cell>
          <cell r="F4498" t="str">
            <v>Primary</v>
          </cell>
        </row>
        <row r="4499">
          <cell r="A4499">
            <v>8012018</v>
          </cell>
          <cell r="B4499">
            <v>108919</v>
          </cell>
          <cell r="C4499" t="str">
            <v>Broomhill Junior School</v>
          </cell>
          <cell r="D4499" t="str">
            <v>Bristol City of</v>
          </cell>
          <cell r="E4499" t="str">
            <v>Community School</v>
          </cell>
          <cell r="F4499" t="str">
            <v>Primary</v>
          </cell>
        </row>
        <row r="4500">
          <cell r="A4500">
            <v>8912466</v>
          </cell>
          <cell r="B4500">
            <v>122585</v>
          </cell>
          <cell r="C4500" t="str">
            <v>Broomhill Junior School</v>
          </cell>
          <cell r="D4500" t="str">
            <v>Nottinghamshire</v>
          </cell>
          <cell r="E4500" t="str">
            <v>Community School</v>
          </cell>
          <cell r="F4500" t="str">
            <v>Primary</v>
          </cell>
        </row>
        <row r="4501">
          <cell r="A4501">
            <v>9342188</v>
          </cell>
          <cell r="B4501">
            <v>129881</v>
          </cell>
          <cell r="C4501" t="str">
            <v>Broomhill Junior School</v>
          </cell>
          <cell r="D4501" t="str">
            <v>Pre LGR (1997) Staffordshire</v>
          </cell>
          <cell r="E4501" t="str">
            <v>Community School</v>
          </cell>
          <cell r="F4501" t="str">
            <v>Primary</v>
          </cell>
        </row>
        <row r="4502">
          <cell r="A4502">
            <v>9292056</v>
          </cell>
          <cell r="B4502">
            <v>122189</v>
          </cell>
          <cell r="C4502" t="str">
            <v>Broomley First School</v>
          </cell>
          <cell r="D4502" t="str">
            <v>Northumberland</v>
          </cell>
          <cell r="E4502" t="str">
            <v>Community School</v>
          </cell>
          <cell r="F4502" t="str">
            <v>Primary</v>
          </cell>
        </row>
        <row r="4503">
          <cell r="A4503">
            <v>2126347</v>
          </cell>
          <cell r="B4503">
            <v>101074</v>
          </cell>
          <cell r="C4503" t="str">
            <v>Broomwood Hall School</v>
          </cell>
          <cell r="D4503" t="str">
            <v>Wandsworth</v>
          </cell>
          <cell r="E4503" t="str">
            <v>Other Independent School</v>
          </cell>
          <cell r="F4503" t="str">
            <v>Not applicable</v>
          </cell>
        </row>
        <row r="4504">
          <cell r="A4504">
            <v>3804105</v>
          </cell>
          <cell r="B4504">
            <v>107418</v>
          </cell>
          <cell r="C4504" t="str">
            <v>Broomwood Middle School</v>
          </cell>
          <cell r="D4504" t="str">
            <v>Bradford</v>
          </cell>
          <cell r="E4504" t="str">
            <v>Community School</v>
          </cell>
          <cell r="F4504" t="str">
            <v>Middle Deemed Secondary</v>
          </cell>
        </row>
        <row r="4505">
          <cell r="A4505">
            <v>3582008</v>
          </cell>
          <cell r="B4505">
            <v>106290</v>
          </cell>
          <cell r="C4505" t="str">
            <v>Broomwood Primary School</v>
          </cell>
          <cell r="D4505" t="str">
            <v>Trafford</v>
          </cell>
          <cell r="E4505" t="str">
            <v>Community School</v>
          </cell>
          <cell r="F4505" t="str">
            <v>Primary</v>
          </cell>
        </row>
        <row r="4506">
          <cell r="A4506">
            <v>8933133</v>
          </cell>
          <cell r="B4506">
            <v>123523</v>
          </cell>
          <cell r="C4506" t="str">
            <v>Broseley CE Primary School</v>
          </cell>
          <cell r="D4506" t="str">
            <v>Shropshire</v>
          </cell>
          <cell r="E4506" t="str">
            <v>Voluntary Controlled School</v>
          </cell>
          <cell r="F4506" t="str">
            <v>Primary</v>
          </cell>
        </row>
        <row r="4507">
          <cell r="A4507">
            <v>8152311</v>
          </cell>
          <cell r="B4507">
            <v>121384</v>
          </cell>
          <cell r="C4507" t="str">
            <v>Brotherton and Byram Community Primary School</v>
          </cell>
          <cell r="D4507" t="str">
            <v>North Yorkshire</v>
          </cell>
          <cell r="E4507" t="str">
            <v>Community School</v>
          </cell>
          <cell r="F4507" t="str">
            <v>Primary</v>
          </cell>
        </row>
        <row r="4508">
          <cell r="A4508">
            <v>9092302</v>
          </cell>
          <cell r="B4508">
            <v>112177</v>
          </cell>
          <cell r="C4508" t="str">
            <v>Brough Primary School</v>
          </cell>
          <cell r="D4508" t="str">
            <v>Cumbria</v>
          </cell>
          <cell r="E4508" t="str">
            <v>Community School</v>
          </cell>
          <cell r="F4508" t="str">
            <v>Primary</v>
          </cell>
        </row>
        <row r="4509">
          <cell r="A4509">
            <v>8112721</v>
          </cell>
          <cell r="B4509">
            <v>117842</v>
          </cell>
          <cell r="C4509" t="str">
            <v>Brough Primary School</v>
          </cell>
          <cell r="D4509" t="str">
            <v>East Riding of Yorkshire</v>
          </cell>
          <cell r="E4509" t="str">
            <v>Community School</v>
          </cell>
          <cell r="F4509" t="str">
            <v>Primary</v>
          </cell>
        </row>
        <row r="4510">
          <cell r="A4510">
            <v>8052090</v>
          </cell>
          <cell r="B4510">
            <v>111568</v>
          </cell>
          <cell r="C4510" t="str">
            <v>Brougham Primary School</v>
          </cell>
          <cell r="D4510" t="str">
            <v>Hartlepool</v>
          </cell>
          <cell r="E4510" t="str">
            <v>Community School</v>
          </cell>
          <cell r="F4510" t="str">
            <v>Primary</v>
          </cell>
        </row>
        <row r="4511">
          <cell r="A4511">
            <v>8151002</v>
          </cell>
          <cell r="B4511">
            <v>121268</v>
          </cell>
          <cell r="C4511" t="str">
            <v>Brougham Street Nursery School</v>
          </cell>
          <cell r="D4511" t="str">
            <v>North Yorkshire</v>
          </cell>
          <cell r="E4511" t="str">
            <v>LA Nursery School</v>
          </cell>
          <cell r="F4511" t="str">
            <v>Nursery</v>
          </cell>
        </row>
        <row r="4512">
          <cell r="A4512">
            <v>8884232</v>
          </cell>
          <cell r="B4512">
            <v>119759</v>
          </cell>
          <cell r="C4512" t="str">
            <v>Broughton Business and Enterprise College</v>
          </cell>
          <cell r="D4512" t="str">
            <v>Lancashire</v>
          </cell>
          <cell r="E4512" t="str">
            <v>Community School</v>
          </cell>
          <cell r="F4512" t="str">
            <v>Secondary</v>
          </cell>
        </row>
        <row r="4513">
          <cell r="A4513">
            <v>9093132</v>
          </cell>
          <cell r="B4513">
            <v>112287</v>
          </cell>
          <cell r="C4513" t="str">
            <v>Broughton CofE School</v>
          </cell>
          <cell r="D4513" t="str">
            <v>Cumbria</v>
          </cell>
          <cell r="E4513" t="str">
            <v>Voluntary Controlled School</v>
          </cell>
          <cell r="F4513" t="str">
            <v>Primary</v>
          </cell>
        </row>
        <row r="4514">
          <cell r="A4514">
            <v>8262017</v>
          </cell>
          <cell r="B4514">
            <v>134072</v>
          </cell>
          <cell r="C4514" t="str">
            <v>Broughton Fields Primary School</v>
          </cell>
          <cell r="D4514" t="str">
            <v>Milton Keynes</v>
          </cell>
          <cell r="E4514" t="str">
            <v>Community School</v>
          </cell>
          <cell r="F4514" t="str">
            <v>Primary</v>
          </cell>
        </row>
        <row r="4515">
          <cell r="A4515">
            <v>3414792</v>
          </cell>
          <cell r="B4515">
            <v>104713</v>
          </cell>
          <cell r="C4515" t="str">
            <v>Broughton Hall High School, A Technology College</v>
          </cell>
          <cell r="D4515" t="str">
            <v>Liverpool</v>
          </cell>
          <cell r="E4515" t="str">
            <v>Voluntary Aided School</v>
          </cell>
          <cell r="F4515" t="str">
            <v>Secondary</v>
          </cell>
        </row>
        <row r="4516">
          <cell r="A4516">
            <v>8137905</v>
          </cell>
          <cell r="B4516">
            <v>131855</v>
          </cell>
          <cell r="C4516" t="str">
            <v>Broughton House College</v>
          </cell>
          <cell r="D4516" t="str">
            <v>North Lincolnshire</v>
          </cell>
          <cell r="E4516" t="str">
            <v>Special College</v>
          </cell>
          <cell r="F4516" t="str">
            <v>16 Plus</v>
          </cell>
        </row>
        <row r="4517">
          <cell r="A4517">
            <v>9256030</v>
          </cell>
          <cell r="B4517">
            <v>129600</v>
          </cell>
          <cell r="C4517" t="str">
            <v>Broughton House School</v>
          </cell>
          <cell r="D4517" t="str">
            <v>Lincolnshire</v>
          </cell>
          <cell r="E4517" t="str">
            <v>Other Independent School</v>
          </cell>
          <cell r="F4517" t="str">
            <v>Not applicable</v>
          </cell>
        </row>
        <row r="4518">
          <cell r="A4518">
            <v>8252179</v>
          </cell>
          <cell r="B4518">
            <v>110284</v>
          </cell>
          <cell r="C4518" t="str">
            <v>Broughton Infant School</v>
          </cell>
          <cell r="D4518" t="str">
            <v>Buckinghamshire</v>
          </cell>
          <cell r="E4518" t="str">
            <v>Community School</v>
          </cell>
          <cell r="F4518" t="str">
            <v>Primary</v>
          </cell>
        </row>
        <row r="4519">
          <cell r="A4519">
            <v>8132107</v>
          </cell>
          <cell r="B4519">
            <v>117729</v>
          </cell>
          <cell r="C4519" t="str">
            <v>Broughton Infant School</v>
          </cell>
          <cell r="D4519" t="str">
            <v>North Lincolnshire</v>
          </cell>
          <cell r="E4519" t="str">
            <v>Community School</v>
          </cell>
          <cell r="F4519" t="str">
            <v>Primary</v>
          </cell>
        </row>
        <row r="4520">
          <cell r="A4520">
            <v>6642090</v>
          </cell>
          <cell r="B4520">
            <v>400365</v>
          </cell>
          <cell r="C4520" t="str">
            <v>Broughton Infants School</v>
          </cell>
          <cell r="D4520" t="str">
            <v>Flintshire</v>
          </cell>
          <cell r="E4520" t="str">
            <v>Welsh Establishment</v>
          </cell>
          <cell r="F4520" t="str">
            <v>Primary</v>
          </cell>
        </row>
        <row r="4521">
          <cell r="A4521">
            <v>3553802</v>
          </cell>
          <cell r="B4521">
            <v>105971</v>
          </cell>
          <cell r="C4521" t="str">
            <v>Broughton Jewish Cassel Fox Primary School</v>
          </cell>
          <cell r="D4521" t="str">
            <v>Salford</v>
          </cell>
          <cell r="E4521" t="str">
            <v>Voluntary Aided School</v>
          </cell>
          <cell r="F4521" t="str">
            <v>Primary</v>
          </cell>
        </row>
        <row r="4522">
          <cell r="A4522">
            <v>8252152</v>
          </cell>
          <cell r="B4522">
            <v>110270</v>
          </cell>
          <cell r="C4522" t="str">
            <v>Broughton Junior School</v>
          </cell>
          <cell r="D4522" t="str">
            <v>Buckinghamshire</v>
          </cell>
          <cell r="E4522" t="str">
            <v>Community School</v>
          </cell>
          <cell r="F4522" t="str">
            <v>Primary</v>
          </cell>
        </row>
        <row r="4523">
          <cell r="A4523">
            <v>8132880</v>
          </cell>
          <cell r="B4523">
            <v>117910</v>
          </cell>
          <cell r="C4523" t="str">
            <v>Broughton Junior School</v>
          </cell>
          <cell r="D4523" t="str">
            <v>North Lincolnshire</v>
          </cell>
          <cell r="E4523" t="str">
            <v>Community School</v>
          </cell>
          <cell r="F4523" t="str">
            <v>Primary</v>
          </cell>
        </row>
        <row r="4524">
          <cell r="A4524">
            <v>6642097</v>
          </cell>
          <cell r="B4524">
            <v>400370</v>
          </cell>
          <cell r="C4524" t="str">
            <v>Broughton Junior School</v>
          </cell>
          <cell r="D4524" t="str">
            <v>Flintshire</v>
          </cell>
          <cell r="E4524" t="str">
            <v>Welsh Establishment</v>
          </cell>
          <cell r="F4524" t="str">
            <v>Primary</v>
          </cell>
        </row>
        <row r="4525">
          <cell r="A4525">
            <v>8266010</v>
          </cell>
          <cell r="B4525">
            <v>134831</v>
          </cell>
          <cell r="C4525" t="str">
            <v>Broughton Manor Preparatory School</v>
          </cell>
          <cell r="D4525" t="str">
            <v>Milton Keynes</v>
          </cell>
          <cell r="E4525" t="str">
            <v>Other Independent School</v>
          </cell>
          <cell r="F4525" t="str">
            <v>Not applicable</v>
          </cell>
        </row>
        <row r="4526">
          <cell r="A4526">
            <v>8266013</v>
          </cell>
          <cell r="B4526">
            <v>136153</v>
          </cell>
          <cell r="C4526" t="str">
            <v>Broughton Manor Preparatory School</v>
          </cell>
          <cell r="D4526" t="str">
            <v>Milton Keynes</v>
          </cell>
          <cell r="E4526" t="str">
            <v>Other Independent School</v>
          </cell>
          <cell r="F4526" t="str">
            <v>Not applicable</v>
          </cell>
        </row>
        <row r="4527">
          <cell r="A4527">
            <v>9092103</v>
          </cell>
          <cell r="B4527">
            <v>112129</v>
          </cell>
          <cell r="C4527" t="str">
            <v>Broughton Moor Primary School</v>
          </cell>
          <cell r="D4527" t="str">
            <v>Cumbria</v>
          </cell>
          <cell r="E4527" t="str">
            <v>Community School</v>
          </cell>
          <cell r="F4527" t="str">
            <v>Primary</v>
          </cell>
        </row>
        <row r="4528">
          <cell r="A4528">
            <v>3557008</v>
          </cell>
          <cell r="B4528">
            <v>127490</v>
          </cell>
          <cell r="C4528" t="str">
            <v>Broughton Park School</v>
          </cell>
          <cell r="D4528" t="str">
            <v>Salford</v>
          </cell>
          <cell r="E4528" t="str">
            <v>Community Special School</v>
          </cell>
          <cell r="F4528" t="str">
            <v>Special</v>
          </cell>
        </row>
        <row r="4529">
          <cell r="A4529">
            <v>9095205</v>
          </cell>
          <cell r="B4529">
            <v>112407</v>
          </cell>
          <cell r="C4529" t="str">
            <v>Broughton Primary School</v>
          </cell>
          <cell r="D4529" t="str">
            <v>Cumbria</v>
          </cell>
          <cell r="E4529" t="str">
            <v>Foundation School</v>
          </cell>
          <cell r="F4529" t="str">
            <v>Primary</v>
          </cell>
        </row>
        <row r="4530">
          <cell r="A4530">
            <v>8502025</v>
          </cell>
          <cell r="B4530">
            <v>115867</v>
          </cell>
          <cell r="C4530" t="str">
            <v>Broughton Primary School</v>
          </cell>
          <cell r="D4530" t="str">
            <v>Hampshire</v>
          </cell>
          <cell r="E4530" t="str">
            <v>Community School</v>
          </cell>
          <cell r="F4530" t="str">
            <v>Primary</v>
          </cell>
        </row>
        <row r="4531">
          <cell r="A4531">
            <v>9282007</v>
          </cell>
          <cell r="B4531">
            <v>121799</v>
          </cell>
          <cell r="C4531" t="str">
            <v>Broughton Primary School</v>
          </cell>
          <cell r="D4531" t="str">
            <v>Northamptonshire</v>
          </cell>
          <cell r="E4531" t="str">
            <v>Community School</v>
          </cell>
          <cell r="F4531" t="str">
            <v>Primary</v>
          </cell>
        </row>
        <row r="4532">
          <cell r="A4532">
            <v>9095205</v>
          </cell>
          <cell r="B4532">
            <v>137513</v>
          </cell>
          <cell r="C4532" t="str">
            <v>Broughton Primary School</v>
          </cell>
          <cell r="D4532" t="str">
            <v>Cumbria</v>
          </cell>
          <cell r="E4532" t="str">
            <v>Academy Converters</v>
          </cell>
          <cell r="F4532" t="str">
            <v>Primary</v>
          </cell>
        </row>
        <row r="4533">
          <cell r="A4533">
            <v>6642268</v>
          </cell>
          <cell r="B4533">
            <v>402269</v>
          </cell>
          <cell r="C4533" t="str">
            <v>Broughton Primary School</v>
          </cell>
          <cell r="D4533" t="str">
            <v>Flintshire</v>
          </cell>
          <cell r="E4533" t="str">
            <v>Welsh Establishment</v>
          </cell>
          <cell r="F4533" t="str">
            <v>Primary</v>
          </cell>
        </row>
        <row r="4534">
          <cell r="A4534">
            <v>9237008</v>
          </cell>
          <cell r="B4534">
            <v>119862</v>
          </cell>
          <cell r="C4534" t="str">
            <v>Broughton Tower Residential School</v>
          </cell>
          <cell r="D4534" t="str">
            <v>Pre LGR (1998) Lancashire</v>
          </cell>
          <cell r="E4534" t="str">
            <v>Community Special School</v>
          </cell>
          <cell r="F4534" t="str">
            <v>Special</v>
          </cell>
        </row>
        <row r="4535">
          <cell r="A4535">
            <v>8883578</v>
          </cell>
          <cell r="B4535">
            <v>119563</v>
          </cell>
          <cell r="C4535" t="str">
            <v>Broughton-in-Amounderness Church of England Primary School</v>
          </cell>
          <cell r="D4535" t="str">
            <v>Lancashire</v>
          </cell>
          <cell r="E4535" t="str">
            <v>Voluntary Aided School</v>
          </cell>
          <cell r="F4535" t="str">
            <v>Primary</v>
          </cell>
        </row>
        <row r="4536">
          <cell r="A4536">
            <v>9262184</v>
          </cell>
          <cell r="B4536">
            <v>120867</v>
          </cell>
          <cell r="C4536" t="str">
            <v>Browick Road Infant School</v>
          </cell>
          <cell r="D4536" t="str">
            <v>Norfolk</v>
          </cell>
          <cell r="E4536" t="str">
            <v>Community School</v>
          </cell>
          <cell r="F4536" t="str">
            <v>Primary</v>
          </cell>
        </row>
        <row r="4537">
          <cell r="A4537">
            <v>8933159</v>
          </cell>
          <cell r="B4537">
            <v>123532</v>
          </cell>
          <cell r="C4537" t="str">
            <v>Brown Clee CofE Primary School</v>
          </cell>
          <cell r="D4537" t="str">
            <v>Shropshire</v>
          </cell>
          <cell r="E4537" t="str">
            <v>Voluntary Controlled School</v>
          </cell>
          <cell r="F4537" t="str">
            <v>Primary</v>
          </cell>
        </row>
        <row r="4538">
          <cell r="A4538">
            <v>3839901</v>
          </cell>
          <cell r="B4538">
            <v>133230</v>
          </cell>
          <cell r="C4538" t="str">
            <v>Brownberrie Education Trust</v>
          </cell>
          <cell r="D4538" t="str">
            <v>Leeds</v>
          </cell>
          <cell r="E4538" t="str">
            <v>Miscellaneous</v>
          </cell>
          <cell r="F4538" t="str">
            <v>Not applicable</v>
          </cell>
        </row>
        <row r="4539">
          <cell r="A4539">
            <v>3836122</v>
          </cell>
          <cell r="B4539">
            <v>134432</v>
          </cell>
          <cell r="C4539" t="str">
            <v>Brownberrie School</v>
          </cell>
          <cell r="D4539" t="str">
            <v>Leeds</v>
          </cell>
          <cell r="E4539" t="str">
            <v>Other Independent School</v>
          </cell>
          <cell r="F4539" t="str">
            <v>Not applicable</v>
          </cell>
        </row>
        <row r="4540">
          <cell r="A4540">
            <v>8884623</v>
          </cell>
          <cell r="B4540">
            <v>119784</v>
          </cell>
          <cell r="C4540" t="str">
            <v>Brownedge St  Mary's Catholic High School</v>
          </cell>
          <cell r="D4540" t="str">
            <v>Lancashire</v>
          </cell>
          <cell r="E4540" t="str">
            <v>Voluntary Aided School</v>
          </cell>
          <cell r="F4540" t="str">
            <v>Secondary</v>
          </cell>
        </row>
        <row r="4541">
          <cell r="A4541">
            <v>8402459</v>
          </cell>
          <cell r="B4541">
            <v>114121</v>
          </cell>
          <cell r="C4541" t="str">
            <v>Browney Primary School</v>
          </cell>
          <cell r="D4541" t="str">
            <v>Durham</v>
          </cell>
          <cell r="E4541" t="str">
            <v>Community School</v>
          </cell>
          <cell r="F4541" t="str">
            <v>Primary</v>
          </cell>
        </row>
        <row r="4542">
          <cell r="A4542">
            <v>3832036</v>
          </cell>
          <cell r="B4542">
            <v>127812</v>
          </cell>
          <cell r="C4542" t="str">
            <v>Brownhill First School</v>
          </cell>
          <cell r="D4542" t="str">
            <v>Leeds</v>
          </cell>
          <cell r="E4542" t="str">
            <v>Community School</v>
          </cell>
          <cell r="F4542" t="str">
            <v>Primary</v>
          </cell>
        </row>
        <row r="4543">
          <cell r="A4543">
            <v>3822140</v>
          </cell>
          <cell r="B4543">
            <v>107689</v>
          </cell>
          <cell r="C4543" t="str">
            <v>Brownhill Infant School</v>
          </cell>
          <cell r="D4543" t="str">
            <v>Kirklees</v>
          </cell>
          <cell r="E4543" t="str">
            <v>Community School</v>
          </cell>
          <cell r="F4543" t="str">
            <v>Primary</v>
          </cell>
        </row>
        <row r="4544">
          <cell r="A4544">
            <v>3832445</v>
          </cell>
          <cell r="B4544">
            <v>107921</v>
          </cell>
          <cell r="C4544" t="str">
            <v>Brownhill Primary School</v>
          </cell>
          <cell r="D4544" t="str">
            <v>Leeds</v>
          </cell>
          <cell r="E4544" t="str">
            <v>Community School</v>
          </cell>
          <cell r="F4544" t="str">
            <v>Primary</v>
          </cell>
        </row>
        <row r="4545">
          <cell r="A4545">
            <v>3832391</v>
          </cell>
          <cell r="B4545">
            <v>127911</v>
          </cell>
          <cell r="C4545" t="str">
            <v>Brownhill Primary School</v>
          </cell>
          <cell r="D4545" t="str">
            <v>Leeds</v>
          </cell>
          <cell r="E4545" t="str">
            <v>Community School</v>
          </cell>
          <cell r="F4545" t="str">
            <v>Primary</v>
          </cell>
        </row>
        <row r="4546">
          <cell r="A4546">
            <v>3547006</v>
          </cell>
          <cell r="B4546">
            <v>105861</v>
          </cell>
          <cell r="C4546" t="str">
            <v>Brownhill School</v>
          </cell>
          <cell r="D4546" t="str">
            <v>Rochdale</v>
          </cell>
          <cell r="E4546" t="str">
            <v>Community Special School</v>
          </cell>
          <cell r="F4546" t="str">
            <v>Special</v>
          </cell>
        </row>
        <row r="4547">
          <cell r="A4547">
            <v>3823322</v>
          </cell>
          <cell r="B4547">
            <v>107738</v>
          </cell>
          <cell r="C4547" t="str">
            <v>Brownhill St Saviour's Church of England Voluntary Aided Junior School</v>
          </cell>
          <cell r="D4547" t="str">
            <v>Kirklees</v>
          </cell>
          <cell r="E4547" t="str">
            <v>Voluntary Aided School</v>
          </cell>
          <cell r="F4547" t="str">
            <v>Primary</v>
          </cell>
        </row>
        <row r="4548">
          <cell r="A4548">
            <v>3354057</v>
          </cell>
          <cell r="B4548">
            <v>104248</v>
          </cell>
          <cell r="C4548" t="str">
            <v>Brownhills Community Technology College</v>
          </cell>
          <cell r="D4548" t="str">
            <v>Walsall</v>
          </cell>
          <cell r="E4548" t="str">
            <v>Foundation School</v>
          </cell>
          <cell r="F4548" t="str">
            <v>Secondary</v>
          </cell>
        </row>
        <row r="4549">
          <cell r="A4549">
            <v>8614028</v>
          </cell>
          <cell r="B4549">
            <v>124383</v>
          </cell>
          <cell r="C4549" t="str">
            <v>Brownhills Maths and Computing College</v>
          </cell>
          <cell r="D4549" t="str">
            <v>Stoke-on-Trent</v>
          </cell>
          <cell r="E4549" t="str">
            <v>Community School</v>
          </cell>
          <cell r="F4549" t="str">
            <v>Secondary</v>
          </cell>
        </row>
        <row r="4550">
          <cell r="A4550">
            <v>3352225</v>
          </cell>
          <cell r="B4550">
            <v>104206</v>
          </cell>
          <cell r="C4550" t="str">
            <v>Brownhills West Primary School</v>
          </cell>
          <cell r="D4550" t="str">
            <v>Walsall</v>
          </cell>
          <cell r="E4550" t="str">
            <v>Community School</v>
          </cell>
          <cell r="F4550" t="str">
            <v>Primary</v>
          </cell>
        </row>
        <row r="4551">
          <cell r="A4551">
            <v>3502004</v>
          </cell>
          <cell r="B4551">
            <v>105149</v>
          </cell>
          <cell r="C4551" t="str">
            <v>Brownlow Fold Primary School</v>
          </cell>
          <cell r="D4551" t="str">
            <v>Bolton</v>
          </cell>
          <cell r="E4551" t="str">
            <v>Community School</v>
          </cell>
          <cell r="F4551" t="str">
            <v>Primary</v>
          </cell>
        </row>
        <row r="4552">
          <cell r="A4552">
            <v>8552072</v>
          </cell>
          <cell r="B4552">
            <v>119939</v>
          </cell>
          <cell r="C4552" t="str">
            <v>Brownlow Primary School</v>
          </cell>
          <cell r="D4552" t="str">
            <v>Leicestershire</v>
          </cell>
          <cell r="E4552" t="str">
            <v>Community School</v>
          </cell>
          <cell r="F4552" t="str">
            <v>Primary</v>
          </cell>
        </row>
        <row r="4553">
          <cell r="A4553">
            <v>3302035</v>
          </cell>
          <cell r="B4553">
            <v>103176</v>
          </cell>
          <cell r="C4553" t="str">
            <v>Brownmead Junior and Infant School</v>
          </cell>
          <cell r="D4553" t="str">
            <v>Birmingham</v>
          </cell>
          <cell r="E4553" t="str">
            <v>Community School</v>
          </cell>
          <cell r="F4553" t="str">
            <v>Primary</v>
          </cell>
        </row>
        <row r="4554">
          <cell r="A4554">
            <v>9253317</v>
          </cell>
          <cell r="B4554">
            <v>120603</v>
          </cell>
          <cell r="C4554" t="str">
            <v>Brown's Church of England Primary School, Horbling</v>
          </cell>
          <cell r="D4554" t="str">
            <v>Lincolnshire</v>
          </cell>
          <cell r="E4554" t="str">
            <v>Voluntary Aided School</v>
          </cell>
          <cell r="F4554" t="str">
            <v>Primary</v>
          </cell>
        </row>
        <row r="4555">
          <cell r="A4555">
            <v>3056078</v>
          </cell>
          <cell r="B4555">
            <v>131395</v>
          </cell>
          <cell r="C4555" t="str">
            <v>Browns School</v>
          </cell>
          <cell r="D4555" t="str">
            <v>Bromley</v>
          </cell>
          <cell r="E4555" t="str">
            <v>Other Independent Special School</v>
          </cell>
          <cell r="F4555" t="str">
            <v>Not applicable</v>
          </cell>
        </row>
        <row r="4556">
          <cell r="A4556">
            <v>9372616</v>
          </cell>
          <cell r="B4556">
            <v>125618</v>
          </cell>
          <cell r="C4556" t="str">
            <v>Brownsover Community Infant School</v>
          </cell>
          <cell r="D4556" t="str">
            <v>Warwickshire</v>
          </cell>
          <cell r="E4556" t="str">
            <v>Community School</v>
          </cell>
          <cell r="F4556" t="str">
            <v>Primary</v>
          </cell>
        </row>
        <row r="4557">
          <cell r="A4557">
            <v>9193344</v>
          </cell>
          <cell r="B4557">
            <v>117437</v>
          </cell>
          <cell r="C4557" t="str">
            <v>Broxbourne CofE Primary School</v>
          </cell>
          <cell r="D4557" t="str">
            <v>Hertfordshire</v>
          </cell>
          <cell r="E4557" t="str">
            <v>Voluntary Aided School</v>
          </cell>
          <cell r="F4557" t="str">
            <v>Primary</v>
          </cell>
        </row>
        <row r="4558">
          <cell r="A4558">
            <v>9197000</v>
          </cell>
          <cell r="B4558">
            <v>129178</v>
          </cell>
          <cell r="C4558" t="str">
            <v>Broxbournebury School</v>
          </cell>
          <cell r="D4558" t="str">
            <v>Hertfordshire</v>
          </cell>
          <cell r="E4558" t="str">
            <v>Community Special School</v>
          </cell>
          <cell r="F4558" t="str">
            <v>Special</v>
          </cell>
        </row>
        <row r="4559">
          <cell r="A4559">
            <v>3092007</v>
          </cell>
          <cell r="B4559">
            <v>102083</v>
          </cell>
          <cell r="C4559" t="str">
            <v>Bruce Grove Infant School</v>
          </cell>
          <cell r="D4559" t="str">
            <v>Haringey</v>
          </cell>
          <cell r="E4559" t="str">
            <v>Community School</v>
          </cell>
          <cell r="F4559" t="str">
            <v>Primary</v>
          </cell>
        </row>
        <row r="4560">
          <cell r="A4560">
            <v>3092006</v>
          </cell>
          <cell r="B4560">
            <v>102082</v>
          </cell>
          <cell r="C4560" t="str">
            <v>Bruce Grove Junior School</v>
          </cell>
          <cell r="D4560" t="str">
            <v>Haringey</v>
          </cell>
          <cell r="E4560" t="str">
            <v>Community School</v>
          </cell>
          <cell r="F4560" t="str">
            <v>Primary</v>
          </cell>
        </row>
        <row r="4561">
          <cell r="A4561">
            <v>3092083</v>
          </cell>
          <cell r="B4561">
            <v>131731</v>
          </cell>
          <cell r="C4561" t="str">
            <v>Bruce Grove Primary School</v>
          </cell>
          <cell r="D4561" t="str">
            <v>Haringey</v>
          </cell>
          <cell r="E4561" t="str">
            <v>Community School</v>
          </cell>
          <cell r="F4561" t="str">
            <v>Primary</v>
          </cell>
        </row>
        <row r="4562">
          <cell r="A4562">
            <v>8772424</v>
          </cell>
          <cell r="B4562">
            <v>111196</v>
          </cell>
          <cell r="C4562" t="str">
            <v>Bruche Community Infant School</v>
          </cell>
          <cell r="D4562" t="str">
            <v>Warrington</v>
          </cell>
          <cell r="E4562" t="str">
            <v>Community School</v>
          </cell>
          <cell r="F4562" t="str">
            <v>Primary</v>
          </cell>
        </row>
        <row r="4563">
          <cell r="A4563">
            <v>8772419</v>
          </cell>
          <cell r="B4563">
            <v>111191</v>
          </cell>
          <cell r="C4563" t="str">
            <v>Bruche Community Junior School</v>
          </cell>
          <cell r="D4563" t="str">
            <v>Warrington</v>
          </cell>
          <cell r="E4563" t="str">
            <v>Community School</v>
          </cell>
          <cell r="F4563" t="str">
            <v>Primary</v>
          </cell>
        </row>
        <row r="4564">
          <cell r="A4564">
            <v>8773643</v>
          </cell>
          <cell r="B4564">
            <v>133915</v>
          </cell>
          <cell r="C4564" t="str">
            <v>Bruche Community Primary School</v>
          </cell>
          <cell r="D4564" t="str">
            <v>Warrington</v>
          </cell>
          <cell r="E4564" t="str">
            <v>Community School</v>
          </cell>
          <cell r="F4564" t="str">
            <v>Primary</v>
          </cell>
        </row>
        <row r="4565">
          <cell r="A4565">
            <v>3832040</v>
          </cell>
          <cell r="B4565">
            <v>127813</v>
          </cell>
          <cell r="C4565" t="str">
            <v>Brudenell First School</v>
          </cell>
          <cell r="D4565" t="str">
            <v>Leeds</v>
          </cell>
          <cell r="E4565" t="str">
            <v>Community School</v>
          </cell>
          <cell r="F4565" t="str">
            <v>Primary</v>
          </cell>
        </row>
        <row r="4566">
          <cell r="A4566">
            <v>9044071</v>
          </cell>
          <cell r="B4566">
            <v>128351</v>
          </cell>
          <cell r="C4566" t="str">
            <v>Brudenell Girls' School</v>
          </cell>
          <cell r="D4566" t="str">
            <v>Pre LGR (1997) Buckinghamshire</v>
          </cell>
          <cell r="E4566" t="str">
            <v>Community School</v>
          </cell>
          <cell r="F4566" t="str">
            <v>Secondary</v>
          </cell>
        </row>
        <row r="4567">
          <cell r="A4567">
            <v>3832409</v>
          </cell>
          <cell r="B4567">
            <v>107885</v>
          </cell>
          <cell r="C4567" t="str">
            <v>Brudenell Primary School</v>
          </cell>
          <cell r="D4567" t="str">
            <v>Leeds</v>
          </cell>
          <cell r="E4567" t="str">
            <v>Community School</v>
          </cell>
          <cell r="F4567" t="str">
            <v>Primary</v>
          </cell>
        </row>
        <row r="4568">
          <cell r="A4568">
            <v>9316106</v>
          </cell>
          <cell r="B4568">
            <v>123320</v>
          </cell>
          <cell r="C4568" t="str">
            <v>Bruern Abbey School</v>
          </cell>
          <cell r="D4568" t="str">
            <v>Oxfordshire</v>
          </cell>
          <cell r="E4568" t="str">
            <v>Other Independent School</v>
          </cell>
          <cell r="F4568" t="str">
            <v>Not applicable</v>
          </cell>
        </row>
        <row r="4569">
          <cell r="A4569">
            <v>7022006</v>
          </cell>
          <cell r="B4569">
            <v>132379</v>
          </cell>
          <cell r="C4569" t="str">
            <v>Bruggen School</v>
          </cell>
          <cell r="D4569" t="str">
            <v>BFPO Overseas Establishments</v>
          </cell>
          <cell r="E4569" t="str">
            <v>Service Childrens Education</v>
          </cell>
          <cell r="F4569" t="str">
            <v>Not applicable</v>
          </cell>
        </row>
        <row r="4570">
          <cell r="A4570">
            <v>8134075</v>
          </cell>
          <cell r="B4570">
            <v>118088</v>
          </cell>
          <cell r="C4570" t="str">
            <v>Brumby Engineering College</v>
          </cell>
          <cell r="D4570" t="str">
            <v>North Lincolnshire</v>
          </cell>
          <cell r="E4570" t="str">
            <v>Community School</v>
          </cell>
          <cell r="F4570" t="str">
            <v>Secondary</v>
          </cell>
        </row>
        <row r="4571">
          <cell r="A4571">
            <v>8132129</v>
          </cell>
          <cell r="B4571">
            <v>117746</v>
          </cell>
          <cell r="C4571" t="str">
            <v>Brumby Junior School</v>
          </cell>
          <cell r="D4571" t="str">
            <v>North Lincolnshire</v>
          </cell>
          <cell r="E4571" t="str">
            <v>Community School</v>
          </cell>
          <cell r="F4571" t="str">
            <v>Primary</v>
          </cell>
        </row>
        <row r="4572">
          <cell r="A4572">
            <v>9262261</v>
          </cell>
          <cell r="B4572">
            <v>120909</v>
          </cell>
          <cell r="C4572" t="str">
            <v>Brundall Primary School</v>
          </cell>
          <cell r="D4572" t="str">
            <v>Norfolk</v>
          </cell>
          <cell r="E4572" t="str">
            <v>Community School</v>
          </cell>
          <cell r="F4572" t="str">
            <v>Primary</v>
          </cell>
        </row>
        <row r="4573">
          <cell r="A4573">
            <v>8504315</v>
          </cell>
          <cell r="B4573">
            <v>116472</v>
          </cell>
          <cell r="C4573" t="str">
            <v>Brune Park Community College</v>
          </cell>
          <cell r="D4573" t="str">
            <v>Hampshire</v>
          </cell>
          <cell r="E4573" t="str">
            <v>Foundation School</v>
          </cell>
          <cell r="F4573" t="str">
            <v>Secondary</v>
          </cell>
        </row>
        <row r="4574">
          <cell r="A4574">
            <v>8018007</v>
          </cell>
          <cell r="B4574">
            <v>130562</v>
          </cell>
          <cell r="C4574" t="str">
            <v>Brunel College of Arts and Technology</v>
          </cell>
          <cell r="D4574" t="str">
            <v>Bristol City of</v>
          </cell>
          <cell r="E4574" t="str">
            <v>Further Education</v>
          </cell>
          <cell r="F4574" t="str">
            <v>16 Plus</v>
          </cell>
        </row>
        <row r="4575">
          <cell r="A4575">
            <v>8891030</v>
          </cell>
          <cell r="B4575">
            <v>119092</v>
          </cell>
          <cell r="C4575" t="str">
            <v>Brunel Nursery School</v>
          </cell>
          <cell r="D4575" t="str">
            <v>Blackburn with Darwen</v>
          </cell>
          <cell r="E4575" t="str">
            <v>LA Nursery School</v>
          </cell>
          <cell r="F4575" t="str">
            <v>Nursery</v>
          </cell>
        </row>
        <row r="4576">
          <cell r="A4576">
            <v>9082754</v>
          </cell>
          <cell r="B4576">
            <v>131248</v>
          </cell>
          <cell r="C4576" t="str">
            <v>Brunel Primary and Nursery School</v>
          </cell>
          <cell r="D4576" t="str">
            <v>Cornwall</v>
          </cell>
          <cell r="E4576" t="str">
            <v>Community School</v>
          </cell>
          <cell r="F4576" t="str">
            <v>Primary</v>
          </cell>
        </row>
        <row r="4577">
          <cell r="A4577">
            <v>9082754</v>
          </cell>
          <cell r="B4577">
            <v>136957</v>
          </cell>
          <cell r="C4577" t="str">
            <v>Brunel Primary and Nursery School</v>
          </cell>
          <cell r="D4577" t="str">
            <v>Cornwall</v>
          </cell>
          <cell r="E4577" t="str">
            <v>Academy Converters</v>
          </cell>
          <cell r="F4577" t="str">
            <v>Primary</v>
          </cell>
        </row>
        <row r="4578">
          <cell r="A4578">
            <v>8309901</v>
          </cell>
          <cell r="B4578">
            <v>133151</v>
          </cell>
          <cell r="C4578" t="str">
            <v>Brunel Unit</v>
          </cell>
          <cell r="D4578" t="str">
            <v>Derbyshire</v>
          </cell>
          <cell r="E4578" t="str">
            <v>Secure Units</v>
          </cell>
          <cell r="F4578" t="str">
            <v>Not applicable</v>
          </cell>
        </row>
        <row r="4579">
          <cell r="A4579">
            <v>312</v>
          </cell>
          <cell r="B4579">
            <v>133897</v>
          </cell>
          <cell r="C4579" t="str">
            <v>Brunel University</v>
          </cell>
          <cell r="D4579" t="str">
            <v>Hillingdon</v>
          </cell>
          <cell r="E4579" t="str">
            <v>Higher Education Institutions</v>
          </cell>
          <cell r="F4579" t="str">
            <v>Not applicable</v>
          </cell>
        </row>
        <row r="4580">
          <cell r="A4580">
            <v>9116006</v>
          </cell>
          <cell r="B4580">
            <v>128732</v>
          </cell>
          <cell r="C4580" t="str">
            <v>Brunell School</v>
          </cell>
          <cell r="D4580" t="str">
            <v>Pre LGR (1998) Devon</v>
          </cell>
          <cell r="E4580" t="str">
            <v>Other Independent School</v>
          </cell>
          <cell r="F4580" t="str">
            <v>Not applicable</v>
          </cell>
        </row>
        <row r="4581">
          <cell r="A4581">
            <v>8881020</v>
          </cell>
          <cell r="B4581">
            <v>119082</v>
          </cell>
          <cell r="C4581" t="str">
            <v>Brunshaw Nursery School</v>
          </cell>
          <cell r="D4581" t="str">
            <v>Lancashire</v>
          </cell>
          <cell r="E4581" t="str">
            <v>LA Nursery School</v>
          </cell>
          <cell r="F4581" t="str">
            <v>Nursery</v>
          </cell>
        </row>
        <row r="4582">
          <cell r="A4582">
            <v>3917019</v>
          </cell>
          <cell r="B4582">
            <v>128146</v>
          </cell>
          <cell r="C4582" t="str">
            <v>Brunswick Beech School</v>
          </cell>
          <cell r="D4582" t="str">
            <v>Newcastle upon Tyne</v>
          </cell>
          <cell r="E4582" t="str">
            <v>Community Special School</v>
          </cell>
          <cell r="F4582" t="str">
            <v>Special</v>
          </cell>
        </row>
        <row r="4583">
          <cell r="A4583">
            <v>3917027</v>
          </cell>
          <cell r="B4583">
            <v>108556</v>
          </cell>
          <cell r="C4583" t="str">
            <v>Brunswick Beech Special School</v>
          </cell>
          <cell r="D4583" t="str">
            <v>Newcastle upon Tyne</v>
          </cell>
          <cell r="E4583" t="str">
            <v>Community Special School</v>
          </cell>
          <cell r="F4583" t="str">
            <v>Special</v>
          </cell>
        </row>
        <row r="4584">
          <cell r="A4584">
            <v>9091101</v>
          </cell>
          <cell r="B4584">
            <v>128565</v>
          </cell>
          <cell r="C4584" t="str">
            <v>Brunswick Centre</v>
          </cell>
          <cell r="D4584" t="str">
            <v>Cumbria</v>
          </cell>
          <cell r="E4584" t="str">
            <v>Pupil Referral Unit</v>
          </cell>
          <cell r="F4584" t="str">
            <v>PRU</v>
          </cell>
        </row>
        <row r="4585">
          <cell r="A4585">
            <v>3732325</v>
          </cell>
          <cell r="B4585">
            <v>107069</v>
          </cell>
          <cell r="C4585" t="str">
            <v>Brunswick Community Primary School</v>
          </cell>
          <cell r="D4585" t="str">
            <v>Sheffield</v>
          </cell>
          <cell r="E4585" t="str">
            <v>Community School</v>
          </cell>
          <cell r="F4585" t="str">
            <v>Primary</v>
          </cell>
        </row>
        <row r="4586">
          <cell r="A4586">
            <v>8862171</v>
          </cell>
          <cell r="B4586">
            <v>118297</v>
          </cell>
          <cell r="C4586" t="str">
            <v>Brunswick House Primary School</v>
          </cell>
          <cell r="D4586" t="str">
            <v>Kent</v>
          </cell>
          <cell r="E4586" t="str">
            <v>Community School</v>
          </cell>
          <cell r="F4586" t="str">
            <v>Primary</v>
          </cell>
        </row>
        <row r="4587">
          <cell r="A4587">
            <v>9204459</v>
          </cell>
          <cell r="B4587">
            <v>129293</v>
          </cell>
          <cell r="C4587" t="str">
            <v>Brunswick Junior High School</v>
          </cell>
          <cell r="D4587" t="str">
            <v>Pre LGR (1996) Humberside</v>
          </cell>
          <cell r="E4587" t="str">
            <v>Community School</v>
          </cell>
          <cell r="F4587" t="str">
            <v>Secondary</v>
          </cell>
        </row>
        <row r="4588">
          <cell r="A4588">
            <v>8731005</v>
          </cell>
          <cell r="B4588">
            <v>110596</v>
          </cell>
          <cell r="C4588" t="str">
            <v>Brunswick Nursery School</v>
          </cell>
          <cell r="D4588" t="str">
            <v>Cambridgeshire</v>
          </cell>
          <cell r="E4588" t="str">
            <v>LA Nursery School</v>
          </cell>
          <cell r="F4588" t="str">
            <v>Nursery</v>
          </cell>
        </row>
        <row r="4589">
          <cell r="A4589">
            <v>2102075</v>
          </cell>
          <cell r="B4589">
            <v>100779</v>
          </cell>
          <cell r="C4589" t="str">
            <v>Brunswick Park Infant School</v>
          </cell>
          <cell r="D4589" t="str">
            <v>Southwark</v>
          </cell>
          <cell r="E4589" t="str">
            <v>Community School</v>
          </cell>
          <cell r="F4589" t="str">
            <v>Primary</v>
          </cell>
        </row>
        <row r="4590">
          <cell r="A4590">
            <v>2102074</v>
          </cell>
          <cell r="B4590">
            <v>100778</v>
          </cell>
          <cell r="C4590" t="str">
            <v>Brunswick Park Junior School</v>
          </cell>
          <cell r="D4590" t="str">
            <v>Southwark</v>
          </cell>
          <cell r="E4590" t="str">
            <v>Community School</v>
          </cell>
          <cell r="F4590" t="str">
            <v>Primary</v>
          </cell>
        </row>
        <row r="4591">
          <cell r="A4591">
            <v>3022009</v>
          </cell>
          <cell r="B4591">
            <v>101264</v>
          </cell>
          <cell r="C4591" t="str">
            <v>Brunswick Park Primary and Nursery School</v>
          </cell>
          <cell r="D4591" t="str">
            <v>Barnet</v>
          </cell>
          <cell r="E4591" t="str">
            <v>Community School</v>
          </cell>
          <cell r="F4591" t="str">
            <v>Primary</v>
          </cell>
        </row>
        <row r="4592">
          <cell r="A4592">
            <v>2102858</v>
          </cell>
          <cell r="B4592">
            <v>131843</v>
          </cell>
          <cell r="C4592" t="str">
            <v>Brunswick Park Primary School</v>
          </cell>
          <cell r="D4592" t="str">
            <v>Southwark</v>
          </cell>
          <cell r="E4592" t="str">
            <v>Community School</v>
          </cell>
          <cell r="F4592" t="str">
            <v>Primary</v>
          </cell>
        </row>
        <row r="4593">
          <cell r="A4593">
            <v>9092045</v>
          </cell>
          <cell r="B4593">
            <v>112117</v>
          </cell>
          <cell r="C4593" t="str">
            <v>Brunswick School</v>
          </cell>
          <cell r="D4593" t="str">
            <v>Cumbria</v>
          </cell>
          <cell r="E4593" t="str">
            <v>Community School</v>
          </cell>
          <cell r="F4593" t="str">
            <v>Primary</v>
          </cell>
        </row>
        <row r="4594">
          <cell r="A4594">
            <v>3834109</v>
          </cell>
          <cell r="B4594">
            <v>108086</v>
          </cell>
          <cell r="C4594" t="str">
            <v>Bruntcliffe School</v>
          </cell>
          <cell r="D4594" t="str">
            <v>Leeds</v>
          </cell>
          <cell r="E4594" t="str">
            <v>Community School</v>
          </cell>
          <cell r="F4594" t="str">
            <v>Secondary</v>
          </cell>
        </row>
        <row r="4595">
          <cell r="A4595">
            <v>3913875</v>
          </cell>
          <cell r="B4595">
            <v>135286</v>
          </cell>
          <cell r="C4595" t="str">
            <v>Brunton First School</v>
          </cell>
          <cell r="D4595" t="str">
            <v>Newcastle upon Tyne</v>
          </cell>
          <cell r="E4595" t="str">
            <v>Community School</v>
          </cell>
          <cell r="F4595" t="str">
            <v>Primary</v>
          </cell>
        </row>
        <row r="4596">
          <cell r="A4596">
            <v>3562018</v>
          </cell>
          <cell r="B4596">
            <v>106037</v>
          </cell>
          <cell r="C4596" t="str">
            <v>Bruntwood Primary School</v>
          </cell>
          <cell r="D4596" t="str">
            <v>Stockport</v>
          </cell>
          <cell r="E4596" t="str">
            <v>Community School</v>
          </cell>
          <cell r="F4596" t="str">
            <v>Primary</v>
          </cell>
        </row>
        <row r="4597">
          <cell r="A4597">
            <v>8255205</v>
          </cell>
          <cell r="B4597">
            <v>110523</v>
          </cell>
          <cell r="C4597" t="str">
            <v>Brushwood Junior School</v>
          </cell>
          <cell r="D4597" t="str">
            <v>Buckinghamshire</v>
          </cell>
          <cell r="E4597" t="str">
            <v>Foundation School</v>
          </cell>
          <cell r="F4597" t="str">
            <v>Primary</v>
          </cell>
        </row>
        <row r="4598">
          <cell r="A4598">
            <v>9335200</v>
          </cell>
          <cell r="B4598">
            <v>123899</v>
          </cell>
          <cell r="C4598" t="str">
            <v>Bruton Primary School</v>
          </cell>
          <cell r="D4598" t="str">
            <v>Somerset</v>
          </cell>
          <cell r="E4598" t="str">
            <v>Foundation School</v>
          </cell>
          <cell r="F4598" t="str">
            <v>Primary</v>
          </cell>
        </row>
        <row r="4599">
          <cell r="A4599">
            <v>9336003</v>
          </cell>
          <cell r="B4599">
            <v>123904</v>
          </cell>
          <cell r="C4599" t="str">
            <v>Bruton School for Girls</v>
          </cell>
          <cell r="D4599" t="str">
            <v>Somerset</v>
          </cell>
          <cell r="E4599" t="str">
            <v>Other Independent School</v>
          </cell>
          <cell r="F4599" t="str">
            <v>Not applicable</v>
          </cell>
        </row>
        <row r="4600">
          <cell r="A4600">
            <v>8356005</v>
          </cell>
          <cell r="B4600">
            <v>113910</v>
          </cell>
          <cell r="C4600" t="str">
            <v>Bryanston School</v>
          </cell>
          <cell r="D4600" t="str">
            <v>Dorset</v>
          </cell>
          <cell r="E4600" t="str">
            <v>Other Independent School</v>
          </cell>
          <cell r="F4600" t="str">
            <v>Not applicable</v>
          </cell>
        </row>
        <row r="4601">
          <cell r="A4601">
            <v>9335401</v>
          </cell>
          <cell r="B4601">
            <v>123903</v>
          </cell>
          <cell r="C4601" t="str">
            <v>Brymore School</v>
          </cell>
          <cell r="D4601" t="str">
            <v>Somerset</v>
          </cell>
          <cell r="E4601" t="str">
            <v>Foundation School</v>
          </cell>
          <cell r="F4601" t="str">
            <v>Secondary</v>
          </cell>
        </row>
        <row r="4602">
          <cell r="A4602">
            <v>6762310</v>
          </cell>
          <cell r="B4602">
            <v>401355</v>
          </cell>
          <cell r="C4602" t="str">
            <v>Bryn Awel Primary School</v>
          </cell>
          <cell r="D4602" t="str">
            <v>Caerphilly</v>
          </cell>
          <cell r="E4602" t="str">
            <v>Welsh Establishment</v>
          </cell>
          <cell r="F4602" t="str">
            <v>Primary</v>
          </cell>
        </row>
        <row r="4603">
          <cell r="A4603">
            <v>6772067</v>
          </cell>
          <cell r="B4603">
            <v>401386</v>
          </cell>
          <cell r="C4603" t="str">
            <v>Bryn Bach County Primary School</v>
          </cell>
          <cell r="D4603" t="str">
            <v>Blaenau Gwent</v>
          </cell>
          <cell r="E4603" t="str">
            <v>Welsh Establishment</v>
          </cell>
          <cell r="F4603" t="str">
            <v>Primary</v>
          </cell>
        </row>
        <row r="4604">
          <cell r="A4604">
            <v>6692120</v>
          </cell>
          <cell r="B4604">
            <v>400788</v>
          </cell>
          <cell r="C4604" t="str">
            <v>Bryn C.P. School</v>
          </cell>
          <cell r="D4604" t="str">
            <v>Carmarthenshire</v>
          </cell>
          <cell r="E4604" t="str">
            <v>Welsh Establishment</v>
          </cell>
          <cell r="F4604" t="str">
            <v>Primary</v>
          </cell>
        </row>
        <row r="4605">
          <cell r="A4605">
            <v>6812107</v>
          </cell>
          <cell r="B4605">
            <v>401615</v>
          </cell>
          <cell r="C4605" t="str">
            <v>Bryn Celyn Primary School</v>
          </cell>
          <cell r="D4605" t="str">
            <v>Cardiff</v>
          </cell>
          <cell r="E4605" t="str">
            <v>Welsh Establishment</v>
          </cell>
          <cell r="F4605" t="str">
            <v>Primary</v>
          </cell>
        </row>
        <row r="4606">
          <cell r="A4606">
            <v>6812153</v>
          </cell>
          <cell r="B4606">
            <v>401620</v>
          </cell>
          <cell r="C4606" t="str">
            <v>Bryn Deri Primary School</v>
          </cell>
          <cell r="D4606" t="str">
            <v>Cardiff</v>
          </cell>
          <cell r="E4606" t="str">
            <v>Welsh Establishment</v>
          </cell>
          <cell r="F4606" t="str">
            <v>Primary</v>
          </cell>
        </row>
        <row r="4607">
          <cell r="A4607">
            <v>6642052</v>
          </cell>
          <cell r="B4607">
            <v>400343</v>
          </cell>
          <cell r="C4607" t="str">
            <v>Bryn Deva C.P. School</v>
          </cell>
          <cell r="D4607" t="str">
            <v>Flintshire</v>
          </cell>
          <cell r="E4607" t="str">
            <v>Welsh Establishment</v>
          </cell>
          <cell r="F4607" t="str">
            <v>Primary</v>
          </cell>
        </row>
        <row r="4608">
          <cell r="A4608">
            <v>6652207</v>
          </cell>
          <cell r="B4608">
            <v>400431</v>
          </cell>
          <cell r="C4608" t="str">
            <v>Bryn Golau Infants School</v>
          </cell>
          <cell r="D4608" t="str">
            <v>Wrexham</v>
          </cell>
          <cell r="E4608" t="str">
            <v>Welsh Establishment</v>
          </cell>
          <cell r="F4608" t="str">
            <v>Primary</v>
          </cell>
        </row>
        <row r="4609">
          <cell r="A4609">
            <v>6812065</v>
          </cell>
          <cell r="B4609">
            <v>401593</v>
          </cell>
          <cell r="C4609" t="str">
            <v>Bryn Hafod Primary School</v>
          </cell>
          <cell r="D4609" t="str">
            <v>Cardiff</v>
          </cell>
          <cell r="E4609" t="str">
            <v>Welsh Establishment</v>
          </cell>
          <cell r="F4609" t="str">
            <v>Primary</v>
          </cell>
        </row>
        <row r="4610">
          <cell r="A4610">
            <v>6734062</v>
          </cell>
          <cell r="B4610">
            <v>401800</v>
          </cell>
          <cell r="C4610" t="str">
            <v>Bryn Hafren Comprehensive School</v>
          </cell>
          <cell r="D4610" t="str">
            <v>The Vale of Glamorgan</v>
          </cell>
          <cell r="E4610" t="str">
            <v>Welsh Establishment</v>
          </cell>
          <cell r="F4610" t="str">
            <v>Secondary</v>
          </cell>
        </row>
        <row r="4611">
          <cell r="A4611">
            <v>6632072</v>
          </cell>
          <cell r="B4611">
            <v>400272</v>
          </cell>
          <cell r="C4611" t="str">
            <v>Bryn Hedydd C.P. School</v>
          </cell>
          <cell r="D4611" t="str">
            <v>Denbighshire</v>
          </cell>
          <cell r="E4611" t="str">
            <v>Welsh Establishment</v>
          </cell>
          <cell r="F4611" t="str">
            <v>Primary</v>
          </cell>
        </row>
        <row r="4612">
          <cell r="A4612">
            <v>6701002</v>
          </cell>
          <cell r="B4612">
            <v>400004</v>
          </cell>
          <cell r="C4612" t="str">
            <v>Bryn Nursery School</v>
          </cell>
          <cell r="D4612" t="str">
            <v>Swansea</v>
          </cell>
          <cell r="E4612" t="str">
            <v>Welsh Establishment</v>
          </cell>
          <cell r="F4612" t="str">
            <v>Nursery</v>
          </cell>
        </row>
        <row r="4613">
          <cell r="A4613">
            <v>8933155</v>
          </cell>
          <cell r="B4613">
            <v>123528</v>
          </cell>
          <cell r="C4613" t="str">
            <v>Bryn Offa CofE Primary School</v>
          </cell>
          <cell r="D4613" t="str">
            <v>Shropshire</v>
          </cell>
          <cell r="E4613" t="str">
            <v>Voluntary Controlled School</v>
          </cell>
          <cell r="F4613" t="str">
            <v>Primary</v>
          </cell>
        </row>
        <row r="4614">
          <cell r="A4614">
            <v>6712124</v>
          </cell>
          <cell r="B4614">
            <v>400961</v>
          </cell>
          <cell r="C4614" t="str">
            <v>Bryn Primary School</v>
          </cell>
          <cell r="D4614" t="str">
            <v>Neath Port Talbot</v>
          </cell>
          <cell r="E4614" t="str">
            <v>Welsh Establishment</v>
          </cell>
          <cell r="F4614" t="str">
            <v>Primary</v>
          </cell>
        </row>
        <row r="4615">
          <cell r="A4615">
            <v>6762256</v>
          </cell>
          <cell r="B4615">
            <v>401342</v>
          </cell>
          <cell r="C4615" t="str">
            <v>Bryn Primary School</v>
          </cell>
          <cell r="D4615" t="str">
            <v>Caerphilly</v>
          </cell>
          <cell r="E4615" t="str">
            <v>Welsh Establishment</v>
          </cell>
          <cell r="F4615" t="str">
            <v>Primary</v>
          </cell>
        </row>
        <row r="4616">
          <cell r="A4616">
            <v>3593010</v>
          </cell>
          <cell r="B4616">
            <v>106438</v>
          </cell>
          <cell r="C4616" t="str">
            <v>Bryn St Peter's CofE Primary School</v>
          </cell>
          <cell r="D4616" t="str">
            <v>Wigan</v>
          </cell>
          <cell r="E4616" t="str">
            <v>Voluntary Controlled School</v>
          </cell>
          <cell r="F4616" t="str">
            <v>Primary</v>
          </cell>
        </row>
        <row r="4617">
          <cell r="A4617">
            <v>6646005</v>
          </cell>
          <cell r="B4617">
            <v>402222</v>
          </cell>
          <cell r="C4617" t="str">
            <v>Bryn Tirion Hall School</v>
          </cell>
          <cell r="D4617" t="str">
            <v>Flintshire</v>
          </cell>
          <cell r="E4617" t="str">
            <v>Welsh Establishment</v>
          </cell>
          <cell r="F4617" t="str">
            <v>Not applicable</v>
          </cell>
        </row>
        <row r="4618">
          <cell r="A4618">
            <v>6811107</v>
          </cell>
          <cell r="B4618">
            <v>401966</v>
          </cell>
          <cell r="C4618" t="str">
            <v>Bryn Y Deryn School and Student Support Unit</v>
          </cell>
          <cell r="D4618" t="str">
            <v>Cardiff</v>
          </cell>
          <cell r="E4618" t="str">
            <v>Welsh Establishment</v>
          </cell>
          <cell r="F4618" t="str">
            <v>Not applicable</v>
          </cell>
        </row>
        <row r="4619">
          <cell r="A4619">
            <v>6692169</v>
          </cell>
          <cell r="B4619">
            <v>400808</v>
          </cell>
          <cell r="C4619" t="str">
            <v>Brynaman C P School</v>
          </cell>
          <cell r="D4619" t="str">
            <v>Carmarthenshire</v>
          </cell>
          <cell r="E4619" t="str">
            <v>Welsh Establishment</v>
          </cell>
          <cell r="F4619" t="str">
            <v>Primary</v>
          </cell>
        </row>
        <row r="4620">
          <cell r="A4620">
            <v>6744019</v>
          </cell>
          <cell r="B4620">
            <v>401806</v>
          </cell>
          <cell r="C4620" t="str">
            <v>Bryncelynnog Comprehensive School</v>
          </cell>
          <cell r="D4620" t="str">
            <v>Rhondda, Cynon, Taff</v>
          </cell>
          <cell r="E4620" t="str">
            <v>Welsh Establishment</v>
          </cell>
          <cell r="F4620" t="str">
            <v>Secondary</v>
          </cell>
        </row>
        <row r="4621">
          <cell r="A4621">
            <v>6722368</v>
          </cell>
          <cell r="B4621">
            <v>401078</v>
          </cell>
          <cell r="C4621" t="str">
            <v>Bryncethin Primary School</v>
          </cell>
          <cell r="D4621" t="str">
            <v>Bridgend</v>
          </cell>
          <cell r="E4621" t="str">
            <v>Welsh Establishment</v>
          </cell>
          <cell r="F4621" t="str">
            <v>Primary</v>
          </cell>
        </row>
        <row r="4622">
          <cell r="A4622">
            <v>6713311</v>
          </cell>
          <cell r="B4622">
            <v>401020</v>
          </cell>
          <cell r="C4622" t="str">
            <v>Bryncoch C.I.W. School</v>
          </cell>
          <cell r="D4622" t="str">
            <v>Neath Port Talbot</v>
          </cell>
          <cell r="E4622" t="str">
            <v>Welsh Establishment</v>
          </cell>
          <cell r="F4622" t="str">
            <v>Primary</v>
          </cell>
        </row>
        <row r="4623">
          <cell r="A4623">
            <v>6711104</v>
          </cell>
          <cell r="B4623">
            <v>401956</v>
          </cell>
          <cell r="C4623" t="str">
            <v>Bryncoch Secondary Centre PRU</v>
          </cell>
          <cell r="D4623" t="str">
            <v>Neath Port Talbot</v>
          </cell>
          <cell r="E4623" t="str">
            <v>Welsh Establishment</v>
          </cell>
          <cell r="F4623" t="str">
            <v>Not applicable</v>
          </cell>
        </row>
        <row r="4624">
          <cell r="A4624">
            <v>6682223</v>
          </cell>
          <cell r="B4624">
            <v>400660</v>
          </cell>
          <cell r="C4624" t="str">
            <v>Brynconin CP</v>
          </cell>
          <cell r="D4624" t="str">
            <v>Pembrokeshire</v>
          </cell>
          <cell r="E4624" t="str">
            <v>Welsh Establishment</v>
          </cell>
          <cell r="F4624" t="str">
            <v>Primary</v>
          </cell>
        </row>
        <row r="4625">
          <cell r="A4625">
            <v>6642065</v>
          </cell>
          <cell r="B4625">
            <v>400350</v>
          </cell>
          <cell r="C4625" t="str">
            <v>Brynford C.P. School</v>
          </cell>
          <cell r="D4625" t="str">
            <v>Flintshire</v>
          </cell>
          <cell r="E4625" t="str">
            <v>Welsh Establishment</v>
          </cell>
          <cell r="F4625" t="str">
            <v>Primary</v>
          </cell>
        </row>
        <row r="4626">
          <cell r="A4626">
            <v>6802032</v>
          </cell>
          <cell r="B4626">
            <v>401518</v>
          </cell>
          <cell r="C4626" t="str">
            <v>Brynglas Primary School</v>
          </cell>
          <cell r="D4626" t="str">
            <v>Newport</v>
          </cell>
          <cell r="E4626" t="str">
            <v>Welsh Establishment</v>
          </cell>
          <cell r="F4626" t="str">
            <v>Primary</v>
          </cell>
        </row>
        <row r="4627">
          <cell r="A4627">
            <v>6694054</v>
          </cell>
          <cell r="B4627">
            <v>401755</v>
          </cell>
          <cell r="C4627" t="str">
            <v>Bryngwyn Comprehensive School</v>
          </cell>
          <cell r="D4627" t="str">
            <v>Carmarthenshire</v>
          </cell>
          <cell r="E4627" t="str">
            <v>Welsh Establishment</v>
          </cell>
          <cell r="F4627" t="str">
            <v>Secondary</v>
          </cell>
        </row>
        <row r="4628">
          <cell r="A4628">
            <v>6772267</v>
          </cell>
          <cell r="B4628">
            <v>401406</v>
          </cell>
          <cell r="C4628" t="str">
            <v>Bryngwyn Primary</v>
          </cell>
          <cell r="D4628" t="str">
            <v>Blaenau Gwent</v>
          </cell>
          <cell r="E4628" t="str">
            <v>Welsh Establishment</v>
          </cell>
          <cell r="F4628" t="str">
            <v>Primary</v>
          </cell>
        </row>
        <row r="4629">
          <cell r="A4629">
            <v>6662053</v>
          </cell>
          <cell r="B4629">
            <v>400489</v>
          </cell>
          <cell r="C4629" t="str">
            <v>Brynhafren C.P. School</v>
          </cell>
          <cell r="D4629" t="str">
            <v>Powys</v>
          </cell>
          <cell r="E4629" t="str">
            <v>Welsh Establishment</v>
          </cell>
          <cell r="F4629" t="str">
            <v>Primary</v>
          </cell>
        </row>
        <row r="4630">
          <cell r="A4630">
            <v>9066054</v>
          </cell>
          <cell r="B4630">
            <v>128481</v>
          </cell>
          <cell r="C4630" t="str">
            <v>Brynhir School</v>
          </cell>
          <cell r="D4630" t="str">
            <v>Pre LGR (1998) Cheshire</v>
          </cell>
          <cell r="E4630" t="str">
            <v>Other Independent School</v>
          </cell>
          <cell r="F4630" t="str">
            <v>Not applicable</v>
          </cell>
        </row>
        <row r="4631">
          <cell r="A4631">
            <v>6702005</v>
          </cell>
          <cell r="B4631">
            <v>400861</v>
          </cell>
          <cell r="C4631" t="str">
            <v>Brynhyfryd Infants School</v>
          </cell>
          <cell r="D4631" t="str">
            <v>Swansea</v>
          </cell>
          <cell r="E4631" t="str">
            <v>Welsh Establishment</v>
          </cell>
          <cell r="F4631" t="str">
            <v>Primary</v>
          </cell>
        </row>
        <row r="4632">
          <cell r="A4632">
            <v>6702003</v>
          </cell>
          <cell r="B4632">
            <v>400860</v>
          </cell>
          <cell r="C4632" t="str">
            <v>Brynhyfryd Junior School</v>
          </cell>
          <cell r="D4632" t="str">
            <v>Swansea</v>
          </cell>
          <cell r="E4632" t="str">
            <v>Welsh Establishment</v>
          </cell>
          <cell r="F4632" t="str">
            <v>Primary</v>
          </cell>
        </row>
        <row r="4633">
          <cell r="A4633">
            <v>6712113</v>
          </cell>
          <cell r="B4633">
            <v>400956</v>
          </cell>
          <cell r="C4633" t="str">
            <v>Brynhyfryd Primary School</v>
          </cell>
          <cell r="D4633" t="str">
            <v>Neath Port Talbot</v>
          </cell>
          <cell r="E4633" t="str">
            <v>Welsh Establishment</v>
          </cell>
          <cell r="F4633" t="str">
            <v>Primary</v>
          </cell>
        </row>
        <row r="4634">
          <cell r="A4634">
            <v>6772286</v>
          </cell>
          <cell r="B4634">
            <v>401409</v>
          </cell>
          <cell r="C4634" t="str">
            <v>Brynhyfryd Primary School</v>
          </cell>
          <cell r="D4634" t="str">
            <v>Blaenau Gwent</v>
          </cell>
          <cell r="E4634" t="str">
            <v>Welsh Establishment</v>
          </cell>
          <cell r="F4634" t="str">
            <v>Primary</v>
          </cell>
        </row>
        <row r="4635">
          <cell r="A4635">
            <v>8883552</v>
          </cell>
          <cell r="B4635">
            <v>119547</v>
          </cell>
          <cell r="C4635" t="str">
            <v>Bryning with Warton St Paul's Church of England Primary School</v>
          </cell>
          <cell r="D4635" t="str">
            <v>Lancashire</v>
          </cell>
          <cell r="E4635" t="str">
            <v>Voluntary Aided School</v>
          </cell>
          <cell r="F4635" t="str">
            <v>Primary</v>
          </cell>
        </row>
        <row r="4636">
          <cell r="A4636">
            <v>6667001</v>
          </cell>
          <cell r="B4636">
            <v>401904</v>
          </cell>
          <cell r="C4636" t="str">
            <v>Brynllywarch Hall School</v>
          </cell>
          <cell r="D4636" t="str">
            <v>Powys</v>
          </cell>
          <cell r="E4636" t="str">
            <v>Welsh Establishment</v>
          </cell>
          <cell r="F4636" t="str">
            <v>Not applicable</v>
          </cell>
        </row>
        <row r="4637">
          <cell r="A4637">
            <v>6775401</v>
          </cell>
          <cell r="B4637">
            <v>401851</v>
          </cell>
          <cell r="C4637" t="str">
            <v>Brynmawr Foundation School</v>
          </cell>
          <cell r="D4637" t="str">
            <v>Blaenau Gwent</v>
          </cell>
          <cell r="E4637" t="str">
            <v>Welsh Establishment</v>
          </cell>
          <cell r="F4637" t="str">
            <v>Secondary</v>
          </cell>
        </row>
        <row r="4638">
          <cell r="A4638">
            <v>6722086</v>
          </cell>
          <cell r="B4638">
            <v>401028</v>
          </cell>
          <cell r="C4638" t="str">
            <v>Brynmenyn Primary School</v>
          </cell>
          <cell r="D4638" t="str">
            <v>Bridgend</v>
          </cell>
          <cell r="E4638" t="str">
            <v>Welsh Establishment</v>
          </cell>
          <cell r="F4638" t="str">
            <v>Primary</v>
          </cell>
        </row>
        <row r="4639">
          <cell r="A4639">
            <v>6702006</v>
          </cell>
          <cell r="B4639">
            <v>400862</v>
          </cell>
          <cell r="C4639" t="str">
            <v>Brynmill Primary School</v>
          </cell>
          <cell r="D4639" t="str">
            <v>Swansea</v>
          </cell>
          <cell r="E4639" t="str">
            <v>Welsh Establishment</v>
          </cell>
          <cell r="F4639" t="str">
            <v>Primary</v>
          </cell>
        </row>
        <row r="4640">
          <cell r="A4640">
            <v>6742061</v>
          </cell>
          <cell r="B4640">
            <v>401142</v>
          </cell>
          <cell r="C4640" t="str">
            <v>Brynnau Primary School</v>
          </cell>
          <cell r="D4640" t="str">
            <v>Rhondda, Cynon, Taff</v>
          </cell>
          <cell r="E4640" t="str">
            <v>Welsh Establishment</v>
          </cell>
          <cell r="F4640" t="str">
            <v>Primary</v>
          </cell>
        </row>
        <row r="4641">
          <cell r="A4641">
            <v>6724078</v>
          </cell>
          <cell r="B4641">
            <v>401794</v>
          </cell>
          <cell r="C4641" t="str">
            <v>Brynteg Comprehensive School</v>
          </cell>
          <cell r="D4641" t="str">
            <v>Bridgend</v>
          </cell>
          <cell r="E4641" t="str">
            <v>Welsh Establishment</v>
          </cell>
          <cell r="F4641" t="str">
            <v>Secondary</v>
          </cell>
        </row>
        <row r="4642">
          <cell r="A4642">
            <v>6652176</v>
          </cell>
          <cell r="B4642">
            <v>400408</v>
          </cell>
          <cell r="C4642" t="str">
            <v>Brynteg County School</v>
          </cell>
          <cell r="D4642" t="str">
            <v>Wrexham</v>
          </cell>
          <cell r="E4642" t="str">
            <v>Welsh Establishment</v>
          </cell>
          <cell r="F4642" t="str">
            <v>Primary</v>
          </cell>
        </row>
        <row r="4643">
          <cell r="A4643">
            <v>6781011</v>
          </cell>
          <cell r="B4643">
            <v>400029</v>
          </cell>
          <cell r="C4643" t="str">
            <v>Brynteg Nursery School</v>
          </cell>
          <cell r="D4643" t="str">
            <v>Torfaen</v>
          </cell>
          <cell r="E4643" t="str">
            <v>Welsh Establishment</v>
          </cell>
          <cell r="F4643" t="str">
            <v>Nursery</v>
          </cell>
        </row>
        <row r="4644">
          <cell r="A4644">
            <v>6692390</v>
          </cell>
          <cell r="B4644">
            <v>402084</v>
          </cell>
          <cell r="C4644" t="str">
            <v>Brynteg Primary</v>
          </cell>
          <cell r="D4644" t="str">
            <v>Carmarthenshire</v>
          </cell>
          <cell r="E4644" t="str">
            <v>Welsh Establishment</v>
          </cell>
          <cell r="F4644" t="str">
            <v>Primary</v>
          </cell>
        </row>
        <row r="4645">
          <cell r="A4645">
            <v>6724068</v>
          </cell>
          <cell r="B4645">
            <v>401790</v>
          </cell>
          <cell r="C4645" t="str">
            <v>Bryntirion Comprehensive School</v>
          </cell>
          <cell r="D4645" t="str">
            <v>Bridgend</v>
          </cell>
          <cell r="E4645" t="str">
            <v>Welsh Establishment</v>
          </cell>
          <cell r="F4645" t="str">
            <v>Secondary</v>
          </cell>
        </row>
        <row r="4646">
          <cell r="A4646">
            <v>6722090</v>
          </cell>
          <cell r="B4646">
            <v>401029</v>
          </cell>
          <cell r="C4646" t="str">
            <v>Bryntirion Infants School</v>
          </cell>
          <cell r="D4646" t="str">
            <v>Bridgend</v>
          </cell>
          <cell r="E4646" t="str">
            <v>Welsh Establishment</v>
          </cell>
          <cell r="F4646" t="str">
            <v>Primary</v>
          </cell>
        </row>
        <row r="4647">
          <cell r="A4647">
            <v>6722294</v>
          </cell>
          <cell r="B4647">
            <v>401062</v>
          </cell>
          <cell r="C4647" t="str">
            <v>Bryntirion Junior School</v>
          </cell>
          <cell r="D4647" t="str">
            <v>Bridgend</v>
          </cell>
          <cell r="E4647" t="str">
            <v>Welsh Establishment</v>
          </cell>
          <cell r="F4647" t="str">
            <v>Primary</v>
          </cell>
        </row>
        <row r="4648">
          <cell r="A4648">
            <v>8876001</v>
          </cell>
          <cell r="B4648">
            <v>118979</v>
          </cell>
          <cell r="C4648" t="str">
            <v>Bryony School</v>
          </cell>
          <cell r="D4648" t="str">
            <v>Medway</v>
          </cell>
          <cell r="E4648" t="str">
            <v>Other Independent School</v>
          </cell>
          <cell r="F4648" t="str">
            <v>Not applicable</v>
          </cell>
        </row>
        <row r="4649">
          <cell r="A4649">
            <v>9373142</v>
          </cell>
          <cell r="B4649">
            <v>125658</v>
          </cell>
          <cell r="C4649" t="str">
            <v>Bubbenhall CofE First School</v>
          </cell>
          <cell r="D4649" t="str">
            <v>Warwickshire</v>
          </cell>
          <cell r="E4649" t="str">
            <v>Voluntary Controlled School</v>
          </cell>
          <cell r="F4649" t="str">
            <v>Primary</v>
          </cell>
        </row>
        <row r="4650">
          <cell r="A4650">
            <v>8112761</v>
          </cell>
          <cell r="B4650">
            <v>117878</v>
          </cell>
          <cell r="C4650" t="str">
            <v>Bubwith Community Primary School</v>
          </cell>
          <cell r="D4650" t="str">
            <v>East Riding of Yorkshire</v>
          </cell>
          <cell r="E4650" t="str">
            <v>Community School</v>
          </cell>
          <cell r="F4650" t="str">
            <v>Primary</v>
          </cell>
        </row>
        <row r="4651">
          <cell r="A4651">
            <v>8733063</v>
          </cell>
          <cell r="B4651">
            <v>110810</v>
          </cell>
          <cell r="C4651" t="str">
            <v>Buckden CofE Primary School</v>
          </cell>
          <cell r="D4651" t="str">
            <v>Cambridgeshire</v>
          </cell>
          <cell r="E4651" t="str">
            <v>Voluntary Controlled School</v>
          </cell>
          <cell r="F4651" t="str">
            <v>Primary</v>
          </cell>
        </row>
        <row r="4652">
          <cell r="A4652">
            <v>8733063</v>
          </cell>
          <cell r="B4652">
            <v>137639</v>
          </cell>
          <cell r="C4652" t="str">
            <v>Buckden CofE Primary School</v>
          </cell>
          <cell r="D4652" t="str">
            <v>Cambridgeshire</v>
          </cell>
          <cell r="E4652" t="str">
            <v>Academy Converters</v>
          </cell>
          <cell r="F4652" t="str">
            <v>Primary</v>
          </cell>
        </row>
        <row r="4653">
          <cell r="A4653">
            <v>7022012</v>
          </cell>
          <cell r="B4653">
            <v>133005</v>
          </cell>
          <cell r="C4653" t="str">
            <v>Buckeburg Primary School</v>
          </cell>
          <cell r="D4653" t="str">
            <v>BFPO Overseas Establishments</v>
          </cell>
          <cell r="E4653" t="str">
            <v>Service Childrens Education</v>
          </cell>
          <cell r="F4653" t="str">
            <v>Not applicable</v>
          </cell>
        </row>
        <row r="4654">
          <cell r="A4654">
            <v>8786049</v>
          </cell>
          <cell r="B4654">
            <v>113627</v>
          </cell>
          <cell r="C4654" t="str">
            <v>Buckeridge International College</v>
          </cell>
          <cell r="D4654" t="str">
            <v>Devon</v>
          </cell>
          <cell r="E4654" t="str">
            <v>Other Independent School</v>
          </cell>
          <cell r="F4654" t="str">
            <v>Not applicable</v>
          </cell>
        </row>
        <row r="4655">
          <cell r="A4655">
            <v>9116081</v>
          </cell>
          <cell r="B4655">
            <v>128743</v>
          </cell>
          <cell r="C4655" t="str">
            <v>Buckfast Abbey School</v>
          </cell>
          <cell r="D4655" t="str">
            <v>Pre LGR (1998) Devon</v>
          </cell>
          <cell r="E4655" t="str">
            <v>Other Independent School</v>
          </cell>
          <cell r="F4655" t="str">
            <v>Not applicable</v>
          </cell>
        </row>
        <row r="4656">
          <cell r="A4656">
            <v>8782409</v>
          </cell>
          <cell r="B4656">
            <v>113192</v>
          </cell>
          <cell r="C4656" t="str">
            <v>Buckfastleigh Primary School</v>
          </cell>
          <cell r="D4656" t="str">
            <v>Devon</v>
          </cell>
          <cell r="E4656" t="str">
            <v>Community School</v>
          </cell>
          <cell r="F4656" t="str">
            <v>Primary</v>
          </cell>
        </row>
        <row r="4657">
          <cell r="A4657">
            <v>8782409</v>
          </cell>
          <cell r="B4657">
            <v>136562</v>
          </cell>
          <cell r="C4657" t="str">
            <v>Buckfastleigh Primary School</v>
          </cell>
          <cell r="D4657" t="str">
            <v>Devon</v>
          </cell>
          <cell r="E4657" t="str">
            <v>Academy Converters</v>
          </cell>
          <cell r="F4657" t="str">
            <v>Primary</v>
          </cell>
        </row>
        <row r="4658">
          <cell r="A4658">
            <v>8366004</v>
          </cell>
          <cell r="B4658">
            <v>113930</v>
          </cell>
          <cell r="C4658" t="str">
            <v>Buckholme Towers School</v>
          </cell>
          <cell r="D4658" t="str">
            <v>Poole</v>
          </cell>
          <cell r="E4658" t="str">
            <v>Other Independent School</v>
          </cell>
          <cell r="F4658" t="str">
            <v>Not applicable</v>
          </cell>
        </row>
        <row r="4659">
          <cell r="A4659">
            <v>8812973</v>
          </cell>
          <cell r="B4659">
            <v>115052</v>
          </cell>
          <cell r="C4659" t="str">
            <v>Buckhurst Hill Community Primary School</v>
          </cell>
          <cell r="D4659" t="str">
            <v>Essex</v>
          </cell>
          <cell r="E4659" t="str">
            <v>Community School</v>
          </cell>
          <cell r="F4659" t="str">
            <v>Primary</v>
          </cell>
        </row>
        <row r="4660">
          <cell r="A4660">
            <v>9154183</v>
          </cell>
          <cell r="B4660">
            <v>128904</v>
          </cell>
          <cell r="C4660" t="str">
            <v>Buckhurst Hill High School</v>
          </cell>
          <cell r="D4660" t="str">
            <v>Pre LGR (1998) Essex</v>
          </cell>
          <cell r="E4660" t="str">
            <v>Community School</v>
          </cell>
          <cell r="F4660" t="str">
            <v>Secondary</v>
          </cell>
        </row>
        <row r="4661">
          <cell r="A4661">
            <v>3106079</v>
          </cell>
          <cell r="B4661">
            <v>101568</v>
          </cell>
          <cell r="C4661" t="str">
            <v>Buckingham College Preparatory School</v>
          </cell>
          <cell r="D4661" t="str">
            <v>Harrow</v>
          </cell>
          <cell r="E4661" t="str">
            <v>Other Independent School</v>
          </cell>
          <cell r="F4661" t="str">
            <v>Not applicable</v>
          </cell>
        </row>
        <row r="4662">
          <cell r="A4662">
            <v>3106054</v>
          </cell>
          <cell r="B4662">
            <v>102251</v>
          </cell>
          <cell r="C4662" t="str">
            <v>Buckingham College School</v>
          </cell>
          <cell r="D4662" t="str">
            <v>Harrow</v>
          </cell>
          <cell r="E4662" t="str">
            <v>Other Independent School</v>
          </cell>
          <cell r="F4662" t="str">
            <v>Not applicable</v>
          </cell>
        </row>
        <row r="4663">
          <cell r="A4663">
            <v>9382107</v>
          </cell>
          <cell r="B4663">
            <v>125876</v>
          </cell>
          <cell r="C4663" t="str">
            <v>Buckingham Community Middle School</v>
          </cell>
          <cell r="D4663" t="str">
            <v>West Sussex</v>
          </cell>
          <cell r="E4663" t="str">
            <v>Community School</v>
          </cell>
          <cell r="F4663" t="str">
            <v>Middle Deemed Primary</v>
          </cell>
        </row>
        <row r="4664">
          <cell r="A4664">
            <v>9042014</v>
          </cell>
          <cell r="B4664">
            <v>128314</v>
          </cell>
          <cell r="C4664" t="str">
            <v>Buckingham County First School</v>
          </cell>
          <cell r="D4664" t="str">
            <v>Pre LGR (1997) Buckinghamshire</v>
          </cell>
          <cell r="E4664" t="str">
            <v>Community School</v>
          </cell>
          <cell r="F4664" t="str">
            <v>Primary</v>
          </cell>
        </row>
        <row r="4665">
          <cell r="A4665">
            <v>9383370</v>
          </cell>
          <cell r="B4665">
            <v>134791</v>
          </cell>
          <cell r="C4665" t="str">
            <v>Buckingham Park Primary School</v>
          </cell>
          <cell r="D4665" t="str">
            <v>West Sussex</v>
          </cell>
          <cell r="E4665" t="str">
            <v>Community School</v>
          </cell>
          <cell r="F4665" t="str">
            <v>Primary</v>
          </cell>
        </row>
        <row r="4666">
          <cell r="A4666">
            <v>3182035</v>
          </cell>
          <cell r="B4666">
            <v>102904</v>
          </cell>
          <cell r="C4666" t="str">
            <v>Buckingham Primary School</v>
          </cell>
          <cell r="D4666" t="str">
            <v>Richmond upon Thames</v>
          </cell>
          <cell r="E4666" t="str">
            <v>Community School</v>
          </cell>
          <cell r="F4666" t="str">
            <v>Primary</v>
          </cell>
        </row>
        <row r="4667">
          <cell r="A4667">
            <v>8252245</v>
          </cell>
          <cell r="B4667">
            <v>110329</v>
          </cell>
          <cell r="C4667" t="str">
            <v>Buckingham Primary School</v>
          </cell>
          <cell r="D4667" t="str">
            <v>Buckinghamshire</v>
          </cell>
          <cell r="E4667" t="str">
            <v>Community School</v>
          </cell>
          <cell r="F4667" t="str">
            <v>Primary</v>
          </cell>
        </row>
        <row r="4668">
          <cell r="A4668">
            <v>8102047</v>
          </cell>
          <cell r="B4668">
            <v>117718</v>
          </cell>
          <cell r="C4668" t="str">
            <v>Buckingham Primary School</v>
          </cell>
          <cell r="D4668" t="str">
            <v>Kingston upon Hull City of</v>
          </cell>
          <cell r="E4668" t="str">
            <v>Community School</v>
          </cell>
          <cell r="F4668" t="str">
            <v>Primary</v>
          </cell>
        </row>
        <row r="4669">
          <cell r="A4669">
            <v>8254004</v>
          </cell>
          <cell r="B4669">
            <v>110484</v>
          </cell>
          <cell r="C4669" t="str">
            <v>Buckingham School</v>
          </cell>
          <cell r="D4669" t="str">
            <v>Buckinghamshire</v>
          </cell>
          <cell r="E4669" t="str">
            <v>Community School</v>
          </cell>
          <cell r="F4669" t="str">
            <v>Secondary</v>
          </cell>
        </row>
        <row r="4670">
          <cell r="A4670">
            <v>825</v>
          </cell>
          <cell r="B4670">
            <v>133823</v>
          </cell>
          <cell r="C4670" t="str">
            <v>Buckinghamshire New University</v>
          </cell>
          <cell r="D4670" t="str">
            <v>Buckinghamshire</v>
          </cell>
          <cell r="E4670" t="str">
            <v>Higher Education Institutions</v>
          </cell>
          <cell r="F4670" t="str">
            <v>Not applicable</v>
          </cell>
        </row>
        <row r="4671">
          <cell r="A4671">
            <v>8782218</v>
          </cell>
          <cell r="B4671">
            <v>113141</v>
          </cell>
          <cell r="C4671" t="str">
            <v>Buckland Brewer Community Primary School</v>
          </cell>
          <cell r="D4671" t="str">
            <v>Devon</v>
          </cell>
          <cell r="E4671" t="str">
            <v>Community School</v>
          </cell>
          <cell r="F4671" t="str">
            <v>Primary</v>
          </cell>
        </row>
        <row r="4672">
          <cell r="A4672">
            <v>9313222</v>
          </cell>
          <cell r="B4672">
            <v>123145</v>
          </cell>
          <cell r="C4672" t="str">
            <v>Buckland Church of England Primary School</v>
          </cell>
          <cell r="D4672" t="str">
            <v>Oxfordshire</v>
          </cell>
          <cell r="E4672" t="str">
            <v>Voluntary Controlled School</v>
          </cell>
          <cell r="F4672" t="str">
            <v>Primary</v>
          </cell>
        </row>
        <row r="4673">
          <cell r="A4673">
            <v>9362871</v>
          </cell>
          <cell r="B4673">
            <v>125087</v>
          </cell>
          <cell r="C4673" t="str">
            <v>Buckland Infant School</v>
          </cell>
          <cell r="D4673" t="str">
            <v>Surrey</v>
          </cell>
          <cell r="E4673" t="str">
            <v>Community School</v>
          </cell>
          <cell r="F4673" t="str">
            <v>Primary</v>
          </cell>
        </row>
        <row r="4674">
          <cell r="A4674">
            <v>9362870</v>
          </cell>
          <cell r="B4674">
            <v>125086</v>
          </cell>
          <cell r="C4674" t="str">
            <v>Buckland Junior School</v>
          </cell>
          <cell r="D4674" t="str">
            <v>Surrey</v>
          </cell>
          <cell r="E4674" t="str">
            <v>Community School</v>
          </cell>
          <cell r="F4674" t="str">
            <v>Primary</v>
          </cell>
        </row>
        <row r="4675">
          <cell r="A4675">
            <v>8353050</v>
          </cell>
          <cell r="B4675">
            <v>113776</v>
          </cell>
          <cell r="C4675" t="str">
            <v>Buckland Newton Church of England School</v>
          </cell>
          <cell r="D4675" t="str">
            <v>Dorset</v>
          </cell>
          <cell r="E4675" t="str">
            <v>Voluntary Controlled School</v>
          </cell>
          <cell r="F4675" t="str">
            <v>Primary</v>
          </cell>
        </row>
        <row r="4676">
          <cell r="A4676">
            <v>9363941</v>
          </cell>
          <cell r="B4676">
            <v>135237</v>
          </cell>
          <cell r="C4676" t="str">
            <v>Buckland Primary School</v>
          </cell>
          <cell r="D4676" t="str">
            <v>Surrey</v>
          </cell>
          <cell r="E4676" t="str">
            <v>Community School</v>
          </cell>
          <cell r="F4676" t="str">
            <v>Primary</v>
          </cell>
        </row>
        <row r="4677">
          <cell r="A4677">
            <v>9177031</v>
          </cell>
          <cell r="B4677">
            <v>116616</v>
          </cell>
          <cell r="C4677" t="str">
            <v>Buckland School</v>
          </cell>
          <cell r="D4677" t="str">
            <v>Pre LGR (1997) Hampshire</v>
          </cell>
          <cell r="E4677" t="str">
            <v>Community Special School</v>
          </cell>
          <cell r="F4677" t="str">
            <v>Special</v>
          </cell>
        </row>
        <row r="4678">
          <cell r="A4678">
            <v>9336133</v>
          </cell>
          <cell r="B4678">
            <v>123923</v>
          </cell>
          <cell r="C4678" t="str">
            <v>Buckland School</v>
          </cell>
          <cell r="D4678" t="str">
            <v>Somerset</v>
          </cell>
          <cell r="E4678" t="str">
            <v>Other Independent School</v>
          </cell>
          <cell r="F4678" t="str">
            <v>Not applicable</v>
          </cell>
        </row>
        <row r="4679">
          <cell r="A4679">
            <v>9333302</v>
          </cell>
          <cell r="B4679">
            <v>123826</v>
          </cell>
          <cell r="C4679" t="str">
            <v>Buckland St Mary Church of England Primary School</v>
          </cell>
          <cell r="D4679" t="str">
            <v>Somerset</v>
          </cell>
          <cell r="E4679" t="str">
            <v>Voluntary Aided School</v>
          </cell>
          <cell r="F4679" t="str">
            <v>Primary</v>
          </cell>
        </row>
        <row r="4680">
          <cell r="A4680">
            <v>8693014</v>
          </cell>
          <cell r="B4680">
            <v>109955</v>
          </cell>
          <cell r="C4680" t="str">
            <v>Bucklebury C.E. Primary School</v>
          </cell>
          <cell r="D4680" t="str">
            <v>West Berkshire</v>
          </cell>
          <cell r="E4680" t="str">
            <v>Voluntary Controlled School</v>
          </cell>
          <cell r="F4680" t="str">
            <v>Primary</v>
          </cell>
        </row>
        <row r="4681">
          <cell r="A4681">
            <v>9334451</v>
          </cell>
          <cell r="B4681">
            <v>123890</v>
          </cell>
          <cell r="C4681" t="str">
            <v>Bucklers Mead Community School</v>
          </cell>
          <cell r="D4681" t="str">
            <v>Somerset</v>
          </cell>
          <cell r="E4681" t="str">
            <v>Community School</v>
          </cell>
          <cell r="F4681" t="str">
            <v>Secondary</v>
          </cell>
        </row>
        <row r="4682">
          <cell r="A4682">
            <v>9334451</v>
          </cell>
          <cell r="B4682">
            <v>137193</v>
          </cell>
          <cell r="C4682" t="str">
            <v>Bucklers Mead Community School</v>
          </cell>
          <cell r="D4682" t="str">
            <v>Somerset</v>
          </cell>
          <cell r="E4682" t="str">
            <v>Academy Converters</v>
          </cell>
          <cell r="F4682" t="str">
            <v>Secondary</v>
          </cell>
        </row>
        <row r="4683">
          <cell r="A4683">
            <v>9352066</v>
          </cell>
          <cell r="B4683">
            <v>124572</v>
          </cell>
          <cell r="C4683" t="str">
            <v>Bucklesham Primary School</v>
          </cell>
          <cell r="D4683" t="str">
            <v>Suffolk</v>
          </cell>
          <cell r="E4683" t="str">
            <v>Community School</v>
          </cell>
          <cell r="F4683" t="str">
            <v>Primary</v>
          </cell>
        </row>
        <row r="4684">
          <cell r="A4684">
            <v>6642085</v>
          </cell>
          <cell r="B4684">
            <v>400362</v>
          </cell>
          <cell r="C4684" t="str">
            <v>Buckley Southdown C.P.</v>
          </cell>
          <cell r="D4684" t="str">
            <v>Flintshire</v>
          </cell>
          <cell r="E4684" t="str">
            <v>Welsh Establishment</v>
          </cell>
          <cell r="F4684" t="str">
            <v>Primary</v>
          </cell>
        </row>
        <row r="4685">
          <cell r="A4685">
            <v>8552017</v>
          </cell>
          <cell r="B4685">
            <v>119910</v>
          </cell>
          <cell r="C4685" t="str">
            <v>Buckminster Primary School</v>
          </cell>
          <cell r="D4685" t="str">
            <v>Leicestershire</v>
          </cell>
          <cell r="E4685" t="str">
            <v>Community School</v>
          </cell>
          <cell r="F4685" t="str">
            <v>Primary</v>
          </cell>
        </row>
        <row r="4686">
          <cell r="A4686">
            <v>886942</v>
          </cell>
          <cell r="B4686">
            <v>135593</v>
          </cell>
          <cell r="C4686" t="str">
            <v>Buckmore Park Learning Zone</v>
          </cell>
          <cell r="D4686" t="str">
            <v>Kent</v>
          </cell>
          <cell r="E4686" t="str">
            <v>Playing for Success Centres</v>
          </cell>
          <cell r="F4686" t="str">
            <v>Not applicable</v>
          </cell>
        </row>
        <row r="4687">
          <cell r="A4687">
            <v>9252146</v>
          </cell>
          <cell r="B4687">
            <v>120443</v>
          </cell>
          <cell r="C4687" t="str">
            <v>Bucknall Primary School</v>
          </cell>
          <cell r="D4687" t="str">
            <v>Lincolnshire</v>
          </cell>
          <cell r="E4687" t="str">
            <v>Community School</v>
          </cell>
          <cell r="F4687" t="str">
            <v>Primary</v>
          </cell>
        </row>
        <row r="4688">
          <cell r="A4688">
            <v>8882146</v>
          </cell>
          <cell r="B4688">
            <v>119205</v>
          </cell>
          <cell r="C4688" t="str">
            <v>Buckshaw Primary School</v>
          </cell>
          <cell r="D4688" t="str">
            <v>Lancashire</v>
          </cell>
          <cell r="E4688" t="str">
            <v>Community School</v>
          </cell>
          <cell r="F4688" t="str">
            <v>Primary</v>
          </cell>
        </row>
        <row r="4689">
          <cell r="A4689">
            <v>3532085</v>
          </cell>
          <cell r="B4689">
            <v>105671</v>
          </cell>
          <cell r="C4689" t="str">
            <v>Buckstones Junior and Infant School</v>
          </cell>
          <cell r="D4689" t="str">
            <v>Oldham</v>
          </cell>
          <cell r="E4689" t="str">
            <v>Community School</v>
          </cell>
          <cell r="F4689" t="str">
            <v>Primary</v>
          </cell>
        </row>
        <row r="4690">
          <cell r="A4690">
            <v>8456031</v>
          </cell>
          <cell r="B4690">
            <v>114656</v>
          </cell>
          <cell r="C4690" t="str">
            <v>Buckswood School</v>
          </cell>
          <cell r="D4690" t="str">
            <v>East Sussex</v>
          </cell>
          <cell r="E4690" t="str">
            <v>Other Independent School</v>
          </cell>
          <cell r="F4690" t="str">
            <v>Not applicable</v>
          </cell>
        </row>
        <row r="4691">
          <cell r="A4691">
            <v>9122006</v>
          </cell>
          <cell r="B4691">
            <v>128767</v>
          </cell>
          <cell r="C4691" t="str">
            <v>Buckthorn Weston Primary School</v>
          </cell>
          <cell r="D4691" t="str">
            <v>Pre LGR (1997) Dorset</v>
          </cell>
          <cell r="E4691" t="str">
            <v>Community School</v>
          </cell>
          <cell r="F4691" t="str">
            <v>Primary</v>
          </cell>
        </row>
        <row r="4692">
          <cell r="A4692">
            <v>3572021</v>
          </cell>
          <cell r="B4692">
            <v>106191</v>
          </cell>
          <cell r="C4692" t="str">
            <v>Buckton Vale Primary School</v>
          </cell>
          <cell r="D4692" t="str">
            <v>Tameside</v>
          </cell>
          <cell r="E4692" t="str">
            <v>Community School</v>
          </cell>
          <cell r="F4692" t="str">
            <v>Primary</v>
          </cell>
        </row>
        <row r="4693">
          <cell r="A4693">
            <v>9372329</v>
          </cell>
          <cell r="B4693">
            <v>125564</v>
          </cell>
          <cell r="C4693" t="str">
            <v>Budbrooke Primary School</v>
          </cell>
          <cell r="D4693" t="str">
            <v>Warwickshire</v>
          </cell>
          <cell r="E4693" t="str">
            <v>Community School</v>
          </cell>
          <cell r="F4693" t="str">
            <v>Primary</v>
          </cell>
        </row>
        <row r="4694">
          <cell r="A4694">
            <v>9082631</v>
          </cell>
          <cell r="B4694">
            <v>111945</v>
          </cell>
          <cell r="C4694" t="str">
            <v>Bude Infant School</v>
          </cell>
          <cell r="D4694" t="str">
            <v>Cornwall</v>
          </cell>
          <cell r="E4694" t="str">
            <v>Community School</v>
          </cell>
          <cell r="F4694" t="str">
            <v>Primary</v>
          </cell>
        </row>
        <row r="4695">
          <cell r="A4695">
            <v>9082635</v>
          </cell>
          <cell r="B4695">
            <v>111949</v>
          </cell>
          <cell r="C4695" t="str">
            <v>Bude Junior School</v>
          </cell>
          <cell r="D4695" t="str">
            <v>Cornwall</v>
          </cell>
          <cell r="E4695" t="str">
            <v>Community School</v>
          </cell>
          <cell r="F4695" t="str">
            <v>Primary</v>
          </cell>
        </row>
        <row r="4696">
          <cell r="A4696">
            <v>8102902</v>
          </cell>
          <cell r="B4696">
            <v>117929</v>
          </cell>
          <cell r="C4696" t="str">
            <v>Bude Park Primary School</v>
          </cell>
          <cell r="D4696" t="str">
            <v>Kingston upon Hull City of</v>
          </cell>
          <cell r="E4696" t="str">
            <v>Community School</v>
          </cell>
          <cell r="F4696" t="str">
            <v>Primary</v>
          </cell>
        </row>
        <row r="4697">
          <cell r="A4697">
            <v>9084150</v>
          </cell>
          <cell r="B4697">
            <v>112045</v>
          </cell>
          <cell r="C4697" t="str">
            <v>Budehaven Community School</v>
          </cell>
          <cell r="D4697" t="str">
            <v>Cornwall</v>
          </cell>
          <cell r="E4697" t="str">
            <v>Community School</v>
          </cell>
          <cell r="F4697" t="str">
            <v>Secondary</v>
          </cell>
        </row>
        <row r="4698">
          <cell r="A4698">
            <v>8355402</v>
          </cell>
          <cell r="B4698">
            <v>113902</v>
          </cell>
          <cell r="C4698" t="str">
            <v>Budmouth College</v>
          </cell>
          <cell r="D4698" t="str">
            <v>Dorset</v>
          </cell>
          <cell r="E4698" t="str">
            <v>Foundation School</v>
          </cell>
          <cell r="F4698" t="str">
            <v>Secondary</v>
          </cell>
        </row>
        <row r="4699">
          <cell r="A4699">
            <v>9083382</v>
          </cell>
          <cell r="B4699">
            <v>128550</v>
          </cell>
          <cell r="C4699" t="str">
            <v>Budock CofE Primary School</v>
          </cell>
          <cell r="D4699" t="str">
            <v>Cornwall</v>
          </cell>
          <cell r="E4699" t="str">
            <v>Voluntary Aided School</v>
          </cell>
          <cell r="F4699" t="str">
            <v>Primary</v>
          </cell>
        </row>
        <row r="4700">
          <cell r="A4700">
            <v>8752213</v>
          </cell>
          <cell r="B4700">
            <v>111070</v>
          </cell>
          <cell r="C4700" t="str">
            <v>Buerton Primary School</v>
          </cell>
          <cell r="D4700" t="str">
            <v>Pre LGR (2009) Cheshire</v>
          </cell>
          <cell r="E4700" t="str">
            <v>Community School</v>
          </cell>
          <cell r="F4700" t="str">
            <v>Primary</v>
          </cell>
        </row>
        <row r="4701">
          <cell r="A4701">
            <v>9282008</v>
          </cell>
          <cell r="B4701">
            <v>121800</v>
          </cell>
          <cell r="C4701" t="str">
            <v>Bugbrooke Community Primary School</v>
          </cell>
          <cell r="D4701" t="str">
            <v>Northamptonshire</v>
          </cell>
          <cell r="E4701" t="str">
            <v>Community School</v>
          </cell>
          <cell r="F4701" t="str">
            <v>Primary</v>
          </cell>
        </row>
        <row r="4702">
          <cell r="A4702">
            <v>3527014</v>
          </cell>
          <cell r="B4702">
            <v>105604</v>
          </cell>
          <cell r="C4702" t="str">
            <v>Buglawton Hall School</v>
          </cell>
          <cell r="D4702" t="str">
            <v>Manchester</v>
          </cell>
          <cell r="E4702" t="str">
            <v>Community Special School</v>
          </cell>
          <cell r="F4702" t="str">
            <v>Special</v>
          </cell>
        </row>
        <row r="4703">
          <cell r="A4703">
            <v>8952163</v>
          </cell>
          <cell r="B4703">
            <v>111033</v>
          </cell>
          <cell r="C4703" t="str">
            <v>Buglawton Primary School</v>
          </cell>
          <cell r="D4703" t="str">
            <v>Cheshire East</v>
          </cell>
          <cell r="E4703" t="str">
            <v>Community School</v>
          </cell>
          <cell r="F4703" t="str">
            <v>Primary</v>
          </cell>
        </row>
        <row r="4704">
          <cell r="A4704">
            <v>9082413</v>
          </cell>
          <cell r="B4704">
            <v>111888</v>
          </cell>
          <cell r="C4704" t="str">
            <v>Bugle School</v>
          </cell>
          <cell r="D4704" t="str">
            <v>Cornwall</v>
          </cell>
          <cell r="E4704" t="str">
            <v>Community School</v>
          </cell>
          <cell r="F4704" t="str">
            <v>Primary</v>
          </cell>
        </row>
        <row r="4705">
          <cell r="A4705">
            <v>8113047</v>
          </cell>
          <cell r="B4705">
            <v>118000</v>
          </cell>
          <cell r="C4705" t="str">
            <v>Bugthorpe Church of England Voluntary Controlled Primary School</v>
          </cell>
          <cell r="D4705" t="str">
            <v>East Riding of Yorkshire</v>
          </cell>
          <cell r="E4705" t="str">
            <v>Voluntary Controlled School</v>
          </cell>
          <cell r="F4705" t="str">
            <v>Primary</v>
          </cell>
        </row>
        <row r="4706">
          <cell r="A4706">
            <v>8966030</v>
          </cell>
          <cell r="B4706">
            <v>134583</v>
          </cell>
          <cell r="C4706" t="str">
            <v>Building Young Peoples Potential</v>
          </cell>
          <cell r="D4706" t="str">
            <v>Cheshire West and Chester</v>
          </cell>
          <cell r="E4706" t="str">
            <v>Other Independent School</v>
          </cell>
          <cell r="F4706" t="str">
            <v>Not applicable</v>
          </cell>
        </row>
        <row r="4707">
          <cell r="A4707">
            <v>8932031</v>
          </cell>
          <cell r="B4707">
            <v>123356</v>
          </cell>
          <cell r="C4707" t="str">
            <v>Buildwas Primary School</v>
          </cell>
          <cell r="D4707" t="str">
            <v>Shropshire</v>
          </cell>
          <cell r="E4707" t="str">
            <v>Community School</v>
          </cell>
          <cell r="F4707" t="str">
            <v>Primary</v>
          </cell>
        </row>
        <row r="4708">
          <cell r="A4708">
            <v>3554026</v>
          </cell>
          <cell r="B4708">
            <v>105974</v>
          </cell>
          <cell r="C4708" t="str">
            <v>Buile Hill Visual Arts College</v>
          </cell>
          <cell r="D4708" t="str">
            <v>Salford</v>
          </cell>
          <cell r="E4708" t="str">
            <v>Community School</v>
          </cell>
          <cell r="F4708" t="str">
            <v>Secondary</v>
          </cell>
        </row>
        <row r="4709">
          <cell r="A4709">
            <v>6662089</v>
          </cell>
          <cell r="B4709">
            <v>400511</v>
          </cell>
          <cell r="C4709" t="str">
            <v>Builth Wells C.P. School</v>
          </cell>
          <cell r="D4709" t="str">
            <v>Powys</v>
          </cell>
          <cell r="E4709" t="str">
            <v>Welsh Establishment</v>
          </cell>
          <cell r="F4709" t="str">
            <v>Primary</v>
          </cell>
        </row>
        <row r="4710">
          <cell r="A4710">
            <v>6664020</v>
          </cell>
          <cell r="B4710">
            <v>401729</v>
          </cell>
          <cell r="C4710" t="str">
            <v>Builth Wells High School</v>
          </cell>
          <cell r="D4710" t="str">
            <v>Powys</v>
          </cell>
          <cell r="E4710" t="str">
            <v>Welsh Establishment</v>
          </cell>
          <cell r="F4710" t="str">
            <v>Secondary</v>
          </cell>
        </row>
        <row r="4711">
          <cell r="A4711">
            <v>8653022</v>
          </cell>
          <cell r="B4711">
            <v>126309</v>
          </cell>
          <cell r="C4711" t="str">
            <v>Bulford St Leonard's CofE (VA) Primary School</v>
          </cell>
          <cell r="D4711" t="str">
            <v>Wiltshire</v>
          </cell>
          <cell r="E4711" t="str">
            <v>Voluntary Aided School</v>
          </cell>
          <cell r="F4711" t="str">
            <v>Primary</v>
          </cell>
        </row>
        <row r="4712">
          <cell r="A4712">
            <v>9372016</v>
          </cell>
          <cell r="B4712">
            <v>125506</v>
          </cell>
          <cell r="C4712" t="str">
            <v>Bulkington First School</v>
          </cell>
          <cell r="D4712" t="str">
            <v>Warwickshire</v>
          </cell>
          <cell r="E4712" t="str">
            <v>Community School</v>
          </cell>
          <cell r="F4712" t="str">
            <v>Primary</v>
          </cell>
        </row>
        <row r="4713">
          <cell r="A4713">
            <v>8912893</v>
          </cell>
          <cell r="B4713">
            <v>122701</v>
          </cell>
          <cell r="C4713" t="str">
            <v>Bull Farm First School and Nursery</v>
          </cell>
          <cell r="D4713" t="str">
            <v>Nottinghamshire</v>
          </cell>
          <cell r="E4713" t="str">
            <v>Community School</v>
          </cell>
          <cell r="F4713" t="str">
            <v>Primary</v>
          </cell>
        </row>
        <row r="4714">
          <cell r="A4714">
            <v>8914422</v>
          </cell>
          <cell r="B4714">
            <v>122871</v>
          </cell>
          <cell r="C4714" t="str">
            <v>Bull Farm Middle School</v>
          </cell>
          <cell r="D4714" t="str">
            <v>Nottinghamshire</v>
          </cell>
          <cell r="E4714" t="str">
            <v>Community School</v>
          </cell>
          <cell r="F4714" t="str">
            <v>Middle Deemed Secondary</v>
          </cell>
        </row>
        <row r="4715">
          <cell r="A4715">
            <v>8792679</v>
          </cell>
          <cell r="B4715">
            <v>113303</v>
          </cell>
          <cell r="C4715" t="str">
            <v>Bull Point Community School</v>
          </cell>
          <cell r="D4715" t="str">
            <v>Plymouth</v>
          </cell>
          <cell r="E4715" t="str">
            <v>Community School</v>
          </cell>
          <cell r="F4715" t="str">
            <v>Primary</v>
          </cell>
        </row>
        <row r="4716">
          <cell r="A4716">
            <v>8152218</v>
          </cell>
          <cell r="B4716">
            <v>121354</v>
          </cell>
          <cell r="C4716" t="str">
            <v>Bullamoor Junior School</v>
          </cell>
          <cell r="D4716" t="str">
            <v>North Yorkshire</v>
          </cell>
          <cell r="E4716" t="str">
            <v>Community School</v>
          </cell>
          <cell r="F4716" t="str">
            <v>Primary</v>
          </cell>
        </row>
        <row r="4717">
          <cell r="A4717">
            <v>3055400</v>
          </cell>
          <cell r="B4717">
            <v>101666</v>
          </cell>
          <cell r="C4717" t="str">
            <v>Bullers Wood School</v>
          </cell>
          <cell r="D4717" t="str">
            <v>Bromley</v>
          </cell>
          <cell r="E4717" t="str">
            <v>Foundation School</v>
          </cell>
          <cell r="F4717" t="str">
            <v>Secondary</v>
          </cell>
        </row>
        <row r="4718">
          <cell r="A4718">
            <v>3055400</v>
          </cell>
          <cell r="B4718">
            <v>136709</v>
          </cell>
          <cell r="C4718" t="str">
            <v>Bullers Wood School</v>
          </cell>
          <cell r="D4718" t="str">
            <v>Bromley</v>
          </cell>
          <cell r="E4718" t="str">
            <v>Academy Converters</v>
          </cell>
          <cell r="F4718" t="str">
            <v>Secondary</v>
          </cell>
        </row>
        <row r="4719">
          <cell r="A4719">
            <v>8402745</v>
          </cell>
          <cell r="B4719">
            <v>114209</v>
          </cell>
          <cell r="C4719" t="str">
            <v>Bullion Lane Primary School</v>
          </cell>
          <cell r="D4719" t="str">
            <v>Durham</v>
          </cell>
          <cell r="E4719" t="str">
            <v>Community School</v>
          </cell>
          <cell r="F4719" t="str">
            <v>Primary</v>
          </cell>
        </row>
        <row r="4720">
          <cell r="A4720">
            <v>3542035</v>
          </cell>
          <cell r="B4720">
            <v>105784</v>
          </cell>
          <cell r="C4720" t="str">
            <v>Bullough Moor Primary School</v>
          </cell>
          <cell r="D4720" t="str">
            <v>Rochdale</v>
          </cell>
          <cell r="E4720" t="str">
            <v>Community School</v>
          </cell>
          <cell r="F4720" t="str">
            <v>Primary</v>
          </cell>
        </row>
        <row r="4721">
          <cell r="A4721">
            <v>8813008</v>
          </cell>
          <cell r="B4721">
            <v>115067</v>
          </cell>
          <cell r="C4721" t="str">
            <v>Bulmer St Andrew's Church of England Voluntary Controlled Primary School</v>
          </cell>
          <cell r="D4721" t="str">
            <v>Essex</v>
          </cell>
          <cell r="E4721" t="str">
            <v>Voluntary Controlled School</v>
          </cell>
          <cell r="F4721" t="str">
            <v>Primary</v>
          </cell>
        </row>
        <row r="4722">
          <cell r="A4722">
            <v>8833112</v>
          </cell>
          <cell r="B4722">
            <v>115092</v>
          </cell>
          <cell r="C4722" t="str">
            <v>Bulphan Church of England Voluntary Controlled Primary School</v>
          </cell>
          <cell r="D4722" t="str">
            <v>Thurrock</v>
          </cell>
          <cell r="E4722" t="str">
            <v>Voluntary Controlled School</v>
          </cell>
          <cell r="F4722" t="str">
            <v>Primary</v>
          </cell>
        </row>
        <row r="4723">
          <cell r="A4723">
            <v>8923000</v>
          </cell>
          <cell r="B4723">
            <v>122740</v>
          </cell>
          <cell r="C4723" t="str">
            <v>Bulwell St Mary's Primary and Nursery School</v>
          </cell>
          <cell r="D4723" t="str">
            <v>Nottingham</v>
          </cell>
          <cell r="E4723" t="str">
            <v>Voluntary Controlled School</v>
          </cell>
          <cell r="F4723" t="str">
            <v>Primary</v>
          </cell>
        </row>
        <row r="4724">
          <cell r="A4724">
            <v>9283013</v>
          </cell>
          <cell r="B4724">
            <v>129691</v>
          </cell>
          <cell r="C4724" t="str">
            <v>Bulwick CofE Primary School</v>
          </cell>
          <cell r="D4724" t="str">
            <v>Northamptonshire</v>
          </cell>
          <cell r="E4724" t="str">
            <v>Voluntary Controlled School</v>
          </cell>
          <cell r="F4724" t="str">
            <v>Primary</v>
          </cell>
        </row>
        <row r="4725">
          <cell r="A4725">
            <v>8953544</v>
          </cell>
          <cell r="B4725">
            <v>111344</v>
          </cell>
          <cell r="C4725" t="str">
            <v>Bunbury Aldersey CofE Primary School</v>
          </cell>
          <cell r="D4725" t="str">
            <v>Cheshire East</v>
          </cell>
          <cell r="E4725" t="str">
            <v>Voluntary Aided School</v>
          </cell>
          <cell r="F4725" t="str">
            <v>Primary</v>
          </cell>
        </row>
        <row r="4726">
          <cell r="A4726">
            <v>9354075</v>
          </cell>
          <cell r="B4726">
            <v>124835</v>
          </cell>
          <cell r="C4726" t="str">
            <v>Bungay High School</v>
          </cell>
          <cell r="D4726" t="str">
            <v>Suffolk</v>
          </cell>
          <cell r="E4726" t="str">
            <v>Community School</v>
          </cell>
          <cell r="F4726" t="str">
            <v>Secondary</v>
          </cell>
        </row>
        <row r="4727">
          <cell r="A4727">
            <v>9354075</v>
          </cell>
          <cell r="B4727">
            <v>136998</v>
          </cell>
          <cell r="C4727" t="str">
            <v>Bungay High School</v>
          </cell>
          <cell r="D4727" t="str">
            <v>Suffolk</v>
          </cell>
          <cell r="E4727" t="str">
            <v>Academy Converters</v>
          </cell>
          <cell r="F4727" t="str">
            <v>Secondary</v>
          </cell>
        </row>
        <row r="4728">
          <cell r="A4728">
            <v>9354073</v>
          </cell>
          <cell r="B4728">
            <v>124833</v>
          </cell>
          <cell r="C4728" t="str">
            <v>Bungay Middle School</v>
          </cell>
          <cell r="D4728" t="str">
            <v>Suffolk</v>
          </cell>
          <cell r="E4728" t="str">
            <v>Community School</v>
          </cell>
          <cell r="F4728" t="str">
            <v>Middle Deemed Secondary</v>
          </cell>
        </row>
        <row r="4729">
          <cell r="A4729">
            <v>9352067</v>
          </cell>
          <cell r="B4729">
            <v>124573</v>
          </cell>
          <cell r="C4729" t="str">
            <v>Bungay Primary School</v>
          </cell>
          <cell r="D4729" t="str">
            <v>Suffolk</v>
          </cell>
          <cell r="E4729" t="str">
            <v>Community School</v>
          </cell>
          <cell r="F4729" t="str">
            <v>Primary</v>
          </cell>
        </row>
        <row r="4730">
          <cell r="A4730">
            <v>8913072</v>
          </cell>
          <cell r="B4730">
            <v>122751</v>
          </cell>
          <cell r="C4730" t="str">
            <v>Bunny CofE Primary School</v>
          </cell>
          <cell r="D4730" t="str">
            <v>Nottinghamshire</v>
          </cell>
          <cell r="E4730" t="str">
            <v>Voluntary Controlled School</v>
          </cell>
          <cell r="F4730" t="str">
            <v>Primary</v>
          </cell>
        </row>
        <row r="4731">
          <cell r="A4731">
            <v>9191107</v>
          </cell>
          <cell r="B4731">
            <v>130355</v>
          </cell>
          <cell r="C4731" t="str">
            <v>Buntingford Area Pupil Referral Unit</v>
          </cell>
          <cell r="D4731" t="str">
            <v>Hertfordshire</v>
          </cell>
          <cell r="E4731" t="str">
            <v>Pupil Referral Unit</v>
          </cell>
          <cell r="F4731" t="str">
            <v>PRU</v>
          </cell>
        </row>
        <row r="4732">
          <cell r="A4732">
            <v>8932101</v>
          </cell>
          <cell r="B4732">
            <v>123397</v>
          </cell>
          <cell r="C4732" t="str">
            <v>Buntingsdale Infant School</v>
          </cell>
          <cell r="D4732" t="str">
            <v>Shropshire</v>
          </cell>
          <cell r="E4732" t="str">
            <v>Community School</v>
          </cell>
          <cell r="F4732" t="str">
            <v>Primary</v>
          </cell>
        </row>
        <row r="4733">
          <cell r="A4733">
            <v>9262025</v>
          </cell>
          <cell r="B4733">
            <v>120790</v>
          </cell>
          <cell r="C4733" t="str">
            <v>Bunwell Primary School</v>
          </cell>
          <cell r="D4733" t="str">
            <v>Norfolk</v>
          </cell>
          <cell r="E4733" t="str">
            <v>Community School</v>
          </cell>
          <cell r="F4733" t="str">
            <v>Primary</v>
          </cell>
        </row>
        <row r="4734">
          <cell r="A4734">
            <v>8553018</v>
          </cell>
          <cell r="B4734">
            <v>120121</v>
          </cell>
          <cell r="C4734" t="str">
            <v>Burbage Church of England Infant School</v>
          </cell>
          <cell r="D4734" t="str">
            <v>Leicestershire</v>
          </cell>
          <cell r="E4734" t="str">
            <v>Voluntary Controlled School</v>
          </cell>
          <cell r="F4734" t="str">
            <v>Primary</v>
          </cell>
        </row>
        <row r="4735">
          <cell r="A4735">
            <v>9392015</v>
          </cell>
          <cell r="B4735">
            <v>130209</v>
          </cell>
          <cell r="C4735" t="str">
            <v>Burbage County Primary School</v>
          </cell>
          <cell r="D4735" t="str">
            <v>Pre LGR (1997) Wiltshire</v>
          </cell>
          <cell r="E4735" t="str">
            <v>Community School</v>
          </cell>
          <cell r="F4735" t="str">
            <v>Primary</v>
          </cell>
        </row>
        <row r="4736">
          <cell r="A4736">
            <v>2042077</v>
          </cell>
          <cell r="B4736">
            <v>100220</v>
          </cell>
          <cell r="C4736" t="str">
            <v>Burbage Infants' School</v>
          </cell>
          <cell r="D4736" t="str">
            <v>Hackney</v>
          </cell>
          <cell r="E4736" t="str">
            <v>Community School</v>
          </cell>
          <cell r="F4736" t="str">
            <v>Primary</v>
          </cell>
        </row>
        <row r="4737">
          <cell r="A4737">
            <v>2042076</v>
          </cell>
          <cell r="B4737">
            <v>100219</v>
          </cell>
          <cell r="C4737" t="str">
            <v>Burbage Junior School</v>
          </cell>
          <cell r="D4737" t="str">
            <v>Hackney</v>
          </cell>
          <cell r="E4737" t="str">
            <v>Community School</v>
          </cell>
          <cell r="F4737" t="str">
            <v>Primary</v>
          </cell>
        </row>
        <row r="4738">
          <cell r="A4738">
            <v>8552142</v>
          </cell>
          <cell r="B4738">
            <v>119964</v>
          </cell>
          <cell r="C4738" t="str">
            <v>Burbage Junior School</v>
          </cell>
          <cell r="D4738" t="str">
            <v>Leicestershire</v>
          </cell>
          <cell r="E4738" t="str">
            <v>Community School</v>
          </cell>
          <cell r="F4738" t="str">
            <v>Primary</v>
          </cell>
        </row>
        <row r="4739">
          <cell r="A4739">
            <v>8302058</v>
          </cell>
          <cell r="B4739">
            <v>112520</v>
          </cell>
          <cell r="C4739" t="str">
            <v>Burbage Primary School</v>
          </cell>
          <cell r="D4739" t="str">
            <v>Derbyshire</v>
          </cell>
          <cell r="E4739" t="str">
            <v>Community School</v>
          </cell>
          <cell r="F4739" t="str">
            <v>Primary</v>
          </cell>
        </row>
        <row r="4740">
          <cell r="A4740">
            <v>8652216</v>
          </cell>
          <cell r="B4740">
            <v>126285</v>
          </cell>
          <cell r="C4740" t="str">
            <v>Burbage Primary School</v>
          </cell>
          <cell r="D4740" t="str">
            <v>Wiltshire</v>
          </cell>
          <cell r="E4740" t="str">
            <v>Community School</v>
          </cell>
          <cell r="F4740" t="str">
            <v>Primary</v>
          </cell>
        </row>
        <row r="4741">
          <cell r="A4741">
            <v>2042898</v>
          </cell>
          <cell r="B4741">
            <v>131141</v>
          </cell>
          <cell r="C4741" t="str">
            <v>Burbage School</v>
          </cell>
          <cell r="D4741" t="str">
            <v>Hackney</v>
          </cell>
          <cell r="E4741" t="str">
            <v>Community School</v>
          </cell>
          <cell r="F4741" t="str">
            <v>Primary</v>
          </cell>
        </row>
        <row r="4742">
          <cell r="A4742">
            <v>8683027</v>
          </cell>
          <cell r="B4742">
            <v>109965</v>
          </cell>
          <cell r="C4742" t="str">
            <v>Burchetts Green CofE Infants' School</v>
          </cell>
          <cell r="D4742" t="str">
            <v>Windsor and Maidenhead</v>
          </cell>
          <cell r="E4742" t="str">
            <v>Voluntary Controlled School</v>
          </cell>
          <cell r="F4742" t="str">
            <v>Primary</v>
          </cell>
        </row>
        <row r="4743">
          <cell r="A4743">
            <v>3306056</v>
          </cell>
          <cell r="B4743">
            <v>127070</v>
          </cell>
          <cell r="C4743" t="str">
            <v>Burcot Grange High School</v>
          </cell>
          <cell r="D4743" t="str">
            <v>Birmingham</v>
          </cell>
          <cell r="E4743" t="str">
            <v>Other Independent School</v>
          </cell>
          <cell r="F4743" t="str">
            <v>Not applicable</v>
          </cell>
        </row>
        <row r="4744">
          <cell r="A4744">
            <v>2133316</v>
          </cell>
          <cell r="B4744">
            <v>101122</v>
          </cell>
          <cell r="C4744" t="str">
            <v>Burdett-Coutts and Townshend Foundation CofE Primary School</v>
          </cell>
          <cell r="D4744" t="str">
            <v>Westminster</v>
          </cell>
          <cell r="E4744" t="str">
            <v>Voluntary Aided School</v>
          </cell>
          <cell r="F4744" t="str">
            <v>Primary</v>
          </cell>
        </row>
        <row r="4745">
          <cell r="A4745">
            <v>9312610</v>
          </cell>
          <cell r="B4745">
            <v>132057</v>
          </cell>
          <cell r="C4745" t="str">
            <v>Bure Park Primary School</v>
          </cell>
          <cell r="D4745" t="str">
            <v>Oxfordshire</v>
          </cell>
          <cell r="E4745" t="str">
            <v>Community School</v>
          </cell>
          <cell r="F4745" t="str">
            <v>Primary</v>
          </cell>
        </row>
        <row r="4746">
          <cell r="A4746">
            <v>9262264</v>
          </cell>
          <cell r="B4746">
            <v>120911</v>
          </cell>
          <cell r="C4746" t="str">
            <v>Bure Valley School</v>
          </cell>
          <cell r="D4746" t="str">
            <v>Norfolk</v>
          </cell>
          <cell r="E4746" t="str">
            <v>Foundation School</v>
          </cell>
          <cell r="F4746" t="str">
            <v>Primary</v>
          </cell>
        </row>
        <row r="4747">
          <cell r="A4747">
            <v>9353009</v>
          </cell>
          <cell r="B4747">
            <v>124692</v>
          </cell>
          <cell r="C4747" t="str">
            <v>Bures Church of England Voluntary Controlled Primary School</v>
          </cell>
          <cell r="D4747" t="str">
            <v>Suffolk</v>
          </cell>
          <cell r="E4747" t="str">
            <v>Voluntary Controlled School</v>
          </cell>
          <cell r="F4747" t="str">
            <v>Primary</v>
          </cell>
        </row>
        <row r="4748">
          <cell r="A4748">
            <v>8933018</v>
          </cell>
          <cell r="B4748">
            <v>123464</v>
          </cell>
          <cell r="C4748" t="str">
            <v>Burford CofE Primary School</v>
          </cell>
          <cell r="D4748" t="str">
            <v>Shropshire</v>
          </cell>
          <cell r="E4748" t="str">
            <v>Voluntary Controlled School</v>
          </cell>
          <cell r="F4748" t="str">
            <v>Primary</v>
          </cell>
        </row>
        <row r="4749">
          <cell r="A4749">
            <v>8922082</v>
          </cell>
          <cell r="B4749">
            <v>122429</v>
          </cell>
          <cell r="C4749" t="str">
            <v>Burford Primary and Nursery School</v>
          </cell>
          <cell r="D4749" t="str">
            <v>Nottingham</v>
          </cell>
          <cell r="E4749" t="str">
            <v>Community School</v>
          </cell>
          <cell r="F4749" t="str">
            <v>Primary</v>
          </cell>
        </row>
        <row r="4750">
          <cell r="A4750">
            <v>9312251</v>
          </cell>
          <cell r="B4750">
            <v>123014</v>
          </cell>
          <cell r="C4750" t="str">
            <v>Burford Primary School</v>
          </cell>
          <cell r="D4750" t="str">
            <v>Oxfordshire</v>
          </cell>
          <cell r="E4750" t="str">
            <v>Community School</v>
          </cell>
          <cell r="F4750" t="str">
            <v>Primary</v>
          </cell>
        </row>
        <row r="4751">
          <cell r="A4751">
            <v>8252220</v>
          </cell>
          <cell r="B4751">
            <v>110314</v>
          </cell>
          <cell r="C4751" t="str">
            <v>Burford School</v>
          </cell>
          <cell r="D4751" t="str">
            <v>Buckinghamshire</v>
          </cell>
          <cell r="E4751" t="str">
            <v>Community School</v>
          </cell>
          <cell r="F4751" t="str">
            <v>Primary</v>
          </cell>
        </row>
        <row r="4752">
          <cell r="A4752">
            <v>9314040</v>
          </cell>
          <cell r="B4752">
            <v>123235</v>
          </cell>
          <cell r="C4752" t="str">
            <v>Burford School and Community College</v>
          </cell>
          <cell r="D4752" t="str">
            <v>Oxfordshire</v>
          </cell>
          <cell r="E4752" t="str">
            <v>Community School</v>
          </cell>
          <cell r="F4752" t="str">
            <v>Secondary</v>
          </cell>
        </row>
        <row r="4753">
          <cell r="A4753">
            <v>9386201</v>
          </cell>
          <cell r="B4753">
            <v>126134</v>
          </cell>
          <cell r="C4753" t="str">
            <v>Burgess Hill School for Girls</v>
          </cell>
          <cell r="D4753" t="str">
            <v>West Sussex</v>
          </cell>
          <cell r="E4753" t="str">
            <v>Other Independent School</v>
          </cell>
          <cell r="F4753" t="str">
            <v>Not applicable</v>
          </cell>
        </row>
        <row r="4754">
          <cell r="A4754">
            <v>3522046</v>
          </cell>
          <cell r="B4754">
            <v>105400</v>
          </cell>
          <cell r="C4754" t="str">
            <v>Burgess Primary School</v>
          </cell>
          <cell r="D4754" t="str">
            <v>Manchester</v>
          </cell>
          <cell r="E4754" t="str">
            <v>Community School</v>
          </cell>
          <cell r="F4754" t="str">
            <v>Primary</v>
          </cell>
        </row>
        <row r="4755">
          <cell r="A4755">
            <v>9092014</v>
          </cell>
          <cell r="B4755">
            <v>112106</v>
          </cell>
          <cell r="C4755" t="str">
            <v>Burgh by Sands School</v>
          </cell>
          <cell r="D4755" t="str">
            <v>Cumbria</v>
          </cell>
          <cell r="E4755" t="str">
            <v>Community School</v>
          </cell>
          <cell r="F4755" t="str">
            <v>Primary</v>
          </cell>
        </row>
        <row r="4756">
          <cell r="A4756">
            <v>9036147</v>
          </cell>
          <cell r="B4756">
            <v>128300</v>
          </cell>
          <cell r="C4756" t="str">
            <v>Burghclere Grange School</v>
          </cell>
          <cell r="D4756" t="str">
            <v>Pre LGR (1998) Berkshire</v>
          </cell>
          <cell r="E4756" t="str">
            <v>Other Independent School</v>
          </cell>
          <cell r="F4756" t="str">
            <v>Not applicable</v>
          </cell>
        </row>
        <row r="4757">
          <cell r="A4757">
            <v>8502026</v>
          </cell>
          <cell r="B4757">
            <v>115868</v>
          </cell>
          <cell r="C4757" t="str">
            <v>Burghclere Primary School</v>
          </cell>
          <cell r="D4757" t="str">
            <v>Hampshire</v>
          </cell>
          <cell r="E4757" t="str">
            <v>Community School</v>
          </cell>
          <cell r="F4757" t="str">
            <v>Primary</v>
          </cell>
        </row>
        <row r="4758">
          <cell r="A4758">
            <v>8693015</v>
          </cell>
          <cell r="B4758">
            <v>109956</v>
          </cell>
          <cell r="C4758" t="str">
            <v>Burghfield St Mary's C.E. Primary School</v>
          </cell>
          <cell r="D4758" t="str">
            <v>West Berkshire</v>
          </cell>
          <cell r="E4758" t="str">
            <v>Voluntary Controlled School</v>
          </cell>
          <cell r="F4758" t="str">
            <v>Primary</v>
          </cell>
        </row>
        <row r="4759">
          <cell r="A4759">
            <v>8842029</v>
          </cell>
          <cell r="B4759">
            <v>116667</v>
          </cell>
          <cell r="C4759" t="str">
            <v>Burghill Community Primary School</v>
          </cell>
          <cell r="D4759" t="str">
            <v>Herefordshire</v>
          </cell>
          <cell r="E4759" t="str">
            <v>Community School</v>
          </cell>
          <cell r="F4759" t="str">
            <v>Primary</v>
          </cell>
        </row>
        <row r="4760">
          <cell r="A4760">
            <v>8234092</v>
          </cell>
          <cell r="B4760">
            <v>109676</v>
          </cell>
          <cell r="C4760" t="str">
            <v>Burgoyne Middle School</v>
          </cell>
          <cell r="D4760" t="str">
            <v>Central Bedfordshire</v>
          </cell>
          <cell r="E4760" t="str">
            <v>Community School</v>
          </cell>
          <cell r="F4760" t="str">
            <v>Middle Deemed Secondary</v>
          </cell>
        </row>
        <row r="4761">
          <cell r="A4761">
            <v>8863062</v>
          </cell>
          <cell r="B4761">
            <v>118620</v>
          </cell>
          <cell r="C4761" t="str">
            <v>Burham Church of England Primary School</v>
          </cell>
          <cell r="D4761" t="str">
            <v>Kent</v>
          </cell>
          <cell r="E4761" t="str">
            <v>Voluntary Controlled School</v>
          </cell>
          <cell r="F4761" t="str">
            <v>Primary</v>
          </cell>
        </row>
        <row r="4762">
          <cell r="A4762">
            <v>9362427</v>
          </cell>
          <cell r="B4762">
            <v>125055</v>
          </cell>
          <cell r="C4762" t="str">
            <v>Burhill Community Infant School</v>
          </cell>
          <cell r="D4762" t="str">
            <v>Surrey</v>
          </cell>
          <cell r="E4762" t="str">
            <v>Foundation School</v>
          </cell>
          <cell r="F4762" t="str">
            <v>Primary</v>
          </cell>
        </row>
        <row r="4763">
          <cell r="A4763">
            <v>8502027</v>
          </cell>
          <cell r="B4763">
            <v>115869</v>
          </cell>
          <cell r="C4763" t="str">
            <v>Buriton Primary School</v>
          </cell>
          <cell r="D4763" t="str">
            <v>Hampshire</v>
          </cell>
          <cell r="E4763" t="str">
            <v>Community School</v>
          </cell>
          <cell r="F4763" t="str">
            <v>Primary</v>
          </cell>
        </row>
        <row r="4764">
          <cell r="A4764">
            <v>8554002</v>
          </cell>
          <cell r="B4764">
            <v>120236</v>
          </cell>
          <cell r="C4764" t="str">
            <v>Burleigh Community College</v>
          </cell>
          <cell r="D4764" t="str">
            <v>Leicestershire</v>
          </cell>
          <cell r="E4764" t="str">
            <v>Foundation School</v>
          </cell>
          <cell r="F4764" t="str">
            <v>Secondary</v>
          </cell>
        </row>
        <row r="4765">
          <cell r="A4765">
            <v>9114171</v>
          </cell>
          <cell r="B4765">
            <v>128726</v>
          </cell>
          <cell r="C4765" t="str">
            <v>Burleigh County Secondary School</v>
          </cell>
          <cell r="D4765" t="str">
            <v>Pre LGR (1998) Devon</v>
          </cell>
          <cell r="E4765" t="str">
            <v>Community School</v>
          </cell>
          <cell r="F4765" t="str">
            <v>Secondary</v>
          </cell>
        </row>
        <row r="4766">
          <cell r="A4766">
            <v>9382222</v>
          </cell>
          <cell r="B4766">
            <v>125947</v>
          </cell>
          <cell r="C4766" t="str">
            <v>Burleigh Infant School</v>
          </cell>
          <cell r="D4766" t="str">
            <v>West Sussex</v>
          </cell>
          <cell r="E4766" t="str">
            <v>Community School</v>
          </cell>
          <cell r="F4766" t="str">
            <v>Primary</v>
          </cell>
        </row>
        <row r="4767">
          <cell r="A4767">
            <v>9192015</v>
          </cell>
          <cell r="B4767">
            <v>129110</v>
          </cell>
          <cell r="C4767" t="str">
            <v>Burleigh Junior School</v>
          </cell>
          <cell r="D4767" t="str">
            <v>Hertfordshire</v>
          </cell>
          <cell r="E4767" t="str">
            <v>Community School</v>
          </cell>
          <cell r="F4767" t="str">
            <v>Primary</v>
          </cell>
        </row>
        <row r="4768">
          <cell r="A4768">
            <v>9192468</v>
          </cell>
          <cell r="B4768">
            <v>117367</v>
          </cell>
          <cell r="C4768" t="str">
            <v>Burleigh Primary School</v>
          </cell>
          <cell r="D4768" t="str">
            <v>Hertfordshire</v>
          </cell>
          <cell r="E4768" t="str">
            <v>Community School</v>
          </cell>
          <cell r="F4768" t="str">
            <v>Primary</v>
          </cell>
        </row>
        <row r="4769">
          <cell r="A4769">
            <v>8783004</v>
          </cell>
          <cell r="B4769">
            <v>113350</v>
          </cell>
          <cell r="C4769" t="str">
            <v>Burlescombe Church of England Primary School</v>
          </cell>
          <cell r="D4769" t="str">
            <v>Devon</v>
          </cell>
          <cell r="E4769" t="str">
            <v>Voluntary Controlled School</v>
          </cell>
          <cell r="F4769" t="str">
            <v>Primary</v>
          </cell>
        </row>
        <row r="4770">
          <cell r="A4770">
            <v>3803031</v>
          </cell>
          <cell r="B4770">
            <v>107313</v>
          </cell>
          <cell r="C4770" t="str">
            <v>Burley and Woodhead CofE Primary School</v>
          </cell>
          <cell r="D4770" t="str">
            <v>Bradford</v>
          </cell>
          <cell r="E4770" t="str">
            <v>Voluntary Controlled School</v>
          </cell>
          <cell r="F4770" t="str">
            <v>Primary</v>
          </cell>
        </row>
        <row r="4771">
          <cell r="A4771">
            <v>3803027</v>
          </cell>
          <cell r="B4771">
            <v>107310</v>
          </cell>
          <cell r="C4771" t="str">
            <v>Burley CofE First School</v>
          </cell>
          <cell r="D4771" t="str">
            <v>Bradford</v>
          </cell>
          <cell r="E4771" t="str">
            <v>Voluntary Controlled School</v>
          </cell>
          <cell r="F4771" t="str">
            <v>Primary</v>
          </cell>
        </row>
        <row r="4772">
          <cell r="A4772">
            <v>8843010</v>
          </cell>
          <cell r="B4772">
            <v>116788</v>
          </cell>
          <cell r="C4772" t="str">
            <v>Burley Gate CofE Primary School</v>
          </cell>
          <cell r="D4772" t="str">
            <v>Herefordshire</v>
          </cell>
          <cell r="E4772" t="str">
            <v>Voluntary Controlled School</v>
          </cell>
          <cell r="F4772" t="str">
            <v>Primary</v>
          </cell>
        </row>
        <row r="4773">
          <cell r="A4773">
            <v>3804080</v>
          </cell>
          <cell r="B4773">
            <v>107400</v>
          </cell>
          <cell r="C4773" t="str">
            <v>Burley Middle School</v>
          </cell>
          <cell r="D4773" t="str">
            <v>Bradford</v>
          </cell>
          <cell r="E4773" t="str">
            <v>Community School</v>
          </cell>
          <cell r="F4773" t="str">
            <v>Middle Deemed Secondary</v>
          </cell>
        </row>
        <row r="4774">
          <cell r="A4774">
            <v>3802203</v>
          </cell>
          <cell r="B4774">
            <v>132221</v>
          </cell>
          <cell r="C4774" t="str">
            <v>Burley Oaks Primary School</v>
          </cell>
          <cell r="D4774" t="str">
            <v>Bradford</v>
          </cell>
          <cell r="E4774" t="str">
            <v>Community School</v>
          </cell>
          <cell r="F4774" t="str">
            <v>Primary</v>
          </cell>
        </row>
        <row r="4775">
          <cell r="A4775">
            <v>8502028</v>
          </cell>
          <cell r="B4775">
            <v>115870</v>
          </cell>
          <cell r="C4775" t="str">
            <v>Burley Primary School</v>
          </cell>
          <cell r="D4775" t="str">
            <v>Hampshire</v>
          </cell>
          <cell r="E4775" t="str">
            <v>Community School</v>
          </cell>
          <cell r="F4775" t="str">
            <v>Primary</v>
          </cell>
        </row>
        <row r="4776">
          <cell r="A4776">
            <v>3833052</v>
          </cell>
          <cell r="B4776">
            <v>108001</v>
          </cell>
          <cell r="C4776" t="str">
            <v>Burley St Matthias' Church of England Voluntary Controlled Primary School</v>
          </cell>
          <cell r="D4776" t="str">
            <v>Leeds</v>
          </cell>
          <cell r="E4776" t="str">
            <v>Voluntary Controlled School</v>
          </cell>
          <cell r="F4776" t="str">
            <v>Primary</v>
          </cell>
        </row>
        <row r="4777">
          <cell r="A4777">
            <v>9093124</v>
          </cell>
          <cell r="B4777">
            <v>112281</v>
          </cell>
          <cell r="C4777" t="str">
            <v>Burlington CofE School</v>
          </cell>
          <cell r="D4777" t="str">
            <v>Cumbria</v>
          </cell>
          <cell r="E4777" t="str">
            <v>Voluntary Controlled School</v>
          </cell>
          <cell r="F4777" t="str">
            <v>Primary</v>
          </cell>
        </row>
        <row r="4778">
          <cell r="A4778">
            <v>2056905</v>
          </cell>
          <cell r="B4778">
            <v>131752</v>
          </cell>
          <cell r="C4778" t="str">
            <v>Burlington Danes Academy</v>
          </cell>
          <cell r="D4778" t="str">
            <v>Hammersmith and Fulham</v>
          </cell>
          <cell r="E4778" t="str">
            <v>Academy Sponsor Led</v>
          </cell>
          <cell r="F4778" t="str">
            <v>Secondary</v>
          </cell>
        </row>
        <row r="4779">
          <cell r="A4779">
            <v>2054610</v>
          </cell>
          <cell r="B4779">
            <v>100362</v>
          </cell>
          <cell r="C4779" t="str">
            <v>Burlington Danes CofE School</v>
          </cell>
          <cell r="D4779" t="str">
            <v>Hammersmith and Fulham</v>
          </cell>
          <cell r="E4779" t="str">
            <v>Voluntary Aided School</v>
          </cell>
          <cell r="F4779" t="str">
            <v>Secondary</v>
          </cell>
        </row>
        <row r="4780">
          <cell r="A4780">
            <v>3142002</v>
          </cell>
          <cell r="B4780">
            <v>102565</v>
          </cell>
          <cell r="C4780" t="str">
            <v>Burlington Infant and Nursery School</v>
          </cell>
          <cell r="D4780" t="str">
            <v>Kingston upon Thames</v>
          </cell>
          <cell r="E4780" t="str">
            <v>Community School</v>
          </cell>
          <cell r="F4780" t="str">
            <v>Primary</v>
          </cell>
        </row>
        <row r="4781">
          <cell r="A4781">
            <v>8112710</v>
          </cell>
          <cell r="B4781">
            <v>117833</v>
          </cell>
          <cell r="C4781" t="str">
            <v>Burlington Infant School</v>
          </cell>
          <cell r="D4781" t="str">
            <v>East Riding of Yorkshire</v>
          </cell>
          <cell r="E4781" t="str">
            <v>Community School</v>
          </cell>
          <cell r="F4781" t="str">
            <v>Primary</v>
          </cell>
        </row>
        <row r="4782">
          <cell r="A4782">
            <v>3142001</v>
          </cell>
          <cell r="B4782">
            <v>102564</v>
          </cell>
          <cell r="C4782" t="str">
            <v>Burlington Junior School</v>
          </cell>
          <cell r="D4782" t="str">
            <v>Kingston upon Thames</v>
          </cell>
          <cell r="E4782" t="str">
            <v>Community School</v>
          </cell>
          <cell r="F4782" t="str">
            <v>Primary</v>
          </cell>
        </row>
        <row r="4783">
          <cell r="A4783">
            <v>8112709</v>
          </cell>
          <cell r="B4783">
            <v>117832</v>
          </cell>
          <cell r="C4783" t="str">
            <v>Burlington Junior School</v>
          </cell>
          <cell r="D4783" t="str">
            <v>East Riding of Yorkshire</v>
          </cell>
          <cell r="E4783" t="str">
            <v>Community School</v>
          </cell>
          <cell r="F4783" t="str">
            <v>Primary</v>
          </cell>
        </row>
        <row r="4784">
          <cell r="A4784">
            <v>8852903</v>
          </cell>
          <cell r="B4784">
            <v>135040</v>
          </cell>
          <cell r="C4784" t="str">
            <v>Burlish Park Primary School</v>
          </cell>
          <cell r="D4784" t="str">
            <v>Worcestershire</v>
          </cell>
          <cell r="E4784" t="str">
            <v>Community School</v>
          </cell>
          <cell r="F4784" t="str">
            <v>Primary</v>
          </cell>
        </row>
        <row r="4785">
          <cell r="A4785">
            <v>3342001</v>
          </cell>
          <cell r="B4785">
            <v>104040</v>
          </cell>
          <cell r="C4785" t="str">
            <v>Burman Infant School</v>
          </cell>
          <cell r="D4785" t="str">
            <v>Solihull</v>
          </cell>
          <cell r="E4785" t="str">
            <v>Community School</v>
          </cell>
          <cell r="F4785" t="str">
            <v>Primary</v>
          </cell>
        </row>
        <row r="4786">
          <cell r="A4786">
            <v>3524256</v>
          </cell>
          <cell r="B4786">
            <v>105557</v>
          </cell>
          <cell r="C4786" t="str">
            <v>Burnage Media Arts College</v>
          </cell>
          <cell r="D4786" t="str">
            <v>Manchester</v>
          </cell>
          <cell r="E4786" t="str">
            <v>Community School</v>
          </cell>
          <cell r="F4786" t="str">
            <v>Secondary</v>
          </cell>
        </row>
        <row r="4787">
          <cell r="A4787">
            <v>8012124</v>
          </cell>
          <cell r="B4787">
            <v>108985</v>
          </cell>
          <cell r="C4787" t="str">
            <v>Burnbush Primary School &amp; Children's Centre</v>
          </cell>
          <cell r="D4787" t="str">
            <v>Bristol City of</v>
          </cell>
          <cell r="E4787" t="str">
            <v>Community School</v>
          </cell>
          <cell r="F4787" t="str">
            <v>Primary</v>
          </cell>
        </row>
        <row r="4788">
          <cell r="A4788">
            <v>3732316</v>
          </cell>
          <cell r="B4788">
            <v>127711</v>
          </cell>
          <cell r="C4788" t="str">
            <v>Burncross Primary School</v>
          </cell>
          <cell r="D4788" t="str">
            <v>Sheffield</v>
          </cell>
          <cell r="E4788" t="str">
            <v>Community School</v>
          </cell>
          <cell r="F4788" t="str">
            <v>Primary</v>
          </cell>
        </row>
        <row r="4789">
          <cell r="A4789">
            <v>8153337</v>
          </cell>
          <cell r="B4789">
            <v>121619</v>
          </cell>
          <cell r="C4789" t="str">
            <v>Burneston Church of England Voluntary Aided Primary School</v>
          </cell>
          <cell r="D4789" t="str">
            <v>North Yorkshire</v>
          </cell>
          <cell r="E4789" t="str">
            <v>Voluntary Aided School</v>
          </cell>
          <cell r="F4789" t="str">
            <v>Primary</v>
          </cell>
        </row>
        <row r="4790">
          <cell r="A4790">
            <v>3732262</v>
          </cell>
          <cell r="B4790">
            <v>127700</v>
          </cell>
          <cell r="C4790" t="str">
            <v>Burngrave Middle School</v>
          </cell>
          <cell r="D4790" t="str">
            <v>Sheffield</v>
          </cell>
          <cell r="E4790" t="str">
            <v>Community School</v>
          </cell>
          <cell r="F4790" t="str">
            <v>Middle Deemed Primary</v>
          </cell>
        </row>
        <row r="4791">
          <cell r="A4791">
            <v>8502189</v>
          </cell>
          <cell r="B4791">
            <v>115951</v>
          </cell>
          <cell r="C4791" t="str">
            <v>Burnham Copse Infant School</v>
          </cell>
          <cell r="D4791" t="str">
            <v>Hampshire</v>
          </cell>
          <cell r="E4791" t="str">
            <v>Community School</v>
          </cell>
          <cell r="F4791" t="str">
            <v>Primary</v>
          </cell>
        </row>
        <row r="4792">
          <cell r="A4792">
            <v>8502188</v>
          </cell>
          <cell r="B4792">
            <v>115950</v>
          </cell>
          <cell r="C4792" t="str">
            <v>Burnham Copse Junior School</v>
          </cell>
          <cell r="D4792" t="str">
            <v>Hampshire</v>
          </cell>
          <cell r="E4792" t="str">
            <v>Community School</v>
          </cell>
          <cell r="F4792" t="str">
            <v>Primary</v>
          </cell>
        </row>
        <row r="4793">
          <cell r="A4793">
            <v>8503669</v>
          </cell>
          <cell r="B4793">
            <v>131516</v>
          </cell>
          <cell r="C4793" t="str">
            <v>Burnham Copse Primary School</v>
          </cell>
          <cell r="D4793" t="str">
            <v>Hampshire</v>
          </cell>
          <cell r="E4793" t="str">
            <v>Community School</v>
          </cell>
          <cell r="F4793" t="str">
            <v>Primary</v>
          </cell>
        </row>
        <row r="4794">
          <cell r="A4794">
            <v>9042211</v>
          </cell>
          <cell r="B4794">
            <v>128329</v>
          </cell>
          <cell r="C4794" t="str">
            <v>Burnham County First School</v>
          </cell>
          <cell r="D4794" t="str">
            <v>Pre LGR (1997) Buckinghamshire</v>
          </cell>
          <cell r="E4794" t="str">
            <v>Community School</v>
          </cell>
          <cell r="F4794" t="str">
            <v>Primary</v>
          </cell>
        </row>
        <row r="4795">
          <cell r="A4795">
            <v>9222162</v>
          </cell>
          <cell r="B4795">
            <v>129364</v>
          </cell>
          <cell r="C4795" t="str">
            <v>Burnham County Infant School</v>
          </cell>
          <cell r="D4795" t="str">
            <v>Pre LGR (1998) Kent</v>
          </cell>
          <cell r="E4795" t="str">
            <v>Community School</v>
          </cell>
          <cell r="F4795" t="str">
            <v>Primary</v>
          </cell>
        </row>
        <row r="4796">
          <cell r="A4796">
            <v>8254051</v>
          </cell>
          <cell r="B4796">
            <v>110493</v>
          </cell>
          <cell r="C4796" t="str">
            <v>Burnham Grammar School</v>
          </cell>
          <cell r="D4796" t="str">
            <v>Buckinghamshire</v>
          </cell>
          <cell r="E4796" t="str">
            <v>Community School</v>
          </cell>
          <cell r="F4796" t="str">
            <v>Secondary</v>
          </cell>
        </row>
        <row r="4797">
          <cell r="A4797">
            <v>8254051</v>
          </cell>
          <cell r="B4797">
            <v>137564</v>
          </cell>
          <cell r="C4797" t="str">
            <v>Burnham Grammar School</v>
          </cell>
          <cell r="D4797" t="str">
            <v>Buckinghamshire</v>
          </cell>
          <cell r="E4797" t="str">
            <v>Academy Converters</v>
          </cell>
          <cell r="F4797" t="str">
            <v>Secondary</v>
          </cell>
        </row>
        <row r="4798">
          <cell r="A4798">
            <v>9262029</v>
          </cell>
          <cell r="B4798">
            <v>120792</v>
          </cell>
          <cell r="C4798" t="str">
            <v>Burnham Market Primary School</v>
          </cell>
          <cell r="D4798" t="str">
            <v>Norfolk</v>
          </cell>
          <cell r="E4798" t="str">
            <v>Community School</v>
          </cell>
          <cell r="F4798" t="str">
            <v>Primary</v>
          </cell>
        </row>
        <row r="4799">
          <cell r="A4799">
            <v>8254074</v>
          </cell>
          <cell r="B4799">
            <v>110501</v>
          </cell>
          <cell r="C4799" t="str">
            <v>Burnham Upper School</v>
          </cell>
          <cell r="D4799" t="str">
            <v>Buckinghamshire</v>
          </cell>
          <cell r="E4799" t="str">
            <v>Community School</v>
          </cell>
          <cell r="F4799" t="str">
            <v>Secondary</v>
          </cell>
        </row>
        <row r="4800">
          <cell r="A4800">
            <v>8812310</v>
          </cell>
          <cell r="B4800">
            <v>114821</v>
          </cell>
          <cell r="C4800" t="str">
            <v>Burnham-on-Crouch Primary School</v>
          </cell>
          <cell r="D4800" t="str">
            <v>Essex</v>
          </cell>
          <cell r="E4800" t="str">
            <v>Community School</v>
          </cell>
          <cell r="F4800" t="str">
            <v>Primary</v>
          </cell>
        </row>
        <row r="4801">
          <cell r="A4801">
            <v>9332165</v>
          </cell>
          <cell r="B4801">
            <v>123682</v>
          </cell>
          <cell r="C4801" t="str">
            <v>Burnham-on-Sea Infants' School</v>
          </cell>
          <cell r="D4801" t="str">
            <v>Somerset</v>
          </cell>
          <cell r="E4801" t="str">
            <v>Community School</v>
          </cell>
          <cell r="F4801" t="str">
            <v>Primary</v>
          </cell>
        </row>
        <row r="4802">
          <cell r="A4802">
            <v>8164227</v>
          </cell>
          <cell r="B4802">
            <v>121704</v>
          </cell>
          <cell r="C4802" t="str">
            <v>Burnholme Community College</v>
          </cell>
          <cell r="D4802" t="str">
            <v>York</v>
          </cell>
          <cell r="E4802" t="str">
            <v>Community School</v>
          </cell>
          <cell r="F4802" t="str">
            <v>Secondary</v>
          </cell>
        </row>
        <row r="4803">
          <cell r="A4803">
            <v>8402261</v>
          </cell>
          <cell r="B4803">
            <v>114041</v>
          </cell>
          <cell r="C4803" t="str">
            <v>Burnhope Primary School</v>
          </cell>
          <cell r="D4803" t="str">
            <v>Durham</v>
          </cell>
          <cell r="E4803" t="str">
            <v>Community School</v>
          </cell>
          <cell r="F4803" t="str">
            <v>Primary</v>
          </cell>
        </row>
        <row r="4804">
          <cell r="A4804">
            <v>8881119</v>
          </cell>
          <cell r="B4804">
            <v>128089</v>
          </cell>
          <cell r="C4804" t="str">
            <v>Burnley and Pendle Centre</v>
          </cell>
          <cell r="D4804" t="str">
            <v>Lancashire</v>
          </cell>
          <cell r="E4804" t="str">
            <v>Pupil Referral Unit</v>
          </cell>
          <cell r="F4804" t="str">
            <v>PRU</v>
          </cell>
        </row>
        <row r="4805">
          <cell r="A4805">
            <v>8882165</v>
          </cell>
          <cell r="B4805">
            <v>119218</v>
          </cell>
          <cell r="C4805" t="str">
            <v>Burnley Barden Community Infant School</v>
          </cell>
          <cell r="D4805" t="str">
            <v>Lancashire</v>
          </cell>
          <cell r="E4805" t="str">
            <v>Community School</v>
          </cell>
          <cell r="F4805" t="str">
            <v>Primary</v>
          </cell>
        </row>
        <row r="4806">
          <cell r="A4806">
            <v>8884045</v>
          </cell>
          <cell r="B4806">
            <v>119729</v>
          </cell>
          <cell r="C4806" t="str">
            <v>Burnley Barden High School</v>
          </cell>
          <cell r="D4806" t="str">
            <v>Lancashire</v>
          </cell>
          <cell r="E4806" t="str">
            <v>Community School</v>
          </cell>
          <cell r="F4806" t="str">
            <v>Secondary</v>
          </cell>
        </row>
        <row r="4807">
          <cell r="A4807">
            <v>3532099</v>
          </cell>
          <cell r="B4807">
            <v>105680</v>
          </cell>
          <cell r="C4807" t="str">
            <v>Burnley Brow Community School</v>
          </cell>
          <cell r="D4807" t="str">
            <v>Oldham</v>
          </cell>
          <cell r="E4807" t="str">
            <v>Community School</v>
          </cell>
          <cell r="F4807" t="str">
            <v>Primary</v>
          </cell>
        </row>
        <row r="4808">
          <cell r="A4808">
            <v>8882164</v>
          </cell>
          <cell r="B4808">
            <v>119217</v>
          </cell>
          <cell r="C4808" t="str">
            <v>Burnley Brunshaw Primary School</v>
          </cell>
          <cell r="D4808" t="str">
            <v>Lancashire</v>
          </cell>
          <cell r="E4808" t="str">
            <v>Community School</v>
          </cell>
          <cell r="F4808" t="str">
            <v>Primary</v>
          </cell>
        </row>
        <row r="4809">
          <cell r="A4809">
            <v>8887005</v>
          </cell>
          <cell r="B4809">
            <v>119860</v>
          </cell>
          <cell r="C4809" t="str">
            <v>Burnley Calder View Special School</v>
          </cell>
          <cell r="D4809" t="str">
            <v>Lancashire</v>
          </cell>
          <cell r="E4809" t="str">
            <v>Community Special School</v>
          </cell>
          <cell r="F4809" t="str">
            <v>Special</v>
          </cell>
        </row>
        <row r="4810">
          <cell r="A4810">
            <v>8882166</v>
          </cell>
          <cell r="B4810">
            <v>119219</v>
          </cell>
          <cell r="C4810" t="str">
            <v>Burnley Casterton Primary School</v>
          </cell>
          <cell r="D4810" t="str">
            <v>Lancashire</v>
          </cell>
          <cell r="E4810" t="str">
            <v>Community School</v>
          </cell>
          <cell r="F4810" t="str">
            <v>Primary</v>
          </cell>
        </row>
        <row r="4811">
          <cell r="A4811">
            <v>8882163</v>
          </cell>
          <cell r="B4811">
            <v>119216</v>
          </cell>
          <cell r="C4811" t="str">
            <v>Burnley Coal Clough Primary School</v>
          </cell>
          <cell r="D4811" t="str">
            <v>Lancashire</v>
          </cell>
          <cell r="E4811" t="str">
            <v>Community School</v>
          </cell>
          <cell r="F4811" t="str">
            <v>Primary</v>
          </cell>
        </row>
        <row r="4812">
          <cell r="A4812">
            <v>8888006</v>
          </cell>
          <cell r="B4812">
            <v>130735</v>
          </cell>
          <cell r="C4812" t="str">
            <v>Burnley College</v>
          </cell>
          <cell r="D4812" t="str">
            <v>Lancashire</v>
          </cell>
          <cell r="E4812" t="str">
            <v>Further Education</v>
          </cell>
          <cell r="F4812" t="str">
            <v>16 Plus</v>
          </cell>
        </row>
        <row r="4813">
          <cell r="A4813">
            <v>8884502</v>
          </cell>
          <cell r="B4813">
            <v>119776</v>
          </cell>
          <cell r="C4813" t="str">
            <v>Burnley Habergham High School</v>
          </cell>
          <cell r="D4813" t="str">
            <v>Lancashire</v>
          </cell>
          <cell r="E4813" t="str">
            <v>Voluntary Controlled School</v>
          </cell>
          <cell r="F4813" t="str">
            <v>Secondary</v>
          </cell>
        </row>
        <row r="4814">
          <cell r="A4814">
            <v>8882227</v>
          </cell>
          <cell r="B4814">
            <v>119259</v>
          </cell>
          <cell r="C4814" t="str">
            <v>Burnley Hargher Clough Junior School</v>
          </cell>
          <cell r="D4814" t="str">
            <v>Lancashire</v>
          </cell>
          <cell r="E4814" t="str">
            <v>Community School</v>
          </cell>
          <cell r="F4814" t="str">
            <v>Primary</v>
          </cell>
        </row>
        <row r="4815">
          <cell r="A4815">
            <v>8882160</v>
          </cell>
          <cell r="B4815">
            <v>119213</v>
          </cell>
          <cell r="C4815" t="str">
            <v>Burnley Healey Wood Infant School</v>
          </cell>
          <cell r="D4815" t="str">
            <v>Lancashire</v>
          </cell>
          <cell r="E4815" t="str">
            <v>Community School</v>
          </cell>
          <cell r="F4815" t="str">
            <v>Primary</v>
          </cell>
        </row>
        <row r="4816">
          <cell r="A4816">
            <v>8882230</v>
          </cell>
          <cell r="B4816">
            <v>119261</v>
          </cell>
          <cell r="C4816" t="str">
            <v>Burnley Heasandford Primary School</v>
          </cell>
          <cell r="D4816" t="str">
            <v>Lancashire</v>
          </cell>
          <cell r="E4816" t="str">
            <v>Community School</v>
          </cell>
          <cell r="F4816" t="str">
            <v>Primary</v>
          </cell>
        </row>
        <row r="4817">
          <cell r="A4817">
            <v>8883431</v>
          </cell>
          <cell r="B4817">
            <v>119485</v>
          </cell>
          <cell r="C4817" t="str">
            <v>Burnley Holy Trinity Church of England Primary School</v>
          </cell>
          <cell r="D4817" t="str">
            <v>Lancashire</v>
          </cell>
          <cell r="E4817" t="str">
            <v>Voluntary Aided School</v>
          </cell>
          <cell r="F4817" t="str">
            <v>Primary</v>
          </cell>
        </row>
        <row r="4818">
          <cell r="A4818">
            <v>8882237</v>
          </cell>
          <cell r="B4818">
            <v>119264</v>
          </cell>
          <cell r="C4818" t="str">
            <v>Burnley Ightenhill Primary School</v>
          </cell>
          <cell r="D4818" t="str">
            <v>Lancashire</v>
          </cell>
          <cell r="E4818" t="str">
            <v>Community School</v>
          </cell>
          <cell r="F4818" t="str">
            <v>Primary</v>
          </cell>
        </row>
        <row r="4819">
          <cell r="A4819">
            <v>8884009</v>
          </cell>
          <cell r="B4819">
            <v>119712</v>
          </cell>
          <cell r="C4819" t="str">
            <v>Burnley Ivy Bank High Business and Enterprise College</v>
          </cell>
          <cell r="D4819" t="str">
            <v>Lancashire</v>
          </cell>
          <cell r="E4819" t="str">
            <v>Community School</v>
          </cell>
          <cell r="F4819" t="str">
            <v>Secondary</v>
          </cell>
        </row>
        <row r="4820">
          <cell r="A4820">
            <v>8882162</v>
          </cell>
          <cell r="B4820">
            <v>119215</v>
          </cell>
          <cell r="C4820" t="str">
            <v>Burnley Lowerhouse Junior School</v>
          </cell>
          <cell r="D4820" t="str">
            <v>Lancashire</v>
          </cell>
          <cell r="E4820" t="str">
            <v>Community School</v>
          </cell>
          <cell r="F4820" t="str">
            <v>Primary</v>
          </cell>
        </row>
        <row r="4821">
          <cell r="A4821">
            <v>8882161</v>
          </cell>
          <cell r="B4821">
            <v>119214</v>
          </cell>
          <cell r="C4821" t="str">
            <v>Burnley Myrtle Bank Infant School</v>
          </cell>
          <cell r="D4821" t="str">
            <v>Lancashire</v>
          </cell>
          <cell r="E4821" t="str">
            <v>Community School</v>
          </cell>
          <cell r="F4821" t="str">
            <v>Primary</v>
          </cell>
        </row>
        <row r="4822">
          <cell r="A4822">
            <v>8887026</v>
          </cell>
          <cell r="B4822">
            <v>119872</v>
          </cell>
          <cell r="C4822" t="str">
            <v>Burnley Primrose Hill School</v>
          </cell>
          <cell r="D4822" t="str">
            <v>Lancashire</v>
          </cell>
          <cell r="E4822" t="str">
            <v>Community Special School</v>
          </cell>
          <cell r="F4822" t="str">
            <v>Special</v>
          </cell>
        </row>
        <row r="4823">
          <cell r="A4823">
            <v>3812053</v>
          </cell>
          <cell r="B4823">
            <v>107506</v>
          </cell>
          <cell r="C4823" t="str">
            <v>Burnley Road Junior Infant and Nursery School</v>
          </cell>
          <cell r="D4823" t="str">
            <v>Calderdale</v>
          </cell>
          <cell r="E4823" t="str">
            <v>Community School</v>
          </cell>
          <cell r="F4823" t="str">
            <v>Primary</v>
          </cell>
        </row>
        <row r="4824">
          <cell r="A4824">
            <v>3812053</v>
          </cell>
          <cell r="B4824">
            <v>137391</v>
          </cell>
          <cell r="C4824" t="str">
            <v>Burnley Road Junior Infant and Nursery School</v>
          </cell>
          <cell r="D4824" t="str">
            <v>Calderdale</v>
          </cell>
          <cell r="E4824" t="str">
            <v>Academy Converters</v>
          </cell>
          <cell r="F4824" t="str">
            <v>Primary</v>
          </cell>
        </row>
        <row r="4825">
          <cell r="A4825">
            <v>8882159</v>
          </cell>
          <cell r="B4825">
            <v>119212</v>
          </cell>
          <cell r="C4825" t="str">
            <v>Burnley Rosehill Community Infant School</v>
          </cell>
          <cell r="D4825" t="str">
            <v>Lancashire</v>
          </cell>
          <cell r="E4825" t="str">
            <v>Community School</v>
          </cell>
          <cell r="F4825" t="str">
            <v>Primary</v>
          </cell>
        </row>
        <row r="4826">
          <cell r="A4826">
            <v>8882841</v>
          </cell>
          <cell r="B4826">
            <v>133546</v>
          </cell>
          <cell r="C4826" t="str">
            <v>Burnley Springfield Community Primary School</v>
          </cell>
          <cell r="D4826" t="str">
            <v>Lancashire</v>
          </cell>
          <cell r="E4826" t="str">
            <v>Community School</v>
          </cell>
          <cell r="F4826" t="str">
            <v>Primary</v>
          </cell>
        </row>
        <row r="4827">
          <cell r="A4827">
            <v>8883433</v>
          </cell>
          <cell r="B4827">
            <v>119487</v>
          </cell>
          <cell r="C4827" t="str">
            <v>Burnley St James' Lanehead Church of England Primary School</v>
          </cell>
          <cell r="D4827" t="str">
            <v>Lancashire</v>
          </cell>
          <cell r="E4827" t="str">
            <v>Voluntary Aided School</v>
          </cell>
          <cell r="F4827" t="str">
            <v>Primary</v>
          </cell>
        </row>
        <row r="4828">
          <cell r="A4828">
            <v>8883430</v>
          </cell>
          <cell r="B4828">
            <v>119484</v>
          </cell>
          <cell r="C4828" t="str">
            <v>Burnley St Peter's Church of England Primary School</v>
          </cell>
          <cell r="D4828" t="str">
            <v>Lancashire</v>
          </cell>
          <cell r="E4828" t="str">
            <v>Voluntary Aided School</v>
          </cell>
          <cell r="F4828" t="str">
            <v>Primary</v>
          </cell>
        </row>
        <row r="4829">
          <cell r="A4829">
            <v>8883432</v>
          </cell>
          <cell r="B4829">
            <v>119486</v>
          </cell>
          <cell r="C4829" t="str">
            <v>Burnley St Stephen's Church of England Voluntary Aided Primary School</v>
          </cell>
          <cell r="D4829" t="str">
            <v>Lancashire</v>
          </cell>
          <cell r="E4829" t="str">
            <v>Voluntary Aided School</v>
          </cell>
          <cell r="F4829" t="str">
            <v>Primary</v>
          </cell>
        </row>
        <row r="4830">
          <cell r="A4830">
            <v>8882224</v>
          </cell>
          <cell r="B4830">
            <v>119257</v>
          </cell>
          <cell r="C4830" t="str">
            <v>Burnley Stoneyholme Community Primary School</v>
          </cell>
          <cell r="D4830" t="str">
            <v>Lancashire</v>
          </cell>
          <cell r="E4830" t="str">
            <v>Community School</v>
          </cell>
          <cell r="F4830" t="str">
            <v>Primary</v>
          </cell>
        </row>
        <row r="4831">
          <cell r="A4831">
            <v>8884042</v>
          </cell>
          <cell r="B4831">
            <v>119727</v>
          </cell>
          <cell r="C4831" t="str">
            <v>Burnley Towneley High School</v>
          </cell>
          <cell r="D4831" t="str">
            <v>Lancashire</v>
          </cell>
          <cell r="E4831" t="str">
            <v>Community School</v>
          </cell>
          <cell r="F4831" t="str">
            <v>Secondary</v>
          </cell>
        </row>
        <row r="4832">
          <cell r="A4832">
            <v>8884044</v>
          </cell>
          <cell r="B4832">
            <v>119728</v>
          </cell>
          <cell r="C4832" t="str">
            <v>Burnley Walshaw High School</v>
          </cell>
          <cell r="D4832" t="str">
            <v>Lancashire</v>
          </cell>
          <cell r="E4832" t="str">
            <v>Community School</v>
          </cell>
          <cell r="F4832" t="str">
            <v>Secondary</v>
          </cell>
        </row>
        <row r="4833">
          <cell r="A4833">
            <v>8887009</v>
          </cell>
          <cell r="B4833">
            <v>119863</v>
          </cell>
          <cell r="C4833" t="str">
            <v>Burnley Westway School</v>
          </cell>
          <cell r="D4833" t="str">
            <v>Lancashire</v>
          </cell>
          <cell r="E4833" t="str">
            <v>Community Special School</v>
          </cell>
          <cell r="F4833" t="str">
            <v>Special</v>
          </cell>
        </row>
        <row r="4834">
          <cell r="A4834">
            <v>8883000</v>
          </cell>
          <cell r="B4834">
            <v>119353</v>
          </cell>
          <cell r="C4834" t="str">
            <v>Burnley Wood Top Church of England Infant School</v>
          </cell>
          <cell r="D4834" t="str">
            <v>Lancashire</v>
          </cell>
          <cell r="E4834" t="str">
            <v>Voluntary Controlled School</v>
          </cell>
          <cell r="F4834" t="str">
            <v>Primary</v>
          </cell>
        </row>
        <row r="4835">
          <cell r="A4835">
            <v>8882236</v>
          </cell>
          <cell r="B4835">
            <v>119263</v>
          </cell>
          <cell r="C4835" t="str">
            <v>Burnley, Burnley Wood Primary School</v>
          </cell>
          <cell r="D4835" t="str">
            <v>Lancashire</v>
          </cell>
          <cell r="E4835" t="str">
            <v>Community School</v>
          </cell>
          <cell r="F4835" t="str">
            <v>Primary</v>
          </cell>
        </row>
        <row r="4836">
          <cell r="A4836">
            <v>8402234</v>
          </cell>
          <cell r="B4836">
            <v>114035</v>
          </cell>
          <cell r="C4836" t="str">
            <v>Burnopfield Primary School</v>
          </cell>
          <cell r="D4836" t="str">
            <v>Durham</v>
          </cell>
          <cell r="E4836" t="str">
            <v>Community School</v>
          </cell>
          <cell r="F4836" t="str">
            <v>Primary</v>
          </cell>
        </row>
        <row r="4837">
          <cell r="A4837">
            <v>8153352</v>
          </cell>
          <cell r="B4837">
            <v>121622</v>
          </cell>
          <cell r="C4837" t="str">
            <v>Burnsall Voluntary Aided Primary School</v>
          </cell>
          <cell r="D4837" t="str">
            <v>North Yorkshire</v>
          </cell>
          <cell r="E4837" t="str">
            <v>Voluntary Aided School</v>
          </cell>
          <cell r="F4837" t="str">
            <v>Primary</v>
          </cell>
        </row>
        <row r="4838">
          <cell r="A4838">
            <v>8732062</v>
          </cell>
          <cell r="B4838">
            <v>110628</v>
          </cell>
          <cell r="C4838" t="str">
            <v>Burnsfield Infant School</v>
          </cell>
          <cell r="D4838" t="str">
            <v>Cambridgeshire</v>
          </cell>
          <cell r="E4838" t="str">
            <v>Community School</v>
          </cell>
          <cell r="F4838" t="str">
            <v>Primary</v>
          </cell>
        </row>
        <row r="4839">
          <cell r="A4839">
            <v>3924032</v>
          </cell>
          <cell r="B4839">
            <v>108640</v>
          </cell>
          <cell r="C4839" t="str">
            <v>Burnside Business and Enterprise College</v>
          </cell>
          <cell r="D4839" t="str">
            <v>North Tyneside</v>
          </cell>
          <cell r="E4839" t="str">
            <v>Community School</v>
          </cell>
          <cell r="F4839" t="str">
            <v>Secondary</v>
          </cell>
        </row>
        <row r="4840">
          <cell r="A4840">
            <v>3942168</v>
          </cell>
          <cell r="B4840">
            <v>108823</v>
          </cell>
          <cell r="C4840" t="str">
            <v>Burnside Primary School</v>
          </cell>
          <cell r="D4840" t="str">
            <v>Sunderland</v>
          </cell>
          <cell r="E4840" t="str">
            <v>Community School</v>
          </cell>
          <cell r="F4840" t="str">
            <v>Primary</v>
          </cell>
        </row>
        <row r="4841">
          <cell r="A4841">
            <v>9292527</v>
          </cell>
          <cell r="B4841">
            <v>122266</v>
          </cell>
          <cell r="C4841" t="str">
            <v>Burnside Primary School</v>
          </cell>
          <cell r="D4841" t="str">
            <v>Northumberland</v>
          </cell>
          <cell r="E4841" t="str">
            <v>Community School</v>
          </cell>
          <cell r="F4841" t="str">
            <v>Primary</v>
          </cell>
        </row>
        <row r="4842">
          <cell r="A4842">
            <v>3201107</v>
          </cell>
          <cell r="B4842">
            <v>137328</v>
          </cell>
          <cell r="C4842" t="str">
            <v>Burnside Secondary PRU</v>
          </cell>
          <cell r="D4842" t="str">
            <v>Waltham Forest</v>
          </cell>
          <cell r="E4842" t="str">
            <v>Pupil Referral Unit</v>
          </cell>
          <cell r="F4842" t="str">
            <v>PRU</v>
          </cell>
        </row>
        <row r="4843">
          <cell r="A4843">
            <v>3052015</v>
          </cell>
          <cell r="B4843">
            <v>126789</v>
          </cell>
          <cell r="C4843" t="str">
            <v>Burnt Ash Infant School</v>
          </cell>
          <cell r="D4843" t="str">
            <v>Bromley</v>
          </cell>
          <cell r="E4843" t="str">
            <v>Community School</v>
          </cell>
          <cell r="F4843" t="str">
            <v>Primary</v>
          </cell>
        </row>
        <row r="4844">
          <cell r="A4844">
            <v>3052014</v>
          </cell>
          <cell r="B4844">
            <v>101597</v>
          </cell>
          <cell r="C4844" t="str">
            <v>Burnt Ash Primary School</v>
          </cell>
          <cell r="D4844" t="str">
            <v>Bromley</v>
          </cell>
          <cell r="E4844" t="str">
            <v>Community School</v>
          </cell>
          <cell r="F4844" t="str">
            <v>Primary</v>
          </cell>
        </row>
        <row r="4845">
          <cell r="A4845">
            <v>8814333</v>
          </cell>
          <cell r="B4845">
            <v>115219</v>
          </cell>
          <cell r="C4845" t="str">
            <v>Burnt Mill Comprehensive School</v>
          </cell>
          <cell r="D4845" t="str">
            <v>Essex</v>
          </cell>
          <cell r="E4845" t="str">
            <v>Foundation School</v>
          </cell>
          <cell r="F4845" t="str">
            <v>Secondary</v>
          </cell>
        </row>
        <row r="4846">
          <cell r="A4846">
            <v>8814333</v>
          </cell>
          <cell r="B4846">
            <v>137694</v>
          </cell>
          <cell r="C4846" t="str">
            <v>Burnt Mill Comprehensive School</v>
          </cell>
          <cell r="D4846" t="str">
            <v>Essex</v>
          </cell>
          <cell r="E4846" t="str">
            <v>Academy Converters</v>
          </cell>
          <cell r="F4846" t="str">
            <v>Secondary</v>
          </cell>
        </row>
        <row r="4847">
          <cell r="A4847">
            <v>3032045</v>
          </cell>
          <cell r="B4847">
            <v>101427</v>
          </cell>
          <cell r="C4847" t="str">
            <v>Burnt Oak Junior School</v>
          </cell>
          <cell r="D4847" t="str">
            <v>Bexley</v>
          </cell>
          <cell r="E4847" t="str">
            <v>Community School</v>
          </cell>
          <cell r="F4847" t="str">
            <v>Primary</v>
          </cell>
        </row>
        <row r="4848">
          <cell r="A4848">
            <v>8873760</v>
          </cell>
          <cell r="B4848">
            <v>131527</v>
          </cell>
          <cell r="C4848" t="str">
            <v>Burnt Oak Primary School</v>
          </cell>
          <cell r="D4848" t="str">
            <v>Medway</v>
          </cell>
          <cell r="E4848" t="str">
            <v>Community School</v>
          </cell>
          <cell r="F4848" t="str">
            <v>Primary</v>
          </cell>
        </row>
        <row r="4849">
          <cell r="A4849">
            <v>3332054</v>
          </cell>
          <cell r="B4849">
            <v>103914</v>
          </cell>
          <cell r="C4849" t="str">
            <v>Burnt Tree Primary School</v>
          </cell>
          <cell r="D4849" t="str">
            <v>Sandwell</v>
          </cell>
          <cell r="E4849" t="str">
            <v>Community School</v>
          </cell>
          <cell r="F4849" t="str">
            <v>Primary</v>
          </cell>
        </row>
        <row r="4850">
          <cell r="A4850">
            <v>8153356</v>
          </cell>
          <cell r="B4850">
            <v>121626</v>
          </cell>
          <cell r="C4850" t="str">
            <v>Burnt Yates Church of England Voluntary Aided (Endowed)Primary School</v>
          </cell>
          <cell r="D4850" t="str">
            <v>North Yorkshire</v>
          </cell>
          <cell r="E4850" t="str">
            <v>Voluntary Aided School</v>
          </cell>
          <cell r="F4850" t="str">
            <v>Primary</v>
          </cell>
        </row>
        <row r="4851">
          <cell r="A4851">
            <v>3842099</v>
          </cell>
          <cell r="B4851">
            <v>108176</v>
          </cell>
          <cell r="C4851" t="str">
            <v>Burntwood First School</v>
          </cell>
          <cell r="D4851" t="str">
            <v>Wakefield</v>
          </cell>
          <cell r="E4851" t="str">
            <v>Community School</v>
          </cell>
          <cell r="F4851" t="str">
            <v>Primary</v>
          </cell>
        </row>
        <row r="4852">
          <cell r="A4852">
            <v>9342170</v>
          </cell>
          <cell r="B4852">
            <v>129874</v>
          </cell>
          <cell r="C4852" t="str">
            <v>Burntwood First School</v>
          </cell>
          <cell r="D4852" t="str">
            <v>Pre LGR (1997) Staffordshire</v>
          </cell>
          <cell r="E4852" t="str">
            <v>Community School</v>
          </cell>
          <cell r="F4852" t="str">
            <v>Primary</v>
          </cell>
        </row>
        <row r="4853">
          <cell r="A4853">
            <v>2125401</v>
          </cell>
          <cell r="B4853">
            <v>101059</v>
          </cell>
          <cell r="C4853" t="str">
            <v>Burntwood School</v>
          </cell>
          <cell r="D4853" t="str">
            <v>Wandsworth</v>
          </cell>
          <cell r="E4853" t="str">
            <v>Foundation School</v>
          </cell>
          <cell r="F4853" t="str">
            <v>Secondary</v>
          </cell>
        </row>
        <row r="4854">
          <cell r="A4854">
            <v>8612425</v>
          </cell>
          <cell r="B4854">
            <v>124221</v>
          </cell>
          <cell r="C4854" t="str">
            <v>Burnwood Community Primary School</v>
          </cell>
          <cell r="D4854" t="str">
            <v>Stoke-on-Trent</v>
          </cell>
          <cell r="E4854" t="str">
            <v>Community School</v>
          </cell>
          <cell r="F4854" t="str">
            <v>Primary</v>
          </cell>
        </row>
        <row r="4855">
          <cell r="A4855">
            <v>9344039</v>
          </cell>
          <cell r="B4855">
            <v>129932</v>
          </cell>
          <cell r="C4855" t="str">
            <v>Burnwood High School</v>
          </cell>
          <cell r="D4855" t="str">
            <v>Pre LGR (1997) Staffordshire</v>
          </cell>
          <cell r="E4855" t="str">
            <v>Community School</v>
          </cell>
          <cell r="F4855" t="str">
            <v>Secondary</v>
          </cell>
        </row>
        <row r="4856">
          <cell r="A4856">
            <v>9342005</v>
          </cell>
          <cell r="B4856">
            <v>129868</v>
          </cell>
          <cell r="C4856" t="str">
            <v>Burnwood Infant School</v>
          </cell>
          <cell r="D4856" t="str">
            <v>Pre LGR (1997) Staffordshire</v>
          </cell>
          <cell r="E4856" t="str">
            <v>Community School</v>
          </cell>
          <cell r="F4856" t="str">
            <v>Primary</v>
          </cell>
        </row>
        <row r="4857">
          <cell r="A4857">
            <v>9342004</v>
          </cell>
          <cell r="B4857">
            <v>129867</v>
          </cell>
          <cell r="C4857" t="str">
            <v>Burnwood Junior School</v>
          </cell>
          <cell r="D4857" t="str">
            <v>Pre LGR (1997) Staffordshire</v>
          </cell>
          <cell r="E4857" t="str">
            <v>Community School</v>
          </cell>
          <cell r="F4857" t="str">
            <v>Primary</v>
          </cell>
        </row>
        <row r="4858">
          <cell r="A4858">
            <v>8611003</v>
          </cell>
          <cell r="B4858">
            <v>123949</v>
          </cell>
          <cell r="C4858" t="str">
            <v>Burnwood Nursery School</v>
          </cell>
          <cell r="D4858" t="str">
            <v>Stoke-on-Trent</v>
          </cell>
          <cell r="E4858" t="str">
            <v>LA Nursery School</v>
          </cell>
          <cell r="F4858" t="str">
            <v>Nursery</v>
          </cell>
        </row>
        <row r="4859">
          <cell r="A4859">
            <v>9365217</v>
          </cell>
          <cell r="B4859">
            <v>125299</v>
          </cell>
          <cell r="C4859" t="str">
            <v>Burpham Foundation Primary School</v>
          </cell>
          <cell r="D4859" t="str">
            <v>Surrey</v>
          </cell>
          <cell r="E4859" t="str">
            <v>Foundation School</v>
          </cell>
          <cell r="F4859" t="str">
            <v>Primary</v>
          </cell>
        </row>
        <row r="4860">
          <cell r="A4860">
            <v>3922086</v>
          </cell>
          <cell r="B4860">
            <v>108612</v>
          </cell>
          <cell r="C4860" t="str">
            <v>Burradon Community Primary School</v>
          </cell>
          <cell r="D4860" t="str">
            <v>North Tyneside</v>
          </cell>
          <cell r="E4860" t="str">
            <v>Community School</v>
          </cell>
          <cell r="F4860" t="str">
            <v>Primary</v>
          </cell>
        </row>
        <row r="4861">
          <cell r="A4861">
            <v>3922033</v>
          </cell>
          <cell r="B4861">
            <v>128153</v>
          </cell>
          <cell r="C4861" t="str">
            <v>Burradon First School</v>
          </cell>
          <cell r="D4861" t="str">
            <v>North Tyneside</v>
          </cell>
          <cell r="E4861" t="str">
            <v>Community School</v>
          </cell>
          <cell r="F4861" t="str">
            <v>Primary</v>
          </cell>
        </row>
        <row r="4862">
          <cell r="A4862">
            <v>9082730</v>
          </cell>
          <cell r="B4862">
            <v>111972</v>
          </cell>
          <cell r="C4862" t="str">
            <v>Burraton Community Primary School</v>
          </cell>
          <cell r="D4862" t="str">
            <v>Cornwall</v>
          </cell>
          <cell r="E4862" t="str">
            <v>Community School</v>
          </cell>
          <cell r="F4862" t="str">
            <v>Primary</v>
          </cell>
        </row>
        <row r="4863">
          <cell r="A4863">
            <v>8783058</v>
          </cell>
          <cell r="B4863">
            <v>113374</v>
          </cell>
          <cell r="C4863" t="str">
            <v>Burrington Church of England Controlled Primary School</v>
          </cell>
          <cell r="D4863" t="str">
            <v>Devon</v>
          </cell>
          <cell r="E4863" t="str">
            <v>Voluntary Controlled School</v>
          </cell>
          <cell r="F4863" t="str">
            <v>Primary</v>
          </cell>
        </row>
        <row r="4864">
          <cell r="A4864">
            <v>8783058</v>
          </cell>
          <cell r="B4864">
            <v>137026</v>
          </cell>
          <cell r="C4864" t="str">
            <v>Burrington Church of England Controlled Primary School</v>
          </cell>
          <cell r="D4864" t="str">
            <v>Devon</v>
          </cell>
          <cell r="E4864" t="str">
            <v>Academy Converters</v>
          </cell>
          <cell r="F4864" t="str">
            <v>Primary</v>
          </cell>
        </row>
        <row r="4865">
          <cell r="A4865">
            <v>8023351</v>
          </cell>
          <cell r="B4865">
            <v>109240</v>
          </cell>
          <cell r="C4865" t="str">
            <v>Burrington Church of England Voluntary Aided Primary School</v>
          </cell>
          <cell r="D4865" t="str">
            <v>North Somerset</v>
          </cell>
          <cell r="E4865" t="str">
            <v>Voluntary Aided School</v>
          </cell>
          <cell r="F4865" t="str">
            <v>Primary</v>
          </cell>
        </row>
        <row r="4866">
          <cell r="A4866">
            <v>8733004</v>
          </cell>
          <cell r="B4866">
            <v>110783</v>
          </cell>
          <cell r="C4866" t="str">
            <v>Burrough Green CofE Primary School</v>
          </cell>
          <cell r="D4866" t="str">
            <v>Cambridgeshire</v>
          </cell>
          <cell r="E4866" t="str">
            <v>Voluntary Controlled School</v>
          </cell>
          <cell r="F4866" t="str">
            <v>Primary</v>
          </cell>
        </row>
        <row r="4867">
          <cell r="A4867">
            <v>2127081</v>
          </cell>
          <cell r="B4867">
            <v>101096</v>
          </cell>
          <cell r="C4867" t="str">
            <v>Burrow Hill School</v>
          </cell>
          <cell r="D4867" t="str">
            <v>Wandsworth</v>
          </cell>
          <cell r="E4867" t="str">
            <v>Community Special School</v>
          </cell>
          <cell r="F4867" t="str">
            <v>Special</v>
          </cell>
        </row>
        <row r="4868">
          <cell r="A4868">
            <v>9333196</v>
          </cell>
          <cell r="B4868">
            <v>123805</v>
          </cell>
          <cell r="C4868" t="str">
            <v>Burrowbridge Church of England Primary School</v>
          </cell>
          <cell r="D4868" t="str">
            <v>Somerset</v>
          </cell>
          <cell r="E4868" t="str">
            <v>Voluntary Controlled School</v>
          </cell>
          <cell r="F4868" t="str">
            <v>Primary</v>
          </cell>
        </row>
        <row r="4869">
          <cell r="A4869">
            <v>8732076</v>
          </cell>
          <cell r="B4869">
            <v>110639</v>
          </cell>
          <cell r="C4869" t="str">
            <v>Burrowmoor Primary School</v>
          </cell>
          <cell r="D4869" t="str">
            <v>Cambridgeshire</v>
          </cell>
          <cell r="E4869" t="str">
            <v>Community School</v>
          </cell>
          <cell r="F4869" t="str">
            <v>Primary</v>
          </cell>
        </row>
        <row r="4870">
          <cell r="A4870">
            <v>8812061</v>
          </cell>
          <cell r="B4870">
            <v>114749</v>
          </cell>
          <cell r="C4870" t="str">
            <v>Burrsville Community Infant School</v>
          </cell>
          <cell r="D4870" t="str">
            <v>Essex</v>
          </cell>
          <cell r="E4870" t="str">
            <v>Community School</v>
          </cell>
          <cell r="F4870" t="str">
            <v>Primary</v>
          </cell>
        </row>
        <row r="4871">
          <cell r="A4871">
            <v>6692381</v>
          </cell>
          <cell r="B4871">
            <v>400839</v>
          </cell>
          <cell r="C4871" t="str">
            <v>Burry Port Infants</v>
          </cell>
          <cell r="D4871" t="str">
            <v>Carmarthenshire</v>
          </cell>
          <cell r="E4871" t="str">
            <v>Welsh Establishment</v>
          </cell>
          <cell r="F4871" t="str">
            <v>Primary</v>
          </cell>
        </row>
        <row r="4872">
          <cell r="A4872">
            <v>6692377</v>
          </cell>
          <cell r="B4872">
            <v>400836</v>
          </cell>
          <cell r="C4872" t="str">
            <v>Burryport Junior School</v>
          </cell>
          <cell r="D4872" t="str">
            <v>Carmarthenshire</v>
          </cell>
          <cell r="E4872" t="str">
            <v>Welsh Establishment</v>
          </cell>
          <cell r="F4872" t="str">
            <v>Primary</v>
          </cell>
        </row>
        <row r="4873">
          <cell r="A4873">
            <v>9202111</v>
          </cell>
          <cell r="B4873">
            <v>129191</v>
          </cell>
          <cell r="C4873" t="str">
            <v>Bursar Infants' School</v>
          </cell>
          <cell r="D4873" t="str">
            <v>Pre LGR (1996) Humberside</v>
          </cell>
          <cell r="E4873" t="str">
            <v>Community School</v>
          </cell>
          <cell r="F4873" t="str">
            <v>Primary</v>
          </cell>
        </row>
        <row r="4874">
          <cell r="A4874">
            <v>9202110</v>
          </cell>
          <cell r="B4874">
            <v>129190</v>
          </cell>
          <cell r="C4874" t="str">
            <v>Bursar Junior School</v>
          </cell>
          <cell r="D4874" t="str">
            <v>Pre LGR (1996) Humberside</v>
          </cell>
          <cell r="E4874" t="str">
            <v>Community School</v>
          </cell>
          <cell r="F4874" t="str">
            <v>Primary</v>
          </cell>
        </row>
        <row r="4875">
          <cell r="A4875">
            <v>8122943</v>
          </cell>
          <cell r="B4875">
            <v>117968</v>
          </cell>
          <cell r="C4875" t="str">
            <v>Bursar Primary School</v>
          </cell>
          <cell r="D4875" t="str">
            <v>North East Lincolnshire</v>
          </cell>
          <cell r="E4875" t="str">
            <v>Community School</v>
          </cell>
          <cell r="F4875" t="str">
            <v>Primary</v>
          </cell>
        </row>
        <row r="4876">
          <cell r="A4876">
            <v>8883146</v>
          </cell>
          <cell r="B4876">
            <v>119402</v>
          </cell>
          <cell r="C4876" t="str">
            <v>Burscough Bridge Methodist School</v>
          </cell>
          <cell r="D4876" t="str">
            <v>Lancashire</v>
          </cell>
          <cell r="E4876" t="str">
            <v>Voluntary Controlled School</v>
          </cell>
          <cell r="F4876" t="str">
            <v>Primary</v>
          </cell>
        </row>
        <row r="4877">
          <cell r="A4877">
            <v>8883078</v>
          </cell>
          <cell r="B4877">
            <v>119376</v>
          </cell>
          <cell r="C4877" t="str">
            <v>Burscough Bridge St John's Church of England Primary School</v>
          </cell>
          <cell r="D4877" t="str">
            <v>Lancashire</v>
          </cell>
          <cell r="E4877" t="str">
            <v>Voluntary Controlled School</v>
          </cell>
          <cell r="F4877" t="str">
            <v>Primary</v>
          </cell>
        </row>
        <row r="4878">
          <cell r="A4878">
            <v>8883424</v>
          </cell>
          <cell r="B4878">
            <v>119481</v>
          </cell>
          <cell r="C4878" t="str">
            <v>Burscough Lordsgate Township Church of England Primary School</v>
          </cell>
          <cell r="D4878" t="str">
            <v>Lancashire</v>
          </cell>
          <cell r="E4878" t="str">
            <v>Voluntary Aided School</v>
          </cell>
          <cell r="F4878" t="str">
            <v>Primary</v>
          </cell>
        </row>
        <row r="4879">
          <cell r="A4879">
            <v>8884159</v>
          </cell>
          <cell r="B4879">
            <v>119746</v>
          </cell>
          <cell r="C4879" t="str">
            <v>Burscough Priory Science College</v>
          </cell>
          <cell r="D4879" t="str">
            <v>Lancashire</v>
          </cell>
          <cell r="E4879" t="str">
            <v>Community School</v>
          </cell>
          <cell r="F4879" t="str">
            <v>Secondary</v>
          </cell>
        </row>
        <row r="4880">
          <cell r="A4880">
            <v>8882695</v>
          </cell>
          <cell r="B4880">
            <v>119328</v>
          </cell>
          <cell r="C4880" t="str">
            <v>Burscough Village Primary School</v>
          </cell>
          <cell r="D4880" t="str">
            <v>Lancashire</v>
          </cell>
          <cell r="E4880" t="str">
            <v>Community School</v>
          </cell>
          <cell r="F4880" t="str">
            <v>Primary</v>
          </cell>
        </row>
        <row r="4881">
          <cell r="A4881">
            <v>8503020</v>
          </cell>
          <cell r="B4881">
            <v>116277</v>
          </cell>
          <cell r="C4881" t="str">
            <v>Bursledon Church of England Infant School</v>
          </cell>
          <cell r="D4881" t="str">
            <v>Hampshire</v>
          </cell>
          <cell r="E4881" t="str">
            <v>Voluntary Controlled School</v>
          </cell>
          <cell r="F4881" t="str">
            <v>Primary</v>
          </cell>
        </row>
        <row r="4882">
          <cell r="A4882">
            <v>9177000</v>
          </cell>
          <cell r="B4882">
            <v>129068</v>
          </cell>
          <cell r="C4882" t="str">
            <v>Bursledon Hospital School</v>
          </cell>
          <cell r="D4882" t="str">
            <v>Pre LGR (1997) Hampshire</v>
          </cell>
          <cell r="E4882" t="str">
            <v>Community Special School</v>
          </cell>
          <cell r="F4882" t="str">
            <v>Special</v>
          </cell>
        </row>
        <row r="4883">
          <cell r="A4883">
            <v>8502304</v>
          </cell>
          <cell r="B4883">
            <v>116027</v>
          </cell>
          <cell r="C4883" t="str">
            <v>Bursledon Junior School</v>
          </cell>
          <cell r="D4883" t="str">
            <v>Hampshire</v>
          </cell>
          <cell r="E4883" t="str">
            <v>Community School</v>
          </cell>
          <cell r="F4883" t="str">
            <v>Primary</v>
          </cell>
        </row>
        <row r="4884">
          <cell r="A4884">
            <v>8602242</v>
          </cell>
          <cell r="B4884">
            <v>124107</v>
          </cell>
          <cell r="C4884" t="str">
            <v>Bursley Primary School</v>
          </cell>
          <cell r="D4884" t="str">
            <v>Staffordshire</v>
          </cell>
          <cell r="E4884" t="str">
            <v>Community School</v>
          </cell>
          <cell r="F4884" t="str">
            <v>Primary</v>
          </cell>
        </row>
        <row r="4885">
          <cell r="A4885">
            <v>3032058</v>
          </cell>
          <cell r="B4885">
            <v>101436</v>
          </cell>
          <cell r="C4885" t="str">
            <v>Bursted Wood Primary School</v>
          </cell>
          <cell r="D4885" t="str">
            <v>Bexley</v>
          </cell>
          <cell r="E4885" t="str">
            <v>Community School</v>
          </cell>
          <cell r="F4885" t="str">
            <v>Primary</v>
          </cell>
        </row>
        <row r="4886">
          <cell r="A4886">
            <v>9262031</v>
          </cell>
          <cell r="B4886">
            <v>120793</v>
          </cell>
          <cell r="C4886" t="str">
            <v>Burston Community Primary School</v>
          </cell>
          <cell r="D4886" t="str">
            <v>Norfolk</v>
          </cell>
          <cell r="E4886" t="str">
            <v>Community School</v>
          </cell>
          <cell r="F4886" t="str">
            <v>Primary</v>
          </cell>
        </row>
        <row r="4887">
          <cell r="A4887">
            <v>9365210</v>
          </cell>
          <cell r="B4887">
            <v>125292</v>
          </cell>
          <cell r="C4887" t="str">
            <v>Burstow Primary School</v>
          </cell>
          <cell r="D4887" t="str">
            <v>Surrey</v>
          </cell>
          <cell r="E4887" t="str">
            <v>Foundation School</v>
          </cell>
          <cell r="F4887" t="str">
            <v>Primary</v>
          </cell>
        </row>
        <row r="4888">
          <cell r="A4888">
            <v>8112715</v>
          </cell>
          <cell r="B4888">
            <v>117838</v>
          </cell>
          <cell r="C4888" t="str">
            <v>Burstwick Community Primary School</v>
          </cell>
          <cell r="D4888" t="str">
            <v>East Riding of Yorkshire</v>
          </cell>
          <cell r="E4888" t="str">
            <v>Community School</v>
          </cell>
          <cell r="F4888" t="str">
            <v>Primary</v>
          </cell>
        </row>
        <row r="4889">
          <cell r="A4889">
            <v>8113018</v>
          </cell>
          <cell r="B4889">
            <v>117973</v>
          </cell>
          <cell r="C4889" t="str">
            <v>Burton Agnes Church of England Voluntary Controlled Primary School</v>
          </cell>
          <cell r="D4889" t="str">
            <v>East Riding of Yorkshire</v>
          </cell>
          <cell r="E4889" t="str">
            <v>Voluntary Controlled School</v>
          </cell>
          <cell r="F4889" t="str">
            <v>Primary</v>
          </cell>
        </row>
        <row r="4890">
          <cell r="A4890">
            <v>860940</v>
          </cell>
          <cell r="B4890">
            <v>134953</v>
          </cell>
          <cell r="C4890" t="str">
            <v>Burton Albion Study Centre</v>
          </cell>
          <cell r="D4890" t="str">
            <v>Staffordshire</v>
          </cell>
          <cell r="E4890" t="str">
            <v>Playing for Success Centres</v>
          </cell>
          <cell r="F4890" t="str">
            <v>Not applicable</v>
          </cell>
        </row>
        <row r="4891">
          <cell r="A4891">
            <v>8608007</v>
          </cell>
          <cell r="B4891">
            <v>130809</v>
          </cell>
          <cell r="C4891" t="str">
            <v>Burton and South Derbyshire College</v>
          </cell>
          <cell r="D4891" t="str">
            <v>Staffordshire</v>
          </cell>
          <cell r="E4891" t="str">
            <v>Further Education</v>
          </cell>
          <cell r="F4891" t="str">
            <v>16 Plus</v>
          </cell>
        </row>
        <row r="4892">
          <cell r="A4892">
            <v>8353007</v>
          </cell>
          <cell r="B4892">
            <v>113758</v>
          </cell>
          <cell r="C4892" t="str">
            <v>Burton Bradstock Church of England Voluntary Controlled School</v>
          </cell>
          <cell r="D4892" t="str">
            <v>Dorset</v>
          </cell>
          <cell r="E4892" t="str">
            <v>Voluntary Controlled School</v>
          </cell>
          <cell r="F4892" t="str">
            <v>Primary</v>
          </cell>
        </row>
        <row r="4893">
          <cell r="A4893">
            <v>8353207</v>
          </cell>
          <cell r="B4893">
            <v>113789</v>
          </cell>
          <cell r="C4893" t="str">
            <v>Burton Church of England Primary School</v>
          </cell>
          <cell r="D4893" t="str">
            <v>Dorset</v>
          </cell>
          <cell r="E4893" t="str">
            <v>Voluntary Controlled School</v>
          </cell>
          <cell r="F4893" t="str">
            <v>Primary</v>
          </cell>
        </row>
        <row r="4894">
          <cell r="A4894">
            <v>9352040</v>
          </cell>
          <cell r="B4894">
            <v>124557</v>
          </cell>
          <cell r="C4894" t="str">
            <v>Burton End Community Primary School</v>
          </cell>
          <cell r="D4894" t="str">
            <v>Suffolk</v>
          </cell>
          <cell r="E4894" t="str">
            <v>Community School</v>
          </cell>
          <cell r="F4894" t="str">
            <v>Primary</v>
          </cell>
        </row>
        <row r="4895">
          <cell r="A4895">
            <v>3701000</v>
          </cell>
          <cell r="B4895">
            <v>106551</v>
          </cell>
          <cell r="C4895" t="str">
            <v>Burton Grange Children's Centre</v>
          </cell>
          <cell r="D4895" t="str">
            <v>Barnsley</v>
          </cell>
          <cell r="E4895" t="str">
            <v>LA Nursery School</v>
          </cell>
          <cell r="F4895" t="str">
            <v>Nursery</v>
          </cell>
        </row>
        <row r="4896">
          <cell r="A4896">
            <v>9373143</v>
          </cell>
          <cell r="B4896">
            <v>125659</v>
          </cell>
          <cell r="C4896" t="str">
            <v>Burton Green CofE Primary School</v>
          </cell>
          <cell r="D4896" t="str">
            <v>Warwickshire</v>
          </cell>
          <cell r="E4896" t="str">
            <v>Voluntary Controlled School</v>
          </cell>
          <cell r="F4896" t="str">
            <v>Primary</v>
          </cell>
        </row>
        <row r="4897">
          <cell r="A4897">
            <v>8162024</v>
          </cell>
          <cell r="B4897">
            <v>121287</v>
          </cell>
          <cell r="C4897" t="str">
            <v>Burton Green Primary School</v>
          </cell>
          <cell r="D4897" t="str">
            <v>York</v>
          </cell>
          <cell r="E4897" t="str">
            <v>Community School</v>
          </cell>
          <cell r="F4897" t="str">
            <v>Primary</v>
          </cell>
        </row>
        <row r="4898">
          <cell r="A4898">
            <v>8657001</v>
          </cell>
          <cell r="B4898">
            <v>126545</v>
          </cell>
          <cell r="C4898" t="str">
            <v>Burton Hill School</v>
          </cell>
          <cell r="D4898" t="str">
            <v>Wiltshire</v>
          </cell>
          <cell r="E4898" t="str">
            <v>Non-Maintained Special School</v>
          </cell>
          <cell r="F4898" t="str">
            <v>Special</v>
          </cell>
        </row>
        <row r="4899">
          <cell r="A4899">
            <v>8912699</v>
          </cell>
          <cell r="B4899">
            <v>122624</v>
          </cell>
          <cell r="C4899" t="str">
            <v>Burton Joyce Primary School</v>
          </cell>
          <cell r="D4899" t="str">
            <v>Nottinghamshire</v>
          </cell>
          <cell r="E4899" t="str">
            <v>Community School</v>
          </cell>
          <cell r="F4899" t="str">
            <v>Primary</v>
          </cell>
        </row>
        <row r="4900">
          <cell r="A4900">
            <v>8153232</v>
          </cell>
          <cell r="B4900">
            <v>121555</v>
          </cell>
          <cell r="C4900" t="str">
            <v>Burton Leonard Church of England Primary School</v>
          </cell>
          <cell r="D4900" t="str">
            <v>North Yorkshire</v>
          </cell>
          <cell r="E4900" t="str">
            <v>Voluntary Controlled School</v>
          </cell>
          <cell r="F4900" t="str">
            <v>Primary</v>
          </cell>
        </row>
        <row r="4901">
          <cell r="A4901">
            <v>9342279</v>
          </cell>
          <cell r="B4901">
            <v>129890</v>
          </cell>
          <cell r="C4901" t="str">
            <v>Burton Manor First School</v>
          </cell>
          <cell r="D4901" t="str">
            <v>Pre LGR (1997) Staffordshire</v>
          </cell>
          <cell r="E4901" t="str">
            <v>Community School</v>
          </cell>
          <cell r="F4901" t="str">
            <v>Primary</v>
          </cell>
        </row>
        <row r="4902">
          <cell r="A4902">
            <v>8602406</v>
          </cell>
          <cell r="B4902">
            <v>124202</v>
          </cell>
          <cell r="C4902" t="str">
            <v>Burton Manor Primary School</v>
          </cell>
          <cell r="D4902" t="str">
            <v>Staffordshire</v>
          </cell>
          <cell r="E4902" t="str">
            <v>Community School</v>
          </cell>
          <cell r="F4902" t="str">
            <v>Primary</v>
          </cell>
        </row>
        <row r="4903">
          <cell r="A4903">
            <v>9093052</v>
          </cell>
          <cell r="B4903">
            <v>112261</v>
          </cell>
          <cell r="C4903" t="str">
            <v>Burton Morewood CofE Primary School</v>
          </cell>
          <cell r="D4903" t="str">
            <v>Cumbria</v>
          </cell>
          <cell r="E4903" t="str">
            <v>Voluntary Controlled School</v>
          </cell>
          <cell r="F4903" t="str">
            <v>Primary</v>
          </cell>
        </row>
        <row r="4904">
          <cell r="A4904">
            <v>9093052</v>
          </cell>
          <cell r="B4904">
            <v>137537</v>
          </cell>
          <cell r="C4904" t="str">
            <v>Burton Morewood CofE Primary School</v>
          </cell>
          <cell r="D4904" t="str">
            <v>Cumbria</v>
          </cell>
          <cell r="E4904" t="str">
            <v>Academy Converters</v>
          </cell>
          <cell r="F4904" t="str">
            <v>Primary</v>
          </cell>
        </row>
        <row r="4905">
          <cell r="A4905">
            <v>8112718</v>
          </cell>
          <cell r="B4905">
            <v>117839</v>
          </cell>
          <cell r="C4905" t="str">
            <v>Burton Pidsea Primary School</v>
          </cell>
          <cell r="D4905" t="str">
            <v>East Riding of Yorkshire</v>
          </cell>
          <cell r="E4905" t="str">
            <v>Community School</v>
          </cell>
          <cell r="F4905" t="str">
            <v>Primary</v>
          </cell>
        </row>
        <row r="4906">
          <cell r="A4906">
            <v>8601111</v>
          </cell>
          <cell r="B4906">
            <v>134880</v>
          </cell>
          <cell r="C4906" t="str">
            <v>Burton PRU</v>
          </cell>
          <cell r="D4906" t="str">
            <v>Staffordshire</v>
          </cell>
          <cell r="E4906" t="str">
            <v>Pupil Referral Unit</v>
          </cell>
          <cell r="F4906" t="str">
            <v>PRU</v>
          </cell>
        </row>
        <row r="4907">
          <cell r="A4907">
            <v>3702009</v>
          </cell>
          <cell r="B4907">
            <v>106557</v>
          </cell>
          <cell r="C4907" t="str">
            <v>Burton Road Primary School</v>
          </cell>
          <cell r="D4907" t="str">
            <v>Barnsley</v>
          </cell>
          <cell r="E4907" t="str">
            <v>Community School</v>
          </cell>
          <cell r="F4907" t="str">
            <v>Primary</v>
          </cell>
        </row>
        <row r="4908">
          <cell r="A4908">
            <v>8152312</v>
          </cell>
          <cell r="B4908">
            <v>121385</v>
          </cell>
          <cell r="C4908" t="str">
            <v>Burton Salmon Community Primary School</v>
          </cell>
          <cell r="D4908" t="str">
            <v>North Yorkshire</v>
          </cell>
          <cell r="E4908" t="str">
            <v>Community School</v>
          </cell>
          <cell r="F4908" t="str">
            <v>Primary</v>
          </cell>
        </row>
        <row r="4909">
          <cell r="A4909">
            <v>6683034</v>
          </cell>
          <cell r="B4909">
            <v>400704</v>
          </cell>
          <cell r="C4909" t="str">
            <v>Burton V.C.P. School</v>
          </cell>
          <cell r="D4909" t="str">
            <v>Pembrokeshire</v>
          </cell>
          <cell r="E4909" t="str">
            <v>Welsh Establishment</v>
          </cell>
          <cell r="F4909" t="str">
            <v>Primary</v>
          </cell>
        </row>
        <row r="4910">
          <cell r="A4910">
            <v>8552019</v>
          </cell>
          <cell r="B4910">
            <v>119912</v>
          </cell>
          <cell r="C4910" t="str">
            <v>Burton-on-the-Wolds Primary School</v>
          </cell>
          <cell r="D4910" t="str">
            <v>Leicestershire</v>
          </cell>
          <cell r="E4910" t="str">
            <v>Community School</v>
          </cell>
          <cell r="F4910" t="str">
            <v>Primary</v>
          </cell>
        </row>
        <row r="4911">
          <cell r="A4911">
            <v>3342093</v>
          </cell>
          <cell r="B4911">
            <v>104082</v>
          </cell>
          <cell r="C4911" t="str">
            <v>Burtons Farm Primary School</v>
          </cell>
          <cell r="D4911" t="str">
            <v>Solihull</v>
          </cell>
          <cell r="E4911" t="str">
            <v>Community School</v>
          </cell>
          <cell r="F4911" t="str">
            <v>Primary</v>
          </cell>
        </row>
        <row r="4912">
          <cell r="A4912">
            <v>8132108</v>
          </cell>
          <cell r="B4912">
            <v>117730</v>
          </cell>
          <cell r="C4912" t="str">
            <v>Burton-upon-Stather Primary School</v>
          </cell>
          <cell r="D4912" t="str">
            <v>North Lincolnshire</v>
          </cell>
          <cell r="E4912" t="str">
            <v>Community School</v>
          </cell>
          <cell r="F4912" t="str">
            <v>Primary</v>
          </cell>
        </row>
        <row r="4913">
          <cell r="A4913">
            <v>8772400</v>
          </cell>
          <cell r="B4913">
            <v>111178</v>
          </cell>
          <cell r="C4913" t="str">
            <v>Burtonwood Community Primary School</v>
          </cell>
          <cell r="D4913" t="str">
            <v>Warrington</v>
          </cell>
          <cell r="E4913" t="str">
            <v>Community School</v>
          </cell>
          <cell r="F4913" t="str">
            <v>Primary</v>
          </cell>
        </row>
        <row r="4914">
          <cell r="A4914">
            <v>9323308</v>
          </cell>
          <cell r="B4914">
            <v>129805</v>
          </cell>
          <cell r="C4914" t="str">
            <v>Burwarton CofE Primary School</v>
          </cell>
          <cell r="D4914" t="str">
            <v>Pre LGR (1998) Shropshire</v>
          </cell>
          <cell r="E4914" t="str">
            <v>Voluntary Aided School</v>
          </cell>
          <cell r="F4914" t="str">
            <v>Primary</v>
          </cell>
        </row>
        <row r="4915">
          <cell r="A4915">
            <v>8453009</v>
          </cell>
          <cell r="B4915">
            <v>114492</v>
          </cell>
          <cell r="C4915" t="str">
            <v>Burwash CofE School</v>
          </cell>
          <cell r="D4915" t="str">
            <v>East Sussex</v>
          </cell>
          <cell r="E4915" t="str">
            <v>Voluntary Controlled School</v>
          </cell>
          <cell r="F4915" t="str">
            <v>Primary</v>
          </cell>
        </row>
        <row r="4916">
          <cell r="A4916">
            <v>8732327</v>
          </cell>
          <cell r="B4916">
            <v>110758</v>
          </cell>
          <cell r="C4916" t="str">
            <v>Burwell Village College (Primary)</v>
          </cell>
          <cell r="D4916" t="str">
            <v>Cambridgeshire</v>
          </cell>
          <cell r="E4916" t="str">
            <v>Community School</v>
          </cell>
          <cell r="F4916" t="str">
            <v>Primary</v>
          </cell>
        </row>
        <row r="4917">
          <cell r="A4917">
            <v>9367021</v>
          </cell>
          <cell r="B4917">
            <v>125460</v>
          </cell>
          <cell r="C4917" t="str">
            <v>Burwood Park School and College</v>
          </cell>
          <cell r="D4917" t="str">
            <v>Surrey</v>
          </cell>
          <cell r="E4917" t="str">
            <v>Non-Maintained Special School</v>
          </cell>
          <cell r="F4917" t="str">
            <v>Special</v>
          </cell>
        </row>
        <row r="4918">
          <cell r="A4918">
            <v>3057011</v>
          </cell>
          <cell r="B4918">
            <v>132008</v>
          </cell>
          <cell r="C4918" t="str">
            <v>Burwood School</v>
          </cell>
          <cell r="D4918" t="str">
            <v>Bromley</v>
          </cell>
          <cell r="E4918" t="str">
            <v>Community Special School</v>
          </cell>
          <cell r="F4918" t="str">
            <v>Special</v>
          </cell>
        </row>
        <row r="4919">
          <cell r="A4919">
            <v>3513349</v>
          </cell>
          <cell r="B4919">
            <v>105352</v>
          </cell>
          <cell r="C4919" t="str">
            <v>Bury and Whitefield Jewish Primary School</v>
          </cell>
          <cell r="D4919" t="str">
            <v>Bury</v>
          </cell>
          <cell r="E4919" t="str">
            <v>Voluntary Aided School</v>
          </cell>
          <cell r="F4919" t="str">
            <v>Primary</v>
          </cell>
        </row>
        <row r="4920">
          <cell r="A4920">
            <v>3516000</v>
          </cell>
          <cell r="B4920">
            <v>105369</v>
          </cell>
          <cell r="C4920" t="str">
            <v>Bury Catholic Preparatory School</v>
          </cell>
          <cell r="D4920" t="str">
            <v>Bury</v>
          </cell>
          <cell r="E4920" t="str">
            <v>Other Independent School</v>
          </cell>
          <cell r="F4920" t="str">
            <v>Not applicable</v>
          </cell>
        </row>
        <row r="4921">
          <cell r="A4921">
            <v>3514603</v>
          </cell>
          <cell r="B4921">
            <v>105365</v>
          </cell>
          <cell r="C4921" t="str">
            <v>Bury Church of England High School</v>
          </cell>
          <cell r="D4921" t="str">
            <v>Bury</v>
          </cell>
          <cell r="E4921" t="str">
            <v>Voluntary Aided School</v>
          </cell>
          <cell r="F4921" t="str">
            <v>Secondary</v>
          </cell>
        </row>
        <row r="4922">
          <cell r="A4922">
            <v>8733367</v>
          </cell>
          <cell r="B4922">
            <v>110846</v>
          </cell>
          <cell r="C4922" t="str">
            <v>Bury CofE Primary School</v>
          </cell>
          <cell r="D4922" t="str">
            <v>Cambridgeshire</v>
          </cell>
          <cell r="E4922" t="str">
            <v>Voluntary Aided School</v>
          </cell>
          <cell r="F4922" t="str">
            <v>Primary</v>
          </cell>
        </row>
        <row r="4923">
          <cell r="A4923">
            <v>9383304</v>
          </cell>
          <cell r="B4923">
            <v>126022</v>
          </cell>
          <cell r="C4923" t="str">
            <v>Bury CofE Primary School</v>
          </cell>
          <cell r="D4923" t="str">
            <v>West Sussex</v>
          </cell>
          <cell r="E4923" t="str">
            <v>Voluntary Aided School</v>
          </cell>
          <cell r="F4923" t="str">
            <v>Primary</v>
          </cell>
        </row>
        <row r="4924">
          <cell r="A4924">
            <v>3518000</v>
          </cell>
          <cell r="B4924">
            <v>130498</v>
          </cell>
          <cell r="C4924" t="str">
            <v>Bury College</v>
          </cell>
          <cell r="D4924" t="str">
            <v>Bury</v>
          </cell>
          <cell r="E4924" t="str">
            <v>Further Education</v>
          </cell>
          <cell r="F4924" t="str">
            <v>16 Plus</v>
          </cell>
        </row>
        <row r="4925">
          <cell r="A4925">
            <v>3516008</v>
          </cell>
          <cell r="B4925">
            <v>105373</v>
          </cell>
          <cell r="C4925" t="str">
            <v>Bury Grammar School Boys</v>
          </cell>
          <cell r="D4925" t="str">
            <v>Bury</v>
          </cell>
          <cell r="E4925" t="str">
            <v>Other Independent School</v>
          </cell>
          <cell r="F4925" t="str">
            <v>Not applicable</v>
          </cell>
        </row>
        <row r="4926">
          <cell r="A4926">
            <v>3516009</v>
          </cell>
          <cell r="B4926">
            <v>105374</v>
          </cell>
          <cell r="C4926" t="str">
            <v>Bury Grammar School Girls</v>
          </cell>
          <cell r="D4926" t="str">
            <v>Bury</v>
          </cell>
          <cell r="E4926" t="str">
            <v>Other Independent School</v>
          </cell>
          <cell r="F4926" t="str">
            <v>Not applicable</v>
          </cell>
        </row>
        <row r="4927">
          <cell r="A4927">
            <v>9026069</v>
          </cell>
          <cell r="B4927">
            <v>109733</v>
          </cell>
          <cell r="C4927" t="str">
            <v>Bury Lawn School</v>
          </cell>
          <cell r="D4927" t="str">
            <v>Pre LGR (1997) Bedfordshire</v>
          </cell>
          <cell r="E4927" t="str">
            <v>Other Independent School</v>
          </cell>
          <cell r="F4927" t="str">
            <v>Not applicable</v>
          </cell>
        </row>
        <row r="4928">
          <cell r="A4928">
            <v>8266001</v>
          </cell>
          <cell r="B4928">
            <v>110567</v>
          </cell>
          <cell r="C4928" t="str">
            <v>Bury Lawn School</v>
          </cell>
          <cell r="D4928" t="str">
            <v>Milton Keynes</v>
          </cell>
          <cell r="E4928" t="str">
            <v>Other Independent School</v>
          </cell>
          <cell r="F4928" t="str">
            <v>Not applicable</v>
          </cell>
        </row>
        <row r="4929">
          <cell r="A4929">
            <v>8216007</v>
          </cell>
          <cell r="B4929">
            <v>134807</v>
          </cell>
          <cell r="C4929" t="str">
            <v>Bury Park Educational Institute  (Al - Hikmah Secondary School)</v>
          </cell>
          <cell r="D4929" t="str">
            <v>Luton</v>
          </cell>
          <cell r="E4929" t="str">
            <v>Other Independent School</v>
          </cell>
          <cell r="F4929" t="str">
            <v>Not applicable</v>
          </cell>
        </row>
        <row r="4930">
          <cell r="A4930">
            <v>3546201</v>
          </cell>
          <cell r="B4930">
            <v>135871</v>
          </cell>
          <cell r="C4930" t="str">
            <v>Bury Road School</v>
          </cell>
          <cell r="D4930" t="str">
            <v>Rochdale</v>
          </cell>
          <cell r="E4930" t="str">
            <v>Other Independent Special School</v>
          </cell>
          <cell r="F4930" t="str">
            <v>Not applicable</v>
          </cell>
        </row>
        <row r="4931">
          <cell r="A4931">
            <v>9354000</v>
          </cell>
          <cell r="B4931">
            <v>124787</v>
          </cell>
          <cell r="C4931" t="str">
            <v>Bury St Edmunds County Upper School</v>
          </cell>
          <cell r="D4931" t="str">
            <v>Suffolk</v>
          </cell>
          <cell r="E4931" t="str">
            <v>Community School</v>
          </cell>
          <cell r="F4931" t="str">
            <v>Secondary</v>
          </cell>
        </row>
        <row r="4932">
          <cell r="A4932">
            <v>9354000</v>
          </cell>
          <cell r="B4932">
            <v>136990</v>
          </cell>
          <cell r="C4932" t="str">
            <v>Bury St Edmunds County Upper School</v>
          </cell>
          <cell r="D4932" t="str">
            <v>Suffolk</v>
          </cell>
          <cell r="E4932" t="str">
            <v>Academy Converters</v>
          </cell>
          <cell r="F4932" t="str">
            <v>Secondary</v>
          </cell>
        </row>
        <row r="4933">
          <cell r="A4933">
            <v>9192267</v>
          </cell>
          <cell r="B4933">
            <v>117246</v>
          </cell>
          <cell r="C4933" t="str">
            <v>Burydale Junior School</v>
          </cell>
          <cell r="D4933" t="str">
            <v>Hertfordshire</v>
          </cell>
          <cell r="E4933" t="str">
            <v>Community School</v>
          </cell>
          <cell r="F4933" t="str">
            <v>Primary</v>
          </cell>
        </row>
        <row r="4934">
          <cell r="A4934">
            <v>8502155</v>
          </cell>
          <cell r="B4934">
            <v>115933</v>
          </cell>
          <cell r="C4934" t="str">
            <v>Buryfields Infant School</v>
          </cell>
          <cell r="D4934" t="str">
            <v>Hampshire</v>
          </cell>
          <cell r="E4934" t="str">
            <v>Community School</v>
          </cell>
          <cell r="F4934" t="str">
            <v>Primary</v>
          </cell>
        </row>
        <row r="4935">
          <cell r="A4935">
            <v>9363350</v>
          </cell>
          <cell r="B4935">
            <v>125186</v>
          </cell>
          <cell r="C4935" t="str">
            <v>Busbridge CofE Aided Junior School</v>
          </cell>
          <cell r="D4935" t="str">
            <v>Surrey</v>
          </cell>
          <cell r="E4935" t="str">
            <v>Voluntary Aided School</v>
          </cell>
          <cell r="F4935" t="str">
            <v>Primary</v>
          </cell>
        </row>
        <row r="4936">
          <cell r="A4936">
            <v>9362917</v>
          </cell>
          <cell r="B4936">
            <v>125099</v>
          </cell>
          <cell r="C4936" t="str">
            <v>Busbridge Infant School</v>
          </cell>
          <cell r="D4936" t="str">
            <v>Surrey</v>
          </cell>
          <cell r="E4936" t="str">
            <v>Community School</v>
          </cell>
          <cell r="F4936" t="str">
            <v>Primary</v>
          </cell>
        </row>
        <row r="4937">
          <cell r="A4937">
            <v>3137000</v>
          </cell>
          <cell r="B4937">
            <v>126946</v>
          </cell>
          <cell r="C4937" t="str">
            <v>Busch House School</v>
          </cell>
          <cell r="D4937" t="str">
            <v>Hounslow</v>
          </cell>
          <cell r="E4937" t="str">
            <v>Community Special School</v>
          </cell>
          <cell r="F4937" t="str">
            <v>Special</v>
          </cell>
        </row>
        <row r="4938">
          <cell r="A4938">
            <v>9366439</v>
          </cell>
          <cell r="B4938">
            <v>130121</v>
          </cell>
          <cell r="C4938" t="str">
            <v>Bush Davies School</v>
          </cell>
          <cell r="D4938" t="str">
            <v>Surrey</v>
          </cell>
          <cell r="E4938" t="str">
            <v>Other Independent School</v>
          </cell>
          <cell r="F4938" t="str">
            <v>Not applicable</v>
          </cell>
        </row>
        <row r="4939">
          <cell r="A4939">
            <v>3082008</v>
          </cell>
          <cell r="B4939">
            <v>126885</v>
          </cell>
          <cell r="C4939" t="str">
            <v>Bush Hill Park Infant School</v>
          </cell>
          <cell r="D4939" t="str">
            <v>Enfield</v>
          </cell>
          <cell r="E4939" t="str">
            <v>Community School</v>
          </cell>
          <cell r="F4939" t="str">
            <v>Primary</v>
          </cell>
        </row>
        <row r="4940">
          <cell r="A4940">
            <v>3082007</v>
          </cell>
          <cell r="B4940">
            <v>126884</v>
          </cell>
          <cell r="C4940" t="str">
            <v>Bush Hill Park Junior School</v>
          </cell>
          <cell r="D4940" t="str">
            <v>Enfield</v>
          </cell>
          <cell r="E4940" t="str">
            <v>Community School</v>
          </cell>
          <cell r="F4940" t="str">
            <v>Primary</v>
          </cell>
        </row>
        <row r="4941">
          <cell r="A4941">
            <v>3082084</v>
          </cell>
          <cell r="B4941">
            <v>102024</v>
          </cell>
          <cell r="C4941" t="str">
            <v>Bush Hill Park Primary School</v>
          </cell>
          <cell r="D4941" t="str">
            <v>Enfield</v>
          </cell>
          <cell r="E4941" t="str">
            <v>Community School</v>
          </cell>
          <cell r="F4941" t="str">
            <v>Primary</v>
          </cell>
        </row>
        <row r="4942">
          <cell r="A4942">
            <v>3362002</v>
          </cell>
          <cell r="B4942">
            <v>104289</v>
          </cell>
          <cell r="C4942" t="str">
            <v>Bushbury Hill Junior School</v>
          </cell>
          <cell r="D4942" t="str">
            <v>Wolverhampton</v>
          </cell>
          <cell r="E4942" t="str">
            <v>Community School</v>
          </cell>
          <cell r="F4942" t="str">
            <v>Primary</v>
          </cell>
        </row>
        <row r="4943">
          <cell r="A4943">
            <v>3362003</v>
          </cell>
          <cell r="B4943">
            <v>104290</v>
          </cell>
          <cell r="C4943" t="str">
            <v>Bushbury Hill Primary School</v>
          </cell>
          <cell r="D4943" t="str">
            <v>Wolverhampton</v>
          </cell>
          <cell r="E4943" t="str">
            <v>Community School</v>
          </cell>
          <cell r="F4943" t="str">
            <v>Primary</v>
          </cell>
        </row>
        <row r="4944">
          <cell r="A4944">
            <v>3361009</v>
          </cell>
          <cell r="B4944">
            <v>104285</v>
          </cell>
          <cell r="C4944" t="str">
            <v>Bushbury Nursery School</v>
          </cell>
          <cell r="D4944" t="str">
            <v>Wolverhampton</v>
          </cell>
          <cell r="E4944" t="str">
            <v>LA Nursery School</v>
          </cell>
          <cell r="F4944" t="str">
            <v>Nursery</v>
          </cell>
        </row>
        <row r="4945">
          <cell r="A4945">
            <v>9192117</v>
          </cell>
          <cell r="B4945">
            <v>117157</v>
          </cell>
          <cell r="C4945" t="str">
            <v>Bushey and Oxhey Infant School</v>
          </cell>
          <cell r="D4945" t="str">
            <v>Hertfordshire</v>
          </cell>
          <cell r="E4945" t="str">
            <v>Community School</v>
          </cell>
          <cell r="F4945" t="str">
            <v>Primary</v>
          </cell>
        </row>
        <row r="4946">
          <cell r="A4946">
            <v>3154033</v>
          </cell>
          <cell r="B4946">
            <v>126956</v>
          </cell>
          <cell r="C4946" t="str">
            <v>Bushey County Middle School</v>
          </cell>
          <cell r="D4946" t="str">
            <v>Merton</v>
          </cell>
          <cell r="E4946" t="str">
            <v>Community School</v>
          </cell>
          <cell r="F4946" t="str">
            <v>Middle Deemed Secondary</v>
          </cell>
        </row>
        <row r="4947">
          <cell r="A4947">
            <v>3152053</v>
          </cell>
          <cell r="B4947">
            <v>102627</v>
          </cell>
          <cell r="C4947" t="str">
            <v>Bushey First School</v>
          </cell>
          <cell r="D4947" t="str">
            <v>Merton</v>
          </cell>
          <cell r="E4947" t="str">
            <v>Community School</v>
          </cell>
          <cell r="F4947" t="str">
            <v>Primary</v>
          </cell>
        </row>
        <row r="4948">
          <cell r="A4948">
            <v>9195409</v>
          </cell>
          <cell r="B4948">
            <v>117581</v>
          </cell>
          <cell r="C4948" t="str">
            <v>Bushey Hall School</v>
          </cell>
          <cell r="D4948" t="str">
            <v>Hertfordshire</v>
          </cell>
          <cell r="E4948" t="str">
            <v>Foundation School</v>
          </cell>
          <cell r="F4948" t="str">
            <v>Secondary</v>
          </cell>
        </row>
        <row r="4949">
          <cell r="A4949">
            <v>9192012</v>
          </cell>
          <cell r="B4949">
            <v>117088</v>
          </cell>
          <cell r="C4949" t="str">
            <v>Bushey Heath Primary School</v>
          </cell>
          <cell r="D4949" t="str">
            <v>Hertfordshire</v>
          </cell>
          <cell r="E4949" t="str">
            <v>Community School</v>
          </cell>
          <cell r="F4949" t="str">
            <v>Primary</v>
          </cell>
        </row>
        <row r="4950">
          <cell r="A4950">
            <v>3423104</v>
          </cell>
          <cell r="B4950">
            <v>127343</v>
          </cell>
          <cell r="C4950" t="str">
            <v>Bushey Lane CofE Primary School</v>
          </cell>
          <cell r="D4950" t="str">
            <v>St. Helens</v>
          </cell>
          <cell r="E4950" t="str">
            <v>Voluntary Controlled School</v>
          </cell>
          <cell r="F4950" t="str">
            <v>Primary</v>
          </cell>
        </row>
        <row r="4951">
          <cell r="A4951">
            <v>9192261</v>
          </cell>
          <cell r="B4951">
            <v>117242</v>
          </cell>
          <cell r="C4951" t="str">
            <v>Bushey Manor Junior School</v>
          </cell>
          <cell r="D4951" t="str">
            <v>Hertfordshire</v>
          </cell>
          <cell r="E4951" t="str">
            <v>Community School</v>
          </cell>
          <cell r="F4951" t="str">
            <v>Primary</v>
          </cell>
        </row>
        <row r="4952">
          <cell r="A4952">
            <v>9195408</v>
          </cell>
          <cell r="B4952">
            <v>117580</v>
          </cell>
          <cell r="C4952" t="str">
            <v>Bushey Meads School</v>
          </cell>
          <cell r="D4952" t="str">
            <v>Hertfordshire</v>
          </cell>
          <cell r="E4952" t="str">
            <v>Foundation School</v>
          </cell>
          <cell r="F4952" t="str">
            <v>Secondary</v>
          </cell>
        </row>
        <row r="4953">
          <cell r="A4953">
            <v>9266125</v>
          </cell>
          <cell r="B4953">
            <v>121243</v>
          </cell>
          <cell r="C4953" t="str">
            <v>Bushey Place School</v>
          </cell>
          <cell r="D4953" t="str">
            <v>Norfolk</v>
          </cell>
          <cell r="E4953" t="str">
            <v>Other Independent School</v>
          </cell>
          <cell r="F4953" t="str">
            <v>Not applicable</v>
          </cell>
        </row>
        <row r="4954">
          <cell r="A4954">
            <v>8744080</v>
          </cell>
          <cell r="B4954">
            <v>110881</v>
          </cell>
          <cell r="C4954" t="str">
            <v>Bushfield Community College</v>
          </cell>
          <cell r="D4954" t="str">
            <v>Peterborough</v>
          </cell>
          <cell r="E4954" t="str">
            <v>Community School</v>
          </cell>
          <cell r="F4954" t="str">
            <v>Secondary</v>
          </cell>
        </row>
        <row r="4955">
          <cell r="A4955">
            <v>8132130</v>
          </cell>
          <cell r="B4955">
            <v>117747</v>
          </cell>
          <cell r="C4955" t="str">
            <v>Bushfield Road Infant School</v>
          </cell>
          <cell r="D4955" t="str">
            <v>North Lincolnshire</v>
          </cell>
          <cell r="E4955" t="str">
            <v>Community School</v>
          </cell>
          <cell r="F4955" t="str">
            <v>Primary</v>
          </cell>
        </row>
        <row r="4956">
          <cell r="A4956">
            <v>8262121</v>
          </cell>
          <cell r="B4956">
            <v>110256</v>
          </cell>
          <cell r="C4956" t="str">
            <v>Bushfield School</v>
          </cell>
          <cell r="D4956" t="str">
            <v>Milton Keynes</v>
          </cell>
          <cell r="E4956" t="str">
            <v>Community School</v>
          </cell>
          <cell r="F4956" t="str">
            <v>Primary</v>
          </cell>
        </row>
        <row r="4957">
          <cell r="A4957">
            <v>8555401</v>
          </cell>
          <cell r="B4957">
            <v>120309</v>
          </cell>
          <cell r="C4957" t="str">
            <v>Bushloe High School</v>
          </cell>
          <cell r="D4957" t="str">
            <v>Leicestershire</v>
          </cell>
          <cell r="E4957" t="str">
            <v>Foundation School</v>
          </cell>
          <cell r="F4957" t="str">
            <v>Middle Deemed Secondary</v>
          </cell>
        </row>
        <row r="4958">
          <cell r="A4958">
            <v>8212261</v>
          </cell>
          <cell r="B4958">
            <v>109569</v>
          </cell>
          <cell r="C4958" t="str">
            <v>Bushmead Infant School</v>
          </cell>
          <cell r="D4958" t="str">
            <v>Luton</v>
          </cell>
          <cell r="E4958" t="str">
            <v>Community School</v>
          </cell>
          <cell r="F4958" t="str">
            <v>Primary</v>
          </cell>
        </row>
        <row r="4959">
          <cell r="A4959">
            <v>8732309</v>
          </cell>
          <cell r="B4959">
            <v>110744</v>
          </cell>
          <cell r="C4959" t="str">
            <v>Bushmead Infant School</v>
          </cell>
          <cell r="D4959" t="str">
            <v>Cambridgeshire</v>
          </cell>
          <cell r="E4959" t="str">
            <v>Community School</v>
          </cell>
          <cell r="F4959" t="str">
            <v>Primary</v>
          </cell>
        </row>
        <row r="4960">
          <cell r="A4960">
            <v>8212253</v>
          </cell>
          <cell r="B4960">
            <v>109561</v>
          </cell>
          <cell r="C4960" t="str">
            <v>Bushmead Junior School</v>
          </cell>
          <cell r="D4960" t="str">
            <v>Luton</v>
          </cell>
          <cell r="E4960" t="str">
            <v>Community School</v>
          </cell>
          <cell r="F4960" t="str">
            <v>Primary</v>
          </cell>
        </row>
        <row r="4961">
          <cell r="A4961">
            <v>8732238</v>
          </cell>
          <cell r="B4961">
            <v>110701</v>
          </cell>
          <cell r="C4961" t="str">
            <v>Bushmead Junior School</v>
          </cell>
          <cell r="D4961" t="str">
            <v>Cambridgeshire</v>
          </cell>
          <cell r="E4961" t="str">
            <v>Community School</v>
          </cell>
          <cell r="F4961" t="str">
            <v>Primary</v>
          </cell>
        </row>
        <row r="4962">
          <cell r="A4962">
            <v>8732452</v>
          </cell>
          <cell r="B4962">
            <v>132031</v>
          </cell>
          <cell r="C4962" t="str">
            <v>Bushmead Primary School</v>
          </cell>
          <cell r="D4962" t="str">
            <v>Cambridgeshire</v>
          </cell>
          <cell r="E4962" t="str">
            <v>Community School</v>
          </cell>
          <cell r="F4962" t="str">
            <v>Primary</v>
          </cell>
        </row>
        <row r="4963">
          <cell r="A4963">
            <v>8212004</v>
          </cell>
          <cell r="B4963">
            <v>132246</v>
          </cell>
          <cell r="C4963" t="str">
            <v>Bushmead Primary School</v>
          </cell>
          <cell r="D4963" t="str">
            <v>Luton</v>
          </cell>
          <cell r="E4963" t="str">
            <v>Community School</v>
          </cell>
          <cell r="F4963" t="str">
            <v>Primary</v>
          </cell>
        </row>
        <row r="4964">
          <cell r="A4964">
            <v>9365220</v>
          </cell>
          <cell r="B4964">
            <v>125009</v>
          </cell>
          <cell r="C4964" t="str">
            <v>Bushy Hill Junior School</v>
          </cell>
          <cell r="D4964" t="str">
            <v>Surrey</v>
          </cell>
          <cell r="E4964" t="str">
            <v>Foundation School</v>
          </cell>
          <cell r="F4964" t="str">
            <v>Primary</v>
          </cell>
        </row>
        <row r="4965">
          <cell r="A4965">
            <v>8501004</v>
          </cell>
          <cell r="B4965">
            <v>130861</v>
          </cell>
          <cell r="C4965" t="str">
            <v>Bushy Leaze Early Years Centre</v>
          </cell>
          <cell r="D4965" t="str">
            <v>Hampshire</v>
          </cell>
          <cell r="E4965" t="str">
            <v>LA Nursery School</v>
          </cell>
          <cell r="F4965" t="str">
            <v>Nursery</v>
          </cell>
        </row>
        <row r="4966">
          <cell r="A4966">
            <v>3352004</v>
          </cell>
          <cell r="B4966">
            <v>104146</v>
          </cell>
          <cell r="C4966" t="str">
            <v>Busill Jones Primary School</v>
          </cell>
          <cell r="D4966" t="str">
            <v>Walsall</v>
          </cell>
          <cell r="E4966" t="str">
            <v>Community School</v>
          </cell>
          <cell r="F4966" t="str">
            <v>Primary</v>
          </cell>
        </row>
        <row r="4967">
          <cell r="A4967">
            <v>3732275</v>
          </cell>
          <cell r="B4967">
            <v>107045</v>
          </cell>
          <cell r="C4967" t="str">
            <v>Busk Meadow Nursery Infant School</v>
          </cell>
          <cell r="D4967" t="str">
            <v>Sheffield</v>
          </cell>
          <cell r="E4967" t="str">
            <v>Community School</v>
          </cell>
          <cell r="F4967" t="str">
            <v>Primary</v>
          </cell>
        </row>
        <row r="4968">
          <cell r="A4968">
            <v>9163315</v>
          </cell>
          <cell r="B4968">
            <v>115678</v>
          </cell>
          <cell r="C4968" t="str">
            <v>Bussage Church of England Primary School</v>
          </cell>
          <cell r="D4968" t="str">
            <v>Gloucestershire</v>
          </cell>
          <cell r="E4968" t="str">
            <v>Voluntary Aided School</v>
          </cell>
          <cell r="F4968" t="str">
            <v>Primary</v>
          </cell>
        </row>
        <row r="4969">
          <cell r="A4969">
            <v>8562306</v>
          </cell>
          <cell r="B4969">
            <v>120040</v>
          </cell>
          <cell r="C4969" t="str">
            <v>Buswells Lodge Primary School</v>
          </cell>
          <cell r="D4969" t="str">
            <v>Leicester</v>
          </cell>
          <cell r="E4969" t="str">
            <v>Community School</v>
          </cell>
          <cell r="F4969" t="str">
            <v>Primary</v>
          </cell>
        </row>
        <row r="4970">
          <cell r="A4970">
            <v>6731013</v>
          </cell>
          <cell r="B4970">
            <v>400013</v>
          </cell>
          <cell r="C4970" t="str">
            <v>Bute Cottage Nursery School</v>
          </cell>
          <cell r="D4970" t="str">
            <v>The Vale of Glamorgan</v>
          </cell>
          <cell r="E4970" t="str">
            <v>Welsh Establishment</v>
          </cell>
          <cell r="F4970" t="str">
            <v>Nursery</v>
          </cell>
        </row>
        <row r="4971">
          <cell r="A4971">
            <v>2056216</v>
          </cell>
          <cell r="B4971">
            <v>100368</v>
          </cell>
          <cell r="C4971" t="str">
            <v>Bute House Preparatory School</v>
          </cell>
          <cell r="D4971" t="str">
            <v>Hammersmith and Fulham</v>
          </cell>
          <cell r="E4971" t="str">
            <v>Other Independent School</v>
          </cell>
          <cell r="F4971" t="str">
            <v>Not applicable</v>
          </cell>
        </row>
        <row r="4972">
          <cell r="A4972">
            <v>9333017</v>
          </cell>
          <cell r="B4972">
            <v>123745</v>
          </cell>
          <cell r="C4972" t="str">
            <v>Butleigh Church of England Primary School</v>
          </cell>
          <cell r="D4972" t="str">
            <v>Somerset</v>
          </cell>
          <cell r="E4972" t="str">
            <v>Voluntary Controlled School</v>
          </cell>
          <cell r="F4972" t="str">
            <v>Primary</v>
          </cell>
        </row>
        <row r="4973">
          <cell r="A4973">
            <v>3412031</v>
          </cell>
          <cell r="B4973">
            <v>127259</v>
          </cell>
          <cell r="C4973" t="str">
            <v>Butler County Infant School</v>
          </cell>
          <cell r="D4973" t="str">
            <v>Liverpool</v>
          </cell>
          <cell r="E4973" t="str">
            <v>Community School</v>
          </cell>
          <cell r="F4973" t="str">
            <v>Primary</v>
          </cell>
        </row>
        <row r="4974">
          <cell r="A4974">
            <v>3412029</v>
          </cell>
          <cell r="B4974">
            <v>104527</v>
          </cell>
          <cell r="C4974" t="str">
            <v>Butler Junior Mixed and Infant School</v>
          </cell>
          <cell r="D4974" t="str">
            <v>Liverpool</v>
          </cell>
          <cell r="E4974" t="str">
            <v>Community School</v>
          </cell>
          <cell r="F4974" t="str">
            <v>Primary</v>
          </cell>
        </row>
        <row r="4975">
          <cell r="A4975">
            <v>8252186</v>
          </cell>
          <cell r="B4975">
            <v>110291</v>
          </cell>
          <cell r="C4975" t="str">
            <v>Butlers Court School</v>
          </cell>
          <cell r="D4975" t="str">
            <v>Buckinghamshire</v>
          </cell>
          <cell r="E4975" t="str">
            <v>Community School</v>
          </cell>
          <cell r="F4975" t="str">
            <v>Primary</v>
          </cell>
        </row>
        <row r="4976">
          <cell r="A4976">
            <v>8912470</v>
          </cell>
          <cell r="B4976">
            <v>122586</v>
          </cell>
          <cell r="C4976" t="str">
            <v>Butler's Hill Infant and Nursery School</v>
          </cell>
          <cell r="D4976" t="str">
            <v>Nottinghamshire</v>
          </cell>
          <cell r="E4976" t="str">
            <v>Community School</v>
          </cell>
          <cell r="F4976" t="str">
            <v>Primary</v>
          </cell>
        </row>
        <row r="4977">
          <cell r="A4977">
            <v>9373016</v>
          </cell>
          <cell r="B4977">
            <v>125628</v>
          </cell>
          <cell r="C4977" t="str">
            <v>Butlers Marston CofE Junior and Infant School</v>
          </cell>
          <cell r="D4977" t="str">
            <v>Warwickshire</v>
          </cell>
          <cell r="E4977" t="str">
            <v>Voluntary Controlled School</v>
          </cell>
          <cell r="F4977" t="str">
            <v>Primary</v>
          </cell>
        </row>
        <row r="4978">
          <cell r="A4978">
            <v>9354505</v>
          </cell>
          <cell r="B4978">
            <v>129990</v>
          </cell>
          <cell r="C4978" t="str">
            <v>Butley Middle School</v>
          </cell>
          <cell r="D4978" t="str">
            <v>Suffolk</v>
          </cell>
          <cell r="E4978" t="str">
            <v>Voluntary Controlled School</v>
          </cell>
          <cell r="F4978" t="str">
            <v>Middle Deemed Secondary</v>
          </cell>
        </row>
        <row r="4979">
          <cell r="A4979">
            <v>8402413</v>
          </cell>
          <cell r="B4979">
            <v>114102</v>
          </cell>
          <cell r="C4979" t="str">
            <v>Butterknowle Primary School</v>
          </cell>
          <cell r="D4979" t="str">
            <v>Durham</v>
          </cell>
          <cell r="E4979" t="str">
            <v>Community School</v>
          </cell>
          <cell r="F4979" t="str">
            <v>Primary</v>
          </cell>
        </row>
        <row r="4980">
          <cell r="A4980">
            <v>3804001</v>
          </cell>
          <cell r="B4980">
            <v>107350</v>
          </cell>
          <cell r="C4980" t="str">
            <v>Buttershaw Business and Enterprise College</v>
          </cell>
          <cell r="D4980" t="str">
            <v>Bradford</v>
          </cell>
          <cell r="E4980" t="str">
            <v>Foundation School</v>
          </cell>
          <cell r="F4980" t="str">
            <v>Secondary</v>
          </cell>
        </row>
        <row r="4981">
          <cell r="A4981">
            <v>3804096</v>
          </cell>
          <cell r="B4981">
            <v>107409</v>
          </cell>
          <cell r="C4981" t="str">
            <v>Buttershaw Middle School</v>
          </cell>
          <cell r="D4981" t="str">
            <v>Bradford</v>
          </cell>
          <cell r="E4981" t="str">
            <v>Community School</v>
          </cell>
          <cell r="F4981" t="str">
            <v>Middle Deemed Secondary</v>
          </cell>
        </row>
        <row r="4982">
          <cell r="A4982">
            <v>3512027</v>
          </cell>
          <cell r="B4982">
            <v>105297</v>
          </cell>
          <cell r="C4982" t="str">
            <v>Butterstile Primary School</v>
          </cell>
          <cell r="D4982" t="str">
            <v>Bury</v>
          </cell>
          <cell r="E4982" t="str">
            <v>Community School</v>
          </cell>
          <cell r="F4982" t="str">
            <v>Primary</v>
          </cell>
        </row>
        <row r="4983">
          <cell r="A4983">
            <v>6662051</v>
          </cell>
          <cell r="B4983">
            <v>400488</v>
          </cell>
          <cell r="C4983" t="str">
            <v>Buttington Trewern C.P. School</v>
          </cell>
          <cell r="D4983" t="str">
            <v>Powys</v>
          </cell>
          <cell r="E4983" t="str">
            <v>Welsh Establishment</v>
          </cell>
          <cell r="F4983" t="str">
            <v>Primary</v>
          </cell>
        </row>
        <row r="4984">
          <cell r="A4984">
            <v>3522051</v>
          </cell>
          <cell r="B4984">
            <v>105402</v>
          </cell>
          <cell r="C4984" t="str">
            <v>Button Lane Infants' School</v>
          </cell>
          <cell r="D4984" t="str">
            <v>Manchester</v>
          </cell>
          <cell r="E4984" t="str">
            <v>Community School</v>
          </cell>
          <cell r="F4984" t="str">
            <v>Primary</v>
          </cell>
        </row>
        <row r="4985">
          <cell r="A4985">
            <v>3522297</v>
          </cell>
          <cell r="B4985">
            <v>105466</v>
          </cell>
          <cell r="C4985" t="str">
            <v>Button Lane Junior School</v>
          </cell>
          <cell r="D4985" t="str">
            <v>Manchester</v>
          </cell>
          <cell r="E4985" t="str">
            <v>Community School</v>
          </cell>
          <cell r="F4985" t="str">
            <v>Primary</v>
          </cell>
        </row>
        <row r="4986">
          <cell r="A4986">
            <v>3522340</v>
          </cell>
          <cell r="B4986">
            <v>131938</v>
          </cell>
          <cell r="C4986" t="str">
            <v>Button Lane Primary School</v>
          </cell>
          <cell r="D4986" t="str">
            <v>Manchester</v>
          </cell>
          <cell r="E4986" t="str">
            <v>Community School</v>
          </cell>
          <cell r="F4986" t="str">
            <v>Primary</v>
          </cell>
        </row>
        <row r="4987">
          <cell r="A4987">
            <v>3352006</v>
          </cell>
          <cell r="B4987">
            <v>104147</v>
          </cell>
          <cell r="C4987" t="str">
            <v>Butts Primary School</v>
          </cell>
          <cell r="D4987" t="str">
            <v>Walsall</v>
          </cell>
          <cell r="E4987" t="str">
            <v>Community School</v>
          </cell>
          <cell r="F4987" t="str">
            <v>Primary</v>
          </cell>
        </row>
        <row r="4988">
          <cell r="A4988">
            <v>8815236</v>
          </cell>
          <cell r="B4988">
            <v>115276</v>
          </cell>
          <cell r="C4988" t="str">
            <v>Buttsbury Infant School</v>
          </cell>
          <cell r="D4988" t="str">
            <v>Essex</v>
          </cell>
          <cell r="E4988" t="str">
            <v>Foundation School</v>
          </cell>
          <cell r="F4988" t="str">
            <v>Primary</v>
          </cell>
        </row>
        <row r="4989">
          <cell r="A4989">
            <v>3046051</v>
          </cell>
          <cell r="B4989">
            <v>101569</v>
          </cell>
          <cell r="C4989" t="str">
            <v>Buxlow Preparatory School</v>
          </cell>
          <cell r="D4989" t="str">
            <v>Brent</v>
          </cell>
          <cell r="E4989" t="str">
            <v>Other Independent School</v>
          </cell>
          <cell r="F4989" t="str">
            <v>Not applicable</v>
          </cell>
        </row>
        <row r="4990">
          <cell r="A4990">
            <v>8453011</v>
          </cell>
          <cell r="B4990">
            <v>114493</v>
          </cell>
          <cell r="C4990" t="str">
            <v>Buxted CofE Primary School</v>
          </cell>
          <cell r="D4990" t="str">
            <v>East Sussex</v>
          </cell>
          <cell r="E4990" t="str">
            <v>Voluntary Controlled School</v>
          </cell>
          <cell r="F4990" t="str">
            <v>Primary</v>
          </cell>
        </row>
        <row r="4991">
          <cell r="A4991">
            <v>9104503</v>
          </cell>
          <cell r="B4991">
            <v>128669</v>
          </cell>
          <cell r="C4991" t="str">
            <v>Buxton College School</v>
          </cell>
          <cell r="D4991" t="str">
            <v>Pre LGR (1997) Derbyshire</v>
          </cell>
          <cell r="E4991" t="str">
            <v>Voluntary Controlled School</v>
          </cell>
          <cell r="F4991" t="str">
            <v>Secondary</v>
          </cell>
        </row>
        <row r="4992">
          <cell r="A4992">
            <v>8304510</v>
          </cell>
          <cell r="B4992">
            <v>112970</v>
          </cell>
          <cell r="C4992" t="str">
            <v>Buxton Community School</v>
          </cell>
          <cell r="D4992" t="str">
            <v>Derbyshire</v>
          </cell>
          <cell r="E4992" t="str">
            <v>Voluntary Controlled School</v>
          </cell>
          <cell r="F4992" t="str">
            <v>Secondary</v>
          </cell>
        </row>
        <row r="4993">
          <cell r="A4993">
            <v>9104014</v>
          </cell>
          <cell r="B4993">
            <v>128632</v>
          </cell>
          <cell r="C4993" t="str">
            <v>Buxton Girls' School</v>
          </cell>
          <cell r="D4993" t="str">
            <v>Pre LGR (1997) Derbyshire</v>
          </cell>
          <cell r="E4993" t="str">
            <v>Community School</v>
          </cell>
          <cell r="F4993" t="str">
            <v>Secondary</v>
          </cell>
        </row>
        <row r="4994">
          <cell r="A4994">
            <v>9226410</v>
          </cell>
          <cell r="B4994">
            <v>129455</v>
          </cell>
          <cell r="C4994" t="str">
            <v>Buxton House School</v>
          </cell>
          <cell r="D4994" t="str">
            <v>Pre LGR (1998) Kent</v>
          </cell>
          <cell r="E4994" t="str">
            <v>Other Independent School</v>
          </cell>
          <cell r="F4994" t="str">
            <v>Not applicable</v>
          </cell>
        </row>
        <row r="4995">
          <cell r="A4995">
            <v>8302061</v>
          </cell>
          <cell r="B4995">
            <v>112522</v>
          </cell>
          <cell r="C4995" t="str">
            <v>Buxton Infant School</v>
          </cell>
          <cell r="D4995" t="str">
            <v>Derbyshire</v>
          </cell>
          <cell r="E4995" t="str">
            <v>Community School</v>
          </cell>
          <cell r="F4995" t="str">
            <v>Primary</v>
          </cell>
        </row>
        <row r="4996">
          <cell r="A4996">
            <v>8302060</v>
          </cell>
          <cell r="B4996">
            <v>112521</v>
          </cell>
          <cell r="C4996" t="str">
            <v>Buxton Junior School</v>
          </cell>
          <cell r="D4996" t="str">
            <v>Derbyshire</v>
          </cell>
          <cell r="E4996" t="str">
            <v>Community School</v>
          </cell>
          <cell r="F4996" t="str">
            <v>Primary</v>
          </cell>
        </row>
        <row r="4997">
          <cell r="A4997">
            <v>9262032</v>
          </cell>
          <cell r="B4997">
            <v>120794</v>
          </cell>
          <cell r="C4997" t="str">
            <v>Buxton Primary School</v>
          </cell>
          <cell r="D4997" t="str">
            <v>Norfolk</v>
          </cell>
          <cell r="E4997" t="str">
            <v>Foundation School</v>
          </cell>
          <cell r="F4997" t="str">
            <v>Primary</v>
          </cell>
        </row>
        <row r="4998">
          <cell r="A4998">
            <v>3204000</v>
          </cell>
          <cell r="B4998">
            <v>103080</v>
          </cell>
          <cell r="C4998" t="str">
            <v>Buxton School</v>
          </cell>
          <cell r="D4998" t="str">
            <v>Waltham Forest</v>
          </cell>
          <cell r="E4998" t="str">
            <v>Foundation School</v>
          </cell>
          <cell r="F4998" t="str">
            <v>Middle Deemed Secondary</v>
          </cell>
        </row>
        <row r="4999">
          <cell r="A4999">
            <v>8302072</v>
          </cell>
          <cell r="B4999">
            <v>112526</v>
          </cell>
          <cell r="C4999" t="str">
            <v>Buxworth Primary School</v>
          </cell>
          <cell r="D4999" t="str">
            <v>Derbyshire</v>
          </cell>
          <cell r="E4999" t="str">
            <v>Community School</v>
          </cell>
          <cell r="F4999" t="str">
            <v>Primary</v>
          </cell>
        </row>
        <row r="5000">
          <cell r="A5000">
            <v>6652178</v>
          </cell>
          <cell r="B5000">
            <v>400409</v>
          </cell>
          <cell r="C5000" t="str">
            <v>Bwlchgwyn C.P. School</v>
          </cell>
          <cell r="D5000" t="str">
            <v>Wrexham</v>
          </cell>
          <cell r="E5000" t="str">
            <v>Welsh Establishment</v>
          </cell>
          <cell r="F5000" t="str">
            <v>Primary</v>
          </cell>
        </row>
        <row r="5001">
          <cell r="A5001">
            <v>8653244</v>
          </cell>
          <cell r="B5001">
            <v>131656</v>
          </cell>
          <cell r="C5001" t="str">
            <v>By Brook Valley CofE Primary School</v>
          </cell>
          <cell r="D5001" t="str">
            <v>Wiltshire</v>
          </cell>
          <cell r="E5001" t="str">
            <v>Voluntary Controlled School</v>
          </cell>
          <cell r="F5001" t="str">
            <v>Primary</v>
          </cell>
        </row>
        <row r="5002">
          <cell r="A5002">
            <v>8862456</v>
          </cell>
          <cell r="B5002">
            <v>118451</v>
          </cell>
          <cell r="C5002" t="str">
            <v>Bybrook Infant School</v>
          </cell>
          <cell r="D5002" t="str">
            <v>Kent</v>
          </cell>
          <cell r="E5002" t="str">
            <v>Community School</v>
          </cell>
          <cell r="F5002" t="str">
            <v>Primary</v>
          </cell>
        </row>
        <row r="5003">
          <cell r="A5003">
            <v>8862556</v>
          </cell>
          <cell r="B5003">
            <v>118513</v>
          </cell>
          <cell r="C5003" t="str">
            <v>Bybrook Junior School</v>
          </cell>
          <cell r="D5003" t="str">
            <v>Kent</v>
          </cell>
          <cell r="E5003" t="str">
            <v>Community School</v>
          </cell>
          <cell r="F5003" t="str">
            <v>Primary</v>
          </cell>
        </row>
        <row r="5004">
          <cell r="A5004">
            <v>8074022</v>
          </cell>
          <cell r="B5004">
            <v>111729</v>
          </cell>
          <cell r="C5004" t="str">
            <v>Bydales School - A Specialist Technology College</v>
          </cell>
          <cell r="D5004" t="str">
            <v>Redcar and Cleveland</v>
          </cell>
          <cell r="E5004" t="str">
            <v>Foundation School</v>
          </cell>
          <cell r="F5004" t="str">
            <v>Secondary</v>
          </cell>
        </row>
        <row r="5005">
          <cell r="A5005">
            <v>8402706</v>
          </cell>
          <cell r="B5005">
            <v>114189</v>
          </cell>
          <cell r="C5005" t="str">
            <v>Byerley Park Primary School</v>
          </cell>
          <cell r="D5005" t="str">
            <v>Durham</v>
          </cell>
          <cell r="E5005" t="str">
            <v>Community School</v>
          </cell>
          <cell r="F5005" t="str">
            <v>Primary</v>
          </cell>
        </row>
        <row r="5006">
          <cell r="A5006">
            <v>8402351</v>
          </cell>
          <cell r="B5006">
            <v>114070</v>
          </cell>
          <cell r="C5006" t="str">
            <v>Byers Green Primary School</v>
          </cell>
          <cell r="D5006" t="str">
            <v>Durham</v>
          </cell>
          <cell r="E5006" t="str">
            <v>Community School</v>
          </cell>
          <cell r="F5006" t="str">
            <v>Primary</v>
          </cell>
        </row>
        <row r="5007">
          <cell r="A5007">
            <v>9282011</v>
          </cell>
          <cell r="B5007">
            <v>121802</v>
          </cell>
          <cell r="C5007" t="str">
            <v>Byfield School</v>
          </cell>
          <cell r="D5007" t="str">
            <v>Northamptonshire</v>
          </cell>
          <cell r="E5007" t="str">
            <v>Community School</v>
          </cell>
          <cell r="F5007" t="str">
            <v>Primary</v>
          </cell>
        </row>
        <row r="5008">
          <cell r="A5008">
            <v>9362271</v>
          </cell>
          <cell r="B5008">
            <v>124999</v>
          </cell>
          <cell r="C5008" t="str">
            <v>Byfleet Primary School</v>
          </cell>
          <cell r="D5008" t="str">
            <v>Surrey</v>
          </cell>
          <cell r="E5008" t="str">
            <v>Community School</v>
          </cell>
          <cell r="F5008" t="str">
            <v>Primary</v>
          </cell>
        </row>
        <row r="5009">
          <cell r="A5009">
            <v>2112920</v>
          </cell>
          <cell r="B5009">
            <v>100942</v>
          </cell>
          <cell r="C5009" t="str">
            <v>Bygrove Primary School</v>
          </cell>
          <cell r="D5009" t="str">
            <v>Tower Hamlets</v>
          </cell>
          <cell r="E5009" t="str">
            <v>Community School</v>
          </cell>
          <cell r="F5009" t="str">
            <v>Primary</v>
          </cell>
        </row>
        <row r="5010">
          <cell r="A5010">
            <v>3912032</v>
          </cell>
          <cell r="B5010">
            <v>108458</v>
          </cell>
          <cell r="C5010" t="str">
            <v>Byker Primary School</v>
          </cell>
          <cell r="D5010" t="str">
            <v>Newcastle upon Tyne</v>
          </cell>
          <cell r="E5010" t="str">
            <v>Community School</v>
          </cell>
          <cell r="F5010" t="str">
            <v>Primary</v>
          </cell>
        </row>
        <row r="5011">
          <cell r="A5011">
            <v>8962189</v>
          </cell>
          <cell r="B5011">
            <v>111055</v>
          </cell>
          <cell r="C5011" t="str">
            <v>Byley Primary School</v>
          </cell>
          <cell r="D5011" t="str">
            <v>Cheshire West and Chester</v>
          </cell>
          <cell r="E5011" t="str">
            <v>Community School</v>
          </cell>
          <cell r="F5011" t="str">
            <v>Primary</v>
          </cell>
        </row>
        <row r="5012">
          <cell r="A5012">
            <v>9292042</v>
          </cell>
          <cell r="B5012">
            <v>122182</v>
          </cell>
          <cell r="C5012" t="str">
            <v>Byrness First School</v>
          </cell>
          <cell r="D5012" t="str">
            <v>Northumberland</v>
          </cell>
          <cell r="E5012" t="str">
            <v>Community School</v>
          </cell>
          <cell r="F5012" t="str">
            <v>Primary</v>
          </cell>
        </row>
        <row r="5013">
          <cell r="A5013">
            <v>3042006</v>
          </cell>
          <cell r="B5013">
            <v>101497</v>
          </cell>
          <cell r="C5013" t="str">
            <v>Byron Court Primary School</v>
          </cell>
          <cell r="D5013" t="str">
            <v>Brent</v>
          </cell>
          <cell r="E5013" t="str">
            <v>Community School</v>
          </cell>
          <cell r="F5013" t="str">
            <v>Primary</v>
          </cell>
        </row>
        <row r="5014">
          <cell r="A5014">
            <v>3062080</v>
          </cell>
          <cell r="B5014">
            <v>101771</v>
          </cell>
          <cell r="C5014" t="str">
            <v>Byron Infant School</v>
          </cell>
          <cell r="D5014" t="str">
            <v>Croydon</v>
          </cell>
          <cell r="E5014" t="str">
            <v>Community School</v>
          </cell>
          <cell r="F5014" t="str">
            <v>Primary</v>
          </cell>
        </row>
        <row r="5015">
          <cell r="A5015">
            <v>3062079</v>
          </cell>
          <cell r="B5015">
            <v>101770</v>
          </cell>
          <cell r="C5015" t="str">
            <v>Byron Junior School</v>
          </cell>
          <cell r="D5015" t="str">
            <v>Croydon</v>
          </cell>
          <cell r="E5015" t="str">
            <v>Community School</v>
          </cell>
          <cell r="F5015" t="str">
            <v>Primary</v>
          </cell>
        </row>
        <row r="5016">
          <cell r="A5016">
            <v>3802036</v>
          </cell>
          <cell r="B5016">
            <v>107208</v>
          </cell>
          <cell r="C5016" t="str">
            <v>Byron Primary School</v>
          </cell>
          <cell r="D5016" t="str">
            <v>Bradford</v>
          </cell>
          <cell r="E5016" t="str">
            <v>Community School</v>
          </cell>
          <cell r="F5016" t="str">
            <v>Primary</v>
          </cell>
        </row>
        <row r="5017">
          <cell r="A5017">
            <v>8872644</v>
          </cell>
          <cell r="B5017">
            <v>118559</v>
          </cell>
          <cell r="C5017" t="str">
            <v>Byron Primary School</v>
          </cell>
          <cell r="D5017" t="str">
            <v>Medway</v>
          </cell>
          <cell r="E5017" t="str">
            <v>Community School</v>
          </cell>
          <cell r="F5017" t="str">
            <v>Primary</v>
          </cell>
        </row>
        <row r="5018">
          <cell r="A5018">
            <v>3062111</v>
          </cell>
          <cell r="B5018">
            <v>132125</v>
          </cell>
          <cell r="C5018" t="str">
            <v>Byron Primary School</v>
          </cell>
          <cell r="D5018" t="str">
            <v>Croydon</v>
          </cell>
          <cell r="E5018" t="str">
            <v>Community School</v>
          </cell>
          <cell r="F5018" t="str">
            <v>Primary</v>
          </cell>
        </row>
        <row r="5019">
          <cell r="A5019">
            <v>3532059</v>
          </cell>
          <cell r="B5019">
            <v>105653</v>
          </cell>
          <cell r="C5019" t="str">
            <v>Byron Street Infant and Nursery School</v>
          </cell>
          <cell r="D5019" t="str">
            <v>Oldham</v>
          </cell>
          <cell r="E5019" t="str">
            <v>Community School</v>
          </cell>
          <cell r="F5019" t="str">
            <v>Primary</v>
          </cell>
        </row>
        <row r="5020">
          <cell r="A5020">
            <v>3732095</v>
          </cell>
          <cell r="B5020">
            <v>107008</v>
          </cell>
          <cell r="C5020" t="str">
            <v>Byron Wood Primary School</v>
          </cell>
          <cell r="D5020" t="str">
            <v>Sheffield</v>
          </cell>
          <cell r="E5020" t="str">
            <v>Community School</v>
          </cell>
          <cell r="F5020" t="str">
            <v>Primary</v>
          </cell>
        </row>
        <row r="5021">
          <cell r="A5021">
            <v>8862534</v>
          </cell>
          <cell r="B5021">
            <v>118497</v>
          </cell>
          <cell r="C5021" t="str">
            <v>Bysing Wood Primary School</v>
          </cell>
          <cell r="D5021" t="str">
            <v>Kent</v>
          </cell>
          <cell r="E5021" t="str">
            <v>Community School</v>
          </cell>
          <cell r="F5021" t="str">
            <v>Primary</v>
          </cell>
        </row>
        <row r="5022">
          <cell r="A5022">
            <v>9252243</v>
          </cell>
          <cell r="B5022">
            <v>120506</v>
          </cell>
          <cell r="C5022" t="str">
            <v>Bythams Primary School</v>
          </cell>
          <cell r="D5022" t="str">
            <v>Lincolnshire</v>
          </cell>
          <cell r="E5022" t="str">
            <v>Community School</v>
          </cell>
          <cell r="F5022" t="str">
            <v>Primary</v>
          </cell>
        </row>
        <row r="5023">
          <cell r="A5023">
            <v>3823009</v>
          </cell>
          <cell r="B5023">
            <v>107706</v>
          </cell>
          <cell r="C5023" t="str">
            <v>Bywell Church of England Voluntary Controlled Junior School</v>
          </cell>
          <cell r="D5023" t="str">
            <v>Kirklees</v>
          </cell>
          <cell r="E5023" t="str">
            <v>Voluntary Controlled School</v>
          </cell>
          <cell r="F5023" t="str">
            <v>Primary</v>
          </cell>
        </row>
        <row r="5024">
          <cell r="A5024">
            <v>3566025</v>
          </cell>
          <cell r="B5024">
            <v>106162</v>
          </cell>
          <cell r="C5024" t="str">
            <v>C.Y.C.E.S School</v>
          </cell>
          <cell r="D5024" t="str">
            <v>Stockport</v>
          </cell>
          <cell r="E5024" t="str">
            <v>Other Independent Special School</v>
          </cell>
          <cell r="F5024" t="str">
            <v>Not applicable</v>
          </cell>
        </row>
        <row r="5025">
          <cell r="A5025">
            <v>7026094</v>
          </cell>
          <cell r="B5025">
            <v>134113</v>
          </cell>
          <cell r="C5025" t="str">
            <v>C/O Gertrude's Garden Children's Hospital</v>
          </cell>
          <cell r="D5025" t="str">
            <v>BFPO Overseas Establishments</v>
          </cell>
          <cell r="E5025" t="str">
            <v>Service Childrens Education</v>
          </cell>
          <cell r="F5025" t="str">
            <v>Not applicable</v>
          </cell>
        </row>
        <row r="5026">
          <cell r="A5026">
            <v>9366396</v>
          </cell>
          <cell r="B5026">
            <v>125398</v>
          </cell>
          <cell r="C5026" t="str">
            <v>Cable House School</v>
          </cell>
          <cell r="D5026" t="str">
            <v>Surrey</v>
          </cell>
          <cell r="E5026" t="str">
            <v>Other Independent School</v>
          </cell>
          <cell r="F5026" t="str">
            <v>Not applicable</v>
          </cell>
        </row>
        <row r="5027">
          <cell r="A5027">
            <v>8012139</v>
          </cell>
          <cell r="B5027">
            <v>108992</v>
          </cell>
          <cell r="C5027" t="str">
            <v>Cabot Primary School</v>
          </cell>
          <cell r="D5027" t="str">
            <v>Bristol City of</v>
          </cell>
          <cell r="E5027" t="str">
            <v>Community School</v>
          </cell>
          <cell r="F5027" t="str">
            <v>Primary</v>
          </cell>
        </row>
        <row r="5028">
          <cell r="A5028">
            <v>3066094</v>
          </cell>
          <cell r="B5028">
            <v>132776</v>
          </cell>
          <cell r="C5028" t="str">
            <v>CACFO Education Centre</v>
          </cell>
          <cell r="D5028" t="str">
            <v>Croydon</v>
          </cell>
          <cell r="E5028" t="str">
            <v>Other Independent School</v>
          </cell>
          <cell r="F5028" t="str">
            <v>Not applicable</v>
          </cell>
        </row>
        <row r="5029">
          <cell r="A5029">
            <v>8032180</v>
          </cell>
          <cell r="B5029">
            <v>109019</v>
          </cell>
          <cell r="C5029" t="str">
            <v>Cadbury Heath Primary School</v>
          </cell>
          <cell r="D5029" t="str">
            <v>South Gloucestershire</v>
          </cell>
          <cell r="E5029" t="str">
            <v>Community School</v>
          </cell>
          <cell r="F5029" t="str">
            <v>Primary</v>
          </cell>
        </row>
        <row r="5030">
          <cell r="A5030">
            <v>3304328</v>
          </cell>
          <cell r="B5030">
            <v>127064</v>
          </cell>
          <cell r="C5030" t="str">
            <v>Cadbury Sixth Form College</v>
          </cell>
          <cell r="D5030" t="str">
            <v>Birmingham</v>
          </cell>
          <cell r="E5030" t="str">
            <v>Community School</v>
          </cell>
          <cell r="F5030" t="str">
            <v>Secondary</v>
          </cell>
        </row>
        <row r="5031">
          <cell r="A5031">
            <v>3308601</v>
          </cell>
          <cell r="B5031">
            <v>130469</v>
          </cell>
          <cell r="C5031" t="str">
            <v>Cadbury Sixth Form College</v>
          </cell>
          <cell r="D5031" t="str">
            <v>Birmingham</v>
          </cell>
          <cell r="E5031" t="str">
            <v>Further Education</v>
          </cell>
          <cell r="F5031" t="str">
            <v>16 Plus</v>
          </cell>
        </row>
        <row r="5032">
          <cell r="A5032">
            <v>8233353</v>
          </cell>
          <cell r="B5032">
            <v>109664</v>
          </cell>
          <cell r="C5032" t="str">
            <v>Caddington Village School</v>
          </cell>
          <cell r="D5032" t="str">
            <v>Central Bedfordshire</v>
          </cell>
          <cell r="E5032" t="str">
            <v>Community School</v>
          </cell>
          <cell r="F5032" t="str">
            <v>Middle Deemed Primary</v>
          </cell>
        </row>
        <row r="5033">
          <cell r="A5033">
            <v>7016001</v>
          </cell>
          <cell r="B5033">
            <v>132532</v>
          </cell>
          <cell r="C5033" t="str">
            <v>Cadesmuir International School</v>
          </cell>
          <cell r="D5033" t="str">
            <v>Scotland Offshore Establishments</v>
          </cell>
          <cell r="E5033" t="str">
            <v>Offshore Schools</v>
          </cell>
          <cell r="F5033" t="str">
            <v>Not applicable</v>
          </cell>
        </row>
        <row r="5034">
          <cell r="A5034">
            <v>3552055</v>
          </cell>
          <cell r="B5034">
            <v>105900</v>
          </cell>
          <cell r="C5034" t="str">
            <v>Cadishead Infant School</v>
          </cell>
          <cell r="D5034" t="str">
            <v>Salford</v>
          </cell>
          <cell r="E5034" t="str">
            <v>Community School</v>
          </cell>
          <cell r="F5034" t="str">
            <v>Primary</v>
          </cell>
        </row>
        <row r="5035">
          <cell r="A5035">
            <v>3551021</v>
          </cell>
          <cell r="B5035">
            <v>105881</v>
          </cell>
          <cell r="C5035" t="str">
            <v>Cadishead Nursery School</v>
          </cell>
          <cell r="D5035" t="str">
            <v>Salford</v>
          </cell>
          <cell r="E5035" t="str">
            <v>LA Nursery School</v>
          </cell>
          <cell r="F5035" t="str">
            <v>Nursery</v>
          </cell>
        </row>
        <row r="5036">
          <cell r="A5036">
            <v>3552054</v>
          </cell>
          <cell r="B5036">
            <v>105899</v>
          </cell>
          <cell r="C5036" t="str">
            <v>Cadishead Primary School</v>
          </cell>
          <cell r="D5036" t="str">
            <v>Salford</v>
          </cell>
          <cell r="E5036" t="str">
            <v>Community School</v>
          </cell>
          <cell r="F5036" t="str">
            <v>Primary</v>
          </cell>
        </row>
        <row r="5037">
          <cell r="A5037">
            <v>3552096</v>
          </cell>
          <cell r="B5037">
            <v>131008</v>
          </cell>
          <cell r="C5037" t="str">
            <v>Cadishead Primary School</v>
          </cell>
          <cell r="D5037" t="str">
            <v>Salford</v>
          </cell>
          <cell r="E5037" t="str">
            <v>Community School</v>
          </cell>
          <cell r="F5037" t="str">
            <v>Primary</v>
          </cell>
        </row>
        <row r="5038">
          <cell r="A5038">
            <v>8503667</v>
          </cell>
          <cell r="B5038">
            <v>134734</v>
          </cell>
          <cell r="C5038" t="str">
            <v>Cadland Primary School</v>
          </cell>
          <cell r="D5038" t="str">
            <v>Hampshire</v>
          </cell>
          <cell r="E5038" t="str">
            <v>Community School</v>
          </cell>
          <cell r="F5038" t="str">
            <v>Primary</v>
          </cell>
        </row>
        <row r="5039">
          <cell r="A5039">
            <v>6702008</v>
          </cell>
          <cell r="B5039">
            <v>400863</v>
          </cell>
          <cell r="C5039" t="str">
            <v>Cadle Primary School</v>
          </cell>
          <cell r="D5039" t="str">
            <v>Swansea</v>
          </cell>
          <cell r="E5039" t="str">
            <v>Welsh Establishment</v>
          </cell>
          <cell r="F5039" t="str">
            <v>Primary</v>
          </cell>
        </row>
        <row r="5040">
          <cell r="A5040">
            <v>8253329</v>
          </cell>
          <cell r="B5040">
            <v>110460</v>
          </cell>
          <cell r="C5040" t="str">
            <v>Cadmore End CofE School</v>
          </cell>
          <cell r="D5040" t="str">
            <v>Buckinghamshire</v>
          </cell>
          <cell r="E5040" t="str">
            <v>Voluntary Aided School</v>
          </cell>
          <cell r="F5040" t="str">
            <v>Primary</v>
          </cell>
        </row>
        <row r="5041">
          <cell r="A5041">
            <v>6732181</v>
          </cell>
          <cell r="B5041">
            <v>402033</v>
          </cell>
          <cell r="C5041" t="str">
            <v>Cadoxton Community Primary</v>
          </cell>
          <cell r="D5041" t="str">
            <v>The Vale of Glamorgan</v>
          </cell>
          <cell r="E5041" t="str">
            <v>Welsh Establishment</v>
          </cell>
          <cell r="F5041" t="str">
            <v>Primary</v>
          </cell>
        </row>
        <row r="5042">
          <cell r="A5042">
            <v>6732113</v>
          </cell>
          <cell r="B5042">
            <v>401087</v>
          </cell>
          <cell r="C5042" t="str">
            <v>Cadoxton Infant School</v>
          </cell>
          <cell r="D5042" t="str">
            <v>The Vale of Glamorgan</v>
          </cell>
          <cell r="E5042" t="str">
            <v>Welsh Establishment</v>
          </cell>
          <cell r="F5042" t="str">
            <v>Not applicable</v>
          </cell>
        </row>
        <row r="5043">
          <cell r="A5043">
            <v>6732112</v>
          </cell>
          <cell r="B5043">
            <v>401086</v>
          </cell>
          <cell r="C5043" t="str">
            <v>Cadoxton Junior School</v>
          </cell>
          <cell r="D5043" t="str">
            <v>The Vale of Glamorgan</v>
          </cell>
          <cell r="E5043" t="str">
            <v>Welsh Establishment</v>
          </cell>
          <cell r="F5043" t="str">
            <v>Not applicable</v>
          </cell>
        </row>
        <row r="5044">
          <cell r="A5044">
            <v>6731010</v>
          </cell>
          <cell r="B5044">
            <v>400011</v>
          </cell>
          <cell r="C5044" t="str">
            <v>Cadoxton Nursery School</v>
          </cell>
          <cell r="D5044" t="str">
            <v>The Vale of Glamorgan</v>
          </cell>
          <cell r="E5044" t="str">
            <v>Welsh Establishment</v>
          </cell>
          <cell r="F5044" t="str">
            <v>Nursery</v>
          </cell>
        </row>
        <row r="5045">
          <cell r="A5045">
            <v>3902233</v>
          </cell>
          <cell r="B5045">
            <v>108380</v>
          </cell>
          <cell r="C5045" t="str">
            <v>Caedmon Community Primary School</v>
          </cell>
          <cell r="D5045" t="str">
            <v>Gateshead</v>
          </cell>
          <cell r="E5045" t="str">
            <v>Community School</v>
          </cell>
          <cell r="F5045" t="str">
            <v>Primary</v>
          </cell>
        </row>
        <row r="5046">
          <cell r="A5046">
            <v>8073389</v>
          </cell>
          <cell r="B5046">
            <v>134096</v>
          </cell>
          <cell r="C5046" t="str">
            <v>Caedmon Primary School</v>
          </cell>
          <cell r="D5046" t="str">
            <v>Redcar and Cleveland</v>
          </cell>
          <cell r="E5046" t="str">
            <v>Community School</v>
          </cell>
          <cell r="F5046" t="str">
            <v>Primary</v>
          </cell>
        </row>
        <row r="5047">
          <cell r="A5047">
            <v>8154059</v>
          </cell>
          <cell r="B5047">
            <v>121672</v>
          </cell>
          <cell r="C5047" t="str">
            <v>Caedmon School</v>
          </cell>
          <cell r="D5047" t="str">
            <v>North Yorkshire</v>
          </cell>
          <cell r="E5047" t="str">
            <v>Community School</v>
          </cell>
          <cell r="F5047" t="str">
            <v>Secondary</v>
          </cell>
        </row>
        <row r="5048">
          <cell r="A5048">
            <v>6752006</v>
          </cell>
          <cell r="B5048">
            <v>401272</v>
          </cell>
          <cell r="C5048" t="str">
            <v>Caedraw Primary School</v>
          </cell>
          <cell r="D5048" t="str">
            <v>Merthyr Tydfil</v>
          </cell>
          <cell r="E5048" t="str">
            <v>Welsh Establishment</v>
          </cell>
          <cell r="F5048" t="str">
            <v>Primary</v>
          </cell>
        </row>
        <row r="5049">
          <cell r="A5049">
            <v>6742077</v>
          </cell>
          <cell r="B5049">
            <v>401149</v>
          </cell>
          <cell r="C5049" t="str">
            <v>Caegarw Primary School</v>
          </cell>
          <cell r="D5049" t="str">
            <v>Rhondda, Cynon, Taff</v>
          </cell>
          <cell r="E5049" t="str">
            <v>Welsh Establishment</v>
          </cell>
          <cell r="F5049" t="str">
            <v>Primary</v>
          </cell>
        </row>
        <row r="5050">
          <cell r="A5050">
            <v>6662107</v>
          </cell>
          <cell r="B5050">
            <v>400522</v>
          </cell>
          <cell r="C5050" t="str">
            <v>Caehopkin C.P. School</v>
          </cell>
          <cell r="D5050" t="str">
            <v>Powys</v>
          </cell>
          <cell r="E5050" t="str">
            <v>Welsh Establishment</v>
          </cell>
          <cell r="F5050" t="str">
            <v>Primary</v>
          </cell>
        </row>
        <row r="5051">
          <cell r="A5051">
            <v>8782215</v>
          </cell>
          <cell r="B5051">
            <v>113138</v>
          </cell>
          <cell r="C5051" t="str">
            <v>Caen Community Primary School</v>
          </cell>
          <cell r="D5051" t="str">
            <v>Devon</v>
          </cell>
          <cell r="E5051" t="str">
            <v>Community School</v>
          </cell>
          <cell r="F5051" t="str">
            <v>Primary</v>
          </cell>
        </row>
        <row r="5052">
          <cell r="A5052">
            <v>6692387</v>
          </cell>
          <cell r="B5052">
            <v>402059</v>
          </cell>
          <cell r="C5052" t="str">
            <v>Cae'r Felin Community School</v>
          </cell>
          <cell r="D5052" t="str">
            <v>Carmarthenshire</v>
          </cell>
          <cell r="E5052" t="str">
            <v>Welsh Establishment</v>
          </cell>
          <cell r="F5052" t="str">
            <v>Primary</v>
          </cell>
        </row>
        <row r="5053">
          <cell r="A5053">
            <v>6812058</v>
          </cell>
          <cell r="B5053">
            <v>401590</v>
          </cell>
          <cell r="C5053" t="str">
            <v>Caerau Infant School</v>
          </cell>
          <cell r="D5053" t="str">
            <v>Cardiff</v>
          </cell>
          <cell r="E5053" t="str">
            <v>Welsh Establishment</v>
          </cell>
          <cell r="F5053" t="str">
            <v>Primary</v>
          </cell>
        </row>
        <row r="5054">
          <cell r="A5054">
            <v>6721019</v>
          </cell>
          <cell r="B5054">
            <v>400008</v>
          </cell>
          <cell r="C5054" t="str">
            <v>Caerau Nursery School</v>
          </cell>
          <cell r="D5054" t="str">
            <v>Bridgend</v>
          </cell>
          <cell r="E5054" t="str">
            <v>Welsh Establishment</v>
          </cell>
          <cell r="F5054" t="str">
            <v>Nursery</v>
          </cell>
        </row>
        <row r="5055">
          <cell r="A5055">
            <v>6811016</v>
          </cell>
          <cell r="B5055">
            <v>400038</v>
          </cell>
          <cell r="C5055" t="str">
            <v>Caerau Nursery School</v>
          </cell>
          <cell r="D5055" t="str">
            <v>Cardiff</v>
          </cell>
          <cell r="E5055" t="str">
            <v>Welsh Establishment</v>
          </cell>
          <cell r="F5055" t="str">
            <v>Nursery</v>
          </cell>
        </row>
        <row r="5056">
          <cell r="A5056">
            <v>6722373</v>
          </cell>
          <cell r="B5056">
            <v>402234</v>
          </cell>
          <cell r="C5056" t="str">
            <v>Caerau Primary School</v>
          </cell>
          <cell r="D5056" t="str">
            <v>Bridgend</v>
          </cell>
          <cell r="E5056" t="str">
            <v>Welsh Establishment</v>
          </cell>
          <cell r="F5056" t="str">
            <v>Primary</v>
          </cell>
        </row>
        <row r="5057">
          <cell r="A5057">
            <v>6802274</v>
          </cell>
          <cell r="B5057">
            <v>401539</v>
          </cell>
          <cell r="C5057" t="str">
            <v>Caerleon (Lodge Hill) Infants School</v>
          </cell>
          <cell r="D5057" t="str">
            <v>Newport</v>
          </cell>
          <cell r="E5057" t="str">
            <v>Welsh Establishment</v>
          </cell>
          <cell r="F5057" t="str">
            <v>Primary</v>
          </cell>
        </row>
        <row r="5058">
          <cell r="A5058">
            <v>6802247</v>
          </cell>
          <cell r="B5058">
            <v>401537</v>
          </cell>
          <cell r="C5058" t="str">
            <v>Caerleon (Lodge Hill) Junior School</v>
          </cell>
          <cell r="D5058" t="str">
            <v>Newport</v>
          </cell>
          <cell r="E5058" t="str">
            <v>Welsh Establishment</v>
          </cell>
          <cell r="F5058" t="str">
            <v>Primary</v>
          </cell>
        </row>
        <row r="5059">
          <cell r="A5059">
            <v>6804059</v>
          </cell>
          <cell r="B5059">
            <v>401870</v>
          </cell>
          <cell r="C5059" t="str">
            <v>Caerleon Comprehensive School</v>
          </cell>
          <cell r="D5059" t="str">
            <v>Newport</v>
          </cell>
          <cell r="E5059" t="str">
            <v>Welsh Establishment</v>
          </cell>
          <cell r="F5059" t="str">
            <v>Secondary</v>
          </cell>
        </row>
        <row r="5060">
          <cell r="A5060">
            <v>6803312</v>
          </cell>
          <cell r="B5060">
            <v>401557</v>
          </cell>
          <cell r="C5060" t="str">
            <v>Caerleon Endowed Infant school</v>
          </cell>
          <cell r="D5060" t="str">
            <v>Newport</v>
          </cell>
          <cell r="E5060" t="str">
            <v>Welsh Establishment</v>
          </cell>
          <cell r="F5060" t="str">
            <v>Primary</v>
          </cell>
        </row>
        <row r="5061">
          <cell r="A5061">
            <v>6803311</v>
          </cell>
          <cell r="B5061">
            <v>401556</v>
          </cell>
          <cell r="C5061" t="str">
            <v>Caerleon Endowed Junior School</v>
          </cell>
          <cell r="D5061" t="str">
            <v>Newport</v>
          </cell>
          <cell r="E5061" t="str">
            <v>Welsh Establishment</v>
          </cell>
          <cell r="F5061" t="str">
            <v>Primary</v>
          </cell>
        </row>
        <row r="5062">
          <cell r="A5062">
            <v>6662008</v>
          </cell>
          <cell r="B5062">
            <v>400468</v>
          </cell>
          <cell r="C5062" t="str">
            <v>Caersws C.P. School</v>
          </cell>
          <cell r="D5062" t="str">
            <v>Powys</v>
          </cell>
          <cell r="E5062" t="str">
            <v>Welsh Establishment</v>
          </cell>
          <cell r="F5062" t="str">
            <v>Primary</v>
          </cell>
        </row>
        <row r="5063">
          <cell r="A5063">
            <v>9222152</v>
          </cell>
          <cell r="B5063">
            <v>129360</v>
          </cell>
          <cell r="C5063" t="str">
            <v>Cage Green County Infant School</v>
          </cell>
          <cell r="D5063" t="str">
            <v>Pre LGR (1998) Kent</v>
          </cell>
          <cell r="E5063" t="str">
            <v>Community School</v>
          </cell>
          <cell r="F5063" t="str">
            <v>Primary</v>
          </cell>
        </row>
        <row r="5064">
          <cell r="A5064">
            <v>9222432</v>
          </cell>
          <cell r="B5064">
            <v>129379</v>
          </cell>
          <cell r="C5064" t="str">
            <v>Cage Green County Junior School</v>
          </cell>
          <cell r="D5064" t="str">
            <v>Pre LGR (1998) Kent</v>
          </cell>
          <cell r="E5064" t="str">
            <v>Community School</v>
          </cell>
          <cell r="F5064" t="str">
            <v>Primary</v>
          </cell>
        </row>
        <row r="5065">
          <cell r="A5065">
            <v>8862661</v>
          </cell>
          <cell r="B5065">
            <v>118574</v>
          </cell>
          <cell r="C5065" t="str">
            <v>Cage Green Primary School</v>
          </cell>
          <cell r="D5065" t="str">
            <v>Kent</v>
          </cell>
          <cell r="E5065" t="str">
            <v>Community School</v>
          </cell>
          <cell r="F5065" t="str">
            <v>Primary</v>
          </cell>
        </row>
        <row r="5066">
          <cell r="A5066">
            <v>7022014</v>
          </cell>
          <cell r="B5066">
            <v>133006</v>
          </cell>
          <cell r="C5066" t="str">
            <v>Cagliari Primary School</v>
          </cell>
          <cell r="D5066" t="str">
            <v>BFPO Overseas Establishments</v>
          </cell>
          <cell r="E5066" t="str">
            <v>Service Childrens Education</v>
          </cell>
          <cell r="F5066" t="str">
            <v>Not applicable</v>
          </cell>
        </row>
        <row r="5067">
          <cell r="A5067">
            <v>6651007</v>
          </cell>
          <cell r="B5067">
            <v>400001</v>
          </cell>
          <cell r="C5067" t="str">
            <v>Caia Park Nursery School</v>
          </cell>
          <cell r="D5067" t="str">
            <v>Wrexham</v>
          </cell>
          <cell r="E5067" t="str">
            <v>Welsh Establishment</v>
          </cell>
          <cell r="F5067" t="str">
            <v>Nursery</v>
          </cell>
        </row>
        <row r="5068">
          <cell r="A5068">
            <v>6692077</v>
          </cell>
          <cell r="B5068">
            <v>400768</v>
          </cell>
          <cell r="C5068" t="str">
            <v>Caio County Primary School</v>
          </cell>
          <cell r="D5068" t="str">
            <v>Carmarthenshire</v>
          </cell>
          <cell r="E5068" t="str">
            <v>Welsh Establishment</v>
          </cell>
          <cell r="F5068" t="str">
            <v>Primary</v>
          </cell>
        </row>
        <row r="5069">
          <cell r="A5069">
            <v>9265412</v>
          </cell>
          <cell r="B5069">
            <v>121220</v>
          </cell>
          <cell r="C5069" t="str">
            <v>Caister High School</v>
          </cell>
          <cell r="D5069" t="str">
            <v>Norfolk</v>
          </cell>
          <cell r="E5069" t="str">
            <v>Foundation School</v>
          </cell>
          <cell r="F5069" t="str">
            <v>Secondary</v>
          </cell>
        </row>
        <row r="5070">
          <cell r="A5070">
            <v>9262034</v>
          </cell>
          <cell r="B5070">
            <v>120796</v>
          </cell>
          <cell r="C5070" t="str">
            <v>Caister Infant, Nursery School and Children's Centre</v>
          </cell>
          <cell r="D5070" t="str">
            <v>Norfolk</v>
          </cell>
          <cell r="E5070" t="str">
            <v>Community School</v>
          </cell>
          <cell r="F5070" t="str">
            <v>Primary</v>
          </cell>
        </row>
        <row r="5071">
          <cell r="A5071">
            <v>9262033</v>
          </cell>
          <cell r="B5071">
            <v>120795</v>
          </cell>
          <cell r="C5071" t="str">
            <v>Caister Junior School</v>
          </cell>
          <cell r="D5071" t="str">
            <v>Norfolk</v>
          </cell>
          <cell r="E5071" t="str">
            <v>Community School</v>
          </cell>
          <cell r="F5071" t="str">
            <v>Primary</v>
          </cell>
        </row>
        <row r="5072">
          <cell r="A5072">
            <v>9253156</v>
          </cell>
          <cell r="B5072">
            <v>120590</v>
          </cell>
          <cell r="C5072" t="str">
            <v>Caistor CofE and Methodist Primary School</v>
          </cell>
          <cell r="D5072" t="str">
            <v>Lincolnshire</v>
          </cell>
          <cell r="E5072" t="str">
            <v>Voluntary Controlled School</v>
          </cell>
          <cell r="F5072" t="str">
            <v>Primary</v>
          </cell>
        </row>
        <row r="5073">
          <cell r="A5073">
            <v>9255406</v>
          </cell>
          <cell r="B5073">
            <v>120702</v>
          </cell>
          <cell r="C5073" t="str">
            <v>Caistor Grammar School</v>
          </cell>
          <cell r="D5073" t="str">
            <v>Lincolnshire</v>
          </cell>
          <cell r="E5073" t="str">
            <v>Foundation School</v>
          </cell>
          <cell r="F5073" t="str">
            <v>Secondary</v>
          </cell>
        </row>
        <row r="5074">
          <cell r="A5074">
            <v>9255406</v>
          </cell>
          <cell r="B5074">
            <v>136350</v>
          </cell>
          <cell r="C5074" t="str">
            <v>Caistor Grammar School</v>
          </cell>
          <cell r="D5074" t="str">
            <v>Lincolnshire</v>
          </cell>
          <cell r="E5074" t="str">
            <v>Academy Converters</v>
          </cell>
          <cell r="F5074" t="str">
            <v>Secondary</v>
          </cell>
        </row>
        <row r="5075">
          <cell r="A5075">
            <v>9254049</v>
          </cell>
          <cell r="B5075">
            <v>136958</v>
          </cell>
          <cell r="C5075" t="str">
            <v>Caistor Yarborough Academy</v>
          </cell>
          <cell r="D5075" t="str">
            <v>Lincolnshire</v>
          </cell>
          <cell r="E5075" t="str">
            <v>Academy Converters</v>
          </cell>
          <cell r="F5075" t="str">
            <v>Secondary</v>
          </cell>
        </row>
        <row r="5076">
          <cell r="A5076">
            <v>9254049</v>
          </cell>
          <cell r="B5076">
            <v>120649</v>
          </cell>
          <cell r="C5076" t="str">
            <v>Caistor Yarborough School</v>
          </cell>
          <cell r="D5076" t="str">
            <v>Lincolnshire</v>
          </cell>
          <cell r="E5076" t="str">
            <v>Community School</v>
          </cell>
          <cell r="F5076" t="str">
            <v>Secondary</v>
          </cell>
        </row>
        <row r="5077">
          <cell r="A5077">
            <v>8692239</v>
          </cell>
          <cell r="B5077">
            <v>109931</v>
          </cell>
          <cell r="C5077" t="str">
            <v>Calcot Infant School and Nursery</v>
          </cell>
          <cell r="D5077" t="str">
            <v>West Berkshire</v>
          </cell>
          <cell r="E5077" t="str">
            <v>Community School</v>
          </cell>
          <cell r="F5077" t="str">
            <v>Primary</v>
          </cell>
        </row>
        <row r="5078">
          <cell r="A5078">
            <v>8692240</v>
          </cell>
          <cell r="B5078">
            <v>109932</v>
          </cell>
          <cell r="C5078" t="str">
            <v>Calcot Junior School</v>
          </cell>
          <cell r="D5078" t="str">
            <v>West Berkshire</v>
          </cell>
          <cell r="E5078" t="str">
            <v>Community School</v>
          </cell>
          <cell r="F5078" t="str">
            <v>Primary</v>
          </cell>
        </row>
        <row r="5079">
          <cell r="A5079">
            <v>3445400</v>
          </cell>
          <cell r="B5079">
            <v>105112</v>
          </cell>
          <cell r="C5079" t="str">
            <v>Calday Grange Grammar School</v>
          </cell>
          <cell r="D5079" t="str">
            <v>Wirral</v>
          </cell>
          <cell r="E5079" t="str">
            <v>Foundation School</v>
          </cell>
          <cell r="F5079" t="str">
            <v>Secondary</v>
          </cell>
        </row>
        <row r="5080">
          <cell r="A5080">
            <v>2082083</v>
          </cell>
          <cell r="B5080">
            <v>100559</v>
          </cell>
          <cell r="C5080" t="str">
            <v>Caldecot Primary School</v>
          </cell>
          <cell r="D5080" t="str">
            <v>Lambeth</v>
          </cell>
          <cell r="E5080" t="str">
            <v>Community School</v>
          </cell>
          <cell r="F5080" t="str">
            <v>Primary</v>
          </cell>
        </row>
        <row r="5081">
          <cell r="A5081">
            <v>8562000</v>
          </cell>
          <cell r="B5081">
            <v>132211</v>
          </cell>
          <cell r="C5081" t="str">
            <v>Caldecote Community Primary School</v>
          </cell>
          <cell r="D5081" t="str">
            <v>Leicester</v>
          </cell>
          <cell r="E5081" t="str">
            <v>Community School</v>
          </cell>
          <cell r="F5081" t="str">
            <v>Primary</v>
          </cell>
        </row>
        <row r="5082">
          <cell r="A5082">
            <v>8562211</v>
          </cell>
          <cell r="B5082">
            <v>120000</v>
          </cell>
          <cell r="C5082" t="str">
            <v>Caldecote Infant School</v>
          </cell>
          <cell r="D5082" t="str">
            <v>Leicester</v>
          </cell>
          <cell r="E5082" t="str">
            <v>Community School</v>
          </cell>
          <cell r="F5082" t="str">
            <v>Primary</v>
          </cell>
        </row>
        <row r="5083">
          <cell r="A5083">
            <v>8562212</v>
          </cell>
          <cell r="B5083">
            <v>120001</v>
          </cell>
          <cell r="C5083" t="str">
            <v>Caldecote Junior School</v>
          </cell>
          <cell r="D5083" t="str">
            <v>Leicester</v>
          </cell>
          <cell r="E5083" t="str">
            <v>Community School</v>
          </cell>
          <cell r="F5083" t="str">
            <v>Primary</v>
          </cell>
        </row>
        <row r="5084">
          <cell r="A5084">
            <v>8732004</v>
          </cell>
          <cell r="B5084">
            <v>110603</v>
          </cell>
          <cell r="C5084" t="str">
            <v>Caldecote Primary School</v>
          </cell>
          <cell r="D5084" t="str">
            <v>Cambridgeshire</v>
          </cell>
          <cell r="E5084" t="str">
            <v>Community School</v>
          </cell>
          <cell r="F5084" t="str">
            <v>Primary</v>
          </cell>
        </row>
        <row r="5085">
          <cell r="A5085">
            <v>8233003</v>
          </cell>
          <cell r="B5085">
            <v>109596</v>
          </cell>
          <cell r="C5085" t="str">
            <v>Caldecote VC Lower School</v>
          </cell>
          <cell r="D5085" t="str">
            <v>Central Bedfordshire</v>
          </cell>
          <cell r="E5085" t="str">
            <v>Voluntary Controlled School</v>
          </cell>
          <cell r="F5085" t="str">
            <v>Primary</v>
          </cell>
        </row>
        <row r="5086">
          <cell r="A5086">
            <v>9312570</v>
          </cell>
          <cell r="B5086">
            <v>129753</v>
          </cell>
          <cell r="C5086" t="str">
            <v>Caldecott County Infant School</v>
          </cell>
          <cell r="D5086" t="str">
            <v>Oxfordshire</v>
          </cell>
          <cell r="E5086" t="str">
            <v>Community School</v>
          </cell>
          <cell r="F5086" t="str">
            <v>Primary</v>
          </cell>
        </row>
        <row r="5087">
          <cell r="A5087">
            <v>8867003</v>
          </cell>
          <cell r="B5087">
            <v>119027</v>
          </cell>
          <cell r="C5087" t="str">
            <v>Caldecott Foundation School</v>
          </cell>
          <cell r="D5087" t="str">
            <v>Kent</v>
          </cell>
          <cell r="E5087" t="str">
            <v>Non-Maintained Special School</v>
          </cell>
          <cell r="F5087" t="str">
            <v>Special</v>
          </cell>
        </row>
        <row r="5088">
          <cell r="A5088">
            <v>9312577</v>
          </cell>
          <cell r="B5088">
            <v>129755</v>
          </cell>
          <cell r="C5088" t="str">
            <v>Caldecott Junior School</v>
          </cell>
          <cell r="D5088" t="str">
            <v>Oxfordshire</v>
          </cell>
          <cell r="E5088" t="str">
            <v>Community School</v>
          </cell>
          <cell r="F5088" t="str">
            <v>Primary</v>
          </cell>
        </row>
        <row r="5089">
          <cell r="A5089">
            <v>9312605</v>
          </cell>
          <cell r="B5089">
            <v>123087</v>
          </cell>
          <cell r="C5089" t="str">
            <v>Caldecott Primary School</v>
          </cell>
          <cell r="D5089" t="str">
            <v>Oxfordshire</v>
          </cell>
          <cell r="E5089" t="str">
            <v>Community School</v>
          </cell>
          <cell r="F5089" t="str">
            <v>Primary</v>
          </cell>
        </row>
        <row r="5090">
          <cell r="A5090">
            <v>3814022</v>
          </cell>
          <cell r="B5090">
            <v>107562</v>
          </cell>
          <cell r="C5090" t="str">
            <v>Calder High School, A Specialist Technology College</v>
          </cell>
          <cell r="D5090" t="str">
            <v>Calderdale</v>
          </cell>
          <cell r="E5090" t="str">
            <v>Community School</v>
          </cell>
          <cell r="F5090" t="str">
            <v>Secondary</v>
          </cell>
        </row>
        <row r="5091">
          <cell r="A5091">
            <v>8656024</v>
          </cell>
          <cell r="B5091">
            <v>126542</v>
          </cell>
          <cell r="C5091" t="str">
            <v>Calder House School</v>
          </cell>
          <cell r="D5091" t="str">
            <v>Wiltshire</v>
          </cell>
          <cell r="E5091" t="str">
            <v>Other Independent Special School</v>
          </cell>
          <cell r="F5091" t="str">
            <v>Not applicable</v>
          </cell>
        </row>
        <row r="5092">
          <cell r="A5092">
            <v>8883515</v>
          </cell>
          <cell r="B5092">
            <v>119518</v>
          </cell>
          <cell r="C5092" t="str">
            <v>Calder Vale St John Church of England Primary School</v>
          </cell>
          <cell r="D5092" t="str">
            <v>Lancashire</v>
          </cell>
          <cell r="E5092" t="str">
            <v>Voluntary Aided School</v>
          </cell>
          <cell r="F5092" t="str">
            <v>Primary</v>
          </cell>
        </row>
        <row r="5093">
          <cell r="A5093">
            <v>3816002</v>
          </cell>
          <cell r="B5093">
            <v>137503</v>
          </cell>
          <cell r="C5093" t="str">
            <v>Calder Valley Steiner School</v>
          </cell>
          <cell r="D5093" t="str">
            <v>Calderdale</v>
          </cell>
          <cell r="E5093" t="str">
            <v>Other Independent School</v>
          </cell>
          <cell r="F5093" t="str">
            <v>Not applicable</v>
          </cell>
        </row>
        <row r="5094">
          <cell r="A5094">
            <v>3818000</v>
          </cell>
          <cell r="B5094">
            <v>130535</v>
          </cell>
          <cell r="C5094" t="str">
            <v>Calderdale College</v>
          </cell>
          <cell r="D5094" t="str">
            <v>Calderdale</v>
          </cell>
          <cell r="E5094" t="str">
            <v>Further Education</v>
          </cell>
          <cell r="F5094" t="str">
            <v>16 Plus</v>
          </cell>
        </row>
        <row r="5095">
          <cell r="A5095">
            <v>3811101</v>
          </cell>
          <cell r="B5095">
            <v>133693</v>
          </cell>
          <cell r="C5095" t="str">
            <v>Calderdale PRU</v>
          </cell>
          <cell r="D5095" t="str">
            <v>Calderdale</v>
          </cell>
          <cell r="E5095" t="str">
            <v>Pupil Referral Unit</v>
          </cell>
          <cell r="F5095" t="str">
            <v>PRU</v>
          </cell>
        </row>
        <row r="5096">
          <cell r="A5096">
            <v>3542027</v>
          </cell>
          <cell r="B5096">
            <v>105779</v>
          </cell>
          <cell r="C5096" t="str">
            <v>Caldershaw Primary School</v>
          </cell>
          <cell r="D5096" t="str">
            <v>Rochdale</v>
          </cell>
          <cell r="E5096" t="str">
            <v>Community School</v>
          </cell>
          <cell r="F5096" t="str">
            <v>Primary</v>
          </cell>
        </row>
        <row r="5097">
          <cell r="A5097">
            <v>3414427</v>
          </cell>
          <cell r="B5097">
            <v>104698</v>
          </cell>
          <cell r="C5097" t="str">
            <v>Calderstones School</v>
          </cell>
          <cell r="D5097" t="str">
            <v>Liverpool</v>
          </cell>
          <cell r="E5097" t="str">
            <v>Community School</v>
          </cell>
          <cell r="F5097" t="str">
            <v>Secondary</v>
          </cell>
        </row>
        <row r="5098">
          <cell r="A5098">
            <v>9092705</v>
          </cell>
          <cell r="B5098">
            <v>112237</v>
          </cell>
          <cell r="C5098" t="str">
            <v>Caldew Lea School</v>
          </cell>
          <cell r="D5098" t="str">
            <v>Cumbria</v>
          </cell>
          <cell r="E5098" t="str">
            <v>Community School</v>
          </cell>
          <cell r="F5098" t="str">
            <v>Primary</v>
          </cell>
        </row>
        <row r="5099">
          <cell r="A5099">
            <v>9095413</v>
          </cell>
          <cell r="B5099">
            <v>112440</v>
          </cell>
          <cell r="C5099" t="str">
            <v>Caldew School</v>
          </cell>
          <cell r="D5099" t="str">
            <v>Cumbria</v>
          </cell>
          <cell r="E5099" t="str">
            <v>Foundation School</v>
          </cell>
          <cell r="F5099" t="str">
            <v>Secondary</v>
          </cell>
        </row>
        <row r="5100">
          <cell r="A5100">
            <v>9095413</v>
          </cell>
          <cell r="B5100">
            <v>137254</v>
          </cell>
          <cell r="C5100" t="str">
            <v>Caldew School</v>
          </cell>
          <cell r="D5100" t="str">
            <v>Cumbria</v>
          </cell>
          <cell r="E5100" t="str">
            <v>Academy Converters</v>
          </cell>
          <cell r="F5100" t="str">
            <v>Secondary</v>
          </cell>
        </row>
        <row r="5101">
          <cell r="A5101">
            <v>9092604</v>
          </cell>
          <cell r="B5101">
            <v>128580</v>
          </cell>
          <cell r="C5101" t="str">
            <v>Caldewgate Junior School</v>
          </cell>
          <cell r="D5101" t="str">
            <v>Cumbria</v>
          </cell>
          <cell r="E5101" t="str">
            <v>Community School</v>
          </cell>
          <cell r="F5101" t="str">
            <v>Primary</v>
          </cell>
        </row>
        <row r="5102">
          <cell r="A5102">
            <v>6794066</v>
          </cell>
          <cell r="B5102">
            <v>401863</v>
          </cell>
          <cell r="C5102" t="str">
            <v>Caldicot Comprehensive School</v>
          </cell>
          <cell r="D5102" t="str">
            <v>Monmouthshire</v>
          </cell>
          <cell r="E5102" t="str">
            <v>Welsh Establishment</v>
          </cell>
          <cell r="F5102" t="str">
            <v>Secondary</v>
          </cell>
        </row>
        <row r="5103">
          <cell r="A5103">
            <v>6792198</v>
          </cell>
          <cell r="B5103">
            <v>401471</v>
          </cell>
          <cell r="C5103" t="str">
            <v>Caldicot Green Lane Junior School</v>
          </cell>
          <cell r="D5103" t="str">
            <v>Monmouthshire</v>
          </cell>
          <cell r="E5103" t="str">
            <v>Welsh Establishment</v>
          </cell>
          <cell r="F5103" t="str">
            <v>Primary</v>
          </cell>
        </row>
        <row r="5104">
          <cell r="A5104">
            <v>6792229</v>
          </cell>
          <cell r="B5104">
            <v>401474</v>
          </cell>
          <cell r="C5104" t="str">
            <v>Caldicot Sandy Lane Infants School</v>
          </cell>
          <cell r="D5104" t="str">
            <v>Monmouthshire</v>
          </cell>
          <cell r="E5104" t="str">
            <v>Welsh Establishment</v>
          </cell>
          <cell r="F5104" t="str">
            <v>Primary</v>
          </cell>
        </row>
        <row r="5105">
          <cell r="A5105">
            <v>6792238</v>
          </cell>
          <cell r="B5105">
            <v>401476</v>
          </cell>
          <cell r="C5105" t="str">
            <v>Caldicot West End Infants School</v>
          </cell>
          <cell r="D5105" t="str">
            <v>Monmouthshire</v>
          </cell>
          <cell r="E5105" t="str">
            <v>Welsh Establishment</v>
          </cell>
          <cell r="F5105" t="str">
            <v>Primary</v>
          </cell>
        </row>
        <row r="5106">
          <cell r="A5106">
            <v>8062102</v>
          </cell>
          <cell r="B5106">
            <v>111573</v>
          </cell>
          <cell r="C5106" t="str">
            <v>Caldicotes Primary School</v>
          </cell>
          <cell r="D5106" t="str">
            <v>Middlesbrough</v>
          </cell>
          <cell r="E5106" t="str">
            <v>Community School</v>
          </cell>
          <cell r="F5106" t="str">
            <v>Primary</v>
          </cell>
        </row>
        <row r="5107">
          <cell r="A5107">
            <v>8256009</v>
          </cell>
          <cell r="B5107">
            <v>110540</v>
          </cell>
          <cell r="C5107" t="str">
            <v>Caldicott School</v>
          </cell>
          <cell r="D5107" t="str">
            <v>Buckinghamshire</v>
          </cell>
          <cell r="E5107" t="str">
            <v>Other Independent School</v>
          </cell>
          <cell r="F5107" t="str">
            <v>Not applicable</v>
          </cell>
        </row>
        <row r="5108">
          <cell r="A5108">
            <v>3352123</v>
          </cell>
          <cell r="B5108">
            <v>104193</v>
          </cell>
          <cell r="C5108" t="str">
            <v>Caldmore Community Primary School</v>
          </cell>
          <cell r="D5108" t="str">
            <v>Walsall</v>
          </cell>
          <cell r="E5108" t="str">
            <v>Community School</v>
          </cell>
          <cell r="F5108" t="str">
            <v>Primary</v>
          </cell>
        </row>
        <row r="5109">
          <cell r="A5109">
            <v>9106056</v>
          </cell>
          <cell r="B5109">
            <v>128674</v>
          </cell>
          <cell r="C5109" t="str">
            <v>Caldwell Hall School</v>
          </cell>
          <cell r="D5109" t="str">
            <v>Pre LGR (1997) Derbyshire</v>
          </cell>
          <cell r="E5109" t="str">
            <v>Other Independent School</v>
          </cell>
          <cell r="F5109" t="str">
            <v>Not applicable</v>
          </cell>
        </row>
        <row r="5110">
          <cell r="A5110">
            <v>3562105</v>
          </cell>
          <cell r="B5110">
            <v>106091</v>
          </cell>
          <cell r="C5110" t="str">
            <v>Cale Green Primary School</v>
          </cell>
          <cell r="D5110" t="str">
            <v>Stockport</v>
          </cell>
          <cell r="E5110" t="str">
            <v>Community School</v>
          </cell>
          <cell r="F5110" t="str">
            <v>Primary</v>
          </cell>
        </row>
        <row r="5111">
          <cell r="A5111">
            <v>8772697</v>
          </cell>
          <cell r="B5111">
            <v>111214</v>
          </cell>
          <cell r="C5111" t="str">
            <v>Callands Primary School</v>
          </cell>
          <cell r="D5111" t="str">
            <v>Warrington</v>
          </cell>
          <cell r="E5111" t="str">
            <v>Community School</v>
          </cell>
          <cell r="F5111" t="str">
            <v>Primary</v>
          </cell>
        </row>
        <row r="5112">
          <cell r="A5112">
            <v>8032206</v>
          </cell>
          <cell r="B5112">
            <v>109038</v>
          </cell>
          <cell r="C5112" t="str">
            <v>Callicroft Junior School</v>
          </cell>
          <cell r="D5112" t="str">
            <v>South Gloucestershire</v>
          </cell>
          <cell r="E5112" t="str">
            <v>Community School</v>
          </cell>
          <cell r="F5112" t="str">
            <v>Primary</v>
          </cell>
        </row>
        <row r="5113">
          <cell r="A5113">
            <v>8032166</v>
          </cell>
          <cell r="B5113">
            <v>109009</v>
          </cell>
          <cell r="C5113" t="str">
            <v>Callicroft Primary School</v>
          </cell>
          <cell r="D5113" t="str">
            <v>South Gloucestershire</v>
          </cell>
          <cell r="E5113" t="str">
            <v>Community School</v>
          </cell>
          <cell r="F5113" t="str">
            <v>Primary</v>
          </cell>
        </row>
        <row r="5114">
          <cell r="A5114">
            <v>9084151</v>
          </cell>
          <cell r="B5114">
            <v>112046</v>
          </cell>
          <cell r="C5114" t="str">
            <v>Callington Community College</v>
          </cell>
          <cell r="D5114" t="str">
            <v>Cornwall</v>
          </cell>
          <cell r="E5114" t="str">
            <v>Foundation School</v>
          </cell>
          <cell r="F5114" t="str">
            <v>Secondary</v>
          </cell>
        </row>
        <row r="5115">
          <cell r="A5115">
            <v>9084151</v>
          </cell>
          <cell r="B5115">
            <v>136596</v>
          </cell>
          <cell r="C5115" t="str">
            <v>Callington Community College</v>
          </cell>
          <cell r="D5115" t="str">
            <v>Cornwall</v>
          </cell>
          <cell r="E5115" t="str">
            <v>Academy Converters</v>
          </cell>
          <cell r="F5115" t="str">
            <v>Secondary</v>
          </cell>
        </row>
        <row r="5116">
          <cell r="A5116">
            <v>9082700</v>
          </cell>
          <cell r="B5116">
            <v>111950</v>
          </cell>
          <cell r="C5116" t="str">
            <v>Callington Primary School</v>
          </cell>
          <cell r="D5116" t="str">
            <v>Cornwall</v>
          </cell>
          <cell r="E5116" t="str">
            <v>Community School</v>
          </cell>
          <cell r="F5116" t="str">
            <v>Primary</v>
          </cell>
        </row>
        <row r="5117">
          <cell r="A5117">
            <v>8862329</v>
          </cell>
          <cell r="B5117">
            <v>118406</v>
          </cell>
          <cell r="C5117" t="str">
            <v>Callis Grange Nursery and Infant School</v>
          </cell>
          <cell r="D5117" t="str">
            <v>Kent</v>
          </cell>
          <cell r="E5117" t="str">
            <v>Community School</v>
          </cell>
          <cell r="F5117" t="str">
            <v>Primary</v>
          </cell>
        </row>
        <row r="5118">
          <cell r="A5118">
            <v>8853014</v>
          </cell>
          <cell r="B5118">
            <v>116789</v>
          </cell>
          <cell r="C5118" t="str">
            <v>Callow End CofE Primary School</v>
          </cell>
          <cell r="D5118" t="str">
            <v>Worcestershire</v>
          </cell>
          <cell r="E5118" t="str">
            <v>Voluntary Controlled School</v>
          </cell>
          <cell r="F5118" t="str">
            <v>Primary</v>
          </cell>
        </row>
        <row r="5119">
          <cell r="A5119">
            <v>9162134</v>
          </cell>
          <cell r="B5119">
            <v>115570</v>
          </cell>
          <cell r="C5119" t="str">
            <v>Callowell Primary School</v>
          </cell>
          <cell r="D5119" t="str">
            <v>Gloucestershire</v>
          </cell>
          <cell r="E5119" t="str">
            <v>Community School</v>
          </cell>
          <cell r="F5119" t="str">
            <v>Primary</v>
          </cell>
        </row>
        <row r="5120">
          <cell r="A5120">
            <v>8502330</v>
          </cell>
          <cell r="B5120">
            <v>116049</v>
          </cell>
          <cell r="C5120" t="str">
            <v>Calmore Infant School</v>
          </cell>
          <cell r="D5120" t="str">
            <v>Hampshire</v>
          </cell>
          <cell r="E5120" t="str">
            <v>Community School</v>
          </cell>
          <cell r="F5120" t="str">
            <v>Primary</v>
          </cell>
        </row>
        <row r="5121">
          <cell r="A5121">
            <v>8505203</v>
          </cell>
          <cell r="B5121">
            <v>116483</v>
          </cell>
          <cell r="C5121" t="str">
            <v>Calmore Junior School</v>
          </cell>
          <cell r="D5121" t="str">
            <v>Hampshire</v>
          </cell>
          <cell r="E5121" t="str">
            <v>Foundation School</v>
          </cell>
          <cell r="F5121" t="str">
            <v>Primary</v>
          </cell>
        </row>
        <row r="5122">
          <cell r="A5122">
            <v>8653029</v>
          </cell>
          <cell r="B5122">
            <v>126311</v>
          </cell>
          <cell r="C5122" t="str">
            <v>Calne Guthrie Church of England Voluntary Controlled Infants' School</v>
          </cell>
          <cell r="D5122" t="str">
            <v>Wiltshire</v>
          </cell>
          <cell r="E5122" t="str">
            <v>Voluntary Controlled School</v>
          </cell>
          <cell r="F5122" t="str">
            <v>Primary</v>
          </cell>
        </row>
        <row r="5123">
          <cell r="A5123">
            <v>9103021</v>
          </cell>
          <cell r="B5123">
            <v>128625</v>
          </cell>
          <cell r="C5123" t="str">
            <v>Calow CofE Junior School</v>
          </cell>
          <cell r="D5123" t="str">
            <v>Pre LGR (1997) Derbyshire</v>
          </cell>
          <cell r="E5123" t="str">
            <v>Voluntary Controlled School</v>
          </cell>
          <cell r="F5123" t="str">
            <v>Primary</v>
          </cell>
        </row>
        <row r="5124">
          <cell r="A5124">
            <v>8303162</v>
          </cell>
          <cell r="B5124">
            <v>112876</v>
          </cell>
          <cell r="C5124" t="str">
            <v>Calow CofE VC Primary School</v>
          </cell>
          <cell r="D5124" t="str">
            <v>Derbyshire</v>
          </cell>
          <cell r="E5124" t="str">
            <v>Voluntary Controlled School</v>
          </cell>
          <cell r="F5124" t="str">
            <v>Primary</v>
          </cell>
        </row>
        <row r="5125">
          <cell r="A5125">
            <v>9102348</v>
          </cell>
          <cell r="B5125">
            <v>128623</v>
          </cell>
          <cell r="C5125" t="str">
            <v>Calow County Infant School</v>
          </cell>
          <cell r="D5125" t="str">
            <v>Pre LGR (1997) Derbyshire</v>
          </cell>
          <cell r="E5125" t="str">
            <v>Community School</v>
          </cell>
          <cell r="F5125" t="str">
            <v>Primary</v>
          </cell>
        </row>
        <row r="5126">
          <cell r="A5126">
            <v>3302084</v>
          </cell>
          <cell r="B5126">
            <v>127048</v>
          </cell>
          <cell r="C5126" t="str">
            <v>Calshot Infant School</v>
          </cell>
          <cell r="D5126" t="str">
            <v>Birmingham</v>
          </cell>
          <cell r="E5126" t="str">
            <v>Community School</v>
          </cell>
          <cell r="F5126" t="str">
            <v>Primary</v>
          </cell>
        </row>
        <row r="5127">
          <cell r="A5127">
            <v>3302083</v>
          </cell>
          <cell r="B5127">
            <v>127047</v>
          </cell>
          <cell r="C5127" t="str">
            <v>Calshot Junior School</v>
          </cell>
          <cell r="D5127" t="str">
            <v>Birmingham</v>
          </cell>
          <cell r="E5127" t="str">
            <v>Community School</v>
          </cell>
          <cell r="F5127" t="str">
            <v>Primary</v>
          </cell>
        </row>
        <row r="5128">
          <cell r="A5128">
            <v>3302465</v>
          </cell>
          <cell r="B5128">
            <v>103391</v>
          </cell>
          <cell r="C5128" t="str">
            <v>Calshot Primary School</v>
          </cell>
          <cell r="D5128" t="str">
            <v>Birmingham</v>
          </cell>
          <cell r="E5128" t="str">
            <v>Community School</v>
          </cell>
          <cell r="F5128" t="str">
            <v>Primary</v>
          </cell>
        </row>
        <row r="5129">
          <cell r="A5129">
            <v>9082701</v>
          </cell>
          <cell r="B5129">
            <v>111951</v>
          </cell>
          <cell r="C5129" t="str">
            <v>Calstock Community Primary School</v>
          </cell>
          <cell r="D5129" t="str">
            <v>Cornwall</v>
          </cell>
          <cell r="E5129" t="str">
            <v>Community School</v>
          </cell>
          <cell r="F5129" t="str">
            <v>Primary</v>
          </cell>
        </row>
        <row r="5130">
          <cell r="A5130">
            <v>8504171</v>
          </cell>
          <cell r="B5130">
            <v>116436</v>
          </cell>
          <cell r="C5130" t="str">
            <v>Calthorpe Park School</v>
          </cell>
          <cell r="D5130" t="str">
            <v>Hampshire</v>
          </cell>
          <cell r="E5130" t="str">
            <v>Community School</v>
          </cell>
          <cell r="F5130" t="str">
            <v>Secondary</v>
          </cell>
        </row>
        <row r="5131">
          <cell r="A5131">
            <v>3307013</v>
          </cell>
          <cell r="B5131">
            <v>103604</v>
          </cell>
          <cell r="C5131" t="str">
            <v>Calthorpe School Sports College</v>
          </cell>
          <cell r="D5131" t="str">
            <v>Birmingham</v>
          </cell>
          <cell r="E5131" t="str">
            <v>Community Special School</v>
          </cell>
          <cell r="F5131" t="str">
            <v>Special</v>
          </cell>
        </row>
        <row r="5132">
          <cell r="A5132">
            <v>9093304</v>
          </cell>
          <cell r="B5132">
            <v>112301</v>
          </cell>
          <cell r="C5132" t="str">
            <v>Calthwaite CofE School</v>
          </cell>
          <cell r="D5132" t="str">
            <v>Cumbria</v>
          </cell>
          <cell r="E5132" t="str">
            <v>Voluntary Aided School</v>
          </cell>
          <cell r="F5132" t="str">
            <v>Primary</v>
          </cell>
        </row>
        <row r="5133">
          <cell r="A5133">
            <v>9162008</v>
          </cell>
          <cell r="B5133">
            <v>115486</v>
          </cell>
          <cell r="C5133" t="str">
            <v>Calton Infant School</v>
          </cell>
          <cell r="D5133" t="str">
            <v>Gloucestershire</v>
          </cell>
          <cell r="E5133" t="str">
            <v>Community School</v>
          </cell>
          <cell r="F5133" t="str">
            <v>Primary</v>
          </cell>
        </row>
        <row r="5134">
          <cell r="A5134">
            <v>9162007</v>
          </cell>
          <cell r="B5134">
            <v>115485</v>
          </cell>
          <cell r="C5134" t="str">
            <v>Calton Junior School</v>
          </cell>
          <cell r="D5134" t="str">
            <v>Gloucestershire</v>
          </cell>
          <cell r="E5134" t="str">
            <v>Community School</v>
          </cell>
          <cell r="F5134" t="str">
            <v>Primary</v>
          </cell>
        </row>
        <row r="5135">
          <cell r="A5135">
            <v>3314028</v>
          </cell>
          <cell r="B5135">
            <v>103731</v>
          </cell>
          <cell r="C5135" t="str">
            <v>Caludon Castle School</v>
          </cell>
          <cell r="D5135" t="str">
            <v>Coventry</v>
          </cell>
          <cell r="E5135" t="str">
            <v>Community School</v>
          </cell>
          <cell r="F5135" t="str">
            <v>Secondary</v>
          </cell>
        </row>
        <row r="5136">
          <cell r="A5136">
            <v>8952214</v>
          </cell>
          <cell r="B5136">
            <v>111071</v>
          </cell>
          <cell r="C5136" t="str">
            <v>Calveley Primary School</v>
          </cell>
          <cell r="D5136" t="str">
            <v>Cheshire East</v>
          </cell>
          <cell r="E5136" t="str">
            <v>Community School</v>
          </cell>
          <cell r="F5136" t="str">
            <v>Primary</v>
          </cell>
        </row>
        <row r="5137">
          <cell r="A5137">
            <v>3833046</v>
          </cell>
          <cell r="B5137">
            <v>107996</v>
          </cell>
          <cell r="C5137" t="str">
            <v>Calverley Church of England Voluntary Controlled Primary School</v>
          </cell>
          <cell r="D5137" t="str">
            <v>Leeds</v>
          </cell>
          <cell r="E5137" t="str">
            <v>Voluntary Controlled School</v>
          </cell>
          <cell r="F5137" t="str">
            <v>Primary</v>
          </cell>
        </row>
        <row r="5138">
          <cell r="A5138">
            <v>3832301</v>
          </cell>
          <cell r="B5138">
            <v>107826</v>
          </cell>
          <cell r="C5138" t="str">
            <v>Calverley Parkside Primary School</v>
          </cell>
          <cell r="D5138" t="str">
            <v>Leeds</v>
          </cell>
          <cell r="E5138" t="str">
            <v>Community School</v>
          </cell>
          <cell r="F5138" t="str">
            <v>Primary</v>
          </cell>
        </row>
        <row r="5139">
          <cell r="A5139">
            <v>3804103</v>
          </cell>
          <cell r="B5139">
            <v>107416</v>
          </cell>
          <cell r="C5139" t="str">
            <v>Calversyke Middle School</v>
          </cell>
          <cell r="D5139" t="str">
            <v>Bradford</v>
          </cell>
          <cell r="E5139" t="str">
            <v>Community School</v>
          </cell>
          <cell r="F5139" t="str">
            <v>Middle Deemed Secondary</v>
          </cell>
        </row>
        <row r="5140">
          <cell r="A5140">
            <v>3162089</v>
          </cell>
          <cell r="B5140">
            <v>102758</v>
          </cell>
          <cell r="C5140" t="str">
            <v>Calverton Primary School</v>
          </cell>
          <cell r="D5140" t="str">
            <v>Newham</v>
          </cell>
          <cell r="E5140" t="str">
            <v>Community School</v>
          </cell>
          <cell r="F5140" t="str">
            <v>Primary</v>
          </cell>
        </row>
        <row r="5141">
          <cell r="A5141">
            <v>9162143</v>
          </cell>
          <cell r="B5141">
            <v>115578</v>
          </cell>
          <cell r="C5141" t="str">
            <v>Cam Everlands Primary School</v>
          </cell>
          <cell r="D5141" t="str">
            <v>Gloucestershire</v>
          </cell>
          <cell r="E5141" t="str">
            <v>Community School</v>
          </cell>
          <cell r="F5141" t="str">
            <v>Primary</v>
          </cell>
        </row>
        <row r="5142">
          <cell r="A5142">
            <v>9163313</v>
          </cell>
          <cell r="B5142">
            <v>115676</v>
          </cell>
          <cell r="C5142" t="str">
            <v>Cam Hopton Church of England Primary School</v>
          </cell>
          <cell r="D5142" t="str">
            <v>Gloucestershire</v>
          </cell>
          <cell r="E5142" t="str">
            <v>Voluntary Aided School</v>
          </cell>
          <cell r="F5142" t="str">
            <v>Primary</v>
          </cell>
        </row>
        <row r="5143">
          <cell r="A5143">
            <v>9167011</v>
          </cell>
          <cell r="B5143">
            <v>115817</v>
          </cell>
          <cell r="C5143" t="str">
            <v>Cam House School</v>
          </cell>
          <cell r="D5143" t="str">
            <v>Gloucestershire</v>
          </cell>
          <cell r="E5143" t="str">
            <v>Community Special School</v>
          </cell>
          <cell r="F5143" t="str">
            <v>Special</v>
          </cell>
        </row>
        <row r="5144">
          <cell r="A5144">
            <v>9162138</v>
          </cell>
          <cell r="B5144">
            <v>115574</v>
          </cell>
          <cell r="C5144" t="str">
            <v>Cam Woodfield Infant School</v>
          </cell>
          <cell r="D5144" t="str">
            <v>Gloucestershire</v>
          </cell>
          <cell r="E5144" t="str">
            <v>Community School</v>
          </cell>
          <cell r="F5144" t="str">
            <v>Primary</v>
          </cell>
        </row>
        <row r="5145">
          <cell r="A5145">
            <v>9165212</v>
          </cell>
          <cell r="B5145">
            <v>115742</v>
          </cell>
          <cell r="C5145" t="str">
            <v>Cam Woodfield Junior School</v>
          </cell>
          <cell r="D5145" t="str">
            <v>Gloucestershire</v>
          </cell>
          <cell r="E5145" t="str">
            <v>Foundation School</v>
          </cell>
          <cell r="F5145" t="str">
            <v>Primary</v>
          </cell>
        </row>
        <row r="5146">
          <cell r="A5146">
            <v>3012001</v>
          </cell>
          <cell r="B5146">
            <v>101186</v>
          </cell>
          <cell r="C5146" t="str">
            <v>Cambell Infants' School</v>
          </cell>
          <cell r="D5146" t="str">
            <v>Barking and Dagenham</v>
          </cell>
          <cell r="E5146" t="str">
            <v>Community School</v>
          </cell>
          <cell r="F5146" t="str">
            <v>Primary</v>
          </cell>
        </row>
        <row r="5147">
          <cell r="A5147">
            <v>3012000</v>
          </cell>
          <cell r="B5147">
            <v>101185</v>
          </cell>
          <cell r="C5147" t="str">
            <v>Cambell Junior School</v>
          </cell>
          <cell r="D5147" t="str">
            <v>Barking and Dagenham</v>
          </cell>
          <cell r="E5147" t="str">
            <v>Community School</v>
          </cell>
          <cell r="F5147" t="str">
            <v>Primary</v>
          </cell>
        </row>
        <row r="5148">
          <cell r="A5148">
            <v>9362117</v>
          </cell>
          <cell r="B5148">
            <v>124970</v>
          </cell>
          <cell r="C5148" t="str">
            <v>Camberley Infant and Nursery School</v>
          </cell>
          <cell r="D5148" t="str">
            <v>Surrey</v>
          </cell>
          <cell r="E5148" t="str">
            <v>Community School</v>
          </cell>
          <cell r="F5148" t="str">
            <v>Primary</v>
          </cell>
        </row>
        <row r="5149">
          <cell r="A5149">
            <v>3407011</v>
          </cell>
          <cell r="B5149">
            <v>127253</v>
          </cell>
          <cell r="C5149" t="str">
            <v>Camberley School</v>
          </cell>
          <cell r="D5149" t="str">
            <v>Knowsley</v>
          </cell>
          <cell r="E5149" t="str">
            <v>Community Special School</v>
          </cell>
          <cell r="F5149" t="str">
            <v>Special</v>
          </cell>
        </row>
        <row r="5150">
          <cell r="A5150">
            <v>2108150</v>
          </cell>
          <cell r="B5150">
            <v>133166</v>
          </cell>
          <cell r="C5150" t="str">
            <v>Camberwell College of Arts</v>
          </cell>
          <cell r="D5150" t="str">
            <v>Southwark</v>
          </cell>
          <cell r="E5150" t="str">
            <v>Miscellaneous</v>
          </cell>
          <cell r="F5150" t="str">
            <v>Not applicable</v>
          </cell>
        </row>
        <row r="5151">
          <cell r="A5151">
            <v>3527748</v>
          </cell>
          <cell r="B5151">
            <v>133033</v>
          </cell>
          <cell r="C5151" t="str">
            <v>Camberwell Park School</v>
          </cell>
          <cell r="D5151" t="str">
            <v>Manchester</v>
          </cell>
          <cell r="E5151" t="str">
            <v>Community Special School</v>
          </cell>
          <cell r="F5151" t="str">
            <v>Special</v>
          </cell>
        </row>
        <row r="5152">
          <cell r="A5152">
            <v>3527023</v>
          </cell>
          <cell r="B5152">
            <v>105606</v>
          </cell>
          <cell r="C5152" t="str">
            <v>Camberwell Park Specialist Support School</v>
          </cell>
          <cell r="D5152" t="str">
            <v>Manchester</v>
          </cell>
          <cell r="E5152" t="str">
            <v>Community Special School</v>
          </cell>
          <cell r="F5152" t="str">
            <v>Special</v>
          </cell>
        </row>
        <row r="5153">
          <cell r="A5153">
            <v>8152387</v>
          </cell>
          <cell r="B5153">
            <v>121441</v>
          </cell>
          <cell r="C5153" t="str">
            <v>Camblesforth Community Primary School</v>
          </cell>
          <cell r="D5153" t="str">
            <v>North Yorkshire</v>
          </cell>
          <cell r="E5153" t="str">
            <v>Community School</v>
          </cell>
          <cell r="F5153" t="str">
            <v>Primary</v>
          </cell>
        </row>
        <row r="5154">
          <cell r="A5154">
            <v>9292246</v>
          </cell>
          <cell r="B5154">
            <v>122232</v>
          </cell>
          <cell r="C5154" t="str">
            <v>Cambo First School</v>
          </cell>
          <cell r="D5154" t="str">
            <v>Northumberland</v>
          </cell>
          <cell r="E5154" t="str">
            <v>Community School</v>
          </cell>
          <cell r="F5154" t="str">
            <v>Primary</v>
          </cell>
        </row>
        <row r="5155">
          <cell r="A5155">
            <v>9292035</v>
          </cell>
          <cell r="B5155">
            <v>122179</v>
          </cell>
          <cell r="C5155" t="str">
            <v>Cambois First School</v>
          </cell>
          <cell r="D5155" t="str">
            <v>Northumberland</v>
          </cell>
          <cell r="E5155" t="str">
            <v>Community School</v>
          </cell>
          <cell r="F5155" t="str">
            <v>Primary</v>
          </cell>
        </row>
        <row r="5156">
          <cell r="A5156">
            <v>9296047</v>
          </cell>
          <cell r="B5156">
            <v>135889</v>
          </cell>
          <cell r="C5156" t="str">
            <v>Cambois House School</v>
          </cell>
          <cell r="D5156" t="str">
            <v>Northumberland</v>
          </cell>
          <cell r="E5156" t="str">
            <v>Other Independent Special School</v>
          </cell>
          <cell r="F5156" t="str">
            <v>Not applicable</v>
          </cell>
        </row>
        <row r="5157">
          <cell r="A5157">
            <v>9081000</v>
          </cell>
          <cell r="B5157">
            <v>111789</v>
          </cell>
          <cell r="C5157" t="str">
            <v>Camborne Nursery School</v>
          </cell>
          <cell r="D5157" t="str">
            <v>Cornwall</v>
          </cell>
          <cell r="E5157" t="str">
            <v>LA Nursery School</v>
          </cell>
          <cell r="F5157" t="str">
            <v>Nursery</v>
          </cell>
        </row>
        <row r="5158">
          <cell r="A5158">
            <v>9084158</v>
          </cell>
          <cell r="B5158">
            <v>112053</v>
          </cell>
          <cell r="C5158" t="str">
            <v>Camborne Science and Community College</v>
          </cell>
          <cell r="D5158" t="str">
            <v>Cornwall</v>
          </cell>
          <cell r="E5158" t="str">
            <v>Community School</v>
          </cell>
          <cell r="F5158" t="str">
            <v>Secondary</v>
          </cell>
        </row>
        <row r="5159">
          <cell r="A5159">
            <v>9084158</v>
          </cell>
          <cell r="B5159">
            <v>136524</v>
          </cell>
          <cell r="C5159" t="str">
            <v>Camborne Science and Community College Academy</v>
          </cell>
          <cell r="D5159" t="str">
            <v>Cornwall</v>
          </cell>
          <cell r="E5159" t="str">
            <v>Academy Converters</v>
          </cell>
          <cell r="F5159" t="str">
            <v>Secondary</v>
          </cell>
        </row>
        <row r="5160">
          <cell r="A5160">
            <v>8736022</v>
          </cell>
          <cell r="B5160">
            <v>110935</v>
          </cell>
          <cell r="C5160" t="str">
            <v>Cambridge Arts and Sciences Sixth Form and Tutorial College</v>
          </cell>
          <cell r="D5160" t="str">
            <v>Cambridgeshire</v>
          </cell>
          <cell r="E5160" t="str">
            <v>Other Independent School</v>
          </cell>
          <cell r="F5160" t="str">
            <v>Not applicable</v>
          </cell>
        </row>
        <row r="5161">
          <cell r="A5161">
            <v>8736021</v>
          </cell>
          <cell r="B5161">
            <v>110934</v>
          </cell>
          <cell r="C5161" t="str">
            <v>Cambridge Centre for Sixth Form Studies</v>
          </cell>
          <cell r="D5161" t="str">
            <v>Cambridgeshire</v>
          </cell>
          <cell r="E5161" t="str">
            <v>Other Independent School</v>
          </cell>
          <cell r="F5161" t="str">
            <v>Not applicable</v>
          </cell>
        </row>
        <row r="5162">
          <cell r="A5162">
            <v>2114900</v>
          </cell>
          <cell r="B5162">
            <v>136096</v>
          </cell>
          <cell r="C5162" t="str">
            <v>Cambridge Heath Sixth Form</v>
          </cell>
          <cell r="D5162" t="str">
            <v>Tower Hamlets</v>
          </cell>
          <cell r="E5162" t="str">
            <v>Sixth Form Centres</v>
          </cell>
          <cell r="F5162" t="str">
            <v>16 Plus</v>
          </cell>
        </row>
        <row r="5163">
          <cell r="A5163">
            <v>3157001</v>
          </cell>
          <cell r="B5163">
            <v>102696</v>
          </cell>
          <cell r="C5163" t="str">
            <v>Cambridge House School</v>
          </cell>
          <cell r="D5163" t="str">
            <v>Merton</v>
          </cell>
          <cell r="E5163" t="str">
            <v>Community Special School</v>
          </cell>
          <cell r="F5163" t="str">
            <v>Special</v>
          </cell>
        </row>
        <row r="5164">
          <cell r="A5164">
            <v>8736042</v>
          </cell>
          <cell r="B5164">
            <v>135184</v>
          </cell>
          <cell r="C5164" t="str">
            <v>Cambridge International School</v>
          </cell>
          <cell r="D5164" t="str">
            <v>Cambridgeshire</v>
          </cell>
          <cell r="E5164" t="str">
            <v>Other Independent School</v>
          </cell>
          <cell r="F5164" t="str">
            <v>Not applicable</v>
          </cell>
        </row>
        <row r="5165">
          <cell r="A5165">
            <v>3431004</v>
          </cell>
          <cell r="B5165">
            <v>104847</v>
          </cell>
          <cell r="C5165" t="str">
            <v>Cambridge Nursery School</v>
          </cell>
          <cell r="D5165" t="str">
            <v>Sefton</v>
          </cell>
          <cell r="E5165" t="str">
            <v>LA Nursery School</v>
          </cell>
          <cell r="F5165" t="str">
            <v>Nursery</v>
          </cell>
        </row>
        <row r="5166">
          <cell r="A5166">
            <v>8127033</v>
          </cell>
          <cell r="B5166">
            <v>137363</v>
          </cell>
          <cell r="C5166" t="str">
            <v>Cambridge Park Academy</v>
          </cell>
          <cell r="D5166" t="str">
            <v>North East Lincolnshire</v>
          </cell>
          <cell r="E5166" t="str">
            <v>Academy Converters</v>
          </cell>
          <cell r="F5166" t="str">
            <v>Not applicable</v>
          </cell>
        </row>
        <row r="5167">
          <cell r="A5167">
            <v>8127033</v>
          </cell>
          <cell r="B5167">
            <v>118152</v>
          </cell>
          <cell r="C5167" t="str">
            <v>Cambridge Park Maths &amp; Computing College</v>
          </cell>
          <cell r="D5167" t="str">
            <v>North East Lincolnshire</v>
          </cell>
          <cell r="E5167" t="str">
            <v>Community Special School</v>
          </cell>
          <cell r="F5167" t="str">
            <v>Special</v>
          </cell>
        </row>
        <row r="5168">
          <cell r="A5168">
            <v>9092002</v>
          </cell>
          <cell r="B5168">
            <v>134117</v>
          </cell>
          <cell r="C5168" t="str">
            <v>Cambridge Primary School</v>
          </cell>
          <cell r="D5168" t="str">
            <v>Cumbria</v>
          </cell>
          <cell r="E5168" t="str">
            <v>Community School</v>
          </cell>
          <cell r="F5168" t="str">
            <v>Primary</v>
          </cell>
        </row>
        <row r="5169">
          <cell r="A5169">
            <v>8738005</v>
          </cell>
          <cell r="B5169">
            <v>130610</v>
          </cell>
          <cell r="C5169" t="str">
            <v>Cambridge Regional College</v>
          </cell>
          <cell r="D5169" t="str">
            <v>Cambridgeshire</v>
          </cell>
          <cell r="E5169" t="str">
            <v>Further Education</v>
          </cell>
          <cell r="F5169" t="str">
            <v>16 Plus</v>
          </cell>
        </row>
        <row r="5170">
          <cell r="A5170">
            <v>8962235</v>
          </cell>
          <cell r="B5170">
            <v>111084</v>
          </cell>
          <cell r="C5170" t="str">
            <v>Cambridge Road Community Primary and Nursery School</v>
          </cell>
          <cell r="D5170" t="str">
            <v>Cheshire West and Chester</v>
          </cell>
          <cell r="E5170" t="str">
            <v>Community School</v>
          </cell>
          <cell r="F5170" t="str">
            <v>Primary</v>
          </cell>
        </row>
        <row r="5171">
          <cell r="A5171">
            <v>2057204</v>
          </cell>
          <cell r="B5171">
            <v>100382</v>
          </cell>
          <cell r="C5171" t="str">
            <v>Cambridge School</v>
          </cell>
          <cell r="D5171" t="str">
            <v>Hammersmith and Fulham</v>
          </cell>
          <cell r="E5171" t="str">
            <v>Community Special School</v>
          </cell>
          <cell r="F5171" t="str">
            <v>Special</v>
          </cell>
        </row>
        <row r="5172">
          <cell r="A5172">
            <v>8736031</v>
          </cell>
          <cell r="B5172">
            <v>133308</v>
          </cell>
          <cell r="C5172" t="str">
            <v>Cambridge School of Languages</v>
          </cell>
          <cell r="D5172" t="str">
            <v>Cambridgeshire</v>
          </cell>
          <cell r="E5172" t="str">
            <v>Other Independent School</v>
          </cell>
          <cell r="F5172" t="str">
            <v>Not applicable</v>
          </cell>
        </row>
        <row r="5173">
          <cell r="A5173">
            <v>8736029</v>
          </cell>
          <cell r="B5173">
            <v>131937</v>
          </cell>
          <cell r="C5173" t="str">
            <v>Cambridge Steiner School</v>
          </cell>
          <cell r="D5173" t="str">
            <v>Cambridgeshire</v>
          </cell>
          <cell r="E5173" t="str">
            <v>Other Independent School</v>
          </cell>
          <cell r="F5173" t="str">
            <v>Not applicable</v>
          </cell>
        </row>
        <row r="5174">
          <cell r="A5174">
            <v>8731107</v>
          </cell>
          <cell r="B5174">
            <v>136059</v>
          </cell>
          <cell r="C5174" t="str">
            <v>Cambridge Student Support Centre (PRU)</v>
          </cell>
          <cell r="D5174" t="str">
            <v>Cambridgeshire</v>
          </cell>
          <cell r="E5174" t="str">
            <v>Pupil Referral Unit</v>
          </cell>
          <cell r="F5174" t="str">
            <v>PRU</v>
          </cell>
        </row>
        <row r="5175">
          <cell r="A5175">
            <v>3068221</v>
          </cell>
          <cell r="B5175">
            <v>133050</v>
          </cell>
          <cell r="C5175" t="str">
            <v>Cambridge Tutors College</v>
          </cell>
          <cell r="D5175" t="str">
            <v>Croydon</v>
          </cell>
          <cell r="E5175" t="str">
            <v>Miscellaneous</v>
          </cell>
          <cell r="F5175" t="str">
            <v>Not applicable</v>
          </cell>
        </row>
        <row r="5176">
          <cell r="A5176">
            <v>3066095</v>
          </cell>
          <cell r="B5176">
            <v>133528</v>
          </cell>
          <cell r="C5176" t="str">
            <v>Cambridge Tutors College</v>
          </cell>
          <cell r="D5176" t="str">
            <v>Croydon</v>
          </cell>
          <cell r="E5176" t="str">
            <v>Other Independent School</v>
          </cell>
          <cell r="F5176" t="str">
            <v>Not applicable</v>
          </cell>
        </row>
        <row r="5177">
          <cell r="A5177">
            <v>8738350</v>
          </cell>
          <cell r="B5177">
            <v>130614</v>
          </cell>
          <cell r="C5177" t="str">
            <v>Cambridgeshire College of Agriculture and Horticulture</v>
          </cell>
          <cell r="D5177" t="str">
            <v>Cambridgeshire</v>
          </cell>
          <cell r="E5177" t="str">
            <v>Further Education</v>
          </cell>
          <cell r="F5177" t="str">
            <v>16 Plus</v>
          </cell>
        </row>
        <row r="5178">
          <cell r="A5178">
            <v>2021105</v>
          </cell>
          <cell r="B5178">
            <v>135954</v>
          </cell>
          <cell r="C5178" t="str">
            <v>Camden Courthope Education Centre</v>
          </cell>
          <cell r="D5178" t="str">
            <v>Camden</v>
          </cell>
          <cell r="E5178" t="str">
            <v>Pupil Referral Unit</v>
          </cell>
          <cell r="F5178" t="str">
            <v>PRU</v>
          </cell>
        </row>
        <row r="5179">
          <cell r="A5179">
            <v>3192005</v>
          </cell>
          <cell r="B5179">
            <v>102961</v>
          </cell>
          <cell r="C5179" t="str">
            <v>Camden Junior School</v>
          </cell>
          <cell r="D5179" t="str">
            <v>Sutton</v>
          </cell>
          <cell r="E5179" t="str">
            <v>Community School</v>
          </cell>
          <cell r="F5179" t="str">
            <v>Primary</v>
          </cell>
        </row>
        <row r="5180">
          <cell r="A5180">
            <v>2021101</v>
          </cell>
          <cell r="B5180">
            <v>100007</v>
          </cell>
          <cell r="C5180" t="str">
            <v>Camden Primary Pupil Referral Unit</v>
          </cell>
          <cell r="D5180" t="str">
            <v>Camden</v>
          </cell>
          <cell r="E5180" t="str">
            <v>Pupil Referral Unit</v>
          </cell>
          <cell r="F5180" t="str">
            <v>PRU</v>
          </cell>
        </row>
        <row r="5181">
          <cell r="A5181">
            <v>8402048</v>
          </cell>
          <cell r="B5181">
            <v>114000</v>
          </cell>
          <cell r="C5181" t="str">
            <v>Camden Square Infants' and Nursery School</v>
          </cell>
          <cell r="D5181" t="str">
            <v>Durham</v>
          </cell>
          <cell r="E5181" t="str">
            <v>Community School</v>
          </cell>
          <cell r="F5181" t="str">
            <v>Primary</v>
          </cell>
        </row>
        <row r="5182">
          <cell r="A5182">
            <v>8003078</v>
          </cell>
          <cell r="B5182">
            <v>109186</v>
          </cell>
          <cell r="C5182" t="str">
            <v>Cameley CofE VC Primary School</v>
          </cell>
          <cell r="D5182" t="str">
            <v>Bath and North East Somerset</v>
          </cell>
          <cell r="E5182" t="str">
            <v>Voluntary Controlled School</v>
          </cell>
          <cell r="F5182" t="str">
            <v>Primary</v>
          </cell>
        </row>
        <row r="5183">
          <cell r="A5183">
            <v>9082603</v>
          </cell>
          <cell r="B5183">
            <v>111927</v>
          </cell>
          <cell r="C5183" t="str">
            <v>Camelford Community Primary School</v>
          </cell>
          <cell r="D5183" t="str">
            <v>Cornwall</v>
          </cell>
          <cell r="E5183" t="str">
            <v>Community School</v>
          </cell>
          <cell r="F5183" t="str">
            <v>Primary</v>
          </cell>
        </row>
        <row r="5184">
          <cell r="A5184">
            <v>2102085</v>
          </cell>
          <cell r="B5184">
            <v>100780</v>
          </cell>
          <cell r="C5184" t="str">
            <v>Camelot Primary School</v>
          </cell>
          <cell r="D5184" t="str">
            <v>Southwark</v>
          </cell>
          <cell r="E5184" t="str">
            <v>Community School</v>
          </cell>
          <cell r="F5184" t="str">
            <v>Primary</v>
          </cell>
        </row>
        <row r="5185">
          <cell r="A5185">
            <v>9382011</v>
          </cell>
          <cell r="B5185">
            <v>125821</v>
          </cell>
          <cell r="C5185" t="str">
            <v>Camelsdale Primary School</v>
          </cell>
          <cell r="D5185" t="str">
            <v>West Sussex</v>
          </cell>
          <cell r="E5185" t="str">
            <v>Community School</v>
          </cell>
          <cell r="F5185" t="str">
            <v>Primary</v>
          </cell>
        </row>
        <row r="5186">
          <cell r="A5186">
            <v>2076350</v>
          </cell>
          <cell r="B5186">
            <v>100538</v>
          </cell>
          <cell r="C5186" t="str">
            <v>Cameron House School</v>
          </cell>
          <cell r="D5186" t="str">
            <v>Kensington and Chelsea</v>
          </cell>
          <cell r="E5186" t="str">
            <v>Other Independent School</v>
          </cell>
          <cell r="F5186" t="str">
            <v>Not applicable</v>
          </cell>
        </row>
        <row r="5187">
          <cell r="A5187">
            <v>8003079</v>
          </cell>
          <cell r="B5187">
            <v>109187</v>
          </cell>
          <cell r="C5187" t="str">
            <v>Camerton CofE Primary School</v>
          </cell>
          <cell r="D5187" t="str">
            <v>Bath and North East Somerset</v>
          </cell>
          <cell r="E5187" t="str">
            <v>Voluntary Controlled School</v>
          </cell>
          <cell r="F5187" t="str">
            <v>Primary</v>
          </cell>
        </row>
        <row r="5188">
          <cell r="A5188">
            <v>8222062</v>
          </cell>
          <cell r="B5188">
            <v>109462</v>
          </cell>
          <cell r="C5188" t="str">
            <v>Camestone Lower School</v>
          </cell>
          <cell r="D5188" t="str">
            <v>Bedford</v>
          </cell>
          <cell r="E5188" t="str">
            <v>Community School</v>
          </cell>
          <cell r="F5188" t="str">
            <v>Primary</v>
          </cell>
        </row>
        <row r="5189">
          <cell r="A5189">
            <v>8303316</v>
          </cell>
          <cell r="B5189">
            <v>112882</v>
          </cell>
          <cell r="C5189" t="str">
            <v>Camms CofE (Aided) Primary School</v>
          </cell>
          <cell r="D5189" t="str">
            <v>Derbyshire</v>
          </cell>
          <cell r="E5189" t="str">
            <v>Voluntary Aided School</v>
          </cell>
          <cell r="F5189" t="str">
            <v>Primary</v>
          </cell>
        </row>
        <row r="5190">
          <cell r="A5190">
            <v>9372105</v>
          </cell>
          <cell r="B5190">
            <v>125538</v>
          </cell>
          <cell r="C5190" t="str">
            <v>Camp Hill Junior School</v>
          </cell>
          <cell r="D5190" t="str">
            <v>Warwickshire</v>
          </cell>
          <cell r="E5190" t="str">
            <v>Community School</v>
          </cell>
          <cell r="F5190" t="str">
            <v>Primary</v>
          </cell>
        </row>
        <row r="5191">
          <cell r="A5191">
            <v>9371042</v>
          </cell>
          <cell r="B5191">
            <v>125492</v>
          </cell>
          <cell r="C5191" t="str">
            <v>Camp Hill Nursery School</v>
          </cell>
          <cell r="D5191" t="str">
            <v>Warwickshire</v>
          </cell>
          <cell r="E5191" t="str">
            <v>LA Nursery School</v>
          </cell>
          <cell r="F5191" t="str">
            <v>Nursery</v>
          </cell>
        </row>
        <row r="5192">
          <cell r="A5192">
            <v>9372640</v>
          </cell>
          <cell r="B5192">
            <v>132059</v>
          </cell>
          <cell r="C5192" t="str">
            <v>Camp Hill Primary School and Early Years Centre</v>
          </cell>
          <cell r="D5192" t="str">
            <v>Warwickshire</v>
          </cell>
          <cell r="E5192" t="str">
            <v>Community School</v>
          </cell>
          <cell r="F5192" t="str">
            <v>Primary</v>
          </cell>
        </row>
        <row r="5193">
          <cell r="A5193">
            <v>9192091</v>
          </cell>
          <cell r="B5193">
            <v>117136</v>
          </cell>
          <cell r="C5193" t="str">
            <v>Camp Primary and Nursery School</v>
          </cell>
          <cell r="D5193" t="str">
            <v>Hertfordshire</v>
          </cell>
          <cell r="E5193" t="str">
            <v>Community School</v>
          </cell>
          <cell r="F5193" t="str">
            <v>Primary</v>
          </cell>
        </row>
        <row r="5194">
          <cell r="A5194">
            <v>3414783</v>
          </cell>
          <cell r="B5194">
            <v>104707</v>
          </cell>
          <cell r="C5194" t="str">
            <v>Campion Catholic High School</v>
          </cell>
          <cell r="D5194" t="str">
            <v>Liverpool</v>
          </cell>
          <cell r="E5194" t="str">
            <v>Voluntary Aided School</v>
          </cell>
          <cell r="F5194" t="str">
            <v>Secondary</v>
          </cell>
        </row>
        <row r="5195">
          <cell r="A5195">
            <v>9284051</v>
          </cell>
          <cell r="B5195">
            <v>122063</v>
          </cell>
          <cell r="C5195" t="str">
            <v>Campion School</v>
          </cell>
          <cell r="D5195" t="str">
            <v>Northamptonshire</v>
          </cell>
          <cell r="E5195" t="str">
            <v>Community School</v>
          </cell>
          <cell r="F5195" t="str">
            <v>Secondary</v>
          </cell>
        </row>
        <row r="5196">
          <cell r="A5196">
            <v>9374192</v>
          </cell>
          <cell r="B5196">
            <v>125745</v>
          </cell>
          <cell r="C5196" t="str">
            <v>Campion School</v>
          </cell>
          <cell r="D5196" t="str">
            <v>Warwickshire</v>
          </cell>
          <cell r="E5196" t="str">
            <v>Community School</v>
          </cell>
          <cell r="F5196" t="str">
            <v>Secondary</v>
          </cell>
        </row>
        <row r="5197">
          <cell r="A5197">
            <v>9284051</v>
          </cell>
          <cell r="B5197">
            <v>137087</v>
          </cell>
          <cell r="C5197" t="str">
            <v>Campion School</v>
          </cell>
          <cell r="D5197" t="str">
            <v>Northamptonshire</v>
          </cell>
          <cell r="E5197" t="str">
            <v>Academy Converters</v>
          </cell>
          <cell r="F5197" t="str">
            <v>Secondary</v>
          </cell>
        </row>
        <row r="5198">
          <cell r="A5198">
            <v>9192235</v>
          </cell>
          <cell r="B5198">
            <v>117226</v>
          </cell>
          <cell r="C5198" t="str">
            <v>Camps Hill Community Primary School</v>
          </cell>
          <cell r="D5198" t="str">
            <v>Hertfordshire</v>
          </cell>
          <cell r="E5198" t="str">
            <v>Community School</v>
          </cell>
          <cell r="F5198" t="str">
            <v>Primary</v>
          </cell>
        </row>
        <row r="5199">
          <cell r="A5199">
            <v>3092009</v>
          </cell>
          <cell r="B5199">
            <v>102085</v>
          </cell>
          <cell r="C5199" t="str">
            <v>Campsbourne Infant School</v>
          </cell>
          <cell r="D5199" t="str">
            <v>Haringey</v>
          </cell>
          <cell r="E5199" t="str">
            <v>Community School</v>
          </cell>
          <cell r="F5199" t="str">
            <v>Primary</v>
          </cell>
        </row>
        <row r="5200">
          <cell r="A5200">
            <v>3092008</v>
          </cell>
          <cell r="B5200">
            <v>102084</v>
          </cell>
          <cell r="C5200" t="str">
            <v>Campsbourne Junior School</v>
          </cell>
          <cell r="D5200" t="str">
            <v>Haringey</v>
          </cell>
          <cell r="E5200" t="str">
            <v>Community School</v>
          </cell>
          <cell r="F5200" t="str">
            <v>Primary</v>
          </cell>
        </row>
        <row r="5201">
          <cell r="A5201">
            <v>3714036</v>
          </cell>
          <cell r="B5201">
            <v>106791</v>
          </cell>
          <cell r="C5201" t="str">
            <v>Campsmount Technology College</v>
          </cell>
          <cell r="D5201" t="str">
            <v>Doncaster</v>
          </cell>
          <cell r="E5201" t="str">
            <v>Foundation School</v>
          </cell>
          <cell r="F5201" t="str">
            <v>Secondary</v>
          </cell>
        </row>
        <row r="5202">
          <cell r="A5202">
            <v>8232033</v>
          </cell>
          <cell r="B5202">
            <v>109441</v>
          </cell>
          <cell r="C5202" t="str">
            <v>Campton Lower School</v>
          </cell>
          <cell r="D5202" t="str">
            <v>Central Bedfordshire</v>
          </cell>
          <cell r="E5202" t="str">
            <v>Community School</v>
          </cell>
          <cell r="F5202" t="str">
            <v>Primary</v>
          </cell>
        </row>
        <row r="5203">
          <cell r="A5203">
            <v>3102053</v>
          </cell>
          <cell r="B5203">
            <v>102188</v>
          </cell>
          <cell r="C5203" t="str">
            <v>Camrose Primary With Nursery</v>
          </cell>
          <cell r="D5203" t="str">
            <v>Harrow</v>
          </cell>
          <cell r="E5203" t="str">
            <v>Community School</v>
          </cell>
          <cell r="F5203" t="str">
            <v>Primary</v>
          </cell>
        </row>
        <row r="5204">
          <cell r="A5204">
            <v>9156077</v>
          </cell>
          <cell r="B5204">
            <v>128915</v>
          </cell>
          <cell r="C5204" t="str">
            <v>Camrose School</v>
          </cell>
          <cell r="D5204" t="str">
            <v>Pre LGR (1998) Essex</v>
          </cell>
          <cell r="E5204" t="str">
            <v>Other Independent School</v>
          </cell>
          <cell r="F5204" t="str">
            <v>Not applicable</v>
          </cell>
        </row>
        <row r="5205">
          <cell r="A5205">
            <v>8505416</v>
          </cell>
          <cell r="B5205">
            <v>116508</v>
          </cell>
          <cell r="C5205" t="str">
            <v>Cams Hill School</v>
          </cell>
          <cell r="D5205" t="str">
            <v>Hampshire</v>
          </cell>
          <cell r="E5205" t="str">
            <v>Foundation School</v>
          </cell>
          <cell r="F5205" t="str">
            <v>Secondary</v>
          </cell>
        </row>
        <row r="5206">
          <cell r="A5206">
            <v>8505416</v>
          </cell>
          <cell r="B5206">
            <v>137538</v>
          </cell>
          <cell r="C5206" t="str">
            <v>Cams Hill School</v>
          </cell>
          <cell r="D5206" t="str">
            <v>Hampshire</v>
          </cell>
          <cell r="E5206" t="str">
            <v>Academy Converters</v>
          </cell>
          <cell r="F5206" t="str">
            <v>Secondary</v>
          </cell>
        </row>
        <row r="5207">
          <cell r="A5207">
            <v>3512036</v>
          </cell>
          <cell r="B5207">
            <v>105305</v>
          </cell>
          <cell r="C5207" t="str">
            <v>Cams Lane Primary School</v>
          </cell>
          <cell r="D5207" t="str">
            <v>Bury</v>
          </cell>
          <cell r="E5207" t="str">
            <v>Community School</v>
          </cell>
          <cell r="F5207" t="str">
            <v>Primary</v>
          </cell>
        </row>
        <row r="5208">
          <cell r="A5208">
            <v>8782476</v>
          </cell>
          <cell r="B5208">
            <v>113245</v>
          </cell>
          <cell r="C5208" t="str">
            <v>Canada Hill Community Primary School</v>
          </cell>
          <cell r="D5208" t="str">
            <v>Devon</v>
          </cell>
          <cell r="E5208" t="str">
            <v>Community School</v>
          </cell>
          <cell r="F5208" t="str">
            <v>Primary</v>
          </cell>
        </row>
        <row r="5209">
          <cell r="A5209">
            <v>9366542</v>
          </cell>
          <cell r="B5209">
            <v>130127</v>
          </cell>
          <cell r="C5209" t="str">
            <v>Canadian International Schools</v>
          </cell>
          <cell r="D5209" t="str">
            <v>Surrey</v>
          </cell>
          <cell r="E5209" t="str">
            <v>Other Independent School</v>
          </cell>
          <cell r="F5209" t="str">
            <v>Not applicable</v>
          </cell>
        </row>
        <row r="5210">
          <cell r="A5210">
            <v>2112000</v>
          </cell>
          <cell r="B5210">
            <v>137016</v>
          </cell>
          <cell r="C5210" t="str">
            <v>Canary Wharf College</v>
          </cell>
          <cell r="D5210" t="str">
            <v>Tower Hamlets</v>
          </cell>
          <cell r="E5210" t="str">
            <v>Academy Free Schools</v>
          </cell>
          <cell r="F5210" t="str">
            <v>Primary</v>
          </cell>
        </row>
        <row r="5211">
          <cell r="A5211">
            <v>2052090</v>
          </cell>
          <cell r="B5211">
            <v>126615</v>
          </cell>
          <cell r="C5211" t="str">
            <v>Canberra Infant School</v>
          </cell>
          <cell r="D5211" t="str">
            <v>Hammersmith and Fulham</v>
          </cell>
          <cell r="E5211" t="str">
            <v>Community School</v>
          </cell>
          <cell r="F5211" t="str">
            <v>Primary</v>
          </cell>
        </row>
        <row r="5212">
          <cell r="A5212">
            <v>2052089</v>
          </cell>
          <cell r="B5212">
            <v>100325</v>
          </cell>
          <cell r="C5212" t="str">
            <v>Canberra Primary School</v>
          </cell>
          <cell r="D5212" t="str">
            <v>Hammersmith and Fulham</v>
          </cell>
          <cell r="E5212" t="str">
            <v>Community School</v>
          </cell>
          <cell r="F5212" t="str">
            <v>Primary</v>
          </cell>
        </row>
        <row r="5213">
          <cell r="A5213">
            <v>3146068</v>
          </cell>
          <cell r="B5213">
            <v>102620</v>
          </cell>
          <cell r="C5213" t="str">
            <v>Canbury School</v>
          </cell>
          <cell r="D5213" t="str">
            <v>Kingston upon Thames</v>
          </cell>
          <cell r="E5213" t="str">
            <v>Other Independent School</v>
          </cell>
          <cell r="F5213" t="str">
            <v>Not applicable</v>
          </cell>
        </row>
        <row r="5214">
          <cell r="A5214">
            <v>8813103</v>
          </cell>
          <cell r="B5214">
            <v>115091</v>
          </cell>
          <cell r="C5214" t="str">
            <v>Canewdon Endowed Church of England Voluntary Controlled Primary School and Nursery</v>
          </cell>
          <cell r="D5214" t="str">
            <v>Essex</v>
          </cell>
          <cell r="E5214" t="str">
            <v>Voluntary Controlled School</v>
          </cell>
          <cell r="F5214" t="str">
            <v>Primary</v>
          </cell>
        </row>
        <row r="5215">
          <cell r="A5215">
            <v>8362178</v>
          </cell>
          <cell r="B5215">
            <v>113706</v>
          </cell>
          <cell r="C5215" t="str">
            <v>Canford Heath First School</v>
          </cell>
          <cell r="D5215" t="str">
            <v>Poole</v>
          </cell>
          <cell r="E5215" t="str">
            <v>Community School</v>
          </cell>
          <cell r="F5215" t="str">
            <v>Primary</v>
          </cell>
        </row>
        <row r="5216">
          <cell r="A5216">
            <v>8362171</v>
          </cell>
          <cell r="B5216">
            <v>113701</v>
          </cell>
          <cell r="C5216" t="str">
            <v>Canford Heath Middle School</v>
          </cell>
          <cell r="D5216" t="str">
            <v>Poole</v>
          </cell>
          <cell r="E5216" t="str">
            <v>Community School</v>
          </cell>
          <cell r="F5216" t="str">
            <v>Middle Deemed Primary</v>
          </cell>
        </row>
        <row r="5217">
          <cell r="A5217">
            <v>8366000</v>
          </cell>
          <cell r="B5217">
            <v>113922</v>
          </cell>
          <cell r="C5217" t="str">
            <v>Canford School</v>
          </cell>
          <cell r="D5217" t="str">
            <v>Poole</v>
          </cell>
          <cell r="E5217" t="str">
            <v>Other Independent School</v>
          </cell>
          <cell r="F5217" t="str">
            <v>Not applicable</v>
          </cell>
        </row>
        <row r="5218">
          <cell r="A5218">
            <v>3722040</v>
          </cell>
          <cell r="B5218">
            <v>106856</v>
          </cell>
          <cell r="C5218" t="str">
            <v>Canklow Woods Infant School</v>
          </cell>
          <cell r="D5218" t="str">
            <v>Rotherham</v>
          </cell>
          <cell r="E5218" t="str">
            <v>Community School</v>
          </cell>
          <cell r="F5218" t="str">
            <v>Primary</v>
          </cell>
        </row>
        <row r="5219">
          <cell r="A5219">
            <v>3722041</v>
          </cell>
          <cell r="B5219">
            <v>106857</v>
          </cell>
          <cell r="C5219" t="str">
            <v>Canklow Woods Junior School</v>
          </cell>
          <cell r="D5219" t="str">
            <v>Rotherham</v>
          </cell>
          <cell r="E5219" t="str">
            <v>Community School</v>
          </cell>
          <cell r="F5219" t="str">
            <v>Primary</v>
          </cell>
        </row>
        <row r="5220">
          <cell r="A5220">
            <v>3722139</v>
          </cell>
          <cell r="B5220">
            <v>131696</v>
          </cell>
          <cell r="C5220" t="str">
            <v>Canklow Woods Primary School</v>
          </cell>
          <cell r="D5220" t="str">
            <v>Rotherham</v>
          </cell>
          <cell r="E5220" t="str">
            <v>Community School</v>
          </cell>
          <cell r="F5220" t="str">
            <v>Primary</v>
          </cell>
        </row>
        <row r="5221">
          <cell r="A5221">
            <v>3202011</v>
          </cell>
          <cell r="B5221">
            <v>127033</v>
          </cell>
          <cell r="C5221" t="str">
            <v>Cann Hall Infants' School</v>
          </cell>
          <cell r="D5221" t="str">
            <v>Waltham Forest</v>
          </cell>
          <cell r="E5221" t="str">
            <v>Community School</v>
          </cell>
          <cell r="F5221" t="str">
            <v>Primary</v>
          </cell>
        </row>
        <row r="5222">
          <cell r="A5222">
            <v>3202010</v>
          </cell>
          <cell r="B5222">
            <v>127032</v>
          </cell>
          <cell r="C5222" t="str">
            <v>Cann Hall Junior School</v>
          </cell>
          <cell r="D5222" t="str">
            <v>Waltham Forest</v>
          </cell>
          <cell r="E5222" t="str">
            <v>Community School</v>
          </cell>
          <cell r="F5222" t="str">
            <v>Primary</v>
          </cell>
        </row>
        <row r="5223">
          <cell r="A5223">
            <v>8812089</v>
          </cell>
          <cell r="B5223">
            <v>114768</v>
          </cell>
          <cell r="C5223" t="str">
            <v>Cann Hall Primary School</v>
          </cell>
          <cell r="D5223" t="str">
            <v>Essex</v>
          </cell>
          <cell r="E5223" t="str">
            <v>Community School</v>
          </cell>
          <cell r="F5223" t="str">
            <v>Primary</v>
          </cell>
        </row>
        <row r="5224">
          <cell r="A5224">
            <v>3912090</v>
          </cell>
          <cell r="B5224">
            <v>108461</v>
          </cell>
          <cell r="C5224" t="str">
            <v>Canning Street Primary School</v>
          </cell>
          <cell r="D5224" t="str">
            <v>Newcastle upon Tyne</v>
          </cell>
          <cell r="E5224" t="str">
            <v>Community School</v>
          </cell>
          <cell r="F5224" t="str">
            <v>Primary</v>
          </cell>
        </row>
        <row r="5225">
          <cell r="A5225">
            <v>9333154</v>
          </cell>
          <cell r="B5225">
            <v>123786</v>
          </cell>
          <cell r="C5225" t="str">
            <v>Cannington Church of England Primary School</v>
          </cell>
          <cell r="D5225" t="str">
            <v>Somerset</v>
          </cell>
          <cell r="E5225" t="str">
            <v>Voluntary Controlled School</v>
          </cell>
          <cell r="F5225" t="str">
            <v>Primary</v>
          </cell>
        </row>
        <row r="5226">
          <cell r="A5226">
            <v>9338300</v>
          </cell>
          <cell r="B5226">
            <v>130807</v>
          </cell>
          <cell r="C5226" t="str">
            <v>Cannington College</v>
          </cell>
          <cell r="D5226" t="str">
            <v>Somerset</v>
          </cell>
          <cell r="E5226" t="str">
            <v>Further Education</v>
          </cell>
          <cell r="F5226" t="str">
            <v>16 Plus</v>
          </cell>
        </row>
        <row r="5227">
          <cell r="A5227">
            <v>8601021</v>
          </cell>
          <cell r="B5227">
            <v>123961</v>
          </cell>
          <cell r="C5227" t="str">
            <v>Cannock Chase Children's Centre</v>
          </cell>
          <cell r="D5227" t="str">
            <v>Staffordshire</v>
          </cell>
          <cell r="E5227" t="str">
            <v>LA Nursery School</v>
          </cell>
          <cell r="F5227" t="str">
            <v>Nursery</v>
          </cell>
        </row>
        <row r="5228">
          <cell r="A5228">
            <v>8605401</v>
          </cell>
          <cell r="B5228">
            <v>124466</v>
          </cell>
          <cell r="C5228" t="str">
            <v>Cannock Chase High School</v>
          </cell>
          <cell r="D5228" t="str">
            <v>Staffordshire</v>
          </cell>
          <cell r="E5228" t="str">
            <v>Foundation School</v>
          </cell>
          <cell r="F5228" t="str">
            <v>Secondary</v>
          </cell>
        </row>
        <row r="5229">
          <cell r="A5229">
            <v>8605401</v>
          </cell>
          <cell r="B5229">
            <v>137384</v>
          </cell>
          <cell r="C5229" t="str">
            <v>Cannock Chase High School</v>
          </cell>
          <cell r="D5229" t="str">
            <v>Staffordshire</v>
          </cell>
          <cell r="E5229" t="str">
            <v>Academy Converters</v>
          </cell>
          <cell r="F5229" t="str">
            <v>Secondary</v>
          </cell>
        </row>
        <row r="5230">
          <cell r="A5230">
            <v>8608010</v>
          </cell>
          <cell r="B5230">
            <v>130810</v>
          </cell>
          <cell r="C5230" t="str">
            <v>Cannock Chase Technical College</v>
          </cell>
          <cell r="D5230" t="str">
            <v>Staffordshire</v>
          </cell>
          <cell r="E5230" t="str">
            <v>Further Education</v>
          </cell>
          <cell r="F5230" t="str">
            <v>16 Plus</v>
          </cell>
        </row>
        <row r="5231">
          <cell r="A5231">
            <v>8601020</v>
          </cell>
          <cell r="B5231">
            <v>123960</v>
          </cell>
          <cell r="C5231" t="str">
            <v>Cannock Nursery School</v>
          </cell>
          <cell r="D5231" t="str">
            <v>Staffordshire</v>
          </cell>
          <cell r="E5231" t="str">
            <v>LA Nursery School</v>
          </cell>
          <cell r="F5231" t="str">
            <v>Nursery</v>
          </cell>
        </row>
        <row r="5232">
          <cell r="A5232">
            <v>3056053</v>
          </cell>
          <cell r="B5232">
            <v>126803</v>
          </cell>
          <cell r="C5232" t="str">
            <v>Cannock School</v>
          </cell>
          <cell r="D5232" t="str">
            <v>Bromley</v>
          </cell>
          <cell r="E5232" t="str">
            <v>Other Independent School</v>
          </cell>
          <cell r="F5232" t="str">
            <v>Not applicable</v>
          </cell>
        </row>
        <row r="5233">
          <cell r="A5233">
            <v>3102073</v>
          </cell>
          <cell r="B5233">
            <v>102204</v>
          </cell>
          <cell r="C5233" t="str">
            <v>Cannon Lane First School (4-7 Years)</v>
          </cell>
          <cell r="D5233" t="str">
            <v>Harrow</v>
          </cell>
          <cell r="E5233" t="str">
            <v>Community School</v>
          </cell>
          <cell r="F5233" t="str">
            <v>Primary</v>
          </cell>
        </row>
        <row r="5234">
          <cell r="A5234">
            <v>3102056</v>
          </cell>
          <cell r="B5234">
            <v>102190</v>
          </cell>
          <cell r="C5234" t="str">
            <v>Cannon Lane Junior School</v>
          </cell>
          <cell r="D5234" t="str">
            <v>Harrow</v>
          </cell>
          <cell r="E5234" t="str">
            <v>Community School</v>
          </cell>
          <cell r="F5234" t="str">
            <v>Primary</v>
          </cell>
        </row>
        <row r="5235">
          <cell r="A5235">
            <v>3312107</v>
          </cell>
          <cell r="B5235">
            <v>103667</v>
          </cell>
          <cell r="C5235" t="str">
            <v>Cannon Park Primary School</v>
          </cell>
          <cell r="D5235" t="str">
            <v>Coventry</v>
          </cell>
          <cell r="E5235" t="str">
            <v>Community School</v>
          </cell>
          <cell r="F5235" t="str">
            <v>Primary</v>
          </cell>
        </row>
        <row r="5236">
          <cell r="A5236">
            <v>6627001</v>
          </cell>
          <cell r="B5236">
            <v>401896</v>
          </cell>
          <cell r="C5236" t="str">
            <v>Canolfan Addysgol Y Gogarth</v>
          </cell>
          <cell r="D5236" t="str">
            <v>Conwy</v>
          </cell>
          <cell r="E5236" t="str">
            <v>Welsh Establishment</v>
          </cell>
          <cell r="F5236" t="str">
            <v>Not applicable</v>
          </cell>
        </row>
        <row r="5237">
          <cell r="A5237">
            <v>6611100</v>
          </cell>
          <cell r="B5237">
            <v>401937</v>
          </cell>
          <cell r="C5237" t="str">
            <v>Canolfan Brynffynnon</v>
          </cell>
          <cell r="D5237" t="str">
            <v>Gwynedd</v>
          </cell>
          <cell r="E5237" t="str">
            <v>Welsh Establishment</v>
          </cell>
          <cell r="F5237" t="str">
            <v>Not applicable</v>
          </cell>
        </row>
        <row r="5238">
          <cell r="A5238">
            <v>2112091</v>
          </cell>
          <cell r="B5238">
            <v>100893</v>
          </cell>
          <cell r="C5238" t="str">
            <v>Canon Barnett Primary School</v>
          </cell>
          <cell r="D5238" t="str">
            <v>Tower Hamlets</v>
          </cell>
          <cell r="E5238" t="str">
            <v>Community School</v>
          </cell>
          <cell r="F5238" t="str">
            <v>Primary</v>
          </cell>
        </row>
        <row r="5239">
          <cell r="A5239">
            <v>3573319</v>
          </cell>
          <cell r="B5239">
            <v>106249</v>
          </cell>
          <cell r="C5239" t="str">
            <v>Canon Burrows CofE Primary School</v>
          </cell>
          <cell r="D5239" t="str">
            <v>Tameside</v>
          </cell>
          <cell r="E5239" t="str">
            <v>Voluntary Aided School</v>
          </cell>
          <cell r="F5239" t="str">
            <v>Primary</v>
          </cell>
        </row>
        <row r="5240">
          <cell r="A5240">
            <v>9373315</v>
          </cell>
          <cell r="B5240">
            <v>125697</v>
          </cell>
          <cell r="C5240" t="str">
            <v>Canon Evans CofE Infant School</v>
          </cell>
          <cell r="D5240" t="str">
            <v>Warwickshire</v>
          </cell>
          <cell r="E5240" t="str">
            <v>Voluntary Aided School</v>
          </cell>
          <cell r="F5240" t="str">
            <v>Primary</v>
          </cell>
        </row>
        <row r="5241">
          <cell r="A5241">
            <v>3573311</v>
          </cell>
          <cell r="B5241">
            <v>106243</v>
          </cell>
          <cell r="C5241" t="str">
            <v>Canon Johnson CofE Primary School</v>
          </cell>
          <cell r="D5241" t="str">
            <v>Tameside</v>
          </cell>
          <cell r="E5241" t="str">
            <v>Voluntary Aided School</v>
          </cell>
          <cell r="F5241" t="str">
            <v>Primary</v>
          </cell>
        </row>
        <row r="5242">
          <cell r="A5242">
            <v>8164003</v>
          </cell>
          <cell r="B5242">
            <v>121662</v>
          </cell>
          <cell r="C5242" t="str">
            <v>Canon Lee School</v>
          </cell>
          <cell r="D5242" t="str">
            <v>York</v>
          </cell>
          <cell r="E5242" t="str">
            <v>Community School</v>
          </cell>
          <cell r="F5242" t="str">
            <v>Secondary</v>
          </cell>
        </row>
        <row r="5243">
          <cell r="A5243">
            <v>9373302</v>
          </cell>
          <cell r="B5243">
            <v>125689</v>
          </cell>
          <cell r="C5243" t="str">
            <v>Canon Maggs CofE Junior School</v>
          </cell>
          <cell r="D5243" t="str">
            <v>Warwickshire</v>
          </cell>
          <cell r="E5243" t="str">
            <v>Voluntary Aided School</v>
          </cell>
          <cell r="F5243" t="str">
            <v>Primary</v>
          </cell>
        </row>
        <row r="5244">
          <cell r="A5244">
            <v>3174800</v>
          </cell>
          <cell r="B5244">
            <v>102862</v>
          </cell>
          <cell r="C5244" t="str">
            <v>Canon Palmer Catholic School</v>
          </cell>
          <cell r="D5244" t="str">
            <v>Redbridge</v>
          </cell>
          <cell r="E5244" t="str">
            <v>Voluntary Aided School</v>
          </cell>
          <cell r="F5244" t="str">
            <v>Secondary</v>
          </cell>
        </row>
        <row r="5245">
          <cell r="A5245">
            <v>3174800</v>
          </cell>
          <cell r="B5245">
            <v>137088</v>
          </cell>
          <cell r="C5245" t="str">
            <v>Canon Palmer Catholic School</v>
          </cell>
          <cell r="D5245" t="str">
            <v>Redbridge</v>
          </cell>
          <cell r="E5245" t="str">
            <v>Academy Converters</v>
          </cell>
          <cell r="F5245" t="str">
            <v>Secondary</v>
          </cell>
        </row>
        <row r="5246">
          <cell r="A5246">
            <v>9263148</v>
          </cell>
          <cell r="B5246">
            <v>121105</v>
          </cell>
          <cell r="C5246" t="str">
            <v>Canon Pickering Church of England Voluntary Controlled Junior School</v>
          </cell>
          <cell r="D5246" t="str">
            <v>Norfolk</v>
          </cell>
          <cell r="E5246" t="str">
            <v>Voluntary Controlled School</v>
          </cell>
          <cell r="F5246" t="str">
            <v>Primary</v>
          </cell>
        </row>
        <row r="5247">
          <cell r="A5247">
            <v>3713313</v>
          </cell>
          <cell r="B5247">
            <v>106768</v>
          </cell>
          <cell r="C5247" t="str">
            <v>Canon Popham Church of England (VA) Primary and Nursery School</v>
          </cell>
          <cell r="D5247" t="str">
            <v>Doncaster</v>
          </cell>
          <cell r="E5247" t="str">
            <v>Voluntary Aided School</v>
          </cell>
          <cell r="F5247" t="str">
            <v>Primary</v>
          </cell>
        </row>
        <row r="5248">
          <cell r="A5248">
            <v>8843015</v>
          </cell>
          <cell r="B5248">
            <v>116790</v>
          </cell>
          <cell r="C5248" t="str">
            <v>Canon Pyon CofE Primary School</v>
          </cell>
          <cell r="D5248" t="str">
            <v>Herefordshire</v>
          </cell>
          <cell r="E5248" t="str">
            <v>Voluntary Controlled School</v>
          </cell>
          <cell r="F5248" t="str">
            <v>Primary</v>
          </cell>
        </row>
        <row r="5249">
          <cell r="A5249">
            <v>3593435</v>
          </cell>
          <cell r="B5249">
            <v>133781</v>
          </cell>
          <cell r="C5249" t="str">
            <v>Canon Sharples Church of England Primary School and Nursery</v>
          </cell>
          <cell r="D5249" t="str">
            <v>Wigan</v>
          </cell>
          <cell r="E5249" t="str">
            <v>Voluntary Aided School</v>
          </cell>
          <cell r="F5249" t="str">
            <v>Primary</v>
          </cell>
        </row>
        <row r="5250">
          <cell r="A5250">
            <v>3505401</v>
          </cell>
          <cell r="B5250">
            <v>105267</v>
          </cell>
          <cell r="C5250" t="str">
            <v>Canon Slade CofE School</v>
          </cell>
          <cell r="D5250" t="str">
            <v>Bolton</v>
          </cell>
          <cell r="E5250" t="str">
            <v>Voluntary Aided School</v>
          </cell>
          <cell r="F5250" t="str">
            <v>Secondary</v>
          </cell>
        </row>
        <row r="5251">
          <cell r="A5251">
            <v>3554500</v>
          </cell>
          <cell r="B5251">
            <v>105984</v>
          </cell>
          <cell r="C5251" t="str">
            <v>Canon Williamson CofE High School</v>
          </cell>
          <cell r="D5251" t="str">
            <v>Salford</v>
          </cell>
          <cell r="E5251" t="str">
            <v>Voluntary Aided School</v>
          </cell>
          <cell r="F5251" t="str">
            <v>Secondary</v>
          </cell>
        </row>
        <row r="5252">
          <cell r="A5252">
            <v>2062093</v>
          </cell>
          <cell r="B5252">
            <v>100399</v>
          </cell>
          <cell r="C5252" t="str">
            <v>Canonbury Infants' School</v>
          </cell>
          <cell r="D5252" t="str">
            <v>Islington</v>
          </cell>
          <cell r="E5252" t="str">
            <v>Community School</v>
          </cell>
          <cell r="F5252" t="str">
            <v>Primary</v>
          </cell>
        </row>
        <row r="5253">
          <cell r="A5253">
            <v>2062092</v>
          </cell>
          <cell r="B5253">
            <v>100398</v>
          </cell>
          <cell r="C5253" t="str">
            <v>Canonbury Junior School</v>
          </cell>
          <cell r="D5253" t="str">
            <v>Islington</v>
          </cell>
          <cell r="E5253" t="str">
            <v>Community School</v>
          </cell>
          <cell r="F5253" t="str">
            <v>Primary</v>
          </cell>
        </row>
        <row r="5254">
          <cell r="A5254">
            <v>2062854</v>
          </cell>
          <cell r="B5254">
            <v>131773</v>
          </cell>
          <cell r="C5254" t="str">
            <v>Canonbury Primary School</v>
          </cell>
          <cell r="D5254" t="str">
            <v>Islington</v>
          </cell>
          <cell r="E5254" t="str">
            <v>Community School</v>
          </cell>
          <cell r="F5254" t="str">
            <v>Primary</v>
          </cell>
        </row>
        <row r="5255">
          <cell r="A5255">
            <v>3104022</v>
          </cell>
          <cell r="B5255">
            <v>102237</v>
          </cell>
          <cell r="C5255" t="str">
            <v>Canons High School</v>
          </cell>
          <cell r="D5255" t="str">
            <v>Harrow</v>
          </cell>
          <cell r="E5255" t="str">
            <v>Community School</v>
          </cell>
          <cell r="F5255" t="str">
            <v>Secondary</v>
          </cell>
        </row>
        <row r="5256">
          <cell r="A5256">
            <v>3104022</v>
          </cell>
          <cell r="B5256">
            <v>137199</v>
          </cell>
          <cell r="C5256" t="str">
            <v>Canons High School</v>
          </cell>
          <cell r="D5256" t="str">
            <v>Harrow</v>
          </cell>
          <cell r="E5256" t="str">
            <v>Academy Converters</v>
          </cell>
          <cell r="F5256" t="str">
            <v>Secondary</v>
          </cell>
        </row>
        <row r="5257">
          <cell r="A5257">
            <v>3594015</v>
          </cell>
          <cell r="B5257">
            <v>106521</v>
          </cell>
          <cell r="C5257" t="str">
            <v>Cansfield High Specialist Language College</v>
          </cell>
          <cell r="D5257" t="str">
            <v>Wigan</v>
          </cell>
          <cell r="E5257" t="str">
            <v>Community School</v>
          </cell>
          <cell r="F5257" t="str">
            <v>Secondary</v>
          </cell>
        </row>
        <row r="5258">
          <cell r="A5258">
            <v>8524311</v>
          </cell>
          <cell r="B5258">
            <v>116469</v>
          </cell>
          <cell r="C5258" t="str">
            <v>Cantell Maths and Computing College</v>
          </cell>
          <cell r="D5258" t="str">
            <v>Southampton</v>
          </cell>
          <cell r="E5258" t="str">
            <v>Community School</v>
          </cell>
          <cell r="F5258" t="str">
            <v>Secondary</v>
          </cell>
        </row>
        <row r="5259">
          <cell r="A5259">
            <v>9104170</v>
          </cell>
          <cell r="B5259">
            <v>128667</v>
          </cell>
          <cell r="C5259" t="str">
            <v>Cantelupe School</v>
          </cell>
          <cell r="D5259" t="str">
            <v>Pre LGR (1997) Derbyshire</v>
          </cell>
          <cell r="E5259" t="str">
            <v>Community School</v>
          </cell>
          <cell r="F5259" t="str">
            <v>Secondary</v>
          </cell>
        </row>
        <row r="5260">
          <cell r="A5260">
            <v>8861125</v>
          </cell>
          <cell r="B5260">
            <v>135463</v>
          </cell>
          <cell r="C5260" t="str">
            <v>Canterbury and Swale Alternative Curriculum PRU</v>
          </cell>
          <cell r="D5260" t="str">
            <v>Kent</v>
          </cell>
          <cell r="E5260" t="str">
            <v>Pupil Referral Unit</v>
          </cell>
          <cell r="F5260" t="str">
            <v>PRU</v>
          </cell>
        </row>
        <row r="5261">
          <cell r="A5261">
            <v>886</v>
          </cell>
          <cell r="B5261">
            <v>133806</v>
          </cell>
          <cell r="C5261" t="str">
            <v>Canterbury Christ Church University College</v>
          </cell>
          <cell r="D5261" t="str">
            <v>Kent</v>
          </cell>
          <cell r="E5261" t="str">
            <v>Higher Education Institutions</v>
          </cell>
          <cell r="F5261" t="str">
            <v>Not applicable</v>
          </cell>
        </row>
        <row r="5262">
          <cell r="A5262">
            <v>8868023</v>
          </cell>
          <cell r="B5262">
            <v>130730</v>
          </cell>
          <cell r="C5262" t="str">
            <v>Canterbury College</v>
          </cell>
          <cell r="D5262" t="str">
            <v>Kent</v>
          </cell>
          <cell r="E5262" t="str">
            <v>Further Education</v>
          </cell>
          <cell r="F5262" t="str">
            <v>16 Plus</v>
          </cell>
        </row>
        <row r="5263">
          <cell r="A5263">
            <v>3152054</v>
          </cell>
          <cell r="B5263">
            <v>126954</v>
          </cell>
          <cell r="C5263" t="str">
            <v>Canterbury County Primary School</v>
          </cell>
          <cell r="D5263" t="str">
            <v>Merton</v>
          </cell>
          <cell r="E5263" t="str">
            <v>Community School</v>
          </cell>
          <cell r="F5263" t="str">
            <v>Primary</v>
          </cell>
        </row>
        <row r="5264">
          <cell r="A5264">
            <v>3302039</v>
          </cell>
          <cell r="B5264">
            <v>103177</v>
          </cell>
          <cell r="C5264" t="str">
            <v>Canterbury Cross Primary School</v>
          </cell>
          <cell r="D5264" t="str">
            <v>Birmingham</v>
          </cell>
          <cell r="E5264" t="str">
            <v>Community School</v>
          </cell>
          <cell r="F5264" t="str">
            <v>Primary</v>
          </cell>
        </row>
        <row r="5265">
          <cell r="A5265">
            <v>9262399</v>
          </cell>
          <cell r="B5265">
            <v>121007</v>
          </cell>
          <cell r="C5265" t="str">
            <v>Canterbury Infant School</v>
          </cell>
          <cell r="D5265" t="str">
            <v>Norfolk</v>
          </cell>
          <cell r="E5265" t="str">
            <v>Community School</v>
          </cell>
          <cell r="F5265" t="str">
            <v>Primary</v>
          </cell>
        </row>
        <row r="5266">
          <cell r="A5266">
            <v>3801012</v>
          </cell>
          <cell r="B5266">
            <v>132815</v>
          </cell>
          <cell r="C5266" t="str">
            <v>Canterbury Nursery School and Centre for Children and Families</v>
          </cell>
          <cell r="D5266" t="str">
            <v>Bradford</v>
          </cell>
          <cell r="E5266" t="str">
            <v>LA Nursery School</v>
          </cell>
          <cell r="F5266" t="str">
            <v>Nursery</v>
          </cell>
        </row>
        <row r="5267">
          <cell r="A5267">
            <v>8862254</v>
          </cell>
          <cell r="B5267">
            <v>118354</v>
          </cell>
          <cell r="C5267" t="str">
            <v>Canterbury Road Primary School</v>
          </cell>
          <cell r="D5267" t="str">
            <v>Kent</v>
          </cell>
          <cell r="E5267" t="str">
            <v>Community School</v>
          </cell>
          <cell r="F5267" t="str">
            <v>Primary</v>
          </cell>
        </row>
        <row r="5268">
          <cell r="A5268">
            <v>8866052</v>
          </cell>
          <cell r="B5268">
            <v>119000</v>
          </cell>
          <cell r="C5268" t="str">
            <v>Canterbury Steiner School Ltd</v>
          </cell>
          <cell r="D5268" t="str">
            <v>Kent</v>
          </cell>
          <cell r="E5268" t="str">
            <v>Other Independent School</v>
          </cell>
          <cell r="F5268" t="str">
            <v>Not applicable</v>
          </cell>
        </row>
        <row r="5269">
          <cell r="A5269">
            <v>9262035</v>
          </cell>
          <cell r="B5269">
            <v>120797</v>
          </cell>
          <cell r="C5269" t="str">
            <v>Cantley Primary School</v>
          </cell>
          <cell r="D5269" t="str">
            <v>Norfolk</v>
          </cell>
          <cell r="E5269" t="str">
            <v>Community School</v>
          </cell>
          <cell r="F5269" t="str">
            <v>Primary</v>
          </cell>
        </row>
        <row r="5270">
          <cell r="A5270">
            <v>3712182</v>
          </cell>
          <cell r="B5270">
            <v>106744</v>
          </cell>
          <cell r="C5270" t="str">
            <v>Cantley Sycamore Primary School</v>
          </cell>
          <cell r="D5270" t="str">
            <v>Doncaster</v>
          </cell>
          <cell r="E5270" t="str">
            <v>Community School</v>
          </cell>
          <cell r="F5270" t="str">
            <v>Primary</v>
          </cell>
        </row>
        <row r="5271">
          <cell r="A5271">
            <v>6814049</v>
          </cell>
          <cell r="B5271">
            <v>401879</v>
          </cell>
          <cell r="C5271" t="str">
            <v>Cantonian High School</v>
          </cell>
          <cell r="D5271" t="str">
            <v>Cardiff</v>
          </cell>
          <cell r="E5271" t="str">
            <v>Welsh Establishment</v>
          </cell>
          <cell r="F5271" t="str">
            <v>Secondary</v>
          </cell>
        </row>
        <row r="5272">
          <cell r="A5272">
            <v>6792319</v>
          </cell>
          <cell r="B5272">
            <v>402092</v>
          </cell>
          <cell r="C5272" t="str">
            <v>Cantref Primary</v>
          </cell>
          <cell r="D5272" t="str">
            <v>Monmouthshire</v>
          </cell>
          <cell r="E5272" t="str">
            <v>Welsh Establishment</v>
          </cell>
          <cell r="F5272" t="str">
            <v>Primary</v>
          </cell>
        </row>
        <row r="5273">
          <cell r="A5273">
            <v>8922056</v>
          </cell>
          <cell r="B5273">
            <v>122413</v>
          </cell>
          <cell r="C5273" t="str">
            <v>Cantrell Primary and Nursery School</v>
          </cell>
          <cell r="D5273" t="str">
            <v>Nottingham</v>
          </cell>
          <cell r="E5273" t="str">
            <v>Community School</v>
          </cell>
          <cell r="F5273" t="str">
            <v>Primary</v>
          </cell>
        </row>
        <row r="5274">
          <cell r="A5274">
            <v>8812751</v>
          </cell>
          <cell r="B5274">
            <v>114980</v>
          </cell>
          <cell r="C5274" t="str">
            <v>Canvey Island Infant School</v>
          </cell>
          <cell r="D5274" t="str">
            <v>Essex</v>
          </cell>
          <cell r="E5274" t="str">
            <v>Community School</v>
          </cell>
          <cell r="F5274" t="str">
            <v>Primary</v>
          </cell>
        </row>
        <row r="5275">
          <cell r="A5275">
            <v>8812311</v>
          </cell>
          <cell r="B5275">
            <v>114822</v>
          </cell>
          <cell r="C5275" t="str">
            <v>Canvey Junior School</v>
          </cell>
          <cell r="D5275" t="str">
            <v>Essex</v>
          </cell>
          <cell r="E5275" t="str">
            <v>Community School</v>
          </cell>
          <cell r="F5275" t="str">
            <v>Primary</v>
          </cell>
        </row>
        <row r="5276">
          <cell r="A5276">
            <v>6742084</v>
          </cell>
          <cell r="B5276">
            <v>401153</v>
          </cell>
          <cell r="C5276" t="str">
            <v>Capcoch Primary School</v>
          </cell>
          <cell r="D5276" t="str">
            <v>Rhondda, Cynon, Taff</v>
          </cell>
          <cell r="E5276" t="str">
            <v>Welsh Establishment</v>
          </cell>
          <cell r="F5276" t="str">
            <v>Primary</v>
          </cell>
        </row>
        <row r="5277">
          <cell r="A5277">
            <v>9084169</v>
          </cell>
          <cell r="B5277">
            <v>112063</v>
          </cell>
          <cell r="C5277" t="str">
            <v>Cape Cornwall School</v>
          </cell>
          <cell r="D5277" t="str">
            <v>Cornwall</v>
          </cell>
          <cell r="E5277" t="str">
            <v>Community School</v>
          </cell>
          <cell r="F5277" t="str">
            <v>Secondary</v>
          </cell>
        </row>
        <row r="5278">
          <cell r="A5278">
            <v>3332113</v>
          </cell>
          <cell r="B5278">
            <v>103937</v>
          </cell>
          <cell r="C5278" t="str">
            <v>Cape Primary School</v>
          </cell>
          <cell r="D5278" t="str">
            <v>Sandwell</v>
          </cell>
          <cell r="E5278" t="str">
            <v>Community School</v>
          </cell>
          <cell r="F5278" t="str">
            <v>Primary</v>
          </cell>
        </row>
        <row r="5279">
          <cell r="A5279">
            <v>9363310</v>
          </cell>
          <cell r="B5279">
            <v>130079</v>
          </cell>
          <cell r="C5279" t="str">
            <v>Capel CofE First School</v>
          </cell>
          <cell r="D5279" t="str">
            <v>Surrey</v>
          </cell>
          <cell r="E5279" t="str">
            <v>Voluntary Aided School</v>
          </cell>
          <cell r="F5279" t="str">
            <v>Primary</v>
          </cell>
        </row>
        <row r="5280">
          <cell r="A5280">
            <v>3088300</v>
          </cell>
          <cell r="B5280">
            <v>130438</v>
          </cell>
          <cell r="C5280" t="str">
            <v>Capel Manor College</v>
          </cell>
          <cell r="D5280" t="str">
            <v>Enfield</v>
          </cell>
          <cell r="E5280" t="str">
            <v>Further Education</v>
          </cell>
          <cell r="F5280" t="str">
            <v>16 Plus</v>
          </cell>
        </row>
        <row r="5281">
          <cell r="A5281">
            <v>3082009</v>
          </cell>
          <cell r="B5281">
            <v>101981</v>
          </cell>
          <cell r="C5281" t="str">
            <v>Capel Manor Primary School</v>
          </cell>
          <cell r="D5281" t="str">
            <v>Enfield</v>
          </cell>
          <cell r="E5281" t="str">
            <v>Community School</v>
          </cell>
          <cell r="F5281" t="str">
            <v>Primary</v>
          </cell>
        </row>
        <row r="5282">
          <cell r="A5282">
            <v>8862128</v>
          </cell>
          <cell r="B5282">
            <v>118271</v>
          </cell>
          <cell r="C5282" t="str">
            <v>Capel Primary School</v>
          </cell>
          <cell r="D5282" t="str">
            <v>Kent</v>
          </cell>
          <cell r="E5282" t="str">
            <v>Community School</v>
          </cell>
          <cell r="F5282" t="str">
            <v>Primary</v>
          </cell>
        </row>
        <row r="5283">
          <cell r="A5283">
            <v>6672301</v>
          </cell>
          <cell r="B5283">
            <v>400591</v>
          </cell>
          <cell r="C5283" t="str">
            <v>Capel Seion Primary School</v>
          </cell>
          <cell r="D5283" t="str">
            <v>Ceredigion</v>
          </cell>
          <cell r="E5283" t="str">
            <v>Welsh Establishment</v>
          </cell>
          <cell r="F5283" t="str">
            <v>Primary</v>
          </cell>
        </row>
        <row r="5284">
          <cell r="A5284">
            <v>9353112</v>
          </cell>
          <cell r="B5284">
            <v>124749</v>
          </cell>
          <cell r="C5284" t="str">
            <v>Capel St Mary Church of England Voluntary Controlled Primary School</v>
          </cell>
          <cell r="D5284" t="str">
            <v>Suffolk</v>
          </cell>
          <cell r="E5284" t="str">
            <v>Voluntary Controlled School</v>
          </cell>
          <cell r="F5284" t="str">
            <v>Primary</v>
          </cell>
        </row>
        <row r="5285">
          <cell r="A5285">
            <v>8862559</v>
          </cell>
          <cell r="B5285">
            <v>118515</v>
          </cell>
          <cell r="C5285" t="str">
            <v>Capel-le-Ferne Primary School</v>
          </cell>
          <cell r="D5285" t="str">
            <v>Kent</v>
          </cell>
          <cell r="E5285" t="str">
            <v>Community School</v>
          </cell>
          <cell r="F5285" t="str">
            <v>Primary</v>
          </cell>
        </row>
        <row r="5286">
          <cell r="A5286">
            <v>8963150</v>
          </cell>
          <cell r="B5286">
            <v>111271</v>
          </cell>
          <cell r="C5286" t="str">
            <v>Capenhurst CofE Primary School</v>
          </cell>
          <cell r="D5286" t="str">
            <v>Cheshire West and Chester</v>
          </cell>
          <cell r="E5286" t="str">
            <v>Voluntary Controlled School</v>
          </cell>
          <cell r="F5286" t="str">
            <v>Primary</v>
          </cell>
        </row>
        <row r="5287">
          <cell r="A5287">
            <v>8967208</v>
          </cell>
          <cell r="B5287">
            <v>111517</v>
          </cell>
          <cell r="C5287" t="str">
            <v>Capenhurst Grange School</v>
          </cell>
          <cell r="D5287" t="str">
            <v>Cheshire West and Chester</v>
          </cell>
          <cell r="E5287" t="str">
            <v>Community Special School</v>
          </cell>
          <cell r="F5287" t="str">
            <v>Special</v>
          </cell>
        </row>
        <row r="5288">
          <cell r="A5288">
            <v>9067104</v>
          </cell>
          <cell r="B5288">
            <v>128487</v>
          </cell>
          <cell r="C5288" t="str">
            <v>Capenhurst Grange School</v>
          </cell>
          <cell r="D5288" t="str">
            <v>Pre LGR (1998) Cheshire</v>
          </cell>
          <cell r="E5288" t="str">
            <v>Community Special School</v>
          </cell>
          <cell r="F5288" t="str">
            <v>Special</v>
          </cell>
        </row>
        <row r="5289">
          <cell r="A5289">
            <v>3046905</v>
          </cell>
          <cell r="B5289">
            <v>134226</v>
          </cell>
          <cell r="C5289" t="str">
            <v>Capital City Academy</v>
          </cell>
          <cell r="D5289" t="str">
            <v>Brent</v>
          </cell>
          <cell r="E5289" t="str">
            <v>Academy Sponsor Led</v>
          </cell>
          <cell r="F5289" t="str">
            <v>Secondary</v>
          </cell>
        </row>
        <row r="5290">
          <cell r="A5290">
            <v>8062165</v>
          </cell>
          <cell r="B5290">
            <v>111593</v>
          </cell>
          <cell r="C5290" t="str">
            <v>Captain Cook Infant School</v>
          </cell>
          <cell r="D5290" t="str">
            <v>Middlesbrough</v>
          </cell>
          <cell r="E5290" t="str">
            <v>Community School</v>
          </cell>
          <cell r="F5290" t="str">
            <v>Primary</v>
          </cell>
        </row>
        <row r="5291">
          <cell r="A5291">
            <v>8062164</v>
          </cell>
          <cell r="B5291">
            <v>111592</v>
          </cell>
          <cell r="C5291" t="str">
            <v>Captain Cook Junior School</v>
          </cell>
          <cell r="D5291" t="str">
            <v>Middlesbrough</v>
          </cell>
          <cell r="E5291" t="str">
            <v>Community School</v>
          </cell>
          <cell r="F5291" t="str">
            <v>Primary</v>
          </cell>
        </row>
        <row r="5292">
          <cell r="A5292">
            <v>8062370</v>
          </cell>
          <cell r="B5292">
            <v>130337</v>
          </cell>
          <cell r="C5292" t="str">
            <v>Captain Cook Primary School</v>
          </cell>
          <cell r="D5292" t="str">
            <v>Middlesbrough</v>
          </cell>
          <cell r="E5292" t="str">
            <v>Community School</v>
          </cell>
          <cell r="F5292" t="str">
            <v>Primary</v>
          </cell>
        </row>
        <row r="5293">
          <cell r="A5293">
            <v>9093200</v>
          </cell>
          <cell r="B5293">
            <v>112290</v>
          </cell>
          <cell r="C5293" t="str">
            <v>Captain Shaw's CofE School</v>
          </cell>
          <cell r="D5293" t="str">
            <v>Cumbria</v>
          </cell>
          <cell r="E5293" t="str">
            <v>Voluntary Controlled School</v>
          </cell>
          <cell r="F5293" t="str">
            <v>Primary</v>
          </cell>
        </row>
        <row r="5294">
          <cell r="A5294">
            <v>8942174</v>
          </cell>
          <cell r="B5294">
            <v>123443</v>
          </cell>
          <cell r="C5294" t="str">
            <v>Captain Webb Primary School</v>
          </cell>
          <cell r="D5294" t="str">
            <v>Telford and Wrekin</v>
          </cell>
          <cell r="E5294" t="str">
            <v>Community School</v>
          </cell>
          <cell r="F5294" t="str">
            <v>Primary</v>
          </cell>
        </row>
        <row r="5295">
          <cell r="A5295">
            <v>8552187</v>
          </cell>
          <cell r="B5295">
            <v>119988</v>
          </cell>
          <cell r="C5295" t="str">
            <v>Captains Close Primary School</v>
          </cell>
          <cell r="D5295" t="str">
            <v>Leicestershire</v>
          </cell>
          <cell r="E5295" t="str">
            <v>Community School</v>
          </cell>
          <cell r="F5295" t="str">
            <v>Primary</v>
          </cell>
        </row>
        <row r="5296">
          <cell r="A5296">
            <v>6742093</v>
          </cell>
          <cell r="B5296">
            <v>401158</v>
          </cell>
          <cell r="C5296" t="str">
            <v>Caradog Primary School</v>
          </cell>
          <cell r="D5296" t="str">
            <v>Rhondda, Cynon, Taff</v>
          </cell>
          <cell r="E5296" t="str">
            <v>Welsh Establishment</v>
          </cell>
          <cell r="F5296" t="str">
            <v>Primary</v>
          </cell>
        </row>
        <row r="5297">
          <cell r="A5297">
            <v>9081106</v>
          </cell>
          <cell r="B5297">
            <v>134757</v>
          </cell>
          <cell r="C5297" t="str">
            <v>Caradon EOOS Centre Co Loveny House</v>
          </cell>
          <cell r="D5297" t="str">
            <v>Cornwall</v>
          </cell>
          <cell r="E5297" t="str">
            <v>Pupil Referral Unit</v>
          </cell>
          <cell r="F5297" t="str">
            <v>PRU</v>
          </cell>
        </row>
        <row r="5298">
          <cell r="A5298">
            <v>9082726</v>
          </cell>
          <cell r="B5298">
            <v>111969</v>
          </cell>
          <cell r="C5298" t="str">
            <v>Carbeile Junior School</v>
          </cell>
          <cell r="D5298" t="str">
            <v>Cornwall</v>
          </cell>
          <cell r="E5298" t="str">
            <v>Community School</v>
          </cell>
          <cell r="F5298" t="str">
            <v>Primary</v>
          </cell>
        </row>
        <row r="5299">
          <cell r="A5299">
            <v>9082415</v>
          </cell>
          <cell r="B5299">
            <v>111889</v>
          </cell>
          <cell r="C5299" t="str">
            <v>Carclaze Community Infant School</v>
          </cell>
          <cell r="D5299" t="str">
            <v>Cornwall</v>
          </cell>
          <cell r="E5299" t="str">
            <v>Community School</v>
          </cell>
          <cell r="F5299" t="str">
            <v>Primary</v>
          </cell>
        </row>
        <row r="5300">
          <cell r="A5300">
            <v>9082445</v>
          </cell>
          <cell r="B5300">
            <v>111902</v>
          </cell>
          <cell r="C5300" t="str">
            <v>Carclaze Community Junior School</v>
          </cell>
          <cell r="D5300" t="str">
            <v>Cornwall</v>
          </cell>
          <cell r="E5300" t="str">
            <v>Community School</v>
          </cell>
          <cell r="F5300" t="str">
            <v>Primary</v>
          </cell>
        </row>
        <row r="5301">
          <cell r="A5301">
            <v>9082009</v>
          </cell>
          <cell r="B5301">
            <v>136070</v>
          </cell>
          <cell r="C5301" t="str">
            <v>Carclaze Community Primary School</v>
          </cell>
          <cell r="D5301" t="str">
            <v>Cornwall</v>
          </cell>
          <cell r="E5301" t="str">
            <v>Community School</v>
          </cell>
          <cell r="F5301" t="str">
            <v>Primary</v>
          </cell>
        </row>
        <row r="5302">
          <cell r="A5302">
            <v>3712051</v>
          </cell>
          <cell r="B5302">
            <v>127603</v>
          </cell>
          <cell r="C5302" t="str">
            <v>Carcroft First School</v>
          </cell>
          <cell r="D5302" t="str">
            <v>Doncaster</v>
          </cell>
          <cell r="E5302" t="str">
            <v>Community School</v>
          </cell>
          <cell r="F5302" t="str">
            <v>Primary</v>
          </cell>
        </row>
        <row r="5303">
          <cell r="A5303">
            <v>3712050</v>
          </cell>
          <cell r="B5303">
            <v>127602</v>
          </cell>
          <cell r="C5303" t="str">
            <v>Carcroft Middle School</v>
          </cell>
          <cell r="D5303" t="str">
            <v>Doncaster</v>
          </cell>
          <cell r="E5303" t="str">
            <v>Community School</v>
          </cell>
          <cell r="F5303" t="str">
            <v>Middle Deemed Primary</v>
          </cell>
        </row>
        <row r="5304">
          <cell r="A5304">
            <v>3712196</v>
          </cell>
          <cell r="B5304">
            <v>106757</v>
          </cell>
          <cell r="C5304" t="str">
            <v>Carcroft Primary School</v>
          </cell>
          <cell r="D5304" t="str">
            <v>Doncaster</v>
          </cell>
          <cell r="E5304" t="str">
            <v>Community School</v>
          </cell>
          <cell r="F5304" t="str">
            <v>Primary</v>
          </cell>
        </row>
        <row r="5305">
          <cell r="A5305">
            <v>8462004</v>
          </cell>
          <cell r="B5305">
            <v>114363</v>
          </cell>
          <cell r="C5305" t="str">
            <v>Carden Infant School</v>
          </cell>
          <cell r="D5305" t="str">
            <v>Brighton and Hove</v>
          </cell>
          <cell r="E5305" t="str">
            <v>Community School</v>
          </cell>
          <cell r="F5305" t="str">
            <v>Primary</v>
          </cell>
        </row>
        <row r="5306">
          <cell r="A5306">
            <v>8462003</v>
          </cell>
          <cell r="B5306">
            <v>114362</v>
          </cell>
          <cell r="C5306" t="str">
            <v>Carden Junior School</v>
          </cell>
          <cell r="D5306" t="str">
            <v>Brighton and Hove</v>
          </cell>
          <cell r="E5306" t="str">
            <v>Community School</v>
          </cell>
          <cell r="F5306" t="str">
            <v>Primary</v>
          </cell>
        </row>
        <row r="5307">
          <cell r="A5307">
            <v>8462001</v>
          </cell>
          <cell r="B5307">
            <v>131789</v>
          </cell>
          <cell r="C5307" t="str">
            <v>Carden Primary School</v>
          </cell>
          <cell r="D5307" t="str">
            <v>Brighton and Hove</v>
          </cell>
          <cell r="E5307" t="str">
            <v>Community School</v>
          </cell>
          <cell r="F5307" t="str">
            <v>Primary</v>
          </cell>
        </row>
        <row r="5308">
          <cell r="A5308">
            <v>6814039</v>
          </cell>
          <cell r="B5308">
            <v>401874</v>
          </cell>
          <cell r="C5308" t="str">
            <v>Cardiff High School</v>
          </cell>
          <cell r="D5308" t="str">
            <v>Cardiff</v>
          </cell>
          <cell r="E5308" t="str">
            <v>Welsh Establishment</v>
          </cell>
          <cell r="F5308" t="str">
            <v>Secondary</v>
          </cell>
        </row>
        <row r="5309">
          <cell r="A5309">
            <v>6816093</v>
          </cell>
          <cell r="B5309">
            <v>402125</v>
          </cell>
          <cell r="C5309" t="str">
            <v>Cardiff Muslim School</v>
          </cell>
          <cell r="D5309" t="str">
            <v>Cardiff</v>
          </cell>
          <cell r="E5309" t="str">
            <v>Welsh Establishment</v>
          </cell>
          <cell r="F5309" t="str">
            <v>Not applicable</v>
          </cell>
        </row>
        <row r="5310">
          <cell r="A5310">
            <v>6816091</v>
          </cell>
          <cell r="B5310">
            <v>402067</v>
          </cell>
          <cell r="C5310" t="str">
            <v>Cardiff Steiner Early Years Centre</v>
          </cell>
          <cell r="D5310" t="str">
            <v>Cardiff</v>
          </cell>
          <cell r="E5310" t="str">
            <v>Welsh Establishment</v>
          </cell>
          <cell r="F5310" t="str">
            <v>Not applicable</v>
          </cell>
        </row>
        <row r="5311">
          <cell r="A5311">
            <v>6676013</v>
          </cell>
          <cell r="B5311">
            <v>402130</v>
          </cell>
          <cell r="C5311" t="str">
            <v>Cardigan Christian School</v>
          </cell>
          <cell r="D5311" t="str">
            <v>Ceredigion</v>
          </cell>
          <cell r="E5311" t="str">
            <v>Welsh Establishment</v>
          </cell>
          <cell r="F5311" t="str">
            <v>Not applicable</v>
          </cell>
        </row>
        <row r="5312">
          <cell r="A5312">
            <v>6672368</v>
          </cell>
          <cell r="B5312">
            <v>402192</v>
          </cell>
          <cell r="C5312" t="str">
            <v>Cardigan Community Primary School</v>
          </cell>
          <cell r="D5312" t="str">
            <v>Ceredigion</v>
          </cell>
          <cell r="E5312" t="str">
            <v>Welsh Establishment</v>
          </cell>
          <cell r="F5312" t="str">
            <v>Primary</v>
          </cell>
        </row>
        <row r="5313">
          <cell r="A5313">
            <v>6674044</v>
          </cell>
          <cell r="B5313">
            <v>401736</v>
          </cell>
          <cell r="C5313" t="str">
            <v>Cardigan County Secondary</v>
          </cell>
          <cell r="D5313" t="str">
            <v>Ceredigion</v>
          </cell>
          <cell r="E5313" t="str">
            <v>Welsh Establishment</v>
          </cell>
          <cell r="F5313" t="str">
            <v>Secondary</v>
          </cell>
        </row>
        <row r="5314">
          <cell r="A5314">
            <v>8884718</v>
          </cell>
          <cell r="B5314">
            <v>119799</v>
          </cell>
          <cell r="C5314" t="str">
            <v>Cardinal Allen Catholic High School, Fleetwood</v>
          </cell>
          <cell r="D5314" t="str">
            <v>Lancashire</v>
          </cell>
          <cell r="E5314" t="str">
            <v>Voluntary Aided School</v>
          </cell>
          <cell r="F5314" t="str">
            <v>Secondary</v>
          </cell>
        </row>
        <row r="5315">
          <cell r="A5315">
            <v>9194610</v>
          </cell>
          <cell r="B5315">
            <v>129168</v>
          </cell>
          <cell r="C5315" t="str">
            <v>Cardinal Bourne School</v>
          </cell>
          <cell r="D5315" t="str">
            <v>Hertfordshire</v>
          </cell>
          <cell r="E5315" t="str">
            <v>Voluntary Aided School</v>
          </cell>
          <cell r="F5315" t="str">
            <v>Secondary</v>
          </cell>
        </row>
        <row r="5316">
          <cell r="A5316">
            <v>9364621</v>
          </cell>
          <cell r="B5316">
            <v>130110</v>
          </cell>
          <cell r="C5316" t="str">
            <v>Cardinal Godfrey School</v>
          </cell>
          <cell r="D5316" t="str">
            <v>Surrey</v>
          </cell>
          <cell r="E5316" t="str">
            <v>Voluntary Aided School</v>
          </cell>
          <cell r="F5316" t="str">
            <v>Secondary</v>
          </cell>
        </row>
        <row r="5317">
          <cell r="A5317">
            <v>8605403</v>
          </cell>
          <cell r="B5317">
            <v>124468</v>
          </cell>
          <cell r="C5317" t="str">
            <v>Cardinal Griffin Catholic High School</v>
          </cell>
          <cell r="D5317" t="str">
            <v>Staffordshire</v>
          </cell>
          <cell r="E5317" t="str">
            <v>Voluntary Aided School</v>
          </cell>
          <cell r="F5317" t="str">
            <v>Secondary</v>
          </cell>
        </row>
        <row r="5318">
          <cell r="A5318">
            <v>3414793</v>
          </cell>
          <cell r="B5318">
            <v>104714</v>
          </cell>
          <cell r="C5318" t="str">
            <v>Cardinal Heenan Catholic High School</v>
          </cell>
          <cell r="D5318" t="str">
            <v>Liverpool</v>
          </cell>
          <cell r="E5318" t="str">
            <v>Voluntary Aided School</v>
          </cell>
          <cell r="F5318" t="str">
            <v>Secondary</v>
          </cell>
        </row>
        <row r="5319">
          <cell r="A5319">
            <v>3834751</v>
          </cell>
          <cell r="B5319">
            <v>108095</v>
          </cell>
          <cell r="C5319" t="str">
            <v>Cardinal Heenan Catholic High School</v>
          </cell>
          <cell r="D5319" t="str">
            <v>Leeds</v>
          </cell>
          <cell r="E5319" t="str">
            <v>Voluntary Aided School</v>
          </cell>
          <cell r="F5319" t="str">
            <v>Secondary</v>
          </cell>
        </row>
        <row r="5320">
          <cell r="A5320">
            <v>3834733</v>
          </cell>
          <cell r="B5320">
            <v>128021</v>
          </cell>
          <cell r="C5320" t="str">
            <v>Cardinal Heenan RC School</v>
          </cell>
          <cell r="D5320" t="str">
            <v>Leeds</v>
          </cell>
          <cell r="E5320" t="str">
            <v>Voluntary Aided School</v>
          </cell>
          <cell r="F5320" t="str">
            <v>Secondary</v>
          </cell>
        </row>
        <row r="5321">
          <cell r="A5321">
            <v>3904605</v>
          </cell>
          <cell r="B5321">
            <v>108412</v>
          </cell>
          <cell r="C5321" t="str">
            <v>Cardinal Hume Catholic School</v>
          </cell>
          <cell r="D5321" t="str">
            <v>Gateshead</v>
          </cell>
          <cell r="E5321" t="str">
            <v>Voluntary Aided School</v>
          </cell>
          <cell r="F5321" t="str">
            <v>Secondary</v>
          </cell>
        </row>
        <row r="5322">
          <cell r="A5322">
            <v>3544611</v>
          </cell>
          <cell r="B5322">
            <v>105844</v>
          </cell>
          <cell r="C5322" t="str">
            <v>Cardinal Langley Roman Catholic High School</v>
          </cell>
          <cell r="D5322" t="str">
            <v>Rochdale</v>
          </cell>
          <cell r="E5322" t="str">
            <v>Voluntary Aided School</v>
          </cell>
          <cell r="F5322" t="str">
            <v>Secondary</v>
          </cell>
        </row>
        <row r="5323">
          <cell r="A5323">
            <v>2074804</v>
          </cell>
          <cell r="B5323">
            <v>126642</v>
          </cell>
          <cell r="C5323" t="str">
            <v>Cardinal Manning School</v>
          </cell>
          <cell r="D5323" t="str">
            <v>Kensington and Chelsea</v>
          </cell>
          <cell r="E5323" t="str">
            <v>Legacy types</v>
          </cell>
          <cell r="F5323" t="str">
            <v>Secondary</v>
          </cell>
        </row>
        <row r="5324">
          <cell r="A5324">
            <v>8774624</v>
          </cell>
          <cell r="B5324">
            <v>111456</v>
          </cell>
          <cell r="C5324" t="str">
            <v>Cardinal Newman Catholic High School</v>
          </cell>
          <cell r="D5324" t="str">
            <v>Warrington</v>
          </cell>
          <cell r="E5324" t="str">
            <v>Voluntary Aided School</v>
          </cell>
          <cell r="F5324" t="str">
            <v>Secondary</v>
          </cell>
        </row>
        <row r="5325">
          <cell r="A5325">
            <v>9314607</v>
          </cell>
          <cell r="B5325">
            <v>123226</v>
          </cell>
          <cell r="C5325" t="str">
            <v>Cardinal Newman Catholic Middle School</v>
          </cell>
          <cell r="D5325" t="str">
            <v>Oxfordshire</v>
          </cell>
          <cell r="E5325" t="str">
            <v>Voluntary Aided School</v>
          </cell>
          <cell r="F5325" t="str">
            <v>Middle Deemed Secondary</v>
          </cell>
        </row>
        <row r="5326">
          <cell r="A5326">
            <v>9363919</v>
          </cell>
          <cell r="B5326">
            <v>125237</v>
          </cell>
          <cell r="C5326" t="str">
            <v>Cardinal Newman Catholic Primary School</v>
          </cell>
          <cell r="D5326" t="str">
            <v>Surrey</v>
          </cell>
          <cell r="E5326" t="str">
            <v>Voluntary Aided School</v>
          </cell>
          <cell r="F5326" t="str">
            <v>Primary</v>
          </cell>
        </row>
        <row r="5327">
          <cell r="A5327">
            <v>3304803</v>
          </cell>
          <cell r="B5327">
            <v>103540</v>
          </cell>
          <cell r="C5327" t="str">
            <v>Cardinal Newman Catholic School</v>
          </cell>
          <cell r="D5327" t="str">
            <v>Birmingham</v>
          </cell>
          <cell r="E5327" t="str">
            <v>Voluntary Aided School</v>
          </cell>
          <cell r="F5327" t="str">
            <v>Secondary</v>
          </cell>
        </row>
        <row r="5328">
          <cell r="A5328">
            <v>8464605</v>
          </cell>
          <cell r="B5328">
            <v>114611</v>
          </cell>
          <cell r="C5328" t="str">
            <v>Cardinal Newman Catholic School</v>
          </cell>
          <cell r="D5328" t="str">
            <v>Brighton and Hove</v>
          </cell>
          <cell r="E5328" t="str">
            <v>Voluntary Aided School</v>
          </cell>
          <cell r="F5328" t="str">
            <v>Secondary</v>
          </cell>
        </row>
        <row r="5329">
          <cell r="A5329">
            <v>3314707</v>
          </cell>
          <cell r="B5329">
            <v>103743</v>
          </cell>
          <cell r="C5329" t="str">
            <v>Cardinal Newman Catholic School A Specialist Arts and Community College</v>
          </cell>
          <cell r="D5329" t="str">
            <v>Coventry</v>
          </cell>
          <cell r="E5329" t="str">
            <v>Voluntary Aided School</v>
          </cell>
          <cell r="F5329" t="str">
            <v>Secondary</v>
          </cell>
        </row>
        <row r="5330">
          <cell r="A5330">
            <v>8214606</v>
          </cell>
          <cell r="B5330">
            <v>109699</v>
          </cell>
          <cell r="C5330" t="str">
            <v>Cardinal Newman Catholic School A Specialist Science College</v>
          </cell>
          <cell r="D5330" t="str">
            <v>Luton</v>
          </cell>
          <cell r="E5330" t="str">
            <v>Voluntary Aided School</v>
          </cell>
          <cell r="F5330" t="str">
            <v>Secondary</v>
          </cell>
        </row>
        <row r="5331">
          <cell r="A5331">
            <v>8888601</v>
          </cell>
          <cell r="B5331">
            <v>130745</v>
          </cell>
          <cell r="C5331" t="str">
            <v>Cardinal Newman College</v>
          </cell>
          <cell r="D5331" t="str">
            <v>Lancashire</v>
          </cell>
          <cell r="E5331" t="str">
            <v>Further Education</v>
          </cell>
          <cell r="F5331" t="str">
            <v>16 Plus</v>
          </cell>
        </row>
        <row r="5332">
          <cell r="A5332">
            <v>6744602</v>
          </cell>
          <cell r="B5332">
            <v>401823</v>
          </cell>
          <cell r="C5332" t="str">
            <v>Cardinal Newman R.C. Comprehensive School</v>
          </cell>
          <cell r="D5332" t="str">
            <v>Rhondda, Cynon, Taff</v>
          </cell>
          <cell r="E5332" t="str">
            <v>Welsh Establishment</v>
          </cell>
          <cell r="F5332" t="str">
            <v>Secondary</v>
          </cell>
        </row>
        <row r="5333">
          <cell r="A5333">
            <v>9363450</v>
          </cell>
          <cell r="B5333">
            <v>130089</v>
          </cell>
          <cell r="C5333" t="str">
            <v>Cardinal Newman RC Middle School</v>
          </cell>
          <cell r="D5333" t="str">
            <v>Surrey</v>
          </cell>
          <cell r="E5333" t="str">
            <v>Voluntary Aided School</v>
          </cell>
          <cell r="F5333" t="str">
            <v>Middle Deemed Primary</v>
          </cell>
        </row>
        <row r="5334">
          <cell r="A5334">
            <v>3594802</v>
          </cell>
          <cell r="B5334">
            <v>127564</v>
          </cell>
          <cell r="C5334" t="str">
            <v>Cardinal Newman RC School</v>
          </cell>
          <cell r="D5334" t="str">
            <v>Wigan</v>
          </cell>
          <cell r="E5334" t="str">
            <v>Voluntary Aided School</v>
          </cell>
          <cell r="F5334" t="str">
            <v>Secondary</v>
          </cell>
        </row>
        <row r="5335">
          <cell r="A5335">
            <v>2044714</v>
          </cell>
          <cell r="B5335">
            <v>100285</v>
          </cell>
          <cell r="C5335" t="str">
            <v>Cardinal Pole Roman Catholic School</v>
          </cell>
          <cell r="D5335" t="str">
            <v>Hackney</v>
          </cell>
          <cell r="E5335" t="str">
            <v>Voluntary Aided School</v>
          </cell>
          <cell r="F5335" t="str">
            <v>Secondary</v>
          </cell>
        </row>
        <row r="5336">
          <cell r="A5336">
            <v>3132006</v>
          </cell>
          <cell r="B5336">
            <v>102471</v>
          </cell>
          <cell r="C5336" t="str">
            <v>Cardinal Road Infant and Nursery School</v>
          </cell>
          <cell r="D5336" t="str">
            <v>Hounslow</v>
          </cell>
          <cell r="E5336" t="str">
            <v>Community School</v>
          </cell>
          <cell r="F5336" t="str">
            <v>Primary</v>
          </cell>
        </row>
        <row r="5337">
          <cell r="A5337">
            <v>3837011</v>
          </cell>
          <cell r="B5337">
            <v>128049</v>
          </cell>
          <cell r="C5337" t="str">
            <v>Cardinal Square School</v>
          </cell>
          <cell r="D5337" t="str">
            <v>Leeds</v>
          </cell>
          <cell r="E5337" t="str">
            <v>Community Special School</v>
          </cell>
          <cell r="F5337" t="str">
            <v>Special</v>
          </cell>
        </row>
        <row r="5338">
          <cell r="A5338">
            <v>3584601</v>
          </cell>
          <cell r="B5338">
            <v>127546</v>
          </cell>
          <cell r="C5338" t="str">
            <v>Cardinal Vaughan School</v>
          </cell>
          <cell r="D5338" t="str">
            <v>Trafford</v>
          </cell>
          <cell r="E5338" t="str">
            <v>Voluntary Aided School</v>
          </cell>
          <cell r="F5338" t="str">
            <v>Secondary</v>
          </cell>
        </row>
        <row r="5339">
          <cell r="A5339">
            <v>3314710</v>
          </cell>
          <cell r="B5339">
            <v>103744</v>
          </cell>
          <cell r="C5339" t="str">
            <v>Cardinal Wiseman Catholic School and Language College</v>
          </cell>
          <cell r="D5339" t="str">
            <v>Coventry</v>
          </cell>
          <cell r="E5339" t="str">
            <v>Voluntary Aided School</v>
          </cell>
          <cell r="F5339" t="str">
            <v>Secondary</v>
          </cell>
        </row>
        <row r="5340">
          <cell r="A5340">
            <v>3304801</v>
          </cell>
          <cell r="B5340">
            <v>103539</v>
          </cell>
          <cell r="C5340" t="str">
            <v>Cardinal Wiseman Catholic Technology College</v>
          </cell>
          <cell r="D5340" t="str">
            <v>Birmingham</v>
          </cell>
          <cell r="E5340" t="str">
            <v>Voluntary Aided School</v>
          </cell>
          <cell r="F5340" t="str">
            <v>Secondary</v>
          </cell>
        </row>
        <row r="5341">
          <cell r="A5341">
            <v>3204600</v>
          </cell>
          <cell r="B5341">
            <v>127041</v>
          </cell>
          <cell r="C5341" t="str">
            <v>Cardinal Wiseman School</v>
          </cell>
          <cell r="D5341" t="str">
            <v>Waltham Forest</v>
          </cell>
          <cell r="E5341" t="str">
            <v>Voluntary Aided School</v>
          </cell>
          <cell r="F5341" t="str">
            <v>Secondary</v>
          </cell>
        </row>
        <row r="5342">
          <cell r="A5342">
            <v>9082503</v>
          </cell>
          <cell r="B5342">
            <v>111911</v>
          </cell>
          <cell r="C5342" t="str">
            <v>Cardinham School</v>
          </cell>
          <cell r="D5342" t="str">
            <v>Cornwall</v>
          </cell>
          <cell r="E5342" t="str">
            <v>Community School</v>
          </cell>
          <cell r="F5342" t="str">
            <v>Primary</v>
          </cell>
        </row>
        <row r="5343">
          <cell r="A5343">
            <v>9082237</v>
          </cell>
          <cell r="B5343">
            <v>111854</v>
          </cell>
          <cell r="C5343" t="str">
            <v>Cardrew Junior School</v>
          </cell>
          <cell r="D5343" t="str">
            <v>Cornwall</v>
          </cell>
          <cell r="E5343" t="str">
            <v>Community School</v>
          </cell>
          <cell r="F5343" t="str">
            <v>Primary</v>
          </cell>
        </row>
        <row r="5344">
          <cell r="A5344">
            <v>2032877</v>
          </cell>
          <cell r="B5344">
            <v>100155</v>
          </cell>
          <cell r="C5344" t="str">
            <v>Cardwell Primary School</v>
          </cell>
          <cell r="D5344" t="str">
            <v>Greenwich</v>
          </cell>
          <cell r="E5344" t="str">
            <v>Community School</v>
          </cell>
          <cell r="F5344" t="str">
            <v>Primary</v>
          </cell>
        </row>
        <row r="5345">
          <cell r="A5345">
            <v>3526042</v>
          </cell>
          <cell r="B5345">
            <v>105599</v>
          </cell>
          <cell r="C5345" t="str">
            <v>Care Today (Childrens Service)</v>
          </cell>
          <cell r="D5345" t="str">
            <v>Manchester</v>
          </cell>
          <cell r="E5345" t="str">
            <v>Other Independent Special School</v>
          </cell>
          <cell r="F5345" t="str">
            <v>Not applicable</v>
          </cell>
        </row>
        <row r="5346">
          <cell r="A5346">
            <v>3566026</v>
          </cell>
          <cell r="B5346">
            <v>106163</v>
          </cell>
          <cell r="C5346" t="str">
            <v>Care Today (Childrens Service)</v>
          </cell>
          <cell r="D5346" t="str">
            <v>Stockport</v>
          </cell>
          <cell r="E5346" t="str">
            <v>Other Independent School</v>
          </cell>
          <cell r="F5346" t="str">
            <v>Not applicable</v>
          </cell>
        </row>
        <row r="5347">
          <cell r="A5347">
            <v>9346078</v>
          </cell>
          <cell r="B5347">
            <v>124492</v>
          </cell>
          <cell r="C5347" t="str">
            <v>Care Today (Childrens Service)</v>
          </cell>
          <cell r="D5347" t="str">
            <v>Pre LGR (1997) Staffordshire</v>
          </cell>
          <cell r="E5347" t="str">
            <v>Other Independent School</v>
          </cell>
          <cell r="F5347" t="str">
            <v>Not applicable</v>
          </cell>
        </row>
        <row r="5348">
          <cell r="A5348">
            <v>3197000</v>
          </cell>
          <cell r="B5348">
            <v>103024</v>
          </cell>
          <cell r="C5348" t="str">
            <v>Carew Manor School</v>
          </cell>
          <cell r="D5348" t="str">
            <v>Sutton</v>
          </cell>
          <cell r="E5348" t="str">
            <v>Community Special School</v>
          </cell>
          <cell r="F5348" t="str">
            <v>Special</v>
          </cell>
        </row>
        <row r="5349">
          <cell r="A5349">
            <v>3732021</v>
          </cell>
          <cell r="B5349">
            <v>127641</v>
          </cell>
          <cell r="C5349" t="str">
            <v>Carfield Junior School</v>
          </cell>
          <cell r="D5349" t="str">
            <v>Sheffield</v>
          </cell>
          <cell r="E5349" t="str">
            <v>Community School</v>
          </cell>
          <cell r="F5349" t="str">
            <v>Primary</v>
          </cell>
        </row>
        <row r="5350">
          <cell r="A5350">
            <v>3732022</v>
          </cell>
          <cell r="B5350">
            <v>127642</v>
          </cell>
          <cell r="C5350" t="str">
            <v>Carfield Nursery and Infant School</v>
          </cell>
          <cell r="D5350" t="str">
            <v>Sheffield</v>
          </cell>
          <cell r="E5350" t="str">
            <v>Community School</v>
          </cell>
          <cell r="F5350" t="str">
            <v>Primary</v>
          </cell>
        </row>
        <row r="5351">
          <cell r="A5351">
            <v>3732344</v>
          </cell>
          <cell r="B5351">
            <v>107087</v>
          </cell>
          <cell r="C5351" t="str">
            <v>Carfield Primary School</v>
          </cell>
          <cell r="D5351" t="str">
            <v>Sheffield</v>
          </cell>
          <cell r="E5351" t="str">
            <v>Community School</v>
          </cell>
          <cell r="F5351" t="str">
            <v>Primary</v>
          </cell>
        </row>
        <row r="5352">
          <cell r="A5352">
            <v>7016006</v>
          </cell>
          <cell r="B5352">
            <v>132533</v>
          </cell>
          <cell r="C5352" t="str">
            <v>Cargilfield School</v>
          </cell>
          <cell r="D5352" t="str">
            <v>Scotland Offshore Establishments</v>
          </cell>
          <cell r="E5352" t="str">
            <v>Offshore Schools</v>
          </cell>
          <cell r="F5352" t="str">
            <v>Not applicable</v>
          </cell>
        </row>
        <row r="5353">
          <cell r="A5353">
            <v>9213004</v>
          </cell>
          <cell r="B5353">
            <v>118183</v>
          </cell>
          <cell r="C5353" t="str">
            <v>Carisbrooke Church of England Controlled Primary School</v>
          </cell>
          <cell r="D5353" t="str">
            <v>Isle of Wight</v>
          </cell>
          <cell r="E5353" t="str">
            <v>Voluntary Controlled School</v>
          </cell>
          <cell r="F5353" t="str">
            <v>Primary</v>
          </cell>
        </row>
        <row r="5354">
          <cell r="A5354">
            <v>9214032</v>
          </cell>
          <cell r="B5354">
            <v>136012</v>
          </cell>
          <cell r="C5354" t="str">
            <v>Carisbrooke College</v>
          </cell>
          <cell r="D5354" t="str">
            <v>Isle of Wight</v>
          </cell>
          <cell r="E5354" t="str">
            <v>Foundation School</v>
          </cell>
          <cell r="F5354" t="str">
            <v>Secondary</v>
          </cell>
        </row>
        <row r="5355">
          <cell r="A5355">
            <v>9214024</v>
          </cell>
          <cell r="B5355">
            <v>118214</v>
          </cell>
          <cell r="C5355" t="str">
            <v>Carisbrooke High School</v>
          </cell>
          <cell r="D5355" t="str">
            <v>Isle of Wight</v>
          </cell>
          <cell r="E5355" t="str">
            <v>Community School</v>
          </cell>
          <cell r="F5355" t="str">
            <v>Secondary</v>
          </cell>
        </row>
        <row r="5356">
          <cell r="A5356">
            <v>9077025</v>
          </cell>
          <cell r="B5356">
            <v>132870</v>
          </cell>
          <cell r="C5356" t="str">
            <v>Carisbrooke School</v>
          </cell>
          <cell r="D5356" t="str">
            <v>Pre LGR (1996) Cleveland</v>
          </cell>
          <cell r="E5356" t="str">
            <v>Community Special School</v>
          </cell>
          <cell r="F5356" t="str">
            <v>Special</v>
          </cell>
        </row>
        <row r="5357">
          <cell r="A5357">
            <v>3844027</v>
          </cell>
          <cell r="B5357">
            <v>108279</v>
          </cell>
          <cell r="C5357" t="str">
            <v>Carleton Community High School A Specialist Science College</v>
          </cell>
          <cell r="D5357" t="str">
            <v>Wakefield</v>
          </cell>
          <cell r="E5357" t="str">
            <v>Foundation School</v>
          </cell>
          <cell r="F5357" t="str">
            <v>Secondary</v>
          </cell>
        </row>
        <row r="5358">
          <cell r="A5358">
            <v>8153354</v>
          </cell>
          <cell r="B5358">
            <v>121624</v>
          </cell>
          <cell r="C5358" t="str">
            <v>Carleton Endowed School</v>
          </cell>
          <cell r="D5358" t="str">
            <v>North Yorkshire</v>
          </cell>
          <cell r="E5358" t="str">
            <v>Voluntary Aided School</v>
          </cell>
          <cell r="F5358" t="str">
            <v>Primary</v>
          </cell>
        </row>
        <row r="5359">
          <cell r="A5359">
            <v>8882622</v>
          </cell>
          <cell r="B5359">
            <v>119316</v>
          </cell>
          <cell r="C5359" t="str">
            <v>Carleton Green Community Primary School</v>
          </cell>
          <cell r="D5359" t="str">
            <v>Lancashire</v>
          </cell>
          <cell r="E5359" t="str">
            <v>Community School</v>
          </cell>
          <cell r="F5359" t="str">
            <v>Primary</v>
          </cell>
        </row>
        <row r="5360">
          <cell r="A5360">
            <v>3416004</v>
          </cell>
          <cell r="B5360">
            <v>104723</v>
          </cell>
          <cell r="C5360" t="str">
            <v>Carleton House Preparatory School</v>
          </cell>
          <cell r="D5360" t="str">
            <v>Liverpool</v>
          </cell>
          <cell r="E5360" t="str">
            <v>Other Independent School</v>
          </cell>
          <cell r="F5360" t="str">
            <v>Not applicable</v>
          </cell>
        </row>
        <row r="5361">
          <cell r="A5361">
            <v>9263309</v>
          </cell>
          <cell r="B5361">
            <v>121110</v>
          </cell>
          <cell r="C5361" t="str">
            <v>Carleton Rode Church of England Voluntary Aided Primary School</v>
          </cell>
          <cell r="D5361" t="str">
            <v>Norfolk</v>
          </cell>
          <cell r="E5361" t="str">
            <v>Voluntary Aided School</v>
          </cell>
          <cell r="F5361" t="str">
            <v>Primary</v>
          </cell>
        </row>
        <row r="5362">
          <cell r="A5362">
            <v>8883571</v>
          </cell>
          <cell r="B5362">
            <v>119557</v>
          </cell>
          <cell r="C5362" t="str">
            <v>Carleton St Hilda's Church of England Primary School</v>
          </cell>
          <cell r="D5362" t="str">
            <v>Lancashire</v>
          </cell>
          <cell r="E5362" t="str">
            <v>Voluntary Aided School</v>
          </cell>
          <cell r="F5362" t="str">
            <v>Primary</v>
          </cell>
        </row>
        <row r="5363">
          <cell r="A5363">
            <v>3942085</v>
          </cell>
          <cell r="B5363">
            <v>108781</v>
          </cell>
          <cell r="C5363" t="str">
            <v>Carley Hill Primary School</v>
          </cell>
          <cell r="D5363" t="str">
            <v>Sunderland</v>
          </cell>
          <cell r="E5363" t="str">
            <v>Community School</v>
          </cell>
          <cell r="F5363" t="str">
            <v>Primary</v>
          </cell>
        </row>
        <row r="5364">
          <cell r="A5364">
            <v>3822061</v>
          </cell>
          <cell r="B5364">
            <v>107636</v>
          </cell>
          <cell r="C5364" t="str">
            <v>Carlinghow Princess Royal Junior Infant and Nursery School</v>
          </cell>
          <cell r="D5364" t="str">
            <v>Kirklees</v>
          </cell>
          <cell r="E5364" t="str">
            <v>Community School</v>
          </cell>
          <cell r="F5364" t="str">
            <v>Primary</v>
          </cell>
        </row>
        <row r="5365">
          <cell r="A5365">
            <v>9098009</v>
          </cell>
          <cell r="B5365">
            <v>130634</v>
          </cell>
          <cell r="C5365" t="str">
            <v>Carlisle College</v>
          </cell>
          <cell r="D5365" t="str">
            <v>Cumbria</v>
          </cell>
          <cell r="E5365" t="str">
            <v>Further Education</v>
          </cell>
          <cell r="F5365" t="str">
            <v>16 Plus</v>
          </cell>
        </row>
        <row r="5366">
          <cell r="A5366">
            <v>3182001</v>
          </cell>
          <cell r="B5366">
            <v>102883</v>
          </cell>
          <cell r="C5366" t="str">
            <v>Carlisle Infant School</v>
          </cell>
          <cell r="D5366" t="str">
            <v>Richmond upon Thames</v>
          </cell>
          <cell r="E5366" t="str">
            <v>Community School</v>
          </cell>
          <cell r="F5366" t="str">
            <v>Primary</v>
          </cell>
        </row>
        <row r="5367">
          <cell r="A5367">
            <v>909940</v>
          </cell>
          <cell r="B5367">
            <v>134135</v>
          </cell>
          <cell r="C5367" t="str">
            <v>Carlisle United Study Centre</v>
          </cell>
          <cell r="D5367" t="str">
            <v>Cumbria</v>
          </cell>
          <cell r="E5367" t="str">
            <v>Playing for Success Centres</v>
          </cell>
          <cell r="F5367" t="str">
            <v>Not applicable</v>
          </cell>
        </row>
        <row r="5368">
          <cell r="A5368">
            <v>8914005</v>
          </cell>
          <cell r="B5368">
            <v>137085</v>
          </cell>
          <cell r="C5368" t="str">
            <v>Carlton Academy</v>
          </cell>
          <cell r="D5368" t="str">
            <v>Nottinghamshire</v>
          </cell>
          <cell r="E5368" t="str">
            <v>Academy Sponsor Led</v>
          </cell>
          <cell r="F5368" t="str">
            <v>Secondary</v>
          </cell>
        </row>
        <row r="5369">
          <cell r="A5369">
            <v>8153306</v>
          </cell>
          <cell r="B5369">
            <v>121608</v>
          </cell>
          <cell r="C5369" t="str">
            <v>Carlton and Faceby Church of England Voluntary Aided Primary School</v>
          </cell>
          <cell r="D5369" t="str">
            <v>North Yorkshire</v>
          </cell>
          <cell r="E5369" t="str">
            <v>Voluntary Aided School</v>
          </cell>
          <cell r="F5369" t="str">
            <v>Primary</v>
          </cell>
        </row>
        <row r="5370">
          <cell r="A5370">
            <v>3804100</v>
          </cell>
          <cell r="B5370">
            <v>107413</v>
          </cell>
          <cell r="C5370" t="str">
            <v>Carlton Bolling College</v>
          </cell>
          <cell r="D5370" t="str">
            <v>Bradford</v>
          </cell>
          <cell r="E5370" t="str">
            <v>Community School</v>
          </cell>
          <cell r="F5370" t="str">
            <v>Secondary</v>
          </cell>
        </row>
        <row r="5371">
          <cell r="A5371">
            <v>8912226</v>
          </cell>
          <cell r="B5371">
            <v>122523</v>
          </cell>
          <cell r="C5371" t="str">
            <v>Carlton Central Junior School</v>
          </cell>
          <cell r="D5371" t="str">
            <v>Nottinghamshire</v>
          </cell>
          <cell r="E5371" t="str">
            <v>Community School</v>
          </cell>
          <cell r="F5371" t="str">
            <v>Primary</v>
          </cell>
        </row>
        <row r="5372">
          <cell r="A5372">
            <v>9352068</v>
          </cell>
          <cell r="B5372">
            <v>124574</v>
          </cell>
          <cell r="C5372" t="str">
            <v>Carlton Colville Primary School</v>
          </cell>
          <cell r="D5372" t="str">
            <v>Suffolk</v>
          </cell>
          <cell r="E5372" t="str">
            <v>Community School</v>
          </cell>
          <cell r="F5372" t="str">
            <v>Primary</v>
          </cell>
        </row>
        <row r="5373">
          <cell r="A5373">
            <v>3704802</v>
          </cell>
          <cell r="B5373">
            <v>135892</v>
          </cell>
          <cell r="C5373" t="str">
            <v>Carlton Community College</v>
          </cell>
          <cell r="D5373" t="str">
            <v>Barnsley</v>
          </cell>
          <cell r="E5373" t="str">
            <v>Community School</v>
          </cell>
          <cell r="F5373" t="str">
            <v>Secondary</v>
          </cell>
        </row>
        <row r="5374">
          <cell r="A5374">
            <v>8917019</v>
          </cell>
          <cell r="B5374">
            <v>122953</v>
          </cell>
          <cell r="C5374" t="str">
            <v>Carlton Digby School</v>
          </cell>
          <cell r="D5374" t="str">
            <v>Nottinghamshire</v>
          </cell>
          <cell r="E5374" t="str">
            <v>Community Special School</v>
          </cell>
          <cell r="F5374" t="str">
            <v>Special</v>
          </cell>
        </row>
        <row r="5375">
          <cell r="A5375">
            <v>3711106</v>
          </cell>
          <cell r="B5375">
            <v>134804</v>
          </cell>
          <cell r="C5375" t="str">
            <v>Carlton Education</v>
          </cell>
          <cell r="D5375" t="str">
            <v>Doncaster</v>
          </cell>
          <cell r="E5375" t="str">
            <v>Pupil Referral Unit</v>
          </cell>
          <cell r="F5375" t="str">
            <v>PRU</v>
          </cell>
        </row>
        <row r="5376">
          <cell r="A5376">
            <v>3842149</v>
          </cell>
          <cell r="B5376">
            <v>108205</v>
          </cell>
          <cell r="C5376" t="str">
            <v>Carlton First School</v>
          </cell>
          <cell r="D5376" t="str">
            <v>Wakefield</v>
          </cell>
          <cell r="E5376" t="str">
            <v>Community School</v>
          </cell>
          <cell r="F5376" t="str">
            <v>Primary</v>
          </cell>
        </row>
        <row r="5377">
          <cell r="A5377">
            <v>8462037</v>
          </cell>
          <cell r="B5377">
            <v>114381</v>
          </cell>
          <cell r="C5377" t="str">
            <v>Carlton Hill Primary School</v>
          </cell>
          <cell r="D5377" t="str">
            <v>Brighton and Hove</v>
          </cell>
          <cell r="E5377" t="str">
            <v>Community School</v>
          </cell>
          <cell r="F5377" t="str">
            <v>Primary</v>
          </cell>
        </row>
        <row r="5378">
          <cell r="A5378">
            <v>3822005</v>
          </cell>
          <cell r="B5378">
            <v>107600</v>
          </cell>
          <cell r="C5378" t="str">
            <v>Carlton Junior and Infant School</v>
          </cell>
          <cell r="D5378" t="str">
            <v>Kirklees</v>
          </cell>
          <cell r="E5378" t="str">
            <v>Community School</v>
          </cell>
          <cell r="F5378" t="str">
            <v>Primary</v>
          </cell>
        </row>
        <row r="5379">
          <cell r="A5379">
            <v>8914107</v>
          </cell>
          <cell r="B5379">
            <v>136627</v>
          </cell>
          <cell r="C5379" t="str">
            <v>Carlton le Willows Academy</v>
          </cell>
          <cell r="D5379" t="str">
            <v>Nottinghamshire</v>
          </cell>
          <cell r="E5379" t="str">
            <v>Academy Converters</v>
          </cell>
          <cell r="F5379" t="str">
            <v>Secondary</v>
          </cell>
        </row>
        <row r="5380">
          <cell r="A5380">
            <v>8914107</v>
          </cell>
          <cell r="B5380">
            <v>122850</v>
          </cell>
          <cell r="C5380" t="str">
            <v>Carlton le Willows School and Technology College</v>
          </cell>
          <cell r="D5380" t="str">
            <v>Nottinghamshire</v>
          </cell>
          <cell r="E5380" t="str">
            <v>Foundation School</v>
          </cell>
          <cell r="F5380" t="str">
            <v>Secondary</v>
          </cell>
        </row>
        <row r="5381">
          <cell r="A5381">
            <v>8152252</v>
          </cell>
          <cell r="B5381">
            <v>121374</v>
          </cell>
          <cell r="C5381" t="str">
            <v>Carlton Miniott Community Primary School</v>
          </cell>
          <cell r="D5381" t="str">
            <v>North Yorkshire</v>
          </cell>
          <cell r="E5381" t="str">
            <v>Community School</v>
          </cell>
          <cell r="F5381" t="str">
            <v>Primary</v>
          </cell>
        </row>
        <row r="5382">
          <cell r="A5382">
            <v>8912231</v>
          </cell>
          <cell r="B5382">
            <v>122527</v>
          </cell>
          <cell r="C5382" t="str">
            <v>Carlton Netherfield Infant and Nursery School</v>
          </cell>
          <cell r="D5382" t="str">
            <v>Nottinghamshire</v>
          </cell>
          <cell r="E5382" t="str">
            <v>Community School</v>
          </cell>
          <cell r="F5382" t="str">
            <v>Primary</v>
          </cell>
        </row>
        <row r="5383">
          <cell r="A5383">
            <v>8912706</v>
          </cell>
          <cell r="B5383">
            <v>122629</v>
          </cell>
          <cell r="C5383" t="str">
            <v>Carlton Park Infant and Nursery School</v>
          </cell>
          <cell r="D5383" t="str">
            <v>Nottinghamshire</v>
          </cell>
          <cell r="E5383" t="str">
            <v>Community School</v>
          </cell>
          <cell r="F5383" t="str">
            <v>Primary</v>
          </cell>
        </row>
        <row r="5384">
          <cell r="A5384">
            <v>2022095</v>
          </cell>
          <cell r="B5384">
            <v>100012</v>
          </cell>
          <cell r="C5384" t="str">
            <v>Carlton Primary School</v>
          </cell>
          <cell r="D5384" t="str">
            <v>Camden</v>
          </cell>
          <cell r="E5384" t="str">
            <v>Community School</v>
          </cell>
          <cell r="F5384" t="str">
            <v>Primary</v>
          </cell>
        </row>
        <row r="5385">
          <cell r="A5385">
            <v>3702122</v>
          </cell>
          <cell r="B5385">
            <v>106610</v>
          </cell>
          <cell r="C5385" t="str">
            <v>Carlton Primary School</v>
          </cell>
          <cell r="D5385" t="str">
            <v>Barnsley</v>
          </cell>
          <cell r="E5385" t="str">
            <v>Foundation School</v>
          </cell>
          <cell r="F5385" t="str">
            <v>Primary</v>
          </cell>
        </row>
        <row r="5386">
          <cell r="A5386">
            <v>3832308</v>
          </cell>
          <cell r="B5386">
            <v>107830</v>
          </cell>
          <cell r="C5386" t="str">
            <v>Carlton Primary School</v>
          </cell>
          <cell r="D5386" t="str">
            <v>Leeds</v>
          </cell>
          <cell r="E5386" t="str">
            <v>Community School</v>
          </cell>
          <cell r="F5386" t="str">
            <v>Primary</v>
          </cell>
        </row>
        <row r="5387">
          <cell r="A5387">
            <v>3042007</v>
          </cell>
          <cell r="B5387">
            <v>101498</v>
          </cell>
          <cell r="C5387" t="str">
            <v>Carlton Vale Infant School</v>
          </cell>
          <cell r="D5387" t="str">
            <v>Brent</v>
          </cell>
          <cell r="E5387" t="str">
            <v>Community School</v>
          </cell>
          <cell r="F5387" t="str">
            <v>Primary</v>
          </cell>
        </row>
        <row r="5388">
          <cell r="A5388">
            <v>8223018</v>
          </cell>
          <cell r="B5388">
            <v>109610</v>
          </cell>
          <cell r="C5388" t="str">
            <v>Carlton VC Lower School</v>
          </cell>
          <cell r="D5388" t="str">
            <v>Bedford</v>
          </cell>
          <cell r="E5388" t="str">
            <v>Voluntary Controlled School</v>
          </cell>
          <cell r="F5388" t="str">
            <v>Primary</v>
          </cell>
        </row>
        <row r="5389">
          <cell r="A5389">
            <v>8152314</v>
          </cell>
          <cell r="B5389">
            <v>121386</v>
          </cell>
          <cell r="C5389" t="str">
            <v>Carlton-in-Snaith Community Primary School</v>
          </cell>
          <cell r="D5389" t="str">
            <v>North Yorkshire</v>
          </cell>
          <cell r="E5389" t="str">
            <v>Community School</v>
          </cell>
          <cell r="F5389" t="str">
            <v>Primary</v>
          </cell>
        </row>
        <row r="5390">
          <cell r="A5390">
            <v>8312456</v>
          </cell>
          <cell r="B5390">
            <v>112755</v>
          </cell>
          <cell r="C5390" t="str">
            <v>Carlyle Infant School</v>
          </cell>
          <cell r="D5390" t="str">
            <v>Derby</v>
          </cell>
          <cell r="E5390" t="str">
            <v>Community School</v>
          </cell>
          <cell r="F5390" t="str">
            <v>Primary</v>
          </cell>
        </row>
        <row r="5391">
          <cell r="A5391">
            <v>6696010</v>
          </cell>
          <cell r="B5391">
            <v>402065</v>
          </cell>
          <cell r="C5391" t="str">
            <v>Carmarthen Christian School</v>
          </cell>
          <cell r="D5391" t="str">
            <v>Carmarthenshire</v>
          </cell>
          <cell r="E5391" t="str">
            <v>Welsh Establishment</v>
          </cell>
          <cell r="F5391" t="str">
            <v>Not applicable</v>
          </cell>
        </row>
        <row r="5392">
          <cell r="A5392">
            <v>8016021</v>
          </cell>
          <cell r="B5392">
            <v>132774</v>
          </cell>
          <cell r="C5392" t="str">
            <v>Carmel Christian School</v>
          </cell>
          <cell r="D5392" t="str">
            <v>Bristol City of</v>
          </cell>
          <cell r="E5392" t="str">
            <v>Other Independent School</v>
          </cell>
          <cell r="F5392" t="str">
            <v>Not applicable</v>
          </cell>
        </row>
        <row r="5393">
          <cell r="A5393">
            <v>9316048</v>
          </cell>
          <cell r="B5393">
            <v>123284</v>
          </cell>
          <cell r="C5393" t="str">
            <v>Carmel College</v>
          </cell>
          <cell r="D5393" t="str">
            <v>Oxfordshire</v>
          </cell>
          <cell r="E5393" t="str">
            <v>Other Independent School</v>
          </cell>
          <cell r="F5393" t="str">
            <v>Not applicable</v>
          </cell>
        </row>
        <row r="5394">
          <cell r="A5394">
            <v>3428600</v>
          </cell>
          <cell r="B5394">
            <v>130489</v>
          </cell>
          <cell r="C5394" t="str">
            <v>Carmel College</v>
          </cell>
          <cell r="D5394" t="str">
            <v>St. Helens</v>
          </cell>
          <cell r="E5394" t="str">
            <v>Further Education</v>
          </cell>
          <cell r="F5394" t="str">
            <v>16 Plus</v>
          </cell>
        </row>
        <row r="5395">
          <cell r="A5395">
            <v>8414603</v>
          </cell>
          <cell r="B5395">
            <v>114324</v>
          </cell>
          <cell r="C5395" t="str">
            <v>Carmel RC College</v>
          </cell>
          <cell r="D5395" t="str">
            <v>Darlington</v>
          </cell>
          <cell r="E5395" t="str">
            <v>Voluntary Aided School</v>
          </cell>
          <cell r="F5395" t="str">
            <v>Secondary</v>
          </cell>
        </row>
        <row r="5396">
          <cell r="A5396">
            <v>8414603</v>
          </cell>
          <cell r="B5396">
            <v>137622</v>
          </cell>
          <cell r="C5396" t="str">
            <v>Carmel RC College</v>
          </cell>
          <cell r="D5396" t="str">
            <v>Darlington</v>
          </cell>
          <cell r="E5396" t="str">
            <v>Academy Converters</v>
          </cell>
          <cell r="F5396" t="str">
            <v>Secondary</v>
          </cell>
        </row>
        <row r="5397">
          <cell r="A5397">
            <v>3424715</v>
          </cell>
          <cell r="B5397">
            <v>127358</v>
          </cell>
          <cell r="C5397" t="str">
            <v>Carmel Sixth Form College</v>
          </cell>
          <cell r="D5397" t="str">
            <v>St. Helens</v>
          </cell>
          <cell r="E5397" t="str">
            <v>Voluntary Aided School</v>
          </cell>
          <cell r="F5397" t="str">
            <v>Secondary</v>
          </cell>
        </row>
        <row r="5398">
          <cell r="A5398">
            <v>2086392</v>
          </cell>
          <cell r="B5398">
            <v>131440</v>
          </cell>
          <cell r="C5398" t="str">
            <v>Carmena Christian Preparatory School</v>
          </cell>
          <cell r="D5398" t="str">
            <v>Lambeth</v>
          </cell>
          <cell r="E5398" t="str">
            <v>Other Independent School</v>
          </cell>
          <cell r="F5398" t="str">
            <v>Not applicable</v>
          </cell>
        </row>
        <row r="5399">
          <cell r="A5399">
            <v>8612040</v>
          </cell>
          <cell r="B5399">
            <v>123991</v>
          </cell>
          <cell r="C5399" t="str">
            <v>Carmountside Primary School</v>
          </cell>
          <cell r="D5399" t="str">
            <v>Stoke-on-Trent</v>
          </cell>
          <cell r="E5399" t="str">
            <v>Community School</v>
          </cell>
          <cell r="F5399" t="str">
            <v>Primary</v>
          </cell>
        </row>
        <row r="5400">
          <cell r="A5400">
            <v>4203001</v>
          </cell>
          <cell r="B5400">
            <v>108887</v>
          </cell>
          <cell r="C5400" t="str">
            <v>Carn Gwaval CofE School</v>
          </cell>
          <cell r="D5400" t="str">
            <v>Isles Of Scilly</v>
          </cell>
          <cell r="E5400" t="str">
            <v>Voluntary Controlled School</v>
          </cell>
          <cell r="F5400" t="str">
            <v>Primary</v>
          </cell>
        </row>
        <row r="5401">
          <cell r="A5401">
            <v>9086090</v>
          </cell>
          <cell r="B5401">
            <v>128563</v>
          </cell>
          <cell r="C5401" t="str">
            <v>Carn Michael School</v>
          </cell>
          <cell r="D5401" t="str">
            <v>Cornwall</v>
          </cell>
          <cell r="E5401" t="str">
            <v>Other Independent School</v>
          </cell>
          <cell r="F5401" t="str">
            <v>Not applicable</v>
          </cell>
        </row>
        <row r="5402">
          <cell r="A5402">
            <v>8912693</v>
          </cell>
          <cell r="B5402">
            <v>122621</v>
          </cell>
          <cell r="C5402" t="str">
            <v>Carnarvon Primary School</v>
          </cell>
          <cell r="D5402" t="str">
            <v>Nottinghamshire</v>
          </cell>
          <cell r="E5402" t="str">
            <v>Community School</v>
          </cell>
          <cell r="F5402" t="str">
            <v>Primary</v>
          </cell>
        </row>
        <row r="5403">
          <cell r="A5403">
            <v>6811112</v>
          </cell>
          <cell r="B5403">
            <v>402154</v>
          </cell>
          <cell r="C5403" t="str">
            <v>Carnegie Centre</v>
          </cell>
          <cell r="D5403" t="str">
            <v>Cardiff</v>
          </cell>
          <cell r="E5403" t="str">
            <v>Welsh Establishment</v>
          </cell>
          <cell r="F5403" t="str">
            <v>Not applicable</v>
          </cell>
        </row>
        <row r="5404">
          <cell r="A5404">
            <v>6742100</v>
          </cell>
          <cell r="B5404">
            <v>401163</v>
          </cell>
          <cell r="C5404" t="str">
            <v>Carnetown Primary School</v>
          </cell>
          <cell r="D5404" t="str">
            <v>Rhondda, Cynon, Taff</v>
          </cell>
          <cell r="E5404" t="str">
            <v>Welsh Establishment</v>
          </cell>
          <cell r="F5404" t="str">
            <v>Primary</v>
          </cell>
        </row>
        <row r="5405">
          <cell r="A5405">
            <v>8883519</v>
          </cell>
          <cell r="B5405">
            <v>119522</v>
          </cell>
          <cell r="C5405" t="str">
            <v>Carnforth Christ Church, Church of England, Voluntary Aided Primary School</v>
          </cell>
          <cell r="D5405" t="str">
            <v>Lancashire</v>
          </cell>
          <cell r="E5405" t="str">
            <v>Voluntary Aided School</v>
          </cell>
          <cell r="F5405" t="str">
            <v>Primary</v>
          </cell>
        </row>
        <row r="5406">
          <cell r="A5406">
            <v>8884167</v>
          </cell>
          <cell r="B5406">
            <v>119748</v>
          </cell>
          <cell r="C5406" t="str">
            <v>Carnforth High School</v>
          </cell>
          <cell r="D5406" t="str">
            <v>Lancashire</v>
          </cell>
          <cell r="E5406" t="str">
            <v>Community School</v>
          </cell>
          <cell r="F5406" t="str">
            <v>Secondary</v>
          </cell>
        </row>
        <row r="5407">
          <cell r="A5407">
            <v>9207010</v>
          </cell>
          <cell r="B5407">
            <v>129335</v>
          </cell>
          <cell r="C5407" t="str">
            <v>Carnforth School</v>
          </cell>
          <cell r="D5407" t="str">
            <v>Pre LGR (1996) Humberside</v>
          </cell>
          <cell r="E5407" t="str">
            <v>Community Special School</v>
          </cell>
          <cell r="F5407" t="str">
            <v>Special</v>
          </cell>
        </row>
        <row r="5408">
          <cell r="A5408">
            <v>9082203</v>
          </cell>
          <cell r="B5408">
            <v>111834</v>
          </cell>
          <cell r="C5408" t="str">
            <v>Carnkie Community Primary School</v>
          </cell>
          <cell r="D5408" t="str">
            <v>Cornwall</v>
          </cell>
          <cell r="E5408" t="str">
            <v>Community School</v>
          </cell>
          <cell r="F5408" t="str">
            <v>Primary</v>
          </cell>
        </row>
        <row r="5409">
          <cell r="A5409">
            <v>9112080</v>
          </cell>
          <cell r="B5409">
            <v>128694</v>
          </cell>
          <cell r="C5409" t="str">
            <v>Caroline Brewin First School</v>
          </cell>
          <cell r="D5409" t="str">
            <v>Pre LGR (1998) Devon</v>
          </cell>
          <cell r="E5409" t="str">
            <v>Community School</v>
          </cell>
          <cell r="F5409" t="str">
            <v>Primary</v>
          </cell>
        </row>
        <row r="5410">
          <cell r="A5410">
            <v>9284005</v>
          </cell>
          <cell r="B5410">
            <v>134177</v>
          </cell>
          <cell r="C5410" t="str">
            <v>Caroline Chisholm School</v>
          </cell>
          <cell r="D5410" t="str">
            <v>Northamptonshire</v>
          </cell>
          <cell r="E5410" t="str">
            <v>Community School</v>
          </cell>
          <cell r="F5410" t="str">
            <v>Middle Deemed Secondary</v>
          </cell>
        </row>
        <row r="5411">
          <cell r="A5411">
            <v>9284005</v>
          </cell>
          <cell r="B5411">
            <v>137089</v>
          </cell>
          <cell r="C5411" t="str">
            <v>Caroline Chisholm School</v>
          </cell>
          <cell r="D5411" t="str">
            <v>Northamptonshire</v>
          </cell>
          <cell r="E5411" t="str">
            <v>Academy Converters</v>
          </cell>
          <cell r="F5411" t="str">
            <v>Middle Deemed Secondary</v>
          </cell>
        </row>
        <row r="5412">
          <cell r="A5412">
            <v>8262336</v>
          </cell>
          <cell r="B5412">
            <v>110394</v>
          </cell>
          <cell r="C5412" t="str">
            <v>Caroline Haslett Primary School</v>
          </cell>
          <cell r="D5412" t="str">
            <v>Milton Keynes</v>
          </cell>
          <cell r="E5412" t="str">
            <v>Community School</v>
          </cell>
          <cell r="F5412" t="str">
            <v>Primary</v>
          </cell>
        </row>
        <row r="5413">
          <cell r="A5413">
            <v>3162006</v>
          </cell>
          <cell r="B5413">
            <v>102712</v>
          </cell>
          <cell r="C5413" t="str">
            <v>Carpenters Primary School</v>
          </cell>
          <cell r="D5413" t="str">
            <v>Newham</v>
          </cell>
          <cell r="E5413" t="str">
            <v>Community School</v>
          </cell>
          <cell r="F5413" t="str">
            <v>Primary</v>
          </cell>
        </row>
        <row r="5414">
          <cell r="A5414">
            <v>3812042</v>
          </cell>
          <cell r="B5414">
            <v>107500</v>
          </cell>
          <cell r="C5414" t="str">
            <v>Carr Green Primary School</v>
          </cell>
          <cell r="D5414" t="str">
            <v>Calderdale</v>
          </cell>
          <cell r="E5414" t="str">
            <v>Community School</v>
          </cell>
          <cell r="F5414" t="str">
            <v>Primary</v>
          </cell>
        </row>
        <row r="5415">
          <cell r="A5415">
            <v>3902008</v>
          </cell>
          <cell r="B5415">
            <v>108321</v>
          </cell>
          <cell r="C5415" t="str">
            <v>Carr Hill Community Primary School</v>
          </cell>
          <cell r="D5415" t="str">
            <v>Gateshead</v>
          </cell>
          <cell r="E5415" t="str">
            <v>Community School</v>
          </cell>
          <cell r="F5415" t="str">
            <v>Primary</v>
          </cell>
        </row>
        <row r="5416">
          <cell r="A5416">
            <v>8884155</v>
          </cell>
          <cell r="B5416">
            <v>119744</v>
          </cell>
          <cell r="C5416" t="str">
            <v>Carr Hill High School and Sixth Form Centre</v>
          </cell>
          <cell r="D5416" t="str">
            <v>Lancashire</v>
          </cell>
          <cell r="E5416" t="str">
            <v>Community School</v>
          </cell>
          <cell r="F5416" t="str">
            <v>Secondary</v>
          </cell>
        </row>
        <row r="5417">
          <cell r="A5417">
            <v>9302340</v>
          </cell>
          <cell r="B5417">
            <v>129717</v>
          </cell>
          <cell r="C5417" t="str">
            <v>Carr Hill Junior School</v>
          </cell>
          <cell r="D5417" t="str">
            <v>Pre LGR (1998) Nottinghamshire</v>
          </cell>
          <cell r="E5417" t="str">
            <v>Community School</v>
          </cell>
          <cell r="F5417" t="str">
            <v>Primary</v>
          </cell>
        </row>
        <row r="5418">
          <cell r="A5418">
            <v>8912928</v>
          </cell>
          <cell r="B5418">
            <v>122732</v>
          </cell>
          <cell r="C5418" t="str">
            <v>Carr Hill Primary and Nursery School</v>
          </cell>
          <cell r="D5418" t="str">
            <v>Nottinghamshire</v>
          </cell>
          <cell r="E5418" t="str">
            <v>Community School</v>
          </cell>
          <cell r="F5418" t="str">
            <v>Primary</v>
          </cell>
        </row>
        <row r="5419">
          <cell r="A5419">
            <v>3714061</v>
          </cell>
          <cell r="B5419">
            <v>106807</v>
          </cell>
          <cell r="C5419" t="str">
            <v>Carr House Middle School</v>
          </cell>
          <cell r="D5419" t="str">
            <v>Doncaster</v>
          </cell>
          <cell r="E5419" t="str">
            <v>Community School</v>
          </cell>
          <cell r="F5419" t="str">
            <v>Middle Deemed Secondary</v>
          </cell>
        </row>
        <row r="5420">
          <cell r="A5420">
            <v>8162003</v>
          </cell>
          <cell r="B5420">
            <v>121273</v>
          </cell>
          <cell r="C5420" t="str">
            <v>Carr Infant School</v>
          </cell>
          <cell r="D5420" t="str">
            <v>York</v>
          </cell>
          <cell r="E5420" t="str">
            <v>Community School</v>
          </cell>
          <cell r="F5420" t="str">
            <v>Primary</v>
          </cell>
        </row>
        <row r="5421">
          <cell r="A5421">
            <v>8162002</v>
          </cell>
          <cell r="B5421">
            <v>121272</v>
          </cell>
          <cell r="C5421" t="str">
            <v>Carr Junior School</v>
          </cell>
          <cell r="D5421" t="str">
            <v>York</v>
          </cell>
          <cell r="E5421" t="str">
            <v>Community School</v>
          </cell>
          <cell r="F5421" t="str">
            <v>Primary</v>
          </cell>
        </row>
        <row r="5422">
          <cell r="A5422">
            <v>3832044</v>
          </cell>
          <cell r="B5422">
            <v>127815</v>
          </cell>
          <cell r="C5422" t="str">
            <v>Carr Manor First School</v>
          </cell>
          <cell r="D5422" t="str">
            <v>Leeds</v>
          </cell>
          <cell r="E5422" t="str">
            <v>Community School</v>
          </cell>
          <cell r="F5422" t="str">
            <v>Primary</v>
          </cell>
        </row>
        <row r="5423">
          <cell r="A5423">
            <v>3834041</v>
          </cell>
          <cell r="B5423">
            <v>108059</v>
          </cell>
          <cell r="C5423" t="str">
            <v>Carr Manor High School</v>
          </cell>
          <cell r="D5423" t="str">
            <v>Leeds</v>
          </cell>
          <cell r="E5423" t="str">
            <v>Community School</v>
          </cell>
          <cell r="F5423" t="str">
            <v>Secondary</v>
          </cell>
        </row>
        <row r="5424">
          <cell r="A5424">
            <v>3832437</v>
          </cell>
          <cell r="B5424">
            <v>107913</v>
          </cell>
          <cell r="C5424" t="str">
            <v>Carr Manor Primary School</v>
          </cell>
          <cell r="D5424" t="str">
            <v>Leeds</v>
          </cell>
          <cell r="E5424" t="str">
            <v>Community School</v>
          </cell>
          <cell r="F5424" t="str">
            <v>Primary</v>
          </cell>
        </row>
        <row r="5425">
          <cell r="A5425">
            <v>3422003</v>
          </cell>
          <cell r="B5425">
            <v>104759</v>
          </cell>
          <cell r="C5425" t="str">
            <v>Carr Mill Infant and Nursery School</v>
          </cell>
          <cell r="D5425" t="str">
            <v>St. Helens</v>
          </cell>
          <cell r="E5425" t="str">
            <v>Community School</v>
          </cell>
          <cell r="F5425" t="str">
            <v>Primary</v>
          </cell>
        </row>
        <row r="5426">
          <cell r="A5426">
            <v>3422017</v>
          </cell>
          <cell r="B5426">
            <v>104767</v>
          </cell>
          <cell r="C5426" t="str">
            <v>Carr Mill Junior School</v>
          </cell>
          <cell r="D5426" t="str">
            <v>St. Helens</v>
          </cell>
          <cell r="E5426" t="str">
            <v>Community School</v>
          </cell>
          <cell r="F5426" t="str">
            <v>Primary</v>
          </cell>
        </row>
        <row r="5427">
          <cell r="A5427">
            <v>3423828</v>
          </cell>
          <cell r="B5427">
            <v>134661</v>
          </cell>
          <cell r="C5427" t="str">
            <v>Carr Mill Primary School</v>
          </cell>
          <cell r="D5427" t="str">
            <v>St. Helens</v>
          </cell>
          <cell r="E5427" t="str">
            <v>Community School</v>
          </cell>
          <cell r="F5427" t="str">
            <v>Primary</v>
          </cell>
        </row>
        <row r="5428">
          <cell r="A5428">
            <v>9081108</v>
          </cell>
          <cell r="B5428">
            <v>135394</v>
          </cell>
          <cell r="C5428" t="str">
            <v>Carradon PRU</v>
          </cell>
          <cell r="D5428" t="str">
            <v>Cornwall</v>
          </cell>
          <cell r="E5428" t="str">
            <v>Pupil Referral Unit</v>
          </cell>
          <cell r="F5428" t="str">
            <v>PRU</v>
          </cell>
        </row>
        <row r="5429">
          <cell r="A5429">
            <v>9165220</v>
          </cell>
          <cell r="B5429">
            <v>115750</v>
          </cell>
          <cell r="C5429" t="str">
            <v>Carrant Brook Junior School</v>
          </cell>
          <cell r="D5429" t="str">
            <v>Gloucestershire</v>
          </cell>
          <cell r="E5429" t="str">
            <v>Foundation School</v>
          </cell>
          <cell r="F5429" t="str">
            <v>Primary</v>
          </cell>
        </row>
        <row r="5430">
          <cell r="A5430">
            <v>9286046</v>
          </cell>
          <cell r="B5430">
            <v>122139</v>
          </cell>
          <cell r="C5430" t="str">
            <v>Carrdus School</v>
          </cell>
          <cell r="D5430" t="str">
            <v>Northamptonshire</v>
          </cell>
          <cell r="E5430" t="str">
            <v>Other Independent School</v>
          </cell>
          <cell r="F5430" t="str">
            <v>Not applicable</v>
          </cell>
        </row>
        <row r="5431">
          <cell r="A5431">
            <v>6662010</v>
          </cell>
          <cell r="B5431">
            <v>400470</v>
          </cell>
          <cell r="C5431" t="str">
            <v>Carreghofa C.P. School</v>
          </cell>
          <cell r="D5431" t="str">
            <v>Powys</v>
          </cell>
          <cell r="E5431" t="str">
            <v>Welsh Establishment</v>
          </cell>
          <cell r="F5431" t="str">
            <v>Primary</v>
          </cell>
        </row>
        <row r="5432">
          <cell r="A5432">
            <v>9255403</v>
          </cell>
          <cell r="B5432">
            <v>120699</v>
          </cell>
          <cell r="C5432" t="str">
            <v>Carre's Grammar School</v>
          </cell>
          <cell r="D5432" t="str">
            <v>Lincolnshire</v>
          </cell>
          <cell r="E5432" t="str">
            <v>Foundation School</v>
          </cell>
          <cell r="F5432" t="str">
            <v>Secondary</v>
          </cell>
        </row>
        <row r="5433">
          <cell r="A5433">
            <v>9255403</v>
          </cell>
          <cell r="B5433">
            <v>137213</v>
          </cell>
          <cell r="C5433" t="str">
            <v>Carre's Grammar School</v>
          </cell>
          <cell r="D5433" t="str">
            <v>Lincolnshire</v>
          </cell>
          <cell r="E5433" t="str">
            <v>Academy Converters</v>
          </cell>
          <cell r="F5433" t="str">
            <v>Secondary</v>
          </cell>
        </row>
        <row r="5434">
          <cell r="A5434">
            <v>9252147</v>
          </cell>
          <cell r="B5434">
            <v>129569</v>
          </cell>
          <cell r="C5434" t="str">
            <v>Carrington County Primary School</v>
          </cell>
          <cell r="D5434" t="str">
            <v>Lincolnshire</v>
          </cell>
          <cell r="E5434" t="str">
            <v>Community School</v>
          </cell>
          <cell r="F5434" t="str">
            <v>Primary</v>
          </cell>
        </row>
        <row r="5435">
          <cell r="A5435">
            <v>8252176</v>
          </cell>
          <cell r="B5435">
            <v>110283</v>
          </cell>
          <cell r="C5435" t="str">
            <v>Carrington Infant School</v>
          </cell>
          <cell r="D5435" t="str">
            <v>Buckinghamshire</v>
          </cell>
          <cell r="E5435" t="str">
            <v>Community School</v>
          </cell>
          <cell r="F5435" t="str">
            <v>Primary</v>
          </cell>
        </row>
        <row r="5436">
          <cell r="A5436">
            <v>8252157</v>
          </cell>
          <cell r="B5436">
            <v>110274</v>
          </cell>
          <cell r="C5436" t="str">
            <v>Carrington Junior School</v>
          </cell>
          <cell r="D5436" t="str">
            <v>Buckinghamshire</v>
          </cell>
          <cell r="E5436" t="str">
            <v>Community School</v>
          </cell>
          <cell r="F5436" t="str">
            <v>Primary</v>
          </cell>
        </row>
        <row r="5437">
          <cell r="A5437">
            <v>8922057</v>
          </cell>
          <cell r="B5437">
            <v>122414</v>
          </cell>
          <cell r="C5437" t="str">
            <v>Carrington Primary and Nursery School</v>
          </cell>
          <cell r="D5437" t="str">
            <v>Nottingham</v>
          </cell>
          <cell r="E5437" t="str">
            <v>Community School</v>
          </cell>
          <cell r="F5437" t="str">
            <v>Primary</v>
          </cell>
        </row>
        <row r="5438">
          <cell r="A5438">
            <v>2056058</v>
          </cell>
          <cell r="B5438">
            <v>126624</v>
          </cell>
          <cell r="C5438" t="str">
            <v>Carroll School</v>
          </cell>
          <cell r="D5438" t="str">
            <v>Hammersmith and Fulham</v>
          </cell>
          <cell r="E5438" t="str">
            <v>Other Independent School</v>
          </cell>
          <cell r="F5438" t="str">
            <v>Not applicable</v>
          </cell>
        </row>
        <row r="5439">
          <cell r="A5439">
            <v>3802087</v>
          </cell>
          <cell r="B5439">
            <v>107240</v>
          </cell>
          <cell r="C5439" t="str">
            <v>Carrwood Primary School</v>
          </cell>
          <cell r="D5439" t="str">
            <v>Bradford</v>
          </cell>
          <cell r="E5439" t="str">
            <v>Community School</v>
          </cell>
          <cell r="F5439" t="str">
            <v>Primary</v>
          </cell>
        </row>
        <row r="5440">
          <cell r="A5440">
            <v>3194000</v>
          </cell>
          <cell r="B5440">
            <v>102998</v>
          </cell>
          <cell r="C5440" t="str">
            <v>Carshalton Boys Sports College</v>
          </cell>
          <cell r="D5440" t="str">
            <v>Sutton</v>
          </cell>
          <cell r="E5440" t="str">
            <v>Community School</v>
          </cell>
          <cell r="F5440" t="str">
            <v>Secondary</v>
          </cell>
        </row>
        <row r="5441">
          <cell r="A5441">
            <v>3194000</v>
          </cell>
          <cell r="B5441">
            <v>136799</v>
          </cell>
          <cell r="C5441" t="str">
            <v>Carshalton Boys Sports College</v>
          </cell>
          <cell r="D5441" t="str">
            <v>Sutton</v>
          </cell>
          <cell r="E5441" t="str">
            <v>Academy Converters</v>
          </cell>
          <cell r="F5441" t="str">
            <v>Secondary</v>
          </cell>
        </row>
        <row r="5442">
          <cell r="A5442">
            <v>3198000</v>
          </cell>
          <cell r="B5442">
            <v>130455</v>
          </cell>
          <cell r="C5442" t="str">
            <v>Carshalton College</v>
          </cell>
          <cell r="D5442" t="str">
            <v>Sutton</v>
          </cell>
          <cell r="E5442" t="str">
            <v>Further Education</v>
          </cell>
          <cell r="F5442" t="str">
            <v>16 Plus</v>
          </cell>
        </row>
        <row r="5443">
          <cell r="A5443">
            <v>3194002</v>
          </cell>
          <cell r="B5443">
            <v>102999</v>
          </cell>
          <cell r="C5443" t="str">
            <v>Carshalton High School for Girls</v>
          </cell>
          <cell r="D5443" t="str">
            <v>Sutton</v>
          </cell>
          <cell r="E5443" t="str">
            <v>Community School</v>
          </cell>
          <cell r="F5443" t="str">
            <v>Secondary</v>
          </cell>
        </row>
        <row r="5444">
          <cell r="A5444">
            <v>3194002</v>
          </cell>
          <cell r="B5444">
            <v>136797</v>
          </cell>
          <cell r="C5444" t="str">
            <v>Carshalton High School for Girls</v>
          </cell>
          <cell r="D5444" t="str">
            <v>Sutton</v>
          </cell>
          <cell r="E5444" t="str">
            <v>Academy Converters</v>
          </cell>
          <cell r="F5444" t="str">
            <v>Secondary</v>
          </cell>
        </row>
        <row r="5445">
          <cell r="A5445">
            <v>8912168</v>
          </cell>
          <cell r="B5445">
            <v>122491</v>
          </cell>
          <cell r="C5445" t="str">
            <v>Carsic Infant School</v>
          </cell>
          <cell r="D5445" t="str">
            <v>Nottinghamshire</v>
          </cell>
          <cell r="E5445" t="str">
            <v>Community School</v>
          </cell>
          <cell r="F5445" t="str">
            <v>Primary</v>
          </cell>
        </row>
        <row r="5446">
          <cell r="A5446">
            <v>8912166</v>
          </cell>
          <cell r="B5446">
            <v>122489</v>
          </cell>
          <cell r="C5446" t="str">
            <v>Carsic Junior School</v>
          </cell>
          <cell r="D5446" t="str">
            <v>Nottinghamshire</v>
          </cell>
          <cell r="E5446" t="str">
            <v>Community School</v>
          </cell>
          <cell r="F5446" t="str">
            <v>Primary</v>
          </cell>
        </row>
        <row r="5447">
          <cell r="A5447">
            <v>8912007</v>
          </cell>
          <cell r="B5447">
            <v>134218</v>
          </cell>
          <cell r="C5447" t="str">
            <v>Carsic Primary School</v>
          </cell>
          <cell r="D5447" t="str">
            <v>Nottinghamshire</v>
          </cell>
          <cell r="E5447" t="str">
            <v>Community School</v>
          </cell>
          <cell r="F5447" t="str">
            <v>Primary</v>
          </cell>
        </row>
        <row r="5448">
          <cell r="A5448">
            <v>8303306</v>
          </cell>
          <cell r="B5448">
            <v>112878</v>
          </cell>
          <cell r="C5448" t="str">
            <v>Carsington and Hopton Primary School</v>
          </cell>
          <cell r="D5448" t="str">
            <v>Derbyshire</v>
          </cell>
          <cell r="E5448" t="str">
            <v>Voluntary Aided School</v>
          </cell>
          <cell r="F5448" t="str">
            <v>Primary</v>
          </cell>
        </row>
        <row r="5449">
          <cell r="A5449">
            <v>9312595</v>
          </cell>
          <cell r="B5449">
            <v>123080</v>
          </cell>
          <cell r="C5449" t="str">
            <v>Carswell Community Primary School</v>
          </cell>
          <cell r="D5449" t="str">
            <v>Oxfordshire</v>
          </cell>
          <cell r="E5449" t="str">
            <v>Community School</v>
          </cell>
          <cell r="F5449" t="str">
            <v>Primary</v>
          </cell>
        </row>
        <row r="5450">
          <cell r="A5450">
            <v>3407009</v>
          </cell>
          <cell r="B5450">
            <v>127252</v>
          </cell>
          <cell r="C5450" t="str">
            <v>Cartbridge Residential School</v>
          </cell>
          <cell r="D5450" t="str">
            <v>Knowsley</v>
          </cell>
          <cell r="E5450" t="str">
            <v>Community Special School</v>
          </cell>
          <cell r="F5450" t="str">
            <v>Special</v>
          </cell>
        </row>
        <row r="5451">
          <cell r="A5451">
            <v>8364104</v>
          </cell>
          <cell r="B5451">
            <v>113865</v>
          </cell>
          <cell r="C5451" t="str">
            <v>Carter Community School</v>
          </cell>
          <cell r="D5451" t="str">
            <v>Poole</v>
          </cell>
          <cell r="E5451" t="str">
            <v>Community School</v>
          </cell>
          <cell r="F5451" t="str">
            <v>Secondary</v>
          </cell>
        </row>
        <row r="5452">
          <cell r="A5452">
            <v>3732023</v>
          </cell>
          <cell r="B5452">
            <v>106988</v>
          </cell>
          <cell r="C5452" t="str">
            <v>Carter Knowle Junior School</v>
          </cell>
          <cell r="D5452" t="str">
            <v>Sheffield</v>
          </cell>
          <cell r="E5452" t="str">
            <v>Community School</v>
          </cell>
          <cell r="F5452" t="str">
            <v>Primary</v>
          </cell>
        </row>
        <row r="5453">
          <cell r="A5453">
            <v>8912880</v>
          </cell>
          <cell r="B5453">
            <v>122690</v>
          </cell>
          <cell r="C5453" t="str">
            <v>Carter Lane First School</v>
          </cell>
          <cell r="D5453" t="str">
            <v>Nottinghamshire</v>
          </cell>
          <cell r="E5453" t="str">
            <v>Community School</v>
          </cell>
          <cell r="F5453" t="str">
            <v>Primary</v>
          </cell>
        </row>
        <row r="5454">
          <cell r="A5454">
            <v>3734248</v>
          </cell>
          <cell r="B5454">
            <v>107134</v>
          </cell>
          <cell r="C5454" t="str">
            <v>Carter Lodge School</v>
          </cell>
          <cell r="D5454" t="str">
            <v>Sheffield</v>
          </cell>
          <cell r="E5454" t="str">
            <v>Community School</v>
          </cell>
          <cell r="F5454" t="str">
            <v>Secondary</v>
          </cell>
        </row>
        <row r="5455">
          <cell r="A5455">
            <v>3082011</v>
          </cell>
          <cell r="B5455">
            <v>101983</v>
          </cell>
          <cell r="C5455" t="str">
            <v>Carterhatch Infant School</v>
          </cell>
          <cell r="D5455" t="str">
            <v>Enfield</v>
          </cell>
          <cell r="E5455" t="str">
            <v>Community School</v>
          </cell>
          <cell r="F5455" t="str">
            <v>Primary</v>
          </cell>
        </row>
        <row r="5456">
          <cell r="A5456">
            <v>3082010</v>
          </cell>
          <cell r="B5456">
            <v>101982</v>
          </cell>
          <cell r="C5456" t="str">
            <v>Carterhatch Junior School</v>
          </cell>
          <cell r="D5456" t="str">
            <v>Enfield</v>
          </cell>
          <cell r="E5456" t="str">
            <v>Community School</v>
          </cell>
          <cell r="F5456" t="str">
            <v>Primary</v>
          </cell>
        </row>
        <row r="5457">
          <cell r="A5457">
            <v>8883126</v>
          </cell>
          <cell r="B5457">
            <v>119392</v>
          </cell>
          <cell r="C5457" t="str">
            <v>Carter's Charity Voluntary Controlled Primary School, Preesall</v>
          </cell>
          <cell r="D5457" t="str">
            <v>Lancashire</v>
          </cell>
          <cell r="E5457" t="str">
            <v>Voluntary Controlled School</v>
          </cell>
          <cell r="F5457" t="str">
            <v>Primary</v>
          </cell>
        </row>
        <row r="5458">
          <cell r="A5458">
            <v>9314041</v>
          </cell>
          <cell r="B5458">
            <v>123236</v>
          </cell>
          <cell r="C5458" t="str">
            <v>Carterton Community College</v>
          </cell>
          <cell r="D5458" t="str">
            <v>Oxfordshire</v>
          </cell>
          <cell r="E5458" t="str">
            <v>Community School</v>
          </cell>
          <cell r="F5458" t="str">
            <v>Secondary</v>
          </cell>
        </row>
        <row r="5459">
          <cell r="A5459">
            <v>9312252</v>
          </cell>
          <cell r="B5459">
            <v>123015</v>
          </cell>
          <cell r="C5459" t="str">
            <v>Carterton Primary School</v>
          </cell>
          <cell r="D5459" t="str">
            <v>Oxfordshire</v>
          </cell>
          <cell r="E5459" t="str">
            <v>Community School</v>
          </cell>
          <cell r="F5459" t="str">
            <v>Primary</v>
          </cell>
        </row>
        <row r="5460">
          <cell r="A5460">
            <v>9093126</v>
          </cell>
          <cell r="B5460">
            <v>112283</v>
          </cell>
          <cell r="C5460" t="str">
            <v>Cartmel CofE Primary School</v>
          </cell>
          <cell r="D5460" t="str">
            <v>Cumbria</v>
          </cell>
          <cell r="E5460" t="str">
            <v>Voluntary Controlled School</v>
          </cell>
          <cell r="F5460" t="str">
            <v>Primary</v>
          </cell>
        </row>
        <row r="5461">
          <cell r="A5461">
            <v>9095410</v>
          </cell>
          <cell r="B5461">
            <v>112437</v>
          </cell>
          <cell r="C5461" t="str">
            <v>Cartmel Priory CofE School</v>
          </cell>
          <cell r="D5461" t="str">
            <v>Cumbria</v>
          </cell>
          <cell r="E5461" t="str">
            <v>Voluntary Aided School</v>
          </cell>
          <cell r="F5461" t="str">
            <v>Secondary</v>
          </cell>
        </row>
        <row r="5462">
          <cell r="A5462">
            <v>9095410</v>
          </cell>
          <cell r="B5462">
            <v>137338</v>
          </cell>
          <cell r="C5462" t="str">
            <v>Cartmel Priory CofE School</v>
          </cell>
          <cell r="D5462" t="str">
            <v>Cumbria</v>
          </cell>
          <cell r="E5462" t="str">
            <v>Academy Converters</v>
          </cell>
          <cell r="F5462" t="str">
            <v>Secondary</v>
          </cell>
        </row>
        <row r="5463">
          <cell r="A5463">
            <v>8863351</v>
          </cell>
          <cell r="B5463">
            <v>118745</v>
          </cell>
          <cell r="C5463" t="str">
            <v>Cartwright and Kelsey Church of England Primary School</v>
          </cell>
          <cell r="D5463" t="str">
            <v>Kent</v>
          </cell>
          <cell r="E5463" t="str">
            <v>Voluntary Aided School</v>
          </cell>
          <cell r="F5463" t="str">
            <v>Primary</v>
          </cell>
        </row>
        <row r="5464">
          <cell r="A5464">
            <v>3922062</v>
          </cell>
          <cell r="B5464">
            <v>108592</v>
          </cell>
          <cell r="C5464" t="str">
            <v>Carville Primary School</v>
          </cell>
          <cell r="D5464" t="str">
            <v>North Tyneside</v>
          </cell>
          <cell r="E5464" t="str">
            <v>Foundation School</v>
          </cell>
          <cell r="F5464" t="str">
            <v>Primary</v>
          </cell>
        </row>
        <row r="5465">
          <cell r="A5465">
            <v>9367034</v>
          </cell>
          <cell r="B5465">
            <v>125465</v>
          </cell>
          <cell r="C5465" t="str">
            <v>Carwarden House Community School</v>
          </cell>
          <cell r="D5465" t="str">
            <v>Surrey</v>
          </cell>
          <cell r="E5465" t="str">
            <v>Community Special School</v>
          </cell>
          <cell r="F5465" t="str">
            <v>Special</v>
          </cell>
        </row>
        <row r="5466">
          <cell r="A5466">
            <v>6692020</v>
          </cell>
          <cell r="B5466">
            <v>400741</v>
          </cell>
          <cell r="C5466" t="str">
            <v>Carway C.P. School</v>
          </cell>
          <cell r="D5466" t="str">
            <v>Carmarthenshire</v>
          </cell>
          <cell r="E5466" t="str">
            <v>Welsh Establishment</v>
          </cell>
          <cell r="F5466" t="str">
            <v>Primary</v>
          </cell>
        </row>
        <row r="5467">
          <cell r="A5467">
            <v>9162117</v>
          </cell>
          <cell r="B5467">
            <v>115561</v>
          </cell>
          <cell r="C5467" t="str">
            <v>Cashes Green Primary School</v>
          </cell>
          <cell r="D5467" t="str">
            <v>Gloucestershire</v>
          </cell>
          <cell r="E5467" t="str">
            <v>Community School</v>
          </cell>
          <cell r="F5467" t="str">
            <v>Primary</v>
          </cell>
        </row>
        <row r="5468">
          <cell r="A5468">
            <v>9372310</v>
          </cell>
          <cell r="B5468">
            <v>125553</v>
          </cell>
          <cell r="C5468" t="str">
            <v>Cashmore Middle School</v>
          </cell>
          <cell r="D5468" t="str">
            <v>Warwickshire</v>
          </cell>
          <cell r="E5468" t="str">
            <v>Community School</v>
          </cell>
          <cell r="F5468" t="str">
            <v>Middle Deemed Primary</v>
          </cell>
        </row>
        <row r="5469">
          <cell r="A5469">
            <v>8011017</v>
          </cell>
          <cell r="B5469">
            <v>108907</v>
          </cell>
          <cell r="C5469" t="str">
            <v>Cashmore Nursery School</v>
          </cell>
          <cell r="D5469" t="str">
            <v>Bristol City of</v>
          </cell>
          <cell r="E5469" t="str">
            <v>LA Nursery School</v>
          </cell>
          <cell r="F5469" t="str">
            <v>Nursery</v>
          </cell>
        </row>
        <row r="5470">
          <cell r="A5470">
            <v>6702108</v>
          </cell>
          <cell r="B5470">
            <v>400909</v>
          </cell>
          <cell r="C5470" t="str">
            <v>Casllwchwr Primary School</v>
          </cell>
          <cell r="D5470" t="str">
            <v>Swansea</v>
          </cell>
          <cell r="E5470" t="str">
            <v>Welsh Establishment</v>
          </cell>
          <cell r="F5470" t="str">
            <v>Primary</v>
          </cell>
        </row>
        <row r="5471">
          <cell r="A5471">
            <v>3322112</v>
          </cell>
          <cell r="B5471">
            <v>103801</v>
          </cell>
          <cell r="C5471" t="str">
            <v>Caslon Primary School</v>
          </cell>
          <cell r="D5471" t="str">
            <v>Dudley</v>
          </cell>
          <cell r="E5471" t="str">
            <v>Community School</v>
          </cell>
          <cell r="F5471" t="str">
            <v>Primary</v>
          </cell>
        </row>
        <row r="5472">
          <cell r="A5472">
            <v>9192354</v>
          </cell>
          <cell r="B5472">
            <v>117293</v>
          </cell>
          <cell r="C5472" t="str">
            <v>Cassiobury Infant and Nursery School</v>
          </cell>
          <cell r="D5472" t="str">
            <v>Hertfordshire</v>
          </cell>
          <cell r="E5472" t="str">
            <v>Community School</v>
          </cell>
          <cell r="F5472" t="str">
            <v>Primary</v>
          </cell>
        </row>
        <row r="5473">
          <cell r="A5473">
            <v>9192132</v>
          </cell>
          <cell r="B5473">
            <v>117167</v>
          </cell>
          <cell r="C5473" t="str">
            <v>Cassiobury Junior School</v>
          </cell>
          <cell r="D5473" t="str">
            <v>Hertfordshire</v>
          </cell>
          <cell r="E5473" t="str">
            <v>Community School</v>
          </cell>
          <cell r="F5473" t="str">
            <v>Primary</v>
          </cell>
        </row>
        <row r="5474">
          <cell r="A5474">
            <v>8402362</v>
          </cell>
          <cell r="B5474">
            <v>114075</v>
          </cell>
          <cell r="C5474" t="str">
            <v>Cassop Primary School</v>
          </cell>
          <cell r="D5474" t="str">
            <v>Durham</v>
          </cell>
          <cell r="E5474" t="str">
            <v>Community School</v>
          </cell>
          <cell r="F5474" t="str">
            <v>Primary</v>
          </cell>
        </row>
        <row r="5475">
          <cell r="A5475">
            <v>7062006</v>
          </cell>
          <cell r="B5475">
            <v>132506</v>
          </cell>
          <cell r="C5475" t="str">
            <v>Castel Primary School</v>
          </cell>
          <cell r="D5475" t="str">
            <v>Guernsey Offshore Establishments</v>
          </cell>
          <cell r="E5475" t="str">
            <v>Offshore Schools</v>
          </cell>
          <cell r="F5475" t="str">
            <v>Not applicable</v>
          </cell>
        </row>
        <row r="5476">
          <cell r="A5476">
            <v>6644017</v>
          </cell>
          <cell r="B5476">
            <v>401704</v>
          </cell>
          <cell r="C5476" t="str">
            <v>Castell Alun High School</v>
          </cell>
          <cell r="D5476" t="str">
            <v>Flintshire</v>
          </cell>
          <cell r="E5476" t="str">
            <v>Welsh Establishment</v>
          </cell>
          <cell r="F5476" t="str">
            <v>Secondary</v>
          </cell>
        </row>
        <row r="5477">
          <cell r="A5477">
            <v>8575405</v>
          </cell>
          <cell r="B5477">
            <v>120289</v>
          </cell>
          <cell r="C5477" t="str">
            <v>Casterton Business &amp; Enterprise College</v>
          </cell>
          <cell r="D5477" t="str">
            <v>Rutland</v>
          </cell>
          <cell r="E5477" t="str">
            <v>Foundation School</v>
          </cell>
          <cell r="F5477" t="str">
            <v>Secondary</v>
          </cell>
        </row>
        <row r="5478">
          <cell r="A5478">
            <v>8575405</v>
          </cell>
          <cell r="B5478">
            <v>137340</v>
          </cell>
          <cell r="C5478" t="str">
            <v>Casterton Business &amp; Enterprise College</v>
          </cell>
          <cell r="D5478" t="str">
            <v>Rutland</v>
          </cell>
          <cell r="E5478" t="str">
            <v>Academy Converters</v>
          </cell>
          <cell r="F5478" t="str">
            <v>Secondary</v>
          </cell>
        </row>
        <row r="5479">
          <cell r="A5479">
            <v>9096005</v>
          </cell>
          <cell r="B5479">
            <v>112445</v>
          </cell>
          <cell r="C5479" t="str">
            <v>Casterton School</v>
          </cell>
          <cell r="D5479" t="str">
            <v>Cumbria</v>
          </cell>
          <cell r="E5479" t="str">
            <v>Other Independent School</v>
          </cell>
          <cell r="F5479" t="str">
            <v>Not applicable</v>
          </cell>
        </row>
        <row r="5480">
          <cell r="A5480">
            <v>3032068</v>
          </cell>
          <cell r="B5480">
            <v>101444</v>
          </cell>
          <cell r="C5480" t="str">
            <v>Castilion Primary School</v>
          </cell>
          <cell r="D5480" t="str">
            <v>Bexley</v>
          </cell>
          <cell r="E5480" t="str">
            <v>Community School</v>
          </cell>
          <cell r="F5480" t="str">
            <v>Primary</v>
          </cell>
        </row>
        <row r="5481">
          <cell r="A5481">
            <v>9263015</v>
          </cell>
          <cell r="B5481">
            <v>121030</v>
          </cell>
          <cell r="C5481" t="str">
            <v>Castle Acre CofE VC Primary School</v>
          </cell>
          <cell r="D5481" t="str">
            <v>Norfolk</v>
          </cell>
          <cell r="E5481" t="str">
            <v>Voluntary Controlled School</v>
          </cell>
          <cell r="F5481" t="str">
            <v>Primary</v>
          </cell>
        </row>
        <row r="5482">
          <cell r="A5482">
            <v>8022332</v>
          </cell>
          <cell r="B5482">
            <v>109135</v>
          </cell>
          <cell r="C5482" t="str">
            <v>Castle Batch Community Primary School</v>
          </cell>
          <cell r="D5482" t="str">
            <v>North Somerset</v>
          </cell>
          <cell r="E5482" t="str">
            <v>Community School</v>
          </cell>
          <cell r="F5482" t="str">
            <v>Primary</v>
          </cell>
        </row>
        <row r="5483">
          <cell r="A5483">
            <v>3342060</v>
          </cell>
          <cell r="B5483">
            <v>104067</v>
          </cell>
          <cell r="C5483" t="str">
            <v>Castle Bromwich Infant School</v>
          </cell>
          <cell r="D5483" t="str">
            <v>Solihull</v>
          </cell>
          <cell r="E5483" t="str">
            <v>Community School</v>
          </cell>
          <cell r="F5483" t="str">
            <v>Primary</v>
          </cell>
        </row>
        <row r="5484">
          <cell r="A5484">
            <v>3342059</v>
          </cell>
          <cell r="B5484">
            <v>104066</v>
          </cell>
          <cell r="C5484" t="str">
            <v>Castle Bromwich Junior School</v>
          </cell>
          <cell r="D5484" t="str">
            <v>Solihull</v>
          </cell>
          <cell r="E5484" t="str">
            <v>Community School</v>
          </cell>
          <cell r="F5484" t="str">
            <v>Primary</v>
          </cell>
        </row>
        <row r="5485">
          <cell r="A5485">
            <v>3357002</v>
          </cell>
          <cell r="B5485">
            <v>104269</v>
          </cell>
          <cell r="C5485" t="str">
            <v>Castle Business and Enterprise College</v>
          </cell>
          <cell r="D5485" t="str">
            <v>Walsall</v>
          </cell>
          <cell r="E5485" t="str">
            <v>Community Special School</v>
          </cell>
          <cell r="F5485" t="str">
            <v>Special</v>
          </cell>
        </row>
        <row r="5486">
          <cell r="A5486">
            <v>9252011</v>
          </cell>
          <cell r="B5486">
            <v>129558</v>
          </cell>
          <cell r="C5486" t="str">
            <v>Castle Bytham County Primary School</v>
          </cell>
          <cell r="D5486" t="str">
            <v>Lincolnshire</v>
          </cell>
          <cell r="E5486" t="str">
            <v>Community School</v>
          </cell>
          <cell r="F5486" t="str">
            <v>Primary</v>
          </cell>
        </row>
        <row r="5487">
          <cell r="A5487">
            <v>6663022</v>
          </cell>
          <cell r="B5487">
            <v>400544</v>
          </cell>
          <cell r="C5487" t="str">
            <v>Castle Caereinion C.I.W.</v>
          </cell>
          <cell r="D5487" t="str">
            <v>Powys</v>
          </cell>
          <cell r="E5487" t="str">
            <v>Welsh Establishment</v>
          </cell>
          <cell r="F5487" t="str">
            <v>Primary</v>
          </cell>
        </row>
        <row r="5488">
          <cell r="A5488">
            <v>8733008</v>
          </cell>
          <cell r="B5488">
            <v>110784</v>
          </cell>
          <cell r="C5488" t="str">
            <v>Castle Camps Church of England (Controlled) Primary School</v>
          </cell>
          <cell r="D5488" t="str">
            <v>Cambridgeshire</v>
          </cell>
          <cell r="E5488" t="str">
            <v>Voluntary Controlled School</v>
          </cell>
          <cell r="F5488" t="str">
            <v>Primary</v>
          </cell>
        </row>
        <row r="5489">
          <cell r="A5489">
            <v>9095220</v>
          </cell>
          <cell r="B5489">
            <v>112422</v>
          </cell>
          <cell r="C5489" t="str">
            <v>Castle Carrock School</v>
          </cell>
          <cell r="D5489" t="str">
            <v>Cumbria</v>
          </cell>
          <cell r="E5489" t="str">
            <v>Foundation School</v>
          </cell>
          <cell r="F5489" t="str">
            <v>Primary</v>
          </cell>
        </row>
        <row r="5490">
          <cell r="A5490">
            <v>9095220</v>
          </cell>
          <cell r="B5490">
            <v>137653</v>
          </cell>
          <cell r="C5490" t="str">
            <v>Castle Carrock School</v>
          </cell>
          <cell r="D5490" t="str">
            <v>Cumbria</v>
          </cell>
          <cell r="E5490" t="str">
            <v>Academy Converters</v>
          </cell>
          <cell r="F5490" t="str">
            <v>Primary</v>
          </cell>
        </row>
        <row r="5491">
          <cell r="A5491">
            <v>9332008</v>
          </cell>
          <cell r="B5491">
            <v>123640</v>
          </cell>
          <cell r="C5491" t="str">
            <v>Castle Cary Community Primary School</v>
          </cell>
          <cell r="D5491" t="str">
            <v>Somerset</v>
          </cell>
          <cell r="E5491" t="str">
            <v>Community School</v>
          </cell>
          <cell r="F5491" t="str">
            <v>Primary</v>
          </cell>
        </row>
        <row r="5492">
          <cell r="A5492">
            <v>8153254</v>
          </cell>
          <cell r="B5492">
            <v>121574</v>
          </cell>
          <cell r="C5492" t="str">
            <v>Castle Church of England Junior School, Knaresborough</v>
          </cell>
          <cell r="D5492" t="str">
            <v>North Yorkshire</v>
          </cell>
          <cell r="E5492" t="str">
            <v>Voluntary Controlled School</v>
          </cell>
          <cell r="F5492" t="str">
            <v>Primary</v>
          </cell>
        </row>
        <row r="5493">
          <cell r="A5493">
            <v>8918000</v>
          </cell>
          <cell r="B5493">
            <v>130775</v>
          </cell>
          <cell r="C5493" t="str">
            <v>Castle College Nottingham</v>
          </cell>
          <cell r="D5493" t="str">
            <v>Nottinghamshire</v>
          </cell>
          <cell r="E5493" t="str">
            <v>Further Education</v>
          </cell>
          <cell r="F5493" t="str">
            <v>16 Plus</v>
          </cell>
        </row>
        <row r="5494">
          <cell r="A5494">
            <v>8652020</v>
          </cell>
          <cell r="B5494">
            <v>126180</v>
          </cell>
          <cell r="C5494" t="str">
            <v>Castle Combe School</v>
          </cell>
          <cell r="D5494" t="str">
            <v>Wiltshire</v>
          </cell>
          <cell r="E5494" t="str">
            <v>Community School</v>
          </cell>
          <cell r="F5494" t="str">
            <v>Primary</v>
          </cell>
        </row>
        <row r="5495">
          <cell r="A5495">
            <v>8864207</v>
          </cell>
          <cell r="B5495">
            <v>118825</v>
          </cell>
          <cell r="C5495" t="str">
            <v>Castle Community College</v>
          </cell>
          <cell r="D5495" t="str">
            <v>Kent</v>
          </cell>
          <cell r="E5495" t="str">
            <v>Community School</v>
          </cell>
          <cell r="F5495" t="str">
            <v>Secondary</v>
          </cell>
        </row>
        <row r="5496">
          <cell r="A5496">
            <v>8864207</v>
          </cell>
          <cell r="B5496">
            <v>136300</v>
          </cell>
          <cell r="C5496" t="str">
            <v>Castle Community College</v>
          </cell>
          <cell r="D5496" t="str">
            <v>Kent</v>
          </cell>
          <cell r="E5496" t="str">
            <v>Academy Converters</v>
          </cell>
          <cell r="F5496" t="str">
            <v>Secondary</v>
          </cell>
        </row>
        <row r="5497">
          <cell r="A5497">
            <v>8356023</v>
          </cell>
          <cell r="B5497">
            <v>113931</v>
          </cell>
          <cell r="C5497" t="str">
            <v>Castle Court Preparatory School</v>
          </cell>
          <cell r="D5497" t="str">
            <v>Dorset</v>
          </cell>
          <cell r="E5497" t="str">
            <v>Other Independent School</v>
          </cell>
          <cell r="F5497" t="str">
            <v>Not applicable</v>
          </cell>
        </row>
        <row r="5498">
          <cell r="A5498">
            <v>3917021</v>
          </cell>
          <cell r="B5498">
            <v>128147</v>
          </cell>
          <cell r="C5498" t="str">
            <v>Castle Dene School</v>
          </cell>
          <cell r="D5498" t="str">
            <v>Newcastle upon Tyne</v>
          </cell>
          <cell r="E5498" t="str">
            <v>Community Special School</v>
          </cell>
          <cell r="F5498" t="str">
            <v>Special</v>
          </cell>
        </row>
        <row r="5499">
          <cell r="A5499">
            <v>3917030</v>
          </cell>
          <cell r="B5499">
            <v>108559</v>
          </cell>
          <cell r="C5499" t="str">
            <v>Castle Dene Special School</v>
          </cell>
          <cell r="D5499" t="str">
            <v>Newcastle upon Tyne</v>
          </cell>
          <cell r="E5499" t="str">
            <v>Community Special School</v>
          </cell>
          <cell r="F5499" t="str">
            <v>Special</v>
          </cell>
        </row>
        <row r="5500">
          <cell r="A5500">
            <v>8554031</v>
          </cell>
          <cell r="B5500">
            <v>120254</v>
          </cell>
          <cell r="C5500" t="str">
            <v>Castle Donington Community College</v>
          </cell>
          <cell r="D5500" t="str">
            <v>Leicestershire</v>
          </cell>
          <cell r="E5500" t="str">
            <v>Community School</v>
          </cell>
          <cell r="F5500" t="str">
            <v>Middle Deemed Secondary</v>
          </cell>
        </row>
        <row r="5501">
          <cell r="A5501">
            <v>8786047</v>
          </cell>
          <cell r="B5501">
            <v>113625</v>
          </cell>
          <cell r="C5501" t="str">
            <v>Castle Down School</v>
          </cell>
          <cell r="D5501" t="str">
            <v>Devon</v>
          </cell>
          <cell r="E5501" t="str">
            <v>Other Independent School</v>
          </cell>
          <cell r="F5501" t="str">
            <v>Not applicable</v>
          </cell>
        </row>
        <row r="5502">
          <cell r="A5502">
            <v>8302063</v>
          </cell>
          <cell r="B5502">
            <v>112524</v>
          </cell>
          <cell r="C5502" t="str">
            <v>Castle Gresley Infant School</v>
          </cell>
          <cell r="D5502" t="str">
            <v>Derbyshire</v>
          </cell>
          <cell r="E5502" t="str">
            <v>Community School</v>
          </cell>
          <cell r="F5502" t="str">
            <v>Primary</v>
          </cell>
        </row>
        <row r="5503">
          <cell r="A5503">
            <v>3825400</v>
          </cell>
          <cell r="B5503">
            <v>137399</v>
          </cell>
          <cell r="C5503" t="str">
            <v>Castle Hall Academy</v>
          </cell>
          <cell r="D5503" t="str">
            <v>Kirklees</v>
          </cell>
          <cell r="E5503" t="str">
            <v>Academy Converters</v>
          </cell>
          <cell r="F5503" t="str">
            <v>Secondary</v>
          </cell>
        </row>
        <row r="5504">
          <cell r="A5504">
            <v>3825400</v>
          </cell>
          <cell r="B5504">
            <v>107784</v>
          </cell>
          <cell r="C5504" t="str">
            <v>Castle Hall School: A Specialist Language College</v>
          </cell>
          <cell r="D5504" t="str">
            <v>Kirklees</v>
          </cell>
          <cell r="E5504" t="str">
            <v>Foundation School</v>
          </cell>
          <cell r="F5504" t="str">
            <v>Secondary</v>
          </cell>
        </row>
        <row r="5505">
          <cell r="A5505">
            <v>3324612</v>
          </cell>
          <cell r="B5505">
            <v>103867</v>
          </cell>
          <cell r="C5505" t="str">
            <v>Castle High School and Visual Arts College</v>
          </cell>
          <cell r="D5505" t="str">
            <v>Dudley</v>
          </cell>
          <cell r="E5505" t="str">
            <v>Voluntary Aided School</v>
          </cell>
          <cell r="F5505" t="str">
            <v>Secondary</v>
          </cell>
        </row>
        <row r="5506">
          <cell r="A5506">
            <v>8863904</v>
          </cell>
          <cell r="B5506">
            <v>133177</v>
          </cell>
          <cell r="C5506" t="str">
            <v>Castle Hill Community Primary School</v>
          </cell>
          <cell r="D5506" t="str">
            <v>Kent</v>
          </cell>
          <cell r="E5506" t="str">
            <v>Community School</v>
          </cell>
          <cell r="F5506" t="str">
            <v>Primary</v>
          </cell>
        </row>
        <row r="5507">
          <cell r="A5507">
            <v>3567508</v>
          </cell>
          <cell r="B5507">
            <v>106172</v>
          </cell>
          <cell r="C5507" t="str">
            <v>Castle Hill High School</v>
          </cell>
          <cell r="D5507" t="str">
            <v>Stockport</v>
          </cell>
          <cell r="E5507" t="str">
            <v>Community Special School</v>
          </cell>
          <cell r="F5507" t="str">
            <v>Special</v>
          </cell>
        </row>
        <row r="5508">
          <cell r="A5508">
            <v>8502321</v>
          </cell>
          <cell r="B5508">
            <v>116041</v>
          </cell>
          <cell r="C5508" t="str">
            <v>Castle Hill Infant School</v>
          </cell>
          <cell r="D5508" t="str">
            <v>Hampshire</v>
          </cell>
          <cell r="E5508" t="str">
            <v>Community School</v>
          </cell>
          <cell r="F5508" t="str">
            <v>Primary</v>
          </cell>
        </row>
        <row r="5509">
          <cell r="A5509">
            <v>9352179</v>
          </cell>
          <cell r="B5509">
            <v>124663</v>
          </cell>
          <cell r="C5509" t="str">
            <v>Castle Hill Infant School</v>
          </cell>
          <cell r="D5509" t="str">
            <v>Suffolk</v>
          </cell>
          <cell r="E5509" t="str">
            <v>Community School</v>
          </cell>
          <cell r="F5509" t="str">
            <v>Primary</v>
          </cell>
        </row>
        <row r="5510">
          <cell r="A5510">
            <v>3062027</v>
          </cell>
          <cell r="B5510">
            <v>126809</v>
          </cell>
          <cell r="C5510" t="str">
            <v>Castle Hill Infant School</v>
          </cell>
          <cell r="D5510" t="str">
            <v>Croydon</v>
          </cell>
          <cell r="E5510" t="str">
            <v>Community School</v>
          </cell>
          <cell r="F5510" t="str">
            <v>Primary</v>
          </cell>
        </row>
        <row r="5511">
          <cell r="A5511">
            <v>8502272</v>
          </cell>
          <cell r="B5511">
            <v>116005</v>
          </cell>
          <cell r="C5511" t="str">
            <v>Castle Hill Junior School</v>
          </cell>
          <cell r="D5511" t="str">
            <v>Hampshire</v>
          </cell>
          <cell r="E5511" t="str">
            <v>Community School</v>
          </cell>
          <cell r="F5511" t="str">
            <v>Primary</v>
          </cell>
        </row>
        <row r="5512">
          <cell r="A5512">
            <v>9352177</v>
          </cell>
          <cell r="B5512">
            <v>124661</v>
          </cell>
          <cell r="C5512" t="str">
            <v>Castle Hill Junior School</v>
          </cell>
          <cell r="D5512" t="str">
            <v>Suffolk</v>
          </cell>
          <cell r="E5512" t="str">
            <v>Community School</v>
          </cell>
          <cell r="F5512" t="str">
            <v>Primary</v>
          </cell>
        </row>
        <row r="5513">
          <cell r="A5513">
            <v>3062026</v>
          </cell>
          <cell r="B5513">
            <v>126808</v>
          </cell>
          <cell r="C5513" t="str">
            <v>Castle Hill Junior School</v>
          </cell>
          <cell r="D5513" t="str">
            <v>Croydon</v>
          </cell>
          <cell r="E5513" t="str">
            <v>Community School</v>
          </cell>
          <cell r="F5513" t="str">
            <v>Primary</v>
          </cell>
        </row>
        <row r="5514">
          <cell r="A5514">
            <v>3062106</v>
          </cell>
          <cell r="B5514">
            <v>101786</v>
          </cell>
          <cell r="C5514" t="str">
            <v>Castle Hill Primary School</v>
          </cell>
          <cell r="D5514" t="str">
            <v>Croydon</v>
          </cell>
          <cell r="E5514" t="str">
            <v>Community School</v>
          </cell>
          <cell r="F5514" t="str">
            <v>Primary</v>
          </cell>
        </row>
        <row r="5515">
          <cell r="A5515">
            <v>3142000</v>
          </cell>
          <cell r="B5515">
            <v>102563</v>
          </cell>
          <cell r="C5515" t="str">
            <v>Castle Hill Primary School</v>
          </cell>
          <cell r="D5515" t="str">
            <v>Kingston upon Thames</v>
          </cell>
          <cell r="E5515" t="str">
            <v>Community School</v>
          </cell>
          <cell r="F5515" t="str">
            <v>Primary</v>
          </cell>
        </row>
        <row r="5516">
          <cell r="A5516">
            <v>3502005</v>
          </cell>
          <cell r="B5516">
            <v>105150</v>
          </cell>
          <cell r="C5516" t="str">
            <v>Castle Hill Primary School</v>
          </cell>
          <cell r="D5516" t="str">
            <v>Bolton</v>
          </cell>
          <cell r="E5516" t="str">
            <v>Community School</v>
          </cell>
          <cell r="F5516" t="str">
            <v>Primary</v>
          </cell>
        </row>
        <row r="5517">
          <cell r="A5517">
            <v>3812068</v>
          </cell>
          <cell r="B5517">
            <v>107520</v>
          </cell>
          <cell r="C5517" t="str">
            <v>Castle Hill Primary School</v>
          </cell>
          <cell r="D5517" t="str">
            <v>Calderdale</v>
          </cell>
          <cell r="E5517" t="str">
            <v>Community School</v>
          </cell>
          <cell r="F5517" t="str">
            <v>Primary</v>
          </cell>
        </row>
        <row r="5518">
          <cell r="A5518">
            <v>9162132</v>
          </cell>
          <cell r="B5518">
            <v>115569</v>
          </cell>
          <cell r="C5518" t="str">
            <v>Castle Hill Primary School</v>
          </cell>
          <cell r="D5518" t="str">
            <v>Gloucestershire</v>
          </cell>
          <cell r="E5518" t="str">
            <v>Community School</v>
          </cell>
          <cell r="F5518" t="str">
            <v>Primary</v>
          </cell>
        </row>
        <row r="5519">
          <cell r="A5519">
            <v>9326082</v>
          </cell>
          <cell r="B5519">
            <v>129821</v>
          </cell>
          <cell r="C5519" t="str">
            <v>Castle Hill School</v>
          </cell>
          <cell r="D5519" t="str">
            <v>Pre LGR (1998) Shropshire</v>
          </cell>
          <cell r="E5519" t="str">
            <v>Other Independent School</v>
          </cell>
          <cell r="F5519" t="str">
            <v>Not applicable</v>
          </cell>
        </row>
        <row r="5520">
          <cell r="A5520">
            <v>3593363</v>
          </cell>
          <cell r="B5520">
            <v>106472</v>
          </cell>
          <cell r="C5520" t="str">
            <v>Castle Hill St Philip's CofE Primary School</v>
          </cell>
          <cell r="D5520" t="str">
            <v>Wigan</v>
          </cell>
          <cell r="E5520" t="str">
            <v>Voluntary Aided School</v>
          </cell>
          <cell r="F5520" t="str">
            <v>Primary</v>
          </cell>
        </row>
        <row r="5521">
          <cell r="A5521">
            <v>3827015</v>
          </cell>
          <cell r="B5521">
            <v>134689</v>
          </cell>
          <cell r="C5521" t="str">
            <v>Castle Hill: A Specialist College for Communication and Interaction</v>
          </cell>
          <cell r="D5521" t="str">
            <v>Kirklees</v>
          </cell>
          <cell r="E5521" t="str">
            <v>Community Special School</v>
          </cell>
          <cell r="F5521" t="str">
            <v>Special</v>
          </cell>
        </row>
        <row r="5522">
          <cell r="A5522">
            <v>3712113</v>
          </cell>
          <cell r="B5522">
            <v>127616</v>
          </cell>
          <cell r="C5522" t="str">
            <v>Castle Hills First School</v>
          </cell>
          <cell r="D5522" t="str">
            <v>Doncaster</v>
          </cell>
          <cell r="E5522" t="str">
            <v>Community School</v>
          </cell>
          <cell r="F5522" t="str">
            <v>Primary</v>
          </cell>
        </row>
        <row r="5523">
          <cell r="A5523">
            <v>3712107</v>
          </cell>
          <cell r="B5523">
            <v>127615</v>
          </cell>
          <cell r="C5523" t="str">
            <v>Castle Hills Middle School</v>
          </cell>
          <cell r="D5523" t="str">
            <v>Doncaster</v>
          </cell>
          <cell r="E5523" t="str">
            <v>Community School</v>
          </cell>
          <cell r="F5523" t="str">
            <v>Middle Deemed Primary</v>
          </cell>
        </row>
        <row r="5524">
          <cell r="A5524">
            <v>9254058</v>
          </cell>
          <cell r="B5524">
            <v>129594</v>
          </cell>
          <cell r="C5524" t="str">
            <v>Castle Hills School</v>
          </cell>
          <cell r="D5524" t="str">
            <v>Lincolnshire</v>
          </cell>
          <cell r="E5524" t="str">
            <v>Community School</v>
          </cell>
          <cell r="F5524" t="str">
            <v>Secondary</v>
          </cell>
        </row>
        <row r="5525">
          <cell r="A5525">
            <v>8946005</v>
          </cell>
          <cell r="B5525">
            <v>133371</v>
          </cell>
          <cell r="C5525" t="str">
            <v>Castle Homes Upper Forge</v>
          </cell>
          <cell r="D5525" t="str">
            <v>Telford and Wrekin</v>
          </cell>
          <cell r="E5525" t="str">
            <v>Other Independent Special School</v>
          </cell>
          <cell r="F5525" t="str">
            <v>Not applicable</v>
          </cell>
        </row>
        <row r="5526">
          <cell r="A5526">
            <v>8946002</v>
          </cell>
          <cell r="B5526">
            <v>123611</v>
          </cell>
          <cell r="C5526" t="str">
            <v>Castle House School</v>
          </cell>
          <cell r="D5526" t="str">
            <v>Telford and Wrekin</v>
          </cell>
          <cell r="E5526" t="str">
            <v>Other Independent School</v>
          </cell>
          <cell r="F5526" t="str">
            <v>Not applicable</v>
          </cell>
        </row>
        <row r="5527">
          <cell r="A5527">
            <v>8736039</v>
          </cell>
          <cell r="B5527">
            <v>131260</v>
          </cell>
          <cell r="C5527" t="str">
            <v>Castle Lodge School</v>
          </cell>
          <cell r="D5527" t="str">
            <v>Cambridgeshire</v>
          </cell>
          <cell r="E5527" t="str">
            <v>Other Independent Special School</v>
          </cell>
          <cell r="F5527" t="str">
            <v>Not applicable</v>
          </cell>
        </row>
        <row r="5528">
          <cell r="A5528">
            <v>8222009</v>
          </cell>
          <cell r="B5528">
            <v>109435</v>
          </cell>
          <cell r="C5528" t="str">
            <v>Castle Lower School</v>
          </cell>
          <cell r="D5528" t="str">
            <v>Bedford</v>
          </cell>
          <cell r="E5528" t="str">
            <v>Foundation School</v>
          </cell>
          <cell r="F5528" t="str">
            <v>Primary</v>
          </cell>
        </row>
        <row r="5529">
          <cell r="A5529">
            <v>9354004</v>
          </cell>
          <cell r="B5529">
            <v>124788</v>
          </cell>
          <cell r="C5529" t="str">
            <v>Castle Manor Business and Enterprise College</v>
          </cell>
          <cell r="D5529" t="str">
            <v>Suffolk</v>
          </cell>
          <cell r="E5529" t="str">
            <v>Community School</v>
          </cell>
          <cell r="F5529" t="str">
            <v>Secondary</v>
          </cell>
        </row>
        <row r="5530">
          <cell r="A5530">
            <v>8311017</v>
          </cell>
          <cell r="B5530">
            <v>112482</v>
          </cell>
          <cell r="C5530" t="str">
            <v>Castle Nursery School</v>
          </cell>
          <cell r="D5530" t="str">
            <v>Derby</v>
          </cell>
          <cell r="E5530" t="str">
            <v>LA Nursery School</v>
          </cell>
          <cell r="F5530" t="str">
            <v>Nursery</v>
          </cell>
        </row>
        <row r="5531">
          <cell r="A5531">
            <v>8602143</v>
          </cell>
          <cell r="B5531">
            <v>124049</v>
          </cell>
          <cell r="C5531" t="str">
            <v>Castle Park Infant School</v>
          </cell>
          <cell r="D5531" t="str">
            <v>Staffordshire</v>
          </cell>
          <cell r="E5531" t="str">
            <v>Community School</v>
          </cell>
          <cell r="F5531" t="str">
            <v>Primary</v>
          </cell>
        </row>
        <row r="5532">
          <cell r="A5532">
            <v>6792322</v>
          </cell>
          <cell r="B5532">
            <v>402197</v>
          </cell>
          <cell r="C5532" t="str">
            <v>Castle Park Primary School</v>
          </cell>
          <cell r="D5532" t="str">
            <v>Monmouthshire</v>
          </cell>
          <cell r="E5532" t="str">
            <v>Welsh Establishment</v>
          </cell>
          <cell r="F5532" t="str">
            <v>Primary</v>
          </cell>
        </row>
        <row r="5533">
          <cell r="A5533">
            <v>9092320</v>
          </cell>
          <cell r="B5533">
            <v>112189</v>
          </cell>
          <cell r="C5533" t="str">
            <v>Castle Park School</v>
          </cell>
          <cell r="D5533" t="str">
            <v>Cumbria</v>
          </cell>
          <cell r="E5533" t="str">
            <v>Community School</v>
          </cell>
          <cell r="F5533" t="str">
            <v>Primary</v>
          </cell>
        </row>
        <row r="5534">
          <cell r="A5534">
            <v>8002260</v>
          </cell>
          <cell r="B5534">
            <v>109081</v>
          </cell>
          <cell r="C5534" t="str">
            <v>Castle Primary School</v>
          </cell>
          <cell r="D5534" t="str">
            <v>Bath and North East Somerset</v>
          </cell>
          <cell r="E5534" t="str">
            <v>Community School</v>
          </cell>
          <cell r="F5534" t="str">
            <v>Primary</v>
          </cell>
        </row>
        <row r="5535">
          <cell r="A5535">
            <v>8502395</v>
          </cell>
          <cell r="B5535">
            <v>116083</v>
          </cell>
          <cell r="C5535" t="str">
            <v>Castle Primary School</v>
          </cell>
          <cell r="D5535" t="str">
            <v>Hampshire</v>
          </cell>
          <cell r="E5535" t="str">
            <v>Community School</v>
          </cell>
          <cell r="F5535" t="str">
            <v>Primary</v>
          </cell>
        </row>
        <row r="5536">
          <cell r="A5536">
            <v>9282191</v>
          </cell>
          <cell r="B5536">
            <v>121934</v>
          </cell>
          <cell r="C5536" t="str">
            <v>Castle Primary School</v>
          </cell>
          <cell r="D5536" t="str">
            <v>Northamptonshire</v>
          </cell>
          <cell r="E5536" t="str">
            <v>Community School</v>
          </cell>
          <cell r="F5536" t="str">
            <v>Primary</v>
          </cell>
        </row>
        <row r="5537">
          <cell r="A5537">
            <v>9332307</v>
          </cell>
          <cell r="B5537">
            <v>123721</v>
          </cell>
          <cell r="C5537" t="str">
            <v>Castle Primary School</v>
          </cell>
          <cell r="D5537" t="str">
            <v>Somerset</v>
          </cell>
          <cell r="E5537" t="str">
            <v>Community School</v>
          </cell>
          <cell r="F5537" t="str">
            <v>Primary</v>
          </cell>
        </row>
        <row r="5538">
          <cell r="A5538">
            <v>8602220</v>
          </cell>
          <cell r="B5538">
            <v>124091</v>
          </cell>
          <cell r="C5538" t="str">
            <v>Castle Primary School</v>
          </cell>
          <cell r="D5538" t="str">
            <v>Staffordshire</v>
          </cell>
          <cell r="E5538" t="str">
            <v>Community School</v>
          </cell>
          <cell r="F5538" t="str">
            <v>Primary</v>
          </cell>
        </row>
        <row r="5539">
          <cell r="A5539">
            <v>8554035</v>
          </cell>
          <cell r="B5539">
            <v>120258</v>
          </cell>
          <cell r="C5539" t="str">
            <v>Castle Rock High School</v>
          </cell>
          <cell r="D5539" t="str">
            <v>Leicestershire</v>
          </cell>
          <cell r="E5539" t="str">
            <v>Community School</v>
          </cell>
          <cell r="F5539" t="str">
            <v>Secondary</v>
          </cell>
        </row>
        <row r="5540">
          <cell r="A5540">
            <v>7054002</v>
          </cell>
          <cell r="B5540">
            <v>132534</v>
          </cell>
          <cell r="C5540" t="str">
            <v>Castle Rushen High School</v>
          </cell>
          <cell r="D5540" t="str">
            <v>Isle of Man Offshore Establishments</v>
          </cell>
          <cell r="E5540" t="str">
            <v>Offshore Schools</v>
          </cell>
          <cell r="F5540" t="str">
            <v>Not applicable</v>
          </cell>
        </row>
        <row r="5541">
          <cell r="A5541">
            <v>3017004</v>
          </cell>
          <cell r="B5541">
            <v>101250</v>
          </cell>
          <cell r="C5541" t="str">
            <v>Castle School</v>
          </cell>
          <cell r="D5541" t="str">
            <v>Barking and Dagenham</v>
          </cell>
          <cell r="E5541" t="str">
            <v>Community Special School</v>
          </cell>
          <cell r="F5541" t="str">
            <v>Special</v>
          </cell>
        </row>
        <row r="5542">
          <cell r="A5542">
            <v>6686018</v>
          </cell>
          <cell r="B5542">
            <v>402233</v>
          </cell>
          <cell r="C5542" t="str">
            <v>Castle School</v>
          </cell>
          <cell r="D5542" t="str">
            <v>Pembrokeshire</v>
          </cell>
          <cell r="E5542" t="str">
            <v>Welsh Establishment</v>
          </cell>
          <cell r="F5542" t="str">
            <v>Not applicable</v>
          </cell>
        </row>
        <row r="5543">
          <cell r="A5543">
            <v>8737026</v>
          </cell>
          <cell r="B5543">
            <v>134972</v>
          </cell>
          <cell r="C5543" t="str">
            <v>Castle School, Cambridge</v>
          </cell>
          <cell r="D5543" t="str">
            <v>Cambridgeshire</v>
          </cell>
          <cell r="E5543" t="str">
            <v>Community Special School</v>
          </cell>
          <cell r="F5543" t="str">
            <v>Special</v>
          </cell>
        </row>
        <row r="5544">
          <cell r="A5544">
            <v>3738005</v>
          </cell>
          <cell r="B5544">
            <v>133089</v>
          </cell>
          <cell r="C5544" t="str">
            <v>Castle Tertiary College</v>
          </cell>
          <cell r="D5544" t="str">
            <v>Sheffield</v>
          </cell>
          <cell r="E5544" t="str">
            <v>Miscellaneous</v>
          </cell>
          <cell r="F5544" t="str">
            <v>Not applicable</v>
          </cell>
        </row>
        <row r="5545">
          <cell r="A5545">
            <v>3301048</v>
          </cell>
          <cell r="B5545">
            <v>103144</v>
          </cell>
          <cell r="C5545" t="str">
            <v>Castle Vale Nursery School</v>
          </cell>
          <cell r="D5545" t="str">
            <v>Birmingham</v>
          </cell>
          <cell r="E5545" t="str">
            <v>LA Nursery School</v>
          </cell>
          <cell r="F5545" t="str">
            <v>Nursery</v>
          </cell>
        </row>
        <row r="5546">
          <cell r="A5546">
            <v>3304214</v>
          </cell>
          <cell r="B5546">
            <v>103506</v>
          </cell>
          <cell r="C5546" t="str">
            <v>Castle Vale Performing Arts College</v>
          </cell>
          <cell r="D5546" t="str">
            <v>Birmingham</v>
          </cell>
          <cell r="E5546" t="str">
            <v>Community School</v>
          </cell>
          <cell r="F5546" t="str">
            <v>Secondary</v>
          </cell>
        </row>
        <row r="5547">
          <cell r="A5547">
            <v>3946906</v>
          </cell>
          <cell r="B5547">
            <v>135818</v>
          </cell>
          <cell r="C5547" t="str">
            <v>Castle View Enterprise Academy</v>
          </cell>
          <cell r="D5547" t="str">
            <v>Sunderland</v>
          </cell>
          <cell r="E5547" t="str">
            <v>Academy Sponsor Led</v>
          </cell>
          <cell r="F5547" t="str">
            <v>Secondary</v>
          </cell>
        </row>
        <row r="5548">
          <cell r="A5548">
            <v>9172683</v>
          </cell>
          <cell r="B5548">
            <v>129014</v>
          </cell>
          <cell r="C5548" t="str">
            <v>Castle View First School</v>
          </cell>
          <cell r="D5548" t="str">
            <v>Pre LGR (1997) Hampshire</v>
          </cell>
          <cell r="E5548" t="str">
            <v>Community School</v>
          </cell>
          <cell r="F5548" t="str">
            <v>Primary</v>
          </cell>
        </row>
        <row r="5549">
          <cell r="A5549">
            <v>8762283</v>
          </cell>
          <cell r="B5549">
            <v>111116</v>
          </cell>
          <cell r="C5549" t="str">
            <v>Castle View Primary School</v>
          </cell>
          <cell r="D5549" t="str">
            <v>Halton</v>
          </cell>
          <cell r="E5549" t="str">
            <v>Community School</v>
          </cell>
          <cell r="F5549" t="str">
            <v>Primary</v>
          </cell>
        </row>
        <row r="5550">
          <cell r="A5550">
            <v>8302005</v>
          </cell>
          <cell r="B5550">
            <v>131776</v>
          </cell>
          <cell r="C5550" t="str">
            <v>Castle View Primary School</v>
          </cell>
          <cell r="D5550" t="str">
            <v>Derbyshire</v>
          </cell>
          <cell r="E5550" t="str">
            <v>Community School</v>
          </cell>
          <cell r="F5550" t="str">
            <v>Primary</v>
          </cell>
        </row>
        <row r="5551">
          <cell r="A5551">
            <v>8815419</v>
          </cell>
          <cell r="B5551">
            <v>115335</v>
          </cell>
          <cell r="C5551" t="str">
            <v>Castle View School</v>
          </cell>
          <cell r="D5551" t="str">
            <v>Essex</v>
          </cell>
          <cell r="E5551" t="str">
            <v>Foundation School</v>
          </cell>
          <cell r="F5551" t="str">
            <v>Secondary</v>
          </cell>
        </row>
        <row r="5552">
          <cell r="A5552">
            <v>3944036</v>
          </cell>
          <cell r="B5552">
            <v>108857</v>
          </cell>
          <cell r="C5552" t="str">
            <v>Castle View School A Specialist Business and Enterprise College</v>
          </cell>
          <cell r="D5552" t="str">
            <v>Sunderland</v>
          </cell>
          <cell r="E5552" t="str">
            <v>Community School</v>
          </cell>
          <cell r="F5552" t="str">
            <v>Secondary</v>
          </cell>
        </row>
        <row r="5553">
          <cell r="A5553">
            <v>3317024</v>
          </cell>
          <cell r="B5553">
            <v>135569</v>
          </cell>
          <cell r="C5553" t="str">
            <v>Castle Wood Special School</v>
          </cell>
          <cell r="D5553" t="str">
            <v>Coventry</v>
          </cell>
          <cell r="E5553" t="str">
            <v>Community Special School</v>
          </cell>
          <cell r="F5553" t="str">
            <v>Special</v>
          </cell>
        </row>
        <row r="5554">
          <cell r="A5554">
            <v>3077007</v>
          </cell>
          <cell r="B5554">
            <v>101966</v>
          </cell>
          <cell r="C5554" t="str">
            <v>Castlebar School</v>
          </cell>
          <cell r="D5554" t="str">
            <v>Ealing</v>
          </cell>
          <cell r="E5554" t="str">
            <v>Community Special School</v>
          </cell>
          <cell r="F5554" t="str">
            <v>Special</v>
          </cell>
        </row>
        <row r="5555">
          <cell r="A5555">
            <v>3514031</v>
          </cell>
          <cell r="B5555">
            <v>105363</v>
          </cell>
          <cell r="C5555" t="str">
            <v>Castlebrook High School</v>
          </cell>
          <cell r="D5555" t="str">
            <v>Bury</v>
          </cell>
          <cell r="E5555" t="str">
            <v>Community School</v>
          </cell>
          <cell r="F5555" t="str">
            <v>Secondary</v>
          </cell>
        </row>
        <row r="5556">
          <cell r="A5556">
            <v>9342291</v>
          </cell>
          <cell r="B5556">
            <v>129894</v>
          </cell>
          <cell r="C5556" t="str">
            <v>Castlechurch First School</v>
          </cell>
          <cell r="D5556" t="str">
            <v>Pre LGR (1997) Staffordshire</v>
          </cell>
          <cell r="E5556" t="str">
            <v>Community School</v>
          </cell>
          <cell r="F5556" t="str">
            <v>Primary</v>
          </cell>
        </row>
        <row r="5557">
          <cell r="A5557">
            <v>8602407</v>
          </cell>
          <cell r="B5557">
            <v>124203</v>
          </cell>
          <cell r="C5557" t="str">
            <v>Castlechurch Primary School</v>
          </cell>
          <cell r="D5557" t="str">
            <v>Staffordshire</v>
          </cell>
          <cell r="E5557" t="str">
            <v>Community School</v>
          </cell>
          <cell r="F5557" t="str">
            <v>Primary</v>
          </cell>
        </row>
        <row r="5558">
          <cell r="A5558">
            <v>3052029</v>
          </cell>
          <cell r="B5558">
            <v>101606</v>
          </cell>
          <cell r="C5558" t="str">
            <v>Castlecombe Primary School</v>
          </cell>
          <cell r="D5558" t="str">
            <v>Bromley</v>
          </cell>
          <cell r="E5558" t="str">
            <v>Community School</v>
          </cell>
          <cell r="F5558" t="str">
            <v>Primary</v>
          </cell>
        </row>
        <row r="5559">
          <cell r="A5559">
            <v>3362043</v>
          </cell>
          <cell r="B5559">
            <v>104311</v>
          </cell>
          <cell r="C5559" t="str">
            <v>Castlecroft Primary School</v>
          </cell>
          <cell r="D5559" t="str">
            <v>Wolverhampton</v>
          </cell>
          <cell r="E5559" t="str">
            <v>Community School</v>
          </cell>
          <cell r="F5559" t="str">
            <v>Primary</v>
          </cell>
        </row>
        <row r="5560">
          <cell r="A5560">
            <v>8467000</v>
          </cell>
          <cell r="B5560">
            <v>114675</v>
          </cell>
          <cell r="C5560" t="str">
            <v>Castledean School</v>
          </cell>
          <cell r="D5560" t="str">
            <v>Brighton and Hove</v>
          </cell>
          <cell r="E5560" t="str">
            <v>Community Special School</v>
          </cell>
          <cell r="F5560" t="str">
            <v>Special</v>
          </cell>
        </row>
        <row r="5561">
          <cell r="A5561">
            <v>8817045</v>
          </cell>
          <cell r="B5561">
            <v>115461</v>
          </cell>
          <cell r="C5561" t="str">
            <v>Castledon School</v>
          </cell>
          <cell r="D5561" t="str">
            <v>Essex</v>
          </cell>
          <cell r="E5561" t="str">
            <v>Community Special School</v>
          </cell>
          <cell r="F5561" t="str">
            <v>Special</v>
          </cell>
        </row>
        <row r="5562">
          <cell r="A5562">
            <v>8452152</v>
          </cell>
          <cell r="B5562">
            <v>114474</v>
          </cell>
          <cell r="C5562" t="str">
            <v>Castledown Community Primary and Nursery School</v>
          </cell>
          <cell r="D5562" t="str">
            <v>East Sussex</v>
          </cell>
          <cell r="E5562" t="str">
            <v>Community School</v>
          </cell>
          <cell r="F5562" t="str">
            <v>Primary</v>
          </cell>
        </row>
        <row r="5563">
          <cell r="A5563">
            <v>8655416</v>
          </cell>
          <cell r="B5563">
            <v>126511</v>
          </cell>
          <cell r="C5563" t="str">
            <v>Castledown School</v>
          </cell>
          <cell r="D5563" t="str">
            <v>Wiltshire</v>
          </cell>
          <cell r="E5563" t="str">
            <v>Foundation School</v>
          </cell>
          <cell r="F5563" t="str">
            <v>Secondary</v>
          </cell>
        </row>
        <row r="5564">
          <cell r="A5564">
            <v>8132940</v>
          </cell>
          <cell r="B5564">
            <v>117967</v>
          </cell>
          <cell r="C5564" t="str">
            <v>Castledyke Primary School</v>
          </cell>
          <cell r="D5564" t="str">
            <v>North Lincolnshire</v>
          </cell>
          <cell r="E5564" t="str">
            <v>Community School</v>
          </cell>
          <cell r="F5564" t="str">
            <v>Primary</v>
          </cell>
        </row>
        <row r="5565">
          <cell r="A5565">
            <v>9042045</v>
          </cell>
          <cell r="B5565">
            <v>128318</v>
          </cell>
          <cell r="C5565" t="str">
            <v>Castlefield County First School</v>
          </cell>
          <cell r="D5565" t="str">
            <v>Pre LGR (1997) Buckinghamshire</v>
          </cell>
          <cell r="E5565" t="str">
            <v>Community School</v>
          </cell>
          <cell r="F5565" t="str">
            <v>Primary</v>
          </cell>
        </row>
        <row r="5566">
          <cell r="A5566">
            <v>9042044</v>
          </cell>
          <cell r="B5566">
            <v>128317</v>
          </cell>
          <cell r="C5566" t="str">
            <v>Castlefield County Middle School</v>
          </cell>
          <cell r="D5566" t="str">
            <v>Pre LGR (1997) Buckinghamshire</v>
          </cell>
          <cell r="E5566" t="str">
            <v>Community School</v>
          </cell>
          <cell r="F5566" t="str">
            <v>Middle Deemed Primary</v>
          </cell>
        </row>
        <row r="5567">
          <cell r="A5567">
            <v>3527057</v>
          </cell>
          <cell r="B5567">
            <v>105624</v>
          </cell>
          <cell r="C5567" t="str">
            <v>Castlefield School</v>
          </cell>
          <cell r="D5567" t="str">
            <v>Manchester</v>
          </cell>
          <cell r="E5567" t="str">
            <v>Community Special School</v>
          </cell>
          <cell r="F5567" t="str">
            <v>Special</v>
          </cell>
        </row>
        <row r="5568">
          <cell r="A5568">
            <v>8255204</v>
          </cell>
          <cell r="B5568">
            <v>110522</v>
          </cell>
          <cell r="C5568" t="str">
            <v>Castlefield School</v>
          </cell>
          <cell r="D5568" t="str">
            <v>Buckinghamshire</v>
          </cell>
          <cell r="E5568" t="str">
            <v>Foundation School</v>
          </cell>
          <cell r="F5568" t="str">
            <v>Primary</v>
          </cell>
        </row>
        <row r="5569">
          <cell r="A5569">
            <v>9124030</v>
          </cell>
          <cell r="B5569">
            <v>128788</v>
          </cell>
          <cell r="C5569" t="str">
            <v>Castlefield School</v>
          </cell>
          <cell r="D5569" t="str">
            <v>Pre LGR (1997) Dorset</v>
          </cell>
          <cell r="E5569" t="str">
            <v>Community School</v>
          </cell>
          <cell r="F5569" t="str">
            <v>Secondary</v>
          </cell>
        </row>
        <row r="5570">
          <cell r="A5570">
            <v>3812084</v>
          </cell>
          <cell r="B5570">
            <v>107531</v>
          </cell>
          <cell r="C5570" t="str">
            <v>Castlefields Infant School</v>
          </cell>
          <cell r="D5570" t="str">
            <v>Calderdale</v>
          </cell>
          <cell r="E5570" t="str">
            <v>Community School</v>
          </cell>
          <cell r="F5570" t="str">
            <v>Primary</v>
          </cell>
        </row>
        <row r="5571">
          <cell r="A5571">
            <v>8932157</v>
          </cell>
          <cell r="B5571">
            <v>123432</v>
          </cell>
          <cell r="C5571" t="str">
            <v>Castlefields Primary School</v>
          </cell>
          <cell r="D5571" t="str">
            <v>Shropshire</v>
          </cell>
          <cell r="E5571" t="str">
            <v>Community School</v>
          </cell>
          <cell r="F5571" t="str">
            <v>Primary</v>
          </cell>
        </row>
        <row r="5572">
          <cell r="A5572">
            <v>3844015</v>
          </cell>
          <cell r="B5572">
            <v>136633</v>
          </cell>
          <cell r="C5572" t="str">
            <v>Castleford Academy</v>
          </cell>
          <cell r="D5572" t="str">
            <v>Wakefield</v>
          </cell>
          <cell r="E5572" t="str">
            <v>Academy Converters</v>
          </cell>
          <cell r="F5572" t="str">
            <v>Secondary</v>
          </cell>
        </row>
        <row r="5573">
          <cell r="A5573">
            <v>3842171</v>
          </cell>
          <cell r="B5573">
            <v>108227</v>
          </cell>
          <cell r="C5573" t="str">
            <v>Castleford Airedale Junior School</v>
          </cell>
          <cell r="D5573" t="str">
            <v>Wakefield</v>
          </cell>
          <cell r="E5573" t="str">
            <v>Community School</v>
          </cell>
          <cell r="F5573" t="str">
            <v>Primary</v>
          </cell>
        </row>
        <row r="5574">
          <cell r="A5574">
            <v>3842179</v>
          </cell>
          <cell r="B5574">
            <v>108235</v>
          </cell>
          <cell r="C5574" t="str">
            <v>Castleford Glasshoughton Infant School</v>
          </cell>
          <cell r="D5574" t="str">
            <v>Wakefield</v>
          </cell>
          <cell r="E5574" t="str">
            <v>Community School</v>
          </cell>
          <cell r="F5574" t="str">
            <v>Primary</v>
          </cell>
        </row>
        <row r="5575">
          <cell r="A5575">
            <v>3842182</v>
          </cell>
          <cell r="B5575">
            <v>108238</v>
          </cell>
          <cell r="C5575" t="str">
            <v>Castleford Half Acres Junior and Infant School</v>
          </cell>
          <cell r="D5575" t="str">
            <v>Wakefield</v>
          </cell>
          <cell r="E5575" t="str">
            <v>Community School</v>
          </cell>
          <cell r="F5575" t="str">
            <v>Primary</v>
          </cell>
        </row>
        <row r="5576">
          <cell r="A5576">
            <v>3842181</v>
          </cell>
          <cell r="B5576">
            <v>108237</v>
          </cell>
          <cell r="C5576" t="str">
            <v>Castleford Henry Moore Junior School</v>
          </cell>
          <cell r="D5576" t="str">
            <v>Wakefield</v>
          </cell>
          <cell r="E5576" t="str">
            <v>Community School</v>
          </cell>
          <cell r="F5576" t="str">
            <v>Primary</v>
          </cell>
        </row>
        <row r="5577">
          <cell r="A5577">
            <v>3844015</v>
          </cell>
          <cell r="B5577">
            <v>108273</v>
          </cell>
          <cell r="C5577" t="str">
            <v>Castleford High School Technology and Sports College With Hearing Impairment Resource</v>
          </cell>
          <cell r="D5577" t="str">
            <v>Wakefield</v>
          </cell>
          <cell r="E5577" t="str">
            <v>Community School</v>
          </cell>
          <cell r="F5577" t="str">
            <v>Secondary</v>
          </cell>
        </row>
        <row r="5578">
          <cell r="A5578">
            <v>3842175</v>
          </cell>
          <cell r="B5578">
            <v>108231</v>
          </cell>
          <cell r="C5578" t="str">
            <v>Castleford Oyster Park Infant School</v>
          </cell>
          <cell r="D5578" t="str">
            <v>Wakefield</v>
          </cell>
          <cell r="E5578" t="str">
            <v>Community School</v>
          </cell>
          <cell r="F5578" t="str">
            <v>Primary</v>
          </cell>
        </row>
        <row r="5579">
          <cell r="A5579">
            <v>3842174</v>
          </cell>
          <cell r="B5579">
            <v>108230</v>
          </cell>
          <cell r="C5579" t="str">
            <v>Castleford Oyster Park Junior School</v>
          </cell>
          <cell r="D5579" t="str">
            <v>Wakefield</v>
          </cell>
          <cell r="E5579" t="str">
            <v>Community School</v>
          </cell>
          <cell r="F5579" t="str">
            <v>Primary</v>
          </cell>
        </row>
        <row r="5580">
          <cell r="A5580">
            <v>3842212</v>
          </cell>
          <cell r="B5580">
            <v>136051</v>
          </cell>
          <cell r="C5580" t="str">
            <v>Castleford Oyster Park Primary School</v>
          </cell>
          <cell r="D5580" t="str">
            <v>Wakefield</v>
          </cell>
          <cell r="E5580" t="str">
            <v>Community School</v>
          </cell>
          <cell r="F5580" t="str">
            <v>Primary</v>
          </cell>
        </row>
        <row r="5581">
          <cell r="A5581">
            <v>3842178</v>
          </cell>
          <cell r="B5581">
            <v>108234</v>
          </cell>
          <cell r="C5581" t="str">
            <v>Castleford Park Junior School</v>
          </cell>
          <cell r="D5581" t="str">
            <v>Wakefield</v>
          </cell>
          <cell r="E5581" t="str">
            <v>Community School</v>
          </cell>
          <cell r="F5581" t="str">
            <v>Primary</v>
          </cell>
        </row>
        <row r="5582">
          <cell r="A5582">
            <v>3842177</v>
          </cell>
          <cell r="B5582">
            <v>108233</v>
          </cell>
          <cell r="C5582" t="str">
            <v>Castleford Redhill Infant School</v>
          </cell>
          <cell r="D5582" t="str">
            <v>Wakefield</v>
          </cell>
          <cell r="E5582" t="str">
            <v>Community School</v>
          </cell>
          <cell r="F5582" t="str">
            <v>Primary</v>
          </cell>
        </row>
        <row r="5583">
          <cell r="A5583">
            <v>3842176</v>
          </cell>
          <cell r="B5583">
            <v>108232</v>
          </cell>
          <cell r="C5583" t="str">
            <v>Castleford Redhill Junior School</v>
          </cell>
          <cell r="D5583" t="str">
            <v>Wakefield</v>
          </cell>
          <cell r="E5583" t="str">
            <v>Community School</v>
          </cell>
          <cell r="F5583" t="str">
            <v>Primary</v>
          </cell>
        </row>
        <row r="5584">
          <cell r="A5584">
            <v>3842183</v>
          </cell>
          <cell r="B5584">
            <v>108239</v>
          </cell>
          <cell r="C5584" t="str">
            <v>Castleford Smawthorne Infant School</v>
          </cell>
          <cell r="D5584" t="str">
            <v>Wakefield</v>
          </cell>
          <cell r="E5584" t="str">
            <v>Community School</v>
          </cell>
          <cell r="F5584" t="str">
            <v>Primary</v>
          </cell>
        </row>
        <row r="5585">
          <cell r="A5585">
            <v>3842184</v>
          </cell>
          <cell r="B5585">
            <v>108240</v>
          </cell>
          <cell r="C5585" t="str">
            <v>Castleford Three Lane Ends Community Primary School</v>
          </cell>
          <cell r="D5585" t="str">
            <v>Wakefield</v>
          </cell>
          <cell r="E5585" t="str">
            <v>Community School</v>
          </cell>
          <cell r="F5585" t="str">
            <v>Primary</v>
          </cell>
        </row>
        <row r="5586">
          <cell r="A5586">
            <v>3842173</v>
          </cell>
          <cell r="B5586">
            <v>108229</v>
          </cell>
          <cell r="C5586" t="str">
            <v>Castleford Townville Infants' School</v>
          </cell>
          <cell r="D5586" t="str">
            <v>Wakefield</v>
          </cell>
          <cell r="E5586" t="str">
            <v>Community School</v>
          </cell>
          <cell r="F5586" t="str">
            <v>Primary</v>
          </cell>
        </row>
        <row r="5587">
          <cell r="A5587">
            <v>3842180</v>
          </cell>
          <cell r="B5587">
            <v>108236</v>
          </cell>
          <cell r="C5587" t="str">
            <v>Castleford Wheldon Infant School and Nursery</v>
          </cell>
          <cell r="D5587" t="str">
            <v>Wakefield</v>
          </cell>
          <cell r="E5587" t="str">
            <v>Community School</v>
          </cell>
          <cell r="F5587" t="str">
            <v>Primary</v>
          </cell>
        </row>
        <row r="5588">
          <cell r="A5588">
            <v>3352222</v>
          </cell>
          <cell r="B5588">
            <v>104204</v>
          </cell>
          <cell r="C5588" t="str">
            <v>Castlefort Junior Mixed and Infant School</v>
          </cell>
          <cell r="D5588" t="str">
            <v>Walsall</v>
          </cell>
          <cell r="E5588" t="str">
            <v>Community School</v>
          </cell>
          <cell r="F5588" t="str">
            <v>Primary</v>
          </cell>
        </row>
        <row r="5589">
          <cell r="A5589">
            <v>3947000</v>
          </cell>
          <cell r="B5589">
            <v>108878</v>
          </cell>
          <cell r="C5589" t="str">
            <v>Castlegreen Community School</v>
          </cell>
          <cell r="D5589" t="str">
            <v>Sunderland</v>
          </cell>
          <cell r="E5589" t="str">
            <v>Community Special School</v>
          </cell>
          <cell r="F5589" t="str">
            <v>Special</v>
          </cell>
        </row>
        <row r="5590">
          <cell r="A5590">
            <v>8853017</v>
          </cell>
          <cell r="B5590">
            <v>116791</v>
          </cell>
          <cell r="C5590" t="str">
            <v>Castlemorton CofE Primary School</v>
          </cell>
          <cell r="D5590" t="str">
            <v>Worcestershire</v>
          </cell>
          <cell r="E5590" t="str">
            <v>Voluntary Controlled School</v>
          </cell>
          <cell r="F5590" t="str">
            <v>Primary</v>
          </cell>
        </row>
        <row r="5591">
          <cell r="A5591">
            <v>9224115</v>
          </cell>
          <cell r="B5591">
            <v>129425</v>
          </cell>
          <cell r="C5591" t="str">
            <v>Castlemount Secondary School</v>
          </cell>
          <cell r="D5591" t="str">
            <v>Pre LGR (1998) Kent</v>
          </cell>
          <cell r="E5591" t="str">
            <v>Community School</v>
          </cell>
          <cell r="F5591" t="str">
            <v>Secondary</v>
          </cell>
        </row>
        <row r="5592">
          <cell r="A5592">
            <v>8262140</v>
          </cell>
          <cell r="B5592">
            <v>110264</v>
          </cell>
          <cell r="C5592" t="str">
            <v>Castles First School</v>
          </cell>
          <cell r="D5592" t="str">
            <v>Milton Keynes</v>
          </cell>
          <cell r="E5592" t="str">
            <v>Community School</v>
          </cell>
          <cell r="F5592" t="str">
            <v>Primary</v>
          </cell>
        </row>
        <row r="5593">
          <cell r="A5593">
            <v>8402266</v>
          </cell>
          <cell r="B5593">
            <v>114043</v>
          </cell>
          <cell r="C5593" t="str">
            <v>Castleside Primary School</v>
          </cell>
          <cell r="D5593" t="str">
            <v>Durham</v>
          </cell>
          <cell r="E5593" t="str">
            <v>Community School</v>
          </cell>
          <cell r="F5593" t="str">
            <v>Primary</v>
          </cell>
        </row>
        <row r="5594">
          <cell r="A5594">
            <v>8262015</v>
          </cell>
          <cell r="B5594">
            <v>110213</v>
          </cell>
          <cell r="C5594" t="str">
            <v>Castlethorpe First School</v>
          </cell>
          <cell r="D5594" t="str">
            <v>Milton Keynes</v>
          </cell>
          <cell r="E5594" t="str">
            <v>Community School</v>
          </cell>
          <cell r="F5594" t="str">
            <v>Primary</v>
          </cell>
        </row>
        <row r="5595">
          <cell r="A5595">
            <v>8303022</v>
          </cell>
          <cell r="B5595">
            <v>112807</v>
          </cell>
          <cell r="C5595" t="str">
            <v>Castleton CofE Primary School</v>
          </cell>
          <cell r="D5595" t="str">
            <v>Derbyshire</v>
          </cell>
          <cell r="E5595" t="str">
            <v>Voluntary Controlled School</v>
          </cell>
          <cell r="F5595" t="str">
            <v>Primary</v>
          </cell>
        </row>
        <row r="5596">
          <cell r="A5596">
            <v>8152256</v>
          </cell>
          <cell r="B5596">
            <v>121376</v>
          </cell>
          <cell r="C5596" t="str">
            <v>Castleton Community Primary School</v>
          </cell>
          <cell r="D5596" t="str">
            <v>North Yorkshire</v>
          </cell>
          <cell r="E5596" t="str">
            <v>Community School</v>
          </cell>
          <cell r="F5596" t="str">
            <v>Primary</v>
          </cell>
        </row>
        <row r="5597">
          <cell r="A5597">
            <v>3542002</v>
          </cell>
          <cell r="B5597">
            <v>105765</v>
          </cell>
          <cell r="C5597" t="str">
            <v>Castleton Primary School</v>
          </cell>
          <cell r="D5597" t="str">
            <v>Rochdale</v>
          </cell>
          <cell r="E5597" t="str">
            <v>Community School</v>
          </cell>
          <cell r="F5597" t="str">
            <v>Primary</v>
          </cell>
        </row>
        <row r="5598">
          <cell r="A5598">
            <v>3832486</v>
          </cell>
          <cell r="B5598">
            <v>107962</v>
          </cell>
          <cell r="C5598" t="str">
            <v>Castleton Primary School</v>
          </cell>
          <cell r="D5598" t="str">
            <v>Leeds</v>
          </cell>
          <cell r="E5598" t="str">
            <v>Community School</v>
          </cell>
          <cell r="F5598" t="str">
            <v>Primary</v>
          </cell>
        </row>
        <row r="5599">
          <cell r="A5599">
            <v>3832045</v>
          </cell>
          <cell r="B5599">
            <v>127816</v>
          </cell>
          <cell r="C5599" t="str">
            <v>Castleton Primary School</v>
          </cell>
          <cell r="D5599" t="str">
            <v>Leeds</v>
          </cell>
          <cell r="E5599" t="str">
            <v>Community School</v>
          </cell>
          <cell r="F5599" t="str">
            <v>Primary</v>
          </cell>
        </row>
        <row r="5600">
          <cell r="A5600">
            <v>3942099</v>
          </cell>
          <cell r="B5600">
            <v>108792</v>
          </cell>
          <cell r="C5600" t="str">
            <v>Castletown Primary School</v>
          </cell>
          <cell r="D5600" t="str">
            <v>Sunderland</v>
          </cell>
          <cell r="E5600" t="str">
            <v>Community School</v>
          </cell>
          <cell r="F5600" t="str">
            <v>Primary</v>
          </cell>
        </row>
        <row r="5601">
          <cell r="A5601">
            <v>8715204</v>
          </cell>
          <cell r="B5601">
            <v>110092</v>
          </cell>
          <cell r="C5601" t="str">
            <v>Castleview Primary School</v>
          </cell>
          <cell r="D5601" t="str">
            <v>Slough</v>
          </cell>
          <cell r="E5601" t="str">
            <v>Foundation School</v>
          </cell>
          <cell r="F5601" t="str">
            <v>Primary</v>
          </cell>
        </row>
        <row r="5602">
          <cell r="A5602">
            <v>3442115</v>
          </cell>
          <cell r="B5602">
            <v>105002</v>
          </cell>
          <cell r="C5602" t="str">
            <v>Castleway Primary School</v>
          </cell>
          <cell r="D5602" t="str">
            <v>Wirral</v>
          </cell>
          <cell r="E5602" t="str">
            <v>Community School</v>
          </cell>
          <cell r="F5602" t="str">
            <v>Primary</v>
          </cell>
        </row>
        <row r="5603">
          <cell r="A5603">
            <v>9382249</v>
          </cell>
          <cell r="B5603">
            <v>131130</v>
          </cell>
          <cell r="C5603" t="str">
            <v>Castlewood Primary School</v>
          </cell>
          <cell r="D5603" t="str">
            <v>West Sussex</v>
          </cell>
          <cell r="E5603" t="str">
            <v>Community School</v>
          </cell>
          <cell r="F5603" t="str">
            <v>Primary</v>
          </cell>
        </row>
        <row r="5604">
          <cell r="A5604">
            <v>9263310</v>
          </cell>
          <cell r="B5604">
            <v>121111</v>
          </cell>
          <cell r="C5604" t="str">
            <v>Caston Church of England Voluntary Aided Primary School</v>
          </cell>
          <cell r="D5604" t="str">
            <v>Norfolk</v>
          </cell>
          <cell r="E5604" t="str">
            <v>Voluntary Aided School</v>
          </cell>
          <cell r="F5604" t="str">
            <v>Primary</v>
          </cell>
        </row>
        <row r="5605">
          <cell r="A5605">
            <v>8743078</v>
          </cell>
          <cell r="B5605">
            <v>110824</v>
          </cell>
          <cell r="C5605" t="str">
            <v>Castor CofE Primary School</v>
          </cell>
          <cell r="D5605" t="str">
            <v>Peterborough</v>
          </cell>
          <cell r="E5605" t="str">
            <v>Voluntary Controlled School</v>
          </cell>
          <cell r="F5605" t="str">
            <v>Primary</v>
          </cell>
        </row>
        <row r="5606">
          <cell r="A5606">
            <v>8402210</v>
          </cell>
          <cell r="B5606">
            <v>114023</v>
          </cell>
          <cell r="C5606" t="str">
            <v>Catchgate Primary School</v>
          </cell>
          <cell r="D5606" t="str">
            <v>Durham</v>
          </cell>
          <cell r="E5606" t="str">
            <v>Community School</v>
          </cell>
          <cell r="F5606" t="str">
            <v>Primary</v>
          </cell>
        </row>
        <row r="5607">
          <cell r="A5607">
            <v>3722116</v>
          </cell>
          <cell r="B5607">
            <v>106915</v>
          </cell>
          <cell r="C5607" t="str">
            <v>Catcliffe Primary School and The Meadows Children's Centre</v>
          </cell>
          <cell r="D5607" t="str">
            <v>Rotherham</v>
          </cell>
          <cell r="E5607" t="str">
            <v>Community School</v>
          </cell>
          <cell r="F5607" t="str">
            <v>Primary</v>
          </cell>
        </row>
        <row r="5608">
          <cell r="A5608">
            <v>8057026</v>
          </cell>
          <cell r="B5608">
            <v>111784</v>
          </cell>
          <cell r="C5608" t="str">
            <v>Catcote School</v>
          </cell>
          <cell r="D5608" t="str">
            <v>Hartlepool</v>
          </cell>
          <cell r="E5608" t="str">
            <v>Community Special School</v>
          </cell>
          <cell r="F5608" t="str">
            <v>Special</v>
          </cell>
        </row>
        <row r="5609">
          <cell r="A5609">
            <v>9332166</v>
          </cell>
          <cell r="B5609">
            <v>123683</v>
          </cell>
          <cell r="C5609" t="str">
            <v>Catcott Primary School</v>
          </cell>
          <cell r="D5609" t="str">
            <v>Somerset</v>
          </cell>
          <cell r="E5609" t="str">
            <v>Community School</v>
          </cell>
          <cell r="F5609" t="str">
            <v>Primary</v>
          </cell>
        </row>
        <row r="5610">
          <cell r="A5610">
            <v>3174006</v>
          </cell>
          <cell r="B5610">
            <v>102849</v>
          </cell>
          <cell r="C5610" t="str">
            <v>Caterham High School</v>
          </cell>
          <cell r="D5610" t="str">
            <v>Redbridge</v>
          </cell>
          <cell r="E5610" t="str">
            <v>Community School</v>
          </cell>
          <cell r="F5610" t="str">
            <v>Secondary</v>
          </cell>
        </row>
        <row r="5611">
          <cell r="A5611">
            <v>9366567</v>
          </cell>
          <cell r="B5611">
            <v>125444</v>
          </cell>
          <cell r="C5611" t="str">
            <v>Caterham Preparatory School</v>
          </cell>
          <cell r="D5611" t="str">
            <v>Surrey</v>
          </cell>
          <cell r="E5611" t="str">
            <v>Other Independent School</v>
          </cell>
          <cell r="F5611" t="str">
            <v>Not applicable</v>
          </cell>
        </row>
        <row r="5612">
          <cell r="A5612">
            <v>9361118</v>
          </cell>
          <cell r="B5612">
            <v>124933</v>
          </cell>
          <cell r="C5612" t="str">
            <v>Caterham Pupil Referral Unit</v>
          </cell>
          <cell r="D5612" t="str">
            <v>Surrey</v>
          </cell>
          <cell r="E5612" t="str">
            <v>Pupil Referral Unit</v>
          </cell>
          <cell r="F5612" t="str">
            <v>PRU</v>
          </cell>
        </row>
        <row r="5613">
          <cell r="A5613">
            <v>9366538</v>
          </cell>
          <cell r="B5613">
            <v>125427</v>
          </cell>
          <cell r="C5613" t="str">
            <v>Caterham School</v>
          </cell>
          <cell r="D5613" t="str">
            <v>Surrey</v>
          </cell>
          <cell r="E5613" t="str">
            <v>Other Independent School</v>
          </cell>
          <cell r="F5613" t="str">
            <v>Not applicable</v>
          </cell>
        </row>
        <row r="5614">
          <cell r="A5614">
            <v>9263146</v>
          </cell>
          <cell r="B5614">
            <v>121103</v>
          </cell>
          <cell r="C5614" t="str">
            <v>Catfield Voluntary Controlled CofE Primary School</v>
          </cell>
          <cell r="D5614" t="str">
            <v>Norfolk</v>
          </cell>
          <cell r="E5614" t="str">
            <v>Voluntary Controlled School</v>
          </cell>
          <cell r="F5614" t="str">
            <v>Primary</v>
          </cell>
        </row>
        <row r="5615">
          <cell r="A5615">
            <v>2094040</v>
          </cell>
          <cell r="B5615">
            <v>126660</v>
          </cell>
          <cell r="C5615" t="str">
            <v>Catford School</v>
          </cell>
          <cell r="D5615" t="str">
            <v>Lewisham</v>
          </cell>
          <cell r="E5615" t="str">
            <v>Community School</v>
          </cell>
          <cell r="F5615" t="str">
            <v>Secondary</v>
          </cell>
        </row>
        <row r="5616">
          <cell r="A5616">
            <v>8882062</v>
          </cell>
          <cell r="B5616">
            <v>119160</v>
          </cell>
          <cell r="C5616" t="str">
            <v>Catforth Primary School</v>
          </cell>
          <cell r="D5616" t="str">
            <v>Lancashire</v>
          </cell>
          <cell r="E5616" t="str">
            <v>Community School</v>
          </cell>
          <cell r="F5616" t="str">
            <v>Primary</v>
          </cell>
        </row>
        <row r="5617">
          <cell r="A5617">
            <v>6814054</v>
          </cell>
          <cell r="B5617">
            <v>401883</v>
          </cell>
          <cell r="C5617" t="str">
            <v>Cathays High School</v>
          </cell>
          <cell r="D5617" t="str">
            <v>Cardiff</v>
          </cell>
          <cell r="E5617" t="str">
            <v>Welsh Establishment</v>
          </cell>
          <cell r="F5617" t="str">
            <v>Secondary</v>
          </cell>
        </row>
        <row r="5618">
          <cell r="A5618">
            <v>3442261</v>
          </cell>
          <cell r="B5618">
            <v>105048</v>
          </cell>
          <cell r="C5618" t="str">
            <v>Cathcart Street Primary School</v>
          </cell>
          <cell r="D5618" t="str">
            <v>Wirral</v>
          </cell>
          <cell r="E5618" t="str">
            <v>Community School</v>
          </cell>
          <cell r="F5618" t="str">
            <v>Primary</v>
          </cell>
        </row>
        <row r="5619">
          <cell r="A5619">
            <v>3844500</v>
          </cell>
          <cell r="B5619">
            <v>132858</v>
          </cell>
          <cell r="C5619" t="str">
            <v>Cathedral Middle School</v>
          </cell>
          <cell r="D5619" t="str">
            <v>Wakefield</v>
          </cell>
          <cell r="E5619" t="str">
            <v>Miscellaneous</v>
          </cell>
          <cell r="F5619" t="str">
            <v>Not applicable</v>
          </cell>
        </row>
        <row r="5620">
          <cell r="A5620">
            <v>8562213</v>
          </cell>
          <cell r="B5620">
            <v>120002</v>
          </cell>
          <cell r="C5620" t="str">
            <v>Catherine Infant School</v>
          </cell>
          <cell r="D5620" t="str">
            <v>Leicester</v>
          </cell>
          <cell r="E5620" t="str">
            <v>Community School</v>
          </cell>
          <cell r="F5620" t="str">
            <v>Primary</v>
          </cell>
        </row>
        <row r="5621">
          <cell r="A5621">
            <v>8562214</v>
          </cell>
          <cell r="B5621">
            <v>120003</v>
          </cell>
          <cell r="C5621" t="str">
            <v>Catherine Junior School</v>
          </cell>
          <cell r="D5621" t="str">
            <v>Leicester</v>
          </cell>
          <cell r="E5621" t="str">
            <v>Community School</v>
          </cell>
          <cell r="F5621" t="str">
            <v>Primary</v>
          </cell>
        </row>
        <row r="5622">
          <cell r="A5622">
            <v>8662008</v>
          </cell>
          <cell r="B5622">
            <v>132023</v>
          </cell>
          <cell r="C5622" t="str">
            <v>Catherine Wayte Primary School</v>
          </cell>
          <cell r="D5622" t="str">
            <v>Swindon</v>
          </cell>
          <cell r="E5622" t="str">
            <v>Community School</v>
          </cell>
          <cell r="F5622" t="str">
            <v>Primary</v>
          </cell>
        </row>
        <row r="5623">
          <cell r="A5623">
            <v>8503027</v>
          </cell>
          <cell r="B5623">
            <v>116280</v>
          </cell>
          <cell r="C5623" t="str">
            <v>Catherington Church of England Infant School</v>
          </cell>
          <cell r="D5623" t="str">
            <v>Hampshire</v>
          </cell>
          <cell r="E5623" t="str">
            <v>Voluntary Controlled School</v>
          </cell>
          <cell r="F5623" t="str">
            <v>Primary</v>
          </cell>
        </row>
        <row r="5624">
          <cell r="A5624">
            <v>8575406</v>
          </cell>
          <cell r="B5624">
            <v>120290</v>
          </cell>
          <cell r="C5624" t="str">
            <v>Catmose College</v>
          </cell>
          <cell r="D5624" t="str">
            <v>Rutland</v>
          </cell>
          <cell r="E5624" t="str">
            <v>Foundation School</v>
          </cell>
          <cell r="F5624" t="str">
            <v>Secondary</v>
          </cell>
        </row>
        <row r="5625">
          <cell r="A5625">
            <v>8575406</v>
          </cell>
          <cell r="B5625">
            <v>136530</v>
          </cell>
          <cell r="C5625" t="str">
            <v>Catmose College</v>
          </cell>
          <cell r="D5625" t="str">
            <v>Rutland</v>
          </cell>
          <cell r="E5625" t="str">
            <v>Academy Converters</v>
          </cell>
          <cell r="F5625" t="str">
            <v>Secondary</v>
          </cell>
        </row>
        <row r="5626">
          <cell r="A5626">
            <v>8572313</v>
          </cell>
          <cell r="B5626">
            <v>120043</v>
          </cell>
          <cell r="C5626" t="str">
            <v>Catmose Primary</v>
          </cell>
          <cell r="D5626" t="str">
            <v>Rutland</v>
          </cell>
          <cell r="E5626" t="str">
            <v>Foundation School</v>
          </cell>
          <cell r="F5626" t="str">
            <v>Primary</v>
          </cell>
        </row>
        <row r="5627">
          <cell r="A5627">
            <v>8882653</v>
          </cell>
          <cell r="B5627">
            <v>119322</v>
          </cell>
          <cell r="C5627" t="str">
            <v>Caton Community Primary School</v>
          </cell>
          <cell r="D5627" t="str">
            <v>Lancashire</v>
          </cell>
          <cell r="E5627" t="str">
            <v>Community School</v>
          </cell>
          <cell r="F5627" t="str">
            <v>Primary</v>
          </cell>
        </row>
        <row r="5628">
          <cell r="A5628">
            <v>8883521</v>
          </cell>
          <cell r="B5628">
            <v>119524</v>
          </cell>
          <cell r="C5628" t="str">
            <v>Caton St Paul's Church of England Primary School</v>
          </cell>
          <cell r="D5628" t="str">
            <v>Lancashire</v>
          </cell>
          <cell r="E5628" t="str">
            <v>Voluntary Aided School</v>
          </cell>
          <cell r="F5628" t="str">
            <v>Primary</v>
          </cell>
        </row>
        <row r="5629">
          <cell r="A5629">
            <v>3054002</v>
          </cell>
          <cell r="B5629">
            <v>101657</v>
          </cell>
          <cell r="C5629" t="str">
            <v>Cator Park School</v>
          </cell>
          <cell r="D5629" t="str">
            <v>Bromley</v>
          </cell>
          <cell r="E5629" t="str">
            <v>Foundation School</v>
          </cell>
          <cell r="F5629" t="str">
            <v>Secondary</v>
          </cell>
        </row>
        <row r="5630">
          <cell r="A5630">
            <v>3054002</v>
          </cell>
          <cell r="B5630">
            <v>137379</v>
          </cell>
          <cell r="C5630" t="str">
            <v>Cator Park School</v>
          </cell>
          <cell r="D5630" t="str">
            <v>Bromley</v>
          </cell>
          <cell r="E5630" t="str">
            <v>Academy Converters</v>
          </cell>
          <cell r="F5630" t="str">
            <v>Secondary</v>
          </cell>
        </row>
        <row r="5631">
          <cell r="A5631">
            <v>8866075</v>
          </cell>
          <cell r="B5631">
            <v>131411</v>
          </cell>
          <cell r="C5631" t="str">
            <v>CATS Canterbury</v>
          </cell>
          <cell r="D5631" t="str">
            <v>Kent</v>
          </cell>
          <cell r="E5631" t="str">
            <v>Other Independent School</v>
          </cell>
          <cell r="F5631" t="str">
            <v>Not applicable</v>
          </cell>
        </row>
        <row r="5632">
          <cell r="A5632">
            <v>2026000</v>
          </cell>
          <cell r="B5632">
            <v>137333</v>
          </cell>
          <cell r="C5632" t="str">
            <v>Cats College London</v>
          </cell>
          <cell r="D5632" t="str">
            <v>Camden</v>
          </cell>
          <cell r="E5632" t="str">
            <v>Other Independent School</v>
          </cell>
          <cell r="F5632" t="str">
            <v>Not applicable</v>
          </cell>
        </row>
        <row r="5633">
          <cell r="A5633">
            <v>8453012</v>
          </cell>
          <cell r="B5633">
            <v>114494</v>
          </cell>
          <cell r="C5633" t="str">
            <v>Catsfield Church of England Primary School</v>
          </cell>
          <cell r="D5633" t="str">
            <v>East Sussex</v>
          </cell>
          <cell r="E5633" t="str">
            <v>Voluntary Controlled School</v>
          </cell>
          <cell r="F5633" t="str">
            <v>Primary</v>
          </cell>
        </row>
        <row r="5634">
          <cell r="A5634">
            <v>8852015</v>
          </cell>
          <cell r="B5634">
            <v>116658</v>
          </cell>
          <cell r="C5634" t="str">
            <v>Catshill First School</v>
          </cell>
          <cell r="D5634" t="str">
            <v>Worcestershire</v>
          </cell>
          <cell r="E5634" t="str">
            <v>Community School</v>
          </cell>
          <cell r="F5634" t="str">
            <v>Primary</v>
          </cell>
        </row>
        <row r="5635">
          <cell r="A5635">
            <v>8854402</v>
          </cell>
          <cell r="B5635">
            <v>116958</v>
          </cell>
          <cell r="C5635" t="str">
            <v>Catshill Middle School</v>
          </cell>
          <cell r="D5635" t="str">
            <v>Worcestershire</v>
          </cell>
          <cell r="E5635" t="str">
            <v>Community School</v>
          </cell>
          <cell r="F5635" t="str">
            <v>Middle Deemed Secondary</v>
          </cell>
        </row>
        <row r="5636">
          <cell r="A5636">
            <v>8152212</v>
          </cell>
          <cell r="B5636">
            <v>121350</v>
          </cell>
          <cell r="C5636" t="str">
            <v>Catterick Garrison, Carnagill Community Primary School</v>
          </cell>
          <cell r="D5636" t="str">
            <v>North Yorkshire</v>
          </cell>
          <cell r="E5636" t="str">
            <v>Community School</v>
          </cell>
          <cell r="F5636" t="str">
            <v>Primary</v>
          </cell>
        </row>
        <row r="5637">
          <cell r="A5637">
            <v>8152173</v>
          </cell>
          <cell r="B5637">
            <v>121338</v>
          </cell>
          <cell r="C5637" t="str">
            <v>Catterick Garrison, Le Cateau Community Primary School</v>
          </cell>
          <cell r="D5637" t="str">
            <v>North Yorkshire</v>
          </cell>
          <cell r="E5637" t="str">
            <v>Community School</v>
          </cell>
          <cell r="F5637" t="str">
            <v>Primary</v>
          </cell>
        </row>
        <row r="5638">
          <cell r="A5638">
            <v>8152189</v>
          </cell>
          <cell r="B5638">
            <v>121344</v>
          </cell>
          <cell r="C5638" t="str">
            <v>Catterick Garrison, Wavell Community Infant School</v>
          </cell>
          <cell r="D5638" t="str">
            <v>North Yorkshire</v>
          </cell>
          <cell r="E5638" t="str">
            <v>Community School</v>
          </cell>
          <cell r="F5638" t="str">
            <v>Primary</v>
          </cell>
        </row>
        <row r="5639">
          <cell r="A5639">
            <v>9262297</v>
          </cell>
          <cell r="B5639">
            <v>120934</v>
          </cell>
          <cell r="C5639" t="str">
            <v>Catton Grove First and Nursery School, Norwich</v>
          </cell>
          <cell r="D5639" t="str">
            <v>Norfolk</v>
          </cell>
          <cell r="E5639" t="str">
            <v>Community School</v>
          </cell>
          <cell r="F5639" t="str">
            <v>Primary</v>
          </cell>
        </row>
        <row r="5640">
          <cell r="A5640">
            <v>9262296</v>
          </cell>
          <cell r="B5640">
            <v>120933</v>
          </cell>
          <cell r="C5640" t="str">
            <v>Catton Grove Middle School</v>
          </cell>
          <cell r="D5640" t="str">
            <v>Norfolk</v>
          </cell>
          <cell r="E5640" t="str">
            <v>Community School</v>
          </cell>
          <cell r="F5640" t="str">
            <v>Middle Deemed Primary</v>
          </cell>
        </row>
        <row r="5641">
          <cell r="A5641">
            <v>9263425</v>
          </cell>
          <cell r="B5641">
            <v>134960</v>
          </cell>
          <cell r="C5641" t="str">
            <v>Catton Grove Primary School</v>
          </cell>
          <cell r="D5641" t="str">
            <v>Norfolk</v>
          </cell>
          <cell r="E5641" t="str">
            <v>Community School</v>
          </cell>
          <cell r="F5641" t="str">
            <v>Primary</v>
          </cell>
        </row>
        <row r="5642">
          <cell r="A5642">
            <v>6712150</v>
          </cell>
          <cell r="B5642">
            <v>400981</v>
          </cell>
          <cell r="C5642" t="str">
            <v>Catwg Primary School</v>
          </cell>
          <cell r="D5642" t="str">
            <v>Neath Port Talbot</v>
          </cell>
          <cell r="E5642" t="str">
            <v>Welsh Establishment</v>
          </cell>
          <cell r="F5642" t="str">
            <v>Primary</v>
          </cell>
        </row>
        <row r="5643">
          <cell r="A5643">
            <v>8612042</v>
          </cell>
          <cell r="B5643">
            <v>123992</v>
          </cell>
          <cell r="C5643" t="str">
            <v>Cauldon Primary School</v>
          </cell>
          <cell r="D5643" t="str">
            <v>Stoke-on-Trent</v>
          </cell>
          <cell r="E5643" t="str">
            <v>Community School</v>
          </cell>
          <cell r="F5643" t="str">
            <v>Primary</v>
          </cell>
        </row>
        <row r="5644">
          <cell r="A5644">
            <v>8222294</v>
          </cell>
          <cell r="B5644">
            <v>130326</v>
          </cell>
          <cell r="C5644" t="str">
            <v>Cauldwell Lower School</v>
          </cell>
          <cell r="D5644" t="str">
            <v>Bedford</v>
          </cell>
          <cell r="E5644" t="str">
            <v>Community School</v>
          </cell>
          <cell r="F5644" t="str">
            <v>Primary</v>
          </cell>
        </row>
        <row r="5645">
          <cell r="A5645">
            <v>8913076</v>
          </cell>
          <cell r="B5645">
            <v>122753</v>
          </cell>
          <cell r="C5645" t="str">
            <v>Caunton Dean Hole CofE Primary School</v>
          </cell>
          <cell r="D5645" t="str">
            <v>Nottinghamshire</v>
          </cell>
          <cell r="E5645" t="str">
            <v>Voluntary Controlled School</v>
          </cell>
          <cell r="F5645" t="str">
            <v>Primary</v>
          </cell>
        </row>
        <row r="5646">
          <cell r="A5646">
            <v>3332116</v>
          </cell>
          <cell r="B5646">
            <v>127158</v>
          </cell>
          <cell r="C5646" t="str">
            <v>Causeway Green Infant School</v>
          </cell>
          <cell r="D5646" t="str">
            <v>Sandwell</v>
          </cell>
          <cell r="E5646" t="str">
            <v>Community School</v>
          </cell>
          <cell r="F5646" t="str">
            <v>Primary</v>
          </cell>
        </row>
        <row r="5647">
          <cell r="A5647">
            <v>3332115</v>
          </cell>
          <cell r="B5647">
            <v>127157</v>
          </cell>
          <cell r="C5647" t="str">
            <v>Causeway Green Junior School</v>
          </cell>
          <cell r="D5647" t="str">
            <v>Sandwell</v>
          </cell>
          <cell r="E5647" t="str">
            <v>Community School</v>
          </cell>
          <cell r="F5647" t="str">
            <v>Primary</v>
          </cell>
        </row>
        <row r="5648">
          <cell r="A5648">
            <v>3332178</v>
          </cell>
          <cell r="B5648">
            <v>103983</v>
          </cell>
          <cell r="C5648" t="str">
            <v>Causeway Green Primary School</v>
          </cell>
          <cell r="D5648" t="str">
            <v>Sandwell</v>
          </cell>
          <cell r="E5648" t="str">
            <v>Community School</v>
          </cell>
          <cell r="F5648" t="str">
            <v>Primary</v>
          </cell>
        </row>
        <row r="5649">
          <cell r="A5649">
            <v>9352074</v>
          </cell>
          <cell r="B5649">
            <v>124580</v>
          </cell>
          <cell r="C5649" t="str">
            <v>Causton Junior School</v>
          </cell>
          <cell r="D5649" t="str">
            <v>Suffolk</v>
          </cell>
          <cell r="E5649" t="str">
            <v>Community School</v>
          </cell>
          <cell r="F5649" t="str">
            <v>Primary</v>
          </cell>
        </row>
        <row r="5650">
          <cell r="A5650">
            <v>8732206</v>
          </cell>
          <cell r="B5650">
            <v>110674</v>
          </cell>
          <cell r="C5650" t="str">
            <v>Cavalry Primary School</v>
          </cell>
          <cell r="D5650" t="str">
            <v>Cambridgeshire</v>
          </cell>
          <cell r="E5650" t="str">
            <v>Community School</v>
          </cell>
          <cell r="F5650" t="str">
            <v>Primary</v>
          </cell>
        </row>
        <row r="5651">
          <cell r="A5651">
            <v>9262298</v>
          </cell>
          <cell r="B5651">
            <v>120935</v>
          </cell>
          <cell r="C5651" t="str">
            <v>Cavell Primary and Nursery School</v>
          </cell>
          <cell r="D5651" t="str">
            <v>Norfolk</v>
          </cell>
          <cell r="E5651" t="str">
            <v>Community School</v>
          </cell>
          <cell r="F5651" t="str">
            <v>Primary</v>
          </cell>
        </row>
        <row r="5652">
          <cell r="A5652">
            <v>9353010</v>
          </cell>
          <cell r="B5652">
            <v>124693</v>
          </cell>
          <cell r="C5652" t="str">
            <v>Cavendish Church of England Primary School</v>
          </cell>
          <cell r="D5652" t="str">
            <v>Suffolk</v>
          </cell>
          <cell r="E5652" t="str">
            <v>Voluntary Controlled School</v>
          </cell>
          <cell r="F5652" t="str">
            <v>Primary</v>
          </cell>
        </row>
        <row r="5653">
          <cell r="A5653">
            <v>8312449</v>
          </cell>
          <cell r="B5653">
            <v>112749</v>
          </cell>
          <cell r="C5653" t="str">
            <v>Cavendish Close Infant School</v>
          </cell>
          <cell r="D5653" t="str">
            <v>Derby</v>
          </cell>
          <cell r="E5653" t="str">
            <v>Community School</v>
          </cell>
          <cell r="F5653" t="str">
            <v>Primary</v>
          </cell>
        </row>
        <row r="5654">
          <cell r="A5654">
            <v>8312448</v>
          </cell>
          <cell r="B5654">
            <v>112748</v>
          </cell>
          <cell r="C5654" t="str">
            <v>Cavendish Close Junior School</v>
          </cell>
          <cell r="D5654" t="str">
            <v>Derby</v>
          </cell>
          <cell r="E5654" t="str">
            <v>Community School</v>
          </cell>
          <cell r="F5654" t="str">
            <v>Primary</v>
          </cell>
        </row>
        <row r="5655">
          <cell r="A5655">
            <v>9292382</v>
          </cell>
          <cell r="B5655">
            <v>122250</v>
          </cell>
          <cell r="C5655" t="str">
            <v>Cavendish County First School</v>
          </cell>
          <cell r="D5655" t="str">
            <v>Northumberland</v>
          </cell>
          <cell r="E5655" t="str">
            <v>Community School</v>
          </cell>
          <cell r="F5655" t="str">
            <v>Primary</v>
          </cell>
        </row>
        <row r="5656">
          <cell r="A5656">
            <v>8767003</v>
          </cell>
          <cell r="B5656">
            <v>111497</v>
          </cell>
          <cell r="C5656" t="str">
            <v>Cavendish High School</v>
          </cell>
          <cell r="D5656" t="str">
            <v>Halton</v>
          </cell>
          <cell r="E5656" t="str">
            <v>Community Special School</v>
          </cell>
          <cell r="F5656" t="str">
            <v>Special</v>
          </cell>
        </row>
        <row r="5657">
          <cell r="A5657">
            <v>8302283</v>
          </cell>
          <cell r="B5657">
            <v>112659</v>
          </cell>
          <cell r="C5657" t="str">
            <v>Cavendish Junior School</v>
          </cell>
          <cell r="D5657" t="str">
            <v>Derbyshire</v>
          </cell>
          <cell r="E5657" t="str">
            <v>Community School</v>
          </cell>
          <cell r="F5657" t="str">
            <v>Primary</v>
          </cell>
        </row>
        <row r="5658">
          <cell r="A5658">
            <v>3132007</v>
          </cell>
          <cell r="B5658">
            <v>102472</v>
          </cell>
          <cell r="C5658" t="str">
            <v>Cavendish Primary School</v>
          </cell>
          <cell r="D5658" t="str">
            <v>Hounslow</v>
          </cell>
          <cell r="E5658" t="str">
            <v>Community School</v>
          </cell>
          <cell r="F5658" t="str">
            <v>Primary</v>
          </cell>
        </row>
        <row r="5659">
          <cell r="A5659">
            <v>3522057</v>
          </cell>
          <cell r="B5659">
            <v>105403</v>
          </cell>
          <cell r="C5659" t="str">
            <v>Cavendish Primary School</v>
          </cell>
          <cell r="D5659" t="str">
            <v>Manchester</v>
          </cell>
          <cell r="E5659" t="str">
            <v>Community School</v>
          </cell>
          <cell r="F5659" t="str">
            <v>Primary</v>
          </cell>
        </row>
        <row r="5660">
          <cell r="A5660">
            <v>3802094</v>
          </cell>
          <cell r="B5660">
            <v>107243</v>
          </cell>
          <cell r="C5660" t="str">
            <v>Cavendish Primary School</v>
          </cell>
          <cell r="D5660" t="str">
            <v>Bradford</v>
          </cell>
          <cell r="E5660" t="str">
            <v>Community School</v>
          </cell>
          <cell r="F5660" t="str">
            <v>Primary</v>
          </cell>
        </row>
        <row r="5661">
          <cell r="A5661">
            <v>8102080</v>
          </cell>
          <cell r="B5661">
            <v>117719</v>
          </cell>
          <cell r="C5661" t="str">
            <v>Cavendish Primary School</v>
          </cell>
          <cell r="D5661" t="str">
            <v>Kingston upon Hull City of</v>
          </cell>
          <cell r="E5661" t="str">
            <v>Community School</v>
          </cell>
          <cell r="F5661" t="str">
            <v>Primary</v>
          </cell>
        </row>
        <row r="5662">
          <cell r="A5662">
            <v>3077009</v>
          </cell>
          <cell r="B5662">
            <v>101967</v>
          </cell>
          <cell r="C5662" t="str">
            <v>Cavendish School</v>
          </cell>
          <cell r="D5662" t="str">
            <v>Ealing</v>
          </cell>
          <cell r="E5662" t="str">
            <v>Community Special School</v>
          </cell>
          <cell r="F5662" t="str">
            <v>Special</v>
          </cell>
        </row>
        <row r="5663">
          <cell r="A5663">
            <v>2106391</v>
          </cell>
          <cell r="B5663">
            <v>131237</v>
          </cell>
          <cell r="C5663" t="str">
            <v>Cavendish School</v>
          </cell>
          <cell r="D5663" t="str">
            <v>Southwark</v>
          </cell>
          <cell r="E5663" t="str">
            <v>Other Independent Special School</v>
          </cell>
          <cell r="F5663" t="str">
            <v>Not applicable</v>
          </cell>
        </row>
        <row r="5664">
          <cell r="A5664">
            <v>8701003</v>
          </cell>
          <cell r="B5664">
            <v>109750</v>
          </cell>
          <cell r="C5664" t="str">
            <v>Caversham Nursery School</v>
          </cell>
          <cell r="D5664" t="str">
            <v>Reading</v>
          </cell>
          <cell r="E5664" t="str">
            <v>LA Nursery School</v>
          </cell>
          <cell r="F5664" t="str">
            <v>Nursery</v>
          </cell>
        </row>
        <row r="5665">
          <cell r="A5665">
            <v>8702233</v>
          </cell>
          <cell r="B5665">
            <v>109925</v>
          </cell>
          <cell r="C5665" t="str">
            <v>Caversham Park Primary School</v>
          </cell>
          <cell r="D5665" t="str">
            <v>Reading</v>
          </cell>
          <cell r="E5665" t="str">
            <v>Community School</v>
          </cell>
          <cell r="F5665" t="str">
            <v>Primary</v>
          </cell>
        </row>
        <row r="5666">
          <cell r="A5666">
            <v>8706009</v>
          </cell>
          <cell r="B5666">
            <v>110177</v>
          </cell>
          <cell r="C5666" t="str">
            <v>Caversham Preparatory School</v>
          </cell>
          <cell r="D5666" t="str">
            <v>Reading</v>
          </cell>
          <cell r="E5666" t="str">
            <v>Other Independent School</v>
          </cell>
          <cell r="F5666" t="str">
            <v>Not applicable</v>
          </cell>
        </row>
        <row r="5667">
          <cell r="A5667">
            <v>8702003</v>
          </cell>
          <cell r="B5667">
            <v>109778</v>
          </cell>
          <cell r="C5667" t="str">
            <v>Caversham Primary School</v>
          </cell>
          <cell r="D5667" t="str">
            <v>Reading</v>
          </cell>
          <cell r="E5667" t="str">
            <v>Community School</v>
          </cell>
          <cell r="F5667" t="str">
            <v>Primary</v>
          </cell>
        </row>
        <row r="5668">
          <cell r="A5668">
            <v>8741008</v>
          </cell>
          <cell r="B5668">
            <v>110599</v>
          </cell>
          <cell r="C5668" t="str">
            <v>Caverstede Early Years Centre</v>
          </cell>
          <cell r="D5668" t="str">
            <v>Peterborough</v>
          </cell>
          <cell r="E5668" t="str">
            <v>LA Nursery School</v>
          </cell>
          <cell r="F5668" t="str">
            <v>Nursery</v>
          </cell>
        </row>
        <row r="5669">
          <cell r="A5669">
            <v>3822154</v>
          </cell>
          <cell r="B5669">
            <v>130351</v>
          </cell>
          <cell r="C5669" t="str">
            <v>Cawley Lane Junior Infant and Nursery School</v>
          </cell>
          <cell r="D5669" t="str">
            <v>Kirklees</v>
          </cell>
          <cell r="E5669" t="str">
            <v>Community School</v>
          </cell>
          <cell r="F5669" t="str">
            <v>Primary</v>
          </cell>
        </row>
        <row r="5670">
          <cell r="A5670">
            <v>8153355</v>
          </cell>
          <cell r="B5670">
            <v>121625</v>
          </cell>
          <cell r="C5670" t="str">
            <v>Cawood Church of England Voluntary Aided Primary School</v>
          </cell>
          <cell r="D5670" t="str">
            <v>North Yorkshire</v>
          </cell>
          <cell r="E5670" t="str">
            <v>Voluntary Aided School</v>
          </cell>
          <cell r="F5670" t="str">
            <v>Primary</v>
          </cell>
        </row>
        <row r="5671">
          <cell r="A5671">
            <v>9266101</v>
          </cell>
          <cell r="B5671">
            <v>121235</v>
          </cell>
          <cell r="C5671" t="str">
            <v>Cawston College</v>
          </cell>
          <cell r="D5671" t="str">
            <v>Norfolk</v>
          </cell>
          <cell r="E5671" t="str">
            <v>Other Independent School</v>
          </cell>
          <cell r="F5671" t="str">
            <v>Not applicable</v>
          </cell>
        </row>
        <row r="5672">
          <cell r="A5672">
            <v>9373594</v>
          </cell>
          <cell r="B5672">
            <v>133986</v>
          </cell>
          <cell r="C5672" t="str">
            <v>Cawston Grange Primary School</v>
          </cell>
          <cell r="D5672" t="str">
            <v>Warwickshire</v>
          </cell>
          <cell r="E5672" t="str">
            <v>Community School</v>
          </cell>
          <cell r="F5672" t="str">
            <v>Primary</v>
          </cell>
        </row>
        <row r="5673">
          <cell r="A5673">
            <v>9263016</v>
          </cell>
          <cell r="B5673">
            <v>121031</v>
          </cell>
          <cell r="C5673" t="str">
            <v>Cawston Voluntary Controlled Primary School</v>
          </cell>
          <cell r="D5673" t="str">
            <v>Norfolk</v>
          </cell>
          <cell r="E5673" t="str">
            <v>Voluntary Controlled School</v>
          </cell>
          <cell r="F5673" t="str">
            <v>Primary</v>
          </cell>
        </row>
        <row r="5674">
          <cell r="A5674">
            <v>3703007</v>
          </cell>
          <cell r="B5674">
            <v>106627</v>
          </cell>
          <cell r="C5674" t="str">
            <v>Cawthorne Church of England Voluntary Controlled Primary School</v>
          </cell>
          <cell r="D5674" t="str">
            <v>Barnsley</v>
          </cell>
          <cell r="E5674" t="str">
            <v>Voluntary Controlled School</v>
          </cell>
          <cell r="F5674" t="str">
            <v>Primary</v>
          </cell>
        </row>
        <row r="5675">
          <cell r="A5675">
            <v>8883539</v>
          </cell>
          <cell r="B5675">
            <v>119540</v>
          </cell>
          <cell r="C5675" t="str">
            <v>Cawthorne's Endowed School</v>
          </cell>
          <cell r="D5675" t="str">
            <v>Lancashire</v>
          </cell>
          <cell r="E5675" t="str">
            <v>Voluntary Aided School</v>
          </cell>
          <cell r="F5675" t="str">
            <v>Primary</v>
          </cell>
        </row>
        <row r="5676">
          <cell r="A5676">
            <v>2112097</v>
          </cell>
          <cell r="B5676">
            <v>100894</v>
          </cell>
          <cell r="C5676" t="str">
            <v>Cayley Primary School</v>
          </cell>
          <cell r="D5676" t="str">
            <v>Tower Hamlets</v>
          </cell>
          <cell r="E5676" t="str">
            <v>Community School</v>
          </cell>
          <cell r="F5676" t="str">
            <v>Primary</v>
          </cell>
        </row>
        <row r="5677">
          <cell r="A5677">
            <v>8933310</v>
          </cell>
          <cell r="B5677">
            <v>123538</v>
          </cell>
          <cell r="C5677" t="str">
            <v>Caynham CofE Primary School</v>
          </cell>
          <cell r="D5677" t="str">
            <v>Shropshire</v>
          </cell>
          <cell r="E5677" t="str">
            <v>Voluntary Aided School</v>
          </cell>
          <cell r="F5677" t="str">
            <v>Primary</v>
          </cell>
        </row>
        <row r="5678">
          <cell r="A5678">
            <v>8152224</v>
          </cell>
          <cell r="B5678">
            <v>121358</v>
          </cell>
          <cell r="C5678" t="str">
            <v>Cayton Community Primary School</v>
          </cell>
          <cell r="D5678" t="str">
            <v>North Yorkshire</v>
          </cell>
          <cell r="E5678" t="str">
            <v>Community School</v>
          </cell>
          <cell r="F5678" t="str">
            <v>Primary</v>
          </cell>
        </row>
        <row r="5679">
          <cell r="A5679">
            <v>9166085</v>
          </cell>
          <cell r="B5679">
            <v>135986</v>
          </cell>
          <cell r="C5679" t="str">
            <v>CCP Education Centre</v>
          </cell>
          <cell r="D5679" t="str">
            <v>Gloucestershire</v>
          </cell>
          <cell r="E5679" t="str">
            <v>Other Independent Special School</v>
          </cell>
          <cell r="F5679" t="str">
            <v>Not applicable</v>
          </cell>
        </row>
        <row r="5680">
          <cell r="A5680">
            <v>9262251</v>
          </cell>
          <cell r="B5680">
            <v>120904</v>
          </cell>
          <cell r="C5680" t="str">
            <v>Cecil Gowing Infant School</v>
          </cell>
          <cell r="D5680" t="str">
            <v>Norfolk</v>
          </cell>
          <cell r="E5680" t="str">
            <v>Community School</v>
          </cell>
          <cell r="F5680" t="str">
            <v>Primary</v>
          </cell>
        </row>
        <row r="5681">
          <cell r="A5681">
            <v>8825452</v>
          </cell>
          <cell r="B5681">
            <v>115368</v>
          </cell>
          <cell r="C5681" t="str">
            <v>Cecil Jones College</v>
          </cell>
          <cell r="D5681" t="str">
            <v>Southend-on-Sea</v>
          </cell>
          <cell r="E5681" t="str">
            <v>Foundation School</v>
          </cell>
          <cell r="F5681" t="str">
            <v>Secondary</v>
          </cell>
        </row>
        <row r="5682">
          <cell r="A5682">
            <v>9222096</v>
          </cell>
          <cell r="B5682">
            <v>129347</v>
          </cell>
          <cell r="C5682" t="str">
            <v>Cecil Road Infant School</v>
          </cell>
          <cell r="D5682" t="str">
            <v>Pre LGR (1998) Kent</v>
          </cell>
          <cell r="E5682" t="str">
            <v>Community School</v>
          </cell>
          <cell r="F5682" t="str">
            <v>Primary</v>
          </cell>
        </row>
        <row r="5683">
          <cell r="A5683">
            <v>8862095</v>
          </cell>
          <cell r="B5683">
            <v>118258</v>
          </cell>
          <cell r="C5683" t="str">
            <v>Cecil Road Primary and Nursery School</v>
          </cell>
          <cell r="D5683" t="str">
            <v>Kent</v>
          </cell>
          <cell r="E5683" t="str">
            <v>Community School</v>
          </cell>
          <cell r="F5683" t="str">
            <v>Primary</v>
          </cell>
        </row>
        <row r="5684">
          <cell r="A5684">
            <v>8311100</v>
          </cell>
          <cell r="B5684">
            <v>112486</v>
          </cell>
          <cell r="C5684" t="str">
            <v>Cedar Grove</v>
          </cell>
          <cell r="D5684" t="str">
            <v>Derby</v>
          </cell>
          <cell r="E5684" t="str">
            <v>Pupil Referral Unit</v>
          </cell>
          <cell r="F5684" t="str">
            <v>PRU</v>
          </cell>
        </row>
        <row r="5685">
          <cell r="A5685">
            <v>8817036</v>
          </cell>
          <cell r="B5685">
            <v>115457</v>
          </cell>
          <cell r="C5685" t="str">
            <v>Cedar Hall School</v>
          </cell>
          <cell r="D5685" t="str">
            <v>Essex</v>
          </cell>
          <cell r="E5685" t="str">
            <v>Foundation Special School</v>
          </cell>
          <cell r="F5685" t="str">
            <v>Special</v>
          </cell>
        </row>
        <row r="5686">
          <cell r="A5686">
            <v>9096037</v>
          </cell>
          <cell r="B5686">
            <v>112456</v>
          </cell>
          <cell r="C5686" t="str">
            <v>Cedar House School</v>
          </cell>
          <cell r="D5686" t="str">
            <v>Cumbria</v>
          </cell>
          <cell r="E5686" t="str">
            <v>Other Independent Special School</v>
          </cell>
          <cell r="F5686" t="str">
            <v>Not applicable</v>
          </cell>
        </row>
        <row r="5687">
          <cell r="A5687">
            <v>8616002</v>
          </cell>
          <cell r="B5687">
            <v>135917</v>
          </cell>
          <cell r="C5687" t="str">
            <v>Cedar Independent School</v>
          </cell>
          <cell r="D5687" t="str">
            <v>Stoke-on-Trent</v>
          </cell>
          <cell r="E5687" t="str">
            <v>Other Independent Special School</v>
          </cell>
          <cell r="F5687" t="str">
            <v>Not applicable</v>
          </cell>
        </row>
        <row r="5688">
          <cell r="A5688">
            <v>3524293</v>
          </cell>
          <cell r="B5688">
            <v>132085</v>
          </cell>
          <cell r="C5688" t="str">
            <v>Cedar Mount High School</v>
          </cell>
          <cell r="D5688" t="str">
            <v>Manchester</v>
          </cell>
          <cell r="E5688" t="str">
            <v>Community School</v>
          </cell>
          <cell r="F5688" t="str">
            <v>Secondary</v>
          </cell>
        </row>
        <row r="5689">
          <cell r="A5689">
            <v>8726011</v>
          </cell>
          <cell r="B5689">
            <v>110171</v>
          </cell>
          <cell r="C5689" t="str">
            <v>Cedar Park School</v>
          </cell>
          <cell r="D5689" t="str">
            <v>Wokingham</v>
          </cell>
          <cell r="E5689" t="str">
            <v>Other Independent School</v>
          </cell>
          <cell r="F5689" t="str">
            <v>Not applicable</v>
          </cell>
        </row>
        <row r="5690">
          <cell r="A5690">
            <v>8252005</v>
          </cell>
          <cell r="B5690">
            <v>131907</v>
          </cell>
          <cell r="C5690" t="str">
            <v>Cedar Park School</v>
          </cell>
          <cell r="D5690" t="str">
            <v>Buckinghamshire</v>
          </cell>
          <cell r="E5690" t="str">
            <v>Community School</v>
          </cell>
          <cell r="F5690" t="str">
            <v>Primary</v>
          </cell>
        </row>
        <row r="5691">
          <cell r="A5691">
            <v>9282158</v>
          </cell>
          <cell r="B5691">
            <v>121911</v>
          </cell>
          <cell r="C5691" t="str">
            <v>Cedar Road Primary School</v>
          </cell>
          <cell r="D5691" t="str">
            <v>Northamptonshire</v>
          </cell>
          <cell r="E5691" t="str">
            <v>Community School</v>
          </cell>
          <cell r="F5691" t="str">
            <v>Primary</v>
          </cell>
        </row>
        <row r="5692">
          <cell r="A5692">
            <v>9336142</v>
          </cell>
          <cell r="B5692">
            <v>123924</v>
          </cell>
          <cell r="C5692" t="str">
            <v>Cedar School</v>
          </cell>
          <cell r="D5692" t="str">
            <v>Somerset</v>
          </cell>
          <cell r="E5692" t="str">
            <v>Other Independent School</v>
          </cell>
          <cell r="F5692" t="str">
            <v>Not applicable</v>
          </cell>
        </row>
        <row r="5693">
          <cell r="A5693">
            <v>9336198</v>
          </cell>
          <cell r="B5693">
            <v>131803</v>
          </cell>
          <cell r="C5693" t="str">
            <v>Cedar School</v>
          </cell>
          <cell r="D5693" t="str">
            <v>Somerset</v>
          </cell>
          <cell r="E5693" t="str">
            <v>Other Independent Special School</v>
          </cell>
          <cell r="F5693" t="str">
            <v>Not applicable</v>
          </cell>
        </row>
        <row r="5694">
          <cell r="A5694">
            <v>3717005</v>
          </cell>
          <cell r="B5694">
            <v>106821</v>
          </cell>
          <cell r="C5694" t="str">
            <v>Cedar Special School</v>
          </cell>
          <cell r="D5694" t="str">
            <v>Doncaster</v>
          </cell>
          <cell r="E5694" t="str">
            <v>Community Special School</v>
          </cell>
          <cell r="F5694" t="str">
            <v>Special</v>
          </cell>
        </row>
        <row r="5695">
          <cell r="A5695">
            <v>8601106</v>
          </cell>
          <cell r="B5695">
            <v>131652</v>
          </cell>
          <cell r="C5695" t="str">
            <v>Cedars - Newcastle, Moorlands and Darwin Bases</v>
          </cell>
          <cell r="D5695" t="str">
            <v>Staffordshire</v>
          </cell>
          <cell r="E5695" t="str">
            <v>Pupil Referral Unit</v>
          </cell>
          <cell r="F5695" t="str">
            <v>PRU</v>
          </cell>
        </row>
        <row r="5696">
          <cell r="A5696">
            <v>9042079</v>
          </cell>
          <cell r="B5696">
            <v>128321</v>
          </cell>
          <cell r="C5696" t="str">
            <v>Cedars County Middle School</v>
          </cell>
          <cell r="D5696" t="str">
            <v>Pre LGR (1997) Buckinghamshire</v>
          </cell>
          <cell r="E5696" t="str">
            <v>Community School</v>
          </cell>
          <cell r="F5696" t="str">
            <v>Middle Deemed Primary</v>
          </cell>
        </row>
        <row r="5697">
          <cell r="A5697">
            <v>3102074</v>
          </cell>
          <cell r="B5697">
            <v>102205</v>
          </cell>
          <cell r="C5697" t="str">
            <v>Cedars First School</v>
          </cell>
          <cell r="D5697" t="str">
            <v>Harrow</v>
          </cell>
          <cell r="E5697" t="str">
            <v>Community School</v>
          </cell>
          <cell r="F5697" t="str">
            <v>Primary</v>
          </cell>
        </row>
        <row r="5698">
          <cell r="A5698">
            <v>9372580</v>
          </cell>
          <cell r="B5698">
            <v>125590</v>
          </cell>
          <cell r="C5698" t="str">
            <v>Cedars First School</v>
          </cell>
          <cell r="D5698" t="str">
            <v>Warwickshire</v>
          </cell>
          <cell r="E5698" t="str">
            <v>Community School</v>
          </cell>
          <cell r="F5698" t="str">
            <v>Primary</v>
          </cell>
        </row>
        <row r="5699">
          <cell r="A5699">
            <v>8892169</v>
          </cell>
          <cell r="B5699">
            <v>119222</v>
          </cell>
          <cell r="C5699" t="str">
            <v>Cedars Infant School</v>
          </cell>
          <cell r="D5699" t="str">
            <v>Blackburn with Darwen</v>
          </cell>
          <cell r="E5699" t="str">
            <v>Community School</v>
          </cell>
          <cell r="F5699" t="str">
            <v>Primary</v>
          </cell>
        </row>
        <row r="5700">
          <cell r="A5700">
            <v>3103514</v>
          </cell>
          <cell r="B5700">
            <v>135211</v>
          </cell>
          <cell r="C5700" t="str">
            <v>Cedars Manor School</v>
          </cell>
          <cell r="D5700" t="str">
            <v>Harrow</v>
          </cell>
          <cell r="E5700" t="str">
            <v>Community School</v>
          </cell>
          <cell r="F5700" t="str">
            <v>Primary</v>
          </cell>
        </row>
        <row r="5701">
          <cell r="A5701">
            <v>3102057</v>
          </cell>
          <cell r="B5701">
            <v>102191</v>
          </cell>
          <cell r="C5701" t="str">
            <v>Cedars Middle School</v>
          </cell>
          <cell r="D5701" t="str">
            <v>Harrow</v>
          </cell>
          <cell r="E5701" t="str">
            <v>Community School</v>
          </cell>
          <cell r="F5701" t="str">
            <v>Middle Deemed Primary</v>
          </cell>
        </row>
        <row r="5702">
          <cell r="A5702">
            <v>9353345</v>
          </cell>
          <cell r="B5702">
            <v>134787</v>
          </cell>
          <cell r="C5702" t="str">
            <v>Cedars Park Community Primary School</v>
          </cell>
          <cell r="D5702" t="str">
            <v>Suffolk</v>
          </cell>
          <cell r="E5702" t="str">
            <v>Community School</v>
          </cell>
          <cell r="F5702" t="str">
            <v>Primary</v>
          </cell>
        </row>
        <row r="5703">
          <cell r="A5703">
            <v>8262346</v>
          </cell>
          <cell r="B5703">
            <v>110399</v>
          </cell>
          <cell r="C5703" t="str">
            <v>Cedars Primary School</v>
          </cell>
          <cell r="D5703" t="str">
            <v>Milton Keynes</v>
          </cell>
          <cell r="E5703" t="str">
            <v>Community School</v>
          </cell>
          <cell r="F5703" t="str">
            <v>Primary</v>
          </cell>
        </row>
        <row r="5704">
          <cell r="A5704">
            <v>8234011</v>
          </cell>
          <cell r="B5704">
            <v>109650</v>
          </cell>
          <cell r="C5704" t="str">
            <v>Cedars Upper School</v>
          </cell>
          <cell r="D5704" t="str">
            <v>Central Bedfordshire</v>
          </cell>
          <cell r="E5704" t="str">
            <v>Community School</v>
          </cell>
          <cell r="F5704" t="str">
            <v>Secondary</v>
          </cell>
        </row>
        <row r="5705">
          <cell r="A5705">
            <v>8234011</v>
          </cell>
          <cell r="B5705">
            <v>137462</v>
          </cell>
          <cell r="C5705" t="str">
            <v>Cedars Upper School</v>
          </cell>
          <cell r="D5705" t="str">
            <v>Central Bedfordshire</v>
          </cell>
          <cell r="E5705" t="str">
            <v>Academy Converters</v>
          </cell>
          <cell r="F5705" t="str">
            <v>Secondary</v>
          </cell>
        </row>
        <row r="5706">
          <cell r="A5706">
            <v>9116126</v>
          </cell>
          <cell r="B5706">
            <v>113613</v>
          </cell>
          <cell r="C5706" t="str">
            <v>Cedarwood Pre-Preparatory School</v>
          </cell>
          <cell r="D5706" t="str">
            <v>Pre LGR (1998) Devon</v>
          </cell>
          <cell r="E5706" t="str">
            <v>Other Independent School</v>
          </cell>
          <cell r="F5706" t="str">
            <v>Not applicable</v>
          </cell>
        </row>
        <row r="5707">
          <cell r="A5707">
            <v>9352929</v>
          </cell>
          <cell r="B5707">
            <v>131962</v>
          </cell>
          <cell r="C5707" t="str">
            <v>Cedarwood Primary School</v>
          </cell>
          <cell r="D5707" t="str">
            <v>Suffolk</v>
          </cell>
          <cell r="E5707" t="str">
            <v>Community School</v>
          </cell>
          <cell r="F5707" t="str">
            <v>Primary</v>
          </cell>
        </row>
        <row r="5708">
          <cell r="A5708">
            <v>6722103</v>
          </cell>
          <cell r="B5708">
            <v>401031</v>
          </cell>
          <cell r="C5708" t="str">
            <v>Cefn Cribwr Primary School</v>
          </cell>
          <cell r="D5708" t="str">
            <v>Bridgend</v>
          </cell>
          <cell r="E5708" t="str">
            <v>Welsh Establishment</v>
          </cell>
          <cell r="F5708" t="str">
            <v>Primary</v>
          </cell>
        </row>
        <row r="5709">
          <cell r="A5709">
            <v>6762377</v>
          </cell>
          <cell r="B5709">
            <v>401381</v>
          </cell>
          <cell r="C5709" t="str">
            <v>Cefn Fforest Primary School</v>
          </cell>
          <cell r="D5709" t="str">
            <v>Caerphilly</v>
          </cell>
          <cell r="E5709" t="str">
            <v>Welsh Establishment</v>
          </cell>
          <cell r="F5709" t="str">
            <v>Primary</v>
          </cell>
        </row>
        <row r="5710">
          <cell r="A5710">
            <v>6722300</v>
          </cell>
          <cell r="B5710">
            <v>401066</v>
          </cell>
          <cell r="C5710" t="str">
            <v>Cefn Glas Infant School</v>
          </cell>
          <cell r="D5710" t="str">
            <v>Bridgend</v>
          </cell>
          <cell r="E5710" t="str">
            <v>Welsh Establishment</v>
          </cell>
          <cell r="F5710" t="str">
            <v>Primary</v>
          </cell>
        </row>
        <row r="5711">
          <cell r="A5711">
            <v>6704031</v>
          </cell>
          <cell r="B5711">
            <v>401764</v>
          </cell>
          <cell r="C5711" t="str">
            <v>Cefn Hengoed Community School</v>
          </cell>
          <cell r="D5711" t="str">
            <v>Swansea</v>
          </cell>
          <cell r="E5711" t="str">
            <v>Welsh Establishment</v>
          </cell>
          <cell r="F5711" t="str">
            <v>Secondary</v>
          </cell>
        </row>
        <row r="5712">
          <cell r="A5712">
            <v>6652151</v>
          </cell>
          <cell r="B5712">
            <v>400399</v>
          </cell>
          <cell r="C5712" t="str">
            <v>Cefn Mawr Primary School</v>
          </cell>
          <cell r="D5712" t="str">
            <v>Wrexham</v>
          </cell>
          <cell r="E5712" t="str">
            <v>Welsh Establishment</v>
          </cell>
          <cell r="F5712" t="str">
            <v>Primary</v>
          </cell>
        </row>
        <row r="5713">
          <cell r="A5713">
            <v>6812063</v>
          </cell>
          <cell r="B5713">
            <v>401592</v>
          </cell>
          <cell r="C5713" t="str">
            <v>Cefn Onn Primary School</v>
          </cell>
          <cell r="D5713" t="str">
            <v>Cardiff</v>
          </cell>
          <cell r="E5713" t="str">
            <v>Welsh Establishment</v>
          </cell>
          <cell r="F5713" t="str">
            <v>Primary</v>
          </cell>
        </row>
        <row r="5714">
          <cell r="A5714">
            <v>6742247</v>
          </cell>
          <cell r="B5714">
            <v>401232</v>
          </cell>
          <cell r="C5714" t="str">
            <v>Cefn Primary School</v>
          </cell>
          <cell r="D5714" t="str">
            <v>Rhondda, Cynon, Taff</v>
          </cell>
          <cell r="E5714" t="str">
            <v>Welsh Establishment</v>
          </cell>
          <cell r="F5714" t="str">
            <v>Primary</v>
          </cell>
        </row>
        <row r="5715">
          <cell r="A5715">
            <v>6714064</v>
          </cell>
          <cell r="B5715">
            <v>401783</v>
          </cell>
          <cell r="C5715" t="str">
            <v>Cefn Saeson Comprehensive School</v>
          </cell>
          <cell r="D5715" t="str">
            <v>Neath Port Talbot</v>
          </cell>
          <cell r="E5715" t="str">
            <v>Welsh Establishment</v>
          </cell>
          <cell r="F5715" t="str">
            <v>Secondary</v>
          </cell>
        </row>
        <row r="5716">
          <cell r="A5716">
            <v>6692000</v>
          </cell>
          <cell r="B5716">
            <v>400728</v>
          </cell>
          <cell r="C5716" t="str">
            <v>Cefneithin C.P.</v>
          </cell>
          <cell r="D5716" t="str">
            <v>Carmarthenshire</v>
          </cell>
          <cell r="E5716" t="str">
            <v>Welsh Establishment</v>
          </cell>
          <cell r="F5716" t="str">
            <v>Primary</v>
          </cell>
        </row>
        <row r="5717">
          <cell r="A5717">
            <v>6652145</v>
          </cell>
          <cell r="B5717">
            <v>400397</v>
          </cell>
          <cell r="C5717" t="str">
            <v>Ceiriog Junior School</v>
          </cell>
          <cell r="D5717" t="str">
            <v>Wrexham</v>
          </cell>
          <cell r="E5717" t="str">
            <v>Welsh Establishment</v>
          </cell>
          <cell r="F5717" t="str">
            <v>Primary</v>
          </cell>
        </row>
        <row r="5718">
          <cell r="A5718">
            <v>9371104</v>
          </cell>
          <cell r="B5718">
            <v>125496</v>
          </cell>
          <cell r="C5718" t="str">
            <v>Central Area Pupil Referral Unit</v>
          </cell>
          <cell r="D5718" t="str">
            <v>Warwickshire</v>
          </cell>
          <cell r="E5718" t="str">
            <v>Pupil Referral Unit</v>
          </cell>
          <cell r="F5718" t="str">
            <v>PRU</v>
          </cell>
        </row>
        <row r="5719">
          <cell r="A5719">
            <v>8238003</v>
          </cell>
          <cell r="B5719">
            <v>130598</v>
          </cell>
          <cell r="C5719" t="str">
            <v>Central Bedfordshire College</v>
          </cell>
          <cell r="D5719" t="str">
            <v>Central Bedfordshire</v>
          </cell>
          <cell r="E5719" t="str">
            <v>Further Education</v>
          </cell>
          <cell r="F5719" t="str">
            <v>16 Plus</v>
          </cell>
        </row>
        <row r="5720">
          <cell r="A5720">
            <v>8231100</v>
          </cell>
          <cell r="B5720">
            <v>137325</v>
          </cell>
          <cell r="C5720" t="str">
            <v>Central Bedfordshire PRU</v>
          </cell>
          <cell r="D5720" t="str">
            <v>Central Bedfordshire</v>
          </cell>
          <cell r="E5720" t="str">
            <v>Pupil Referral Unit</v>
          </cell>
          <cell r="F5720" t="str">
            <v>PRU</v>
          </cell>
        </row>
        <row r="5721">
          <cell r="A5721">
            <v>9383305</v>
          </cell>
          <cell r="B5721">
            <v>126023</v>
          </cell>
          <cell r="C5721" t="str">
            <v>Central CofE Junior School</v>
          </cell>
          <cell r="D5721" t="str">
            <v>West Sussex</v>
          </cell>
          <cell r="E5721" t="str">
            <v>Voluntary Aided School</v>
          </cell>
          <cell r="F5721" t="str">
            <v>Primary</v>
          </cell>
        </row>
        <row r="5722">
          <cell r="A5722">
            <v>8311006</v>
          </cell>
          <cell r="B5722">
            <v>112472</v>
          </cell>
          <cell r="C5722" t="str">
            <v>Central Community Nursery School</v>
          </cell>
          <cell r="D5722" t="str">
            <v>Derby</v>
          </cell>
          <cell r="E5722" t="str">
            <v>LA Nursery School</v>
          </cell>
          <cell r="F5722" t="str">
            <v>Nursery</v>
          </cell>
        </row>
        <row r="5723">
          <cell r="A5723">
            <v>8811107</v>
          </cell>
          <cell r="B5723">
            <v>133563</v>
          </cell>
          <cell r="C5723" t="str">
            <v>Central Essex Pupil Referral Unit C.O. Alec Hunter High School</v>
          </cell>
          <cell r="D5723" t="str">
            <v>Essex</v>
          </cell>
          <cell r="E5723" t="str">
            <v>Pupil Referral Unit</v>
          </cell>
          <cell r="F5723" t="str">
            <v>PRU</v>
          </cell>
        </row>
        <row r="5724">
          <cell r="A5724">
            <v>2064614</v>
          </cell>
          <cell r="B5724">
            <v>100458</v>
          </cell>
          <cell r="C5724" t="str">
            <v>Central Foundation Boys' School</v>
          </cell>
          <cell r="D5724" t="str">
            <v>Islington</v>
          </cell>
          <cell r="E5724" t="str">
            <v>Voluntary Aided School</v>
          </cell>
          <cell r="F5724" t="str">
            <v>Secondary</v>
          </cell>
        </row>
        <row r="5725">
          <cell r="A5725">
            <v>2114507</v>
          </cell>
          <cell r="B5725">
            <v>100975</v>
          </cell>
          <cell r="C5725" t="str">
            <v>Central Foundation Girls' School</v>
          </cell>
          <cell r="D5725" t="str">
            <v>Tower Hamlets</v>
          </cell>
          <cell r="E5725" t="str">
            <v>Voluntary Aided School</v>
          </cell>
          <cell r="F5725" t="str">
            <v>Secondary</v>
          </cell>
        </row>
        <row r="5726">
          <cell r="A5726">
            <v>8912227</v>
          </cell>
          <cell r="B5726">
            <v>122524</v>
          </cell>
          <cell r="C5726" t="str">
            <v>Central Infant and Nursery School</v>
          </cell>
          <cell r="D5726" t="str">
            <v>Nottinghamshire</v>
          </cell>
          <cell r="E5726" t="str">
            <v>Community School</v>
          </cell>
          <cell r="F5726" t="str">
            <v>Primary</v>
          </cell>
        </row>
        <row r="5727">
          <cell r="A5727">
            <v>6712130</v>
          </cell>
          <cell r="B5727">
            <v>400967</v>
          </cell>
          <cell r="C5727" t="str">
            <v>Central Infant School</v>
          </cell>
          <cell r="D5727" t="str">
            <v>Neath Port Talbot</v>
          </cell>
          <cell r="E5727" t="str">
            <v>Welsh Establishment</v>
          </cell>
          <cell r="F5727" t="str">
            <v>Primary</v>
          </cell>
        </row>
        <row r="5728">
          <cell r="A5728">
            <v>6712127</v>
          </cell>
          <cell r="B5728">
            <v>400964</v>
          </cell>
          <cell r="C5728" t="str">
            <v>Central Junior School</v>
          </cell>
          <cell r="D5728" t="str">
            <v>Neath Port Talbot</v>
          </cell>
          <cell r="E5728" t="str">
            <v>Welsh Establishment</v>
          </cell>
          <cell r="F5728" t="str">
            <v>Primary</v>
          </cell>
        </row>
        <row r="5729">
          <cell r="A5729">
            <v>8884405</v>
          </cell>
          <cell r="B5729">
            <v>119770</v>
          </cell>
          <cell r="C5729" t="str">
            <v>Central Lancaster High School</v>
          </cell>
          <cell r="D5729" t="str">
            <v>Lancashire</v>
          </cell>
          <cell r="E5729" t="str">
            <v>Community School</v>
          </cell>
          <cell r="F5729" t="str">
            <v>Secondary</v>
          </cell>
        </row>
        <row r="5730">
          <cell r="A5730">
            <v>3411101</v>
          </cell>
          <cell r="B5730">
            <v>104509</v>
          </cell>
          <cell r="C5730" t="str">
            <v>Central Liverpool Pupil Referral Unit</v>
          </cell>
          <cell r="D5730" t="str">
            <v>Liverpool</v>
          </cell>
          <cell r="E5730" t="str">
            <v>Pupil Referral Unit</v>
          </cell>
          <cell r="F5730" t="str">
            <v>PRU</v>
          </cell>
        </row>
        <row r="5731">
          <cell r="A5731">
            <v>3924012</v>
          </cell>
          <cell r="B5731">
            <v>108631</v>
          </cell>
          <cell r="C5731" t="str">
            <v>Central Middle School</v>
          </cell>
          <cell r="D5731" t="str">
            <v>North Tyneside</v>
          </cell>
          <cell r="E5731" t="str">
            <v>Community School</v>
          </cell>
          <cell r="F5731" t="str">
            <v>Middle Deemed Secondary</v>
          </cell>
        </row>
        <row r="5732">
          <cell r="A5732">
            <v>3916034</v>
          </cell>
          <cell r="B5732">
            <v>108546</v>
          </cell>
          <cell r="C5732" t="str">
            <v>Central Newcastle High School</v>
          </cell>
          <cell r="D5732" t="str">
            <v>Newcastle upon Tyne</v>
          </cell>
          <cell r="E5732" t="str">
            <v>Other Independent School</v>
          </cell>
          <cell r="F5732" t="str">
            <v>Not applicable</v>
          </cell>
        </row>
        <row r="5733">
          <cell r="A5733">
            <v>3162008</v>
          </cell>
          <cell r="B5733">
            <v>102714</v>
          </cell>
          <cell r="C5733" t="str">
            <v>Central Park Infant School</v>
          </cell>
          <cell r="D5733" t="str">
            <v>Newham</v>
          </cell>
          <cell r="E5733" t="str">
            <v>Community School</v>
          </cell>
          <cell r="F5733" t="str">
            <v>Primary</v>
          </cell>
        </row>
        <row r="5734">
          <cell r="A5734">
            <v>3162007</v>
          </cell>
          <cell r="B5734">
            <v>102713</v>
          </cell>
          <cell r="C5734" t="str">
            <v>Central Park Junior School</v>
          </cell>
          <cell r="D5734" t="str">
            <v>Newham</v>
          </cell>
          <cell r="E5734" t="str">
            <v>Community School</v>
          </cell>
          <cell r="F5734" t="str">
            <v>Primary</v>
          </cell>
        </row>
        <row r="5735">
          <cell r="A5735">
            <v>3162097</v>
          </cell>
          <cell r="B5735">
            <v>130995</v>
          </cell>
          <cell r="C5735" t="str">
            <v>Central Park Primary School</v>
          </cell>
          <cell r="D5735" t="str">
            <v>Newham</v>
          </cell>
          <cell r="E5735" t="str">
            <v>Community School</v>
          </cell>
          <cell r="F5735" t="str">
            <v>Primary</v>
          </cell>
        </row>
        <row r="5736">
          <cell r="A5736">
            <v>8261106</v>
          </cell>
          <cell r="B5736">
            <v>133928</v>
          </cell>
          <cell r="C5736" t="str">
            <v>Central PEC</v>
          </cell>
          <cell r="D5736" t="str">
            <v>Milton Keynes</v>
          </cell>
          <cell r="E5736" t="str">
            <v>Pupil Referral Unit</v>
          </cell>
          <cell r="F5736" t="str">
            <v>PRU</v>
          </cell>
        </row>
        <row r="5737">
          <cell r="A5737">
            <v>9192116</v>
          </cell>
          <cell r="B5737">
            <v>117156</v>
          </cell>
          <cell r="C5737" t="str">
            <v>Central Primary School</v>
          </cell>
          <cell r="D5737" t="str">
            <v>Hertfordshire</v>
          </cell>
          <cell r="E5737" t="str">
            <v>Community School</v>
          </cell>
          <cell r="F5737" t="str">
            <v>Primary</v>
          </cell>
        </row>
        <row r="5738">
          <cell r="A5738">
            <v>202</v>
          </cell>
          <cell r="B5738">
            <v>133862</v>
          </cell>
          <cell r="C5738" t="str">
            <v>Central School of Speech and Drama</v>
          </cell>
          <cell r="D5738" t="str">
            <v>Camden</v>
          </cell>
          <cell r="E5738" t="str">
            <v>Higher Education Institutions</v>
          </cell>
          <cell r="F5738" t="str">
            <v>Not applicable</v>
          </cell>
        </row>
        <row r="5739">
          <cell r="A5739">
            <v>3812054</v>
          </cell>
          <cell r="B5739">
            <v>107507</v>
          </cell>
          <cell r="C5739" t="str">
            <v>Central Street Infant and Nursery School</v>
          </cell>
          <cell r="D5739" t="str">
            <v>Calderdale</v>
          </cell>
          <cell r="E5739" t="str">
            <v>Community School</v>
          </cell>
          <cell r="F5739" t="str">
            <v>Primary</v>
          </cell>
        </row>
        <row r="5740">
          <cell r="A5740">
            <v>9388603</v>
          </cell>
          <cell r="B5740">
            <v>129383</v>
          </cell>
          <cell r="C5740" t="str">
            <v>Central Sussex College</v>
          </cell>
          <cell r="D5740" t="str">
            <v>West Sussex</v>
          </cell>
          <cell r="E5740" t="str">
            <v>Further Education</v>
          </cell>
          <cell r="F5740" t="str">
            <v>16 Plus</v>
          </cell>
        </row>
        <row r="5741">
          <cell r="A5741">
            <v>9388601</v>
          </cell>
          <cell r="B5741">
            <v>130846</v>
          </cell>
          <cell r="C5741" t="str">
            <v>Central Sussex College - Haywards Heath</v>
          </cell>
          <cell r="D5741" t="str">
            <v>West Sussex</v>
          </cell>
          <cell r="E5741" t="str">
            <v>Further Education</v>
          </cell>
          <cell r="F5741" t="str">
            <v>16 Plus</v>
          </cell>
        </row>
        <row r="5742">
          <cell r="A5742">
            <v>9165413</v>
          </cell>
          <cell r="B5742">
            <v>115764</v>
          </cell>
          <cell r="C5742" t="str">
            <v>Central Technology College</v>
          </cell>
          <cell r="D5742" t="str">
            <v>Gloucestershire</v>
          </cell>
          <cell r="E5742" t="str">
            <v>Foundation School</v>
          </cell>
          <cell r="F5742" t="str">
            <v>Secondary</v>
          </cell>
        </row>
        <row r="5743">
          <cell r="A5743">
            <v>3913876</v>
          </cell>
          <cell r="B5743">
            <v>136741</v>
          </cell>
          <cell r="C5743" t="str">
            <v>Central Walker Church of England Vountary Controlled Primary School</v>
          </cell>
          <cell r="D5743" t="str">
            <v>Newcastle upon Tyne</v>
          </cell>
          <cell r="E5743" t="str">
            <v>Voluntary Controlled School</v>
          </cell>
          <cell r="F5743" t="str">
            <v>Primary</v>
          </cell>
        </row>
        <row r="5744">
          <cell r="A5744">
            <v>3311108</v>
          </cell>
          <cell r="B5744">
            <v>131477</v>
          </cell>
          <cell r="C5744" t="str">
            <v>Centre 4</v>
          </cell>
          <cell r="D5744" t="str">
            <v>Coventry</v>
          </cell>
          <cell r="E5744" t="str">
            <v>Pupil Referral Unit</v>
          </cell>
          <cell r="F5744" t="str">
            <v>PRU</v>
          </cell>
        </row>
        <row r="5745">
          <cell r="A5745">
            <v>9356058</v>
          </cell>
          <cell r="B5745">
            <v>124890</v>
          </cell>
          <cell r="C5745" t="str">
            <v>Centre Academy East Anglia</v>
          </cell>
          <cell r="D5745" t="str">
            <v>Suffolk</v>
          </cell>
          <cell r="E5745" t="str">
            <v>Other Independent Special School</v>
          </cell>
          <cell r="F5745" t="str">
            <v>Not applicable</v>
          </cell>
        </row>
        <row r="5746">
          <cell r="A5746">
            <v>2126408</v>
          </cell>
          <cell r="B5746">
            <v>101175</v>
          </cell>
          <cell r="C5746" t="str">
            <v>Centre Academy London</v>
          </cell>
          <cell r="D5746" t="str">
            <v>Wandsworth</v>
          </cell>
          <cell r="E5746" t="str">
            <v>Other Independent Special School</v>
          </cell>
          <cell r="F5746" t="str">
            <v>Not applicable</v>
          </cell>
        </row>
        <row r="5747">
          <cell r="A5747">
            <v>3309903</v>
          </cell>
          <cell r="B5747">
            <v>133227</v>
          </cell>
          <cell r="C5747" t="str">
            <v>Centre for Accelerated Learning</v>
          </cell>
          <cell r="D5747" t="str">
            <v>Birmingham</v>
          </cell>
          <cell r="E5747" t="str">
            <v>Miscellaneous</v>
          </cell>
          <cell r="F5747" t="str">
            <v>Not applicable</v>
          </cell>
        </row>
        <row r="5748">
          <cell r="A5748">
            <v>3041109</v>
          </cell>
          <cell r="B5748">
            <v>134264</v>
          </cell>
          <cell r="C5748" t="str">
            <v>Centre for Staff Development</v>
          </cell>
          <cell r="D5748" t="str">
            <v>Brent</v>
          </cell>
          <cell r="E5748" t="str">
            <v>Pupil Referral Unit</v>
          </cell>
          <cell r="F5748" t="str">
            <v>PRU</v>
          </cell>
        </row>
        <row r="5749">
          <cell r="A5749">
            <v>6671106</v>
          </cell>
          <cell r="B5749">
            <v>402240</v>
          </cell>
          <cell r="C5749" t="str">
            <v>Ceredigion Pupil Referral Service</v>
          </cell>
          <cell r="D5749" t="str">
            <v>Ceredigion</v>
          </cell>
          <cell r="E5749" t="str">
            <v>Welsh Establishment</v>
          </cell>
          <cell r="F5749" t="str">
            <v>Not applicable</v>
          </cell>
        </row>
        <row r="5750">
          <cell r="A5750">
            <v>6671103</v>
          </cell>
          <cell r="B5750">
            <v>401944</v>
          </cell>
          <cell r="C5750" t="str">
            <v>Ceredigion Teaching and Learning Centre Aberaeron</v>
          </cell>
          <cell r="D5750" t="str">
            <v>Ceredigion</v>
          </cell>
          <cell r="E5750" t="str">
            <v>Welsh Establishment</v>
          </cell>
          <cell r="F5750" t="str">
            <v>Not applicable</v>
          </cell>
        </row>
        <row r="5751">
          <cell r="A5751">
            <v>8353009</v>
          </cell>
          <cell r="B5751">
            <v>113759</v>
          </cell>
          <cell r="C5751" t="str">
            <v>Cerne Abbas Church of England Voluntary Controlled First School</v>
          </cell>
          <cell r="D5751" t="str">
            <v>Dorset</v>
          </cell>
          <cell r="E5751" t="str">
            <v>Voluntary Controlled School</v>
          </cell>
          <cell r="F5751" t="str">
            <v>Primary</v>
          </cell>
        </row>
        <row r="5752">
          <cell r="A5752">
            <v>9044064</v>
          </cell>
          <cell r="B5752">
            <v>128349</v>
          </cell>
          <cell r="C5752" t="str">
            <v>Cesterham Secondary School</v>
          </cell>
          <cell r="D5752" t="str">
            <v>Pre LGR (1997) Buckinghamshire</v>
          </cell>
          <cell r="E5752" t="str">
            <v>Community School</v>
          </cell>
          <cell r="F5752" t="str">
            <v>Secondary</v>
          </cell>
        </row>
        <row r="5753">
          <cell r="A5753">
            <v>8402133</v>
          </cell>
          <cell r="B5753">
            <v>114012</v>
          </cell>
          <cell r="C5753" t="str">
            <v>Cestria Primary School</v>
          </cell>
          <cell r="D5753" t="str">
            <v>Durham</v>
          </cell>
          <cell r="E5753" t="str">
            <v>Community School</v>
          </cell>
          <cell r="F5753" t="str">
            <v>Primary</v>
          </cell>
        </row>
        <row r="5754">
          <cell r="A5754">
            <v>9266150</v>
          </cell>
          <cell r="B5754">
            <v>134440</v>
          </cell>
          <cell r="C5754" t="str">
            <v>CfBT Education Trust Trading As Include</v>
          </cell>
          <cell r="D5754" t="str">
            <v>Norfolk</v>
          </cell>
          <cell r="E5754" t="str">
            <v>Other Independent School</v>
          </cell>
          <cell r="F5754" t="str">
            <v>Not applicable</v>
          </cell>
        </row>
        <row r="5755">
          <cell r="A5755">
            <v>3084037</v>
          </cell>
          <cell r="B5755">
            <v>102049</v>
          </cell>
          <cell r="C5755" t="str">
            <v>Chace Community School</v>
          </cell>
          <cell r="D5755" t="str">
            <v>Enfield</v>
          </cell>
          <cell r="E5755" t="str">
            <v>Community School</v>
          </cell>
          <cell r="F5755" t="str">
            <v>Secondary</v>
          </cell>
        </row>
        <row r="5756">
          <cell r="A5756">
            <v>3311109</v>
          </cell>
          <cell r="B5756">
            <v>135542</v>
          </cell>
          <cell r="C5756" t="str">
            <v>Chace Extended Learning Centre</v>
          </cell>
          <cell r="D5756" t="str">
            <v>Coventry</v>
          </cell>
          <cell r="E5756" t="str">
            <v>Pupil Referral Unit</v>
          </cell>
          <cell r="F5756" t="str">
            <v>PRU</v>
          </cell>
        </row>
        <row r="5757">
          <cell r="A5757">
            <v>3312003</v>
          </cell>
          <cell r="B5757">
            <v>127076</v>
          </cell>
          <cell r="C5757" t="str">
            <v>Chace Infant School</v>
          </cell>
          <cell r="D5757" t="str">
            <v>Coventry</v>
          </cell>
          <cell r="E5757" t="str">
            <v>Community School</v>
          </cell>
          <cell r="F5757" t="str">
            <v>Primary</v>
          </cell>
        </row>
        <row r="5758">
          <cell r="A5758">
            <v>3312002</v>
          </cell>
          <cell r="B5758">
            <v>127075</v>
          </cell>
          <cell r="C5758" t="str">
            <v>Chace Junior School</v>
          </cell>
          <cell r="D5758" t="str">
            <v>Coventry</v>
          </cell>
          <cell r="E5758" t="str">
            <v>Community School</v>
          </cell>
          <cell r="F5758" t="str">
            <v>Primary</v>
          </cell>
        </row>
        <row r="5759">
          <cell r="A5759">
            <v>3312128</v>
          </cell>
          <cell r="B5759">
            <v>103678</v>
          </cell>
          <cell r="C5759" t="str">
            <v>Chace Primary School</v>
          </cell>
          <cell r="D5759" t="str">
            <v>Coventry</v>
          </cell>
          <cell r="E5759" t="str">
            <v>Community School</v>
          </cell>
          <cell r="F5759" t="str">
            <v>Primary</v>
          </cell>
        </row>
        <row r="5760">
          <cell r="A5760">
            <v>9082300</v>
          </cell>
          <cell r="B5760">
            <v>111859</v>
          </cell>
          <cell r="C5760" t="str">
            <v>Chacewater Community Primary School</v>
          </cell>
          <cell r="D5760" t="str">
            <v>Cornwall</v>
          </cell>
          <cell r="E5760" t="str">
            <v>Community School</v>
          </cell>
          <cell r="F5760" t="str">
            <v>Primary</v>
          </cell>
        </row>
        <row r="5761">
          <cell r="A5761">
            <v>9283307</v>
          </cell>
          <cell r="B5761">
            <v>122018</v>
          </cell>
          <cell r="C5761" t="str">
            <v>Chacombe Church of England Voluntary Aided Primary School</v>
          </cell>
          <cell r="D5761" t="str">
            <v>Northamptonshire</v>
          </cell>
          <cell r="E5761" t="str">
            <v>Voluntary Aided School</v>
          </cell>
          <cell r="F5761" t="str">
            <v>Primary</v>
          </cell>
        </row>
        <row r="5762">
          <cell r="A5762">
            <v>3302312</v>
          </cell>
          <cell r="B5762">
            <v>103332</v>
          </cell>
          <cell r="C5762" t="str">
            <v>Chad Vale Primary School</v>
          </cell>
          <cell r="D5762" t="str">
            <v>Birmingham</v>
          </cell>
          <cell r="E5762" t="str">
            <v>Community School</v>
          </cell>
          <cell r="F5762" t="str">
            <v>Primary</v>
          </cell>
        </row>
        <row r="5763">
          <cell r="A5763">
            <v>3532061</v>
          </cell>
          <cell r="B5763">
            <v>105655</v>
          </cell>
          <cell r="C5763" t="str">
            <v>Chadderton Hall Junior School</v>
          </cell>
          <cell r="D5763" t="str">
            <v>Oldham</v>
          </cell>
          <cell r="E5763" t="str">
            <v>Community School</v>
          </cell>
          <cell r="F5763" t="str">
            <v>Primary</v>
          </cell>
        </row>
        <row r="5764">
          <cell r="A5764">
            <v>8312467</v>
          </cell>
          <cell r="B5764">
            <v>112763</v>
          </cell>
          <cell r="C5764" t="str">
            <v>Chaddesden Park Infant School</v>
          </cell>
          <cell r="D5764" t="str">
            <v>Derby</v>
          </cell>
          <cell r="E5764" t="str">
            <v>Community School</v>
          </cell>
          <cell r="F5764" t="str">
            <v>Primary</v>
          </cell>
        </row>
        <row r="5765">
          <cell r="A5765">
            <v>8312453</v>
          </cell>
          <cell r="B5765">
            <v>112753</v>
          </cell>
          <cell r="C5765" t="str">
            <v>Chaddesden Park Junior School</v>
          </cell>
          <cell r="D5765" t="str">
            <v>Derby</v>
          </cell>
          <cell r="E5765" t="str">
            <v>Community School</v>
          </cell>
          <cell r="F5765" t="str">
            <v>Primary</v>
          </cell>
        </row>
        <row r="5766">
          <cell r="A5766">
            <v>8853314</v>
          </cell>
          <cell r="B5766">
            <v>116873</v>
          </cell>
          <cell r="C5766" t="str">
            <v>Chaddesley Corbett Endowed First School</v>
          </cell>
          <cell r="D5766" t="str">
            <v>Worcestershire</v>
          </cell>
          <cell r="E5766" t="str">
            <v>Voluntary Aided School</v>
          </cell>
          <cell r="F5766" t="str">
            <v>Primary</v>
          </cell>
        </row>
        <row r="5767">
          <cell r="A5767">
            <v>8853330</v>
          </cell>
          <cell r="B5767">
            <v>135046</v>
          </cell>
          <cell r="C5767" t="str">
            <v>Chaddesley Corbett Endowed Primary School</v>
          </cell>
          <cell r="D5767" t="str">
            <v>Worcestershire</v>
          </cell>
          <cell r="E5767" t="str">
            <v>Voluntary Aided School</v>
          </cell>
          <cell r="F5767" t="str">
            <v>Primary</v>
          </cell>
        </row>
        <row r="5768">
          <cell r="A5768">
            <v>8792704</v>
          </cell>
          <cell r="B5768">
            <v>113325</v>
          </cell>
          <cell r="C5768" t="str">
            <v>Chaddlewood Infants' School</v>
          </cell>
          <cell r="D5768" t="str">
            <v>Plymouth</v>
          </cell>
          <cell r="E5768" t="str">
            <v>Community School</v>
          </cell>
          <cell r="F5768" t="str">
            <v>Primary</v>
          </cell>
        </row>
        <row r="5769">
          <cell r="A5769">
            <v>8792700</v>
          </cell>
          <cell r="B5769">
            <v>113321</v>
          </cell>
          <cell r="C5769" t="str">
            <v>Chaddlewood Junior School</v>
          </cell>
          <cell r="D5769" t="str">
            <v>Plymouth</v>
          </cell>
          <cell r="E5769" t="str">
            <v>Community School</v>
          </cell>
          <cell r="F5769" t="str">
            <v>Primary</v>
          </cell>
        </row>
        <row r="5770">
          <cell r="A5770">
            <v>8793771</v>
          </cell>
          <cell r="B5770">
            <v>135144</v>
          </cell>
          <cell r="C5770" t="str">
            <v>Chaddlewood Primary School</v>
          </cell>
          <cell r="D5770" t="str">
            <v>Plymouth</v>
          </cell>
          <cell r="E5770" t="str">
            <v>Community School</v>
          </cell>
          <cell r="F5770" t="str">
            <v>Primary</v>
          </cell>
        </row>
        <row r="5771">
          <cell r="A5771">
            <v>8693016</v>
          </cell>
          <cell r="B5771">
            <v>109957</v>
          </cell>
          <cell r="C5771" t="str">
            <v>Chaddleworth St Andrew's C.E. Primary School</v>
          </cell>
          <cell r="D5771" t="str">
            <v>West Berkshire</v>
          </cell>
          <cell r="E5771" t="str">
            <v>Voluntary Controlled School</v>
          </cell>
          <cell r="F5771" t="str">
            <v>Primary</v>
          </cell>
        </row>
        <row r="5772">
          <cell r="A5772">
            <v>9313043</v>
          </cell>
          <cell r="B5772">
            <v>123096</v>
          </cell>
          <cell r="C5772" t="str">
            <v>Chadlington Church of England Primary School</v>
          </cell>
          <cell r="D5772" t="str">
            <v>Oxfordshire</v>
          </cell>
          <cell r="E5772" t="str">
            <v>Voluntary Controlled School</v>
          </cell>
          <cell r="F5772" t="str">
            <v>Primary</v>
          </cell>
        </row>
        <row r="5773">
          <cell r="A5773">
            <v>8857015</v>
          </cell>
          <cell r="B5773">
            <v>117062</v>
          </cell>
          <cell r="C5773" t="str">
            <v>Chadsgrove School</v>
          </cell>
          <cell r="D5773" t="str">
            <v>Worcestershire</v>
          </cell>
          <cell r="E5773" t="str">
            <v>Community Special School</v>
          </cell>
          <cell r="F5773" t="str">
            <v>Special</v>
          </cell>
        </row>
        <row r="5774">
          <cell r="A5774">
            <v>9342231</v>
          </cell>
          <cell r="B5774">
            <v>129883</v>
          </cell>
          <cell r="C5774" t="str">
            <v>Chadsmead Infant School</v>
          </cell>
          <cell r="D5774" t="str">
            <v>Pre LGR (1997) Staffordshire</v>
          </cell>
          <cell r="E5774" t="str">
            <v>Community School</v>
          </cell>
          <cell r="F5774" t="str">
            <v>Primary</v>
          </cell>
        </row>
        <row r="5775">
          <cell r="A5775">
            <v>8602230</v>
          </cell>
          <cell r="B5775">
            <v>124100</v>
          </cell>
          <cell r="C5775" t="str">
            <v>Chadsmead Primary School</v>
          </cell>
          <cell r="D5775" t="str">
            <v>Staffordshire</v>
          </cell>
          <cell r="E5775" t="str">
            <v>Community School</v>
          </cell>
          <cell r="F5775" t="str">
            <v>Primary</v>
          </cell>
        </row>
        <row r="5776">
          <cell r="A5776">
            <v>8602230</v>
          </cell>
          <cell r="B5776">
            <v>137268</v>
          </cell>
          <cell r="C5776" t="str">
            <v>Chadsmead Primary School</v>
          </cell>
          <cell r="D5776" t="str">
            <v>Staffordshire</v>
          </cell>
          <cell r="E5776" t="str">
            <v>Academy Converters</v>
          </cell>
          <cell r="F5776" t="str">
            <v>Primary</v>
          </cell>
        </row>
        <row r="5777">
          <cell r="A5777">
            <v>8603040</v>
          </cell>
          <cell r="B5777">
            <v>124240</v>
          </cell>
          <cell r="C5777" t="str">
            <v>Chadsmoor CofE (VC) Junior School</v>
          </cell>
          <cell r="D5777" t="str">
            <v>Staffordshire</v>
          </cell>
          <cell r="E5777" t="str">
            <v>Voluntary Controlled School</v>
          </cell>
          <cell r="F5777" t="str">
            <v>Primary</v>
          </cell>
        </row>
        <row r="5778">
          <cell r="A5778">
            <v>8602178</v>
          </cell>
          <cell r="B5778">
            <v>124068</v>
          </cell>
          <cell r="C5778" t="str">
            <v>Chadsmoor Community Infants and Nursery School</v>
          </cell>
          <cell r="D5778" t="str">
            <v>Staffordshire</v>
          </cell>
          <cell r="E5778" t="str">
            <v>Community School</v>
          </cell>
          <cell r="F5778" t="str">
            <v>Primary</v>
          </cell>
        </row>
        <row r="5779">
          <cell r="A5779">
            <v>3362061</v>
          </cell>
          <cell r="B5779">
            <v>127217</v>
          </cell>
          <cell r="C5779" t="str">
            <v>Chadsway Junior School</v>
          </cell>
          <cell r="D5779" t="str">
            <v>Wolverhampton</v>
          </cell>
          <cell r="E5779" t="str">
            <v>Community School</v>
          </cell>
          <cell r="F5779" t="str">
            <v>Primary</v>
          </cell>
        </row>
        <row r="5780">
          <cell r="A5780">
            <v>3175400</v>
          </cell>
          <cell r="B5780">
            <v>136267</v>
          </cell>
          <cell r="C5780" t="str">
            <v>Chadwell Heath Academy</v>
          </cell>
          <cell r="D5780" t="str">
            <v>Redbridge</v>
          </cell>
          <cell r="E5780" t="str">
            <v>Academy Converters</v>
          </cell>
          <cell r="F5780" t="str">
            <v>Secondary</v>
          </cell>
        </row>
        <row r="5781">
          <cell r="A5781">
            <v>3172058</v>
          </cell>
          <cell r="B5781">
            <v>102836</v>
          </cell>
          <cell r="C5781" t="str">
            <v>Chadwell Primary School</v>
          </cell>
          <cell r="D5781" t="str">
            <v>Redbridge</v>
          </cell>
          <cell r="E5781" t="str">
            <v>Community School</v>
          </cell>
          <cell r="F5781" t="str">
            <v>Primary</v>
          </cell>
        </row>
        <row r="5782">
          <cell r="A5782">
            <v>8832582</v>
          </cell>
          <cell r="B5782">
            <v>114900</v>
          </cell>
          <cell r="C5782" t="str">
            <v>Chadwell St Mary Primary School</v>
          </cell>
          <cell r="D5782" t="str">
            <v>Thurrock</v>
          </cell>
          <cell r="E5782" t="str">
            <v>Community School</v>
          </cell>
          <cell r="F5782" t="str">
            <v>Primary</v>
          </cell>
        </row>
        <row r="5783">
          <cell r="A5783">
            <v>8881121</v>
          </cell>
          <cell r="B5783">
            <v>133398</v>
          </cell>
          <cell r="C5783" t="str">
            <v>Chadwick Centre</v>
          </cell>
          <cell r="D5783" t="str">
            <v>Lancashire</v>
          </cell>
          <cell r="E5783" t="str">
            <v>Pupil Referral Unit</v>
          </cell>
          <cell r="F5783" t="str">
            <v>PRU</v>
          </cell>
        </row>
        <row r="5784">
          <cell r="A5784">
            <v>8834394</v>
          </cell>
          <cell r="B5784">
            <v>132083</v>
          </cell>
          <cell r="C5784" t="str">
            <v>Chafford Hundred Campus Business and Enterprise College</v>
          </cell>
          <cell r="D5784" t="str">
            <v>Thurrock</v>
          </cell>
          <cell r="E5784" t="str">
            <v>Foundation School</v>
          </cell>
          <cell r="F5784" t="str">
            <v>Secondary</v>
          </cell>
        </row>
        <row r="5785">
          <cell r="A5785">
            <v>8834394</v>
          </cell>
          <cell r="B5785">
            <v>137549</v>
          </cell>
          <cell r="C5785" t="str">
            <v>Chafford Hundred Campus Business and Enterprise College</v>
          </cell>
          <cell r="D5785" t="str">
            <v>Thurrock</v>
          </cell>
          <cell r="E5785" t="str">
            <v>Academy Converters</v>
          </cell>
          <cell r="F5785" t="str">
            <v>Secondary</v>
          </cell>
        </row>
        <row r="5786">
          <cell r="A5786">
            <v>8832987</v>
          </cell>
          <cell r="B5786">
            <v>132181</v>
          </cell>
          <cell r="C5786" t="str">
            <v>Chafford Hundred Primary School</v>
          </cell>
          <cell r="D5786" t="str">
            <v>Thurrock</v>
          </cell>
          <cell r="E5786" t="str">
            <v>Community School</v>
          </cell>
          <cell r="F5786" t="str">
            <v>Primary</v>
          </cell>
        </row>
        <row r="5787">
          <cell r="A5787">
            <v>8656014</v>
          </cell>
          <cell r="B5787">
            <v>126517</v>
          </cell>
          <cell r="C5787" t="str">
            <v>Chafyn Grove School</v>
          </cell>
          <cell r="D5787" t="str">
            <v>Wiltshire</v>
          </cell>
          <cell r="E5787" t="str">
            <v>Other Independent School</v>
          </cell>
          <cell r="F5787" t="str">
            <v>Not applicable</v>
          </cell>
        </row>
        <row r="5788">
          <cell r="A5788">
            <v>8783151</v>
          </cell>
          <cell r="B5788">
            <v>113408</v>
          </cell>
          <cell r="C5788" t="str">
            <v>Chagford Church of England Primary School</v>
          </cell>
          <cell r="D5788" t="str">
            <v>Devon</v>
          </cell>
          <cell r="E5788" t="str">
            <v>Voluntary Controlled School</v>
          </cell>
          <cell r="F5788" t="str">
            <v>Primary</v>
          </cell>
        </row>
        <row r="5789">
          <cell r="A5789">
            <v>8777100</v>
          </cell>
          <cell r="B5789">
            <v>111498</v>
          </cell>
          <cell r="C5789" t="str">
            <v>Chaigeley School</v>
          </cell>
          <cell r="D5789" t="str">
            <v>Warrington</v>
          </cell>
          <cell r="E5789" t="str">
            <v>Non-Maintained Special School</v>
          </cell>
          <cell r="F5789" t="str">
            <v>Special</v>
          </cell>
        </row>
        <row r="5790">
          <cell r="A5790">
            <v>8457012</v>
          </cell>
          <cell r="B5790">
            <v>114682</v>
          </cell>
          <cell r="C5790" t="str">
            <v>Chailey Heritage School</v>
          </cell>
          <cell r="D5790" t="str">
            <v>East Sussex</v>
          </cell>
          <cell r="E5790" t="str">
            <v>Non-Maintained Special School</v>
          </cell>
          <cell r="F5790" t="str">
            <v>Special</v>
          </cell>
        </row>
        <row r="5791">
          <cell r="A5791">
            <v>8454042</v>
          </cell>
          <cell r="B5791">
            <v>114594</v>
          </cell>
          <cell r="C5791" t="str">
            <v>Chailey School</v>
          </cell>
          <cell r="D5791" t="str">
            <v>East Sussex</v>
          </cell>
          <cell r="E5791" t="str">
            <v>Community School</v>
          </cell>
          <cell r="F5791" t="str">
            <v>Secondary</v>
          </cell>
        </row>
        <row r="5792">
          <cell r="A5792">
            <v>8453013</v>
          </cell>
          <cell r="B5792">
            <v>114495</v>
          </cell>
          <cell r="C5792" t="str">
            <v>Chailey St Peter's Church of England Primary School</v>
          </cell>
          <cell r="D5792" t="str">
            <v>East Sussex</v>
          </cell>
          <cell r="E5792" t="str">
            <v>Voluntary Controlled School</v>
          </cell>
          <cell r="F5792" t="str">
            <v>Primary</v>
          </cell>
        </row>
        <row r="5793">
          <cell r="A5793">
            <v>2027137</v>
          </cell>
          <cell r="B5793">
            <v>100092</v>
          </cell>
          <cell r="C5793" t="str">
            <v>Chalcot School</v>
          </cell>
          <cell r="D5793" t="str">
            <v>Camden</v>
          </cell>
          <cell r="E5793" t="str">
            <v>Community Special School</v>
          </cell>
          <cell r="F5793" t="str">
            <v>Special</v>
          </cell>
        </row>
        <row r="5794">
          <cell r="A5794">
            <v>9213005</v>
          </cell>
          <cell r="B5794">
            <v>118184</v>
          </cell>
          <cell r="C5794" t="str">
            <v>Chale Church of England Controlled Primary School</v>
          </cell>
          <cell r="D5794" t="str">
            <v>Isle of Wight</v>
          </cell>
          <cell r="E5794" t="str">
            <v>Voluntary Controlled School</v>
          </cell>
          <cell r="F5794" t="str">
            <v>Primary</v>
          </cell>
        </row>
        <row r="5795">
          <cell r="A5795">
            <v>3502006</v>
          </cell>
          <cell r="B5795">
            <v>105151</v>
          </cell>
          <cell r="C5795" t="str">
            <v>Chalfont Primary Community School</v>
          </cell>
          <cell r="D5795" t="str">
            <v>Bolton</v>
          </cell>
          <cell r="E5795" t="str">
            <v>Community School</v>
          </cell>
          <cell r="F5795" t="str">
            <v>Primary</v>
          </cell>
        </row>
        <row r="5796">
          <cell r="A5796">
            <v>8252016</v>
          </cell>
          <cell r="B5796">
            <v>110214</v>
          </cell>
          <cell r="C5796" t="str">
            <v>Chalfont St Giles Infant School and Nursery</v>
          </cell>
          <cell r="D5796" t="str">
            <v>Buckinghamshire</v>
          </cell>
          <cell r="E5796" t="str">
            <v>Community School</v>
          </cell>
          <cell r="F5796" t="str">
            <v>Primary</v>
          </cell>
        </row>
        <row r="5797">
          <cell r="A5797">
            <v>8252182</v>
          </cell>
          <cell r="B5797">
            <v>110287</v>
          </cell>
          <cell r="C5797" t="str">
            <v>Chalfont St Giles Junior School</v>
          </cell>
          <cell r="D5797" t="str">
            <v>Buckinghamshire</v>
          </cell>
          <cell r="E5797" t="str">
            <v>Community School</v>
          </cell>
          <cell r="F5797" t="str">
            <v>Primary</v>
          </cell>
        </row>
        <row r="5798">
          <cell r="A5798">
            <v>8253322</v>
          </cell>
          <cell r="B5798">
            <v>110456</v>
          </cell>
          <cell r="C5798" t="str">
            <v>Chalfont St Peter CofE School</v>
          </cell>
          <cell r="D5798" t="str">
            <v>Buckinghamshire</v>
          </cell>
          <cell r="E5798" t="str">
            <v>Voluntary Aided School</v>
          </cell>
          <cell r="F5798" t="str">
            <v>Primary</v>
          </cell>
        </row>
        <row r="5799">
          <cell r="A5799">
            <v>8253322</v>
          </cell>
          <cell r="B5799">
            <v>136726</v>
          </cell>
          <cell r="C5799" t="str">
            <v>Chalfont St Peter CofE School</v>
          </cell>
          <cell r="D5799" t="str">
            <v>Buckinghamshire</v>
          </cell>
          <cell r="E5799" t="str">
            <v>Academy Converters</v>
          </cell>
          <cell r="F5799" t="str">
            <v>Primary</v>
          </cell>
        </row>
        <row r="5800">
          <cell r="A5800">
            <v>8252151</v>
          </cell>
          <cell r="B5800">
            <v>110269</v>
          </cell>
          <cell r="C5800" t="str">
            <v>Chalfont St Peter Infant School</v>
          </cell>
          <cell r="D5800" t="str">
            <v>Buckinghamshire</v>
          </cell>
          <cell r="E5800" t="str">
            <v>Community School</v>
          </cell>
          <cell r="F5800" t="str">
            <v>Primary</v>
          </cell>
        </row>
        <row r="5801">
          <cell r="A5801">
            <v>9162050</v>
          </cell>
          <cell r="B5801">
            <v>115509</v>
          </cell>
          <cell r="C5801" t="str">
            <v>Chalford Hill Primary School</v>
          </cell>
          <cell r="D5801" t="str">
            <v>Gloucestershire</v>
          </cell>
          <cell r="E5801" t="str">
            <v>Community School</v>
          </cell>
          <cell r="F5801" t="str">
            <v>Primary</v>
          </cell>
        </row>
        <row r="5802">
          <cell r="A5802">
            <v>9312452</v>
          </cell>
          <cell r="B5802">
            <v>123029</v>
          </cell>
          <cell r="C5802" t="str">
            <v>Chalgrove Community Primary School</v>
          </cell>
          <cell r="D5802" t="str">
            <v>Oxfordshire</v>
          </cell>
          <cell r="E5802" t="str">
            <v>Community School</v>
          </cell>
          <cell r="F5802" t="str">
            <v>Primary</v>
          </cell>
        </row>
        <row r="5803">
          <cell r="A5803">
            <v>3022067</v>
          </cell>
          <cell r="B5803">
            <v>101309</v>
          </cell>
          <cell r="C5803" t="str">
            <v>Chalgrove Primary School</v>
          </cell>
          <cell r="D5803" t="str">
            <v>Barnet</v>
          </cell>
          <cell r="E5803" t="str">
            <v>Community School</v>
          </cell>
          <cell r="F5803" t="str">
            <v>Primary</v>
          </cell>
        </row>
        <row r="5804">
          <cell r="A5804">
            <v>9192319</v>
          </cell>
          <cell r="B5804">
            <v>129131</v>
          </cell>
          <cell r="C5804" t="str">
            <v>Chalk Dell Infant School</v>
          </cell>
          <cell r="D5804" t="str">
            <v>Hertfordshire</v>
          </cell>
          <cell r="E5804" t="str">
            <v>Community School</v>
          </cell>
          <cell r="F5804" t="str">
            <v>Primary</v>
          </cell>
        </row>
        <row r="5805">
          <cell r="A5805">
            <v>3042054</v>
          </cell>
          <cell r="B5805">
            <v>126776</v>
          </cell>
          <cell r="C5805" t="str">
            <v>Chalk Hill Infant School</v>
          </cell>
          <cell r="D5805" t="str">
            <v>Brent</v>
          </cell>
          <cell r="E5805" t="str">
            <v>Community School</v>
          </cell>
          <cell r="F5805" t="str">
            <v>Primary</v>
          </cell>
        </row>
        <row r="5806">
          <cell r="A5806">
            <v>3042060</v>
          </cell>
          <cell r="B5806">
            <v>126777</v>
          </cell>
          <cell r="C5806" t="str">
            <v>Chalk Hill Junior School</v>
          </cell>
          <cell r="D5806" t="str">
            <v>Brent</v>
          </cell>
          <cell r="E5806" t="str">
            <v>Community School</v>
          </cell>
          <cell r="F5806" t="str">
            <v>Primary</v>
          </cell>
        </row>
        <row r="5807">
          <cell r="A5807">
            <v>8502344</v>
          </cell>
          <cell r="B5807">
            <v>116057</v>
          </cell>
          <cell r="C5807" t="str">
            <v>Chalk Ridge Primary School</v>
          </cell>
          <cell r="D5807" t="str">
            <v>Hampshire</v>
          </cell>
          <cell r="E5807" t="str">
            <v>Community School</v>
          </cell>
          <cell r="F5807" t="str">
            <v>Primary</v>
          </cell>
        </row>
        <row r="5808">
          <cell r="A5808">
            <v>3042068</v>
          </cell>
          <cell r="B5808">
            <v>101526</v>
          </cell>
          <cell r="C5808" t="str">
            <v>Chalkhill Primary School</v>
          </cell>
          <cell r="D5808" t="str">
            <v>Brent</v>
          </cell>
          <cell r="E5808" t="str">
            <v>Community School</v>
          </cell>
          <cell r="F5808" t="str">
            <v>Primary</v>
          </cell>
        </row>
        <row r="5809">
          <cell r="A5809">
            <v>9354031</v>
          </cell>
          <cell r="B5809">
            <v>124808</v>
          </cell>
          <cell r="C5809" t="str">
            <v>Chalkstone Middle School</v>
          </cell>
          <cell r="D5809" t="str">
            <v>Suffolk</v>
          </cell>
          <cell r="E5809" t="str">
            <v>Community School</v>
          </cell>
          <cell r="F5809" t="str">
            <v>Middle Deemed Secondary</v>
          </cell>
        </row>
        <row r="5810">
          <cell r="A5810">
            <v>8822022</v>
          </cell>
          <cell r="B5810">
            <v>114719</v>
          </cell>
          <cell r="C5810" t="str">
            <v>Chalkwell Hall Infant School</v>
          </cell>
          <cell r="D5810" t="str">
            <v>Southend-on-Sea</v>
          </cell>
          <cell r="E5810" t="str">
            <v>Community School</v>
          </cell>
          <cell r="F5810" t="str">
            <v>Primary</v>
          </cell>
        </row>
        <row r="5811">
          <cell r="A5811">
            <v>8822019</v>
          </cell>
          <cell r="B5811">
            <v>114718</v>
          </cell>
          <cell r="C5811" t="str">
            <v>Chalkwell Hall Junior School</v>
          </cell>
          <cell r="D5811" t="str">
            <v>Southend-on-Sea</v>
          </cell>
          <cell r="E5811" t="str">
            <v>Community School</v>
          </cell>
          <cell r="F5811" t="str">
            <v>Primary</v>
          </cell>
        </row>
        <row r="5812">
          <cell r="A5812">
            <v>9156232</v>
          </cell>
          <cell r="B5812">
            <v>128919</v>
          </cell>
          <cell r="C5812" t="str">
            <v>Challenge Trust School</v>
          </cell>
          <cell r="D5812" t="str">
            <v>Pre LGR (1998) Essex</v>
          </cell>
          <cell r="E5812" t="str">
            <v>Other Independent School</v>
          </cell>
          <cell r="F5812" t="str">
            <v>Not applicable</v>
          </cell>
        </row>
        <row r="5813">
          <cell r="A5813">
            <v>8861116</v>
          </cell>
          <cell r="B5813">
            <v>134325</v>
          </cell>
          <cell r="C5813" t="str">
            <v>Challenger Centre</v>
          </cell>
          <cell r="D5813" t="str">
            <v>Kent</v>
          </cell>
          <cell r="E5813" t="str">
            <v>Pupil Referral Unit</v>
          </cell>
          <cell r="F5813" t="str">
            <v>PRU</v>
          </cell>
        </row>
        <row r="5814">
          <cell r="A5814">
            <v>8214102</v>
          </cell>
          <cell r="B5814">
            <v>109681</v>
          </cell>
          <cell r="C5814" t="str">
            <v>Challney High School for Boys and Community College</v>
          </cell>
          <cell r="D5814" t="str">
            <v>Luton</v>
          </cell>
          <cell r="E5814" t="str">
            <v>Foundation School</v>
          </cell>
          <cell r="F5814" t="str">
            <v>Secondary</v>
          </cell>
        </row>
        <row r="5815">
          <cell r="A5815">
            <v>8214102</v>
          </cell>
          <cell r="B5815">
            <v>136651</v>
          </cell>
          <cell r="C5815" t="str">
            <v>Challney High School for Boys and Community College</v>
          </cell>
          <cell r="D5815" t="str">
            <v>Luton</v>
          </cell>
          <cell r="E5815" t="str">
            <v>Academy Converters</v>
          </cell>
          <cell r="F5815" t="str">
            <v>Secondary</v>
          </cell>
        </row>
        <row r="5816">
          <cell r="A5816">
            <v>8214103</v>
          </cell>
          <cell r="B5816">
            <v>109682</v>
          </cell>
          <cell r="C5816" t="str">
            <v>Challney High School for Girls</v>
          </cell>
          <cell r="D5816" t="str">
            <v>Luton</v>
          </cell>
          <cell r="E5816" t="str">
            <v>Community School</v>
          </cell>
          <cell r="F5816" t="str">
            <v>Secondary</v>
          </cell>
        </row>
        <row r="5817">
          <cell r="A5817">
            <v>8862280</v>
          </cell>
          <cell r="B5817">
            <v>118374</v>
          </cell>
          <cell r="C5817" t="str">
            <v>Challock Primary School</v>
          </cell>
          <cell r="D5817" t="str">
            <v>Kent</v>
          </cell>
          <cell r="E5817" t="str">
            <v>Community School</v>
          </cell>
          <cell r="F5817" t="str">
            <v>Primary</v>
          </cell>
        </row>
        <row r="5818">
          <cell r="A5818">
            <v>8073396</v>
          </cell>
          <cell r="B5818">
            <v>131644</v>
          </cell>
          <cell r="C5818" t="str">
            <v>Chaloner Primary School</v>
          </cell>
          <cell r="D5818" t="str">
            <v>Redcar and Cleveland</v>
          </cell>
          <cell r="E5818" t="str">
            <v>Community School</v>
          </cell>
          <cell r="F5818" t="str">
            <v>Primary</v>
          </cell>
        </row>
        <row r="5819">
          <cell r="A5819">
            <v>8232136</v>
          </cell>
          <cell r="B5819">
            <v>109487</v>
          </cell>
          <cell r="C5819" t="str">
            <v>Chalton Lower School</v>
          </cell>
          <cell r="D5819" t="str">
            <v>Central Bedfordshire</v>
          </cell>
          <cell r="E5819" t="str">
            <v>Community School</v>
          </cell>
          <cell r="F5819" t="str">
            <v>Primary</v>
          </cell>
        </row>
        <row r="5820">
          <cell r="A5820">
            <v>8815400</v>
          </cell>
          <cell r="B5820">
            <v>115316</v>
          </cell>
          <cell r="C5820" t="str">
            <v>Chalvedon School</v>
          </cell>
          <cell r="D5820" t="str">
            <v>Essex</v>
          </cell>
          <cell r="E5820" t="str">
            <v>Foundation School</v>
          </cell>
          <cell r="F5820" t="str">
            <v>Secondary</v>
          </cell>
        </row>
        <row r="5821">
          <cell r="A5821">
            <v>8711025</v>
          </cell>
          <cell r="B5821">
            <v>109765</v>
          </cell>
          <cell r="C5821" t="str">
            <v>Chalvey Early Years Centre</v>
          </cell>
          <cell r="D5821" t="str">
            <v>Slough</v>
          </cell>
          <cell r="E5821" t="str">
            <v>LA Nursery School</v>
          </cell>
          <cell r="F5821" t="str">
            <v>Nursery</v>
          </cell>
        </row>
        <row r="5822">
          <cell r="A5822">
            <v>9146163</v>
          </cell>
          <cell r="B5822">
            <v>128873</v>
          </cell>
          <cell r="C5822" t="str">
            <v>Chalvington School</v>
          </cell>
          <cell r="D5822" t="str">
            <v>Pre LGR (1997) East Sussex</v>
          </cell>
          <cell r="E5822" t="str">
            <v>Other Independent School</v>
          </cell>
          <cell r="F5822" t="str">
            <v>Not applicable</v>
          </cell>
        </row>
        <row r="5823">
          <cell r="A5823">
            <v>8524271</v>
          </cell>
          <cell r="B5823">
            <v>116454</v>
          </cell>
          <cell r="C5823" t="str">
            <v>Chamberlayne College for the Arts</v>
          </cell>
          <cell r="D5823" t="str">
            <v>Southampton</v>
          </cell>
          <cell r="E5823" t="str">
            <v>Foundation School</v>
          </cell>
          <cell r="F5823" t="str">
            <v>Secondary</v>
          </cell>
        </row>
        <row r="5824">
          <cell r="A5824">
            <v>3042063</v>
          </cell>
          <cell r="B5824">
            <v>126778</v>
          </cell>
          <cell r="C5824" t="str">
            <v>Chamberlayne Wood Junior and Infant School</v>
          </cell>
          <cell r="D5824" t="str">
            <v>Brent</v>
          </cell>
          <cell r="E5824" t="str">
            <v>Community School</v>
          </cell>
          <cell r="F5824" t="str">
            <v>Primary</v>
          </cell>
        </row>
        <row r="5825">
          <cell r="A5825">
            <v>9192210</v>
          </cell>
          <cell r="B5825">
            <v>117214</v>
          </cell>
          <cell r="C5825" t="str">
            <v>Chambersbury Primary School</v>
          </cell>
          <cell r="D5825" t="str">
            <v>Hertfordshire</v>
          </cell>
          <cell r="E5825" t="str">
            <v>Community School</v>
          </cell>
          <cell r="F5825" t="str">
            <v>Primary</v>
          </cell>
        </row>
        <row r="5826">
          <cell r="A5826">
            <v>359940</v>
          </cell>
          <cell r="B5826">
            <v>134152</v>
          </cell>
          <cell r="C5826" t="str">
            <v>Champs Centre</v>
          </cell>
          <cell r="D5826" t="str">
            <v>Wigan</v>
          </cell>
          <cell r="E5826" t="str">
            <v>Playing for Success Centres</v>
          </cell>
          <cell r="F5826" t="str">
            <v>Not applicable</v>
          </cell>
        </row>
        <row r="5827">
          <cell r="A5827">
            <v>9167020</v>
          </cell>
          <cell r="B5827">
            <v>115826</v>
          </cell>
          <cell r="C5827" t="str">
            <v>Chamwell School</v>
          </cell>
          <cell r="D5827" t="str">
            <v>Gloucestershire</v>
          </cell>
          <cell r="E5827" t="str">
            <v>Community Special School</v>
          </cell>
          <cell r="F5827" t="str">
            <v>Special</v>
          </cell>
        </row>
        <row r="5828">
          <cell r="A5828">
            <v>8731104</v>
          </cell>
          <cell r="B5828">
            <v>133587</v>
          </cell>
          <cell r="C5828" t="str">
            <v>Chance</v>
          </cell>
          <cell r="D5828" t="str">
            <v>Cambridgeshire</v>
          </cell>
          <cell r="E5828" t="str">
            <v>Pupil Referral Unit</v>
          </cell>
          <cell r="F5828" t="str">
            <v>PRU</v>
          </cell>
        </row>
        <row r="5829">
          <cell r="A5829">
            <v>8731106</v>
          </cell>
          <cell r="B5829">
            <v>135332</v>
          </cell>
          <cell r="C5829" t="str">
            <v>Chance PRU</v>
          </cell>
          <cell r="D5829" t="str">
            <v>Cambridgeshire</v>
          </cell>
          <cell r="E5829" t="str">
            <v>Pupil Referral Unit</v>
          </cell>
          <cell r="F5829" t="str">
            <v>PRU</v>
          </cell>
        </row>
        <row r="5830">
          <cell r="A5830">
            <v>8602355</v>
          </cell>
          <cell r="B5830">
            <v>124168</v>
          </cell>
          <cell r="C5830" t="str">
            <v>Chancel Primary School</v>
          </cell>
          <cell r="D5830" t="str">
            <v>Staffordshire</v>
          </cell>
          <cell r="E5830" t="str">
            <v>Community School</v>
          </cell>
          <cell r="F5830" t="str">
            <v>Primary</v>
          </cell>
        </row>
        <row r="5831">
          <cell r="A5831">
            <v>8813826</v>
          </cell>
          <cell r="B5831">
            <v>133661</v>
          </cell>
          <cell r="C5831" t="str">
            <v>Chancellor Park Primary School, Chelmsford</v>
          </cell>
          <cell r="D5831" t="str">
            <v>Essex</v>
          </cell>
          <cell r="E5831" t="str">
            <v>Community School</v>
          </cell>
          <cell r="F5831" t="str">
            <v>Primary</v>
          </cell>
        </row>
        <row r="5832">
          <cell r="A5832">
            <v>9195419</v>
          </cell>
          <cell r="B5832">
            <v>117591</v>
          </cell>
          <cell r="C5832" t="str">
            <v>Chancellor's School</v>
          </cell>
          <cell r="D5832" t="str">
            <v>Hertfordshire</v>
          </cell>
          <cell r="E5832" t="str">
            <v>Foundation School</v>
          </cell>
          <cell r="F5832" t="str">
            <v>Secondary</v>
          </cell>
        </row>
        <row r="5833">
          <cell r="A5833">
            <v>8002258</v>
          </cell>
          <cell r="B5833">
            <v>109079</v>
          </cell>
          <cell r="C5833" t="str">
            <v>Chandag Infants' School</v>
          </cell>
          <cell r="D5833" t="str">
            <v>Bath and North East Somerset</v>
          </cell>
          <cell r="E5833" t="str">
            <v>Community School</v>
          </cell>
          <cell r="F5833" t="str">
            <v>Primary</v>
          </cell>
        </row>
        <row r="5834">
          <cell r="A5834">
            <v>8002242</v>
          </cell>
          <cell r="B5834">
            <v>109065</v>
          </cell>
          <cell r="C5834" t="str">
            <v>Chandag Junior School</v>
          </cell>
          <cell r="D5834" t="str">
            <v>Bath and North East Somerset</v>
          </cell>
          <cell r="E5834" t="str">
            <v>Community School</v>
          </cell>
          <cell r="F5834" t="str">
            <v>Primary</v>
          </cell>
        </row>
        <row r="5835">
          <cell r="A5835">
            <v>9362949</v>
          </cell>
          <cell r="B5835">
            <v>125125</v>
          </cell>
          <cell r="C5835" t="str">
            <v>Chandlers Field Primary School</v>
          </cell>
          <cell r="D5835" t="str">
            <v>Surrey</v>
          </cell>
          <cell r="E5835" t="str">
            <v>Foundation School</v>
          </cell>
          <cell r="F5835" t="str">
            <v>Primary</v>
          </cell>
        </row>
        <row r="5836">
          <cell r="A5836">
            <v>8502033</v>
          </cell>
          <cell r="B5836">
            <v>115872</v>
          </cell>
          <cell r="C5836" t="str">
            <v>Chandler's Ford Infant School</v>
          </cell>
          <cell r="D5836" t="str">
            <v>Hampshire</v>
          </cell>
          <cell r="E5836" t="str">
            <v>Community School</v>
          </cell>
          <cell r="F5836" t="str">
            <v>Primary</v>
          </cell>
        </row>
        <row r="5837">
          <cell r="A5837">
            <v>8062313</v>
          </cell>
          <cell r="B5837">
            <v>111619</v>
          </cell>
          <cell r="C5837" t="str">
            <v>Chandlers Ridge Primary School</v>
          </cell>
          <cell r="D5837" t="str">
            <v>Middlesbrough</v>
          </cell>
          <cell r="E5837" t="str">
            <v>Community School</v>
          </cell>
          <cell r="F5837" t="str">
            <v>Primary</v>
          </cell>
        </row>
        <row r="5838">
          <cell r="A5838">
            <v>9316117</v>
          </cell>
          <cell r="B5838">
            <v>131981</v>
          </cell>
          <cell r="C5838" t="str">
            <v>Chandlings</v>
          </cell>
          <cell r="D5838" t="str">
            <v>Oxfordshire</v>
          </cell>
          <cell r="E5838" t="str">
            <v>Other Independent School</v>
          </cell>
          <cell r="F5838" t="str">
            <v>Not applicable</v>
          </cell>
        </row>
        <row r="5839">
          <cell r="A5839">
            <v>9042177</v>
          </cell>
          <cell r="B5839">
            <v>128326</v>
          </cell>
          <cell r="C5839" t="str">
            <v>Chandos County Middle School</v>
          </cell>
          <cell r="D5839" t="str">
            <v>Pre LGR (1997) Buckinghamshire</v>
          </cell>
          <cell r="E5839" t="str">
            <v>Community School</v>
          </cell>
          <cell r="F5839" t="str">
            <v>Middle Deemed Primary</v>
          </cell>
        </row>
        <row r="5840">
          <cell r="A5840">
            <v>3302305</v>
          </cell>
          <cell r="B5840">
            <v>103325</v>
          </cell>
          <cell r="C5840" t="str">
            <v>Chandos Primary School</v>
          </cell>
          <cell r="D5840" t="str">
            <v>Birmingham</v>
          </cell>
          <cell r="E5840" t="str">
            <v>Community School</v>
          </cell>
          <cell r="F5840" t="str">
            <v>Primary</v>
          </cell>
        </row>
        <row r="5841">
          <cell r="A5841">
            <v>3096000</v>
          </cell>
          <cell r="B5841">
            <v>102162</v>
          </cell>
          <cell r="C5841" t="str">
            <v>Channing School</v>
          </cell>
          <cell r="D5841" t="str">
            <v>Haringey</v>
          </cell>
          <cell r="E5841" t="str">
            <v>Other Independent School</v>
          </cell>
          <cell r="F5841" t="str">
            <v>Not applicable</v>
          </cell>
        </row>
        <row r="5842">
          <cell r="A5842">
            <v>3512013</v>
          </cell>
          <cell r="B5842">
            <v>105291</v>
          </cell>
          <cell r="C5842" t="str">
            <v>Chantlers Primary School</v>
          </cell>
          <cell r="D5842" t="str">
            <v>Bury</v>
          </cell>
          <cell r="E5842" t="str">
            <v>Community School</v>
          </cell>
          <cell r="F5842" t="str">
            <v>Primary</v>
          </cell>
        </row>
        <row r="5843">
          <cell r="A5843">
            <v>8452095</v>
          </cell>
          <cell r="B5843">
            <v>114427</v>
          </cell>
          <cell r="C5843" t="str">
            <v>Chantry Community Primary School</v>
          </cell>
          <cell r="D5843" t="str">
            <v>East Sussex</v>
          </cell>
          <cell r="E5843" t="str">
            <v>Community School</v>
          </cell>
          <cell r="F5843" t="str">
            <v>Primary</v>
          </cell>
        </row>
        <row r="5844">
          <cell r="A5844">
            <v>9354091</v>
          </cell>
          <cell r="B5844">
            <v>124841</v>
          </cell>
          <cell r="C5844" t="str">
            <v>Chantry High School</v>
          </cell>
          <cell r="D5844" t="str">
            <v>Suffolk</v>
          </cell>
          <cell r="E5844" t="str">
            <v>Community School</v>
          </cell>
          <cell r="F5844" t="str">
            <v>Secondary</v>
          </cell>
        </row>
        <row r="5845">
          <cell r="A5845">
            <v>8212223</v>
          </cell>
          <cell r="B5845">
            <v>109533</v>
          </cell>
          <cell r="C5845" t="str">
            <v>Chantry Infant School</v>
          </cell>
          <cell r="D5845" t="str">
            <v>Luton</v>
          </cell>
          <cell r="E5845" t="str">
            <v>Community School</v>
          </cell>
          <cell r="F5845" t="str">
            <v>Primary</v>
          </cell>
        </row>
        <row r="5846">
          <cell r="A5846">
            <v>9352180</v>
          </cell>
          <cell r="B5846">
            <v>124664</v>
          </cell>
          <cell r="C5846" t="str">
            <v>Chantry Infant School</v>
          </cell>
          <cell r="D5846" t="str">
            <v>Suffolk</v>
          </cell>
          <cell r="E5846" t="str">
            <v>Community School</v>
          </cell>
          <cell r="F5846" t="str">
            <v>Primary</v>
          </cell>
        </row>
        <row r="5847">
          <cell r="A5847">
            <v>8212222</v>
          </cell>
          <cell r="B5847">
            <v>109532</v>
          </cell>
          <cell r="C5847" t="str">
            <v>Chantry Junior School</v>
          </cell>
          <cell r="D5847" t="str">
            <v>Luton</v>
          </cell>
          <cell r="E5847" t="str">
            <v>Community School</v>
          </cell>
          <cell r="F5847" t="str">
            <v>Primary</v>
          </cell>
        </row>
        <row r="5848">
          <cell r="A5848">
            <v>9352178</v>
          </cell>
          <cell r="B5848">
            <v>124662</v>
          </cell>
          <cell r="C5848" t="str">
            <v>Chantry Junior School</v>
          </cell>
          <cell r="D5848" t="str">
            <v>Suffolk</v>
          </cell>
          <cell r="E5848" t="str">
            <v>Community School</v>
          </cell>
          <cell r="F5848" t="str">
            <v>Primary</v>
          </cell>
        </row>
        <row r="5849">
          <cell r="A5849">
            <v>8862634</v>
          </cell>
          <cell r="B5849">
            <v>118552</v>
          </cell>
          <cell r="C5849" t="str">
            <v>Chantry Primary School</v>
          </cell>
          <cell r="D5849" t="str">
            <v>Kent</v>
          </cell>
          <cell r="E5849" t="str">
            <v>Community School</v>
          </cell>
          <cell r="F5849" t="str">
            <v>Primary</v>
          </cell>
        </row>
        <row r="5850">
          <cell r="A5850">
            <v>8212003</v>
          </cell>
          <cell r="B5850">
            <v>131877</v>
          </cell>
          <cell r="C5850" t="str">
            <v>Chantry Primary School</v>
          </cell>
          <cell r="D5850" t="str">
            <v>Luton</v>
          </cell>
          <cell r="E5850" t="str">
            <v>Community School</v>
          </cell>
          <cell r="F5850" t="str">
            <v>Primary</v>
          </cell>
        </row>
        <row r="5851">
          <cell r="A5851">
            <v>3125950</v>
          </cell>
          <cell r="B5851">
            <v>102461</v>
          </cell>
          <cell r="C5851" t="str">
            <v>Chantry School</v>
          </cell>
          <cell r="D5851" t="str">
            <v>Hillingdon</v>
          </cell>
          <cell r="E5851" t="str">
            <v>Foundation Special School</v>
          </cell>
          <cell r="F5851" t="str">
            <v>Special</v>
          </cell>
        </row>
        <row r="5852">
          <cell r="A5852">
            <v>3832050</v>
          </cell>
          <cell r="B5852">
            <v>127817</v>
          </cell>
          <cell r="C5852" t="str">
            <v>Chapel Allerton First School</v>
          </cell>
          <cell r="D5852" t="str">
            <v>Leeds</v>
          </cell>
          <cell r="E5852" t="str">
            <v>Community School</v>
          </cell>
          <cell r="F5852" t="str">
            <v>Primary</v>
          </cell>
        </row>
        <row r="5853">
          <cell r="A5853">
            <v>3832427</v>
          </cell>
          <cell r="B5853">
            <v>107903</v>
          </cell>
          <cell r="C5853" t="str">
            <v>Chapel Allerton Primary School</v>
          </cell>
          <cell r="D5853" t="str">
            <v>Leeds</v>
          </cell>
          <cell r="E5853" t="str">
            <v>Community School</v>
          </cell>
          <cell r="F5853" t="str">
            <v>Primary</v>
          </cell>
        </row>
        <row r="5854">
          <cell r="A5854">
            <v>9262416</v>
          </cell>
          <cell r="B5854">
            <v>121018</v>
          </cell>
          <cell r="C5854" t="str">
            <v>Chapel Break Infant School</v>
          </cell>
          <cell r="D5854" t="str">
            <v>Norfolk</v>
          </cell>
          <cell r="E5854" t="str">
            <v>Community School</v>
          </cell>
          <cell r="F5854" t="str">
            <v>Primary</v>
          </cell>
        </row>
        <row r="5855">
          <cell r="A5855">
            <v>3202028</v>
          </cell>
          <cell r="B5855">
            <v>103052</v>
          </cell>
          <cell r="C5855" t="str">
            <v>Chapel End Infant School and Early Years Centre</v>
          </cell>
          <cell r="D5855" t="str">
            <v>Waltham Forest</v>
          </cell>
          <cell r="E5855" t="str">
            <v>Community School</v>
          </cell>
          <cell r="F5855" t="str">
            <v>Primary</v>
          </cell>
        </row>
        <row r="5856">
          <cell r="A5856">
            <v>3202027</v>
          </cell>
          <cell r="B5856">
            <v>103051</v>
          </cell>
          <cell r="C5856" t="str">
            <v>Chapel End Junior School</v>
          </cell>
          <cell r="D5856" t="str">
            <v>Waltham Forest</v>
          </cell>
          <cell r="E5856" t="str">
            <v>Community School</v>
          </cell>
          <cell r="F5856" t="str">
            <v>Primary</v>
          </cell>
        </row>
        <row r="5857">
          <cell r="A5857">
            <v>3422062</v>
          </cell>
          <cell r="B5857">
            <v>104779</v>
          </cell>
          <cell r="C5857" t="str">
            <v>Chapel End Primary School</v>
          </cell>
          <cell r="D5857" t="str">
            <v>St. Helens</v>
          </cell>
          <cell r="E5857" t="str">
            <v>Community School</v>
          </cell>
          <cell r="F5857" t="str">
            <v>Primary</v>
          </cell>
        </row>
        <row r="5858">
          <cell r="A5858">
            <v>3342087</v>
          </cell>
          <cell r="B5858">
            <v>104076</v>
          </cell>
          <cell r="C5858" t="str">
            <v>Chapel Fields Junior School</v>
          </cell>
          <cell r="D5858" t="str">
            <v>Solihull</v>
          </cell>
          <cell r="E5858" t="str">
            <v>Community School</v>
          </cell>
          <cell r="F5858" t="str">
            <v>Primary</v>
          </cell>
        </row>
        <row r="5859">
          <cell r="A5859">
            <v>3807008</v>
          </cell>
          <cell r="B5859">
            <v>107466</v>
          </cell>
          <cell r="C5859" t="str">
            <v>Chapel Grange School</v>
          </cell>
          <cell r="D5859" t="str">
            <v>Bradford</v>
          </cell>
          <cell r="E5859" t="str">
            <v>Community Special School</v>
          </cell>
          <cell r="F5859" t="str">
            <v>Special</v>
          </cell>
        </row>
        <row r="5860">
          <cell r="A5860">
            <v>8153233</v>
          </cell>
          <cell r="B5860">
            <v>121556</v>
          </cell>
          <cell r="C5860" t="str">
            <v>Chapel Haddlesey Church of England Voluntary Controlled Primary School</v>
          </cell>
          <cell r="D5860" t="str">
            <v>North Yorkshire</v>
          </cell>
          <cell r="E5860" t="str">
            <v>Voluntary Controlled School</v>
          </cell>
          <cell r="F5860" t="str">
            <v>Primary</v>
          </cell>
        </row>
        <row r="5861">
          <cell r="A5861">
            <v>8812270</v>
          </cell>
          <cell r="B5861">
            <v>114812</v>
          </cell>
          <cell r="C5861" t="str">
            <v>Chapel Hill Primary School and Nursery</v>
          </cell>
          <cell r="D5861" t="str">
            <v>Essex</v>
          </cell>
          <cell r="E5861" t="str">
            <v>Community School</v>
          </cell>
          <cell r="F5861" t="str">
            <v>Primary</v>
          </cell>
        </row>
        <row r="5862">
          <cell r="A5862">
            <v>3914159</v>
          </cell>
          <cell r="B5862">
            <v>108517</v>
          </cell>
          <cell r="C5862" t="str">
            <v>Chapel House Middle School</v>
          </cell>
          <cell r="D5862" t="str">
            <v>Newcastle upon Tyne</v>
          </cell>
          <cell r="E5862" t="str">
            <v>Community School</v>
          </cell>
          <cell r="F5862" t="str">
            <v>Middle Deemed Secondary</v>
          </cell>
        </row>
        <row r="5863">
          <cell r="A5863">
            <v>3914157</v>
          </cell>
          <cell r="B5863">
            <v>108516</v>
          </cell>
          <cell r="C5863" t="str">
            <v>Chapel Park Middle School</v>
          </cell>
          <cell r="D5863" t="str">
            <v>Newcastle upon Tyne</v>
          </cell>
          <cell r="E5863" t="str">
            <v>Community School</v>
          </cell>
          <cell r="F5863" t="str">
            <v>Middle Deemed Secondary</v>
          </cell>
        </row>
        <row r="5864">
          <cell r="A5864">
            <v>9267010</v>
          </cell>
          <cell r="B5864">
            <v>121260</v>
          </cell>
          <cell r="C5864" t="str">
            <v>Chapel Road School</v>
          </cell>
          <cell r="D5864" t="str">
            <v>Norfolk</v>
          </cell>
          <cell r="E5864" t="str">
            <v>Community Special School</v>
          </cell>
          <cell r="F5864" t="str">
            <v>Special</v>
          </cell>
        </row>
        <row r="5865">
          <cell r="A5865">
            <v>9255210</v>
          </cell>
          <cell r="B5865">
            <v>120677</v>
          </cell>
          <cell r="C5865" t="str">
            <v>Chapel St Leonards Primary School</v>
          </cell>
          <cell r="D5865" t="str">
            <v>Lincolnshire</v>
          </cell>
          <cell r="E5865" t="str">
            <v>Foundation School</v>
          </cell>
          <cell r="F5865" t="str">
            <v>Primary</v>
          </cell>
        </row>
        <row r="5866">
          <cell r="A5866">
            <v>9092403</v>
          </cell>
          <cell r="B5866">
            <v>112192</v>
          </cell>
          <cell r="C5866" t="str">
            <v>Chapel Street Infants and Nursery School</v>
          </cell>
          <cell r="D5866" t="str">
            <v>Cumbria</v>
          </cell>
          <cell r="E5866" t="str">
            <v>Community School</v>
          </cell>
          <cell r="F5866" t="str">
            <v>Primary</v>
          </cell>
        </row>
        <row r="5867">
          <cell r="A5867">
            <v>8211016</v>
          </cell>
          <cell r="B5867">
            <v>109421</v>
          </cell>
          <cell r="C5867" t="str">
            <v>Chapel Street Nursery School</v>
          </cell>
          <cell r="D5867" t="str">
            <v>Luton</v>
          </cell>
          <cell r="E5867" t="str">
            <v>LA Nursery School</v>
          </cell>
          <cell r="F5867" t="str">
            <v>Nursery</v>
          </cell>
        </row>
        <row r="5868">
          <cell r="A5868">
            <v>3522058</v>
          </cell>
          <cell r="B5868">
            <v>105404</v>
          </cell>
          <cell r="C5868" t="str">
            <v>Chapel Street Primary School</v>
          </cell>
          <cell r="D5868" t="str">
            <v>Manchester</v>
          </cell>
          <cell r="E5868" t="str">
            <v>Community School</v>
          </cell>
          <cell r="F5868" t="str">
            <v>Primary</v>
          </cell>
        </row>
        <row r="5869">
          <cell r="A5869">
            <v>8303023</v>
          </cell>
          <cell r="B5869">
            <v>112808</v>
          </cell>
          <cell r="C5869" t="str">
            <v>Chapel-En-Le-Frith CofE Infant School</v>
          </cell>
          <cell r="D5869" t="str">
            <v>Derbyshire</v>
          </cell>
          <cell r="E5869" t="str">
            <v>Voluntary Controlled School</v>
          </cell>
          <cell r="F5869" t="str">
            <v>Primary</v>
          </cell>
        </row>
        <row r="5870">
          <cell r="A5870">
            <v>8302013</v>
          </cell>
          <cell r="B5870">
            <v>133538</v>
          </cell>
          <cell r="C5870" t="str">
            <v>Chapel-en-le-Frith CofE VC Primary School</v>
          </cell>
          <cell r="D5870" t="str">
            <v>Derbyshire</v>
          </cell>
          <cell r="E5870" t="str">
            <v>Voluntary Controlled School</v>
          </cell>
          <cell r="F5870" t="str">
            <v>Primary</v>
          </cell>
        </row>
        <row r="5871">
          <cell r="A5871">
            <v>8304019</v>
          </cell>
          <cell r="B5871">
            <v>112932</v>
          </cell>
          <cell r="C5871" t="str">
            <v>Chapel-en-le-Frith High School</v>
          </cell>
          <cell r="D5871" t="str">
            <v>Derbyshire</v>
          </cell>
          <cell r="E5871" t="str">
            <v>Community School</v>
          </cell>
          <cell r="F5871" t="str">
            <v>Secondary</v>
          </cell>
        </row>
        <row r="5872">
          <cell r="A5872">
            <v>3512045</v>
          </cell>
          <cell r="B5872">
            <v>105313</v>
          </cell>
          <cell r="C5872" t="str">
            <v>Chapelfield Primary School</v>
          </cell>
          <cell r="D5872" t="str">
            <v>Bury</v>
          </cell>
          <cell r="E5872" t="str">
            <v>Community School</v>
          </cell>
          <cell r="F5872" t="str">
            <v>Primary</v>
          </cell>
        </row>
        <row r="5873">
          <cell r="A5873">
            <v>8653316</v>
          </cell>
          <cell r="B5873">
            <v>126396</v>
          </cell>
          <cell r="C5873" t="str">
            <v>Chapmanslade Church of England Voluntary Aided Primary School</v>
          </cell>
          <cell r="D5873" t="str">
            <v>Wiltshire</v>
          </cell>
          <cell r="E5873" t="str">
            <v>Voluntary Aided School</v>
          </cell>
          <cell r="F5873" t="str">
            <v>Primary</v>
          </cell>
        </row>
        <row r="5874">
          <cell r="A5874">
            <v>8813019</v>
          </cell>
          <cell r="B5874">
            <v>115073</v>
          </cell>
          <cell r="C5874" t="str">
            <v>Chappel Church of England Controlled Primary School</v>
          </cell>
          <cell r="D5874" t="str">
            <v>Essex</v>
          </cell>
          <cell r="E5874" t="str">
            <v>Voluntary Controlled School</v>
          </cell>
          <cell r="F5874" t="str">
            <v>Primary</v>
          </cell>
        </row>
        <row r="5875">
          <cell r="A5875">
            <v>8874076</v>
          </cell>
          <cell r="B5875">
            <v>118800</v>
          </cell>
          <cell r="C5875" t="str">
            <v>Chapter School</v>
          </cell>
          <cell r="D5875" t="str">
            <v>Medway</v>
          </cell>
          <cell r="E5875" t="str">
            <v>Community School</v>
          </cell>
          <cell r="F5875" t="str">
            <v>Secondary</v>
          </cell>
        </row>
        <row r="5876">
          <cell r="A5876">
            <v>8032170</v>
          </cell>
          <cell r="B5876">
            <v>109012</v>
          </cell>
          <cell r="C5876" t="str">
            <v>Charborough Road Primary School</v>
          </cell>
          <cell r="D5876" t="str">
            <v>South Gloucestershire</v>
          </cell>
          <cell r="E5876" t="str">
            <v>Community School</v>
          </cell>
          <cell r="F5876" t="str">
            <v>Primary</v>
          </cell>
        </row>
        <row r="5877">
          <cell r="A5877">
            <v>9336165</v>
          </cell>
          <cell r="B5877">
            <v>123927</v>
          </cell>
          <cell r="C5877" t="str">
            <v>Chard School</v>
          </cell>
          <cell r="D5877" t="str">
            <v>Somerset</v>
          </cell>
          <cell r="E5877" t="str">
            <v>Other Independent School</v>
          </cell>
          <cell r="F5877" t="str">
            <v>Not applicable</v>
          </cell>
        </row>
        <row r="5878">
          <cell r="A5878">
            <v>8032232</v>
          </cell>
          <cell r="B5878">
            <v>109058</v>
          </cell>
          <cell r="C5878" t="str">
            <v>Charfield Primary School</v>
          </cell>
          <cell r="D5878" t="str">
            <v>South Gloucestershire</v>
          </cell>
          <cell r="E5878" t="str">
            <v>Community School</v>
          </cell>
          <cell r="F5878" t="str">
            <v>Primary</v>
          </cell>
        </row>
        <row r="5879">
          <cell r="A5879">
            <v>8852016</v>
          </cell>
          <cell r="B5879">
            <v>116659</v>
          </cell>
          <cell r="C5879" t="str">
            <v>Charford First School</v>
          </cell>
          <cell r="D5879" t="str">
            <v>Worcestershire</v>
          </cell>
          <cell r="E5879" t="str">
            <v>Community School</v>
          </cell>
          <cell r="F5879" t="str">
            <v>Primary</v>
          </cell>
        </row>
        <row r="5880">
          <cell r="A5880">
            <v>8863343</v>
          </cell>
          <cell r="B5880">
            <v>118739</v>
          </cell>
          <cell r="C5880" t="str">
            <v>Charing Church of England Aided Primary School</v>
          </cell>
          <cell r="D5880" t="str">
            <v>Kent</v>
          </cell>
          <cell r="E5880" t="str">
            <v>Voluntary Aided School</v>
          </cell>
          <cell r="F5880" t="str">
            <v>Primary</v>
          </cell>
        </row>
        <row r="5881">
          <cell r="A5881">
            <v>9312100</v>
          </cell>
          <cell r="B5881">
            <v>123000</v>
          </cell>
          <cell r="C5881" t="str">
            <v>Charlbury Primary School</v>
          </cell>
          <cell r="D5881" t="str">
            <v>Oxfordshire</v>
          </cell>
          <cell r="E5881" t="str">
            <v>Community School</v>
          </cell>
          <cell r="F5881" t="str">
            <v>Primary</v>
          </cell>
        </row>
        <row r="5882">
          <cell r="A5882">
            <v>3332170</v>
          </cell>
          <cell r="B5882">
            <v>103975</v>
          </cell>
          <cell r="C5882" t="str">
            <v>Charlemont Junior and Infant School</v>
          </cell>
          <cell r="D5882" t="str">
            <v>Sandwell</v>
          </cell>
          <cell r="E5882" t="str">
            <v>Community School</v>
          </cell>
          <cell r="F5882" t="str">
            <v>Primary</v>
          </cell>
        </row>
        <row r="5883">
          <cell r="A5883">
            <v>3307056</v>
          </cell>
          <cell r="B5883">
            <v>103629</v>
          </cell>
          <cell r="C5883" t="str">
            <v>Charles Burns School</v>
          </cell>
          <cell r="D5883" t="str">
            <v>Birmingham</v>
          </cell>
          <cell r="E5883" t="str">
            <v>Community Special School</v>
          </cell>
          <cell r="F5883" t="str">
            <v>Special</v>
          </cell>
        </row>
        <row r="5884">
          <cell r="A5884">
            <v>9264048</v>
          </cell>
          <cell r="B5884">
            <v>121166</v>
          </cell>
          <cell r="C5884" t="str">
            <v>Charles Burrell Humanities School</v>
          </cell>
          <cell r="D5884" t="str">
            <v>Norfolk</v>
          </cell>
          <cell r="E5884" t="str">
            <v>Community School</v>
          </cell>
          <cell r="F5884" t="str">
            <v>Secondary</v>
          </cell>
        </row>
        <row r="5885">
          <cell r="A5885">
            <v>8962186</v>
          </cell>
          <cell r="B5885">
            <v>111053</v>
          </cell>
          <cell r="C5885" t="str">
            <v>Charles Darwin Community Primary School</v>
          </cell>
          <cell r="D5885" t="str">
            <v>Cheshire West and Chester</v>
          </cell>
          <cell r="E5885" t="str">
            <v>Community School</v>
          </cell>
          <cell r="F5885" t="str">
            <v>Primary</v>
          </cell>
        </row>
        <row r="5886">
          <cell r="A5886">
            <v>3055409</v>
          </cell>
          <cell r="B5886">
            <v>101675</v>
          </cell>
          <cell r="C5886" t="str">
            <v>Charles Darwin School</v>
          </cell>
          <cell r="D5886" t="str">
            <v>Bromley</v>
          </cell>
          <cell r="E5886" t="str">
            <v>Foundation School</v>
          </cell>
          <cell r="F5886" t="str">
            <v>Secondary</v>
          </cell>
        </row>
        <row r="5887">
          <cell r="A5887">
            <v>3055409</v>
          </cell>
          <cell r="B5887">
            <v>136545</v>
          </cell>
          <cell r="C5887" t="str">
            <v>Charles Darwin School</v>
          </cell>
          <cell r="D5887" t="str">
            <v>Bromley</v>
          </cell>
          <cell r="E5887" t="str">
            <v>Academy Converters</v>
          </cell>
          <cell r="F5887" t="str">
            <v>Secondary</v>
          </cell>
        </row>
        <row r="5888">
          <cell r="A5888">
            <v>8512639</v>
          </cell>
          <cell r="B5888">
            <v>116184</v>
          </cell>
          <cell r="C5888" t="str">
            <v>Charles Dickens Infant School</v>
          </cell>
          <cell r="D5888" t="str">
            <v>Portsmouth</v>
          </cell>
          <cell r="E5888" t="str">
            <v>Community School</v>
          </cell>
          <cell r="F5888" t="str">
            <v>Primary</v>
          </cell>
        </row>
        <row r="5889">
          <cell r="A5889">
            <v>8512638</v>
          </cell>
          <cell r="B5889">
            <v>116183</v>
          </cell>
          <cell r="C5889" t="str">
            <v>Charles Dickens Junior School</v>
          </cell>
          <cell r="D5889" t="str">
            <v>Portsmouth</v>
          </cell>
          <cell r="E5889" t="str">
            <v>Community School</v>
          </cell>
          <cell r="F5889" t="str">
            <v>Primary</v>
          </cell>
        </row>
        <row r="5890">
          <cell r="A5890">
            <v>2102100</v>
          </cell>
          <cell r="B5890">
            <v>100781</v>
          </cell>
          <cell r="C5890" t="str">
            <v>Charles Dickens Primary School</v>
          </cell>
          <cell r="D5890" t="str">
            <v>Southwark</v>
          </cell>
          <cell r="E5890" t="str">
            <v>Community School</v>
          </cell>
          <cell r="F5890" t="str">
            <v>Primary</v>
          </cell>
        </row>
        <row r="5891">
          <cell r="A5891">
            <v>2081107</v>
          </cell>
          <cell r="B5891">
            <v>131703</v>
          </cell>
          <cell r="C5891" t="str">
            <v>Charles Edward Brooke Refugee Centre Co Charles Edward Brooke CofE School</v>
          </cell>
          <cell r="D5891" t="str">
            <v>Lambeth</v>
          </cell>
          <cell r="E5891" t="str">
            <v>Pupil Referral Unit</v>
          </cell>
          <cell r="F5891" t="str">
            <v>PRU</v>
          </cell>
        </row>
        <row r="5892">
          <cell r="A5892">
            <v>2084509</v>
          </cell>
          <cell r="B5892">
            <v>100627</v>
          </cell>
          <cell r="C5892" t="str">
            <v>Charles Edward Brooke School</v>
          </cell>
          <cell r="D5892" t="str">
            <v>Lambeth</v>
          </cell>
          <cell r="E5892" t="str">
            <v>Voluntary Aided School</v>
          </cell>
          <cell r="F5892" t="str">
            <v>Secondary</v>
          </cell>
        </row>
        <row r="5893">
          <cell r="A5893">
            <v>8568006</v>
          </cell>
          <cell r="B5893">
            <v>130751</v>
          </cell>
          <cell r="C5893" t="str">
            <v>Charles Keene College of Further Education</v>
          </cell>
          <cell r="D5893" t="str">
            <v>Leicester</v>
          </cell>
          <cell r="E5893" t="str">
            <v>Further Education</v>
          </cell>
          <cell r="F5893" t="str">
            <v>16 Plus</v>
          </cell>
        </row>
        <row r="5894">
          <cell r="A5894">
            <v>8503326</v>
          </cell>
          <cell r="B5894">
            <v>116357</v>
          </cell>
          <cell r="C5894" t="str">
            <v>Charles Kingsley's Church of England Primary School</v>
          </cell>
          <cell r="D5894" t="str">
            <v>Hampshire</v>
          </cell>
          <cell r="E5894" t="str">
            <v>Voluntary Aided School</v>
          </cell>
          <cell r="F5894" t="str">
            <v>Primary</v>
          </cell>
        </row>
        <row r="5895">
          <cell r="A5895">
            <v>2062101</v>
          </cell>
          <cell r="B5895">
            <v>100400</v>
          </cell>
          <cell r="C5895" t="str">
            <v>Charles Lamb Primary School</v>
          </cell>
          <cell r="D5895" t="str">
            <v>Islington</v>
          </cell>
          <cell r="E5895" t="str">
            <v>Community School</v>
          </cell>
          <cell r="F5895" t="str">
            <v>Primary</v>
          </cell>
        </row>
        <row r="5896">
          <cell r="A5896">
            <v>8861112</v>
          </cell>
          <cell r="B5896">
            <v>118242</v>
          </cell>
          <cell r="C5896" t="str">
            <v>Charles Street Unit</v>
          </cell>
          <cell r="D5896" t="str">
            <v>Kent</v>
          </cell>
          <cell r="E5896" t="str">
            <v>Pupil Referral Unit</v>
          </cell>
          <cell r="F5896" t="str">
            <v>PRU</v>
          </cell>
        </row>
        <row r="5897">
          <cell r="A5897">
            <v>3904031</v>
          </cell>
          <cell r="B5897">
            <v>108405</v>
          </cell>
          <cell r="C5897" t="str">
            <v>Charles Thorp Comprehensive School</v>
          </cell>
          <cell r="D5897" t="str">
            <v>Gateshead</v>
          </cell>
          <cell r="E5897" t="str">
            <v>Community School</v>
          </cell>
          <cell r="F5897" t="str">
            <v>Secondary</v>
          </cell>
        </row>
        <row r="5898">
          <cell r="A5898">
            <v>3522060</v>
          </cell>
          <cell r="B5898">
            <v>105405</v>
          </cell>
          <cell r="C5898" t="str">
            <v>Charlestown Community Primary School</v>
          </cell>
          <cell r="D5898" t="str">
            <v>Manchester</v>
          </cell>
          <cell r="E5898" t="str">
            <v>Community School</v>
          </cell>
          <cell r="F5898" t="str">
            <v>Primary</v>
          </cell>
        </row>
        <row r="5899">
          <cell r="A5899">
            <v>3552031</v>
          </cell>
          <cell r="B5899">
            <v>105891</v>
          </cell>
          <cell r="C5899" t="str">
            <v>Charlestown Community Primary School</v>
          </cell>
          <cell r="D5899" t="str">
            <v>Salford</v>
          </cell>
          <cell r="E5899" t="str">
            <v>Community School</v>
          </cell>
          <cell r="F5899" t="str">
            <v>Primary</v>
          </cell>
        </row>
        <row r="5900">
          <cell r="A5900">
            <v>9082449</v>
          </cell>
          <cell r="B5900">
            <v>111905</v>
          </cell>
          <cell r="C5900" t="str">
            <v>Charlestown Primary School</v>
          </cell>
          <cell r="D5900" t="str">
            <v>Cornwall</v>
          </cell>
          <cell r="E5900" t="str">
            <v>Community School</v>
          </cell>
          <cell r="F5900" t="str">
            <v>Primary</v>
          </cell>
        </row>
        <row r="5901">
          <cell r="A5901">
            <v>9082449</v>
          </cell>
          <cell r="B5901">
            <v>136760</v>
          </cell>
          <cell r="C5901" t="str">
            <v>Charlestown Primary School</v>
          </cell>
          <cell r="D5901" t="str">
            <v>Cornwall</v>
          </cell>
          <cell r="E5901" t="str">
            <v>Academy Converters</v>
          </cell>
          <cell r="F5901" t="str">
            <v>Primary</v>
          </cell>
        </row>
        <row r="5902">
          <cell r="A5902">
            <v>9103307</v>
          </cell>
          <cell r="B5902">
            <v>128630</v>
          </cell>
          <cell r="C5902" t="str">
            <v>Charlesworth CofE Primary School</v>
          </cell>
          <cell r="D5902" t="str">
            <v>Pre LGR (1997) Derbyshire</v>
          </cell>
          <cell r="E5902" t="str">
            <v>Voluntary Aided School</v>
          </cell>
          <cell r="F5902" t="str">
            <v>Primary</v>
          </cell>
        </row>
        <row r="5903">
          <cell r="A5903">
            <v>9102069</v>
          </cell>
          <cell r="B5903">
            <v>128615</v>
          </cell>
          <cell r="C5903" t="str">
            <v>Charlesworth Primary School</v>
          </cell>
          <cell r="D5903" t="str">
            <v>Pre LGR (1997) Derbyshire</v>
          </cell>
          <cell r="E5903" t="str">
            <v>Community School</v>
          </cell>
          <cell r="F5903" t="str">
            <v>Primary</v>
          </cell>
        </row>
        <row r="5904">
          <cell r="A5904">
            <v>8303163</v>
          </cell>
          <cell r="B5904">
            <v>112877</v>
          </cell>
          <cell r="C5904" t="str">
            <v>Charlesworth Voluntary Controlled Primary School</v>
          </cell>
          <cell r="D5904" t="str">
            <v>Derbyshire</v>
          </cell>
          <cell r="E5904" t="str">
            <v>Voluntary Controlled School</v>
          </cell>
          <cell r="F5904" t="str">
            <v>Primary</v>
          </cell>
        </row>
        <row r="5905">
          <cell r="A5905">
            <v>8783104</v>
          </cell>
          <cell r="B5905">
            <v>113391</v>
          </cell>
          <cell r="C5905" t="str">
            <v>Charleton Church of England Primary School</v>
          </cell>
          <cell r="D5905" t="str">
            <v>Devon</v>
          </cell>
          <cell r="E5905" t="str">
            <v>Voluntary Controlled School</v>
          </cell>
          <cell r="F5905" t="str">
            <v>Primary</v>
          </cell>
        </row>
        <row r="5906">
          <cell r="A5906">
            <v>9196126</v>
          </cell>
          <cell r="B5906">
            <v>117635</v>
          </cell>
          <cell r="C5906" t="str">
            <v>Charlotte House Preparatory School</v>
          </cell>
          <cell r="D5906" t="str">
            <v>Hertfordshire</v>
          </cell>
          <cell r="E5906" t="str">
            <v>Other Independent School</v>
          </cell>
          <cell r="F5906" t="str">
            <v>Not applicable</v>
          </cell>
        </row>
        <row r="5907">
          <cell r="A5907">
            <v>8302146</v>
          </cell>
          <cell r="B5907">
            <v>112575</v>
          </cell>
          <cell r="C5907" t="str">
            <v>Charlotte Nursery and Infant School</v>
          </cell>
          <cell r="D5907" t="str">
            <v>Derbyshire</v>
          </cell>
          <cell r="E5907" t="str">
            <v>Community School</v>
          </cell>
          <cell r="F5907" t="str">
            <v>Primary</v>
          </cell>
        </row>
        <row r="5908">
          <cell r="A5908">
            <v>2105207</v>
          </cell>
          <cell r="B5908">
            <v>100816</v>
          </cell>
          <cell r="C5908" t="str">
            <v>Charlotte Sharman Primary School</v>
          </cell>
          <cell r="D5908" t="str">
            <v>Southwark</v>
          </cell>
          <cell r="E5908" t="str">
            <v>Foundation School</v>
          </cell>
          <cell r="F5908" t="str">
            <v>Primary</v>
          </cell>
        </row>
        <row r="5909">
          <cell r="A5909">
            <v>2033669</v>
          </cell>
          <cell r="B5909">
            <v>134013</v>
          </cell>
          <cell r="C5909" t="str">
            <v>Charlotte Turner Primary School</v>
          </cell>
          <cell r="D5909" t="str">
            <v>Greenwich</v>
          </cell>
          <cell r="E5909" t="str">
            <v>Community School</v>
          </cell>
          <cell r="F5909" t="str">
            <v>Primary</v>
          </cell>
        </row>
        <row r="5910">
          <cell r="A5910">
            <v>203940</v>
          </cell>
          <cell r="B5910">
            <v>132692</v>
          </cell>
          <cell r="C5910" t="str">
            <v>Charlton Athletic Study Support Centre</v>
          </cell>
          <cell r="D5910" t="str">
            <v>Greenwich</v>
          </cell>
          <cell r="E5910" t="str">
            <v>Playing for Success Centres</v>
          </cell>
          <cell r="F5910" t="str">
            <v>Not applicable</v>
          </cell>
        </row>
        <row r="5911">
          <cell r="A5911">
            <v>8863355</v>
          </cell>
          <cell r="B5911">
            <v>118747</v>
          </cell>
          <cell r="C5911" t="str">
            <v>Charlton Church of England Primary School</v>
          </cell>
          <cell r="D5911" t="str">
            <v>Kent</v>
          </cell>
          <cell r="E5911" t="str">
            <v>Voluntary Aided School</v>
          </cell>
          <cell r="F5911" t="str">
            <v>Primary</v>
          </cell>
        </row>
        <row r="5912">
          <cell r="A5912">
            <v>8861105</v>
          </cell>
          <cell r="B5912">
            <v>118235</v>
          </cell>
          <cell r="C5912" t="str">
            <v>Charlton Court</v>
          </cell>
          <cell r="D5912" t="str">
            <v>Kent</v>
          </cell>
          <cell r="E5912" t="str">
            <v>Pupil Referral Unit</v>
          </cell>
          <cell r="F5912" t="str">
            <v>PRU</v>
          </cell>
        </row>
        <row r="5913">
          <cell r="A5913">
            <v>9335202</v>
          </cell>
          <cell r="B5913">
            <v>123901</v>
          </cell>
          <cell r="C5913" t="str">
            <v>Charlton Horethorne Church of England Primary School</v>
          </cell>
          <cell r="D5913" t="str">
            <v>Somerset</v>
          </cell>
          <cell r="E5913" t="str">
            <v>Voluntary Aided School</v>
          </cell>
          <cell r="F5913" t="str">
            <v>Primary</v>
          </cell>
        </row>
        <row r="5914">
          <cell r="A5914">
            <v>9165207</v>
          </cell>
          <cell r="B5914">
            <v>115737</v>
          </cell>
          <cell r="C5914" t="str">
            <v>Charlton Kings Infant School</v>
          </cell>
          <cell r="D5914" t="str">
            <v>Gloucestershire</v>
          </cell>
          <cell r="E5914" t="str">
            <v>Foundation School</v>
          </cell>
          <cell r="F5914" t="str">
            <v>Primary</v>
          </cell>
        </row>
        <row r="5915">
          <cell r="A5915">
            <v>9165207</v>
          </cell>
          <cell r="B5915">
            <v>136999</v>
          </cell>
          <cell r="C5915" t="str">
            <v>Charlton Kings Infant School</v>
          </cell>
          <cell r="D5915" t="str">
            <v>Gloucestershire</v>
          </cell>
          <cell r="E5915" t="str">
            <v>Academy Converters</v>
          </cell>
          <cell r="F5915" t="str">
            <v>Primary</v>
          </cell>
        </row>
        <row r="5916">
          <cell r="A5916">
            <v>9165206</v>
          </cell>
          <cell r="B5916">
            <v>115736</v>
          </cell>
          <cell r="C5916" t="str">
            <v>Charlton Kings Junior School</v>
          </cell>
          <cell r="D5916" t="str">
            <v>Gloucestershire</v>
          </cell>
          <cell r="E5916" t="str">
            <v>Foundation School</v>
          </cell>
          <cell r="F5916" t="str">
            <v>Primary</v>
          </cell>
        </row>
        <row r="5917">
          <cell r="A5917">
            <v>9165206</v>
          </cell>
          <cell r="B5917">
            <v>137266</v>
          </cell>
          <cell r="C5917" t="str">
            <v>Charlton Kings Junior School</v>
          </cell>
          <cell r="D5917" t="str">
            <v>Gloucestershire</v>
          </cell>
          <cell r="E5917" t="str">
            <v>Academy Converters</v>
          </cell>
          <cell r="F5917" t="str">
            <v>Primary</v>
          </cell>
        </row>
        <row r="5918">
          <cell r="A5918">
            <v>9333020</v>
          </cell>
          <cell r="B5918">
            <v>123746</v>
          </cell>
          <cell r="C5918" t="str">
            <v>Charlton Mackrell CofE Primary School</v>
          </cell>
          <cell r="D5918" t="str">
            <v>Somerset</v>
          </cell>
          <cell r="E5918" t="str">
            <v>Voluntary Controlled School</v>
          </cell>
          <cell r="F5918" t="str">
            <v>Primary</v>
          </cell>
        </row>
        <row r="5919">
          <cell r="A5919">
            <v>2032104</v>
          </cell>
          <cell r="B5919">
            <v>126580</v>
          </cell>
          <cell r="C5919" t="str">
            <v>Charlton Manor Infant School</v>
          </cell>
          <cell r="D5919" t="str">
            <v>Greenwich</v>
          </cell>
          <cell r="E5919" t="str">
            <v>Community School</v>
          </cell>
          <cell r="F5919" t="str">
            <v>Primary</v>
          </cell>
        </row>
        <row r="5920">
          <cell r="A5920">
            <v>2032103</v>
          </cell>
          <cell r="B5920">
            <v>126579</v>
          </cell>
          <cell r="C5920" t="str">
            <v>Charlton Manor Junior School</v>
          </cell>
          <cell r="D5920" t="str">
            <v>Greenwich</v>
          </cell>
          <cell r="E5920" t="str">
            <v>Community School</v>
          </cell>
          <cell r="F5920" t="str">
            <v>Primary</v>
          </cell>
        </row>
        <row r="5921">
          <cell r="A5921">
            <v>2032917</v>
          </cell>
          <cell r="B5921">
            <v>100164</v>
          </cell>
          <cell r="C5921" t="str">
            <v>Charlton Manor Primary School</v>
          </cell>
          <cell r="D5921" t="str">
            <v>Greenwich</v>
          </cell>
          <cell r="E5921" t="str">
            <v>Community School</v>
          </cell>
          <cell r="F5921" t="str">
            <v>Primary</v>
          </cell>
        </row>
        <row r="5922">
          <cell r="A5922">
            <v>2037130</v>
          </cell>
          <cell r="B5922">
            <v>100205</v>
          </cell>
          <cell r="C5922" t="str">
            <v>Charlton Park School</v>
          </cell>
          <cell r="D5922" t="str">
            <v>Greenwich</v>
          </cell>
          <cell r="E5922" t="str">
            <v>Community Special School</v>
          </cell>
          <cell r="F5922" t="str">
            <v>Special</v>
          </cell>
        </row>
        <row r="5923">
          <cell r="A5923">
            <v>9312573</v>
          </cell>
          <cell r="B5923">
            <v>123069</v>
          </cell>
          <cell r="C5923" t="str">
            <v>Charlton Primary School</v>
          </cell>
          <cell r="D5923" t="str">
            <v>Oxfordshire</v>
          </cell>
          <cell r="E5923" t="str">
            <v>Community School</v>
          </cell>
          <cell r="F5923" t="str">
            <v>Primary</v>
          </cell>
        </row>
        <row r="5924">
          <cell r="A5924">
            <v>8945404</v>
          </cell>
          <cell r="B5924">
            <v>123597</v>
          </cell>
          <cell r="C5924" t="str">
            <v>Charlton School</v>
          </cell>
          <cell r="D5924" t="str">
            <v>Telford and Wrekin</v>
          </cell>
          <cell r="E5924" t="str">
            <v>Foundation School</v>
          </cell>
          <cell r="F5924" t="str">
            <v>Secondary</v>
          </cell>
        </row>
        <row r="5925">
          <cell r="A5925">
            <v>2037199</v>
          </cell>
          <cell r="B5925">
            <v>133400</v>
          </cell>
          <cell r="C5925" t="str">
            <v>Charlton School</v>
          </cell>
          <cell r="D5925" t="str">
            <v>Greenwich</v>
          </cell>
          <cell r="E5925" t="str">
            <v>Community Special School</v>
          </cell>
          <cell r="F5925" t="str">
            <v>Special</v>
          </cell>
        </row>
        <row r="5926">
          <cell r="A5926">
            <v>9313081</v>
          </cell>
          <cell r="B5926">
            <v>123100</v>
          </cell>
          <cell r="C5926" t="str">
            <v>Charlton-on-Otmoor Church of England Primary School</v>
          </cell>
          <cell r="D5926" t="str">
            <v>Oxfordshire</v>
          </cell>
          <cell r="E5926" t="str">
            <v>Voluntary Controlled School</v>
          </cell>
          <cell r="F5926" t="str">
            <v>Primary</v>
          </cell>
        </row>
        <row r="5927">
          <cell r="A5927">
            <v>9386254</v>
          </cell>
          <cell r="B5927">
            <v>125450</v>
          </cell>
          <cell r="C5927" t="str">
            <v>Charlwood House</v>
          </cell>
          <cell r="D5927" t="str">
            <v>West Sussex</v>
          </cell>
          <cell r="E5927" t="str">
            <v>Other Independent School</v>
          </cell>
          <cell r="F5927" t="str">
            <v>Not applicable</v>
          </cell>
        </row>
        <row r="5928">
          <cell r="A5928">
            <v>9362056</v>
          </cell>
          <cell r="B5928">
            <v>124946</v>
          </cell>
          <cell r="C5928" t="str">
            <v>Charlwood Village Infant School</v>
          </cell>
          <cell r="D5928" t="str">
            <v>Surrey</v>
          </cell>
          <cell r="E5928" t="str">
            <v>Community School</v>
          </cell>
          <cell r="F5928" t="str">
            <v>Primary</v>
          </cell>
        </row>
        <row r="5929">
          <cell r="A5929">
            <v>9046116</v>
          </cell>
          <cell r="B5929">
            <v>128353</v>
          </cell>
          <cell r="C5929" t="str">
            <v>Charmandean School</v>
          </cell>
          <cell r="D5929" t="str">
            <v>Pre LGR (1997) Buckinghamshire</v>
          </cell>
          <cell r="E5929" t="str">
            <v>Other Independent School</v>
          </cell>
          <cell r="F5929" t="str">
            <v>Not applicable</v>
          </cell>
        </row>
        <row r="5930">
          <cell r="A5930">
            <v>8352008</v>
          </cell>
          <cell r="B5930">
            <v>113662</v>
          </cell>
          <cell r="C5930" t="str">
            <v>Charmouth Primary School</v>
          </cell>
          <cell r="D5930" t="str">
            <v>Dorset</v>
          </cell>
          <cell r="E5930" t="str">
            <v>Community School</v>
          </cell>
          <cell r="F5930" t="str">
            <v>Primary</v>
          </cell>
        </row>
        <row r="5931">
          <cell r="A5931">
            <v>3732248</v>
          </cell>
          <cell r="B5931">
            <v>127691</v>
          </cell>
          <cell r="C5931" t="str">
            <v>Charnock Hall First School</v>
          </cell>
          <cell r="D5931" t="str">
            <v>Sheffield</v>
          </cell>
          <cell r="E5931" t="str">
            <v>Community School</v>
          </cell>
          <cell r="F5931" t="str">
            <v>Primary</v>
          </cell>
        </row>
        <row r="5932">
          <cell r="A5932">
            <v>3732247</v>
          </cell>
          <cell r="B5932">
            <v>127690</v>
          </cell>
          <cell r="C5932" t="str">
            <v>Charnock Hall Middle School</v>
          </cell>
          <cell r="D5932" t="str">
            <v>Sheffield</v>
          </cell>
          <cell r="E5932" t="str">
            <v>Community School</v>
          </cell>
          <cell r="F5932" t="str">
            <v>Middle Deemed Primary</v>
          </cell>
        </row>
        <row r="5933">
          <cell r="A5933">
            <v>3732354</v>
          </cell>
          <cell r="B5933">
            <v>107097</v>
          </cell>
          <cell r="C5933" t="str">
            <v>Charnock Hall Primary School</v>
          </cell>
          <cell r="D5933" t="str">
            <v>Sheffield</v>
          </cell>
          <cell r="E5933" t="str">
            <v>Community School</v>
          </cell>
          <cell r="F5933" t="str">
            <v>Primary</v>
          </cell>
        </row>
        <row r="5934">
          <cell r="A5934">
            <v>8562347</v>
          </cell>
          <cell r="B5934">
            <v>120072</v>
          </cell>
          <cell r="C5934" t="str">
            <v>Charnwood Primary School</v>
          </cell>
          <cell r="D5934" t="str">
            <v>Leicester</v>
          </cell>
          <cell r="E5934" t="str">
            <v>Community School</v>
          </cell>
          <cell r="F5934" t="str">
            <v>Primary</v>
          </cell>
        </row>
        <row r="5935">
          <cell r="A5935">
            <v>8602388</v>
          </cell>
          <cell r="B5935">
            <v>124185</v>
          </cell>
          <cell r="C5935" t="str">
            <v>Charnwood Primary School</v>
          </cell>
          <cell r="D5935" t="str">
            <v>Staffordshire</v>
          </cell>
          <cell r="E5935" t="str">
            <v>Community School</v>
          </cell>
          <cell r="F5935" t="str">
            <v>Primary</v>
          </cell>
        </row>
        <row r="5936">
          <cell r="A5936">
            <v>9353081</v>
          </cell>
          <cell r="B5936">
            <v>124725</v>
          </cell>
          <cell r="C5936" t="str">
            <v>Charsfield Church of England Voluntary Controlled Primary School</v>
          </cell>
          <cell r="D5936" t="str">
            <v>Suffolk</v>
          </cell>
          <cell r="E5936" t="str">
            <v>Voluntary Controlled School</v>
          </cell>
          <cell r="F5936" t="str">
            <v>Primary</v>
          </cell>
        </row>
        <row r="5937">
          <cell r="A5937">
            <v>8516905</v>
          </cell>
          <cell r="B5937">
            <v>135965</v>
          </cell>
          <cell r="C5937" t="str">
            <v>Charter Academy</v>
          </cell>
          <cell r="D5937" t="str">
            <v>Portsmouth</v>
          </cell>
          <cell r="E5937" t="str">
            <v>Academy Sponsor Led</v>
          </cell>
          <cell r="F5937" t="str">
            <v>Secondary</v>
          </cell>
        </row>
        <row r="5938">
          <cell r="A5938">
            <v>8652226</v>
          </cell>
          <cell r="B5938">
            <v>126292</v>
          </cell>
          <cell r="C5938" t="str">
            <v>Charter Primary School</v>
          </cell>
          <cell r="D5938" t="str">
            <v>Wiltshire</v>
          </cell>
          <cell r="E5938" t="str">
            <v>Community School</v>
          </cell>
          <cell r="F5938" t="str">
            <v>Primary</v>
          </cell>
        </row>
        <row r="5939">
          <cell r="A5939">
            <v>3313436</v>
          </cell>
          <cell r="B5939">
            <v>134019</v>
          </cell>
          <cell r="C5939" t="str">
            <v>Charter Primary School</v>
          </cell>
          <cell r="D5939" t="str">
            <v>Coventry</v>
          </cell>
          <cell r="E5939" t="str">
            <v>Community School</v>
          </cell>
          <cell r="F5939" t="str">
            <v>Primary</v>
          </cell>
        </row>
        <row r="5940">
          <cell r="A5940">
            <v>9366041</v>
          </cell>
          <cell r="B5940">
            <v>125340</v>
          </cell>
          <cell r="C5940" t="str">
            <v>Charterhouse</v>
          </cell>
          <cell r="D5940" t="str">
            <v>Surrey</v>
          </cell>
          <cell r="E5940" t="str">
            <v>Other Independent School</v>
          </cell>
          <cell r="F5940" t="str">
            <v>Not applicable</v>
          </cell>
        </row>
        <row r="5941">
          <cell r="A5941">
            <v>8456042</v>
          </cell>
          <cell r="B5941">
            <v>131279</v>
          </cell>
          <cell r="C5941" t="str">
            <v>Charters Ancaster College</v>
          </cell>
          <cell r="D5941" t="str">
            <v>East Sussex</v>
          </cell>
          <cell r="E5941" t="str">
            <v>Other Independent School</v>
          </cell>
          <cell r="F5941" t="str">
            <v>Not applicable</v>
          </cell>
        </row>
        <row r="5942">
          <cell r="A5942">
            <v>8684029</v>
          </cell>
          <cell r="B5942">
            <v>110046</v>
          </cell>
          <cell r="C5942" t="str">
            <v>Charters School</v>
          </cell>
          <cell r="D5942" t="str">
            <v>Windsor and Maidenhead</v>
          </cell>
          <cell r="E5942" t="str">
            <v>Foundation School</v>
          </cell>
          <cell r="F5942" t="str">
            <v>Secondary</v>
          </cell>
        </row>
        <row r="5943">
          <cell r="A5943">
            <v>9146052</v>
          </cell>
          <cell r="B5943">
            <v>128850</v>
          </cell>
          <cell r="C5943" t="str">
            <v>Charters-Ancaster School</v>
          </cell>
          <cell r="D5943" t="str">
            <v>Pre LGR (1997) East Sussex</v>
          </cell>
          <cell r="E5943" t="str">
            <v>Other Independent School</v>
          </cell>
          <cell r="F5943" t="str">
            <v>Not applicable</v>
          </cell>
        </row>
        <row r="5944">
          <cell r="A5944">
            <v>2127116</v>
          </cell>
          <cell r="B5944">
            <v>101098</v>
          </cell>
          <cell r="C5944" t="str">
            <v>Chartfield School</v>
          </cell>
          <cell r="D5944" t="str">
            <v>Wandsworth</v>
          </cell>
          <cell r="E5944" t="str">
            <v>Community Special School</v>
          </cell>
          <cell r="F5944" t="str">
            <v>Special</v>
          </cell>
        </row>
        <row r="5945">
          <cell r="A5945">
            <v>8866035</v>
          </cell>
          <cell r="B5945">
            <v>118977</v>
          </cell>
          <cell r="C5945" t="str">
            <v>Chartfield School</v>
          </cell>
          <cell r="D5945" t="str">
            <v>Kent</v>
          </cell>
          <cell r="E5945" t="str">
            <v>Other Independent School</v>
          </cell>
          <cell r="F5945" t="str">
            <v>Not applicable</v>
          </cell>
        </row>
        <row r="5946">
          <cell r="A5946">
            <v>8862259</v>
          </cell>
          <cell r="B5946">
            <v>118357</v>
          </cell>
          <cell r="C5946" t="str">
            <v>Chartham Primary School</v>
          </cell>
          <cell r="D5946" t="str">
            <v>Kent</v>
          </cell>
          <cell r="E5946" t="str">
            <v>Community School</v>
          </cell>
          <cell r="F5946" t="str">
            <v>Primary</v>
          </cell>
        </row>
        <row r="5947">
          <cell r="A5947">
            <v>8252197</v>
          </cell>
          <cell r="B5947">
            <v>110298</v>
          </cell>
          <cell r="C5947" t="str">
            <v>Chartridge Combined School</v>
          </cell>
          <cell r="D5947" t="str">
            <v>Buckinghamshire</v>
          </cell>
          <cell r="E5947" t="str">
            <v>Community School</v>
          </cell>
          <cell r="F5947" t="str">
            <v>Primary</v>
          </cell>
        </row>
        <row r="5948">
          <cell r="A5948">
            <v>2086390</v>
          </cell>
          <cell r="B5948">
            <v>131092</v>
          </cell>
          <cell r="C5948" t="str">
            <v>Chartswood Education Centre</v>
          </cell>
          <cell r="D5948" t="str">
            <v>Lambeth</v>
          </cell>
          <cell r="E5948" t="str">
            <v>Other Independent School</v>
          </cell>
          <cell r="F5948" t="str">
            <v>Not applicable</v>
          </cell>
        </row>
        <row r="5949">
          <cell r="A5949">
            <v>8736018</v>
          </cell>
          <cell r="B5949">
            <v>110931</v>
          </cell>
          <cell r="C5949" t="str">
            <v>Chartwell House School</v>
          </cell>
          <cell r="D5949" t="str">
            <v>Cambridgeshire</v>
          </cell>
          <cell r="E5949" t="str">
            <v>Other Independent Special School</v>
          </cell>
          <cell r="F5949" t="str">
            <v>Not applicable</v>
          </cell>
        </row>
        <row r="5950">
          <cell r="A5950">
            <v>3122006</v>
          </cell>
          <cell r="B5950">
            <v>126931</v>
          </cell>
          <cell r="C5950" t="str">
            <v>Charville Infant School</v>
          </cell>
          <cell r="D5950" t="str">
            <v>Hillingdon</v>
          </cell>
          <cell r="E5950" t="str">
            <v>Community School</v>
          </cell>
          <cell r="F5950" t="str">
            <v>Primary</v>
          </cell>
        </row>
        <row r="5951">
          <cell r="A5951">
            <v>3122005</v>
          </cell>
          <cell r="B5951">
            <v>126930</v>
          </cell>
          <cell r="C5951" t="str">
            <v>Charville Junior School</v>
          </cell>
          <cell r="D5951" t="str">
            <v>Hillingdon</v>
          </cell>
          <cell r="E5951" t="str">
            <v>Community School</v>
          </cell>
          <cell r="F5951" t="str">
            <v>Primary</v>
          </cell>
        </row>
        <row r="5952">
          <cell r="A5952">
            <v>3125206</v>
          </cell>
          <cell r="B5952">
            <v>102436</v>
          </cell>
          <cell r="C5952" t="str">
            <v>Charville Primary School</v>
          </cell>
          <cell r="D5952" t="str">
            <v>Hillingdon</v>
          </cell>
          <cell r="E5952" t="str">
            <v>Foundation School</v>
          </cell>
          <cell r="F5952" t="str">
            <v>Primary</v>
          </cell>
        </row>
        <row r="5953">
          <cell r="A5953">
            <v>8606008</v>
          </cell>
          <cell r="B5953">
            <v>124486</v>
          </cell>
          <cell r="C5953" t="str">
            <v>Chase Academy</v>
          </cell>
          <cell r="D5953" t="str">
            <v>Staffordshire</v>
          </cell>
          <cell r="E5953" t="str">
            <v>Other Independent School</v>
          </cell>
          <cell r="F5953" t="str">
            <v>Not applicable</v>
          </cell>
        </row>
        <row r="5954">
          <cell r="A5954">
            <v>8606023</v>
          </cell>
          <cell r="B5954">
            <v>131695</v>
          </cell>
          <cell r="C5954" t="str">
            <v>Chase Academy International Study Centre</v>
          </cell>
          <cell r="D5954" t="str">
            <v>Staffordshire</v>
          </cell>
          <cell r="E5954" t="str">
            <v>Other Independent School</v>
          </cell>
          <cell r="F5954" t="str">
            <v>Not applicable</v>
          </cell>
        </row>
        <row r="5955">
          <cell r="A5955">
            <v>3182030</v>
          </cell>
          <cell r="B5955">
            <v>127021</v>
          </cell>
          <cell r="C5955" t="str">
            <v>Chase Bridge Infant School</v>
          </cell>
          <cell r="D5955" t="str">
            <v>Richmond upon Thames</v>
          </cell>
          <cell r="E5955" t="str">
            <v>Community School</v>
          </cell>
          <cell r="F5955" t="str">
            <v>Primary</v>
          </cell>
        </row>
        <row r="5956">
          <cell r="A5956">
            <v>3182002</v>
          </cell>
          <cell r="B5956">
            <v>127018</v>
          </cell>
          <cell r="C5956" t="str">
            <v>Chase Bridge Junior School</v>
          </cell>
          <cell r="D5956" t="str">
            <v>Richmond upon Thames</v>
          </cell>
          <cell r="E5956" t="str">
            <v>Community School</v>
          </cell>
          <cell r="F5956" t="str">
            <v>Primary</v>
          </cell>
        </row>
        <row r="5957">
          <cell r="A5957">
            <v>3182036</v>
          </cell>
          <cell r="B5957">
            <v>102905</v>
          </cell>
          <cell r="C5957" t="str">
            <v>Chase Bridge Primary School</v>
          </cell>
          <cell r="D5957" t="str">
            <v>Richmond upon Thames</v>
          </cell>
          <cell r="E5957" t="str">
            <v>Community School</v>
          </cell>
          <cell r="F5957" t="str">
            <v>Primary</v>
          </cell>
        </row>
        <row r="5958">
          <cell r="A5958">
            <v>3114030</v>
          </cell>
          <cell r="B5958">
            <v>126926</v>
          </cell>
          <cell r="C5958" t="str">
            <v>Chase Cross School</v>
          </cell>
          <cell r="D5958" t="str">
            <v>Havering</v>
          </cell>
          <cell r="E5958" t="str">
            <v>Community School</v>
          </cell>
          <cell r="F5958" t="str">
            <v>Secondary</v>
          </cell>
        </row>
        <row r="5959">
          <cell r="A5959">
            <v>8824735</v>
          </cell>
          <cell r="B5959">
            <v>131146</v>
          </cell>
          <cell r="C5959" t="str">
            <v>Chase High School</v>
          </cell>
          <cell r="D5959" t="str">
            <v>Southend-on-Sea</v>
          </cell>
          <cell r="E5959" t="str">
            <v>Foundation School</v>
          </cell>
          <cell r="F5959" t="str">
            <v>Secondary</v>
          </cell>
        </row>
        <row r="5960">
          <cell r="A5960">
            <v>3202000</v>
          </cell>
          <cell r="B5960">
            <v>103031</v>
          </cell>
          <cell r="C5960" t="str">
            <v>Chase Lane Junior School</v>
          </cell>
          <cell r="D5960" t="str">
            <v>Waltham Forest</v>
          </cell>
          <cell r="E5960" t="str">
            <v>Community School</v>
          </cell>
          <cell r="F5960" t="str">
            <v>Primary</v>
          </cell>
        </row>
        <row r="5961">
          <cell r="A5961">
            <v>3202001</v>
          </cell>
          <cell r="B5961">
            <v>103032</v>
          </cell>
          <cell r="C5961" t="str">
            <v>Chase Lane Primary School</v>
          </cell>
          <cell r="D5961" t="str">
            <v>Waltham Forest</v>
          </cell>
          <cell r="E5961" t="str">
            <v>Community School</v>
          </cell>
          <cell r="F5961" t="str">
            <v>Primary</v>
          </cell>
        </row>
        <row r="5962">
          <cell r="A5962">
            <v>8815261</v>
          </cell>
          <cell r="B5962">
            <v>115301</v>
          </cell>
          <cell r="C5962" t="str">
            <v>Chase Lane Primary School and Nursery</v>
          </cell>
          <cell r="D5962" t="str">
            <v>Essex</v>
          </cell>
          <cell r="E5962" t="str">
            <v>Community School</v>
          </cell>
          <cell r="F5962" t="str">
            <v>Primary</v>
          </cell>
        </row>
        <row r="5963">
          <cell r="A5963">
            <v>3717004</v>
          </cell>
          <cell r="B5963">
            <v>106820</v>
          </cell>
          <cell r="C5963" t="str">
            <v>Chase School</v>
          </cell>
          <cell r="D5963" t="str">
            <v>Doncaster</v>
          </cell>
          <cell r="E5963" t="str">
            <v>Community Special School</v>
          </cell>
          <cell r="F5963" t="str">
            <v>Special</v>
          </cell>
        </row>
        <row r="5964">
          <cell r="A5964">
            <v>3906006</v>
          </cell>
          <cell r="B5964">
            <v>108418</v>
          </cell>
          <cell r="C5964" t="str">
            <v>Chase School</v>
          </cell>
          <cell r="D5964" t="str">
            <v>Gateshead</v>
          </cell>
          <cell r="E5964" t="str">
            <v>Other Independent School</v>
          </cell>
          <cell r="F5964" t="str">
            <v>Not applicable</v>
          </cell>
        </row>
        <row r="5965">
          <cell r="A5965">
            <v>3082012</v>
          </cell>
          <cell r="B5965">
            <v>101984</v>
          </cell>
          <cell r="C5965" t="str">
            <v>Chase Side Primary School</v>
          </cell>
          <cell r="D5965" t="str">
            <v>Enfield</v>
          </cell>
          <cell r="E5965" t="str">
            <v>Community School</v>
          </cell>
          <cell r="F5965" t="str">
            <v>Primary</v>
          </cell>
        </row>
        <row r="5966">
          <cell r="A5966">
            <v>9342172</v>
          </cell>
          <cell r="B5966">
            <v>129875</v>
          </cell>
          <cell r="C5966" t="str">
            <v>Chase Terrace First School</v>
          </cell>
          <cell r="D5966" t="str">
            <v>Pre LGR (1997) Staffordshire</v>
          </cell>
          <cell r="E5966" t="str">
            <v>Community School</v>
          </cell>
          <cell r="F5966" t="str">
            <v>Primary</v>
          </cell>
        </row>
        <row r="5967">
          <cell r="A5967">
            <v>9344073</v>
          </cell>
          <cell r="B5967">
            <v>129934</v>
          </cell>
          <cell r="C5967" t="str">
            <v>Chase Terrace High School</v>
          </cell>
          <cell r="D5967" t="str">
            <v>Pre LGR (1997) Staffordshire</v>
          </cell>
          <cell r="E5967" t="str">
            <v>Community School</v>
          </cell>
          <cell r="F5967" t="str">
            <v>Secondary</v>
          </cell>
        </row>
        <row r="5968">
          <cell r="A5968">
            <v>9344162</v>
          </cell>
          <cell r="B5968">
            <v>129944</v>
          </cell>
          <cell r="C5968" t="str">
            <v>Chase Terrace Middle School</v>
          </cell>
          <cell r="D5968" t="str">
            <v>Pre LGR (1997) Staffordshire</v>
          </cell>
          <cell r="E5968" t="str">
            <v>Community School</v>
          </cell>
          <cell r="F5968" t="str">
            <v>Middle Deemed Secondary</v>
          </cell>
        </row>
        <row r="5969">
          <cell r="A5969">
            <v>8602411</v>
          </cell>
          <cell r="B5969">
            <v>124207</v>
          </cell>
          <cell r="C5969" t="str">
            <v>Chase Terrace Primary School</v>
          </cell>
          <cell r="D5969" t="str">
            <v>Staffordshire</v>
          </cell>
          <cell r="E5969" t="str">
            <v>Community School</v>
          </cell>
          <cell r="F5969" t="str">
            <v>Primary</v>
          </cell>
        </row>
        <row r="5970">
          <cell r="A5970">
            <v>8604178</v>
          </cell>
          <cell r="B5970">
            <v>124443</v>
          </cell>
          <cell r="C5970" t="str">
            <v>Chase Terrace Technology College</v>
          </cell>
          <cell r="D5970" t="str">
            <v>Staffordshire</v>
          </cell>
          <cell r="E5970" t="str">
            <v>Community School</v>
          </cell>
          <cell r="F5970" t="str">
            <v>Secondary</v>
          </cell>
        </row>
        <row r="5971">
          <cell r="A5971">
            <v>8603494</v>
          </cell>
          <cell r="B5971">
            <v>134666</v>
          </cell>
          <cell r="C5971" t="str">
            <v>Chase View Community Primary School</v>
          </cell>
          <cell r="D5971" t="str">
            <v>Staffordshire</v>
          </cell>
          <cell r="E5971" t="str">
            <v>Community School</v>
          </cell>
          <cell r="F5971" t="str">
            <v>Primary</v>
          </cell>
        </row>
        <row r="5972">
          <cell r="A5972">
            <v>8601110</v>
          </cell>
          <cell r="B5972">
            <v>134351</v>
          </cell>
          <cell r="C5972" t="str">
            <v>Chaseley PRU</v>
          </cell>
          <cell r="D5972" t="str">
            <v>Staffordshire</v>
          </cell>
          <cell r="E5972" t="str">
            <v>Pupil Referral Unit</v>
          </cell>
          <cell r="F5972" t="str">
            <v>PRU</v>
          </cell>
        </row>
        <row r="5973">
          <cell r="A5973">
            <v>8607000</v>
          </cell>
          <cell r="B5973">
            <v>132731</v>
          </cell>
          <cell r="C5973" t="str">
            <v>Chasetown Community School</v>
          </cell>
          <cell r="D5973" t="str">
            <v>Staffordshire</v>
          </cell>
          <cell r="E5973" t="str">
            <v>Community Special School</v>
          </cell>
          <cell r="F5973" t="str">
            <v>Special</v>
          </cell>
        </row>
        <row r="5974">
          <cell r="A5974">
            <v>9342173</v>
          </cell>
          <cell r="B5974">
            <v>129876</v>
          </cell>
          <cell r="C5974" t="str">
            <v>Chasetown First School</v>
          </cell>
          <cell r="D5974" t="str">
            <v>Pre LGR (1997) Staffordshire</v>
          </cell>
          <cell r="E5974" t="str">
            <v>Community School</v>
          </cell>
          <cell r="F5974" t="str">
            <v>Primary</v>
          </cell>
        </row>
        <row r="5975">
          <cell r="A5975">
            <v>9344125</v>
          </cell>
          <cell r="B5975">
            <v>129937</v>
          </cell>
          <cell r="C5975" t="str">
            <v>Chasetown High School</v>
          </cell>
          <cell r="D5975" t="str">
            <v>Pre LGR (1997) Staffordshire</v>
          </cell>
          <cell r="E5975" t="str">
            <v>Community School</v>
          </cell>
          <cell r="F5975" t="str">
            <v>Secondary</v>
          </cell>
        </row>
        <row r="5976">
          <cell r="A5976">
            <v>8602412</v>
          </cell>
          <cell r="B5976">
            <v>124208</v>
          </cell>
          <cell r="C5976" t="str">
            <v>Chasetown Primary School</v>
          </cell>
          <cell r="D5976" t="str">
            <v>Staffordshire</v>
          </cell>
          <cell r="E5976" t="str">
            <v>Community School</v>
          </cell>
          <cell r="F5976" t="str">
            <v>Primary</v>
          </cell>
        </row>
        <row r="5977">
          <cell r="A5977">
            <v>8605404</v>
          </cell>
          <cell r="B5977">
            <v>124469</v>
          </cell>
          <cell r="C5977" t="str">
            <v>Chasetown Specialist Sports College</v>
          </cell>
          <cell r="D5977" t="str">
            <v>Staffordshire</v>
          </cell>
          <cell r="E5977" t="str">
            <v>Foundation School</v>
          </cell>
          <cell r="F5977" t="str">
            <v>Secondary</v>
          </cell>
        </row>
        <row r="5978">
          <cell r="A5978">
            <v>8883303</v>
          </cell>
          <cell r="B5978">
            <v>119418</v>
          </cell>
          <cell r="C5978" t="str">
            <v>Chatburn Church of England Primary School</v>
          </cell>
          <cell r="D5978" t="str">
            <v>Lancashire</v>
          </cell>
          <cell r="E5978" t="str">
            <v>Voluntary Aided School</v>
          </cell>
          <cell r="F5978" t="str">
            <v>Primary</v>
          </cell>
        </row>
        <row r="5979">
          <cell r="A5979">
            <v>9192122</v>
          </cell>
          <cell r="B5979">
            <v>117159</v>
          </cell>
          <cell r="C5979" t="str">
            <v>Chater Infant School</v>
          </cell>
          <cell r="D5979" t="str">
            <v>Hertfordshire</v>
          </cell>
          <cell r="E5979" t="str">
            <v>Community School</v>
          </cell>
          <cell r="F5979" t="str">
            <v>Primary</v>
          </cell>
        </row>
        <row r="5980">
          <cell r="A5980">
            <v>9192120</v>
          </cell>
          <cell r="B5980">
            <v>117158</v>
          </cell>
          <cell r="C5980" t="str">
            <v>Chater Junior School</v>
          </cell>
          <cell r="D5980" t="str">
            <v>Hertfordshire</v>
          </cell>
          <cell r="E5980" t="str">
            <v>Community School</v>
          </cell>
          <cell r="F5980" t="str">
            <v>Primary</v>
          </cell>
        </row>
        <row r="5981">
          <cell r="A5981">
            <v>8772686</v>
          </cell>
          <cell r="B5981">
            <v>111207</v>
          </cell>
          <cell r="C5981" t="str">
            <v>Chatfield Community Primary School</v>
          </cell>
          <cell r="D5981" t="str">
            <v>Warrington</v>
          </cell>
          <cell r="E5981" t="str">
            <v>Community School</v>
          </cell>
          <cell r="F5981" t="str">
            <v>Primary</v>
          </cell>
        </row>
        <row r="5982">
          <cell r="A5982">
            <v>8874068</v>
          </cell>
          <cell r="B5982">
            <v>118797</v>
          </cell>
          <cell r="C5982" t="str">
            <v>Chatham Grammar School for Boys</v>
          </cell>
          <cell r="D5982" t="str">
            <v>Medway</v>
          </cell>
          <cell r="E5982" t="str">
            <v>Community School</v>
          </cell>
          <cell r="F5982" t="str">
            <v>Secondary</v>
          </cell>
        </row>
        <row r="5983">
          <cell r="A5983">
            <v>8874068</v>
          </cell>
          <cell r="B5983">
            <v>136594</v>
          </cell>
          <cell r="C5983" t="str">
            <v>Chatham Grammar School for Boys</v>
          </cell>
          <cell r="D5983" t="str">
            <v>Medway</v>
          </cell>
          <cell r="E5983" t="str">
            <v>Academy Converters</v>
          </cell>
          <cell r="F5983" t="str">
            <v>Secondary</v>
          </cell>
        </row>
        <row r="5984">
          <cell r="A5984">
            <v>8875429</v>
          </cell>
          <cell r="B5984">
            <v>118901</v>
          </cell>
          <cell r="C5984" t="str">
            <v>Chatham Grammar School for Girls</v>
          </cell>
          <cell r="D5984" t="str">
            <v>Medway</v>
          </cell>
          <cell r="E5984" t="str">
            <v>Foundation School</v>
          </cell>
          <cell r="F5984" t="str">
            <v>Secondary</v>
          </cell>
        </row>
        <row r="5985">
          <cell r="A5985">
            <v>8875429</v>
          </cell>
          <cell r="B5985">
            <v>137389</v>
          </cell>
          <cell r="C5985" t="str">
            <v>Chatham Grammar School for Girls</v>
          </cell>
          <cell r="D5985" t="str">
            <v>Medway</v>
          </cell>
          <cell r="E5985" t="str">
            <v>Academy Converters</v>
          </cell>
          <cell r="F5985" t="str">
            <v>Secondary</v>
          </cell>
        </row>
        <row r="5986">
          <cell r="A5986">
            <v>8865462</v>
          </cell>
          <cell r="B5986">
            <v>118934</v>
          </cell>
          <cell r="C5986" t="str">
            <v>Chatham House Grammar School for Boys</v>
          </cell>
          <cell r="D5986" t="str">
            <v>Kent</v>
          </cell>
          <cell r="E5986" t="str">
            <v>Foundation School</v>
          </cell>
          <cell r="F5986" t="str">
            <v>Secondary</v>
          </cell>
        </row>
        <row r="5987">
          <cell r="A5987">
            <v>3411001</v>
          </cell>
          <cell r="B5987">
            <v>104503</v>
          </cell>
          <cell r="C5987" t="str">
            <v>Chatham Place Nursery School</v>
          </cell>
          <cell r="D5987" t="str">
            <v>Liverpool</v>
          </cell>
          <cell r="E5987" t="str">
            <v>LA Nursery School</v>
          </cell>
          <cell r="F5987" t="str">
            <v>Nursery</v>
          </cell>
        </row>
        <row r="5988">
          <cell r="A5988">
            <v>8874215</v>
          </cell>
          <cell r="B5988">
            <v>118827</v>
          </cell>
          <cell r="C5988" t="str">
            <v>Chatham South School</v>
          </cell>
          <cell r="D5988" t="str">
            <v>Medway</v>
          </cell>
          <cell r="E5988" t="str">
            <v>Community School</v>
          </cell>
          <cell r="F5988" t="str">
            <v>Secondary</v>
          </cell>
        </row>
        <row r="5989">
          <cell r="A5989">
            <v>9384603</v>
          </cell>
          <cell r="B5989">
            <v>126096</v>
          </cell>
          <cell r="C5989" t="str">
            <v>Chatsmore Catholic High School</v>
          </cell>
          <cell r="D5989" t="str">
            <v>West Sussex</v>
          </cell>
          <cell r="E5989" t="str">
            <v>Voluntary Aided School</v>
          </cell>
          <cell r="F5989" t="str">
            <v>Secondary</v>
          </cell>
        </row>
        <row r="5990">
          <cell r="A5990">
            <v>3412035</v>
          </cell>
          <cell r="B5990">
            <v>127260</v>
          </cell>
          <cell r="C5990" t="str">
            <v>Chatsworth County Infant School</v>
          </cell>
          <cell r="D5990" t="str">
            <v>Liverpool</v>
          </cell>
          <cell r="E5990" t="str">
            <v>Community School</v>
          </cell>
          <cell r="F5990" t="str">
            <v>Primary</v>
          </cell>
        </row>
        <row r="5991">
          <cell r="A5991">
            <v>3557026</v>
          </cell>
          <cell r="B5991">
            <v>106010</v>
          </cell>
          <cell r="C5991" t="str">
            <v>Chatsworth High School and Community College</v>
          </cell>
          <cell r="D5991" t="str">
            <v>Salford</v>
          </cell>
          <cell r="E5991" t="str">
            <v>Community Special School</v>
          </cell>
          <cell r="F5991" t="str">
            <v>Special</v>
          </cell>
        </row>
        <row r="5992">
          <cell r="A5992">
            <v>3132009</v>
          </cell>
          <cell r="B5992">
            <v>102474</v>
          </cell>
          <cell r="C5992" t="str">
            <v>Chatsworth Infant and Nursery School</v>
          </cell>
          <cell r="D5992" t="str">
            <v>Hounslow</v>
          </cell>
          <cell r="E5992" t="str">
            <v>Community School</v>
          </cell>
          <cell r="F5992" t="str">
            <v>Primary</v>
          </cell>
        </row>
        <row r="5993">
          <cell r="A5993">
            <v>3032061</v>
          </cell>
          <cell r="B5993">
            <v>101439</v>
          </cell>
          <cell r="C5993" t="str">
            <v>Chatsworth Infant School</v>
          </cell>
          <cell r="D5993" t="str">
            <v>Bexley</v>
          </cell>
          <cell r="E5993" t="str">
            <v>Community School</v>
          </cell>
          <cell r="F5993" t="str">
            <v>Primary</v>
          </cell>
        </row>
        <row r="5994">
          <cell r="A5994">
            <v>3412033</v>
          </cell>
          <cell r="B5994">
            <v>104529</v>
          </cell>
          <cell r="C5994" t="str">
            <v>Chatsworth Junior Mixed and Infant School</v>
          </cell>
          <cell r="D5994" t="str">
            <v>Liverpool</v>
          </cell>
          <cell r="E5994" t="str">
            <v>Community School</v>
          </cell>
          <cell r="F5994" t="str">
            <v>Primary</v>
          </cell>
        </row>
        <row r="5995">
          <cell r="A5995">
            <v>3132008</v>
          </cell>
          <cell r="B5995">
            <v>102473</v>
          </cell>
          <cell r="C5995" t="str">
            <v>Chatsworth Junior School</v>
          </cell>
          <cell r="D5995" t="str">
            <v>Hounslow</v>
          </cell>
          <cell r="E5995" t="str">
            <v>Community School</v>
          </cell>
          <cell r="F5995" t="str">
            <v>Primary</v>
          </cell>
        </row>
        <row r="5996">
          <cell r="A5996">
            <v>3133943</v>
          </cell>
          <cell r="B5996">
            <v>135880</v>
          </cell>
          <cell r="C5996" t="str">
            <v>Chatsworth Primary School</v>
          </cell>
          <cell r="D5996" t="str">
            <v>Hounslow</v>
          </cell>
          <cell r="E5996" t="str">
            <v>Community School</v>
          </cell>
          <cell r="F5996" t="str">
            <v>Primary</v>
          </cell>
        </row>
        <row r="5997">
          <cell r="A5997">
            <v>8872209</v>
          </cell>
          <cell r="B5997">
            <v>118324</v>
          </cell>
          <cell r="C5997" t="str">
            <v>Chattenden Primary School</v>
          </cell>
          <cell r="D5997" t="str">
            <v>Medway</v>
          </cell>
          <cell r="E5997" t="str">
            <v>Community School</v>
          </cell>
          <cell r="F5997" t="str">
            <v>Primary</v>
          </cell>
        </row>
        <row r="5998">
          <cell r="A5998">
            <v>9293362</v>
          </cell>
          <cell r="B5998">
            <v>122286</v>
          </cell>
          <cell r="C5998" t="str">
            <v>Chatton Church of England Aided First School</v>
          </cell>
          <cell r="D5998" t="str">
            <v>Northumberland</v>
          </cell>
          <cell r="E5998" t="str">
            <v>Voluntary Aided School</v>
          </cell>
          <cell r="F5998" t="str">
            <v>Primary</v>
          </cell>
        </row>
        <row r="5999">
          <cell r="A5999">
            <v>3734233</v>
          </cell>
          <cell r="B5999">
            <v>107130</v>
          </cell>
          <cell r="C5999" t="str">
            <v>Chaucer Business and Enterprise College</v>
          </cell>
          <cell r="D5999" t="str">
            <v>Sheffield</v>
          </cell>
          <cell r="E5999" t="str">
            <v>Foundation School</v>
          </cell>
          <cell r="F5999" t="str">
            <v>Secondary</v>
          </cell>
        </row>
        <row r="6000">
          <cell r="A6000">
            <v>8302135</v>
          </cell>
          <cell r="B6000">
            <v>112568</v>
          </cell>
          <cell r="C6000" t="str">
            <v>Chaucer Infant School</v>
          </cell>
          <cell r="D6000" t="str">
            <v>Derbyshire</v>
          </cell>
          <cell r="E6000" t="str">
            <v>Community School</v>
          </cell>
          <cell r="F6000" t="str">
            <v>Primary</v>
          </cell>
        </row>
        <row r="6001">
          <cell r="A6001">
            <v>8302376</v>
          </cell>
          <cell r="B6001">
            <v>112709</v>
          </cell>
          <cell r="C6001" t="str">
            <v>Chaucer Junior School</v>
          </cell>
          <cell r="D6001" t="str">
            <v>Derbyshire</v>
          </cell>
          <cell r="E6001" t="str">
            <v>Community School</v>
          </cell>
          <cell r="F6001" t="str">
            <v>Primary</v>
          </cell>
        </row>
        <row r="6002">
          <cell r="A6002">
            <v>8792653</v>
          </cell>
          <cell r="B6002">
            <v>113285</v>
          </cell>
          <cell r="C6002" t="str">
            <v>Chaucer Primary School</v>
          </cell>
          <cell r="D6002" t="str">
            <v>Plymouth</v>
          </cell>
          <cell r="E6002" t="str">
            <v>Community School</v>
          </cell>
          <cell r="F6002" t="str">
            <v>Primary</v>
          </cell>
        </row>
        <row r="6003">
          <cell r="A6003">
            <v>8865452</v>
          </cell>
          <cell r="B6003">
            <v>118924</v>
          </cell>
          <cell r="C6003" t="str">
            <v>Chaucer Technology School</v>
          </cell>
          <cell r="D6003" t="str">
            <v>Kent</v>
          </cell>
          <cell r="E6003" t="str">
            <v>Foundation School</v>
          </cell>
          <cell r="F6003" t="str">
            <v>Secondary</v>
          </cell>
        </row>
        <row r="6004">
          <cell r="A6004">
            <v>9192193</v>
          </cell>
          <cell r="B6004">
            <v>117202</v>
          </cell>
          <cell r="C6004" t="str">
            <v>Chaulden Infants' and Nursery</v>
          </cell>
          <cell r="D6004" t="str">
            <v>Hertfordshire</v>
          </cell>
          <cell r="E6004" t="str">
            <v>Community School</v>
          </cell>
          <cell r="F6004" t="str">
            <v>Primary</v>
          </cell>
        </row>
        <row r="6005">
          <cell r="A6005">
            <v>9192185</v>
          </cell>
          <cell r="B6005">
            <v>117198</v>
          </cell>
          <cell r="C6005" t="str">
            <v>Chaulden Junior School</v>
          </cell>
          <cell r="D6005" t="str">
            <v>Hertfordshire</v>
          </cell>
          <cell r="E6005" t="str">
            <v>Community School</v>
          </cell>
          <cell r="F6005" t="str">
            <v>Primary</v>
          </cell>
        </row>
        <row r="6006">
          <cell r="A6006">
            <v>8782259</v>
          </cell>
          <cell r="B6006">
            <v>113181</v>
          </cell>
          <cell r="C6006" t="str">
            <v>Chawleigh Primary School</v>
          </cell>
          <cell r="D6006" t="str">
            <v>Devon</v>
          </cell>
          <cell r="E6006" t="str">
            <v>Community School</v>
          </cell>
          <cell r="F6006" t="str">
            <v>Primary</v>
          </cell>
        </row>
        <row r="6007">
          <cell r="A6007">
            <v>9112005</v>
          </cell>
          <cell r="B6007">
            <v>128684</v>
          </cell>
          <cell r="C6007" t="str">
            <v>Chawleigh Primary School</v>
          </cell>
          <cell r="D6007" t="str">
            <v>Pre LGR (1998) Devon</v>
          </cell>
          <cell r="E6007" t="str">
            <v>Community School</v>
          </cell>
          <cell r="F6007" t="str">
            <v>Primary</v>
          </cell>
        </row>
        <row r="6008">
          <cell r="A6008">
            <v>8852036</v>
          </cell>
          <cell r="B6008">
            <v>116672</v>
          </cell>
          <cell r="C6008" t="str">
            <v>Chawson First School</v>
          </cell>
          <cell r="D6008" t="str">
            <v>Worcestershire</v>
          </cell>
          <cell r="E6008" t="str">
            <v>Community School</v>
          </cell>
          <cell r="F6008" t="str">
            <v>Primary</v>
          </cell>
        </row>
        <row r="6009">
          <cell r="A6009">
            <v>8503029</v>
          </cell>
          <cell r="B6009">
            <v>116281</v>
          </cell>
          <cell r="C6009" t="str">
            <v>Chawton Church of England Primary School</v>
          </cell>
          <cell r="D6009" t="str">
            <v>Hampshire</v>
          </cell>
          <cell r="E6009" t="str">
            <v>Voluntary Controlled School</v>
          </cell>
          <cell r="F6009" t="str">
            <v>Primary</v>
          </cell>
        </row>
        <row r="6010">
          <cell r="A6010">
            <v>8501102</v>
          </cell>
          <cell r="B6010">
            <v>115835</v>
          </cell>
          <cell r="C6010" t="str">
            <v>Chawton Park Pupil Referral Unit</v>
          </cell>
          <cell r="D6010" t="str">
            <v>Hampshire</v>
          </cell>
          <cell r="E6010" t="str">
            <v>Pupil Referral Unit</v>
          </cell>
          <cell r="F6010" t="str">
            <v>PRU</v>
          </cell>
        </row>
        <row r="6011">
          <cell r="A6011">
            <v>3568604</v>
          </cell>
          <cell r="B6011">
            <v>130515</v>
          </cell>
          <cell r="C6011" t="str">
            <v>Cheadle and Marple Sixth Form College</v>
          </cell>
          <cell r="D6011" t="str">
            <v>Stockport</v>
          </cell>
          <cell r="E6011" t="str">
            <v>Further Education</v>
          </cell>
          <cell r="F6011" t="str">
            <v>16 Plus</v>
          </cell>
        </row>
        <row r="6012">
          <cell r="A6012">
            <v>3563500</v>
          </cell>
          <cell r="B6012">
            <v>106111</v>
          </cell>
          <cell r="C6012" t="str">
            <v>Cheadle Catholic Infant School</v>
          </cell>
          <cell r="D6012" t="str">
            <v>Stockport</v>
          </cell>
          <cell r="E6012" t="str">
            <v>Voluntary Aided School</v>
          </cell>
          <cell r="F6012" t="str">
            <v>Primary</v>
          </cell>
        </row>
        <row r="6013">
          <cell r="A6013">
            <v>3563501</v>
          </cell>
          <cell r="B6013">
            <v>106112</v>
          </cell>
          <cell r="C6013" t="str">
            <v>Cheadle Catholic Junior School</v>
          </cell>
          <cell r="D6013" t="str">
            <v>Stockport</v>
          </cell>
          <cell r="E6013" t="str">
            <v>Voluntary Aided School</v>
          </cell>
          <cell r="F6013" t="str">
            <v>Primary</v>
          </cell>
        </row>
        <row r="6014">
          <cell r="A6014">
            <v>3562022</v>
          </cell>
          <cell r="B6014">
            <v>106039</v>
          </cell>
          <cell r="C6014" t="str">
            <v>Cheadle Heath Infant School</v>
          </cell>
          <cell r="D6014" t="str">
            <v>Stockport</v>
          </cell>
          <cell r="E6014" t="str">
            <v>Community School</v>
          </cell>
          <cell r="F6014" t="str">
            <v>Primary</v>
          </cell>
        </row>
        <row r="6015">
          <cell r="A6015">
            <v>3562023</v>
          </cell>
          <cell r="B6015">
            <v>106040</v>
          </cell>
          <cell r="C6015" t="str">
            <v>Cheadle Heath Junior School</v>
          </cell>
          <cell r="D6015" t="str">
            <v>Stockport</v>
          </cell>
          <cell r="E6015" t="str">
            <v>Community School</v>
          </cell>
          <cell r="F6015" t="str">
            <v>Primary</v>
          </cell>
        </row>
        <row r="6016">
          <cell r="A6016">
            <v>3562120</v>
          </cell>
          <cell r="B6016">
            <v>133326</v>
          </cell>
          <cell r="C6016" t="str">
            <v>Cheadle Heath Primary School</v>
          </cell>
          <cell r="D6016" t="str">
            <v>Stockport</v>
          </cell>
          <cell r="E6016" t="str">
            <v>Community School</v>
          </cell>
          <cell r="F6016" t="str">
            <v>Primary</v>
          </cell>
        </row>
        <row r="6017">
          <cell r="A6017">
            <v>8604153</v>
          </cell>
          <cell r="B6017">
            <v>124431</v>
          </cell>
          <cell r="C6017" t="str">
            <v>Cheadle High School</v>
          </cell>
          <cell r="D6017" t="str">
            <v>Staffordshire</v>
          </cell>
          <cell r="E6017" t="str">
            <v>Community School</v>
          </cell>
          <cell r="F6017" t="str">
            <v>Secondary</v>
          </cell>
        </row>
        <row r="6018">
          <cell r="A6018">
            <v>3564007</v>
          </cell>
          <cell r="B6018">
            <v>127509</v>
          </cell>
          <cell r="C6018" t="str">
            <v>Cheadle Hulme County High School</v>
          </cell>
          <cell r="D6018" t="str">
            <v>Stockport</v>
          </cell>
          <cell r="E6018" t="str">
            <v>Community School</v>
          </cell>
          <cell r="F6018" t="str">
            <v>Secondary</v>
          </cell>
        </row>
        <row r="6019">
          <cell r="A6019">
            <v>3564039</v>
          </cell>
          <cell r="B6019">
            <v>106140</v>
          </cell>
          <cell r="C6019" t="str">
            <v>Cheadle Hulme High School</v>
          </cell>
          <cell r="D6019" t="str">
            <v>Stockport</v>
          </cell>
          <cell r="E6019" t="str">
            <v>Community School</v>
          </cell>
          <cell r="F6019" t="str">
            <v>Secondary</v>
          </cell>
        </row>
        <row r="6020">
          <cell r="A6020">
            <v>3566010</v>
          </cell>
          <cell r="B6020">
            <v>106152</v>
          </cell>
          <cell r="C6020" t="str">
            <v>Cheadle Hulme Junior School</v>
          </cell>
          <cell r="D6020" t="str">
            <v>Stockport</v>
          </cell>
          <cell r="E6020" t="str">
            <v>Other Independent School</v>
          </cell>
          <cell r="F6020" t="str">
            <v>Not applicable</v>
          </cell>
        </row>
        <row r="6021">
          <cell r="A6021">
            <v>3566019</v>
          </cell>
          <cell r="B6021">
            <v>106157</v>
          </cell>
          <cell r="C6021" t="str">
            <v>Cheadle Hulme School</v>
          </cell>
          <cell r="D6021" t="str">
            <v>Stockport</v>
          </cell>
          <cell r="E6021" t="str">
            <v>Other Independent School</v>
          </cell>
          <cell r="F6021" t="str">
            <v>Not applicable</v>
          </cell>
        </row>
        <row r="6022">
          <cell r="A6022">
            <v>3566022</v>
          </cell>
          <cell r="B6022">
            <v>106159</v>
          </cell>
          <cell r="C6022" t="str">
            <v>Cheadle Preparatory School</v>
          </cell>
          <cell r="D6022" t="str">
            <v>Stockport</v>
          </cell>
          <cell r="E6022" t="str">
            <v>Other Independent School</v>
          </cell>
          <cell r="F6022" t="str">
            <v>Not applicable</v>
          </cell>
        </row>
        <row r="6023">
          <cell r="A6023">
            <v>3562021</v>
          </cell>
          <cell r="B6023">
            <v>106038</v>
          </cell>
          <cell r="C6023" t="str">
            <v>Cheadle Primary School</v>
          </cell>
          <cell r="D6023" t="str">
            <v>Stockport</v>
          </cell>
          <cell r="E6023" t="str">
            <v>Community School</v>
          </cell>
          <cell r="F6023" t="str">
            <v>Primary</v>
          </cell>
        </row>
        <row r="6024">
          <cell r="A6024">
            <v>8602191</v>
          </cell>
          <cell r="B6024">
            <v>124076</v>
          </cell>
          <cell r="C6024" t="str">
            <v>Cheadle Primary School</v>
          </cell>
          <cell r="D6024" t="str">
            <v>Staffordshire</v>
          </cell>
          <cell r="E6024" t="str">
            <v>Community School</v>
          </cell>
          <cell r="F6024" t="str">
            <v>Primary</v>
          </cell>
        </row>
        <row r="6025">
          <cell r="A6025">
            <v>3193302</v>
          </cell>
          <cell r="B6025">
            <v>127030</v>
          </cell>
          <cell r="C6025" t="str">
            <v>Cheam CofE Junior Boys' School</v>
          </cell>
          <cell r="D6025" t="str">
            <v>Sutton</v>
          </cell>
          <cell r="E6025" t="str">
            <v>Voluntary Aided School</v>
          </cell>
          <cell r="F6025" t="str">
            <v>Primary</v>
          </cell>
        </row>
        <row r="6026">
          <cell r="A6026">
            <v>3192007</v>
          </cell>
          <cell r="B6026">
            <v>102963</v>
          </cell>
          <cell r="C6026" t="str">
            <v>Cheam Common Infants' School</v>
          </cell>
          <cell r="D6026" t="str">
            <v>Sutton</v>
          </cell>
          <cell r="E6026" t="str">
            <v>Community School</v>
          </cell>
          <cell r="F6026" t="str">
            <v>Primary</v>
          </cell>
        </row>
        <row r="6027">
          <cell r="A6027">
            <v>3192006</v>
          </cell>
          <cell r="B6027">
            <v>102962</v>
          </cell>
          <cell r="C6027" t="str">
            <v>Cheam Common Junior School</v>
          </cell>
          <cell r="D6027" t="str">
            <v>Sutton</v>
          </cell>
          <cell r="E6027" t="str">
            <v>Community School</v>
          </cell>
          <cell r="F6027" t="str">
            <v>Primary</v>
          </cell>
        </row>
        <row r="6028">
          <cell r="A6028">
            <v>3192009</v>
          </cell>
          <cell r="B6028">
            <v>102964</v>
          </cell>
          <cell r="C6028" t="str">
            <v>Cheam Fields Primary School</v>
          </cell>
          <cell r="D6028" t="str">
            <v>Sutton</v>
          </cell>
          <cell r="E6028" t="str">
            <v>Community School</v>
          </cell>
          <cell r="F6028" t="str">
            <v>Primary</v>
          </cell>
        </row>
        <row r="6029">
          <cell r="A6029">
            <v>3195403</v>
          </cell>
          <cell r="B6029">
            <v>103010</v>
          </cell>
          <cell r="C6029" t="str">
            <v>Cheam High School</v>
          </cell>
          <cell r="D6029" t="str">
            <v>Sutton</v>
          </cell>
          <cell r="E6029" t="str">
            <v>Foundation School</v>
          </cell>
          <cell r="F6029" t="str">
            <v>Secondary</v>
          </cell>
        </row>
        <row r="6030">
          <cell r="A6030">
            <v>3195403</v>
          </cell>
          <cell r="B6030">
            <v>136785</v>
          </cell>
          <cell r="C6030" t="str">
            <v>Cheam High School</v>
          </cell>
          <cell r="D6030" t="str">
            <v>Sutton</v>
          </cell>
          <cell r="E6030" t="str">
            <v>Academy Converters</v>
          </cell>
          <cell r="F6030" t="str">
            <v>Secondary</v>
          </cell>
        </row>
        <row r="6031">
          <cell r="A6031">
            <v>3192011</v>
          </cell>
          <cell r="B6031">
            <v>102966</v>
          </cell>
          <cell r="C6031" t="str">
            <v>Cheam Park Farm Infants' School</v>
          </cell>
          <cell r="D6031" t="str">
            <v>Sutton</v>
          </cell>
          <cell r="E6031" t="str">
            <v>Community School</v>
          </cell>
          <cell r="F6031" t="str">
            <v>Primary</v>
          </cell>
        </row>
        <row r="6032">
          <cell r="A6032">
            <v>3192010</v>
          </cell>
          <cell r="B6032">
            <v>102965</v>
          </cell>
          <cell r="C6032" t="str">
            <v>Cheam Park Farm Junior School</v>
          </cell>
          <cell r="D6032" t="str">
            <v>Sutton</v>
          </cell>
          <cell r="E6032" t="str">
            <v>Foundation School</v>
          </cell>
          <cell r="F6032" t="str">
            <v>Primary</v>
          </cell>
        </row>
        <row r="6033">
          <cell r="A6033">
            <v>3192010</v>
          </cell>
          <cell r="B6033">
            <v>136535</v>
          </cell>
          <cell r="C6033" t="str">
            <v>Cheam Park Farm Junior School</v>
          </cell>
          <cell r="D6033" t="str">
            <v>Sutton</v>
          </cell>
          <cell r="E6033" t="str">
            <v>Academy Converters</v>
          </cell>
          <cell r="F6033" t="str">
            <v>Primary</v>
          </cell>
        </row>
        <row r="6034">
          <cell r="A6034">
            <v>8506006</v>
          </cell>
          <cell r="B6034">
            <v>116520</v>
          </cell>
          <cell r="C6034" t="str">
            <v>Cheam School</v>
          </cell>
          <cell r="D6034" t="str">
            <v>Hampshire</v>
          </cell>
          <cell r="E6034" t="str">
            <v>Other Independent School</v>
          </cell>
          <cell r="F6034" t="str">
            <v>Not applicable</v>
          </cell>
        </row>
        <row r="6035">
          <cell r="A6035">
            <v>8683324</v>
          </cell>
          <cell r="B6035">
            <v>110020</v>
          </cell>
          <cell r="C6035" t="str">
            <v>Cheapside CofE Primary School</v>
          </cell>
          <cell r="D6035" t="str">
            <v>Windsor and Maidenhead</v>
          </cell>
          <cell r="E6035" t="str">
            <v>Voluntary Aided School</v>
          </cell>
          <cell r="F6035" t="str">
            <v>Primary</v>
          </cell>
        </row>
        <row r="6036">
          <cell r="A6036">
            <v>9042018</v>
          </cell>
          <cell r="B6036">
            <v>128315</v>
          </cell>
          <cell r="C6036" t="str">
            <v>Chearsley County First School</v>
          </cell>
          <cell r="D6036" t="str">
            <v>Pre LGR (1997) Buckinghamshire</v>
          </cell>
          <cell r="E6036" t="str">
            <v>Community School</v>
          </cell>
          <cell r="F6036" t="str">
            <v>Primary</v>
          </cell>
        </row>
        <row r="6037">
          <cell r="A6037">
            <v>9313801</v>
          </cell>
          <cell r="B6037">
            <v>123200</v>
          </cell>
          <cell r="C6037" t="str">
            <v>Checkendon Church of England (A) Primary School</v>
          </cell>
          <cell r="D6037" t="str">
            <v>Oxfordshire</v>
          </cell>
          <cell r="E6037" t="str">
            <v>Voluntary Aided School</v>
          </cell>
          <cell r="F6037" t="str">
            <v>Primary</v>
          </cell>
        </row>
        <row r="6038">
          <cell r="A6038">
            <v>9353011</v>
          </cell>
          <cell r="B6038">
            <v>129976</v>
          </cell>
          <cell r="C6038" t="str">
            <v>Chedburgh VC Primary School</v>
          </cell>
          <cell r="D6038" t="str">
            <v>Suffolk</v>
          </cell>
          <cell r="E6038" t="str">
            <v>Voluntary Controlled School</v>
          </cell>
          <cell r="F6038" t="str">
            <v>Primary</v>
          </cell>
        </row>
        <row r="6039">
          <cell r="A6039">
            <v>9332255</v>
          </cell>
          <cell r="B6039">
            <v>123717</v>
          </cell>
          <cell r="C6039" t="str">
            <v>Cheddar First School</v>
          </cell>
          <cell r="D6039" t="str">
            <v>Somerset</v>
          </cell>
          <cell r="E6039" t="str">
            <v>Community School</v>
          </cell>
          <cell r="F6039" t="str">
            <v>Primary</v>
          </cell>
        </row>
        <row r="6040">
          <cell r="A6040">
            <v>8012002</v>
          </cell>
          <cell r="B6040">
            <v>131493</v>
          </cell>
          <cell r="C6040" t="str">
            <v>Cheddar Grove Primary School</v>
          </cell>
          <cell r="D6040" t="str">
            <v>Bristol City of</v>
          </cell>
          <cell r="E6040" t="str">
            <v>Community School</v>
          </cell>
          <cell r="F6040" t="str">
            <v>Primary</v>
          </cell>
        </row>
        <row r="6041">
          <cell r="A6041">
            <v>8252019</v>
          </cell>
          <cell r="B6041">
            <v>110215</v>
          </cell>
          <cell r="C6041" t="str">
            <v>Cheddington Combined School</v>
          </cell>
          <cell r="D6041" t="str">
            <v>Buckinghamshire</v>
          </cell>
          <cell r="E6041" t="str">
            <v>Community School</v>
          </cell>
          <cell r="F6041" t="str">
            <v>Primary</v>
          </cell>
        </row>
        <row r="6042">
          <cell r="A6042">
            <v>9333176</v>
          </cell>
          <cell r="B6042">
            <v>123792</v>
          </cell>
          <cell r="C6042" t="str">
            <v>Cheddon Fitzpaine Church of England Primary School</v>
          </cell>
          <cell r="D6042" t="str">
            <v>Somerset</v>
          </cell>
          <cell r="E6042" t="str">
            <v>Voluntary Controlled School</v>
          </cell>
          <cell r="F6042" t="str">
            <v>Primary</v>
          </cell>
        </row>
        <row r="6043">
          <cell r="A6043">
            <v>9332167</v>
          </cell>
          <cell r="B6043">
            <v>129839</v>
          </cell>
          <cell r="C6043" t="str">
            <v>Chedzoy Junior School</v>
          </cell>
          <cell r="D6043" t="str">
            <v>Somerset</v>
          </cell>
          <cell r="E6043" t="str">
            <v>Community School</v>
          </cell>
          <cell r="F6043" t="str">
            <v>Primary</v>
          </cell>
        </row>
        <row r="6044">
          <cell r="A6044">
            <v>3523040</v>
          </cell>
          <cell r="B6044">
            <v>105499</v>
          </cell>
          <cell r="C6044" t="str">
            <v>Cheetham CofE Community School</v>
          </cell>
          <cell r="D6044" t="str">
            <v>Manchester</v>
          </cell>
          <cell r="E6044" t="str">
            <v>Voluntary Controlled School</v>
          </cell>
          <cell r="F6044" t="str">
            <v>Primary</v>
          </cell>
        </row>
        <row r="6045">
          <cell r="A6045">
            <v>3523040</v>
          </cell>
          <cell r="B6045">
            <v>137601</v>
          </cell>
          <cell r="C6045" t="str">
            <v>Cheetham CofE Community School</v>
          </cell>
          <cell r="D6045" t="str">
            <v>Manchester</v>
          </cell>
          <cell r="E6045" t="str">
            <v>Academy Converters</v>
          </cell>
          <cell r="F6045" t="str">
            <v>Primary</v>
          </cell>
        </row>
        <row r="6046">
          <cell r="A6046">
            <v>3522288</v>
          </cell>
          <cell r="B6046">
            <v>105461</v>
          </cell>
          <cell r="C6046" t="str">
            <v>Cheetwood Primary School</v>
          </cell>
          <cell r="D6046" t="str">
            <v>Manchester</v>
          </cell>
          <cell r="E6046" t="str">
            <v>Community School</v>
          </cell>
          <cell r="F6046" t="str">
            <v>Primary</v>
          </cell>
        </row>
        <row r="6047">
          <cell r="A6047">
            <v>8786024</v>
          </cell>
          <cell r="B6047">
            <v>113591</v>
          </cell>
          <cell r="C6047" t="str">
            <v>Chelfham Mill School</v>
          </cell>
          <cell r="D6047" t="str">
            <v>Devon</v>
          </cell>
          <cell r="E6047" t="str">
            <v>Other Independent Special School</v>
          </cell>
          <cell r="F6047" t="str">
            <v>Not applicable</v>
          </cell>
        </row>
        <row r="6048">
          <cell r="A6048">
            <v>8786039</v>
          </cell>
          <cell r="B6048">
            <v>113616</v>
          </cell>
          <cell r="C6048" t="str">
            <v>Chelfham Senior School</v>
          </cell>
          <cell r="D6048" t="str">
            <v>Devon</v>
          </cell>
          <cell r="E6048" t="str">
            <v>Other Independent Special School</v>
          </cell>
          <cell r="F6048" t="str">
            <v>Not applicable</v>
          </cell>
        </row>
        <row r="6049">
          <cell r="A6049">
            <v>8953115</v>
          </cell>
          <cell r="B6049">
            <v>111254</v>
          </cell>
          <cell r="C6049" t="str">
            <v>Chelford CofE Primary School</v>
          </cell>
          <cell r="D6049" t="str">
            <v>Cheshire East</v>
          </cell>
          <cell r="E6049" t="str">
            <v>Voluntary Controlled School</v>
          </cell>
          <cell r="F6049" t="str">
            <v>Primary</v>
          </cell>
        </row>
        <row r="6050">
          <cell r="A6050">
            <v>9342001</v>
          </cell>
          <cell r="B6050">
            <v>129866</v>
          </cell>
          <cell r="C6050" t="str">
            <v>Chell County Primary School</v>
          </cell>
          <cell r="D6050" t="str">
            <v>Pre LGR (1997) Staffordshire</v>
          </cell>
          <cell r="E6050" t="str">
            <v>Community School</v>
          </cell>
          <cell r="F6050" t="str">
            <v>Primary</v>
          </cell>
        </row>
        <row r="6051">
          <cell r="A6051">
            <v>9344034</v>
          </cell>
          <cell r="B6051">
            <v>129929</v>
          </cell>
          <cell r="C6051" t="str">
            <v>Chell High School</v>
          </cell>
          <cell r="D6051" t="str">
            <v>Pre LGR (1997) Staffordshire</v>
          </cell>
          <cell r="E6051" t="str">
            <v>Community School</v>
          </cell>
          <cell r="F6051" t="str">
            <v>Secondary</v>
          </cell>
        </row>
        <row r="6052">
          <cell r="A6052">
            <v>8315402</v>
          </cell>
          <cell r="B6052">
            <v>136360</v>
          </cell>
          <cell r="C6052" t="str">
            <v>Chellaston Academy</v>
          </cell>
          <cell r="D6052" t="str">
            <v>Derby</v>
          </cell>
          <cell r="E6052" t="str">
            <v>Academy Converters</v>
          </cell>
          <cell r="F6052" t="str">
            <v>Secondary</v>
          </cell>
        </row>
        <row r="6053">
          <cell r="A6053">
            <v>8312455</v>
          </cell>
          <cell r="B6053">
            <v>112754</v>
          </cell>
          <cell r="C6053" t="str">
            <v>Chellaston Infant School</v>
          </cell>
          <cell r="D6053" t="str">
            <v>Derby</v>
          </cell>
          <cell r="E6053" t="str">
            <v>Community School</v>
          </cell>
          <cell r="F6053" t="str">
            <v>Primary</v>
          </cell>
        </row>
        <row r="6054">
          <cell r="A6054">
            <v>8315203</v>
          </cell>
          <cell r="B6054">
            <v>112977</v>
          </cell>
          <cell r="C6054" t="str">
            <v>Chellaston Junior School</v>
          </cell>
          <cell r="D6054" t="str">
            <v>Derby</v>
          </cell>
          <cell r="E6054" t="str">
            <v>Foundation School</v>
          </cell>
          <cell r="F6054" t="str">
            <v>Primary</v>
          </cell>
        </row>
        <row r="6055">
          <cell r="A6055">
            <v>8315402</v>
          </cell>
          <cell r="B6055">
            <v>112987</v>
          </cell>
          <cell r="C6055" t="str">
            <v>Chellaston School</v>
          </cell>
          <cell r="D6055" t="str">
            <v>Derby</v>
          </cell>
          <cell r="E6055" t="str">
            <v>Foundation School</v>
          </cell>
          <cell r="F6055" t="str">
            <v>Secondary</v>
          </cell>
        </row>
        <row r="6056">
          <cell r="A6056">
            <v>3804110</v>
          </cell>
          <cell r="B6056">
            <v>131140</v>
          </cell>
          <cell r="C6056" t="str">
            <v>Chellow Dene Middle School</v>
          </cell>
          <cell r="D6056" t="str">
            <v>Bradford</v>
          </cell>
          <cell r="E6056" t="str">
            <v>Community School</v>
          </cell>
          <cell r="F6056" t="str">
            <v>Middle Deemed Secondary</v>
          </cell>
        </row>
        <row r="6057">
          <cell r="A6057">
            <v>3807031</v>
          </cell>
          <cell r="B6057">
            <v>135228</v>
          </cell>
          <cell r="C6057" t="str">
            <v>Chellow Heights Special School</v>
          </cell>
          <cell r="D6057" t="str">
            <v>Bradford</v>
          </cell>
          <cell r="E6057" t="str">
            <v>Community Special School</v>
          </cell>
          <cell r="F6057" t="str">
            <v>Special</v>
          </cell>
        </row>
        <row r="6058">
          <cell r="A6058">
            <v>8933020</v>
          </cell>
          <cell r="B6058">
            <v>123465</v>
          </cell>
          <cell r="C6058" t="str">
            <v>Chelmarsh CofE Primary School</v>
          </cell>
          <cell r="D6058" t="str">
            <v>Shropshire</v>
          </cell>
          <cell r="E6058" t="str">
            <v>Voluntary Controlled School</v>
          </cell>
          <cell r="F6058" t="str">
            <v>Primary</v>
          </cell>
        </row>
        <row r="6059">
          <cell r="A6059">
            <v>9156224</v>
          </cell>
          <cell r="B6059">
            <v>128918</v>
          </cell>
          <cell r="C6059" t="str">
            <v>Chelmer Residential School</v>
          </cell>
          <cell r="D6059" t="str">
            <v>Pre LGR (1998) Essex</v>
          </cell>
          <cell r="E6059" t="str">
            <v>Other Independent School</v>
          </cell>
          <cell r="F6059" t="str">
            <v>Not applicable</v>
          </cell>
        </row>
        <row r="6060">
          <cell r="A6060">
            <v>8815429</v>
          </cell>
          <cell r="B6060">
            <v>115345</v>
          </cell>
          <cell r="C6060" t="str">
            <v>Chelmer Valley High School</v>
          </cell>
          <cell r="D6060" t="str">
            <v>Essex</v>
          </cell>
          <cell r="E6060" t="str">
            <v>Foundation School</v>
          </cell>
          <cell r="F6060" t="str">
            <v>Secondary</v>
          </cell>
        </row>
        <row r="6061">
          <cell r="A6061">
            <v>8815429</v>
          </cell>
          <cell r="B6061">
            <v>137260</v>
          </cell>
          <cell r="C6061" t="str">
            <v>Chelmer Valley High School</v>
          </cell>
          <cell r="D6061" t="str">
            <v>Essex</v>
          </cell>
          <cell r="E6061" t="str">
            <v>Academy Converters</v>
          </cell>
          <cell r="F6061" t="str">
            <v>Secondary</v>
          </cell>
        </row>
        <row r="6062">
          <cell r="A6062">
            <v>9353121</v>
          </cell>
          <cell r="B6062">
            <v>124755</v>
          </cell>
          <cell r="C6062" t="str">
            <v>Chelmondiston Church of England Voluntary Controlled Primary School</v>
          </cell>
          <cell r="D6062" t="str">
            <v>Suffolk</v>
          </cell>
          <cell r="E6062" t="str">
            <v>Voluntary Controlled School</v>
          </cell>
          <cell r="F6062" t="str">
            <v>Primary</v>
          </cell>
        </row>
        <row r="6063">
          <cell r="A6063">
            <v>8818025</v>
          </cell>
          <cell r="B6063">
            <v>130679</v>
          </cell>
          <cell r="C6063" t="str">
            <v>Chelmsford College</v>
          </cell>
          <cell r="D6063" t="str">
            <v>Essex</v>
          </cell>
          <cell r="E6063" t="str">
            <v>Further Education</v>
          </cell>
          <cell r="F6063" t="str">
            <v>16 Plus</v>
          </cell>
        </row>
        <row r="6064">
          <cell r="A6064">
            <v>8815410</v>
          </cell>
          <cell r="B6064">
            <v>115326</v>
          </cell>
          <cell r="C6064" t="str">
            <v>Chelmsford County High School for Girls</v>
          </cell>
          <cell r="D6064" t="str">
            <v>Essex</v>
          </cell>
          <cell r="E6064" t="str">
            <v>Foundation School</v>
          </cell>
          <cell r="F6064" t="str">
            <v>Secondary</v>
          </cell>
        </row>
        <row r="6065">
          <cell r="A6065">
            <v>8815410</v>
          </cell>
          <cell r="B6065">
            <v>136412</v>
          </cell>
          <cell r="C6065" t="str">
            <v>Chelmsford County High School for Girls</v>
          </cell>
          <cell r="D6065" t="str">
            <v>Essex</v>
          </cell>
          <cell r="E6065" t="str">
            <v>Academy Converters</v>
          </cell>
          <cell r="F6065" t="str">
            <v>Secondary</v>
          </cell>
        </row>
        <row r="6066">
          <cell r="A6066">
            <v>9146131</v>
          </cell>
          <cell r="B6066">
            <v>128864</v>
          </cell>
          <cell r="C6066" t="str">
            <v>Chelmsford Hall School</v>
          </cell>
          <cell r="D6066" t="str">
            <v>Pre LGR (1997) East Sussex</v>
          </cell>
          <cell r="E6066" t="str">
            <v>Other Independent School</v>
          </cell>
          <cell r="F6066" t="str">
            <v>Not applicable</v>
          </cell>
        </row>
        <row r="6067">
          <cell r="A6067">
            <v>9204040</v>
          </cell>
          <cell r="B6067">
            <v>129267</v>
          </cell>
          <cell r="C6067" t="str">
            <v>Chelmsford School</v>
          </cell>
          <cell r="D6067" t="str">
            <v>Pre LGR (1996) Humberside</v>
          </cell>
          <cell r="E6067" t="str">
            <v>Community School</v>
          </cell>
          <cell r="F6067" t="str">
            <v>Secondary</v>
          </cell>
        </row>
        <row r="6068">
          <cell r="A6068">
            <v>2077165</v>
          </cell>
          <cell r="B6068">
            <v>100549</v>
          </cell>
          <cell r="C6068" t="str">
            <v>Chelsea  Community Hospital  School</v>
          </cell>
          <cell r="D6068" t="str">
            <v>Kensington and Chelsea</v>
          </cell>
          <cell r="E6068" t="str">
            <v>Community Special School</v>
          </cell>
          <cell r="F6068" t="str">
            <v>Special</v>
          </cell>
        </row>
        <row r="6069">
          <cell r="A6069">
            <v>2076905</v>
          </cell>
          <cell r="B6069">
            <v>135531</v>
          </cell>
          <cell r="C6069" t="str">
            <v>Chelsea Academy</v>
          </cell>
          <cell r="D6069" t="str">
            <v>Kensington and Chelsea</v>
          </cell>
          <cell r="E6069" t="str">
            <v>Academy Sponsor Led</v>
          </cell>
          <cell r="F6069" t="str">
            <v>Secondary</v>
          </cell>
        </row>
        <row r="6070">
          <cell r="A6070">
            <v>205942</v>
          </cell>
          <cell r="B6070">
            <v>133234</v>
          </cell>
          <cell r="C6070" t="str">
            <v>Chelsea Football Club Playing for Success Centre</v>
          </cell>
          <cell r="D6070" t="str">
            <v>Hammersmith and Fulham</v>
          </cell>
          <cell r="E6070" t="str">
            <v>Playing for Success Centres</v>
          </cell>
          <cell r="F6070" t="str">
            <v>Not applicable</v>
          </cell>
        </row>
        <row r="6071">
          <cell r="A6071">
            <v>2056404</v>
          </cell>
          <cell r="B6071">
            <v>134735</v>
          </cell>
          <cell r="C6071" t="str">
            <v>Chelsea Independent College</v>
          </cell>
          <cell r="D6071" t="str">
            <v>Hammersmith and Fulham</v>
          </cell>
          <cell r="E6071" t="str">
            <v>Other Independent School</v>
          </cell>
          <cell r="F6071" t="str">
            <v>Not applicable</v>
          </cell>
        </row>
        <row r="6072">
          <cell r="A6072">
            <v>2071053</v>
          </cell>
          <cell r="B6072">
            <v>100474</v>
          </cell>
          <cell r="C6072" t="str">
            <v>Chelsea Open Air Nursery School and Children's Centre</v>
          </cell>
          <cell r="D6072" t="str">
            <v>Kensington and Chelsea</v>
          </cell>
          <cell r="E6072" t="str">
            <v>LA Nursery School</v>
          </cell>
          <cell r="F6072" t="str">
            <v>Nursery</v>
          </cell>
        </row>
        <row r="6073">
          <cell r="A6073">
            <v>3052034</v>
          </cell>
          <cell r="B6073">
            <v>101610</v>
          </cell>
          <cell r="C6073" t="str">
            <v>Chelsfield Primary School</v>
          </cell>
          <cell r="D6073" t="str">
            <v>Bromley</v>
          </cell>
          <cell r="E6073" t="str">
            <v>Community School</v>
          </cell>
          <cell r="F6073" t="str">
            <v>Primary</v>
          </cell>
        </row>
        <row r="6074">
          <cell r="A6074">
            <v>9161105</v>
          </cell>
          <cell r="B6074">
            <v>135329</v>
          </cell>
          <cell r="C6074" t="str">
            <v>Cheltenham and Tewkesbury Pupil Referral Services</v>
          </cell>
          <cell r="D6074" t="str">
            <v>Gloucestershire</v>
          </cell>
          <cell r="E6074" t="str">
            <v>Pupil Referral Unit</v>
          </cell>
          <cell r="F6074" t="str">
            <v>PRU</v>
          </cell>
        </row>
        <row r="6075">
          <cell r="A6075">
            <v>9165418</v>
          </cell>
          <cell r="B6075">
            <v>115769</v>
          </cell>
          <cell r="C6075" t="str">
            <v>Cheltenham Bournside School and Sixth Form Centre</v>
          </cell>
          <cell r="D6075" t="str">
            <v>Gloucestershire</v>
          </cell>
          <cell r="E6075" t="str">
            <v>Foundation School</v>
          </cell>
          <cell r="F6075" t="str">
            <v>Secondary</v>
          </cell>
        </row>
        <row r="6076">
          <cell r="A6076">
            <v>9165418</v>
          </cell>
          <cell r="B6076">
            <v>136725</v>
          </cell>
          <cell r="C6076" t="str">
            <v>Cheltenham Bournside School and Sixth Form Centre</v>
          </cell>
          <cell r="D6076" t="str">
            <v>Gloucestershire</v>
          </cell>
          <cell r="E6076" t="str">
            <v>Academy Converters</v>
          </cell>
          <cell r="F6076" t="str">
            <v>Secondary</v>
          </cell>
        </row>
        <row r="6077">
          <cell r="A6077">
            <v>9166033</v>
          </cell>
          <cell r="B6077">
            <v>115795</v>
          </cell>
          <cell r="C6077" t="str">
            <v>Cheltenham College</v>
          </cell>
          <cell r="D6077" t="str">
            <v>Gloucestershire</v>
          </cell>
          <cell r="E6077" t="str">
            <v>Other Independent School</v>
          </cell>
          <cell r="F6077" t="str">
            <v>Not applicable</v>
          </cell>
        </row>
        <row r="6078">
          <cell r="A6078">
            <v>9165426</v>
          </cell>
          <cell r="B6078">
            <v>115777</v>
          </cell>
          <cell r="C6078" t="str">
            <v>Cheltenham Kingsmead</v>
          </cell>
          <cell r="D6078" t="str">
            <v>Gloucestershire</v>
          </cell>
          <cell r="E6078" t="str">
            <v>Foundation School</v>
          </cell>
          <cell r="F6078" t="str">
            <v>Secondary</v>
          </cell>
        </row>
        <row r="6079">
          <cell r="A6079">
            <v>9166067</v>
          </cell>
          <cell r="B6079">
            <v>128972</v>
          </cell>
          <cell r="C6079" t="str">
            <v>Cheltenham Montessori School</v>
          </cell>
          <cell r="D6079" t="str">
            <v>Gloucestershire</v>
          </cell>
          <cell r="E6079" t="str">
            <v>Other Independent School</v>
          </cell>
          <cell r="F6079" t="str">
            <v>Not applicable</v>
          </cell>
        </row>
        <row r="6080">
          <cell r="A6080">
            <v>2091011</v>
          </cell>
          <cell r="B6080">
            <v>100668</v>
          </cell>
          <cell r="C6080" t="str">
            <v>Chelwood Nursery School</v>
          </cell>
          <cell r="D6080" t="str">
            <v>Lewisham</v>
          </cell>
          <cell r="E6080" t="str">
            <v>LA Nursery School</v>
          </cell>
          <cell r="F6080" t="str">
            <v>Nursery</v>
          </cell>
        </row>
        <row r="6081">
          <cell r="A6081">
            <v>9284089</v>
          </cell>
          <cell r="B6081">
            <v>122087</v>
          </cell>
          <cell r="C6081" t="str">
            <v>Chenderit School</v>
          </cell>
          <cell r="D6081" t="str">
            <v>Northamptonshire</v>
          </cell>
          <cell r="E6081" t="str">
            <v>Community School</v>
          </cell>
          <cell r="F6081" t="str">
            <v>Secondary</v>
          </cell>
        </row>
        <row r="6082">
          <cell r="A6082">
            <v>9314120</v>
          </cell>
          <cell r="B6082">
            <v>123253</v>
          </cell>
          <cell r="C6082" t="str">
            <v>Cheney School</v>
          </cell>
          <cell r="D6082" t="str">
            <v>Oxfordshire</v>
          </cell>
          <cell r="E6082" t="str">
            <v>Community School</v>
          </cell>
          <cell r="F6082" t="str">
            <v>Secondary</v>
          </cell>
        </row>
        <row r="6083">
          <cell r="A6083">
            <v>8252020</v>
          </cell>
          <cell r="B6083">
            <v>110216</v>
          </cell>
          <cell r="C6083" t="str">
            <v>Chenies School</v>
          </cell>
          <cell r="D6083" t="str">
            <v>Buckinghamshire</v>
          </cell>
          <cell r="E6083" t="str">
            <v>Community School</v>
          </cell>
          <cell r="F6083" t="str">
            <v>Primary</v>
          </cell>
        </row>
        <row r="6084">
          <cell r="A6084">
            <v>9362907</v>
          </cell>
          <cell r="B6084">
            <v>125094</v>
          </cell>
          <cell r="C6084" t="str">
            <v>Chennestone Primary School</v>
          </cell>
          <cell r="D6084" t="str">
            <v>Surrey</v>
          </cell>
          <cell r="E6084" t="str">
            <v>Community School</v>
          </cell>
          <cell r="F6084" t="str">
            <v>Primary</v>
          </cell>
        </row>
        <row r="6085">
          <cell r="A6085">
            <v>8816050</v>
          </cell>
          <cell r="B6085">
            <v>134457</v>
          </cell>
          <cell r="C6085" t="str">
            <v>Cheo1 Chelmsford Bridge Year 10</v>
          </cell>
          <cell r="D6085" t="str">
            <v>Essex</v>
          </cell>
          <cell r="E6085" t="str">
            <v>Other Independent School</v>
          </cell>
          <cell r="F6085" t="str">
            <v>Not applicable</v>
          </cell>
        </row>
        <row r="6086">
          <cell r="A6086">
            <v>8252229</v>
          </cell>
          <cell r="B6086">
            <v>110321</v>
          </cell>
          <cell r="C6086" t="str">
            <v>Chepping View Primary School</v>
          </cell>
          <cell r="D6086" t="str">
            <v>Buckinghamshire</v>
          </cell>
          <cell r="E6086" t="str">
            <v>Community School</v>
          </cell>
          <cell r="F6086" t="str">
            <v>Primary</v>
          </cell>
        </row>
        <row r="6087">
          <cell r="A6087">
            <v>6794065</v>
          </cell>
          <cell r="B6087">
            <v>401862</v>
          </cell>
          <cell r="C6087" t="str">
            <v>Chepstow Comprehensive School</v>
          </cell>
          <cell r="D6087" t="str">
            <v>Monmouthshire</v>
          </cell>
          <cell r="E6087" t="str">
            <v>Welsh Establishment</v>
          </cell>
          <cell r="F6087" t="str">
            <v>Secondary</v>
          </cell>
        </row>
        <row r="6088">
          <cell r="A6088">
            <v>2076005</v>
          </cell>
          <cell r="B6088">
            <v>136057</v>
          </cell>
          <cell r="C6088" t="str">
            <v>Chepstow House School</v>
          </cell>
          <cell r="D6088" t="str">
            <v>Kensington and Chelsea</v>
          </cell>
          <cell r="E6088" t="str">
            <v>Other Independent School</v>
          </cell>
          <cell r="F6088" t="str">
            <v>Not applicable</v>
          </cell>
        </row>
        <row r="6089">
          <cell r="A6089">
            <v>9382203</v>
          </cell>
          <cell r="B6089">
            <v>130181</v>
          </cell>
          <cell r="C6089" t="str">
            <v>Chequer Mead School</v>
          </cell>
          <cell r="D6089" t="str">
            <v>West Sussex</v>
          </cell>
          <cell r="E6089" t="str">
            <v>Community School</v>
          </cell>
          <cell r="F6089" t="str">
            <v>Primary</v>
          </cell>
        </row>
        <row r="6090">
          <cell r="A6090">
            <v>8502062</v>
          </cell>
          <cell r="B6090">
            <v>115887</v>
          </cell>
          <cell r="C6090" t="str">
            <v>Cherbourg Primary School</v>
          </cell>
          <cell r="D6090" t="str">
            <v>Hampshire</v>
          </cell>
          <cell r="E6090" t="str">
            <v>Community School</v>
          </cell>
          <cell r="F6090" t="str">
            <v>Primary</v>
          </cell>
        </row>
        <row r="6091">
          <cell r="A6091">
            <v>8653035</v>
          </cell>
          <cell r="B6091">
            <v>126313</v>
          </cell>
          <cell r="C6091" t="str">
            <v>Cherhill CofE School</v>
          </cell>
          <cell r="D6091" t="str">
            <v>Wiltshire</v>
          </cell>
          <cell r="E6091" t="str">
            <v>Voluntary Aided School</v>
          </cell>
          <cell r="F6091" t="str">
            <v>Primary</v>
          </cell>
        </row>
        <row r="6092">
          <cell r="A6092">
            <v>8782006</v>
          </cell>
          <cell r="B6092">
            <v>113063</v>
          </cell>
          <cell r="C6092" t="str">
            <v>Cheriton Bishop Community Primary School</v>
          </cell>
          <cell r="D6092" t="str">
            <v>Devon</v>
          </cell>
          <cell r="E6092" t="str">
            <v>Community School</v>
          </cell>
          <cell r="F6092" t="str">
            <v>Primary</v>
          </cell>
        </row>
        <row r="6093">
          <cell r="A6093">
            <v>8782007</v>
          </cell>
          <cell r="B6093">
            <v>113064</v>
          </cell>
          <cell r="C6093" t="str">
            <v>Cheriton Fitzpaine Primary School</v>
          </cell>
          <cell r="D6093" t="str">
            <v>Devon</v>
          </cell>
          <cell r="E6093" t="str">
            <v>Community School</v>
          </cell>
          <cell r="F6093" t="str">
            <v>Primary</v>
          </cell>
        </row>
        <row r="6094">
          <cell r="A6094">
            <v>8502035</v>
          </cell>
          <cell r="B6094">
            <v>115874</v>
          </cell>
          <cell r="C6094" t="str">
            <v>Cheriton Primary School</v>
          </cell>
          <cell r="D6094" t="str">
            <v>Hampshire</v>
          </cell>
          <cell r="E6094" t="str">
            <v>Community School</v>
          </cell>
          <cell r="F6094" t="str">
            <v>Primary</v>
          </cell>
        </row>
        <row r="6095">
          <cell r="A6095">
            <v>8862510</v>
          </cell>
          <cell r="B6095">
            <v>118480</v>
          </cell>
          <cell r="C6095" t="str">
            <v>Cheriton Primary School</v>
          </cell>
          <cell r="D6095" t="str">
            <v>Kent</v>
          </cell>
          <cell r="E6095" t="str">
            <v>Community School</v>
          </cell>
          <cell r="F6095" t="str">
            <v>Primary</v>
          </cell>
        </row>
        <row r="6096">
          <cell r="A6096">
            <v>8113049</v>
          </cell>
          <cell r="B6096">
            <v>118002</v>
          </cell>
          <cell r="C6096" t="str">
            <v>Cherry Burton Church of England Voluntary Controlled Primary School</v>
          </cell>
          <cell r="D6096" t="str">
            <v>East Riding of Yorkshire</v>
          </cell>
          <cell r="E6096" t="str">
            <v>Voluntary Controlled School</v>
          </cell>
          <cell r="F6096" t="str">
            <v>Primary</v>
          </cell>
        </row>
        <row r="6097">
          <cell r="A6097">
            <v>3702133</v>
          </cell>
          <cell r="B6097">
            <v>106621</v>
          </cell>
          <cell r="C6097" t="str">
            <v>Cherry Dale Primary School</v>
          </cell>
          <cell r="D6097" t="str">
            <v>Barnsley</v>
          </cell>
          <cell r="E6097" t="str">
            <v>Community School</v>
          </cell>
          <cell r="F6097" t="str">
            <v>Primary</v>
          </cell>
        </row>
        <row r="6098">
          <cell r="A6098">
            <v>8882840</v>
          </cell>
          <cell r="B6098">
            <v>133622</v>
          </cell>
          <cell r="C6098" t="str">
            <v>Cherry Fold Community Primary School</v>
          </cell>
          <cell r="D6098" t="str">
            <v>Lancashire</v>
          </cell>
          <cell r="E6098" t="str">
            <v>Community School</v>
          </cell>
          <cell r="F6098" t="str">
            <v>Primary</v>
          </cell>
        </row>
        <row r="6099">
          <cell r="A6099">
            <v>8032308</v>
          </cell>
          <cell r="B6099">
            <v>109114</v>
          </cell>
          <cell r="C6099" t="str">
            <v>Cherry Garden Primary School</v>
          </cell>
          <cell r="D6099" t="str">
            <v>South Gloucestershire</v>
          </cell>
          <cell r="E6099" t="str">
            <v>Community School</v>
          </cell>
          <cell r="F6099" t="str">
            <v>Primary</v>
          </cell>
        </row>
        <row r="6100">
          <cell r="A6100">
            <v>2107186</v>
          </cell>
          <cell r="B6100">
            <v>100881</v>
          </cell>
          <cell r="C6100" t="str">
            <v>Cherry Garden School</v>
          </cell>
          <cell r="D6100" t="str">
            <v>Southwark</v>
          </cell>
          <cell r="E6100" t="str">
            <v>Community Special School</v>
          </cell>
          <cell r="F6100" t="str">
            <v>Special</v>
          </cell>
        </row>
        <row r="6101">
          <cell r="A6101">
            <v>8962688</v>
          </cell>
          <cell r="B6101">
            <v>111209</v>
          </cell>
          <cell r="C6101" t="str">
            <v>Cherry Grove Primary School</v>
          </cell>
          <cell r="D6101" t="str">
            <v>Cheshire West and Chester</v>
          </cell>
          <cell r="E6101" t="str">
            <v>Community School</v>
          </cell>
          <cell r="F6101" t="str">
            <v>Primary</v>
          </cell>
        </row>
        <row r="6102">
          <cell r="A6102">
            <v>8602253</v>
          </cell>
          <cell r="B6102">
            <v>124112</v>
          </cell>
          <cell r="C6102" t="str">
            <v>Cherry Hill Junior School</v>
          </cell>
          <cell r="D6102" t="str">
            <v>Staffordshire</v>
          </cell>
          <cell r="E6102" t="str">
            <v>Community School</v>
          </cell>
          <cell r="F6102" t="str">
            <v>Primary</v>
          </cell>
        </row>
        <row r="6103">
          <cell r="A6103">
            <v>8733050</v>
          </cell>
          <cell r="B6103">
            <v>110801</v>
          </cell>
          <cell r="C6103" t="str">
            <v>Cherry Hinton Church of England Voluntary Controlled Primary School</v>
          </cell>
          <cell r="D6103" t="str">
            <v>Cambridgeshire</v>
          </cell>
          <cell r="E6103" t="str">
            <v>Voluntary Controlled School</v>
          </cell>
          <cell r="F6103" t="str">
            <v>Primary</v>
          </cell>
        </row>
        <row r="6104">
          <cell r="A6104">
            <v>3122008</v>
          </cell>
          <cell r="B6104">
            <v>102371</v>
          </cell>
          <cell r="C6104" t="str">
            <v>Cherry Lane Infant School</v>
          </cell>
          <cell r="D6104" t="str">
            <v>Hillingdon</v>
          </cell>
          <cell r="E6104" t="str">
            <v>Community School</v>
          </cell>
          <cell r="F6104" t="str">
            <v>Primary</v>
          </cell>
        </row>
        <row r="6105">
          <cell r="A6105">
            <v>3122007</v>
          </cell>
          <cell r="B6105">
            <v>102370</v>
          </cell>
          <cell r="C6105" t="str">
            <v>Cherry Lane Junior School</v>
          </cell>
          <cell r="D6105" t="str">
            <v>Hillingdon</v>
          </cell>
          <cell r="E6105" t="str">
            <v>Community School</v>
          </cell>
          <cell r="F6105" t="str">
            <v>Primary</v>
          </cell>
        </row>
        <row r="6106">
          <cell r="A6106">
            <v>3122084</v>
          </cell>
          <cell r="B6106">
            <v>131638</v>
          </cell>
          <cell r="C6106" t="str">
            <v>Cherry Lane Primary School</v>
          </cell>
          <cell r="D6106" t="str">
            <v>Hillingdon</v>
          </cell>
          <cell r="E6106" t="str">
            <v>Community School</v>
          </cell>
          <cell r="F6106" t="str">
            <v>Primary</v>
          </cell>
        </row>
        <row r="6107">
          <cell r="A6107">
            <v>3581100</v>
          </cell>
          <cell r="B6107">
            <v>134046</v>
          </cell>
          <cell r="C6107" t="str">
            <v>Cherry Manor Education Centre</v>
          </cell>
          <cell r="D6107" t="str">
            <v>Trafford</v>
          </cell>
          <cell r="E6107" t="str">
            <v>Pupil Referral Unit</v>
          </cell>
          <cell r="F6107" t="str">
            <v>PRU</v>
          </cell>
        </row>
        <row r="6108">
          <cell r="A6108">
            <v>3582034</v>
          </cell>
          <cell r="B6108">
            <v>106309</v>
          </cell>
          <cell r="C6108" t="str">
            <v>Cherry Manor Primary School</v>
          </cell>
          <cell r="D6108" t="str">
            <v>Trafford</v>
          </cell>
          <cell r="E6108" t="str">
            <v>Community School</v>
          </cell>
          <cell r="F6108" t="str">
            <v>Primary</v>
          </cell>
        </row>
        <row r="6109">
          <cell r="A6109">
            <v>3307051</v>
          </cell>
          <cell r="B6109">
            <v>103626</v>
          </cell>
          <cell r="C6109" t="str">
            <v>Cherry Oak School</v>
          </cell>
          <cell r="D6109" t="str">
            <v>Birmingham</v>
          </cell>
          <cell r="E6109" t="str">
            <v>Community Special School</v>
          </cell>
          <cell r="F6109" t="str">
            <v>Special</v>
          </cell>
        </row>
        <row r="6110">
          <cell r="A6110">
            <v>8852121</v>
          </cell>
          <cell r="B6110">
            <v>116717</v>
          </cell>
          <cell r="C6110" t="str">
            <v>Cherry Orchard First School</v>
          </cell>
          <cell r="D6110" t="str">
            <v>Worcestershire</v>
          </cell>
          <cell r="E6110" t="str">
            <v>Community School</v>
          </cell>
          <cell r="F6110" t="str">
            <v>Primary</v>
          </cell>
        </row>
        <row r="6111">
          <cell r="A6111">
            <v>9284063</v>
          </cell>
          <cell r="B6111">
            <v>122071</v>
          </cell>
          <cell r="C6111" t="str">
            <v>Cherry Orchard Middle School</v>
          </cell>
          <cell r="D6111" t="str">
            <v>Northamptonshire</v>
          </cell>
          <cell r="E6111" t="str">
            <v>Community School</v>
          </cell>
          <cell r="F6111" t="str">
            <v>Middle Deemed Secondary</v>
          </cell>
        </row>
        <row r="6112">
          <cell r="A6112">
            <v>2032106</v>
          </cell>
          <cell r="B6112">
            <v>100115</v>
          </cell>
          <cell r="C6112" t="str">
            <v>Cherry Orchard Primary School</v>
          </cell>
          <cell r="D6112" t="str">
            <v>Greenwich</v>
          </cell>
          <cell r="E6112" t="str">
            <v>Community School</v>
          </cell>
          <cell r="F6112" t="str">
            <v>Primary</v>
          </cell>
        </row>
        <row r="6113">
          <cell r="A6113">
            <v>3302040</v>
          </cell>
          <cell r="B6113">
            <v>103178</v>
          </cell>
          <cell r="C6113" t="str">
            <v>Cherry Orchard Primary School</v>
          </cell>
          <cell r="D6113" t="str">
            <v>Birmingham</v>
          </cell>
          <cell r="E6113" t="str">
            <v>Community School</v>
          </cell>
          <cell r="F6113" t="str">
            <v>Primary</v>
          </cell>
        </row>
        <row r="6114">
          <cell r="A6114">
            <v>8852161</v>
          </cell>
          <cell r="B6114">
            <v>116749</v>
          </cell>
          <cell r="C6114" t="str">
            <v>Cherry Orchard Primary School</v>
          </cell>
          <cell r="D6114" t="str">
            <v>Worcestershire</v>
          </cell>
          <cell r="E6114" t="str">
            <v>Community School</v>
          </cell>
          <cell r="F6114" t="str">
            <v>Primary</v>
          </cell>
        </row>
        <row r="6115">
          <cell r="A6115">
            <v>9096046</v>
          </cell>
          <cell r="B6115">
            <v>112462</v>
          </cell>
          <cell r="C6115" t="str">
            <v>Cherry Tree Centre</v>
          </cell>
          <cell r="D6115" t="str">
            <v>Cumbria</v>
          </cell>
          <cell r="E6115" t="str">
            <v>Other Independent Special School</v>
          </cell>
          <cell r="F6115" t="str">
            <v>Not applicable</v>
          </cell>
        </row>
        <row r="6116">
          <cell r="A6116">
            <v>8312450</v>
          </cell>
          <cell r="B6116">
            <v>112750</v>
          </cell>
          <cell r="C6116" t="str">
            <v>Cherry Tree Hill Junior School</v>
          </cell>
          <cell r="D6116" t="str">
            <v>Derby</v>
          </cell>
          <cell r="E6116" t="str">
            <v>Community School</v>
          </cell>
          <cell r="F6116" t="str">
            <v>Primary</v>
          </cell>
        </row>
        <row r="6117">
          <cell r="A6117">
            <v>8312451</v>
          </cell>
          <cell r="B6117">
            <v>112751</v>
          </cell>
          <cell r="C6117" t="str">
            <v>Cherry Tree Hill Primary School</v>
          </cell>
          <cell r="D6117" t="str">
            <v>Derby</v>
          </cell>
          <cell r="E6117" t="str">
            <v>Community School</v>
          </cell>
          <cell r="F6117" t="str">
            <v>Primary</v>
          </cell>
        </row>
        <row r="6118">
          <cell r="A6118">
            <v>3562101</v>
          </cell>
          <cell r="B6118">
            <v>106087</v>
          </cell>
          <cell r="C6118" t="str">
            <v>Cherry Tree Infants' School</v>
          </cell>
          <cell r="D6118" t="str">
            <v>Stockport</v>
          </cell>
          <cell r="E6118" t="str">
            <v>Community School</v>
          </cell>
          <cell r="F6118" t="str">
            <v>Primary</v>
          </cell>
        </row>
        <row r="6119">
          <cell r="A6119">
            <v>3562024</v>
          </cell>
          <cell r="B6119">
            <v>106041</v>
          </cell>
          <cell r="C6119" t="str">
            <v>Cherry Tree Junior School</v>
          </cell>
          <cell r="D6119" t="str">
            <v>Stockport</v>
          </cell>
          <cell r="E6119" t="str">
            <v>Community School</v>
          </cell>
          <cell r="F6119" t="str">
            <v>Primary</v>
          </cell>
        </row>
        <row r="6120">
          <cell r="A6120">
            <v>3321102</v>
          </cell>
          <cell r="B6120">
            <v>103769</v>
          </cell>
          <cell r="C6120" t="str">
            <v>Cherry Tree Learning Centre</v>
          </cell>
          <cell r="D6120" t="str">
            <v>Dudley</v>
          </cell>
          <cell r="E6120" t="str">
            <v>Pupil Referral Unit</v>
          </cell>
          <cell r="F6120" t="str">
            <v>PRU</v>
          </cell>
        </row>
        <row r="6121">
          <cell r="A6121">
            <v>3502062</v>
          </cell>
          <cell r="B6121">
            <v>105187</v>
          </cell>
          <cell r="C6121" t="str">
            <v>Cherry Tree Primary School</v>
          </cell>
          <cell r="D6121" t="str">
            <v>Bolton</v>
          </cell>
          <cell r="E6121" t="str">
            <v>Community School</v>
          </cell>
          <cell r="F6121" t="str">
            <v>Primary</v>
          </cell>
        </row>
        <row r="6122">
          <cell r="A6122">
            <v>8772335</v>
          </cell>
          <cell r="B6122">
            <v>111150</v>
          </cell>
          <cell r="C6122" t="str">
            <v>Cherry Tree Primary School</v>
          </cell>
          <cell r="D6122" t="str">
            <v>Warrington</v>
          </cell>
          <cell r="E6122" t="str">
            <v>Community School</v>
          </cell>
          <cell r="F6122" t="str">
            <v>Primary</v>
          </cell>
        </row>
        <row r="6123">
          <cell r="A6123">
            <v>9192432</v>
          </cell>
          <cell r="B6123">
            <v>117339</v>
          </cell>
          <cell r="C6123" t="str">
            <v>Cherry Tree Primary School</v>
          </cell>
          <cell r="D6123" t="str">
            <v>Hertfordshire</v>
          </cell>
          <cell r="E6123" t="str">
            <v>Community School</v>
          </cell>
          <cell r="F6123" t="str">
            <v>Primary</v>
          </cell>
        </row>
        <row r="6124">
          <cell r="A6124">
            <v>8812284</v>
          </cell>
          <cell r="B6124">
            <v>114815</v>
          </cell>
          <cell r="C6124" t="str">
            <v>Cherry Tree Primary School and Speech and Language Unit</v>
          </cell>
          <cell r="D6124" t="str">
            <v>Essex</v>
          </cell>
          <cell r="E6124" t="str">
            <v>Community School</v>
          </cell>
          <cell r="F6124" t="str">
            <v>Primary</v>
          </cell>
        </row>
        <row r="6125">
          <cell r="A6125">
            <v>8813253</v>
          </cell>
          <cell r="B6125">
            <v>132833</v>
          </cell>
          <cell r="C6125" t="str">
            <v>Cherry Tree Primary School, Basildon</v>
          </cell>
          <cell r="D6125" t="str">
            <v>Essex</v>
          </cell>
          <cell r="E6125" t="str">
            <v>Community School</v>
          </cell>
          <cell r="F6125" t="str">
            <v>Primary</v>
          </cell>
        </row>
        <row r="6126">
          <cell r="A6126">
            <v>8221000</v>
          </cell>
          <cell r="B6126">
            <v>109413</v>
          </cell>
          <cell r="C6126" t="str">
            <v>Cherry Trees Nursery School</v>
          </cell>
          <cell r="D6126" t="str">
            <v>Bedford</v>
          </cell>
          <cell r="E6126" t="str">
            <v>LA Nursery School</v>
          </cell>
          <cell r="F6126" t="str">
            <v>Nursery</v>
          </cell>
        </row>
        <row r="6127">
          <cell r="A6127">
            <v>8607034</v>
          </cell>
          <cell r="B6127">
            <v>124516</v>
          </cell>
          <cell r="C6127" t="str">
            <v>Cherry Trees School</v>
          </cell>
          <cell r="D6127" t="str">
            <v>Staffordshire</v>
          </cell>
          <cell r="E6127" t="str">
            <v>Community Special School</v>
          </cell>
          <cell r="F6127" t="str">
            <v>Special</v>
          </cell>
        </row>
        <row r="6128">
          <cell r="A6128">
            <v>9254062</v>
          </cell>
          <cell r="B6128">
            <v>120654</v>
          </cell>
          <cell r="C6128" t="str">
            <v>Cherry Willingham Community School</v>
          </cell>
          <cell r="D6128" t="str">
            <v>Lincolnshire</v>
          </cell>
          <cell r="E6128" t="str">
            <v>Foundation School</v>
          </cell>
          <cell r="F6128" t="str">
            <v>Secondary</v>
          </cell>
        </row>
        <row r="6129">
          <cell r="A6129">
            <v>9252212</v>
          </cell>
          <cell r="B6129">
            <v>129576</v>
          </cell>
          <cell r="C6129" t="str">
            <v>Cherry Willingham County Infant School</v>
          </cell>
          <cell r="D6129" t="str">
            <v>Lincolnshire</v>
          </cell>
          <cell r="E6129" t="str">
            <v>Community School</v>
          </cell>
          <cell r="F6129" t="str">
            <v>Primary</v>
          </cell>
        </row>
        <row r="6130">
          <cell r="A6130">
            <v>9252218</v>
          </cell>
          <cell r="B6130">
            <v>129577</v>
          </cell>
          <cell r="C6130" t="str">
            <v>Cherry Willingham County Junior School</v>
          </cell>
          <cell r="D6130" t="str">
            <v>Lincolnshire</v>
          </cell>
          <cell r="E6130" t="str">
            <v>Community School</v>
          </cell>
          <cell r="F6130" t="str">
            <v>Primary</v>
          </cell>
        </row>
        <row r="6131">
          <cell r="A6131">
            <v>9252241</v>
          </cell>
          <cell r="B6131">
            <v>120505</v>
          </cell>
          <cell r="C6131" t="str">
            <v>Cherry Willingham Primary School</v>
          </cell>
          <cell r="D6131" t="str">
            <v>Lincolnshire</v>
          </cell>
          <cell r="E6131" t="str">
            <v>Community School</v>
          </cell>
          <cell r="F6131" t="str">
            <v>Primary</v>
          </cell>
        </row>
        <row r="6132">
          <cell r="A6132">
            <v>3402014</v>
          </cell>
          <cell r="B6132">
            <v>104428</v>
          </cell>
          <cell r="C6132" t="str">
            <v>Cherryfield Primary School</v>
          </cell>
          <cell r="D6132" t="str">
            <v>Knowsley</v>
          </cell>
          <cell r="E6132" t="str">
            <v>Community School</v>
          </cell>
          <cell r="F6132" t="str">
            <v>Primary</v>
          </cell>
        </row>
        <row r="6133">
          <cell r="A6133">
            <v>8569900</v>
          </cell>
          <cell r="B6133">
            <v>132991</v>
          </cell>
          <cell r="C6133" t="str">
            <v>Cherryleas Assessment Centre</v>
          </cell>
          <cell r="D6133" t="str">
            <v>Leicester</v>
          </cell>
          <cell r="E6133" t="str">
            <v>Miscellaneous</v>
          </cell>
          <cell r="F6133" t="str">
            <v>Not applicable</v>
          </cell>
        </row>
        <row r="6134">
          <cell r="A6134">
            <v>8502016</v>
          </cell>
          <cell r="B6134">
            <v>132802</v>
          </cell>
          <cell r="C6134" t="str">
            <v>Cherrywood Community Primary School</v>
          </cell>
          <cell r="D6134" t="str">
            <v>Hampshire</v>
          </cell>
          <cell r="E6134" t="str">
            <v>Community School</v>
          </cell>
          <cell r="F6134" t="str">
            <v>Primary</v>
          </cell>
        </row>
        <row r="6135">
          <cell r="A6135">
            <v>9361001</v>
          </cell>
          <cell r="B6135">
            <v>124911</v>
          </cell>
          <cell r="C6135" t="str">
            <v>Chertsey Nursery School</v>
          </cell>
          <cell r="D6135" t="str">
            <v>Surrey</v>
          </cell>
          <cell r="E6135" t="str">
            <v>LA Nursery School</v>
          </cell>
          <cell r="F6135" t="str">
            <v>Nursery</v>
          </cell>
        </row>
        <row r="6136">
          <cell r="A6136">
            <v>8352009</v>
          </cell>
          <cell r="B6136">
            <v>113663</v>
          </cell>
          <cell r="C6136" t="str">
            <v>Cheselbourne Village School</v>
          </cell>
          <cell r="D6136" t="str">
            <v>Dorset</v>
          </cell>
          <cell r="E6136" t="str">
            <v>Community School</v>
          </cell>
          <cell r="F6136" t="str">
            <v>Primary</v>
          </cell>
        </row>
        <row r="6137">
          <cell r="A6137">
            <v>8253034</v>
          </cell>
          <cell r="B6137">
            <v>110425</v>
          </cell>
          <cell r="C6137" t="str">
            <v>Chesham Bois Church of England Combined School</v>
          </cell>
          <cell r="D6137" t="str">
            <v>Buckinghamshire</v>
          </cell>
          <cell r="E6137" t="str">
            <v>Voluntary Controlled School</v>
          </cell>
          <cell r="F6137" t="str">
            <v>Primary</v>
          </cell>
        </row>
        <row r="6138">
          <cell r="A6138">
            <v>8254079</v>
          </cell>
          <cell r="B6138">
            <v>110504</v>
          </cell>
          <cell r="C6138" t="str">
            <v>Chesham Grammar School</v>
          </cell>
          <cell r="D6138" t="str">
            <v>Buckinghamshire</v>
          </cell>
          <cell r="E6138" t="str">
            <v>Community School</v>
          </cell>
          <cell r="F6138" t="str">
            <v>Secondary</v>
          </cell>
        </row>
        <row r="6139">
          <cell r="A6139">
            <v>8254079</v>
          </cell>
          <cell r="B6139">
            <v>137091</v>
          </cell>
          <cell r="C6139" t="str">
            <v>Chesham Grammar School</v>
          </cell>
          <cell r="D6139" t="str">
            <v>Buckinghamshire</v>
          </cell>
          <cell r="E6139" t="str">
            <v>Academy Converters</v>
          </cell>
          <cell r="F6139" t="str">
            <v>Secondary</v>
          </cell>
        </row>
        <row r="6140">
          <cell r="A6140">
            <v>8254096</v>
          </cell>
          <cell r="B6140">
            <v>110510</v>
          </cell>
          <cell r="C6140" t="str">
            <v>Chesham Park Community College</v>
          </cell>
          <cell r="D6140" t="str">
            <v>Buckinghamshire</v>
          </cell>
          <cell r="E6140" t="str">
            <v>Community School</v>
          </cell>
          <cell r="F6140" t="str">
            <v>Secondary</v>
          </cell>
        </row>
        <row r="6141">
          <cell r="A6141">
            <v>8256027</v>
          </cell>
          <cell r="B6141">
            <v>110552</v>
          </cell>
          <cell r="C6141" t="str">
            <v>Chesham Preparatory School</v>
          </cell>
          <cell r="D6141" t="str">
            <v>Buckinghamshire</v>
          </cell>
          <cell r="E6141" t="str">
            <v>Other Independent School</v>
          </cell>
          <cell r="F6141" t="str">
            <v>Not applicable</v>
          </cell>
        </row>
        <row r="6142">
          <cell r="A6142">
            <v>3512015</v>
          </cell>
          <cell r="B6142">
            <v>105293</v>
          </cell>
          <cell r="C6142" t="str">
            <v>Chesham Primary School</v>
          </cell>
          <cell r="D6142" t="str">
            <v>Bury</v>
          </cell>
          <cell r="E6142" t="str">
            <v>Community School</v>
          </cell>
          <cell r="F6142" t="str">
            <v>Primary</v>
          </cell>
        </row>
        <row r="6143">
          <cell r="A6143">
            <v>8951100</v>
          </cell>
          <cell r="B6143">
            <v>136676</v>
          </cell>
          <cell r="C6143" t="str">
            <v>Cheshire East Pupil Referral Unit</v>
          </cell>
          <cell r="D6143" t="str">
            <v>Cheshire East</v>
          </cell>
          <cell r="E6143" t="str">
            <v>Pupil Referral Unit</v>
          </cell>
          <cell r="F6143" t="str">
            <v>PRU</v>
          </cell>
        </row>
        <row r="6144">
          <cell r="A6144">
            <v>8964154</v>
          </cell>
          <cell r="B6144">
            <v>111423</v>
          </cell>
          <cell r="C6144" t="str">
            <v>Cheshire Oaks High School, A Specialist Sports College</v>
          </cell>
          <cell r="D6144" t="str">
            <v>Cheshire West and Chester</v>
          </cell>
          <cell r="E6144" t="str">
            <v>Community School</v>
          </cell>
          <cell r="F6144" t="str">
            <v>Secondary</v>
          </cell>
        </row>
        <row r="6145">
          <cell r="A6145">
            <v>7023006</v>
          </cell>
          <cell r="B6145">
            <v>132395</v>
          </cell>
          <cell r="C6145" t="str">
            <v>Cheshire School</v>
          </cell>
          <cell r="D6145" t="str">
            <v>BFPO Overseas Establishments</v>
          </cell>
          <cell r="E6145" t="str">
            <v>Service Childrens Education</v>
          </cell>
          <cell r="F6145" t="str">
            <v>Not applicable</v>
          </cell>
        </row>
        <row r="6146">
          <cell r="A6146">
            <v>3316014</v>
          </cell>
          <cell r="B6146">
            <v>103749</v>
          </cell>
          <cell r="C6146" t="str">
            <v>Cheshunt School</v>
          </cell>
          <cell r="D6146" t="str">
            <v>Coventry</v>
          </cell>
          <cell r="E6146" t="str">
            <v>Other Independent School</v>
          </cell>
          <cell r="F6146" t="str">
            <v>Not applicable</v>
          </cell>
        </row>
        <row r="6147">
          <cell r="A6147">
            <v>9195425</v>
          </cell>
          <cell r="B6147">
            <v>117596</v>
          </cell>
          <cell r="C6147" t="str">
            <v>Cheshunt School</v>
          </cell>
          <cell r="D6147" t="str">
            <v>Hertfordshire</v>
          </cell>
          <cell r="E6147" t="str">
            <v>Foundation School</v>
          </cell>
          <cell r="F6147" t="str">
            <v>Secondary</v>
          </cell>
        </row>
        <row r="6148">
          <cell r="A6148">
            <v>8602393</v>
          </cell>
          <cell r="B6148">
            <v>124189</v>
          </cell>
          <cell r="C6148" t="str">
            <v>Cheslyn Hay Primary School</v>
          </cell>
          <cell r="D6148" t="str">
            <v>Staffordshire</v>
          </cell>
          <cell r="E6148" t="str">
            <v>Community School</v>
          </cell>
          <cell r="F6148" t="str">
            <v>Primary</v>
          </cell>
        </row>
        <row r="6149">
          <cell r="A6149">
            <v>8604140</v>
          </cell>
          <cell r="B6149">
            <v>124425</v>
          </cell>
          <cell r="C6149" t="str">
            <v>Cheslyn Hay Sport and Community High School</v>
          </cell>
          <cell r="D6149" t="str">
            <v>Staffordshire</v>
          </cell>
          <cell r="E6149" t="str">
            <v>Community School</v>
          </cell>
          <cell r="F6149" t="str">
            <v>Secondary</v>
          </cell>
        </row>
        <row r="6150">
          <cell r="A6150">
            <v>8767200</v>
          </cell>
          <cell r="B6150">
            <v>111514</v>
          </cell>
          <cell r="C6150" t="str">
            <v>Chesnut Lodge Special School</v>
          </cell>
          <cell r="D6150" t="str">
            <v>Halton</v>
          </cell>
          <cell r="E6150" t="str">
            <v>Community Special School</v>
          </cell>
          <cell r="F6150" t="str">
            <v>Special</v>
          </cell>
        </row>
        <row r="6151">
          <cell r="A6151">
            <v>3144006</v>
          </cell>
          <cell r="B6151">
            <v>102599</v>
          </cell>
          <cell r="C6151" t="str">
            <v>Chessington Community College</v>
          </cell>
          <cell r="D6151" t="str">
            <v>Kingston upon Thames</v>
          </cell>
          <cell r="E6151" t="str">
            <v>Community School</v>
          </cell>
          <cell r="F6151" t="str">
            <v>Secondary</v>
          </cell>
        </row>
        <row r="6152">
          <cell r="A6152">
            <v>9382239</v>
          </cell>
          <cell r="B6152">
            <v>125961</v>
          </cell>
          <cell r="C6152" t="str">
            <v>Chesswood Middle School</v>
          </cell>
          <cell r="D6152" t="str">
            <v>West Sussex</v>
          </cell>
          <cell r="E6152" t="str">
            <v>Community School</v>
          </cell>
          <cell r="F6152" t="str">
            <v>Middle Deemed Primary</v>
          </cell>
        </row>
        <row r="6153">
          <cell r="A6153">
            <v>8965205</v>
          </cell>
          <cell r="B6153">
            <v>136806</v>
          </cell>
          <cell r="C6153" t="str">
            <v>Chester Blue Coat Church of England Primary School</v>
          </cell>
          <cell r="D6153" t="str">
            <v>Cheshire West and Chester</v>
          </cell>
          <cell r="E6153" t="str">
            <v>Voluntary Aided School</v>
          </cell>
          <cell r="F6153" t="str">
            <v>Primary</v>
          </cell>
        </row>
        <row r="6154">
          <cell r="A6154">
            <v>8012021</v>
          </cell>
          <cell r="B6154">
            <v>108921</v>
          </cell>
          <cell r="C6154" t="str">
            <v>Chester Park Infant School</v>
          </cell>
          <cell r="D6154" t="str">
            <v>Bristol City of</v>
          </cell>
          <cell r="E6154" t="str">
            <v>Community School</v>
          </cell>
          <cell r="F6154" t="str">
            <v>Primary</v>
          </cell>
        </row>
        <row r="6155">
          <cell r="A6155">
            <v>8012020</v>
          </cell>
          <cell r="B6155">
            <v>108920</v>
          </cell>
          <cell r="C6155" t="str">
            <v>Chester Park Junior School</v>
          </cell>
          <cell r="D6155" t="str">
            <v>Bristol City of</v>
          </cell>
          <cell r="E6155" t="str">
            <v>Community School</v>
          </cell>
          <cell r="F6155" t="str">
            <v>Primary</v>
          </cell>
        </row>
        <row r="6156">
          <cell r="A6156">
            <v>3902050</v>
          </cell>
          <cell r="B6156">
            <v>128098</v>
          </cell>
          <cell r="C6156" t="str">
            <v>Chester Place Junior School</v>
          </cell>
          <cell r="D6156" t="str">
            <v>Gateshead</v>
          </cell>
          <cell r="E6156" t="str">
            <v>Community School</v>
          </cell>
          <cell r="F6156" t="str">
            <v>Primary</v>
          </cell>
        </row>
        <row r="6157">
          <cell r="A6157">
            <v>8308000</v>
          </cell>
          <cell r="B6157">
            <v>130638</v>
          </cell>
          <cell r="C6157" t="str">
            <v>Chesterfield College</v>
          </cell>
          <cell r="D6157" t="str">
            <v>Derbyshire</v>
          </cell>
          <cell r="E6157" t="str">
            <v>Further Education</v>
          </cell>
          <cell r="F6157" t="str">
            <v>16 Plus</v>
          </cell>
        </row>
        <row r="6158">
          <cell r="A6158">
            <v>3434105</v>
          </cell>
          <cell r="B6158">
            <v>104952</v>
          </cell>
          <cell r="C6158" t="str">
            <v>Chesterfield High School</v>
          </cell>
          <cell r="D6158" t="str">
            <v>Sefton</v>
          </cell>
          <cell r="E6158" t="str">
            <v>Community School</v>
          </cell>
          <cell r="F6158" t="str">
            <v>Secondary</v>
          </cell>
        </row>
        <row r="6159">
          <cell r="A6159">
            <v>3434105</v>
          </cell>
          <cell r="B6159">
            <v>137514</v>
          </cell>
          <cell r="C6159" t="str">
            <v>Chesterfield High School</v>
          </cell>
          <cell r="D6159" t="str">
            <v>Sefton</v>
          </cell>
          <cell r="E6159" t="str">
            <v>Academy Converters</v>
          </cell>
          <cell r="F6159" t="str">
            <v>Secondary</v>
          </cell>
        </row>
        <row r="6160">
          <cell r="A6160">
            <v>8309902</v>
          </cell>
          <cell r="B6160">
            <v>134444</v>
          </cell>
          <cell r="C6160" t="str">
            <v>Chesterfield Hospital School</v>
          </cell>
          <cell r="D6160" t="str">
            <v>Derbyshire</v>
          </cell>
          <cell r="E6160" t="str">
            <v>Miscellaneous</v>
          </cell>
          <cell r="F6160" t="str">
            <v>Not applicable</v>
          </cell>
        </row>
        <row r="6161">
          <cell r="A6161">
            <v>3082015</v>
          </cell>
          <cell r="B6161">
            <v>101986</v>
          </cell>
          <cell r="C6161" t="str">
            <v>Chesterfield Infant School</v>
          </cell>
          <cell r="D6161" t="str">
            <v>Enfield</v>
          </cell>
          <cell r="E6161" t="str">
            <v>Community School</v>
          </cell>
          <cell r="F6161" t="str">
            <v>Primary</v>
          </cell>
        </row>
        <row r="6162">
          <cell r="A6162">
            <v>3082014</v>
          </cell>
          <cell r="B6162">
            <v>101985</v>
          </cell>
          <cell r="C6162" t="str">
            <v>Chesterfield Junior School</v>
          </cell>
          <cell r="D6162" t="str">
            <v>Enfield</v>
          </cell>
          <cell r="E6162" t="str">
            <v>Community School</v>
          </cell>
          <cell r="F6162" t="str">
            <v>Primary</v>
          </cell>
        </row>
        <row r="6163">
          <cell r="A6163">
            <v>9104020</v>
          </cell>
          <cell r="B6163">
            <v>128633</v>
          </cell>
          <cell r="C6163" t="str">
            <v>Chesterfield School</v>
          </cell>
          <cell r="D6163" t="str">
            <v>Pre LGR (1997) Derbyshire</v>
          </cell>
          <cell r="E6163" t="str">
            <v>Community School</v>
          </cell>
          <cell r="F6163" t="str">
            <v>Secondary</v>
          </cell>
        </row>
        <row r="6164">
          <cell r="A6164">
            <v>3083507</v>
          </cell>
          <cell r="B6164">
            <v>131528</v>
          </cell>
          <cell r="C6164" t="str">
            <v>Chesterfield School</v>
          </cell>
          <cell r="D6164" t="str">
            <v>Enfield</v>
          </cell>
          <cell r="E6164" t="str">
            <v>Community School</v>
          </cell>
          <cell r="F6164" t="str">
            <v>Primary</v>
          </cell>
        </row>
        <row r="6165">
          <cell r="A6165">
            <v>8403031</v>
          </cell>
          <cell r="B6165">
            <v>114213</v>
          </cell>
          <cell r="C6165" t="str">
            <v>Chester-le-Street CofE (Controlled) Junior School</v>
          </cell>
          <cell r="D6165" t="str">
            <v>Durham</v>
          </cell>
          <cell r="E6165" t="str">
            <v>Voluntary Controlled School</v>
          </cell>
          <cell r="F6165" t="str">
            <v>Primary</v>
          </cell>
        </row>
        <row r="6166">
          <cell r="A6166">
            <v>9313082</v>
          </cell>
          <cell r="B6166">
            <v>123101</v>
          </cell>
          <cell r="C6166" t="str">
            <v>Chesterton Church of England Voluntary Aided Primary School</v>
          </cell>
          <cell r="D6166" t="str">
            <v>Oxfordshire</v>
          </cell>
          <cell r="E6166" t="str">
            <v>Voluntary Aided School</v>
          </cell>
          <cell r="F6166" t="str">
            <v>Primary</v>
          </cell>
        </row>
        <row r="6167">
          <cell r="A6167">
            <v>8734029</v>
          </cell>
          <cell r="B6167">
            <v>110865</v>
          </cell>
          <cell r="C6167" t="str">
            <v>Chesterton Community College</v>
          </cell>
          <cell r="D6167" t="str">
            <v>Cambridgeshire</v>
          </cell>
          <cell r="E6167" t="str">
            <v>Community School</v>
          </cell>
          <cell r="F6167" t="str">
            <v>Secondary</v>
          </cell>
        </row>
        <row r="6168">
          <cell r="A6168">
            <v>8734029</v>
          </cell>
          <cell r="B6168">
            <v>136887</v>
          </cell>
          <cell r="C6168" t="str">
            <v>Chesterton Community College Academy</v>
          </cell>
          <cell r="D6168" t="str">
            <v>Cambridgeshire</v>
          </cell>
          <cell r="E6168" t="str">
            <v>Academy Converters</v>
          </cell>
          <cell r="F6168" t="str">
            <v>Secondary</v>
          </cell>
        </row>
        <row r="6169">
          <cell r="A6169">
            <v>8604093</v>
          </cell>
          <cell r="B6169">
            <v>124411</v>
          </cell>
          <cell r="C6169" t="str">
            <v>Chesterton Community Sports College</v>
          </cell>
          <cell r="D6169" t="str">
            <v>Staffordshire</v>
          </cell>
          <cell r="E6169" t="str">
            <v>Community School</v>
          </cell>
          <cell r="F6169" t="str">
            <v>Secondary</v>
          </cell>
        </row>
        <row r="6170">
          <cell r="A6170">
            <v>2122107</v>
          </cell>
          <cell r="B6170">
            <v>101003</v>
          </cell>
          <cell r="C6170" t="str">
            <v>Chesterton Primary School</v>
          </cell>
          <cell r="D6170" t="str">
            <v>Wandsworth</v>
          </cell>
          <cell r="E6170" t="str">
            <v>Community School</v>
          </cell>
          <cell r="F6170" t="str">
            <v>Primary</v>
          </cell>
        </row>
        <row r="6171">
          <cell r="A6171">
            <v>9162139</v>
          </cell>
          <cell r="B6171">
            <v>115575</v>
          </cell>
          <cell r="C6171" t="str">
            <v>Chesterton Primary School</v>
          </cell>
          <cell r="D6171" t="str">
            <v>Gloucestershire</v>
          </cell>
          <cell r="E6171" t="str">
            <v>Community School</v>
          </cell>
          <cell r="F6171" t="str">
            <v>Primary</v>
          </cell>
        </row>
        <row r="6172">
          <cell r="A6172">
            <v>8602358</v>
          </cell>
          <cell r="B6172">
            <v>124169</v>
          </cell>
          <cell r="C6172" t="str">
            <v>Chesterton Primary School</v>
          </cell>
          <cell r="D6172" t="str">
            <v>Staffordshire</v>
          </cell>
          <cell r="E6172" t="str">
            <v>Community School</v>
          </cell>
          <cell r="F6172" t="str">
            <v>Primary</v>
          </cell>
        </row>
        <row r="6173">
          <cell r="A6173">
            <v>2124328</v>
          </cell>
          <cell r="B6173">
            <v>101054</v>
          </cell>
          <cell r="C6173" t="str">
            <v>Chestnut Grove School</v>
          </cell>
          <cell r="D6173" t="str">
            <v>Wandsworth</v>
          </cell>
          <cell r="E6173" t="str">
            <v>Foundation School</v>
          </cell>
          <cell r="F6173" t="str">
            <v>Secondary</v>
          </cell>
        </row>
        <row r="6174">
          <cell r="A6174">
            <v>2124328</v>
          </cell>
          <cell r="B6174">
            <v>136883</v>
          </cell>
          <cell r="C6174" t="str">
            <v>Chestnut Grove School</v>
          </cell>
          <cell r="D6174" t="str">
            <v>Wandsworth</v>
          </cell>
          <cell r="E6174" t="str">
            <v>Academy Converters</v>
          </cell>
          <cell r="F6174" t="str">
            <v>Secondary</v>
          </cell>
        </row>
        <row r="6175">
          <cell r="A6175">
            <v>8521114</v>
          </cell>
          <cell r="B6175">
            <v>115846</v>
          </cell>
          <cell r="C6175" t="str">
            <v>Chestnut House Pupil Referral Unit</v>
          </cell>
          <cell r="D6175" t="str">
            <v>Southampton</v>
          </cell>
          <cell r="E6175" t="str">
            <v>Pupil Referral Unit</v>
          </cell>
          <cell r="F6175" t="str">
            <v>PRU</v>
          </cell>
        </row>
        <row r="6176">
          <cell r="A6176">
            <v>8252191</v>
          </cell>
          <cell r="B6176">
            <v>110294</v>
          </cell>
          <cell r="C6176" t="str">
            <v>Chestnut Lane School</v>
          </cell>
          <cell r="D6176" t="str">
            <v>Buckinghamshire</v>
          </cell>
          <cell r="E6176" t="str">
            <v>Community School</v>
          </cell>
          <cell r="F6176" t="str">
            <v>Primary</v>
          </cell>
        </row>
        <row r="6177">
          <cell r="A6177">
            <v>8802466</v>
          </cell>
          <cell r="B6177">
            <v>113238</v>
          </cell>
          <cell r="C6177" t="str">
            <v>Chestnut Primary School</v>
          </cell>
          <cell r="D6177" t="str">
            <v>Torbay</v>
          </cell>
          <cell r="E6177" t="str">
            <v>Community School</v>
          </cell>
          <cell r="F6177" t="str">
            <v>Primary</v>
          </cell>
        </row>
        <row r="6178">
          <cell r="A6178">
            <v>3436052</v>
          </cell>
          <cell r="B6178">
            <v>134650</v>
          </cell>
          <cell r="C6178" t="str">
            <v>Chestnut Tree School</v>
          </cell>
          <cell r="D6178" t="str">
            <v>Sefton</v>
          </cell>
          <cell r="E6178" t="str">
            <v>Other Independent Special School</v>
          </cell>
          <cell r="F6178" t="str">
            <v>Not applicable</v>
          </cell>
        </row>
        <row r="6179">
          <cell r="A6179">
            <v>8262003</v>
          </cell>
          <cell r="B6179">
            <v>132733</v>
          </cell>
          <cell r="C6179" t="str">
            <v>Chestnuts Primary School</v>
          </cell>
          <cell r="D6179" t="str">
            <v>Milton Keynes</v>
          </cell>
          <cell r="E6179" t="str">
            <v>Community School</v>
          </cell>
          <cell r="F6179" t="str">
            <v>Primary</v>
          </cell>
        </row>
        <row r="6180">
          <cell r="A6180">
            <v>3093511</v>
          </cell>
          <cell r="B6180">
            <v>134680</v>
          </cell>
          <cell r="C6180" t="str">
            <v>Chestnuts Primary School</v>
          </cell>
          <cell r="D6180" t="str">
            <v>Haringey</v>
          </cell>
          <cell r="E6180" t="str">
            <v>Community School</v>
          </cell>
          <cell r="F6180" t="str">
            <v>Primary</v>
          </cell>
        </row>
        <row r="6181">
          <cell r="A6181">
            <v>8932032</v>
          </cell>
          <cell r="B6181">
            <v>123357</v>
          </cell>
          <cell r="C6181" t="str">
            <v>Cheswardine Primary School</v>
          </cell>
          <cell r="D6181" t="str">
            <v>Shropshire</v>
          </cell>
          <cell r="E6181" t="str">
            <v>Community School</v>
          </cell>
          <cell r="F6181" t="str">
            <v>Primary</v>
          </cell>
        </row>
        <row r="6182">
          <cell r="A6182">
            <v>3342082</v>
          </cell>
          <cell r="B6182">
            <v>104074</v>
          </cell>
          <cell r="C6182" t="str">
            <v>Cheswick Green Primary School</v>
          </cell>
          <cell r="D6182" t="str">
            <v>Solihull</v>
          </cell>
          <cell r="E6182" t="str">
            <v>Community School</v>
          </cell>
          <cell r="F6182" t="str">
            <v>Primary</v>
          </cell>
        </row>
        <row r="6183">
          <cell r="A6183">
            <v>9382031</v>
          </cell>
          <cell r="B6183">
            <v>125833</v>
          </cell>
          <cell r="C6183" t="str">
            <v>Chesworth Junior School</v>
          </cell>
          <cell r="D6183" t="str">
            <v>West Sussex</v>
          </cell>
          <cell r="E6183" t="str">
            <v>Community School</v>
          </cell>
          <cell r="F6183" t="str">
            <v>Primary</v>
          </cell>
        </row>
        <row r="6184">
          <cell r="A6184">
            <v>9366502</v>
          </cell>
          <cell r="B6184">
            <v>125410</v>
          </cell>
          <cell r="C6184" t="str">
            <v>Cheswycks School</v>
          </cell>
          <cell r="D6184" t="str">
            <v>Surrey</v>
          </cell>
          <cell r="E6184" t="str">
            <v>Other Independent School</v>
          </cell>
          <cell r="F6184" t="str">
            <v>Not applicable</v>
          </cell>
        </row>
        <row r="6185">
          <cell r="A6185">
            <v>3526021</v>
          </cell>
          <cell r="B6185">
            <v>105588</v>
          </cell>
          <cell r="C6185" t="str">
            <v>Chethams School of Music</v>
          </cell>
          <cell r="D6185" t="str">
            <v>Manchester</v>
          </cell>
          <cell r="E6185" t="str">
            <v>Other Independent School</v>
          </cell>
          <cell r="F6185" t="str">
            <v>Not applicable</v>
          </cell>
        </row>
        <row r="6186">
          <cell r="A6186">
            <v>3306058</v>
          </cell>
          <cell r="B6186">
            <v>103574</v>
          </cell>
          <cell r="C6186" t="str">
            <v>Chetwynd House School</v>
          </cell>
          <cell r="D6186" t="str">
            <v>Birmingham</v>
          </cell>
          <cell r="E6186" t="str">
            <v>Other Independent School</v>
          </cell>
          <cell r="F6186" t="str">
            <v>Not applicable</v>
          </cell>
        </row>
        <row r="6187">
          <cell r="A6187">
            <v>9372581</v>
          </cell>
          <cell r="B6187">
            <v>125591</v>
          </cell>
          <cell r="C6187" t="str">
            <v>Chetwynd Junior School</v>
          </cell>
          <cell r="D6187" t="str">
            <v>Warwickshire</v>
          </cell>
          <cell r="E6187" t="str">
            <v>Community School</v>
          </cell>
          <cell r="F6187" t="str">
            <v>Primary</v>
          </cell>
        </row>
        <row r="6188">
          <cell r="A6188">
            <v>9344131</v>
          </cell>
          <cell r="B6188">
            <v>129939</v>
          </cell>
          <cell r="C6188" t="str">
            <v>Chetwynd Middle School</v>
          </cell>
          <cell r="D6188" t="str">
            <v>Pre LGR (1997) Staffordshire</v>
          </cell>
          <cell r="E6188" t="str">
            <v>Community School</v>
          </cell>
          <cell r="F6188" t="str">
            <v>Middle Deemed Secondary</v>
          </cell>
        </row>
        <row r="6189">
          <cell r="A6189">
            <v>8912315</v>
          </cell>
          <cell r="B6189">
            <v>122553</v>
          </cell>
          <cell r="C6189" t="str">
            <v>Chetwynd Road Primary School</v>
          </cell>
          <cell r="D6189" t="str">
            <v>Nottinghamshire</v>
          </cell>
          <cell r="E6189" t="str">
            <v>Community School</v>
          </cell>
          <cell r="F6189" t="str">
            <v>Primary</v>
          </cell>
        </row>
        <row r="6190">
          <cell r="A6190">
            <v>9096025</v>
          </cell>
          <cell r="B6190">
            <v>112450</v>
          </cell>
          <cell r="C6190" t="str">
            <v>Chetwynde School</v>
          </cell>
          <cell r="D6190" t="str">
            <v>Cumbria</v>
          </cell>
          <cell r="E6190" t="str">
            <v>Other Independent School</v>
          </cell>
          <cell r="F6190" t="str">
            <v>Not applicable</v>
          </cell>
        </row>
        <row r="6191">
          <cell r="A6191">
            <v>3522322</v>
          </cell>
          <cell r="B6191">
            <v>105481</v>
          </cell>
          <cell r="C6191" t="str">
            <v>Chevassut County Primary School</v>
          </cell>
          <cell r="D6191" t="str">
            <v>Manchester</v>
          </cell>
          <cell r="E6191" t="str">
            <v>Community School</v>
          </cell>
          <cell r="F6191" t="str">
            <v>Primary</v>
          </cell>
        </row>
        <row r="6192">
          <cell r="A6192">
            <v>8733009</v>
          </cell>
          <cell r="B6192">
            <v>110785</v>
          </cell>
          <cell r="C6192" t="str">
            <v>Cheveley CofE Primary School</v>
          </cell>
          <cell r="D6192" t="str">
            <v>Cambridgeshire</v>
          </cell>
          <cell r="E6192" t="str">
            <v>Voluntary Controlled School</v>
          </cell>
          <cell r="F6192" t="str">
            <v>Primary</v>
          </cell>
        </row>
        <row r="6193">
          <cell r="A6193">
            <v>8863307</v>
          </cell>
          <cell r="B6193">
            <v>118715</v>
          </cell>
          <cell r="C6193" t="str">
            <v>Chevening, St Botolph's Church of England Voluntary Aided Primary School</v>
          </cell>
          <cell r="D6193" t="str">
            <v>Kent</v>
          </cell>
          <cell r="E6193" t="str">
            <v>Voluntary Aided School</v>
          </cell>
          <cell r="F6193" t="str">
            <v>Primary</v>
          </cell>
        </row>
        <row r="6194">
          <cell r="A6194">
            <v>9396104</v>
          </cell>
          <cell r="B6194">
            <v>130232</v>
          </cell>
          <cell r="C6194" t="str">
            <v>Cheverell Academy</v>
          </cell>
          <cell r="D6194" t="str">
            <v>Pre LGR (1997) Wiltshire</v>
          </cell>
          <cell r="E6194" t="str">
            <v>Other Independent School</v>
          </cell>
          <cell r="F6194" t="str">
            <v>Not applicable</v>
          </cell>
        </row>
        <row r="6195">
          <cell r="A6195">
            <v>9353012</v>
          </cell>
          <cell r="B6195">
            <v>129977</v>
          </cell>
          <cell r="C6195" t="str">
            <v>Chevington VC Primary School</v>
          </cell>
          <cell r="D6195" t="str">
            <v>Suffolk</v>
          </cell>
          <cell r="E6195" t="str">
            <v>Voluntary Controlled School</v>
          </cell>
          <cell r="F6195" t="str">
            <v>Primary</v>
          </cell>
        </row>
        <row r="6196">
          <cell r="A6196">
            <v>3932072</v>
          </cell>
          <cell r="B6196">
            <v>108697</v>
          </cell>
          <cell r="C6196" t="str">
            <v>Cheviot Junior School</v>
          </cell>
          <cell r="D6196" t="str">
            <v>South Tyneside</v>
          </cell>
          <cell r="E6196" t="str">
            <v>Community School</v>
          </cell>
          <cell r="F6196" t="str">
            <v>Primary</v>
          </cell>
        </row>
        <row r="6197">
          <cell r="A6197">
            <v>3912018</v>
          </cell>
          <cell r="B6197">
            <v>108452</v>
          </cell>
          <cell r="C6197" t="str">
            <v>Cheviot Primary School</v>
          </cell>
          <cell r="D6197" t="str">
            <v>Newcastle upon Tyne</v>
          </cell>
          <cell r="E6197" t="str">
            <v>Community School</v>
          </cell>
          <cell r="F6197" t="str">
            <v>Primary</v>
          </cell>
        </row>
        <row r="6198">
          <cell r="A6198">
            <v>3914493</v>
          </cell>
          <cell r="B6198">
            <v>108530</v>
          </cell>
          <cell r="C6198" t="str">
            <v>Chevyside Middle School</v>
          </cell>
          <cell r="D6198" t="str">
            <v>Newcastle upon Tyne</v>
          </cell>
          <cell r="E6198" t="str">
            <v>Community School</v>
          </cell>
          <cell r="F6198" t="str">
            <v>Middle Deemed Secondary</v>
          </cell>
        </row>
        <row r="6199">
          <cell r="A6199">
            <v>8002238</v>
          </cell>
          <cell r="B6199">
            <v>109062</v>
          </cell>
          <cell r="C6199" t="str">
            <v>Chew Magna Primary School</v>
          </cell>
          <cell r="D6199" t="str">
            <v>Bath and North East Somerset</v>
          </cell>
          <cell r="E6199" t="str">
            <v>Community School</v>
          </cell>
          <cell r="F6199" t="str">
            <v>Primary</v>
          </cell>
        </row>
        <row r="6200">
          <cell r="A6200">
            <v>8003440</v>
          </cell>
          <cell r="B6200">
            <v>109270</v>
          </cell>
          <cell r="C6200" t="str">
            <v>Chew Stoke CofE VA Primary School</v>
          </cell>
          <cell r="D6200" t="str">
            <v>Bath and North East Somerset</v>
          </cell>
          <cell r="E6200" t="str">
            <v>Voluntary Aided School</v>
          </cell>
          <cell r="F6200" t="str">
            <v>Primary</v>
          </cell>
        </row>
        <row r="6201">
          <cell r="A6201">
            <v>8004130</v>
          </cell>
          <cell r="B6201">
            <v>109306</v>
          </cell>
          <cell r="C6201" t="str">
            <v>Chew Valley School</v>
          </cell>
          <cell r="D6201" t="str">
            <v>Bath and North East Somerset</v>
          </cell>
          <cell r="E6201" t="str">
            <v>Foundation School</v>
          </cell>
          <cell r="F6201" t="str">
            <v>Secondary</v>
          </cell>
        </row>
        <row r="6202">
          <cell r="A6202">
            <v>9333305</v>
          </cell>
          <cell r="B6202">
            <v>123827</v>
          </cell>
          <cell r="C6202" t="str">
            <v>Chewton Mendip Church of England VA Primary School</v>
          </cell>
          <cell r="D6202" t="str">
            <v>Somerset</v>
          </cell>
          <cell r="E6202" t="str">
            <v>Voluntary Aided School</v>
          </cell>
          <cell r="F6202" t="str">
            <v>Primary</v>
          </cell>
        </row>
        <row r="6203">
          <cell r="A6203">
            <v>8865442</v>
          </cell>
          <cell r="B6203">
            <v>118914</v>
          </cell>
          <cell r="C6203" t="str">
            <v>Cheyne Middle School</v>
          </cell>
          <cell r="D6203" t="str">
            <v>Kent</v>
          </cell>
          <cell r="E6203" t="str">
            <v>Foundation School</v>
          </cell>
          <cell r="F6203" t="str">
            <v>Middle Deemed Secondary</v>
          </cell>
        </row>
        <row r="6204">
          <cell r="A6204">
            <v>3057004</v>
          </cell>
          <cell r="B6204">
            <v>126807</v>
          </cell>
          <cell r="C6204" t="str">
            <v>Cheyne School</v>
          </cell>
          <cell r="D6204" t="str">
            <v>Bromley</v>
          </cell>
          <cell r="E6204" t="str">
            <v>Community Special School</v>
          </cell>
          <cell r="F6204" t="str">
            <v>Special</v>
          </cell>
        </row>
        <row r="6205">
          <cell r="A6205">
            <v>8212247</v>
          </cell>
          <cell r="B6205">
            <v>109556</v>
          </cell>
          <cell r="C6205" t="str">
            <v>Cheynes Infant School</v>
          </cell>
          <cell r="D6205" t="str">
            <v>Luton</v>
          </cell>
          <cell r="E6205" t="str">
            <v>Community School</v>
          </cell>
          <cell r="F6205" t="str">
            <v>Primary</v>
          </cell>
        </row>
        <row r="6206">
          <cell r="A6206">
            <v>9284025</v>
          </cell>
          <cell r="B6206">
            <v>129695</v>
          </cell>
          <cell r="C6206" t="str">
            <v>Chichele Girls' School</v>
          </cell>
          <cell r="D6206" t="str">
            <v>Northamptonshire</v>
          </cell>
          <cell r="E6206" t="str">
            <v>Community School</v>
          </cell>
          <cell r="F6206" t="str">
            <v>Secondary</v>
          </cell>
        </row>
        <row r="6207">
          <cell r="A6207">
            <v>9388004</v>
          </cell>
          <cell r="B6207">
            <v>130843</v>
          </cell>
          <cell r="C6207" t="str">
            <v>Chichester College</v>
          </cell>
          <cell r="D6207" t="str">
            <v>West Sussex</v>
          </cell>
          <cell r="E6207" t="str">
            <v>Further Education</v>
          </cell>
          <cell r="F6207" t="str">
            <v>16 Plus</v>
          </cell>
        </row>
        <row r="6208">
          <cell r="A6208">
            <v>9384000</v>
          </cell>
          <cell r="B6208">
            <v>126062</v>
          </cell>
          <cell r="C6208" t="str">
            <v>Chichester High School for Boys</v>
          </cell>
          <cell r="D6208" t="str">
            <v>West Sussex</v>
          </cell>
          <cell r="E6208" t="str">
            <v>Community School</v>
          </cell>
          <cell r="F6208" t="str">
            <v>Secondary</v>
          </cell>
        </row>
        <row r="6209">
          <cell r="A6209">
            <v>9384001</v>
          </cell>
          <cell r="B6209">
            <v>126063</v>
          </cell>
          <cell r="C6209" t="str">
            <v>Chichester High School for Girls</v>
          </cell>
          <cell r="D6209" t="str">
            <v>West Sussex</v>
          </cell>
          <cell r="E6209" t="str">
            <v>Community School</v>
          </cell>
          <cell r="F6209" t="str">
            <v>Secondary</v>
          </cell>
        </row>
        <row r="6210">
          <cell r="A6210">
            <v>9384900</v>
          </cell>
          <cell r="B6210">
            <v>133043</v>
          </cell>
          <cell r="C6210" t="str">
            <v>Chichester High Schools Sixth Form</v>
          </cell>
          <cell r="D6210" t="str">
            <v>West Sussex</v>
          </cell>
          <cell r="E6210" t="str">
            <v>Sixth Form Centres</v>
          </cell>
          <cell r="F6210" t="str">
            <v>16 Plus</v>
          </cell>
        </row>
        <row r="6211">
          <cell r="A6211">
            <v>9381001</v>
          </cell>
          <cell r="B6211">
            <v>125808</v>
          </cell>
          <cell r="C6211" t="str">
            <v>Chichester Nursery School</v>
          </cell>
          <cell r="D6211" t="str">
            <v>West Sussex</v>
          </cell>
          <cell r="E6211" t="str">
            <v>LA Nursery School</v>
          </cell>
          <cell r="F6211" t="str">
            <v>Nursery</v>
          </cell>
        </row>
        <row r="6212">
          <cell r="A6212">
            <v>3822156</v>
          </cell>
          <cell r="B6212">
            <v>130939</v>
          </cell>
          <cell r="C6212" t="str">
            <v>Chickenley Community Junior Infant and Nursery School</v>
          </cell>
          <cell r="D6212" t="str">
            <v>Kirklees</v>
          </cell>
          <cell r="E6212" t="str">
            <v>Community School</v>
          </cell>
          <cell r="F6212" t="str">
            <v>Primary</v>
          </cell>
        </row>
        <row r="6213">
          <cell r="A6213">
            <v>3822015</v>
          </cell>
          <cell r="B6213">
            <v>107609</v>
          </cell>
          <cell r="C6213" t="str">
            <v>Chickenley Infant and Nursery School</v>
          </cell>
          <cell r="D6213" t="str">
            <v>Kirklees</v>
          </cell>
          <cell r="E6213" t="str">
            <v>Community School</v>
          </cell>
          <cell r="F6213" t="str">
            <v>Primary</v>
          </cell>
        </row>
        <row r="6214">
          <cell r="A6214">
            <v>3822020</v>
          </cell>
          <cell r="B6214">
            <v>107611</v>
          </cell>
          <cell r="C6214" t="str">
            <v>Chickenley Junior School</v>
          </cell>
          <cell r="D6214" t="str">
            <v>Kirklees</v>
          </cell>
          <cell r="E6214" t="str">
            <v>Community School</v>
          </cell>
          <cell r="F6214" t="str">
            <v>Primary</v>
          </cell>
        </row>
        <row r="6215">
          <cell r="A6215">
            <v>8352201</v>
          </cell>
          <cell r="B6215">
            <v>113708</v>
          </cell>
          <cell r="C6215" t="str">
            <v>Chickerell Primary School</v>
          </cell>
          <cell r="D6215" t="str">
            <v>Dorset</v>
          </cell>
          <cell r="E6215" t="str">
            <v>Community School</v>
          </cell>
          <cell r="F6215" t="str">
            <v>Primary</v>
          </cell>
        </row>
        <row r="6216">
          <cell r="A6216">
            <v>8452056</v>
          </cell>
          <cell r="B6216">
            <v>114391</v>
          </cell>
          <cell r="C6216" t="str">
            <v>Chiddingly Primary School</v>
          </cell>
          <cell r="D6216" t="str">
            <v>East Sussex</v>
          </cell>
          <cell r="E6216" t="str">
            <v>Community School</v>
          </cell>
          <cell r="F6216" t="str">
            <v>Primary</v>
          </cell>
        </row>
        <row r="6217">
          <cell r="A6217">
            <v>8863025</v>
          </cell>
          <cell r="B6217">
            <v>118599</v>
          </cell>
          <cell r="C6217" t="str">
            <v>Chiddingstone Church of England Voluntary Controlled Primary School</v>
          </cell>
          <cell r="D6217" t="str">
            <v>Kent</v>
          </cell>
          <cell r="E6217" t="str">
            <v>Voluntary Controlled School</v>
          </cell>
          <cell r="F6217" t="str">
            <v>Primary</v>
          </cell>
        </row>
        <row r="6218">
          <cell r="A6218">
            <v>8863025</v>
          </cell>
          <cell r="B6218">
            <v>137728</v>
          </cell>
          <cell r="C6218" t="str">
            <v>Chiddingstone Church of England Voluntary Controlled Primary School</v>
          </cell>
          <cell r="D6218" t="str">
            <v>Kent</v>
          </cell>
          <cell r="E6218" t="str">
            <v>Academy Converters</v>
          </cell>
          <cell r="F6218" t="str">
            <v>Primary</v>
          </cell>
        </row>
        <row r="6219">
          <cell r="A6219">
            <v>9383006</v>
          </cell>
          <cell r="B6219">
            <v>125976</v>
          </cell>
          <cell r="C6219" t="str">
            <v>Chidham Parochial Primary School</v>
          </cell>
          <cell r="D6219" t="str">
            <v>West Sussex</v>
          </cell>
          <cell r="E6219" t="str">
            <v>Voluntary Controlled School</v>
          </cell>
          <cell r="F6219" t="str">
            <v>Primary</v>
          </cell>
        </row>
        <row r="6220">
          <cell r="A6220">
            <v>8692063</v>
          </cell>
          <cell r="B6220">
            <v>109810</v>
          </cell>
          <cell r="C6220" t="str">
            <v>Chieveley Primary School</v>
          </cell>
          <cell r="D6220" t="str">
            <v>West Berkshire</v>
          </cell>
          <cell r="E6220" t="str">
            <v>Community School</v>
          </cell>
          <cell r="F6220" t="str">
            <v>Primary</v>
          </cell>
        </row>
        <row r="6221">
          <cell r="A6221">
            <v>8812303</v>
          </cell>
          <cell r="B6221">
            <v>114820</v>
          </cell>
          <cell r="C6221" t="str">
            <v>Chigwell Primary School</v>
          </cell>
          <cell r="D6221" t="str">
            <v>Essex</v>
          </cell>
          <cell r="E6221" t="str">
            <v>Community School</v>
          </cell>
          <cell r="F6221" t="str">
            <v>Primary</v>
          </cell>
        </row>
        <row r="6222">
          <cell r="A6222">
            <v>8812323</v>
          </cell>
          <cell r="B6222">
            <v>114825</v>
          </cell>
          <cell r="C6222" t="str">
            <v>Chigwell Row Infant School</v>
          </cell>
          <cell r="D6222" t="str">
            <v>Essex</v>
          </cell>
          <cell r="E6222" t="str">
            <v>Community School</v>
          </cell>
          <cell r="F6222" t="str">
            <v>Primary</v>
          </cell>
        </row>
        <row r="6223">
          <cell r="A6223">
            <v>8816006</v>
          </cell>
          <cell r="B6223">
            <v>115392</v>
          </cell>
          <cell r="C6223" t="str">
            <v>Chigwell School</v>
          </cell>
          <cell r="D6223" t="str">
            <v>Essex</v>
          </cell>
          <cell r="E6223" t="str">
            <v>Other Independent School</v>
          </cell>
          <cell r="F6223" t="str">
            <v>Not applicable</v>
          </cell>
        </row>
        <row r="6224">
          <cell r="A6224">
            <v>8251103</v>
          </cell>
          <cell r="B6224">
            <v>110203</v>
          </cell>
          <cell r="C6224" t="str">
            <v>Chilbec Centre for Secondary Pupils With Ebd</v>
          </cell>
          <cell r="D6224" t="str">
            <v>Buckinghamshire</v>
          </cell>
          <cell r="E6224" t="str">
            <v>Pupil Referral Unit</v>
          </cell>
          <cell r="F6224" t="str">
            <v>PRU</v>
          </cell>
        </row>
        <row r="6225">
          <cell r="A6225">
            <v>9333316</v>
          </cell>
          <cell r="B6225">
            <v>129846</v>
          </cell>
          <cell r="C6225" t="str">
            <v>Chilcompton CofE VA Junior School</v>
          </cell>
          <cell r="D6225" t="str">
            <v>Somerset</v>
          </cell>
          <cell r="E6225" t="str">
            <v>Voluntary Aided School</v>
          </cell>
          <cell r="F6225" t="str">
            <v>Primary</v>
          </cell>
        </row>
        <row r="6226">
          <cell r="A6226">
            <v>9333021</v>
          </cell>
          <cell r="B6226">
            <v>129843</v>
          </cell>
          <cell r="C6226" t="str">
            <v>Chilcompton CofE VC Infant School</v>
          </cell>
          <cell r="D6226" t="str">
            <v>Somerset</v>
          </cell>
          <cell r="E6226" t="str">
            <v>Voluntary Controlled School</v>
          </cell>
          <cell r="F6226" t="str">
            <v>Primary</v>
          </cell>
        </row>
        <row r="6227">
          <cell r="A6227">
            <v>3302251</v>
          </cell>
          <cell r="B6227">
            <v>103298</v>
          </cell>
          <cell r="C6227" t="str">
            <v>Chilcote Primary School</v>
          </cell>
          <cell r="D6227" t="str">
            <v>Birmingham</v>
          </cell>
          <cell r="E6227" t="str">
            <v>Community School</v>
          </cell>
          <cell r="F6227" t="str">
            <v>Primary</v>
          </cell>
        </row>
        <row r="6228">
          <cell r="A6228">
            <v>8101108</v>
          </cell>
          <cell r="B6228">
            <v>117711</v>
          </cell>
          <cell r="C6228" t="str">
            <v>Child and Family Teaching Unit</v>
          </cell>
          <cell r="D6228" t="str">
            <v>Kingston upon Hull City of</v>
          </cell>
          <cell r="E6228" t="str">
            <v>Pupil Referral Unit</v>
          </cell>
          <cell r="F6228" t="str">
            <v>PRU</v>
          </cell>
        </row>
        <row r="6229">
          <cell r="A6229">
            <v>9386228</v>
          </cell>
          <cell r="B6229">
            <v>135691</v>
          </cell>
          <cell r="C6229" t="str">
            <v>Child First School and Learning Centre</v>
          </cell>
          <cell r="D6229" t="str">
            <v>West Sussex</v>
          </cell>
          <cell r="E6229" t="str">
            <v>Other Independent Special School</v>
          </cell>
          <cell r="F6229" t="str">
            <v>Not applicable</v>
          </cell>
        </row>
        <row r="6230">
          <cell r="A6230">
            <v>8962234</v>
          </cell>
          <cell r="B6230">
            <v>111083</v>
          </cell>
          <cell r="C6230" t="str">
            <v>Childer Thornton Primary School</v>
          </cell>
          <cell r="D6230" t="str">
            <v>Cheshire West and Chester</v>
          </cell>
          <cell r="E6230" t="str">
            <v>Community School</v>
          </cell>
          <cell r="F6230" t="str">
            <v>Primary</v>
          </cell>
        </row>
        <row r="6231">
          <cell r="A6231">
            <v>2092108</v>
          </cell>
          <cell r="B6231">
            <v>100675</v>
          </cell>
          <cell r="C6231" t="str">
            <v>Childeric Primary School</v>
          </cell>
          <cell r="D6231" t="str">
            <v>Lewisham</v>
          </cell>
          <cell r="E6231" t="str">
            <v>Community School</v>
          </cell>
          <cell r="F6231" t="str">
            <v>Primary</v>
          </cell>
        </row>
        <row r="6232">
          <cell r="A6232">
            <v>8151001</v>
          </cell>
          <cell r="B6232">
            <v>121267</v>
          </cell>
          <cell r="C6232" t="str">
            <v>Childhaven Community Nursery School</v>
          </cell>
          <cell r="D6232" t="str">
            <v>North Yorkshire</v>
          </cell>
          <cell r="E6232" t="str">
            <v>LA Nursery School</v>
          </cell>
          <cell r="F6232" t="str">
            <v>Nursery</v>
          </cell>
        </row>
        <row r="6233">
          <cell r="A6233">
            <v>3307041</v>
          </cell>
          <cell r="B6233">
            <v>103620</v>
          </cell>
          <cell r="C6233" t="str">
            <v>Childrens' Hospital School</v>
          </cell>
          <cell r="D6233" t="str">
            <v>Birmingham</v>
          </cell>
          <cell r="E6233" t="str">
            <v>Community Special School</v>
          </cell>
          <cell r="F6233" t="str">
            <v>Special</v>
          </cell>
        </row>
        <row r="6234">
          <cell r="A6234">
            <v>2025950</v>
          </cell>
          <cell r="B6234">
            <v>100060</v>
          </cell>
          <cell r="C6234" t="str">
            <v>Children's Hospital School at Gt Ormond Street and UCH</v>
          </cell>
          <cell r="D6234" t="str">
            <v>Camden</v>
          </cell>
          <cell r="E6234" t="str">
            <v>Foundation Special School</v>
          </cell>
          <cell r="F6234" t="str">
            <v>Special</v>
          </cell>
        </row>
        <row r="6235">
          <cell r="A6235">
            <v>2111012</v>
          </cell>
          <cell r="B6235">
            <v>100882</v>
          </cell>
          <cell r="C6235" t="str">
            <v>Childrens House Nursery School</v>
          </cell>
          <cell r="D6235" t="str">
            <v>Tower Hamlets</v>
          </cell>
          <cell r="E6235" t="str">
            <v>LA Nursery School</v>
          </cell>
          <cell r="F6235" t="str">
            <v>Nursery</v>
          </cell>
        </row>
        <row r="6236">
          <cell r="A6236">
            <v>8736036</v>
          </cell>
          <cell r="B6236">
            <v>134936</v>
          </cell>
          <cell r="C6236" t="str">
            <v>Children's Montessori School At the Old Social Club</v>
          </cell>
          <cell r="D6236" t="str">
            <v>Cambridgeshire</v>
          </cell>
          <cell r="E6236" t="str">
            <v>Other Independent School</v>
          </cell>
          <cell r="F6236" t="str">
            <v>Not applicable</v>
          </cell>
        </row>
        <row r="6237">
          <cell r="A6237">
            <v>8811119</v>
          </cell>
          <cell r="B6237">
            <v>136034</v>
          </cell>
          <cell r="C6237" t="str">
            <v>Children's Support Centre Hadleigh</v>
          </cell>
          <cell r="D6237" t="str">
            <v>Essex</v>
          </cell>
          <cell r="E6237" t="str">
            <v>Pupil Referral Unit</v>
          </cell>
          <cell r="F6237" t="str">
            <v>PRU</v>
          </cell>
        </row>
        <row r="6238">
          <cell r="A6238">
            <v>8811120</v>
          </cell>
          <cell r="B6238">
            <v>136035</v>
          </cell>
          <cell r="C6238" t="str">
            <v>Children's Support Centre Langdon Hills Basildon</v>
          </cell>
          <cell r="D6238" t="str">
            <v>Essex</v>
          </cell>
          <cell r="E6238" t="str">
            <v>Pupil Referral Unit</v>
          </cell>
          <cell r="F6238" t="str">
            <v>PRU</v>
          </cell>
        </row>
        <row r="6239">
          <cell r="A6239">
            <v>8811106</v>
          </cell>
          <cell r="B6239">
            <v>132205</v>
          </cell>
          <cell r="C6239" t="str">
            <v>Childrens Support Centre, Heybridge</v>
          </cell>
          <cell r="D6239" t="str">
            <v>Essex</v>
          </cell>
          <cell r="E6239" t="str">
            <v>Pupil Referral Unit</v>
          </cell>
          <cell r="F6239" t="str">
            <v>PRU</v>
          </cell>
        </row>
        <row r="6240">
          <cell r="A6240">
            <v>8811113</v>
          </cell>
          <cell r="B6240">
            <v>132869</v>
          </cell>
          <cell r="C6240" t="str">
            <v>Childrens Support Centre, Tany's Dell</v>
          </cell>
          <cell r="D6240" t="str">
            <v>Essex</v>
          </cell>
          <cell r="E6240" t="str">
            <v>Pupil Referral Unit</v>
          </cell>
          <cell r="F6240" t="str">
            <v>PRU</v>
          </cell>
        </row>
        <row r="6241">
          <cell r="A6241">
            <v>8811118</v>
          </cell>
          <cell r="B6241">
            <v>136033</v>
          </cell>
          <cell r="C6241" t="str">
            <v>Children's Support Centre, Wivenhoe</v>
          </cell>
          <cell r="D6241" t="str">
            <v>Essex</v>
          </cell>
          <cell r="E6241" t="str">
            <v>Pupil Referral Unit</v>
          </cell>
          <cell r="F6241" t="str">
            <v>PRU</v>
          </cell>
        </row>
        <row r="6242">
          <cell r="A6242">
            <v>9312554</v>
          </cell>
          <cell r="B6242">
            <v>123056</v>
          </cell>
          <cell r="C6242" t="str">
            <v>Childrey School</v>
          </cell>
          <cell r="D6242" t="str">
            <v>Oxfordshire</v>
          </cell>
          <cell r="E6242" t="str">
            <v>Community School</v>
          </cell>
          <cell r="F6242" t="str">
            <v>Primary</v>
          </cell>
        </row>
        <row r="6243">
          <cell r="A6243">
            <v>8933021</v>
          </cell>
          <cell r="B6243">
            <v>123466</v>
          </cell>
          <cell r="C6243" t="str">
            <v>Childs Ercall CofE Primary School</v>
          </cell>
          <cell r="D6243" t="str">
            <v>Shropshire</v>
          </cell>
          <cell r="E6243" t="str">
            <v>Voluntary Controlled School</v>
          </cell>
          <cell r="F6243" t="str">
            <v>Primary</v>
          </cell>
        </row>
        <row r="6244">
          <cell r="A6244">
            <v>3022010</v>
          </cell>
          <cell r="B6244">
            <v>101265</v>
          </cell>
          <cell r="C6244" t="str">
            <v>Childs Hill School</v>
          </cell>
          <cell r="D6244" t="str">
            <v>Barnet</v>
          </cell>
          <cell r="E6244" t="str">
            <v>Community School</v>
          </cell>
          <cell r="F6244" t="str">
            <v>Primary</v>
          </cell>
        </row>
        <row r="6245">
          <cell r="A6245">
            <v>9336150</v>
          </cell>
          <cell r="B6245">
            <v>123925</v>
          </cell>
          <cell r="C6245" t="str">
            <v>Childscourt School</v>
          </cell>
          <cell r="D6245" t="str">
            <v>Somerset</v>
          </cell>
          <cell r="E6245" t="str">
            <v>Other Independent School</v>
          </cell>
          <cell r="F6245" t="str">
            <v>Not applicable</v>
          </cell>
        </row>
        <row r="6246">
          <cell r="A6246">
            <v>3413329</v>
          </cell>
          <cell r="B6246">
            <v>104625</v>
          </cell>
          <cell r="C6246" t="str">
            <v>Childwall Church of England Primary School</v>
          </cell>
          <cell r="D6246" t="str">
            <v>Liverpool</v>
          </cell>
          <cell r="E6246" t="str">
            <v>Voluntary Aided School</v>
          </cell>
          <cell r="F6246" t="str">
            <v>Primary</v>
          </cell>
        </row>
        <row r="6247">
          <cell r="A6247">
            <v>3414426</v>
          </cell>
          <cell r="B6247">
            <v>104697</v>
          </cell>
          <cell r="C6247" t="str">
            <v>Childwall School - A Specialist Sports College</v>
          </cell>
          <cell r="D6247" t="str">
            <v>Liverpool</v>
          </cell>
          <cell r="E6247" t="str">
            <v>Foundation School</v>
          </cell>
          <cell r="F6247" t="str">
            <v>Secondary</v>
          </cell>
        </row>
        <row r="6248">
          <cell r="A6248">
            <v>3412175</v>
          </cell>
          <cell r="B6248">
            <v>104595</v>
          </cell>
          <cell r="C6248" t="str">
            <v>Childwall Valley Primary School</v>
          </cell>
          <cell r="D6248" t="str">
            <v>Liverpool</v>
          </cell>
          <cell r="E6248" t="str">
            <v>Community School</v>
          </cell>
          <cell r="F6248" t="str">
            <v>Primary</v>
          </cell>
        </row>
        <row r="6249">
          <cell r="A6249">
            <v>3412001</v>
          </cell>
          <cell r="B6249">
            <v>134210</v>
          </cell>
          <cell r="C6249" t="str">
            <v>Childwall Valley Primary School</v>
          </cell>
          <cell r="D6249" t="str">
            <v>Liverpool</v>
          </cell>
          <cell r="E6249" t="str">
            <v>Community School</v>
          </cell>
          <cell r="F6249" t="str">
            <v>Primary</v>
          </cell>
        </row>
        <row r="6250">
          <cell r="A6250">
            <v>8863138</v>
          </cell>
          <cell r="B6250">
            <v>118665</v>
          </cell>
          <cell r="C6250" t="str">
            <v>Chilham, St Mary's Church of England Primary School</v>
          </cell>
          <cell r="D6250" t="str">
            <v>Kent</v>
          </cell>
          <cell r="E6250" t="str">
            <v>Voluntary Controlled School</v>
          </cell>
          <cell r="F6250" t="str">
            <v>Primary</v>
          </cell>
        </row>
        <row r="6251">
          <cell r="A6251">
            <v>8801102</v>
          </cell>
          <cell r="B6251">
            <v>133358</v>
          </cell>
          <cell r="C6251" t="str">
            <v>Chill'd Out</v>
          </cell>
          <cell r="D6251" t="str">
            <v>Torbay</v>
          </cell>
          <cell r="E6251" t="str">
            <v>Pupil Referral Unit</v>
          </cell>
          <cell r="F6251" t="str">
            <v>PRU</v>
          </cell>
        </row>
        <row r="6252">
          <cell r="A6252">
            <v>9212001</v>
          </cell>
          <cell r="B6252">
            <v>118155</v>
          </cell>
          <cell r="C6252" t="str">
            <v>Chillerton and Rookley Primary School</v>
          </cell>
          <cell r="D6252" t="str">
            <v>Isle of Wight</v>
          </cell>
          <cell r="E6252" t="str">
            <v>Community School</v>
          </cell>
          <cell r="F6252" t="str">
            <v>Primary</v>
          </cell>
        </row>
        <row r="6253">
          <cell r="A6253">
            <v>3912100</v>
          </cell>
          <cell r="B6253">
            <v>108463</v>
          </cell>
          <cell r="C6253" t="str">
            <v>Chillingham Road Primary School</v>
          </cell>
          <cell r="D6253" t="str">
            <v>Newcastle upon Tyne</v>
          </cell>
          <cell r="E6253" t="str">
            <v>Community School</v>
          </cell>
          <cell r="F6253" t="str">
            <v>Primary</v>
          </cell>
        </row>
        <row r="6254">
          <cell r="A6254">
            <v>8653453</v>
          </cell>
          <cell r="B6254">
            <v>126438</v>
          </cell>
          <cell r="C6254" t="str">
            <v>Chilmark and Fonthill Bishop Church of England Aided Primary School</v>
          </cell>
          <cell r="D6254" t="str">
            <v>Wiltshire</v>
          </cell>
          <cell r="E6254" t="str">
            <v>Voluntary Aided School</v>
          </cell>
          <cell r="F6254" t="str">
            <v>Primary</v>
          </cell>
        </row>
        <row r="6255">
          <cell r="A6255">
            <v>9314092</v>
          </cell>
          <cell r="B6255">
            <v>123245</v>
          </cell>
          <cell r="C6255" t="str">
            <v>Chiltern Edge Community School</v>
          </cell>
          <cell r="D6255" t="str">
            <v>Oxfordshire</v>
          </cell>
          <cell r="E6255" t="str">
            <v>Community School</v>
          </cell>
          <cell r="F6255" t="str">
            <v>Secondary</v>
          </cell>
        </row>
        <row r="6256">
          <cell r="A6256">
            <v>8209901</v>
          </cell>
          <cell r="B6256">
            <v>133920</v>
          </cell>
          <cell r="C6256" t="str">
            <v>Chiltern Education Trust</v>
          </cell>
          <cell r="D6256" t="str">
            <v>Pre LGR (2009) Bedfordshire</v>
          </cell>
          <cell r="E6256" t="str">
            <v>Miscellaneous</v>
          </cell>
          <cell r="F6256" t="str">
            <v>Not applicable</v>
          </cell>
        </row>
        <row r="6257">
          <cell r="A6257">
            <v>8257013</v>
          </cell>
          <cell r="B6257">
            <v>110578</v>
          </cell>
          <cell r="C6257" t="str">
            <v>Chiltern Gate School</v>
          </cell>
          <cell r="D6257" t="str">
            <v>Buckinghamshire</v>
          </cell>
          <cell r="E6257" t="str">
            <v>Community Special School</v>
          </cell>
          <cell r="F6257" t="str">
            <v>Special</v>
          </cell>
        </row>
        <row r="6258">
          <cell r="A6258">
            <v>8254000</v>
          </cell>
          <cell r="B6258">
            <v>137280</v>
          </cell>
          <cell r="C6258" t="str">
            <v>Chiltern Hills Academy</v>
          </cell>
          <cell r="D6258" t="str">
            <v>Buckinghamshire</v>
          </cell>
          <cell r="E6258" t="str">
            <v>Academy Sponsor Led</v>
          </cell>
          <cell r="F6258" t="str">
            <v>Secondary</v>
          </cell>
        </row>
        <row r="6259">
          <cell r="A6259">
            <v>9316023</v>
          </cell>
          <cell r="B6259">
            <v>123281</v>
          </cell>
          <cell r="C6259" t="str">
            <v>Chiltern House School</v>
          </cell>
          <cell r="D6259" t="str">
            <v>Oxfordshire</v>
          </cell>
          <cell r="E6259" t="str">
            <v>Other Independent School</v>
          </cell>
          <cell r="F6259" t="str">
            <v>Not applicable</v>
          </cell>
        </row>
        <row r="6260">
          <cell r="A6260">
            <v>8701900</v>
          </cell>
          <cell r="B6260">
            <v>132926</v>
          </cell>
          <cell r="C6260" t="str">
            <v>Chiltern Nursery Nurse Training School</v>
          </cell>
          <cell r="D6260" t="str">
            <v>Reading</v>
          </cell>
          <cell r="E6260" t="str">
            <v>Miscellaneous</v>
          </cell>
          <cell r="F6260" t="str">
            <v>Not applicable</v>
          </cell>
        </row>
        <row r="6261">
          <cell r="A6261">
            <v>8102088</v>
          </cell>
          <cell r="B6261">
            <v>117721</v>
          </cell>
          <cell r="C6261" t="str">
            <v>Chiltern Primary School</v>
          </cell>
          <cell r="D6261" t="str">
            <v>Kingston upon Hull City of</v>
          </cell>
          <cell r="E6261" t="str">
            <v>Community School</v>
          </cell>
          <cell r="F6261" t="str">
            <v>Primary</v>
          </cell>
        </row>
        <row r="6262">
          <cell r="A6262">
            <v>9282181</v>
          </cell>
          <cell r="B6262">
            <v>121924</v>
          </cell>
          <cell r="C6262" t="str">
            <v>Chiltern Primary School</v>
          </cell>
          <cell r="D6262" t="str">
            <v>Northamptonshire</v>
          </cell>
          <cell r="E6262" t="str">
            <v>Community School</v>
          </cell>
          <cell r="F6262" t="str">
            <v>Primary</v>
          </cell>
        </row>
        <row r="6263">
          <cell r="A6263">
            <v>8503199</v>
          </cell>
          <cell r="B6263">
            <v>134652</v>
          </cell>
          <cell r="C6263" t="str">
            <v>Chiltern Primary School</v>
          </cell>
          <cell r="D6263" t="str">
            <v>Hampshire</v>
          </cell>
          <cell r="E6263" t="str">
            <v>Community School</v>
          </cell>
          <cell r="F6263" t="str">
            <v>Primary</v>
          </cell>
        </row>
        <row r="6264">
          <cell r="A6264">
            <v>8506063</v>
          </cell>
          <cell r="B6264">
            <v>130310</v>
          </cell>
          <cell r="C6264" t="str">
            <v>Chiltern Tutorial School</v>
          </cell>
          <cell r="D6264" t="str">
            <v>Hampshire</v>
          </cell>
          <cell r="E6264" t="str">
            <v>Other Independent Special School</v>
          </cell>
          <cell r="F6264" t="str">
            <v>Not applicable</v>
          </cell>
        </row>
        <row r="6265">
          <cell r="A6265">
            <v>9333277</v>
          </cell>
          <cell r="B6265">
            <v>123815</v>
          </cell>
          <cell r="C6265" t="str">
            <v>Chilthorne Domer Church School</v>
          </cell>
          <cell r="D6265" t="str">
            <v>Somerset</v>
          </cell>
          <cell r="E6265" t="str">
            <v>Voluntary Controlled School</v>
          </cell>
          <cell r="F6265" t="str">
            <v>Primary</v>
          </cell>
        </row>
        <row r="6266">
          <cell r="A6266">
            <v>9336141</v>
          </cell>
          <cell r="B6266">
            <v>129855</v>
          </cell>
          <cell r="C6266" t="str">
            <v>Chilton Cantelo House School</v>
          </cell>
          <cell r="D6266" t="str">
            <v>Somerset</v>
          </cell>
          <cell r="E6266" t="str">
            <v>Other Independent School</v>
          </cell>
          <cell r="F6266" t="str">
            <v>Not applicable</v>
          </cell>
        </row>
        <row r="6267">
          <cell r="A6267">
            <v>9336191</v>
          </cell>
          <cell r="B6267">
            <v>123937</v>
          </cell>
          <cell r="C6267" t="str">
            <v>Chilton Cantelo School</v>
          </cell>
          <cell r="D6267" t="str">
            <v>Somerset</v>
          </cell>
          <cell r="E6267" t="str">
            <v>Other Independent School</v>
          </cell>
          <cell r="F6267" t="str">
            <v>Not applicable</v>
          </cell>
        </row>
        <row r="6268">
          <cell r="A6268">
            <v>9352129</v>
          </cell>
          <cell r="B6268">
            <v>124622</v>
          </cell>
          <cell r="C6268" t="str">
            <v>Chilton Community Primary School</v>
          </cell>
          <cell r="D6268" t="str">
            <v>Suffolk</v>
          </cell>
          <cell r="E6268" t="str">
            <v>Community School</v>
          </cell>
          <cell r="F6268" t="str">
            <v>Primary</v>
          </cell>
        </row>
        <row r="6269">
          <cell r="A6269">
            <v>9312555</v>
          </cell>
          <cell r="B6269">
            <v>123057</v>
          </cell>
          <cell r="C6269" t="str">
            <v>Chilton County Primary School</v>
          </cell>
          <cell r="D6269" t="str">
            <v>Oxfordshire</v>
          </cell>
          <cell r="E6269" t="str">
            <v>Community School</v>
          </cell>
          <cell r="F6269" t="str">
            <v>Primary</v>
          </cell>
        </row>
        <row r="6270">
          <cell r="A6270">
            <v>8653318</v>
          </cell>
          <cell r="B6270">
            <v>126397</v>
          </cell>
          <cell r="C6270" t="str">
            <v>Chilton Foliat Church of England Primary School</v>
          </cell>
          <cell r="D6270" t="str">
            <v>Wiltshire</v>
          </cell>
          <cell r="E6270" t="str">
            <v>Voluntary Aided School</v>
          </cell>
          <cell r="F6270" t="str">
            <v>Primary</v>
          </cell>
        </row>
        <row r="6271">
          <cell r="A6271">
            <v>8402367</v>
          </cell>
          <cell r="B6271">
            <v>114077</v>
          </cell>
          <cell r="C6271" t="str">
            <v>Chilton Infants' School</v>
          </cell>
          <cell r="D6271" t="str">
            <v>Durham</v>
          </cell>
          <cell r="E6271" t="str">
            <v>Community School</v>
          </cell>
          <cell r="F6271" t="str">
            <v>Primary</v>
          </cell>
        </row>
        <row r="6272">
          <cell r="A6272">
            <v>8402365</v>
          </cell>
          <cell r="B6272">
            <v>114076</v>
          </cell>
          <cell r="C6272" t="str">
            <v>Chilton Junior School</v>
          </cell>
          <cell r="D6272" t="str">
            <v>Durham</v>
          </cell>
          <cell r="E6272" t="str">
            <v>Community School</v>
          </cell>
          <cell r="F6272" t="str">
            <v>Primary</v>
          </cell>
        </row>
        <row r="6273">
          <cell r="A6273">
            <v>8862596</v>
          </cell>
          <cell r="B6273">
            <v>118530</v>
          </cell>
          <cell r="C6273" t="str">
            <v>Chilton Primary School</v>
          </cell>
          <cell r="D6273" t="str">
            <v>Kent</v>
          </cell>
          <cell r="E6273" t="str">
            <v>Community School</v>
          </cell>
          <cell r="F6273" t="str">
            <v>Primary</v>
          </cell>
        </row>
        <row r="6274">
          <cell r="A6274">
            <v>8402002</v>
          </cell>
          <cell r="B6274">
            <v>131865</v>
          </cell>
          <cell r="C6274" t="str">
            <v>Chilton Primary School</v>
          </cell>
          <cell r="D6274" t="str">
            <v>Durham</v>
          </cell>
          <cell r="E6274" t="str">
            <v>Community School</v>
          </cell>
          <cell r="F6274" t="str">
            <v>Primary</v>
          </cell>
        </row>
        <row r="6275">
          <cell r="A6275">
            <v>9356068</v>
          </cell>
          <cell r="B6275">
            <v>130002</v>
          </cell>
          <cell r="C6275" t="str">
            <v>Chilton Priory School</v>
          </cell>
          <cell r="D6275" t="str">
            <v>Suffolk</v>
          </cell>
          <cell r="E6275" t="str">
            <v>Other Independent School</v>
          </cell>
          <cell r="F6275" t="str">
            <v>Not applicable</v>
          </cell>
        </row>
        <row r="6276">
          <cell r="A6276">
            <v>9334308</v>
          </cell>
          <cell r="B6276">
            <v>123881</v>
          </cell>
          <cell r="C6276" t="str">
            <v>Chilton Trinity Technology College</v>
          </cell>
          <cell r="D6276" t="str">
            <v>Somerset</v>
          </cell>
          <cell r="E6276" t="str">
            <v>Foundation School</v>
          </cell>
          <cell r="F6276" t="str">
            <v>Secondary</v>
          </cell>
        </row>
        <row r="6277">
          <cell r="A6277">
            <v>9372103</v>
          </cell>
          <cell r="B6277">
            <v>125537</v>
          </cell>
          <cell r="C6277" t="str">
            <v>Chilvers Coton Community Infant School</v>
          </cell>
          <cell r="D6277" t="str">
            <v>Warwickshire</v>
          </cell>
          <cell r="E6277" t="str">
            <v>Community School</v>
          </cell>
          <cell r="F6277" t="str">
            <v>Primary</v>
          </cell>
        </row>
        <row r="6278">
          <cell r="A6278">
            <v>3302298</v>
          </cell>
          <cell r="B6278">
            <v>103322</v>
          </cell>
          <cell r="C6278" t="str">
            <v>Chilwell Croft Primary School</v>
          </cell>
          <cell r="D6278" t="str">
            <v>Birmingham</v>
          </cell>
          <cell r="E6278" t="str">
            <v>Community School</v>
          </cell>
          <cell r="F6278" t="str">
            <v>Primary</v>
          </cell>
        </row>
        <row r="6279">
          <cell r="A6279">
            <v>8914121</v>
          </cell>
          <cell r="B6279">
            <v>122854</v>
          </cell>
          <cell r="C6279" t="str">
            <v>Chilwell School</v>
          </cell>
          <cell r="D6279" t="str">
            <v>Nottinghamshire</v>
          </cell>
          <cell r="E6279" t="str">
            <v>Foundation School</v>
          </cell>
          <cell r="F6279" t="str">
            <v>Secondary</v>
          </cell>
        </row>
        <row r="6280">
          <cell r="A6280">
            <v>9363317</v>
          </cell>
          <cell r="B6280">
            <v>125167</v>
          </cell>
          <cell r="C6280" t="str">
            <v>Chilworth CofE (Aided) Infant School</v>
          </cell>
          <cell r="D6280" t="str">
            <v>Surrey</v>
          </cell>
          <cell r="E6280" t="str">
            <v>Voluntary Aided School</v>
          </cell>
          <cell r="F6280" t="str">
            <v>Primary</v>
          </cell>
        </row>
        <row r="6281">
          <cell r="A6281">
            <v>9316125</v>
          </cell>
          <cell r="B6281">
            <v>131064</v>
          </cell>
          <cell r="C6281" t="str">
            <v>Chilworth House School</v>
          </cell>
          <cell r="D6281" t="str">
            <v>Oxfordshire</v>
          </cell>
          <cell r="E6281" t="str">
            <v>Other Independent Special School</v>
          </cell>
          <cell r="F6281" t="str">
            <v>Not applicable</v>
          </cell>
        </row>
        <row r="6282">
          <cell r="A6282">
            <v>9316000</v>
          </cell>
          <cell r="B6282">
            <v>137334</v>
          </cell>
          <cell r="C6282" t="str">
            <v>Chilworth House Upper School</v>
          </cell>
          <cell r="D6282" t="str">
            <v>Oxfordshire</v>
          </cell>
          <cell r="E6282" t="str">
            <v>Other Independent Special School</v>
          </cell>
          <cell r="F6282" t="str">
            <v>Not applicable</v>
          </cell>
        </row>
        <row r="6283">
          <cell r="A6283">
            <v>9172236</v>
          </cell>
          <cell r="B6283">
            <v>115979</v>
          </cell>
          <cell r="C6283" t="str">
            <v>Chineham Park Infant School</v>
          </cell>
          <cell r="D6283" t="str">
            <v>Pre LGR (1997) Hampshire</v>
          </cell>
          <cell r="E6283" t="str">
            <v>Community School</v>
          </cell>
          <cell r="F6283" t="str">
            <v>Primary</v>
          </cell>
        </row>
        <row r="6284">
          <cell r="A6284">
            <v>9172235</v>
          </cell>
          <cell r="B6284">
            <v>115978</v>
          </cell>
          <cell r="C6284" t="str">
            <v>Chineham Park Junior School</v>
          </cell>
          <cell r="D6284" t="str">
            <v>Pre LGR (1997) Hampshire</v>
          </cell>
          <cell r="E6284" t="str">
            <v>Community School</v>
          </cell>
          <cell r="F6284" t="str">
            <v>Primary</v>
          </cell>
        </row>
        <row r="6285">
          <cell r="A6285">
            <v>8502780</v>
          </cell>
          <cell r="B6285">
            <v>131154</v>
          </cell>
          <cell r="C6285" t="str">
            <v>Chineham Park Primary School</v>
          </cell>
          <cell r="D6285" t="str">
            <v>Hampshire</v>
          </cell>
          <cell r="E6285" t="str">
            <v>Community School</v>
          </cell>
          <cell r="F6285" t="str">
            <v>Primary</v>
          </cell>
        </row>
        <row r="6286">
          <cell r="A6286">
            <v>3203001</v>
          </cell>
          <cell r="B6286">
            <v>103084</v>
          </cell>
          <cell r="C6286" t="str">
            <v>Chingford CofE Voluntary Controlled Infants' School</v>
          </cell>
          <cell r="D6286" t="str">
            <v>Waltham Forest</v>
          </cell>
          <cell r="E6286" t="str">
            <v>Voluntary Controlled School</v>
          </cell>
          <cell r="F6286" t="str">
            <v>Primary</v>
          </cell>
        </row>
        <row r="6287">
          <cell r="A6287">
            <v>3203000</v>
          </cell>
          <cell r="B6287">
            <v>103083</v>
          </cell>
          <cell r="C6287" t="str">
            <v>Chingford CofE Voluntary Controlled Junior School</v>
          </cell>
          <cell r="D6287" t="str">
            <v>Waltham Forest</v>
          </cell>
          <cell r="E6287" t="str">
            <v>Voluntary Controlled School</v>
          </cell>
          <cell r="F6287" t="str">
            <v>Primary</v>
          </cell>
        </row>
        <row r="6288">
          <cell r="A6288">
            <v>3205401</v>
          </cell>
          <cell r="B6288">
            <v>103108</v>
          </cell>
          <cell r="C6288" t="str">
            <v>Chingford Foundation School</v>
          </cell>
          <cell r="D6288" t="str">
            <v>Waltham Forest</v>
          </cell>
          <cell r="E6288" t="str">
            <v>Foundation School</v>
          </cell>
          <cell r="F6288" t="str">
            <v>Secondary</v>
          </cell>
        </row>
        <row r="6289">
          <cell r="A6289">
            <v>3202055</v>
          </cell>
          <cell r="B6289">
            <v>103064</v>
          </cell>
          <cell r="C6289" t="str">
            <v>Chingford Hall Primary School</v>
          </cell>
          <cell r="D6289" t="str">
            <v>Waltham Forest</v>
          </cell>
          <cell r="E6289" t="str">
            <v>Community School</v>
          </cell>
          <cell r="F6289" t="str">
            <v>Primary</v>
          </cell>
        </row>
        <row r="6290">
          <cell r="A6290">
            <v>3206002</v>
          </cell>
          <cell r="B6290">
            <v>137668</v>
          </cell>
          <cell r="C6290" t="str">
            <v>Chingford House School</v>
          </cell>
          <cell r="D6290" t="str">
            <v>Waltham Forest</v>
          </cell>
          <cell r="E6290" t="str">
            <v>Other Independent School</v>
          </cell>
          <cell r="F6290" t="str">
            <v>Not applicable</v>
          </cell>
        </row>
        <row r="6291">
          <cell r="A6291">
            <v>8305211</v>
          </cell>
          <cell r="B6291">
            <v>112527</v>
          </cell>
          <cell r="C6291" t="str">
            <v>Chinley Primary School</v>
          </cell>
          <cell r="D6291" t="str">
            <v>Derbyshire</v>
          </cell>
          <cell r="E6291" t="str">
            <v>Foundation School</v>
          </cell>
          <cell r="F6291" t="str">
            <v>Primary</v>
          </cell>
        </row>
        <row r="6292">
          <cell r="A6292">
            <v>9366347</v>
          </cell>
          <cell r="B6292">
            <v>125394</v>
          </cell>
          <cell r="C6292" t="str">
            <v>Chinthurst School</v>
          </cell>
          <cell r="D6292" t="str">
            <v>Surrey</v>
          </cell>
          <cell r="E6292" t="str">
            <v>Other Independent School</v>
          </cell>
          <cell r="F6292" t="str">
            <v>Not applicable</v>
          </cell>
        </row>
        <row r="6293">
          <cell r="A6293">
            <v>8658000</v>
          </cell>
          <cell r="B6293">
            <v>130848</v>
          </cell>
          <cell r="C6293" t="str">
            <v>Chippenham College</v>
          </cell>
          <cell r="D6293" t="str">
            <v>Wiltshire</v>
          </cell>
          <cell r="E6293" t="str">
            <v>Further Education</v>
          </cell>
          <cell r="F6293" t="str">
            <v>16 Plus</v>
          </cell>
        </row>
        <row r="6294">
          <cell r="A6294">
            <v>9165414</v>
          </cell>
          <cell r="B6294">
            <v>115765</v>
          </cell>
          <cell r="C6294" t="str">
            <v>Chipping Campden School</v>
          </cell>
          <cell r="D6294" t="str">
            <v>Gloucestershire</v>
          </cell>
          <cell r="E6294" t="str">
            <v>Foundation School</v>
          </cell>
          <cell r="F6294" t="str">
            <v>Secondary</v>
          </cell>
        </row>
        <row r="6295">
          <cell r="A6295">
            <v>9165414</v>
          </cell>
          <cell r="B6295">
            <v>136960</v>
          </cell>
          <cell r="C6295" t="str">
            <v>Chipping Campden School</v>
          </cell>
          <cell r="D6295" t="str">
            <v>Gloucestershire</v>
          </cell>
          <cell r="E6295" t="str">
            <v>Academy Converters</v>
          </cell>
          <cell r="F6295" t="str">
            <v>Secondary</v>
          </cell>
        </row>
        <row r="6296">
          <cell r="A6296">
            <v>8812330</v>
          </cell>
          <cell r="B6296">
            <v>114827</v>
          </cell>
          <cell r="C6296" t="str">
            <v>Chipping Hill Infant School</v>
          </cell>
          <cell r="D6296" t="str">
            <v>Essex</v>
          </cell>
          <cell r="E6296" t="str">
            <v>Community School</v>
          </cell>
          <cell r="F6296" t="str">
            <v>Primary</v>
          </cell>
        </row>
        <row r="6297">
          <cell r="A6297">
            <v>9312102</v>
          </cell>
          <cell r="B6297">
            <v>129749</v>
          </cell>
          <cell r="C6297" t="str">
            <v>Chipping Norton County Infant School</v>
          </cell>
          <cell r="D6297" t="str">
            <v>Oxfordshire</v>
          </cell>
          <cell r="E6297" t="str">
            <v>Community School</v>
          </cell>
          <cell r="F6297" t="str">
            <v>Primary</v>
          </cell>
        </row>
        <row r="6298">
          <cell r="A6298">
            <v>9314010</v>
          </cell>
          <cell r="B6298">
            <v>123231</v>
          </cell>
          <cell r="C6298" t="str">
            <v>Chipping Norton School</v>
          </cell>
          <cell r="D6298" t="str">
            <v>Oxfordshire</v>
          </cell>
          <cell r="E6298" t="str">
            <v>Community School</v>
          </cell>
          <cell r="F6298" t="str">
            <v>Secondary</v>
          </cell>
        </row>
        <row r="6299">
          <cell r="A6299">
            <v>8812685</v>
          </cell>
          <cell r="B6299">
            <v>114948</v>
          </cell>
          <cell r="C6299" t="str">
            <v>Chipping Ongar Primary School</v>
          </cell>
          <cell r="D6299" t="str">
            <v>Essex</v>
          </cell>
          <cell r="E6299" t="str">
            <v>Community School</v>
          </cell>
          <cell r="F6299" t="str">
            <v>Primary</v>
          </cell>
        </row>
        <row r="6300">
          <cell r="A6300">
            <v>8034502</v>
          </cell>
          <cell r="B6300">
            <v>109324</v>
          </cell>
          <cell r="C6300" t="str">
            <v>Chipping Sodbury School</v>
          </cell>
          <cell r="D6300" t="str">
            <v>South Gloucestershire</v>
          </cell>
          <cell r="E6300" t="str">
            <v>Voluntary Controlled School</v>
          </cell>
          <cell r="F6300" t="str">
            <v>Secondary</v>
          </cell>
        </row>
        <row r="6301">
          <cell r="A6301">
            <v>9282013</v>
          </cell>
          <cell r="B6301">
            <v>121804</v>
          </cell>
          <cell r="C6301" t="str">
            <v>Chipping Warden School</v>
          </cell>
          <cell r="D6301" t="str">
            <v>Northamptonshire</v>
          </cell>
          <cell r="E6301" t="str">
            <v>Community School</v>
          </cell>
          <cell r="F6301" t="str">
            <v>Primary</v>
          </cell>
        </row>
        <row r="6302">
          <cell r="A6302">
            <v>9362007</v>
          </cell>
          <cell r="B6302">
            <v>130011</v>
          </cell>
          <cell r="C6302" t="str">
            <v>Chipstead First School</v>
          </cell>
          <cell r="D6302" t="str">
            <v>Surrey</v>
          </cell>
          <cell r="E6302" t="str">
            <v>Community School</v>
          </cell>
          <cell r="F6302" t="str">
            <v>Primary</v>
          </cell>
        </row>
        <row r="6303">
          <cell r="A6303">
            <v>3062057</v>
          </cell>
          <cell r="B6303">
            <v>101752</v>
          </cell>
          <cell r="C6303" t="str">
            <v>Chipstead Valley Primary School</v>
          </cell>
          <cell r="D6303" t="str">
            <v>Croydon</v>
          </cell>
          <cell r="E6303" t="str">
            <v>Community School</v>
          </cell>
          <cell r="F6303" t="str">
            <v>Primary</v>
          </cell>
        </row>
        <row r="6304">
          <cell r="A6304">
            <v>8933022</v>
          </cell>
          <cell r="B6304">
            <v>123467</v>
          </cell>
          <cell r="C6304" t="str">
            <v>Chirbury CofE VC Primary School</v>
          </cell>
          <cell r="D6304" t="str">
            <v>Shropshire</v>
          </cell>
          <cell r="E6304" t="str">
            <v>Voluntary Controlled School</v>
          </cell>
          <cell r="F6304" t="str">
            <v>Primary</v>
          </cell>
        </row>
        <row r="6305">
          <cell r="A6305">
            <v>6652144</v>
          </cell>
          <cell r="B6305">
            <v>400396</v>
          </cell>
          <cell r="C6305" t="str">
            <v>Chirk Infants School</v>
          </cell>
          <cell r="D6305" t="str">
            <v>Wrexham</v>
          </cell>
          <cell r="E6305" t="str">
            <v>Welsh Establishment</v>
          </cell>
          <cell r="F6305" t="str">
            <v>Primary</v>
          </cell>
        </row>
        <row r="6306">
          <cell r="A6306">
            <v>8653036</v>
          </cell>
          <cell r="B6306">
            <v>126314</v>
          </cell>
          <cell r="C6306" t="str">
            <v>Chirton Church of England Voluntary Controlled Primary School</v>
          </cell>
          <cell r="D6306" t="str">
            <v>Wiltshire</v>
          </cell>
          <cell r="E6306" t="str">
            <v>Voluntary Controlled School</v>
          </cell>
          <cell r="F6306" t="str">
            <v>Primary</v>
          </cell>
        </row>
        <row r="6307">
          <cell r="A6307">
            <v>8662026</v>
          </cell>
          <cell r="B6307">
            <v>126183</v>
          </cell>
          <cell r="C6307" t="str">
            <v>Chiseldon Primary School</v>
          </cell>
          <cell r="D6307" t="str">
            <v>Swindon</v>
          </cell>
          <cell r="E6307" t="str">
            <v>Community School</v>
          </cell>
          <cell r="F6307" t="str">
            <v>Primary</v>
          </cell>
        </row>
        <row r="6308">
          <cell r="A6308">
            <v>2112110</v>
          </cell>
          <cell r="B6308">
            <v>100896</v>
          </cell>
          <cell r="C6308" t="str">
            <v>Chisenhale Primary School</v>
          </cell>
          <cell r="D6308" t="str">
            <v>Tower Hamlets</v>
          </cell>
          <cell r="E6308" t="str">
            <v>Community School</v>
          </cell>
          <cell r="F6308" t="str">
            <v>Primary</v>
          </cell>
        </row>
        <row r="6309">
          <cell r="A6309">
            <v>3053301</v>
          </cell>
          <cell r="B6309">
            <v>101649</v>
          </cell>
          <cell r="C6309" t="str">
            <v>Chislehurst (St Nicholas) Church of England Voluntary Aided Primary School</v>
          </cell>
          <cell r="D6309" t="str">
            <v>Bromley</v>
          </cell>
          <cell r="E6309" t="str">
            <v>Voluntary Aided School</v>
          </cell>
          <cell r="F6309" t="str">
            <v>Primary</v>
          </cell>
        </row>
        <row r="6310">
          <cell r="A6310">
            <v>3034009</v>
          </cell>
          <cell r="B6310">
            <v>101466</v>
          </cell>
          <cell r="C6310" t="str">
            <v>Chislehurst and Sidcup Grammar School</v>
          </cell>
          <cell r="D6310" t="str">
            <v>Bexley</v>
          </cell>
          <cell r="E6310" t="str">
            <v>Community School</v>
          </cell>
          <cell r="F6310" t="str">
            <v>Secondary</v>
          </cell>
        </row>
        <row r="6311">
          <cell r="A6311">
            <v>3034009</v>
          </cell>
          <cell r="B6311">
            <v>137423</v>
          </cell>
          <cell r="C6311" t="str">
            <v>Chislehurst and Sidcup Grammar School</v>
          </cell>
          <cell r="D6311" t="str">
            <v>Bexley</v>
          </cell>
          <cell r="E6311" t="str">
            <v>Academy Converters</v>
          </cell>
          <cell r="F6311" t="str">
            <v>Secondary</v>
          </cell>
        </row>
        <row r="6312">
          <cell r="A6312">
            <v>8863123</v>
          </cell>
          <cell r="B6312">
            <v>118655</v>
          </cell>
          <cell r="C6312" t="str">
            <v>Chislet Church of England Primary School</v>
          </cell>
          <cell r="D6312" t="str">
            <v>Kent</v>
          </cell>
          <cell r="E6312" t="str">
            <v>Voluntary Controlled School</v>
          </cell>
          <cell r="F6312" t="str">
            <v>Primary</v>
          </cell>
        </row>
        <row r="6313">
          <cell r="A6313">
            <v>3136051</v>
          </cell>
          <cell r="B6313">
            <v>102547</v>
          </cell>
          <cell r="C6313" t="str">
            <v>Chiswick and Bedford Park Preparatory School</v>
          </cell>
          <cell r="D6313" t="str">
            <v>Hounslow</v>
          </cell>
          <cell r="E6313" t="str">
            <v>Other Independent School</v>
          </cell>
          <cell r="F6313" t="str">
            <v>Not applicable</v>
          </cell>
        </row>
        <row r="6314">
          <cell r="A6314">
            <v>3134020</v>
          </cell>
          <cell r="B6314">
            <v>102532</v>
          </cell>
          <cell r="C6314" t="str">
            <v>Chiswick Community School</v>
          </cell>
          <cell r="D6314" t="str">
            <v>Hounslow</v>
          </cell>
          <cell r="E6314" t="str">
            <v>Foundation School</v>
          </cell>
          <cell r="F6314" t="str">
            <v>Secondary</v>
          </cell>
        </row>
        <row r="6315">
          <cell r="A6315">
            <v>8783453</v>
          </cell>
          <cell r="B6315">
            <v>113449</v>
          </cell>
          <cell r="C6315" t="str">
            <v>Chittlehampton Church of England Primary School</v>
          </cell>
          <cell r="D6315" t="str">
            <v>Devon</v>
          </cell>
          <cell r="E6315" t="str">
            <v>Voluntary Aided School</v>
          </cell>
          <cell r="F6315" t="str">
            <v>Primary</v>
          </cell>
        </row>
        <row r="6316">
          <cell r="A6316">
            <v>3302272</v>
          </cell>
          <cell r="B6316">
            <v>103306</v>
          </cell>
          <cell r="C6316" t="str">
            <v>Chivenor Junior and Infant School</v>
          </cell>
          <cell r="D6316" t="str">
            <v>Birmingham</v>
          </cell>
          <cell r="E6316" t="str">
            <v>Community School</v>
          </cell>
          <cell r="F6316" t="str">
            <v>Primary</v>
          </cell>
        </row>
        <row r="6317">
          <cell r="A6317">
            <v>3566032</v>
          </cell>
          <cell r="B6317">
            <v>135824</v>
          </cell>
          <cell r="C6317" t="str">
            <v>Choices School</v>
          </cell>
          <cell r="D6317" t="str">
            <v>Stockport</v>
          </cell>
          <cell r="E6317" t="str">
            <v>Other Independent Special School</v>
          </cell>
          <cell r="F6317" t="str">
            <v>Not applicable</v>
          </cell>
        </row>
        <row r="6318">
          <cell r="A6318">
            <v>9293065</v>
          </cell>
          <cell r="B6318">
            <v>122272</v>
          </cell>
          <cell r="C6318" t="str">
            <v>Chollerton Church of England Aided First School</v>
          </cell>
          <cell r="D6318" t="str">
            <v>Northumberland</v>
          </cell>
          <cell r="E6318" t="str">
            <v>Voluntary Aided School</v>
          </cell>
          <cell r="F6318" t="str">
            <v>Primary</v>
          </cell>
        </row>
        <row r="6319">
          <cell r="A6319">
            <v>9312596</v>
          </cell>
          <cell r="B6319">
            <v>123081</v>
          </cell>
          <cell r="C6319" t="str">
            <v>Cholsey Primary School</v>
          </cell>
          <cell r="D6319" t="str">
            <v>Oxfordshire</v>
          </cell>
          <cell r="E6319" t="str">
            <v>Community School</v>
          </cell>
          <cell r="F6319" t="str">
            <v>Primary</v>
          </cell>
        </row>
        <row r="6320">
          <cell r="A6320">
            <v>9292037</v>
          </cell>
          <cell r="B6320">
            <v>122180</v>
          </cell>
          <cell r="C6320" t="str">
            <v>Choppington First School</v>
          </cell>
          <cell r="D6320" t="str">
            <v>Northumberland</v>
          </cell>
          <cell r="E6320" t="str">
            <v>Community School</v>
          </cell>
          <cell r="F6320" t="str">
            <v>Primary</v>
          </cell>
        </row>
        <row r="6321">
          <cell r="A6321">
            <v>3902175</v>
          </cell>
          <cell r="B6321">
            <v>108344</v>
          </cell>
          <cell r="C6321" t="str">
            <v>Chopwell Infant School</v>
          </cell>
          <cell r="D6321" t="str">
            <v>Gateshead</v>
          </cell>
          <cell r="E6321" t="str">
            <v>Community School</v>
          </cell>
          <cell r="F6321" t="str">
            <v>Primary</v>
          </cell>
        </row>
        <row r="6322">
          <cell r="A6322">
            <v>3902174</v>
          </cell>
          <cell r="B6322">
            <v>108343</v>
          </cell>
          <cell r="C6322" t="str">
            <v>Chopwell Junior School</v>
          </cell>
          <cell r="D6322" t="str">
            <v>Gateshead</v>
          </cell>
          <cell r="E6322" t="str">
            <v>Community School</v>
          </cell>
          <cell r="F6322" t="str">
            <v>Primary</v>
          </cell>
        </row>
        <row r="6323">
          <cell r="A6323">
            <v>3902235</v>
          </cell>
          <cell r="B6323">
            <v>131107</v>
          </cell>
          <cell r="C6323" t="str">
            <v>Chopwell Primary School</v>
          </cell>
          <cell r="D6323" t="str">
            <v>Gateshead</v>
          </cell>
          <cell r="E6323" t="str">
            <v>Community School</v>
          </cell>
          <cell r="F6323" t="str">
            <v>Primary</v>
          </cell>
        </row>
        <row r="6324">
          <cell r="A6324">
            <v>8886016</v>
          </cell>
          <cell r="B6324">
            <v>119841</v>
          </cell>
          <cell r="C6324" t="str">
            <v>Chorcliffe Preparatory School</v>
          </cell>
          <cell r="D6324" t="str">
            <v>Lancashire</v>
          </cell>
          <cell r="E6324" t="str">
            <v>Other Independent School</v>
          </cell>
          <cell r="F6324" t="str">
            <v>Not applicable</v>
          </cell>
        </row>
        <row r="6325">
          <cell r="A6325">
            <v>8883389</v>
          </cell>
          <cell r="B6325">
            <v>119464</v>
          </cell>
          <cell r="C6325" t="str">
            <v>Chorley All Saints Church of England Primary School and Nursery Unit</v>
          </cell>
          <cell r="D6325" t="str">
            <v>Lancashire</v>
          </cell>
          <cell r="E6325" t="str">
            <v>Voluntary Aided School</v>
          </cell>
          <cell r="F6325" t="str">
            <v>Primary</v>
          </cell>
        </row>
        <row r="6326">
          <cell r="A6326">
            <v>8887037</v>
          </cell>
          <cell r="B6326">
            <v>119877</v>
          </cell>
          <cell r="C6326" t="str">
            <v>Chorley Astley Park School</v>
          </cell>
          <cell r="D6326" t="str">
            <v>Lancashire</v>
          </cell>
          <cell r="E6326" t="str">
            <v>Community Special School</v>
          </cell>
          <cell r="F6326" t="str">
            <v>Special</v>
          </cell>
        </row>
        <row r="6327">
          <cell r="A6327">
            <v>3502051</v>
          </cell>
          <cell r="B6327">
            <v>105178</v>
          </cell>
          <cell r="C6327" t="str">
            <v>Chorley New Road Primary School</v>
          </cell>
          <cell r="D6327" t="str">
            <v>Bolton</v>
          </cell>
          <cell r="E6327" t="str">
            <v>Community School</v>
          </cell>
          <cell r="F6327" t="str">
            <v>Primary</v>
          </cell>
        </row>
        <row r="6328">
          <cell r="A6328">
            <v>8883397</v>
          </cell>
          <cell r="B6328">
            <v>119467</v>
          </cell>
          <cell r="C6328" t="str">
            <v>Chorley St James' Church of England Primary School</v>
          </cell>
          <cell r="D6328" t="str">
            <v>Lancashire</v>
          </cell>
          <cell r="E6328" t="str">
            <v>Voluntary Aided School</v>
          </cell>
          <cell r="F6328" t="str">
            <v>Primary</v>
          </cell>
        </row>
        <row r="6329">
          <cell r="A6329">
            <v>8885201</v>
          </cell>
          <cell r="B6329">
            <v>119806</v>
          </cell>
          <cell r="C6329" t="str">
            <v>Chorley St Peter's Church of England Primary School</v>
          </cell>
          <cell r="D6329" t="str">
            <v>Lancashire</v>
          </cell>
          <cell r="E6329" t="str">
            <v>Voluntary Aided School</v>
          </cell>
          <cell r="F6329" t="str">
            <v>Primary</v>
          </cell>
        </row>
        <row r="6330">
          <cell r="A6330">
            <v>8883390</v>
          </cell>
          <cell r="B6330">
            <v>119465</v>
          </cell>
          <cell r="C6330" t="str">
            <v>Chorley, the Parish of St Laurence Church of England Primary School</v>
          </cell>
          <cell r="D6330" t="str">
            <v>Lancashire</v>
          </cell>
          <cell r="E6330" t="str">
            <v>Voluntary Aided School</v>
          </cell>
          <cell r="F6330" t="str">
            <v>Primary</v>
          </cell>
        </row>
        <row r="6331">
          <cell r="A6331">
            <v>9197001</v>
          </cell>
          <cell r="B6331">
            <v>129179</v>
          </cell>
          <cell r="C6331" t="str">
            <v>Chorleywood College</v>
          </cell>
          <cell r="D6331" t="str">
            <v>Hertfordshire</v>
          </cell>
          <cell r="E6331" t="str">
            <v>Community Special School</v>
          </cell>
          <cell r="F6331" t="str">
            <v>Special</v>
          </cell>
        </row>
        <row r="6332">
          <cell r="A6332">
            <v>9192019</v>
          </cell>
          <cell r="B6332">
            <v>117093</v>
          </cell>
          <cell r="C6332" t="str">
            <v>Chorleywood Primary School</v>
          </cell>
          <cell r="D6332" t="str">
            <v>Hertfordshire</v>
          </cell>
          <cell r="E6332" t="str">
            <v>Community School</v>
          </cell>
          <cell r="F6332" t="str">
            <v>Primary</v>
          </cell>
        </row>
        <row r="6333">
          <cell r="A6333">
            <v>3526005</v>
          </cell>
          <cell r="B6333">
            <v>127422</v>
          </cell>
          <cell r="C6333" t="str">
            <v>Chorlten Convent High School</v>
          </cell>
          <cell r="D6333" t="str">
            <v>Manchester</v>
          </cell>
          <cell r="E6333" t="str">
            <v>Other Independent School</v>
          </cell>
          <cell r="F6333" t="str">
            <v>Not applicable</v>
          </cell>
        </row>
        <row r="6334">
          <cell r="A6334">
            <v>3523003</v>
          </cell>
          <cell r="B6334">
            <v>105487</v>
          </cell>
          <cell r="C6334" t="str">
            <v>Chorlton CofE Primary School</v>
          </cell>
          <cell r="D6334" t="str">
            <v>Manchester</v>
          </cell>
          <cell r="E6334" t="str">
            <v>Voluntary Controlled School</v>
          </cell>
          <cell r="F6334" t="str">
            <v>Primary</v>
          </cell>
        </row>
        <row r="6335">
          <cell r="A6335">
            <v>3524281</v>
          </cell>
          <cell r="B6335">
            <v>105569</v>
          </cell>
          <cell r="C6335" t="str">
            <v>Chorlton High School</v>
          </cell>
          <cell r="D6335" t="str">
            <v>Manchester</v>
          </cell>
          <cell r="E6335" t="str">
            <v>Community School</v>
          </cell>
          <cell r="F6335" t="str">
            <v>Secondary</v>
          </cell>
        </row>
        <row r="6336">
          <cell r="A6336">
            <v>3522065</v>
          </cell>
          <cell r="B6336">
            <v>105407</v>
          </cell>
          <cell r="C6336" t="str">
            <v>Chorlton Park Infants' School</v>
          </cell>
          <cell r="D6336" t="str">
            <v>Manchester</v>
          </cell>
          <cell r="E6336" t="str">
            <v>Community School</v>
          </cell>
          <cell r="F6336" t="str">
            <v>Primary</v>
          </cell>
        </row>
        <row r="6337">
          <cell r="A6337">
            <v>3522064</v>
          </cell>
          <cell r="B6337">
            <v>105406</v>
          </cell>
          <cell r="C6337" t="str">
            <v>Chorlton Park Junior School</v>
          </cell>
          <cell r="D6337" t="str">
            <v>Manchester</v>
          </cell>
          <cell r="E6337" t="str">
            <v>Community School</v>
          </cell>
          <cell r="F6337" t="str">
            <v>Primary</v>
          </cell>
        </row>
        <row r="6338">
          <cell r="A6338">
            <v>3522004</v>
          </cell>
          <cell r="B6338">
            <v>131620</v>
          </cell>
          <cell r="C6338" t="str">
            <v>Chorlton Park Primary School</v>
          </cell>
          <cell r="D6338" t="str">
            <v>Manchester</v>
          </cell>
          <cell r="E6338" t="str">
            <v>Community School</v>
          </cell>
          <cell r="F6338" t="str">
            <v>Primary</v>
          </cell>
        </row>
        <row r="6339">
          <cell r="A6339">
            <v>9165412</v>
          </cell>
          <cell r="B6339">
            <v>115763</v>
          </cell>
          <cell r="C6339" t="str">
            <v>Chosen Hill School</v>
          </cell>
          <cell r="D6339" t="str">
            <v>Gloucestershire</v>
          </cell>
          <cell r="E6339" t="str">
            <v>Foundation School</v>
          </cell>
          <cell r="F6339" t="str">
            <v>Secondary</v>
          </cell>
        </row>
        <row r="6340">
          <cell r="A6340">
            <v>9165412</v>
          </cell>
          <cell r="B6340">
            <v>136623</v>
          </cell>
          <cell r="C6340" t="str">
            <v>Chosen Hill School</v>
          </cell>
          <cell r="D6340" t="str">
            <v>Gloucestershire</v>
          </cell>
          <cell r="E6340" t="str">
            <v>Academy Converters</v>
          </cell>
          <cell r="F6340" t="str">
            <v>Secondary</v>
          </cell>
        </row>
        <row r="6341">
          <cell r="A6341">
            <v>3593023</v>
          </cell>
          <cell r="B6341">
            <v>106443</v>
          </cell>
          <cell r="C6341" t="str">
            <v>Chowbent Primary School</v>
          </cell>
          <cell r="D6341" t="str">
            <v>Wigan</v>
          </cell>
          <cell r="E6341" t="str">
            <v>Voluntary Controlled School</v>
          </cell>
          <cell r="F6341" t="str">
            <v>Primary</v>
          </cell>
        </row>
        <row r="6342">
          <cell r="A6342">
            <v>9152736</v>
          </cell>
          <cell r="B6342">
            <v>114973</v>
          </cell>
          <cell r="C6342" t="str">
            <v>Chowdhary Primary School</v>
          </cell>
          <cell r="D6342" t="str">
            <v>Pre LGR (1998) Essex</v>
          </cell>
          <cell r="E6342" t="str">
            <v>Community School</v>
          </cell>
          <cell r="F6342" t="str">
            <v>Primary</v>
          </cell>
        </row>
        <row r="6343">
          <cell r="A6343">
            <v>8813795</v>
          </cell>
          <cell r="B6343">
            <v>115195</v>
          </cell>
          <cell r="C6343" t="str">
            <v>Chrishall Holy Trinity and St Nicholas CofE (Aided) Primary School</v>
          </cell>
          <cell r="D6343" t="str">
            <v>Essex</v>
          </cell>
          <cell r="E6343" t="str">
            <v>Voluntary Aided School</v>
          </cell>
          <cell r="F6343" t="str">
            <v>Primary</v>
          </cell>
        </row>
        <row r="6344">
          <cell r="A6344">
            <v>3363012</v>
          </cell>
          <cell r="B6344">
            <v>104362</v>
          </cell>
          <cell r="C6344" t="str">
            <v>Christ Church (Church of England) Infant and Nursery School</v>
          </cell>
          <cell r="D6344" t="str">
            <v>Wolverhampton</v>
          </cell>
          <cell r="E6344" t="str">
            <v>Voluntary Controlled School</v>
          </cell>
          <cell r="F6344" t="str">
            <v>Primary</v>
          </cell>
        </row>
        <row r="6345">
          <cell r="A6345">
            <v>3363019</v>
          </cell>
          <cell r="B6345">
            <v>104366</v>
          </cell>
          <cell r="C6345" t="str">
            <v>Christ Church (Church of England) Junior School</v>
          </cell>
          <cell r="D6345" t="str">
            <v>Wolverhampton</v>
          </cell>
          <cell r="E6345" t="str">
            <v>Voluntary Controlled School</v>
          </cell>
          <cell r="F6345" t="str">
            <v>Primary</v>
          </cell>
        </row>
        <row r="6346">
          <cell r="A6346">
            <v>2083329</v>
          </cell>
          <cell r="B6346">
            <v>100611</v>
          </cell>
          <cell r="C6346" t="str">
            <v>Christ Church , Streatham Church of England Primary School</v>
          </cell>
          <cell r="D6346" t="str">
            <v>Lambeth</v>
          </cell>
          <cell r="E6346" t="str">
            <v>Voluntary Aided School</v>
          </cell>
          <cell r="F6346" t="str">
            <v>Primary</v>
          </cell>
        </row>
        <row r="6347">
          <cell r="A6347">
            <v>3513016</v>
          </cell>
          <cell r="B6347">
            <v>105324</v>
          </cell>
          <cell r="C6347" t="str">
            <v>Christ Church Ainsworth Church of England Primary School</v>
          </cell>
          <cell r="D6347" t="str">
            <v>Bury</v>
          </cell>
          <cell r="E6347" t="str">
            <v>Voluntary Controlled School</v>
          </cell>
          <cell r="F6347" t="str">
            <v>Primary</v>
          </cell>
        </row>
        <row r="6348">
          <cell r="A6348">
            <v>8553211</v>
          </cell>
          <cell r="B6348">
            <v>120189</v>
          </cell>
          <cell r="C6348" t="str">
            <v>Christ Church and St Peter's Church of England Primary School</v>
          </cell>
          <cell r="D6348" t="str">
            <v>Leicestershire</v>
          </cell>
          <cell r="E6348" t="str">
            <v>Voluntary Controlled School</v>
          </cell>
          <cell r="F6348" t="str">
            <v>Primary</v>
          </cell>
        </row>
        <row r="6349">
          <cell r="A6349">
            <v>2133653</v>
          </cell>
          <cell r="B6349">
            <v>101147</v>
          </cell>
          <cell r="C6349" t="str">
            <v>Christ Church Bentinck CofE Primary School</v>
          </cell>
          <cell r="D6349" t="str">
            <v>Westminster</v>
          </cell>
          <cell r="E6349" t="str">
            <v>Voluntary Aided School</v>
          </cell>
          <cell r="F6349" t="str">
            <v>Primary</v>
          </cell>
        </row>
        <row r="6350">
          <cell r="A6350">
            <v>9316060</v>
          </cell>
          <cell r="B6350">
            <v>123287</v>
          </cell>
          <cell r="C6350" t="str">
            <v>Christ Church Cathedral School</v>
          </cell>
          <cell r="D6350" t="str">
            <v>Oxfordshire</v>
          </cell>
          <cell r="E6350" t="str">
            <v>Other Independent School</v>
          </cell>
          <cell r="F6350" t="str">
            <v>Not applicable</v>
          </cell>
        </row>
        <row r="6351">
          <cell r="A6351">
            <v>8883388</v>
          </cell>
          <cell r="B6351">
            <v>119463</v>
          </cell>
          <cell r="C6351" t="str">
            <v>Christ Church Charnock Richard CofE Primary School</v>
          </cell>
          <cell r="D6351" t="str">
            <v>Lancashire</v>
          </cell>
          <cell r="E6351" t="str">
            <v>Voluntary Aided School</v>
          </cell>
          <cell r="F6351" t="str">
            <v>Primary</v>
          </cell>
        </row>
        <row r="6352">
          <cell r="A6352">
            <v>3433000</v>
          </cell>
          <cell r="B6352">
            <v>104893</v>
          </cell>
          <cell r="C6352" t="str">
            <v>Christ Church Church of England Controlled Primary School</v>
          </cell>
          <cell r="D6352" t="str">
            <v>Sefton</v>
          </cell>
          <cell r="E6352" t="str">
            <v>Voluntary Controlled School</v>
          </cell>
          <cell r="F6352" t="str">
            <v>Primary</v>
          </cell>
        </row>
        <row r="6353">
          <cell r="A6353">
            <v>8653015</v>
          </cell>
          <cell r="B6353">
            <v>126303</v>
          </cell>
          <cell r="C6353" t="str">
            <v>Christ Church Church of England Controlled Primary School</v>
          </cell>
          <cell r="D6353" t="str">
            <v>Wiltshire</v>
          </cell>
          <cell r="E6353" t="str">
            <v>Voluntary Controlled School</v>
          </cell>
          <cell r="F6353" t="str">
            <v>Primary</v>
          </cell>
        </row>
        <row r="6354">
          <cell r="A6354">
            <v>3363006</v>
          </cell>
          <cell r="B6354">
            <v>104357</v>
          </cell>
          <cell r="C6354" t="str">
            <v>Christ Church Church of England Infant School Leicester Street</v>
          </cell>
          <cell r="D6354" t="str">
            <v>Wolverhampton</v>
          </cell>
          <cell r="E6354" t="str">
            <v>Voluntary Controlled School</v>
          </cell>
          <cell r="F6354" t="str">
            <v>Primary</v>
          </cell>
        </row>
        <row r="6355">
          <cell r="A6355">
            <v>3073301</v>
          </cell>
          <cell r="B6355">
            <v>101917</v>
          </cell>
          <cell r="C6355" t="str">
            <v>Christ Church Church of England Junior School</v>
          </cell>
          <cell r="D6355" t="str">
            <v>Ealing</v>
          </cell>
          <cell r="E6355" t="str">
            <v>Voluntary Aided School</v>
          </cell>
          <cell r="F6355" t="str">
            <v>Primary</v>
          </cell>
        </row>
        <row r="6356">
          <cell r="A6356">
            <v>2033322</v>
          </cell>
          <cell r="B6356">
            <v>100165</v>
          </cell>
          <cell r="C6356" t="str">
            <v>Christ Church Church of England Primary School</v>
          </cell>
          <cell r="D6356" t="str">
            <v>Greenwich</v>
          </cell>
          <cell r="E6356" t="str">
            <v>Voluntary Aided School</v>
          </cell>
          <cell r="F6356" t="str">
            <v>Primary</v>
          </cell>
        </row>
        <row r="6357">
          <cell r="A6357">
            <v>2083324</v>
          </cell>
          <cell r="B6357">
            <v>100610</v>
          </cell>
          <cell r="C6357" t="str">
            <v>Christ Church Church of England Primary School</v>
          </cell>
          <cell r="D6357" t="str">
            <v>Lambeth</v>
          </cell>
          <cell r="E6357" t="str">
            <v>Voluntary Aided School</v>
          </cell>
          <cell r="F6357" t="str">
            <v>Primary</v>
          </cell>
        </row>
        <row r="6358">
          <cell r="A6358">
            <v>8013003</v>
          </cell>
          <cell r="B6358">
            <v>109142</v>
          </cell>
          <cell r="C6358" t="str">
            <v>Christ Church Church of England Primary School</v>
          </cell>
          <cell r="D6358" t="str">
            <v>Bristol City of</v>
          </cell>
          <cell r="E6358" t="str">
            <v>Voluntary Controlled School</v>
          </cell>
          <cell r="F6358" t="str">
            <v>Primary</v>
          </cell>
        </row>
        <row r="6359">
          <cell r="A6359">
            <v>8023117</v>
          </cell>
          <cell r="B6359">
            <v>109219</v>
          </cell>
          <cell r="C6359" t="str">
            <v>Christ Church Church of England Primary School</v>
          </cell>
          <cell r="D6359" t="str">
            <v>North Somerset</v>
          </cell>
          <cell r="E6359" t="str">
            <v>Voluntary Aided School</v>
          </cell>
          <cell r="F6359" t="str">
            <v>Primary</v>
          </cell>
        </row>
        <row r="6360">
          <cell r="A6360">
            <v>8703001</v>
          </cell>
          <cell r="B6360">
            <v>109946</v>
          </cell>
          <cell r="C6360" t="str">
            <v>Christ Church Church of England Primary School</v>
          </cell>
          <cell r="D6360" t="str">
            <v>Reading</v>
          </cell>
          <cell r="E6360" t="str">
            <v>Voluntary Controlled School</v>
          </cell>
          <cell r="F6360" t="str">
            <v>Primary</v>
          </cell>
        </row>
        <row r="6361">
          <cell r="A6361">
            <v>9163314</v>
          </cell>
          <cell r="B6361">
            <v>115677</v>
          </cell>
          <cell r="C6361" t="str">
            <v>Christ Church Church of England Primary School</v>
          </cell>
          <cell r="D6361" t="str">
            <v>Gloucestershire</v>
          </cell>
          <cell r="E6361" t="str">
            <v>Voluntary Aided School</v>
          </cell>
          <cell r="F6361" t="str">
            <v>Primary</v>
          </cell>
        </row>
        <row r="6362">
          <cell r="A6362">
            <v>2033331</v>
          </cell>
          <cell r="B6362">
            <v>100166</v>
          </cell>
          <cell r="C6362" t="str">
            <v>Christ Church Church of England Primary School, Shooters Hill</v>
          </cell>
          <cell r="D6362" t="str">
            <v>Greenwich</v>
          </cell>
          <cell r="E6362" t="str">
            <v>Voluntary Aided School</v>
          </cell>
          <cell r="F6362" t="str">
            <v>Primary</v>
          </cell>
        </row>
        <row r="6363">
          <cell r="A6363">
            <v>9195201</v>
          </cell>
          <cell r="B6363">
            <v>117561</v>
          </cell>
          <cell r="C6363" t="str">
            <v>Christ Church Church of England School</v>
          </cell>
          <cell r="D6363" t="str">
            <v>Hertfordshire</v>
          </cell>
          <cell r="E6363" t="str">
            <v>Voluntary Aided School</v>
          </cell>
          <cell r="F6363" t="str">
            <v>Primary</v>
          </cell>
        </row>
        <row r="6364">
          <cell r="A6364">
            <v>8153273</v>
          </cell>
          <cell r="B6364">
            <v>121590</v>
          </cell>
          <cell r="C6364" t="str">
            <v>Christ Church Church of England Voluntary Controlled Primary School</v>
          </cell>
          <cell r="D6364" t="str">
            <v>North Yorkshire</v>
          </cell>
          <cell r="E6364" t="str">
            <v>Voluntary Controlled School</v>
          </cell>
          <cell r="F6364" t="str">
            <v>Primary</v>
          </cell>
        </row>
        <row r="6365">
          <cell r="A6365">
            <v>8604612</v>
          </cell>
          <cell r="B6365">
            <v>124457</v>
          </cell>
          <cell r="C6365" t="str">
            <v>Christ Church CofE (A) Middle School</v>
          </cell>
          <cell r="D6365" t="str">
            <v>Staffordshire</v>
          </cell>
          <cell r="E6365" t="str">
            <v>Voluntary Aided School</v>
          </cell>
          <cell r="F6365" t="str">
            <v>Middle Deemed Secondary</v>
          </cell>
        </row>
        <row r="6366">
          <cell r="A6366">
            <v>8604612</v>
          </cell>
          <cell r="B6366">
            <v>136961</v>
          </cell>
          <cell r="C6366" t="str">
            <v>Christ Church CofE (A) Middle School</v>
          </cell>
          <cell r="D6366" t="str">
            <v>Staffordshire</v>
          </cell>
          <cell r="E6366" t="str">
            <v>Academy Converters</v>
          </cell>
          <cell r="F6366" t="str">
            <v>Middle Deemed Secondary</v>
          </cell>
        </row>
        <row r="6367">
          <cell r="A6367">
            <v>3513333</v>
          </cell>
          <cell r="B6367">
            <v>105341</v>
          </cell>
          <cell r="C6367" t="str">
            <v>Christ Church CofE (Aided) Primary School</v>
          </cell>
          <cell r="D6367" t="str">
            <v>Bury</v>
          </cell>
          <cell r="E6367" t="str">
            <v>Voluntary Aided School</v>
          </cell>
          <cell r="F6367" t="str">
            <v>Primary</v>
          </cell>
        </row>
        <row r="6368">
          <cell r="A6368">
            <v>8603142</v>
          </cell>
          <cell r="B6368">
            <v>124293</v>
          </cell>
          <cell r="C6368" t="str">
            <v>Christ Church CofE (C) First School</v>
          </cell>
          <cell r="D6368" t="str">
            <v>Staffordshire</v>
          </cell>
          <cell r="E6368" t="str">
            <v>Voluntary Controlled School</v>
          </cell>
          <cell r="F6368" t="str">
            <v>Primary</v>
          </cell>
        </row>
        <row r="6369">
          <cell r="A6369">
            <v>8603076</v>
          </cell>
          <cell r="B6369">
            <v>124257</v>
          </cell>
          <cell r="C6369" t="str">
            <v>Christ Church CofE (C) Primary School</v>
          </cell>
          <cell r="D6369" t="str">
            <v>Staffordshire</v>
          </cell>
          <cell r="E6369" t="str">
            <v>Voluntary Controlled School</v>
          </cell>
          <cell r="F6369" t="str">
            <v>Primary</v>
          </cell>
        </row>
        <row r="6370">
          <cell r="A6370">
            <v>9193394</v>
          </cell>
          <cell r="B6370">
            <v>117473</v>
          </cell>
          <cell r="C6370" t="str">
            <v>Christ Church CofE (VA) Primary School and Nursery, Ware</v>
          </cell>
          <cell r="D6370" t="str">
            <v>Hertfordshire</v>
          </cell>
          <cell r="E6370" t="str">
            <v>Voluntary Aided School</v>
          </cell>
          <cell r="F6370" t="str">
            <v>Primary</v>
          </cell>
        </row>
        <row r="6371">
          <cell r="A6371">
            <v>9363334</v>
          </cell>
          <cell r="B6371">
            <v>125175</v>
          </cell>
          <cell r="C6371" t="str">
            <v>Christ Church CofE Aided Infant School, Virginia Water</v>
          </cell>
          <cell r="D6371" t="str">
            <v>Surrey</v>
          </cell>
          <cell r="E6371" t="str">
            <v>Voluntary Aided School</v>
          </cell>
          <cell r="F6371" t="str">
            <v>Primary</v>
          </cell>
        </row>
        <row r="6372">
          <cell r="A6372">
            <v>3303002</v>
          </cell>
          <cell r="B6372">
            <v>103397</v>
          </cell>
          <cell r="C6372" t="str">
            <v>Christ Church CofE Controlled Primary School and Nursery</v>
          </cell>
          <cell r="D6372" t="str">
            <v>Birmingham</v>
          </cell>
          <cell r="E6372" t="str">
            <v>Voluntary Controlled School</v>
          </cell>
          <cell r="F6372" t="str">
            <v>Primary</v>
          </cell>
        </row>
        <row r="6373">
          <cell r="A6373">
            <v>9333057</v>
          </cell>
          <cell r="B6373">
            <v>123757</v>
          </cell>
          <cell r="C6373" t="str">
            <v>Christ Church CofE First School</v>
          </cell>
          <cell r="D6373" t="str">
            <v>Somerset</v>
          </cell>
          <cell r="E6373" t="str">
            <v>Voluntary Controlled School</v>
          </cell>
          <cell r="F6373" t="str">
            <v>Primary</v>
          </cell>
        </row>
        <row r="6374">
          <cell r="A6374">
            <v>3833025</v>
          </cell>
          <cell r="B6374">
            <v>127916</v>
          </cell>
          <cell r="C6374" t="str">
            <v>Christ Church CofE First School</v>
          </cell>
          <cell r="D6374" t="str">
            <v>Leeds</v>
          </cell>
          <cell r="E6374" t="str">
            <v>Voluntary Controlled School</v>
          </cell>
          <cell r="F6374" t="str">
            <v>Primary</v>
          </cell>
        </row>
        <row r="6375">
          <cell r="A6375">
            <v>9343074</v>
          </cell>
          <cell r="B6375">
            <v>129916</v>
          </cell>
          <cell r="C6375" t="str">
            <v>Christ Church CofE First School</v>
          </cell>
          <cell r="D6375" t="str">
            <v>Pre LGR (1997) Staffordshire</v>
          </cell>
          <cell r="E6375" t="str">
            <v>Voluntary Controlled School</v>
          </cell>
          <cell r="F6375" t="str">
            <v>Primary</v>
          </cell>
        </row>
        <row r="6376">
          <cell r="A6376">
            <v>8883010</v>
          </cell>
          <cell r="B6376">
            <v>119359</v>
          </cell>
          <cell r="C6376" t="str">
            <v>Christ Church CofE Infant (Controlled) School</v>
          </cell>
          <cell r="D6376" t="str">
            <v>Lancashire</v>
          </cell>
          <cell r="E6376" t="str">
            <v>Voluntary Controlled School</v>
          </cell>
          <cell r="F6376" t="str">
            <v>Primary</v>
          </cell>
        </row>
        <row r="6377">
          <cell r="A6377">
            <v>8913450</v>
          </cell>
          <cell r="B6377">
            <v>122792</v>
          </cell>
          <cell r="C6377" t="str">
            <v>Christ Church CofE Infant School</v>
          </cell>
          <cell r="D6377" t="str">
            <v>Nottinghamshire</v>
          </cell>
          <cell r="E6377" t="str">
            <v>Voluntary Aided School</v>
          </cell>
          <cell r="F6377" t="str">
            <v>Primary</v>
          </cell>
        </row>
        <row r="6378">
          <cell r="A6378">
            <v>3143300</v>
          </cell>
          <cell r="B6378">
            <v>102584</v>
          </cell>
          <cell r="C6378" t="str">
            <v>Christ Church CofE Junior School</v>
          </cell>
          <cell r="D6378" t="str">
            <v>Kingston upon Thames</v>
          </cell>
          <cell r="E6378" t="str">
            <v>Voluntary Aided School</v>
          </cell>
          <cell r="F6378" t="str">
            <v>Primary</v>
          </cell>
        </row>
        <row r="6379">
          <cell r="A6379">
            <v>2073321</v>
          </cell>
          <cell r="B6379">
            <v>100489</v>
          </cell>
          <cell r="C6379" t="str">
            <v>Christ Church CofE Primary School</v>
          </cell>
          <cell r="D6379" t="str">
            <v>Kensington and Chelsea</v>
          </cell>
          <cell r="E6379" t="str">
            <v>Voluntary Aided School</v>
          </cell>
          <cell r="F6379" t="str">
            <v>Primary</v>
          </cell>
        </row>
        <row r="6380">
          <cell r="A6380">
            <v>2093325</v>
          </cell>
          <cell r="B6380">
            <v>100721</v>
          </cell>
          <cell r="C6380" t="str">
            <v>Christ Church CofE Primary School</v>
          </cell>
          <cell r="D6380" t="str">
            <v>Lewisham</v>
          </cell>
          <cell r="E6380" t="str">
            <v>Voluntary Aided School</v>
          </cell>
          <cell r="F6380" t="str">
            <v>Primary</v>
          </cell>
        </row>
        <row r="6381">
          <cell r="A6381">
            <v>2123320</v>
          </cell>
          <cell r="B6381">
            <v>101035</v>
          </cell>
          <cell r="C6381" t="str">
            <v>Christ Church CofE Primary School</v>
          </cell>
          <cell r="D6381" t="str">
            <v>Wandsworth</v>
          </cell>
          <cell r="E6381" t="str">
            <v>Voluntary Aided School</v>
          </cell>
          <cell r="F6381" t="str">
            <v>Primary</v>
          </cell>
        </row>
        <row r="6382">
          <cell r="A6382">
            <v>3043301</v>
          </cell>
          <cell r="B6382">
            <v>101533</v>
          </cell>
          <cell r="C6382" t="str">
            <v>Christ Church CofE Primary School</v>
          </cell>
          <cell r="D6382" t="str">
            <v>Brent</v>
          </cell>
          <cell r="E6382" t="str">
            <v>Voluntary Aided School</v>
          </cell>
          <cell r="F6382" t="str">
            <v>Primary</v>
          </cell>
        </row>
        <row r="6383">
          <cell r="A6383">
            <v>3143302</v>
          </cell>
          <cell r="B6383">
            <v>102586</v>
          </cell>
          <cell r="C6383" t="str">
            <v>Christ Church CofE Primary School</v>
          </cell>
          <cell r="D6383" t="str">
            <v>Kingston upon Thames</v>
          </cell>
          <cell r="E6383" t="str">
            <v>Voluntary Aided School</v>
          </cell>
          <cell r="F6383" t="str">
            <v>Primary</v>
          </cell>
        </row>
        <row r="6384">
          <cell r="A6384">
            <v>3323010</v>
          </cell>
          <cell r="B6384">
            <v>103838</v>
          </cell>
          <cell r="C6384" t="str">
            <v>Christ Church CofE Primary School</v>
          </cell>
          <cell r="D6384" t="str">
            <v>Dudley</v>
          </cell>
          <cell r="E6384" t="str">
            <v>Voluntary Controlled School</v>
          </cell>
          <cell r="F6384" t="str">
            <v>Primary</v>
          </cell>
        </row>
        <row r="6385">
          <cell r="A6385">
            <v>3333400</v>
          </cell>
          <cell r="B6385">
            <v>103997</v>
          </cell>
          <cell r="C6385" t="str">
            <v>Christ Church CofE Primary School</v>
          </cell>
          <cell r="D6385" t="str">
            <v>Sandwell</v>
          </cell>
          <cell r="E6385" t="str">
            <v>Voluntary Aided School</v>
          </cell>
          <cell r="F6385" t="str">
            <v>Primary</v>
          </cell>
        </row>
        <row r="6386">
          <cell r="A6386">
            <v>3353000</v>
          </cell>
          <cell r="B6386">
            <v>104220</v>
          </cell>
          <cell r="C6386" t="str">
            <v>Christ Church CofE Primary School</v>
          </cell>
          <cell r="D6386" t="str">
            <v>Walsall</v>
          </cell>
          <cell r="E6386" t="str">
            <v>Voluntary Controlled School</v>
          </cell>
          <cell r="F6386" t="str">
            <v>Primary</v>
          </cell>
        </row>
        <row r="6387">
          <cell r="A6387">
            <v>3533011</v>
          </cell>
          <cell r="B6387">
            <v>105693</v>
          </cell>
          <cell r="C6387" t="str">
            <v>Christ Church CofE Primary School</v>
          </cell>
          <cell r="D6387" t="str">
            <v>Oldham</v>
          </cell>
          <cell r="E6387" t="str">
            <v>Voluntary Controlled School</v>
          </cell>
          <cell r="F6387" t="str">
            <v>Primary</v>
          </cell>
        </row>
        <row r="6388">
          <cell r="A6388">
            <v>3533341</v>
          </cell>
          <cell r="B6388">
            <v>105707</v>
          </cell>
          <cell r="C6388" t="str">
            <v>Christ Church CofE Primary School</v>
          </cell>
          <cell r="D6388" t="str">
            <v>Oldham</v>
          </cell>
          <cell r="E6388" t="str">
            <v>Voluntary Aided School</v>
          </cell>
          <cell r="F6388" t="str">
            <v>Primary</v>
          </cell>
        </row>
        <row r="6389">
          <cell r="A6389">
            <v>3553033</v>
          </cell>
          <cell r="B6389">
            <v>105935</v>
          </cell>
          <cell r="C6389" t="str">
            <v>Christ Church CofE Primary School</v>
          </cell>
          <cell r="D6389" t="str">
            <v>Salford</v>
          </cell>
          <cell r="E6389" t="str">
            <v>Voluntary Aided School</v>
          </cell>
          <cell r="F6389" t="str">
            <v>Primary</v>
          </cell>
        </row>
        <row r="6390">
          <cell r="A6390">
            <v>3913321</v>
          </cell>
          <cell r="B6390">
            <v>108493</v>
          </cell>
          <cell r="C6390" t="str">
            <v>Christ Church CofE Primary School</v>
          </cell>
          <cell r="D6390" t="str">
            <v>Newcastle upon Tyne</v>
          </cell>
          <cell r="E6390" t="str">
            <v>Voluntary Aided School</v>
          </cell>
          <cell r="F6390" t="str">
            <v>Primary</v>
          </cell>
        </row>
        <row r="6391">
          <cell r="A6391">
            <v>3923301</v>
          </cell>
          <cell r="B6391">
            <v>108614</v>
          </cell>
          <cell r="C6391" t="str">
            <v>Christ Church CofE Primary School</v>
          </cell>
          <cell r="D6391" t="str">
            <v>North Tyneside</v>
          </cell>
          <cell r="E6391" t="str">
            <v>Voluntary Aided School</v>
          </cell>
          <cell r="F6391" t="str">
            <v>Primary</v>
          </cell>
        </row>
        <row r="6392">
          <cell r="A6392">
            <v>8303025</v>
          </cell>
          <cell r="B6392">
            <v>112810</v>
          </cell>
          <cell r="C6392" t="str">
            <v>Christ Church CofE Primary School</v>
          </cell>
          <cell r="D6392" t="str">
            <v>Derbyshire</v>
          </cell>
          <cell r="E6392" t="str">
            <v>Voluntary Controlled School</v>
          </cell>
          <cell r="F6392" t="str">
            <v>Primary</v>
          </cell>
        </row>
        <row r="6393">
          <cell r="A6393">
            <v>8453350</v>
          </cell>
          <cell r="B6393">
            <v>114572</v>
          </cell>
          <cell r="C6393" t="str">
            <v>Christ Church CofE Primary School</v>
          </cell>
          <cell r="D6393" t="str">
            <v>East Sussex</v>
          </cell>
          <cell r="E6393" t="str">
            <v>Voluntary Aided School</v>
          </cell>
          <cell r="F6393" t="str">
            <v>Primary</v>
          </cell>
        </row>
        <row r="6394">
          <cell r="A6394">
            <v>9165215</v>
          </cell>
          <cell r="B6394">
            <v>115745</v>
          </cell>
          <cell r="C6394" t="str">
            <v>Christ Church CofE Primary School</v>
          </cell>
          <cell r="D6394" t="str">
            <v>Gloucestershire</v>
          </cell>
          <cell r="E6394" t="str">
            <v>Voluntary Aided School</v>
          </cell>
          <cell r="F6394" t="str">
            <v>Primary</v>
          </cell>
        </row>
        <row r="6395">
          <cell r="A6395">
            <v>8933030</v>
          </cell>
          <cell r="B6395">
            <v>123471</v>
          </cell>
          <cell r="C6395" t="str">
            <v>Christ Church CofE Primary School</v>
          </cell>
          <cell r="D6395" t="str">
            <v>Shropshire</v>
          </cell>
          <cell r="E6395" t="str">
            <v>Voluntary Controlled School</v>
          </cell>
          <cell r="F6395" t="str">
            <v>Primary</v>
          </cell>
        </row>
        <row r="6396">
          <cell r="A6396">
            <v>3433026</v>
          </cell>
          <cell r="B6396">
            <v>127366</v>
          </cell>
          <cell r="C6396" t="str">
            <v>Christ Church CofE Primary School</v>
          </cell>
          <cell r="D6396" t="str">
            <v>Sefton</v>
          </cell>
          <cell r="E6396" t="str">
            <v>Voluntary Controlled School</v>
          </cell>
          <cell r="F6396" t="str">
            <v>Primary</v>
          </cell>
        </row>
        <row r="6397">
          <cell r="A6397">
            <v>3563502</v>
          </cell>
          <cell r="B6397">
            <v>127505</v>
          </cell>
          <cell r="C6397" t="str">
            <v>Christ Church CofE Primary School</v>
          </cell>
          <cell r="D6397" t="str">
            <v>Stockport</v>
          </cell>
          <cell r="E6397" t="str">
            <v>Voluntary Aided School</v>
          </cell>
          <cell r="F6397" t="str">
            <v>Primary</v>
          </cell>
        </row>
        <row r="6398">
          <cell r="A6398">
            <v>3063301</v>
          </cell>
          <cell r="B6398">
            <v>101793</v>
          </cell>
          <cell r="C6398" t="str">
            <v>Christ Church CofE Primary School (Purley)</v>
          </cell>
          <cell r="D6398" t="str">
            <v>Croydon</v>
          </cell>
          <cell r="E6398" t="str">
            <v>Voluntary Aided School</v>
          </cell>
          <cell r="F6398" t="str">
            <v>Primary</v>
          </cell>
        </row>
        <row r="6399">
          <cell r="A6399">
            <v>8773601</v>
          </cell>
          <cell r="B6399">
            <v>111363</v>
          </cell>
          <cell r="C6399" t="str">
            <v>Christ Church CofE Primary School Padgate</v>
          </cell>
          <cell r="D6399" t="str">
            <v>Warrington</v>
          </cell>
          <cell r="E6399" t="str">
            <v>Voluntary Aided School</v>
          </cell>
          <cell r="F6399" t="str">
            <v>Primary</v>
          </cell>
        </row>
        <row r="6400">
          <cell r="A6400">
            <v>3593419</v>
          </cell>
          <cell r="B6400">
            <v>106512</v>
          </cell>
          <cell r="C6400" t="str">
            <v>Christ Church CofE Primary School, Pennington</v>
          </cell>
          <cell r="D6400" t="str">
            <v>Wigan</v>
          </cell>
          <cell r="E6400" t="str">
            <v>Voluntary Aided School</v>
          </cell>
          <cell r="F6400" t="str">
            <v>Primary</v>
          </cell>
        </row>
        <row r="6401">
          <cell r="A6401">
            <v>3024600</v>
          </cell>
          <cell r="B6401">
            <v>101353</v>
          </cell>
          <cell r="C6401" t="str">
            <v>Christ Church CofE Secondary School</v>
          </cell>
          <cell r="D6401" t="str">
            <v>Barnet</v>
          </cell>
          <cell r="E6401" t="str">
            <v>Voluntary Aided School</v>
          </cell>
          <cell r="F6401" t="str">
            <v>Secondary</v>
          </cell>
        </row>
        <row r="6402">
          <cell r="A6402">
            <v>3813323</v>
          </cell>
          <cell r="B6402">
            <v>107554</v>
          </cell>
          <cell r="C6402" t="str">
            <v>Christ Church CofE VA Junior School, Sowerby Bridge</v>
          </cell>
          <cell r="D6402" t="str">
            <v>Calderdale</v>
          </cell>
          <cell r="E6402" t="str">
            <v>Voluntary Aided School</v>
          </cell>
          <cell r="F6402" t="str">
            <v>Primary</v>
          </cell>
        </row>
        <row r="6403">
          <cell r="A6403">
            <v>3032034</v>
          </cell>
          <cell r="B6403">
            <v>101423</v>
          </cell>
          <cell r="C6403" t="str">
            <v>Christ Church CofE VA School</v>
          </cell>
          <cell r="D6403" t="str">
            <v>Bexley</v>
          </cell>
          <cell r="E6403" t="str">
            <v>Community School</v>
          </cell>
          <cell r="F6403" t="str">
            <v>Primary</v>
          </cell>
        </row>
        <row r="6404">
          <cell r="A6404">
            <v>8033048</v>
          </cell>
          <cell r="B6404">
            <v>109163</v>
          </cell>
          <cell r="C6404" t="str">
            <v>Christ Church Hanham CofE Primary School</v>
          </cell>
          <cell r="D6404" t="str">
            <v>South Gloucestershire</v>
          </cell>
          <cell r="E6404" t="str">
            <v>Voluntary Controlled School</v>
          </cell>
          <cell r="F6404" t="str">
            <v>Primary</v>
          </cell>
        </row>
        <row r="6405">
          <cell r="A6405">
            <v>8602123</v>
          </cell>
          <cell r="B6405">
            <v>124034</v>
          </cell>
          <cell r="C6405" t="str">
            <v>Christ Church Infants' School</v>
          </cell>
          <cell r="D6405" t="str">
            <v>Staffordshire</v>
          </cell>
          <cell r="E6405" t="str">
            <v>Community School</v>
          </cell>
          <cell r="F6405" t="str">
            <v>Primary</v>
          </cell>
        </row>
        <row r="6406">
          <cell r="A6406">
            <v>3143301</v>
          </cell>
          <cell r="B6406">
            <v>102585</v>
          </cell>
          <cell r="C6406" t="str">
            <v>Christ Church New Malden CofE Primary School</v>
          </cell>
          <cell r="D6406" t="str">
            <v>Kingston upon Thames</v>
          </cell>
          <cell r="E6406" t="str">
            <v>Voluntary Aided School</v>
          </cell>
          <cell r="F6406" t="str">
            <v>Primary</v>
          </cell>
        </row>
        <row r="6407">
          <cell r="A6407">
            <v>3813001</v>
          </cell>
          <cell r="B6407">
            <v>107535</v>
          </cell>
          <cell r="C6407" t="str">
            <v>Christ Church Pellon CofE VC Primary School</v>
          </cell>
          <cell r="D6407" t="str">
            <v>Calderdale</v>
          </cell>
          <cell r="E6407" t="str">
            <v>Voluntary Controlled School</v>
          </cell>
          <cell r="F6407" t="str">
            <v>Primary</v>
          </cell>
        </row>
        <row r="6408">
          <cell r="A6408">
            <v>3023302</v>
          </cell>
          <cell r="B6408">
            <v>101316</v>
          </cell>
          <cell r="C6408" t="str">
            <v>Christ Church Primary School</v>
          </cell>
          <cell r="D6408" t="str">
            <v>Barnet</v>
          </cell>
          <cell r="E6408" t="str">
            <v>Voluntary Aided School</v>
          </cell>
          <cell r="F6408" t="str">
            <v>Primary</v>
          </cell>
        </row>
        <row r="6409">
          <cell r="A6409">
            <v>2023323</v>
          </cell>
          <cell r="B6409">
            <v>100028</v>
          </cell>
          <cell r="C6409" t="str">
            <v>Christ Church Primary School, Hampstead</v>
          </cell>
          <cell r="D6409" t="str">
            <v>Camden</v>
          </cell>
          <cell r="E6409" t="str">
            <v>Voluntary Aided School</v>
          </cell>
          <cell r="F6409" t="str">
            <v>Primary</v>
          </cell>
        </row>
        <row r="6410">
          <cell r="A6410">
            <v>2023327</v>
          </cell>
          <cell r="B6410">
            <v>100029</v>
          </cell>
          <cell r="C6410" t="str">
            <v>Christ Church School</v>
          </cell>
          <cell r="D6410" t="str">
            <v>Camden</v>
          </cell>
          <cell r="E6410" t="str">
            <v>Voluntary Aided School</v>
          </cell>
          <cell r="F6410" t="str">
            <v>Primary</v>
          </cell>
        </row>
        <row r="6411">
          <cell r="A6411">
            <v>3833055</v>
          </cell>
          <cell r="B6411">
            <v>108004</v>
          </cell>
          <cell r="C6411" t="str">
            <v>Christ Church Upper Armley Church of England Voluntary Controlled Primary School</v>
          </cell>
          <cell r="D6411" t="str">
            <v>Leeds</v>
          </cell>
          <cell r="E6411" t="str">
            <v>Voluntary Controlled School</v>
          </cell>
          <cell r="F6411" t="str">
            <v>Primary</v>
          </cell>
        </row>
        <row r="6412">
          <cell r="A6412">
            <v>3823409</v>
          </cell>
          <cell r="B6412">
            <v>130941</v>
          </cell>
          <cell r="C6412" t="str">
            <v>Christ Church Woodhouse C of E (Voluntary Aided) Junior, Infant &amp; Early Years School</v>
          </cell>
          <cell r="D6412" t="str">
            <v>Kirklees</v>
          </cell>
          <cell r="E6412" t="str">
            <v>Voluntary Aided School</v>
          </cell>
          <cell r="F6412" t="str">
            <v>Primary</v>
          </cell>
        </row>
        <row r="6413">
          <cell r="A6413">
            <v>8033051</v>
          </cell>
          <cell r="B6413">
            <v>109166</v>
          </cell>
          <cell r="C6413" t="str">
            <v>Christ Church, Church of England Infant School, Downend</v>
          </cell>
          <cell r="D6413" t="str">
            <v>South Gloucestershire</v>
          </cell>
          <cell r="E6413" t="str">
            <v>Voluntary Controlled School</v>
          </cell>
          <cell r="F6413" t="str">
            <v>Primary</v>
          </cell>
        </row>
        <row r="6414">
          <cell r="A6414">
            <v>8033050</v>
          </cell>
          <cell r="B6414">
            <v>109165</v>
          </cell>
          <cell r="C6414" t="str">
            <v>Christ Church, Church of England Junior School, Downend</v>
          </cell>
          <cell r="D6414" t="str">
            <v>South Gloucestershire</v>
          </cell>
          <cell r="E6414" t="str">
            <v>Voluntary Controlled School</v>
          </cell>
          <cell r="F6414" t="str">
            <v>Primary</v>
          </cell>
        </row>
        <row r="6415">
          <cell r="A6415">
            <v>3033509</v>
          </cell>
          <cell r="B6415">
            <v>134358</v>
          </cell>
          <cell r="C6415" t="str">
            <v>Christ Church, Erith,CofE VA Primary School</v>
          </cell>
          <cell r="D6415" t="str">
            <v>Bexley</v>
          </cell>
          <cell r="E6415" t="str">
            <v>Voluntary Aided School</v>
          </cell>
          <cell r="F6415" t="str">
            <v>Primary</v>
          </cell>
        </row>
        <row r="6416">
          <cell r="A6416">
            <v>9164609</v>
          </cell>
          <cell r="B6416">
            <v>131282</v>
          </cell>
          <cell r="C6416" t="str">
            <v>Christ College</v>
          </cell>
          <cell r="D6416" t="str">
            <v>Gloucestershire</v>
          </cell>
          <cell r="E6416" t="str">
            <v>Voluntary Aided School</v>
          </cell>
          <cell r="F6416" t="str">
            <v>Secondary</v>
          </cell>
        </row>
        <row r="6417">
          <cell r="A6417">
            <v>6666000</v>
          </cell>
          <cell r="B6417">
            <v>401984</v>
          </cell>
          <cell r="C6417" t="str">
            <v>Christ College</v>
          </cell>
          <cell r="D6417" t="str">
            <v>Powys</v>
          </cell>
          <cell r="E6417" t="str">
            <v>Welsh Establishment</v>
          </cell>
          <cell r="F6417" t="str">
            <v>Not applicable</v>
          </cell>
        </row>
        <row r="6418">
          <cell r="A6418">
            <v>3404610</v>
          </cell>
          <cell r="B6418">
            <v>135474</v>
          </cell>
          <cell r="C6418" t="str">
            <v>Christ The King Catholic and Church of England (VA) Centre for Learning</v>
          </cell>
          <cell r="D6418" t="str">
            <v>Knowsley</v>
          </cell>
          <cell r="E6418" t="str">
            <v>Voluntary Aided School</v>
          </cell>
          <cell r="F6418" t="str">
            <v>Secondary</v>
          </cell>
        </row>
        <row r="6419">
          <cell r="A6419">
            <v>8955205</v>
          </cell>
          <cell r="B6419">
            <v>135820</v>
          </cell>
          <cell r="C6419" t="str">
            <v>Christ the King Catholic and Church of England Primary School</v>
          </cell>
          <cell r="D6419" t="str">
            <v>Cheshire East</v>
          </cell>
          <cell r="E6419" t="str">
            <v>Voluntary Aided School</v>
          </cell>
          <cell r="F6419" t="str">
            <v>Primary</v>
          </cell>
        </row>
        <row r="6420">
          <cell r="A6420">
            <v>3434800</v>
          </cell>
          <cell r="B6420">
            <v>104964</v>
          </cell>
          <cell r="C6420" t="str">
            <v>Christ The King Catholic High School and Sixth Form Centre</v>
          </cell>
          <cell r="D6420" t="str">
            <v>Sefton</v>
          </cell>
          <cell r="E6420" t="str">
            <v>Voluntary Aided School</v>
          </cell>
          <cell r="F6420" t="str">
            <v>Secondary</v>
          </cell>
        </row>
        <row r="6421">
          <cell r="A6421">
            <v>3313400</v>
          </cell>
          <cell r="B6421">
            <v>103707</v>
          </cell>
          <cell r="C6421" t="str">
            <v>Christ The King Catholic Infants' School</v>
          </cell>
          <cell r="D6421" t="str">
            <v>Coventry</v>
          </cell>
          <cell r="E6421" t="str">
            <v>Voluntary Aided School</v>
          </cell>
          <cell r="F6421" t="str">
            <v>Primary</v>
          </cell>
        </row>
        <row r="6422">
          <cell r="A6422">
            <v>3313427</v>
          </cell>
          <cell r="B6422">
            <v>103722</v>
          </cell>
          <cell r="C6422" t="str">
            <v>Christ The King Catholic Junior School</v>
          </cell>
          <cell r="D6422" t="str">
            <v>Coventry</v>
          </cell>
          <cell r="E6422" t="str">
            <v>Voluntary Aided School</v>
          </cell>
          <cell r="F6422" t="str">
            <v>Primary</v>
          </cell>
        </row>
        <row r="6423">
          <cell r="A6423">
            <v>8884610</v>
          </cell>
          <cell r="B6423">
            <v>119781</v>
          </cell>
          <cell r="C6423" t="str">
            <v>Christ The King Catholic Maths and Computing College</v>
          </cell>
          <cell r="D6423" t="str">
            <v>Lancashire</v>
          </cell>
          <cell r="E6423" t="str">
            <v>Voluntary Aided School</v>
          </cell>
          <cell r="F6423" t="str">
            <v>Secondary</v>
          </cell>
        </row>
        <row r="6424">
          <cell r="A6424">
            <v>8303518</v>
          </cell>
          <cell r="B6424">
            <v>112909</v>
          </cell>
          <cell r="C6424" t="str">
            <v>Christ The King Catholic Primary</v>
          </cell>
          <cell r="D6424" t="str">
            <v>Derbyshire</v>
          </cell>
          <cell r="E6424" t="str">
            <v>Voluntary Aided School</v>
          </cell>
          <cell r="F6424" t="str">
            <v>Primary</v>
          </cell>
        </row>
        <row r="6425">
          <cell r="A6425">
            <v>3303319</v>
          </cell>
          <cell r="B6425">
            <v>103423</v>
          </cell>
          <cell r="C6425" t="str">
            <v>Christ The King Catholic Primary School</v>
          </cell>
          <cell r="D6425" t="str">
            <v>Birmingham</v>
          </cell>
          <cell r="E6425" t="str">
            <v>Voluntary Aided School</v>
          </cell>
          <cell r="F6425" t="str">
            <v>Primary</v>
          </cell>
        </row>
        <row r="6426">
          <cell r="A6426">
            <v>3413507</v>
          </cell>
          <cell r="B6426">
            <v>104629</v>
          </cell>
          <cell r="C6426" t="str">
            <v>Christ The King Catholic Primary School</v>
          </cell>
          <cell r="D6426" t="str">
            <v>Liverpool</v>
          </cell>
          <cell r="E6426" t="str">
            <v>Voluntary Aided School</v>
          </cell>
          <cell r="F6426" t="str">
            <v>Primary</v>
          </cell>
        </row>
        <row r="6427">
          <cell r="A6427">
            <v>3443361</v>
          </cell>
          <cell r="B6427">
            <v>105081</v>
          </cell>
          <cell r="C6427" t="str">
            <v>Christ The King Catholic Primary School</v>
          </cell>
          <cell r="D6427" t="str">
            <v>Wirral</v>
          </cell>
          <cell r="E6427" t="str">
            <v>Voluntary Aided School</v>
          </cell>
          <cell r="F6427" t="str">
            <v>Primary</v>
          </cell>
        </row>
        <row r="6428">
          <cell r="A6428">
            <v>3833369</v>
          </cell>
          <cell r="B6428">
            <v>108023</v>
          </cell>
          <cell r="C6428" t="str">
            <v>Christ The King Catholic Primary School</v>
          </cell>
          <cell r="D6428" t="str">
            <v>Leeds</v>
          </cell>
          <cell r="E6428" t="str">
            <v>Voluntary Aided School</v>
          </cell>
          <cell r="F6428" t="str">
            <v>Primary</v>
          </cell>
        </row>
        <row r="6429">
          <cell r="A6429">
            <v>8703305</v>
          </cell>
          <cell r="B6429">
            <v>110005</v>
          </cell>
          <cell r="C6429" t="str">
            <v>Christ The King Catholic Primary School</v>
          </cell>
          <cell r="D6429" t="str">
            <v>Reading</v>
          </cell>
          <cell r="E6429" t="str">
            <v>Voluntary Aided School</v>
          </cell>
          <cell r="F6429" t="str">
            <v>Primary</v>
          </cell>
        </row>
        <row r="6430">
          <cell r="A6430">
            <v>8373686</v>
          </cell>
          <cell r="B6430">
            <v>113846</v>
          </cell>
          <cell r="C6430" t="str">
            <v>Christ The King Catholic Primary School</v>
          </cell>
          <cell r="D6430" t="str">
            <v>Bournemouth</v>
          </cell>
          <cell r="E6430" t="str">
            <v>Voluntary Aided School</v>
          </cell>
          <cell r="F6430" t="str">
            <v>Primary</v>
          </cell>
        </row>
        <row r="6431">
          <cell r="A6431">
            <v>8903631</v>
          </cell>
          <cell r="B6431">
            <v>119601</v>
          </cell>
          <cell r="C6431" t="str">
            <v>Christ The King Catholic Primary School</v>
          </cell>
          <cell r="D6431" t="str">
            <v>Blackpool</v>
          </cell>
          <cell r="E6431" t="str">
            <v>Voluntary Aided School</v>
          </cell>
          <cell r="F6431" t="str">
            <v>Primary</v>
          </cell>
        </row>
        <row r="6432">
          <cell r="A6432">
            <v>8563420</v>
          </cell>
          <cell r="B6432">
            <v>120221</v>
          </cell>
          <cell r="C6432" t="str">
            <v>Christ The King Catholic Primary School</v>
          </cell>
          <cell r="D6432" t="str">
            <v>Leicester</v>
          </cell>
          <cell r="E6432" t="str">
            <v>Voluntary Aided School</v>
          </cell>
          <cell r="F6432" t="str">
            <v>Primary</v>
          </cell>
        </row>
        <row r="6433">
          <cell r="A6433">
            <v>3312001</v>
          </cell>
          <cell r="B6433">
            <v>137283</v>
          </cell>
          <cell r="C6433" t="str">
            <v>Christ The King Catholic Primary School</v>
          </cell>
          <cell r="D6433" t="str">
            <v>Coventry</v>
          </cell>
          <cell r="E6433" t="str">
            <v>Voluntary Aided School</v>
          </cell>
          <cell r="F6433" t="str">
            <v>Primary</v>
          </cell>
        </row>
        <row r="6434">
          <cell r="A6434">
            <v>8033436</v>
          </cell>
          <cell r="B6434">
            <v>109267</v>
          </cell>
          <cell r="C6434" t="str">
            <v>Christ The King Catholic Primary School, Thornbury</v>
          </cell>
          <cell r="D6434" t="str">
            <v>South Gloucestershire</v>
          </cell>
          <cell r="E6434" t="str">
            <v>Voluntary Aided School</v>
          </cell>
          <cell r="F6434" t="str">
            <v>Primary</v>
          </cell>
        </row>
        <row r="6435">
          <cell r="A6435">
            <v>8653412</v>
          </cell>
          <cell r="B6435">
            <v>126423</v>
          </cell>
          <cell r="C6435" t="str">
            <v>Christ The King Catholic School, Amesbury</v>
          </cell>
          <cell r="D6435" t="str">
            <v>Wiltshire</v>
          </cell>
          <cell r="E6435" t="str">
            <v>Voluntary Aided School</v>
          </cell>
          <cell r="F6435" t="str">
            <v>Primary</v>
          </cell>
        </row>
        <row r="6436">
          <cell r="A6436">
            <v>9214604</v>
          </cell>
          <cell r="B6436">
            <v>135552</v>
          </cell>
          <cell r="C6436" t="str">
            <v>Christ The King College</v>
          </cell>
          <cell r="D6436" t="str">
            <v>Isle of Wight</v>
          </cell>
          <cell r="E6436" t="str">
            <v>Voluntary Aided School</v>
          </cell>
          <cell r="F6436" t="str">
            <v>Secondary</v>
          </cell>
        </row>
        <row r="6437">
          <cell r="A6437">
            <v>6813351</v>
          </cell>
          <cell r="B6437">
            <v>401655</v>
          </cell>
          <cell r="C6437" t="str">
            <v>Christ The King R.C. Primary School</v>
          </cell>
          <cell r="D6437" t="str">
            <v>Cardiff</v>
          </cell>
          <cell r="E6437" t="str">
            <v>Welsh Establishment</v>
          </cell>
          <cell r="F6437" t="str">
            <v>Primary</v>
          </cell>
        </row>
        <row r="6438">
          <cell r="A6438">
            <v>9363482</v>
          </cell>
          <cell r="B6438">
            <v>125224</v>
          </cell>
          <cell r="C6438" t="str">
            <v>Christ The King RC First School</v>
          </cell>
          <cell r="D6438" t="str">
            <v>Surrey</v>
          </cell>
          <cell r="E6438" t="str">
            <v>Voluntary Aided School</v>
          </cell>
          <cell r="F6438" t="str">
            <v>Primary</v>
          </cell>
        </row>
        <row r="6439">
          <cell r="A6439">
            <v>3833603</v>
          </cell>
          <cell r="B6439">
            <v>127930</v>
          </cell>
          <cell r="C6439" t="str">
            <v>Christ The King RC First School</v>
          </cell>
          <cell r="D6439" t="str">
            <v>Leeds</v>
          </cell>
          <cell r="E6439" t="str">
            <v>Voluntary Aided School</v>
          </cell>
          <cell r="F6439" t="str">
            <v>Primary</v>
          </cell>
        </row>
        <row r="6440">
          <cell r="A6440">
            <v>2063633</v>
          </cell>
          <cell r="B6440">
            <v>100450</v>
          </cell>
          <cell r="C6440" t="str">
            <v>Christ The King RC Primary School</v>
          </cell>
          <cell r="D6440" t="str">
            <v>Islington</v>
          </cell>
          <cell r="E6440" t="str">
            <v>Voluntary Aided School</v>
          </cell>
          <cell r="F6440" t="str">
            <v>Primary</v>
          </cell>
        </row>
        <row r="6441">
          <cell r="A6441">
            <v>3553513</v>
          </cell>
          <cell r="B6441">
            <v>105950</v>
          </cell>
          <cell r="C6441" t="str">
            <v>Christ The King RC Primary School</v>
          </cell>
          <cell r="D6441" t="str">
            <v>Salford</v>
          </cell>
          <cell r="E6441" t="str">
            <v>Voluntary Aided School</v>
          </cell>
          <cell r="F6441" t="str">
            <v>Primary</v>
          </cell>
        </row>
        <row r="6442">
          <cell r="A6442">
            <v>8083327</v>
          </cell>
          <cell r="B6442">
            <v>111696</v>
          </cell>
          <cell r="C6442" t="str">
            <v>Christ The King RC Primary School</v>
          </cell>
          <cell r="D6442" t="str">
            <v>Stockton-on-Tees</v>
          </cell>
          <cell r="E6442" t="str">
            <v>Voluntary Aided School</v>
          </cell>
          <cell r="F6442" t="str">
            <v>Primary</v>
          </cell>
        </row>
        <row r="6443">
          <cell r="A6443">
            <v>3523402</v>
          </cell>
          <cell r="B6443">
            <v>105514</v>
          </cell>
          <cell r="C6443" t="str">
            <v>Christ The King RC Primary School Manchester</v>
          </cell>
          <cell r="D6443" t="str">
            <v>Manchester</v>
          </cell>
          <cell r="E6443" t="str">
            <v>Voluntary Aided School</v>
          </cell>
          <cell r="F6443" t="str">
            <v>Primary</v>
          </cell>
        </row>
        <row r="6444">
          <cell r="A6444">
            <v>8883434</v>
          </cell>
          <cell r="B6444">
            <v>119488</v>
          </cell>
          <cell r="C6444" t="str">
            <v>Christ The King Roman Catholic Primary School, Burnley</v>
          </cell>
          <cell r="D6444" t="str">
            <v>Lancashire</v>
          </cell>
          <cell r="E6444" t="str">
            <v>Voluntary Aided School</v>
          </cell>
          <cell r="F6444" t="str">
            <v>Primary</v>
          </cell>
        </row>
        <row r="6445">
          <cell r="A6445">
            <v>3586017</v>
          </cell>
          <cell r="B6445">
            <v>106389</v>
          </cell>
          <cell r="C6445" t="str">
            <v>Christ The King School</v>
          </cell>
          <cell r="D6445" t="str">
            <v>Trafford</v>
          </cell>
          <cell r="E6445" t="str">
            <v>Other Independent School</v>
          </cell>
          <cell r="F6445" t="str">
            <v>Not applicable</v>
          </cell>
        </row>
        <row r="6446">
          <cell r="A6446">
            <v>8914700</v>
          </cell>
          <cell r="B6446">
            <v>122899</v>
          </cell>
          <cell r="C6446" t="str">
            <v>Christ The King School</v>
          </cell>
          <cell r="D6446" t="str">
            <v>Nottinghamshire</v>
          </cell>
          <cell r="E6446" t="str">
            <v>Voluntary Aided School</v>
          </cell>
          <cell r="F6446" t="str">
            <v>Secondary</v>
          </cell>
        </row>
        <row r="6447">
          <cell r="A6447">
            <v>2094806</v>
          </cell>
          <cell r="B6447">
            <v>126664</v>
          </cell>
          <cell r="C6447" t="str">
            <v>Christ The King Sixth Form College</v>
          </cell>
          <cell r="D6447" t="str">
            <v>Lewisham</v>
          </cell>
          <cell r="E6447" t="str">
            <v>Legacy types</v>
          </cell>
          <cell r="F6447" t="str">
            <v>Secondary</v>
          </cell>
        </row>
        <row r="6448">
          <cell r="A6448">
            <v>2098600</v>
          </cell>
          <cell r="B6448">
            <v>130416</v>
          </cell>
          <cell r="C6448" t="str">
            <v>Christ The King Sixth Form College</v>
          </cell>
          <cell r="D6448" t="str">
            <v>Lewisham</v>
          </cell>
          <cell r="E6448" t="str">
            <v>Further Education</v>
          </cell>
          <cell r="F6448" t="str">
            <v>16 Plus</v>
          </cell>
        </row>
        <row r="6449">
          <cell r="A6449">
            <v>3073513</v>
          </cell>
          <cell r="B6449">
            <v>136445</v>
          </cell>
          <cell r="C6449" t="str">
            <v>Christ the Saviour Church of England Primary School</v>
          </cell>
          <cell r="D6449" t="str">
            <v>Ealing</v>
          </cell>
          <cell r="E6449" t="str">
            <v>Voluntary Aided School</v>
          </cell>
          <cell r="F6449" t="str">
            <v>Primary</v>
          </cell>
        </row>
        <row r="6450">
          <cell r="A6450">
            <v>8262012</v>
          </cell>
          <cell r="B6450">
            <v>134164</v>
          </cell>
          <cell r="C6450" t="str">
            <v>Christ the Sower Ecumenical Primary School (VA)</v>
          </cell>
          <cell r="D6450" t="str">
            <v>Milton Keynes</v>
          </cell>
          <cell r="E6450" t="str">
            <v>Voluntary Aided School</v>
          </cell>
          <cell r="F6450" t="str">
            <v>Primary</v>
          </cell>
        </row>
        <row r="6451">
          <cell r="A6451">
            <v>6703306</v>
          </cell>
          <cell r="B6451">
            <v>400949</v>
          </cell>
          <cell r="C6451" t="str">
            <v>Christchurch (C.I.W.) Voluntary Aided Primary School</v>
          </cell>
          <cell r="D6451" t="str">
            <v>Swansea</v>
          </cell>
          <cell r="E6451" t="str">
            <v>Welsh Establishment</v>
          </cell>
          <cell r="F6451" t="str">
            <v>Primary</v>
          </cell>
        </row>
        <row r="6452">
          <cell r="A6452">
            <v>6632038</v>
          </cell>
          <cell r="B6452">
            <v>400264</v>
          </cell>
          <cell r="C6452" t="str">
            <v>Christchurch C.P. School</v>
          </cell>
          <cell r="D6452" t="str">
            <v>Denbighshire</v>
          </cell>
          <cell r="E6452" t="str">
            <v>Welsh Establishment</v>
          </cell>
          <cell r="F6452" t="str">
            <v>Primary</v>
          </cell>
        </row>
        <row r="6453">
          <cell r="A6453">
            <v>8613020</v>
          </cell>
          <cell r="B6453">
            <v>124229</v>
          </cell>
          <cell r="C6453" t="str">
            <v>Christchurch CofE Primary School</v>
          </cell>
          <cell r="D6453" t="str">
            <v>Stoke-on-Trent</v>
          </cell>
          <cell r="E6453" t="str">
            <v>Voluntary Controlled School</v>
          </cell>
          <cell r="F6453" t="str">
            <v>Primary</v>
          </cell>
        </row>
        <row r="6454">
          <cell r="A6454">
            <v>2113332</v>
          </cell>
          <cell r="B6454">
            <v>100944</v>
          </cell>
          <cell r="C6454" t="str">
            <v>Christchurch CofE School</v>
          </cell>
          <cell r="D6454" t="str">
            <v>Tower Hamlets</v>
          </cell>
          <cell r="E6454" t="str">
            <v>Voluntary Aided School</v>
          </cell>
          <cell r="F6454" t="str">
            <v>Primary</v>
          </cell>
        </row>
        <row r="6455">
          <cell r="A6455">
            <v>9036166</v>
          </cell>
          <cell r="B6455">
            <v>110176</v>
          </cell>
          <cell r="C6455" t="str">
            <v>Christchurch Gardens Kindergarten</v>
          </cell>
          <cell r="D6455" t="str">
            <v>Pre LGR (1998) Berkshire</v>
          </cell>
          <cell r="E6455" t="str">
            <v>Other Independent School</v>
          </cell>
          <cell r="F6455" t="str">
            <v>Not applicable</v>
          </cell>
        </row>
        <row r="6456">
          <cell r="A6456">
            <v>9224071</v>
          </cell>
          <cell r="B6456">
            <v>129417</v>
          </cell>
          <cell r="C6456" t="str">
            <v>Christchurch High School</v>
          </cell>
          <cell r="D6456" t="str">
            <v>Pre LGR (1998) Kent</v>
          </cell>
          <cell r="E6456" t="str">
            <v>Community School</v>
          </cell>
          <cell r="F6456" t="str">
            <v>Secondary</v>
          </cell>
        </row>
        <row r="6457">
          <cell r="A6457">
            <v>8352241</v>
          </cell>
          <cell r="B6457">
            <v>113734</v>
          </cell>
          <cell r="C6457" t="str">
            <v>Christchurch Infant School</v>
          </cell>
          <cell r="D6457" t="str">
            <v>Dorset</v>
          </cell>
          <cell r="E6457" t="str">
            <v>Community School</v>
          </cell>
          <cell r="F6457" t="str">
            <v>Primary</v>
          </cell>
        </row>
        <row r="6458">
          <cell r="A6458">
            <v>3172011</v>
          </cell>
          <cell r="B6458">
            <v>102797</v>
          </cell>
          <cell r="C6458" t="str">
            <v>Christchurch Infants' School</v>
          </cell>
          <cell r="D6458" t="str">
            <v>Redbridge</v>
          </cell>
          <cell r="E6458" t="str">
            <v>Community School</v>
          </cell>
          <cell r="F6458" t="str">
            <v>Primary</v>
          </cell>
        </row>
        <row r="6459">
          <cell r="A6459">
            <v>3172010</v>
          </cell>
          <cell r="B6459">
            <v>102796</v>
          </cell>
          <cell r="C6459" t="str">
            <v>Christchurch Junior School</v>
          </cell>
          <cell r="D6459" t="str">
            <v>Redbridge</v>
          </cell>
          <cell r="E6459" t="str">
            <v>Community School</v>
          </cell>
          <cell r="F6459" t="str">
            <v>Primary</v>
          </cell>
        </row>
        <row r="6460">
          <cell r="A6460">
            <v>8352240</v>
          </cell>
          <cell r="B6460">
            <v>113733</v>
          </cell>
          <cell r="C6460" t="str">
            <v>Christchurch Junior School</v>
          </cell>
          <cell r="D6460" t="str">
            <v>Dorset</v>
          </cell>
          <cell r="E6460" t="str">
            <v>Community School</v>
          </cell>
          <cell r="F6460" t="str">
            <v>Primary</v>
          </cell>
        </row>
        <row r="6461">
          <cell r="A6461">
            <v>8351106</v>
          </cell>
          <cell r="B6461">
            <v>134374</v>
          </cell>
          <cell r="C6461" t="str">
            <v>Christchurch Learning Centre</v>
          </cell>
          <cell r="D6461" t="str">
            <v>Dorset</v>
          </cell>
          <cell r="E6461" t="str">
            <v>Pupil Referral Unit</v>
          </cell>
          <cell r="F6461" t="str">
            <v>PRU</v>
          </cell>
        </row>
        <row r="6462">
          <cell r="A6462">
            <v>3172072</v>
          </cell>
          <cell r="B6462">
            <v>131847</v>
          </cell>
          <cell r="C6462" t="str">
            <v>Christchurch Primary School</v>
          </cell>
          <cell r="D6462" t="str">
            <v>Redbridge</v>
          </cell>
          <cell r="E6462" t="str">
            <v>Community School</v>
          </cell>
          <cell r="F6462" t="str">
            <v>Primary</v>
          </cell>
        </row>
        <row r="6463">
          <cell r="A6463">
            <v>3416040</v>
          </cell>
          <cell r="B6463">
            <v>104730</v>
          </cell>
          <cell r="C6463" t="str">
            <v>Christian Fellowship School</v>
          </cell>
          <cell r="D6463" t="str">
            <v>Liverpool</v>
          </cell>
          <cell r="E6463" t="str">
            <v>Other Independent School</v>
          </cell>
          <cell r="F6463" t="str">
            <v>Not applicable</v>
          </cell>
        </row>
        <row r="6464">
          <cell r="A6464">
            <v>2116388</v>
          </cell>
          <cell r="B6464">
            <v>131667</v>
          </cell>
          <cell r="C6464" t="str">
            <v>Christian Hearts Academy</v>
          </cell>
          <cell r="D6464" t="str">
            <v>Tower Hamlets</v>
          </cell>
          <cell r="E6464" t="str">
            <v>Other Independent School</v>
          </cell>
          <cell r="F6464" t="str">
            <v>Not applicable</v>
          </cell>
        </row>
        <row r="6465">
          <cell r="A6465">
            <v>8653038</v>
          </cell>
          <cell r="B6465">
            <v>126315</v>
          </cell>
          <cell r="C6465" t="str">
            <v>Christian Malford CofE Primary School</v>
          </cell>
          <cell r="D6465" t="str">
            <v>Wiltshire</v>
          </cell>
          <cell r="E6465" t="str">
            <v>Voluntary Controlled School</v>
          </cell>
          <cell r="F6465" t="str">
            <v>Primary</v>
          </cell>
        </row>
        <row r="6466">
          <cell r="A6466">
            <v>2066384</v>
          </cell>
          <cell r="B6466">
            <v>135379</v>
          </cell>
          <cell r="C6466" t="str">
            <v>Christian School of London</v>
          </cell>
          <cell r="D6466" t="str">
            <v>Islington</v>
          </cell>
          <cell r="E6466" t="str">
            <v>Other Independent School</v>
          </cell>
          <cell r="F6466" t="str">
            <v>Not applicable</v>
          </cell>
        </row>
        <row r="6467">
          <cell r="A6467">
            <v>8964149</v>
          </cell>
          <cell r="B6467">
            <v>111421</v>
          </cell>
          <cell r="C6467" t="str">
            <v>Christleton High School</v>
          </cell>
          <cell r="D6467" t="str">
            <v>Cheshire West and Chester</v>
          </cell>
          <cell r="E6467" t="str">
            <v>Foundation School</v>
          </cell>
          <cell r="F6467" t="str">
            <v>Secondary</v>
          </cell>
        </row>
        <row r="6468">
          <cell r="A6468">
            <v>8964149</v>
          </cell>
          <cell r="B6468">
            <v>136645</v>
          </cell>
          <cell r="C6468" t="str">
            <v>Christleton High School</v>
          </cell>
          <cell r="D6468" t="str">
            <v>Cheshire West and Chester</v>
          </cell>
          <cell r="E6468" t="str">
            <v>Academy Converters</v>
          </cell>
          <cell r="F6468" t="str">
            <v>Secondary</v>
          </cell>
        </row>
        <row r="6469">
          <cell r="A6469">
            <v>8962334</v>
          </cell>
          <cell r="B6469">
            <v>111149</v>
          </cell>
          <cell r="C6469" t="str">
            <v>Christleton Primary School</v>
          </cell>
          <cell r="D6469" t="str">
            <v>Cheshire West and Chester</v>
          </cell>
          <cell r="E6469" t="str">
            <v>Community School</v>
          </cell>
          <cell r="F6469" t="str">
            <v>Primary</v>
          </cell>
        </row>
        <row r="6470">
          <cell r="A6470">
            <v>2022842</v>
          </cell>
          <cell r="B6470">
            <v>130342</v>
          </cell>
          <cell r="C6470" t="str">
            <v>Christopher Hatton Primary School</v>
          </cell>
          <cell r="D6470" t="str">
            <v>Camden</v>
          </cell>
          <cell r="E6470" t="str">
            <v>Community School</v>
          </cell>
          <cell r="F6470" t="str">
            <v>Primary</v>
          </cell>
        </row>
        <row r="6471">
          <cell r="A6471">
            <v>9313453</v>
          </cell>
          <cell r="B6471">
            <v>123186</v>
          </cell>
          <cell r="C6471" t="str">
            <v>Christopher Rawlins Church of England Voluntary Aided Primary School</v>
          </cell>
          <cell r="D6471" t="str">
            <v>Oxfordshire</v>
          </cell>
          <cell r="E6471" t="str">
            <v>Voluntary Aided School</v>
          </cell>
          <cell r="F6471" t="str">
            <v>Primary</v>
          </cell>
        </row>
        <row r="6472">
          <cell r="A6472">
            <v>8223326</v>
          </cell>
          <cell r="B6472">
            <v>109622</v>
          </cell>
          <cell r="C6472" t="str">
            <v>Christopher Reeves CofE VA Lower School</v>
          </cell>
          <cell r="D6472" t="str">
            <v>Bedford</v>
          </cell>
          <cell r="E6472" t="str">
            <v>Voluntary Aided School</v>
          </cell>
          <cell r="F6472" t="str">
            <v>Primary</v>
          </cell>
        </row>
        <row r="6473">
          <cell r="A6473">
            <v>8854432</v>
          </cell>
          <cell r="B6473">
            <v>116978</v>
          </cell>
          <cell r="C6473" t="str">
            <v>Christopher Whitehead Language College</v>
          </cell>
          <cell r="D6473" t="str">
            <v>Worcestershire</v>
          </cell>
          <cell r="E6473" t="str">
            <v>Foundation School</v>
          </cell>
          <cell r="F6473" t="str">
            <v>Secondary</v>
          </cell>
        </row>
        <row r="6474">
          <cell r="A6474">
            <v>8854432</v>
          </cell>
          <cell r="B6474">
            <v>136890</v>
          </cell>
          <cell r="C6474" t="str">
            <v>Christopher Whitehead Language College</v>
          </cell>
          <cell r="D6474" t="str">
            <v>Worcestershire</v>
          </cell>
          <cell r="E6474" t="str">
            <v>Academy Converters</v>
          </cell>
          <cell r="F6474" t="str">
            <v>Secondary</v>
          </cell>
        </row>
        <row r="6475">
          <cell r="A6475">
            <v>8782410</v>
          </cell>
          <cell r="B6475">
            <v>113193</v>
          </cell>
          <cell r="C6475" t="str">
            <v>Christow Community School</v>
          </cell>
          <cell r="D6475" t="str">
            <v>Devon</v>
          </cell>
          <cell r="E6475" t="str">
            <v>Community School</v>
          </cell>
          <cell r="F6475" t="str">
            <v>Primary</v>
          </cell>
        </row>
        <row r="6476">
          <cell r="A6476">
            <v>3503303</v>
          </cell>
          <cell r="B6476">
            <v>105215</v>
          </cell>
          <cell r="C6476" t="str">
            <v>Christ's Church CofE Primary School, Harwood</v>
          </cell>
          <cell r="D6476" t="str">
            <v>Bolton</v>
          </cell>
          <cell r="E6476" t="str">
            <v>Voluntary Aided School</v>
          </cell>
          <cell r="F6476" t="str">
            <v>Primary</v>
          </cell>
        </row>
        <row r="6477">
          <cell r="A6477">
            <v>3184603</v>
          </cell>
          <cell r="B6477">
            <v>102929</v>
          </cell>
          <cell r="C6477" t="str">
            <v>Christ's Church of England Comprehensive Secondary School</v>
          </cell>
          <cell r="D6477" t="str">
            <v>Richmond upon Thames</v>
          </cell>
          <cell r="E6477" t="str">
            <v>Voluntary Aided School</v>
          </cell>
          <cell r="F6477" t="str">
            <v>Secondary</v>
          </cell>
        </row>
        <row r="6478">
          <cell r="A6478">
            <v>3024211</v>
          </cell>
          <cell r="B6478">
            <v>101350</v>
          </cell>
          <cell r="C6478" t="str">
            <v>Christ's College Finchley</v>
          </cell>
          <cell r="D6478" t="str">
            <v>Barnet</v>
          </cell>
          <cell r="E6478" t="str">
            <v>Community School</v>
          </cell>
          <cell r="F6478" t="str">
            <v>Secondary</v>
          </cell>
        </row>
        <row r="6479">
          <cell r="A6479">
            <v>3024211</v>
          </cell>
          <cell r="B6479">
            <v>137388</v>
          </cell>
          <cell r="C6479" t="str">
            <v>Christ's College Finchley</v>
          </cell>
          <cell r="D6479" t="str">
            <v>Barnet</v>
          </cell>
          <cell r="E6479" t="str">
            <v>Academy Converters</v>
          </cell>
          <cell r="F6479" t="str">
            <v>Secondary</v>
          </cell>
        </row>
        <row r="6480">
          <cell r="A6480">
            <v>9364028</v>
          </cell>
          <cell r="B6480">
            <v>134120</v>
          </cell>
          <cell r="C6480" t="str">
            <v>Christ's College, Guildford</v>
          </cell>
          <cell r="D6480" t="str">
            <v>Surrey</v>
          </cell>
          <cell r="E6480" t="str">
            <v>Voluntary Aided School</v>
          </cell>
          <cell r="F6480" t="str">
            <v>Secondary</v>
          </cell>
        </row>
        <row r="6481">
          <cell r="A6481">
            <v>9386011</v>
          </cell>
          <cell r="B6481">
            <v>126107</v>
          </cell>
          <cell r="C6481" t="str">
            <v>Christ's Hospital</v>
          </cell>
          <cell r="D6481" t="str">
            <v>West Sussex</v>
          </cell>
          <cell r="E6481" t="str">
            <v>Other Independent School</v>
          </cell>
          <cell r="F6481" t="str">
            <v>Not applicable</v>
          </cell>
        </row>
        <row r="6482">
          <cell r="A6482">
            <v>9386244</v>
          </cell>
          <cell r="B6482">
            <v>130202</v>
          </cell>
          <cell r="C6482" t="str">
            <v>Chrysalis Learning Centre</v>
          </cell>
          <cell r="D6482" t="str">
            <v>West Sussex</v>
          </cell>
          <cell r="E6482" t="str">
            <v>Other Independent School</v>
          </cell>
          <cell r="F6482" t="str">
            <v>Not applicable</v>
          </cell>
        </row>
        <row r="6483">
          <cell r="A6483">
            <v>3736032</v>
          </cell>
          <cell r="B6483">
            <v>135997</v>
          </cell>
          <cell r="C6483" t="str">
            <v>Chrysalis Therapeutic Educational Centre</v>
          </cell>
          <cell r="D6483" t="str">
            <v>Sheffield</v>
          </cell>
          <cell r="E6483" t="str">
            <v>Other Independent Special School</v>
          </cell>
          <cell r="F6483" t="str">
            <v>Not applicable</v>
          </cell>
        </row>
        <row r="6484">
          <cell r="A6484">
            <v>2106386</v>
          </cell>
          <cell r="B6484">
            <v>100870</v>
          </cell>
          <cell r="C6484" t="str">
            <v>Chrysolyte Independent Christian School</v>
          </cell>
          <cell r="D6484" t="str">
            <v>Southwark</v>
          </cell>
          <cell r="E6484" t="str">
            <v>Other Independent School</v>
          </cell>
          <cell r="F6484" t="str">
            <v>Not applicable</v>
          </cell>
        </row>
        <row r="6485">
          <cell r="A6485">
            <v>3352009</v>
          </cell>
          <cell r="B6485">
            <v>104149</v>
          </cell>
          <cell r="C6485" t="str">
            <v>Chuckery Infant School</v>
          </cell>
          <cell r="D6485" t="str">
            <v>Walsall</v>
          </cell>
          <cell r="E6485" t="str">
            <v>Community School</v>
          </cell>
          <cell r="F6485" t="str">
            <v>Primary</v>
          </cell>
        </row>
        <row r="6486">
          <cell r="A6486">
            <v>3352008</v>
          </cell>
          <cell r="B6486">
            <v>104148</v>
          </cell>
          <cell r="C6486" t="str">
            <v>Chuckery Junior School</v>
          </cell>
          <cell r="D6486" t="str">
            <v>Walsall</v>
          </cell>
          <cell r="E6486" t="str">
            <v>Community School</v>
          </cell>
          <cell r="F6486" t="str">
            <v>Primary</v>
          </cell>
        </row>
        <row r="6487">
          <cell r="A6487">
            <v>3352250</v>
          </cell>
          <cell r="B6487">
            <v>132076</v>
          </cell>
          <cell r="C6487" t="str">
            <v>Chuckery Primary School</v>
          </cell>
          <cell r="D6487" t="str">
            <v>Walsall</v>
          </cell>
          <cell r="E6487" t="str">
            <v>Community School</v>
          </cell>
          <cell r="F6487" t="str">
            <v>Primary</v>
          </cell>
        </row>
        <row r="6488">
          <cell r="A6488">
            <v>8783105</v>
          </cell>
          <cell r="B6488">
            <v>113392</v>
          </cell>
          <cell r="C6488" t="str">
            <v>Chudleigh Church of England Community Primary School</v>
          </cell>
          <cell r="D6488" t="str">
            <v>Devon</v>
          </cell>
          <cell r="E6488" t="str">
            <v>Voluntary Controlled School</v>
          </cell>
          <cell r="F6488" t="str">
            <v>Primary</v>
          </cell>
        </row>
        <row r="6489">
          <cell r="A6489">
            <v>8783106</v>
          </cell>
          <cell r="B6489">
            <v>113393</v>
          </cell>
          <cell r="C6489" t="str">
            <v>Chudleigh Knighton Church of England Primary School</v>
          </cell>
          <cell r="D6489" t="str">
            <v>Devon</v>
          </cell>
          <cell r="E6489" t="str">
            <v>Voluntary Controlled School</v>
          </cell>
          <cell r="F6489" t="str">
            <v>Primary</v>
          </cell>
        </row>
        <row r="6490">
          <cell r="A6490">
            <v>8783106</v>
          </cell>
          <cell r="B6490">
            <v>137666</v>
          </cell>
          <cell r="C6490" t="str">
            <v>Chudleigh Knighton Church of England Primary School</v>
          </cell>
          <cell r="D6490" t="str">
            <v>Devon</v>
          </cell>
          <cell r="E6490" t="str">
            <v>Academy Converters</v>
          </cell>
          <cell r="F6490" t="str">
            <v>Primary</v>
          </cell>
        </row>
        <row r="6491">
          <cell r="A6491">
            <v>8784054</v>
          </cell>
          <cell r="B6491">
            <v>113509</v>
          </cell>
          <cell r="C6491" t="str">
            <v>Chulmleigh Community College</v>
          </cell>
          <cell r="D6491" t="str">
            <v>Devon</v>
          </cell>
          <cell r="E6491" t="str">
            <v>Community School</v>
          </cell>
          <cell r="F6491" t="str">
            <v>Secondary</v>
          </cell>
        </row>
        <row r="6492">
          <cell r="A6492">
            <v>8784054</v>
          </cell>
          <cell r="B6492">
            <v>137024</v>
          </cell>
          <cell r="C6492" t="str">
            <v>Chulmleigh Community College</v>
          </cell>
          <cell r="D6492" t="str">
            <v>Devon</v>
          </cell>
          <cell r="E6492" t="str">
            <v>Academy Converters</v>
          </cell>
          <cell r="F6492" t="str">
            <v>Secondary</v>
          </cell>
        </row>
        <row r="6493">
          <cell r="A6493">
            <v>8782219</v>
          </cell>
          <cell r="B6493">
            <v>113142</v>
          </cell>
          <cell r="C6493" t="str">
            <v>Chulmleigh Primary School</v>
          </cell>
          <cell r="D6493" t="str">
            <v>Devon</v>
          </cell>
          <cell r="E6493" t="str">
            <v>Community School</v>
          </cell>
          <cell r="F6493" t="str">
            <v>Primary</v>
          </cell>
        </row>
        <row r="6494">
          <cell r="A6494">
            <v>8782219</v>
          </cell>
          <cell r="B6494">
            <v>137023</v>
          </cell>
          <cell r="C6494" t="str">
            <v>Chulmleigh Primary School</v>
          </cell>
          <cell r="D6494" t="str">
            <v>Devon</v>
          </cell>
          <cell r="E6494" t="str">
            <v>Academy Converters</v>
          </cell>
          <cell r="F6494" t="str">
            <v>Primary</v>
          </cell>
        </row>
        <row r="6495">
          <cell r="A6495">
            <v>8942033</v>
          </cell>
          <cell r="B6495">
            <v>123358</v>
          </cell>
          <cell r="C6495" t="str">
            <v>Church Aston Infant School</v>
          </cell>
          <cell r="D6495" t="str">
            <v>Telford and Wrekin</v>
          </cell>
          <cell r="E6495" t="str">
            <v>Community School</v>
          </cell>
          <cell r="F6495" t="str">
            <v>Primary</v>
          </cell>
        </row>
        <row r="6496">
          <cell r="A6496">
            <v>8303156</v>
          </cell>
          <cell r="B6496">
            <v>112871</v>
          </cell>
          <cell r="C6496" t="str">
            <v>Church Broughton CofE Primary School</v>
          </cell>
          <cell r="D6496" t="str">
            <v>Derbyshire</v>
          </cell>
          <cell r="E6496" t="str">
            <v>Voluntary Controlled School</v>
          </cell>
          <cell r="F6496" t="str">
            <v>Primary</v>
          </cell>
        </row>
        <row r="6497">
          <cell r="A6497">
            <v>8752322</v>
          </cell>
          <cell r="B6497">
            <v>111140</v>
          </cell>
          <cell r="C6497" t="str">
            <v>Church Coppenhall Junior School</v>
          </cell>
          <cell r="D6497" t="str">
            <v>Pre LGR (2009) Cheshire</v>
          </cell>
          <cell r="E6497" t="str">
            <v>Community School</v>
          </cell>
          <cell r="F6497" t="str">
            <v>Primary</v>
          </cell>
        </row>
        <row r="6498">
          <cell r="A6498">
            <v>9313210</v>
          </cell>
          <cell r="B6498">
            <v>123139</v>
          </cell>
          <cell r="C6498" t="str">
            <v>Church Cowley St James Church of England Primary School</v>
          </cell>
          <cell r="D6498" t="str">
            <v>Oxfordshire</v>
          </cell>
          <cell r="E6498" t="str">
            <v>Voluntary Controlled School</v>
          </cell>
          <cell r="F6498" t="str">
            <v>Primary</v>
          </cell>
        </row>
        <row r="6499">
          <cell r="A6499">
            <v>8502229</v>
          </cell>
          <cell r="B6499">
            <v>115976</v>
          </cell>
          <cell r="C6499" t="str">
            <v>Church Crookham Junior School</v>
          </cell>
          <cell r="D6499" t="str">
            <v>Hampshire</v>
          </cell>
          <cell r="E6499" t="str">
            <v>Community School</v>
          </cell>
          <cell r="F6499" t="str">
            <v>Primary</v>
          </cell>
        </row>
        <row r="6500">
          <cell r="A6500">
            <v>3442266</v>
          </cell>
          <cell r="B6500">
            <v>105053</v>
          </cell>
          <cell r="C6500" t="str">
            <v>Church Drive Primary School</v>
          </cell>
          <cell r="D6500" t="str">
            <v>Wirral</v>
          </cell>
          <cell r="E6500" t="str">
            <v>Community School</v>
          </cell>
          <cell r="F6500" t="str">
            <v>Primary</v>
          </cell>
        </row>
        <row r="6501">
          <cell r="A6501">
            <v>8603433</v>
          </cell>
          <cell r="B6501">
            <v>124334</v>
          </cell>
          <cell r="C6501" t="str">
            <v>Church Eaton Endowed (VA) Primary School</v>
          </cell>
          <cell r="D6501" t="str">
            <v>Staffordshire</v>
          </cell>
          <cell r="E6501" t="str">
            <v>Voluntary Aided School</v>
          </cell>
          <cell r="F6501" t="str">
            <v>Primary</v>
          </cell>
        </row>
        <row r="6502">
          <cell r="A6502">
            <v>8232110</v>
          </cell>
          <cell r="B6502">
            <v>109470</v>
          </cell>
          <cell r="C6502" t="str">
            <v>Church End Lower School</v>
          </cell>
          <cell r="D6502" t="str">
            <v>Central Bedfordshire</v>
          </cell>
          <cell r="E6502" t="str">
            <v>Foundation School</v>
          </cell>
          <cell r="F6502" t="str">
            <v>Primary</v>
          </cell>
        </row>
        <row r="6503">
          <cell r="A6503">
            <v>8556011</v>
          </cell>
          <cell r="B6503">
            <v>120338</v>
          </cell>
          <cell r="C6503" t="str">
            <v>Church Farm Grammar School</v>
          </cell>
          <cell r="D6503" t="str">
            <v>Leicestershire</v>
          </cell>
          <cell r="E6503" t="str">
            <v>Other Independent School</v>
          </cell>
          <cell r="F6503" t="str">
            <v>Not applicable</v>
          </cell>
        </row>
        <row r="6504">
          <cell r="A6504">
            <v>3027011</v>
          </cell>
          <cell r="B6504">
            <v>131297</v>
          </cell>
          <cell r="C6504" t="str">
            <v>Church Farm School</v>
          </cell>
          <cell r="D6504" t="str">
            <v>Barnet</v>
          </cell>
          <cell r="E6504" t="str">
            <v>Community Special School</v>
          </cell>
          <cell r="F6504" t="str">
            <v>Special</v>
          </cell>
        </row>
        <row r="6505">
          <cell r="A6505">
            <v>8302251</v>
          </cell>
          <cell r="B6505">
            <v>112634</v>
          </cell>
          <cell r="C6505" t="str">
            <v>Church Gresley Infant and Nursery School</v>
          </cell>
          <cell r="D6505" t="str">
            <v>Derbyshire</v>
          </cell>
          <cell r="E6505" t="str">
            <v>Community School</v>
          </cell>
          <cell r="F6505" t="str">
            <v>Primary</v>
          </cell>
        </row>
        <row r="6506">
          <cell r="A6506">
            <v>8553094</v>
          </cell>
          <cell r="B6506">
            <v>120165</v>
          </cell>
          <cell r="C6506" t="str">
            <v>Church Hill Church of England Junior School</v>
          </cell>
          <cell r="D6506" t="str">
            <v>Leicestershire</v>
          </cell>
          <cell r="E6506" t="str">
            <v>Voluntary Controlled School</v>
          </cell>
          <cell r="F6506" t="str">
            <v>Primary</v>
          </cell>
        </row>
        <row r="6507">
          <cell r="A6507">
            <v>9262194</v>
          </cell>
          <cell r="B6507">
            <v>120872</v>
          </cell>
          <cell r="C6507" t="str">
            <v>Church Hill First School</v>
          </cell>
          <cell r="D6507" t="str">
            <v>Norfolk</v>
          </cell>
          <cell r="E6507" t="str">
            <v>Community School</v>
          </cell>
          <cell r="F6507" t="str">
            <v>Primary</v>
          </cell>
        </row>
        <row r="6508">
          <cell r="A6508">
            <v>9037018</v>
          </cell>
          <cell r="B6508">
            <v>128307</v>
          </cell>
          <cell r="C6508" t="str">
            <v>Church Hill House Hospital School</v>
          </cell>
          <cell r="D6508" t="str">
            <v>Pre LGR (1998) Berkshire</v>
          </cell>
          <cell r="E6508" t="str">
            <v>Community Special School</v>
          </cell>
          <cell r="F6508" t="str">
            <v>Special</v>
          </cell>
        </row>
        <row r="6509">
          <cell r="A6509">
            <v>8552110</v>
          </cell>
          <cell r="B6509">
            <v>119955</v>
          </cell>
          <cell r="C6509" t="str">
            <v>Church Hill Infant School</v>
          </cell>
          <cell r="D6509" t="str">
            <v>Leicestershire</v>
          </cell>
          <cell r="E6509" t="str">
            <v>Community School</v>
          </cell>
          <cell r="F6509" t="str">
            <v>Primary</v>
          </cell>
        </row>
        <row r="6510">
          <cell r="A6510">
            <v>8854427</v>
          </cell>
          <cell r="B6510">
            <v>116974</v>
          </cell>
          <cell r="C6510" t="str">
            <v>Church Hill Middle School</v>
          </cell>
          <cell r="D6510" t="str">
            <v>Worcestershire</v>
          </cell>
          <cell r="E6510" t="str">
            <v>Community School</v>
          </cell>
          <cell r="F6510" t="str">
            <v>Middle Deemed Secondary</v>
          </cell>
        </row>
        <row r="6511">
          <cell r="A6511">
            <v>3201002</v>
          </cell>
          <cell r="B6511">
            <v>103028</v>
          </cell>
          <cell r="C6511" t="str">
            <v>Church Hill Nursery and Childrens Centre</v>
          </cell>
          <cell r="D6511" t="str">
            <v>Waltham Forest</v>
          </cell>
          <cell r="E6511" t="str">
            <v>LA Nursery School</v>
          </cell>
          <cell r="F6511" t="str">
            <v>Nursery</v>
          </cell>
        </row>
        <row r="6512">
          <cell r="A6512">
            <v>3022011</v>
          </cell>
          <cell r="B6512">
            <v>101266</v>
          </cell>
          <cell r="C6512" t="str">
            <v>Church Hill School</v>
          </cell>
          <cell r="D6512" t="str">
            <v>Barnet</v>
          </cell>
          <cell r="E6512" t="str">
            <v>Community School</v>
          </cell>
          <cell r="F6512" t="str">
            <v>Primary</v>
          </cell>
        </row>
        <row r="6513">
          <cell r="A6513">
            <v>9266148</v>
          </cell>
          <cell r="B6513">
            <v>131468</v>
          </cell>
          <cell r="C6513" t="str">
            <v>Church Hill School</v>
          </cell>
          <cell r="D6513" t="str">
            <v>Norfolk</v>
          </cell>
          <cell r="E6513" t="str">
            <v>Other Independent School</v>
          </cell>
          <cell r="F6513" t="str">
            <v>Not applicable</v>
          </cell>
        </row>
        <row r="6514">
          <cell r="A6514">
            <v>9252038</v>
          </cell>
          <cell r="B6514">
            <v>120387</v>
          </cell>
          <cell r="C6514" t="str">
            <v>Church Lane Primary School</v>
          </cell>
          <cell r="D6514" t="str">
            <v>Lincolnshire</v>
          </cell>
          <cell r="E6514" t="str">
            <v>Community School</v>
          </cell>
          <cell r="F6514" t="str">
            <v>Primary</v>
          </cell>
        </row>
        <row r="6515">
          <cell r="A6515">
            <v>3041111</v>
          </cell>
          <cell r="B6515">
            <v>135758</v>
          </cell>
          <cell r="C6515" t="str">
            <v>Church Lane Pupil Referral Unit</v>
          </cell>
          <cell r="D6515" t="str">
            <v>Brent</v>
          </cell>
          <cell r="E6515" t="str">
            <v>Pupil Referral Unit</v>
          </cell>
          <cell r="F6515" t="str">
            <v>PRU</v>
          </cell>
        </row>
        <row r="6516">
          <cell r="A6516">
            <v>8812082</v>
          </cell>
          <cell r="B6516">
            <v>131209</v>
          </cell>
          <cell r="C6516" t="str">
            <v>Church Langley Community Primary School</v>
          </cell>
          <cell r="D6516" t="str">
            <v>Essex</v>
          </cell>
          <cell r="E6516" t="str">
            <v>Community School</v>
          </cell>
          <cell r="F6516" t="str">
            <v>Primary</v>
          </cell>
        </row>
        <row r="6517">
          <cell r="A6517">
            <v>8553332</v>
          </cell>
          <cell r="B6517">
            <v>120207</v>
          </cell>
          <cell r="C6517" t="str">
            <v>Church Langton Church of England Primary School</v>
          </cell>
          <cell r="D6517" t="str">
            <v>Leicestershire</v>
          </cell>
          <cell r="E6517" t="str">
            <v>Voluntary Aided School</v>
          </cell>
          <cell r="F6517" t="str">
            <v>Primary</v>
          </cell>
        </row>
        <row r="6518">
          <cell r="A6518">
            <v>9373175</v>
          </cell>
          <cell r="B6518">
            <v>125669</v>
          </cell>
          <cell r="C6518" t="str">
            <v>Church Lawford CofE First School</v>
          </cell>
          <cell r="D6518" t="str">
            <v>Warwickshire</v>
          </cell>
          <cell r="E6518" t="str">
            <v>Voluntary Controlled School</v>
          </cell>
          <cell r="F6518" t="str">
            <v>Primary</v>
          </cell>
        </row>
        <row r="6519">
          <cell r="A6519">
            <v>8952346</v>
          </cell>
          <cell r="B6519">
            <v>111157</v>
          </cell>
          <cell r="C6519" t="str">
            <v>Church Lawton Primary School</v>
          </cell>
          <cell r="D6519" t="str">
            <v>Cheshire East</v>
          </cell>
          <cell r="E6519" t="str">
            <v>Community School</v>
          </cell>
          <cell r="F6519" t="str">
            <v>Primary</v>
          </cell>
        </row>
        <row r="6520">
          <cell r="A6520">
            <v>8853018</v>
          </cell>
          <cell r="B6520">
            <v>116792</v>
          </cell>
          <cell r="C6520" t="str">
            <v>Church Lench CofE First School</v>
          </cell>
          <cell r="D6520" t="str">
            <v>Worcestershire</v>
          </cell>
          <cell r="E6520" t="str">
            <v>Voluntary Controlled School</v>
          </cell>
          <cell r="F6520" t="str">
            <v>Primary</v>
          </cell>
        </row>
        <row r="6521">
          <cell r="A6521">
            <v>3202012</v>
          </cell>
          <cell r="B6521">
            <v>103040</v>
          </cell>
          <cell r="C6521" t="str">
            <v>Church Mead Junior School</v>
          </cell>
          <cell r="D6521" t="str">
            <v>Waltham Forest</v>
          </cell>
          <cell r="E6521" t="str">
            <v>Community School</v>
          </cell>
          <cell r="F6521" t="str">
            <v>Primary</v>
          </cell>
        </row>
        <row r="6522">
          <cell r="A6522">
            <v>3086065</v>
          </cell>
          <cell r="B6522">
            <v>131634</v>
          </cell>
          <cell r="C6522" t="str">
            <v>Church of God In Trinity (Orthodox)</v>
          </cell>
          <cell r="D6522" t="str">
            <v>Enfield</v>
          </cell>
          <cell r="E6522" t="str">
            <v>Other Independent School</v>
          </cell>
          <cell r="F6522" t="str">
            <v>Not applicable</v>
          </cell>
        </row>
        <row r="6523">
          <cell r="A6523">
            <v>3323007</v>
          </cell>
          <cell r="B6523">
            <v>103835</v>
          </cell>
          <cell r="C6523" t="str">
            <v>Church of the Ascension CofE Primary School</v>
          </cell>
          <cell r="D6523" t="str">
            <v>Dudley</v>
          </cell>
          <cell r="E6523" t="str">
            <v>Voluntary Controlled School</v>
          </cell>
          <cell r="F6523" t="str">
            <v>Primary</v>
          </cell>
        </row>
        <row r="6524">
          <cell r="A6524">
            <v>8932034</v>
          </cell>
          <cell r="B6524">
            <v>123359</v>
          </cell>
          <cell r="C6524" t="str">
            <v>Church Preen Primary School</v>
          </cell>
          <cell r="D6524" t="str">
            <v>Shropshire</v>
          </cell>
          <cell r="E6524" t="str">
            <v>Community School</v>
          </cell>
          <cell r="F6524" t="str">
            <v>Primary</v>
          </cell>
        </row>
        <row r="6525">
          <cell r="A6525">
            <v>3502008</v>
          </cell>
          <cell r="B6525">
            <v>105152</v>
          </cell>
          <cell r="C6525" t="str">
            <v>Church Road Primary School</v>
          </cell>
          <cell r="D6525" t="str">
            <v>Bolton</v>
          </cell>
          <cell r="E6525" t="str">
            <v>Community School</v>
          </cell>
          <cell r="F6525" t="str">
            <v>Primary</v>
          </cell>
        </row>
        <row r="6526">
          <cell r="A6526">
            <v>6771007</v>
          </cell>
          <cell r="B6526">
            <v>400027</v>
          </cell>
          <cell r="C6526" t="str">
            <v>Church Square Nursery School</v>
          </cell>
          <cell r="D6526" t="str">
            <v>Blaenau Gwent</v>
          </cell>
          <cell r="E6526" t="str">
            <v>Welsh Establishment</v>
          </cell>
          <cell r="F6526" t="str">
            <v>Not applicable</v>
          </cell>
        </row>
        <row r="6527">
          <cell r="A6527">
            <v>8934385</v>
          </cell>
          <cell r="B6527">
            <v>123565</v>
          </cell>
          <cell r="C6527" t="str">
            <v>Church Stretton School</v>
          </cell>
          <cell r="D6527" t="str">
            <v>Shropshire</v>
          </cell>
          <cell r="E6527" t="str">
            <v>Community School</v>
          </cell>
          <cell r="F6527" t="str">
            <v>Secondary</v>
          </cell>
        </row>
        <row r="6528">
          <cell r="A6528">
            <v>8912927</v>
          </cell>
          <cell r="B6528">
            <v>122731</v>
          </cell>
          <cell r="C6528" t="str">
            <v>Church Vale Primary School and Foundation Unit</v>
          </cell>
          <cell r="D6528" t="str">
            <v>Nottinghamshire</v>
          </cell>
          <cell r="E6528" t="str">
            <v>Community School</v>
          </cell>
          <cell r="F6528" t="str">
            <v>Primary</v>
          </cell>
        </row>
        <row r="6529">
          <cell r="A6529">
            <v>9302908</v>
          </cell>
          <cell r="B6529">
            <v>129719</v>
          </cell>
          <cell r="C6529" t="str">
            <v>Church Warsop Infant School</v>
          </cell>
          <cell r="D6529" t="str">
            <v>Pre LGR (1998) Nottinghamshire</v>
          </cell>
          <cell r="E6529" t="str">
            <v>Community School</v>
          </cell>
          <cell r="F6529" t="str">
            <v>Primary</v>
          </cell>
        </row>
        <row r="6530">
          <cell r="A6530">
            <v>8883347</v>
          </cell>
          <cell r="B6530">
            <v>119447</v>
          </cell>
          <cell r="C6530" t="str">
            <v>Church, St Nicholas Church of England Primary School</v>
          </cell>
          <cell r="D6530" t="str">
            <v>Lancashire</v>
          </cell>
          <cell r="E6530" t="str">
            <v>Voluntary Aided School</v>
          </cell>
          <cell r="F6530" t="str">
            <v>Primary</v>
          </cell>
        </row>
        <row r="6531">
          <cell r="A6531">
            <v>9162051</v>
          </cell>
          <cell r="B6531">
            <v>115510</v>
          </cell>
          <cell r="C6531" t="str">
            <v>Churcham Primary School</v>
          </cell>
          <cell r="D6531" t="str">
            <v>Gloucestershire</v>
          </cell>
          <cell r="E6531" t="str">
            <v>Community School</v>
          </cell>
          <cell r="F6531" t="str">
            <v>Primary</v>
          </cell>
        </row>
        <row r="6532">
          <cell r="A6532">
            <v>9162122</v>
          </cell>
          <cell r="B6532">
            <v>115564</v>
          </cell>
          <cell r="C6532" t="str">
            <v>Churchdown Parton Manor Junior School</v>
          </cell>
          <cell r="D6532" t="str">
            <v>Gloucestershire</v>
          </cell>
          <cell r="E6532" t="str">
            <v>Community School</v>
          </cell>
          <cell r="F6532" t="str">
            <v>Primary</v>
          </cell>
        </row>
        <row r="6533">
          <cell r="A6533">
            <v>9165409</v>
          </cell>
          <cell r="B6533">
            <v>115760</v>
          </cell>
          <cell r="C6533" t="str">
            <v>Churchdown School</v>
          </cell>
          <cell r="D6533" t="str">
            <v>Gloucestershire</v>
          </cell>
          <cell r="E6533" t="str">
            <v>Foundation School</v>
          </cell>
          <cell r="F6533" t="str">
            <v>Secondary</v>
          </cell>
        </row>
        <row r="6534">
          <cell r="A6534">
            <v>9165409</v>
          </cell>
          <cell r="B6534">
            <v>137634</v>
          </cell>
          <cell r="C6534" t="str">
            <v>Churchdown School</v>
          </cell>
          <cell r="D6534" t="str">
            <v>Gloucestershire</v>
          </cell>
          <cell r="E6534" t="str">
            <v>Academy Converters</v>
          </cell>
          <cell r="F6534" t="str">
            <v>Secondary</v>
          </cell>
        </row>
        <row r="6535">
          <cell r="A6535">
            <v>9162144</v>
          </cell>
          <cell r="B6535">
            <v>115579</v>
          </cell>
          <cell r="C6535" t="str">
            <v>Churchdown Village Infant School</v>
          </cell>
          <cell r="D6535" t="str">
            <v>Gloucestershire</v>
          </cell>
          <cell r="E6535" t="str">
            <v>Community School</v>
          </cell>
          <cell r="F6535" t="str">
            <v>Primary</v>
          </cell>
        </row>
        <row r="6536">
          <cell r="A6536">
            <v>9162144</v>
          </cell>
          <cell r="B6536">
            <v>137173</v>
          </cell>
          <cell r="C6536" t="str">
            <v>Churchdown Village Infant School</v>
          </cell>
          <cell r="D6536" t="str">
            <v>Gloucestershire</v>
          </cell>
          <cell r="E6536" t="str">
            <v>Academy Converters</v>
          </cell>
          <cell r="F6536" t="str">
            <v>Primary</v>
          </cell>
        </row>
        <row r="6537">
          <cell r="A6537">
            <v>9162053</v>
          </cell>
          <cell r="B6537">
            <v>115512</v>
          </cell>
          <cell r="C6537" t="str">
            <v>Churchdown Village Junior School</v>
          </cell>
          <cell r="D6537" t="str">
            <v>Gloucestershire</v>
          </cell>
          <cell r="E6537" t="str">
            <v>Community School</v>
          </cell>
          <cell r="F6537" t="str">
            <v>Primary</v>
          </cell>
        </row>
        <row r="6538">
          <cell r="A6538">
            <v>8702031</v>
          </cell>
          <cell r="B6538">
            <v>136457</v>
          </cell>
          <cell r="C6538" t="str">
            <v>Churchend Primary Academy</v>
          </cell>
          <cell r="D6538" t="str">
            <v>Reading</v>
          </cell>
          <cell r="E6538" t="str">
            <v>Academy Converters</v>
          </cell>
          <cell r="F6538" t="str">
            <v>Primary</v>
          </cell>
        </row>
        <row r="6539">
          <cell r="A6539">
            <v>8702031</v>
          </cell>
          <cell r="B6539">
            <v>109797</v>
          </cell>
          <cell r="C6539" t="str">
            <v>Churchend Primary School</v>
          </cell>
          <cell r="D6539" t="str">
            <v>Reading</v>
          </cell>
          <cell r="E6539" t="str">
            <v>Community School</v>
          </cell>
          <cell r="F6539" t="str">
            <v>Primary</v>
          </cell>
        </row>
        <row r="6540">
          <cell r="A6540">
            <v>8506040</v>
          </cell>
          <cell r="B6540">
            <v>116579</v>
          </cell>
          <cell r="C6540" t="str">
            <v>Churcher's College</v>
          </cell>
          <cell r="D6540" t="str">
            <v>Hampshire</v>
          </cell>
          <cell r="E6540" t="str">
            <v>Other Independent School</v>
          </cell>
          <cell r="F6540" t="str">
            <v>Not applicable</v>
          </cell>
        </row>
        <row r="6541">
          <cell r="A6541">
            <v>8603102</v>
          </cell>
          <cell r="B6541">
            <v>124271</v>
          </cell>
          <cell r="C6541" t="str">
            <v>Churchfield CofE (C) Primary School</v>
          </cell>
          <cell r="D6541" t="str">
            <v>Staffordshire</v>
          </cell>
          <cell r="E6541" t="str">
            <v>Voluntary Controlled School</v>
          </cell>
          <cell r="F6541" t="str">
            <v>Primary</v>
          </cell>
        </row>
        <row r="6542">
          <cell r="A6542">
            <v>9193429</v>
          </cell>
          <cell r="B6542">
            <v>136024</v>
          </cell>
          <cell r="C6542" t="str">
            <v>Churchfield CofE VA Primary</v>
          </cell>
          <cell r="D6542" t="str">
            <v>Hertfordshire</v>
          </cell>
          <cell r="E6542" t="str">
            <v>Voluntary Aided School</v>
          </cell>
          <cell r="F6542" t="str">
            <v>Primary</v>
          </cell>
        </row>
        <row r="6543">
          <cell r="A6543">
            <v>9332009</v>
          </cell>
          <cell r="B6543">
            <v>136073</v>
          </cell>
          <cell r="C6543" t="str">
            <v>Churchfield CofE VC Primary School</v>
          </cell>
          <cell r="D6543" t="str">
            <v>Somerset</v>
          </cell>
          <cell r="E6543" t="str">
            <v>Voluntary Controlled School</v>
          </cell>
          <cell r="F6543" t="str">
            <v>Primary</v>
          </cell>
        </row>
        <row r="6544">
          <cell r="A6544">
            <v>3082079</v>
          </cell>
          <cell r="B6544">
            <v>102019</v>
          </cell>
          <cell r="C6544" t="str">
            <v>Churchfield Primary School</v>
          </cell>
          <cell r="D6544" t="str">
            <v>Enfield</v>
          </cell>
          <cell r="E6544" t="str">
            <v>Community School</v>
          </cell>
          <cell r="F6544" t="str">
            <v>Primary</v>
          </cell>
        </row>
        <row r="6545">
          <cell r="A6545">
            <v>2037198</v>
          </cell>
          <cell r="B6545">
            <v>100211</v>
          </cell>
          <cell r="C6545" t="str">
            <v>Churchfield School</v>
          </cell>
          <cell r="D6545" t="str">
            <v>Greenwich</v>
          </cell>
          <cell r="E6545" t="str">
            <v>Community Special School</v>
          </cell>
          <cell r="F6545" t="str">
            <v>Special</v>
          </cell>
        </row>
        <row r="6546">
          <cell r="A6546">
            <v>8664065</v>
          </cell>
          <cell r="B6546">
            <v>137408</v>
          </cell>
          <cell r="C6546" t="str">
            <v>Churchfields Academy</v>
          </cell>
          <cell r="D6546" t="str">
            <v>Swindon</v>
          </cell>
          <cell r="E6546" t="str">
            <v>Academy Converters</v>
          </cell>
          <cell r="F6546" t="str">
            <v>Secondary</v>
          </cell>
        </row>
        <row r="6547">
          <cell r="A6547">
            <v>3334011</v>
          </cell>
          <cell r="B6547">
            <v>104004</v>
          </cell>
          <cell r="C6547" t="str">
            <v>Churchfields High School</v>
          </cell>
          <cell r="D6547" t="str">
            <v>Sandwell</v>
          </cell>
          <cell r="E6547" t="str">
            <v>Community School</v>
          </cell>
          <cell r="F6547" t="str">
            <v>Secondary</v>
          </cell>
        </row>
        <row r="6548">
          <cell r="A6548">
            <v>3172046</v>
          </cell>
          <cell r="B6548">
            <v>102825</v>
          </cell>
          <cell r="C6548" t="str">
            <v>Churchfields Infants' School</v>
          </cell>
          <cell r="D6548" t="str">
            <v>Redbridge</v>
          </cell>
          <cell r="E6548" t="str">
            <v>Community School</v>
          </cell>
          <cell r="F6548" t="str">
            <v>Primary</v>
          </cell>
        </row>
        <row r="6549">
          <cell r="A6549">
            <v>3173521</v>
          </cell>
          <cell r="B6549">
            <v>133936</v>
          </cell>
          <cell r="C6549" t="str">
            <v>Churchfields Infants' School</v>
          </cell>
          <cell r="D6549" t="str">
            <v>Redbridge</v>
          </cell>
          <cell r="E6549" t="str">
            <v>Community School</v>
          </cell>
          <cell r="F6549" t="str">
            <v>Primary</v>
          </cell>
        </row>
        <row r="6550">
          <cell r="A6550">
            <v>3172045</v>
          </cell>
          <cell r="B6550">
            <v>102824</v>
          </cell>
          <cell r="C6550" t="str">
            <v>Churchfields Junior School</v>
          </cell>
          <cell r="D6550" t="str">
            <v>Redbridge</v>
          </cell>
          <cell r="E6550" t="str">
            <v>Community School</v>
          </cell>
          <cell r="F6550" t="str">
            <v>Primary</v>
          </cell>
        </row>
        <row r="6551">
          <cell r="A6551">
            <v>3173520</v>
          </cell>
          <cell r="B6551">
            <v>133935</v>
          </cell>
          <cell r="C6551" t="str">
            <v>Churchfields Junior School</v>
          </cell>
          <cell r="D6551" t="str">
            <v>Redbridge</v>
          </cell>
          <cell r="E6551" t="str">
            <v>Community School</v>
          </cell>
          <cell r="F6551" t="str">
            <v>Primary</v>
          </cell>
        </row>
        <row r="6552">
          <cell r="A6552">
            <v>9341026</v>
          </cell>
          <cell r="B6552">
            <v>129865</v>
          </cell>
          <cell r="C6552" t="str">
            <v>Churchfields Nursery School</v>
          </cell>
          <cell r="D6552" t="str">
            <v>Pre LGR (1997) Staffordshire</v>
          </cell>
          <cell r="E6552" t="str">
            <v>LA Nursery School</v>
          </cell>
          <cell r="F6552" t="str">
            <v>Nursery</v>
          </cell>
        </row>
        <row r="6553">
          <cell r="A6553">
            <v>3052004</v>
          </cell>
          <cell r="B6553">
            <v>101589</v>
          </cell>
          <cell r="C6553" t="str">
            <v>Churchfields Primary School</v>
          </cell>
          <cell r="D6553" t="str">
            <v>Bromley</v>
          </cell>
          <cell r="E6553" t="str">
            <v>Community School</v>
          </cell>
          <cell r="F6553" t="str">
            <v>Primary</v>
          </cell>
        </row>
        <row r="6554">
          <cell r="A6554">
            <v>8602378</v>
          </cell>
          <cell r="B6554">
            <v>124181</v>
          </cell>
          <cell r="C6554" t="str">
            <v>Churchfields Primary School</v>
          </cell>
          <cell r="D6554" t="str">
            <v>Staffordshire</v>
          </cell>
          <cell r="E6554" t="str">
            <v>Community School</v>
          </cell>
          <cell r="F6554" t="str">
            <v>Primary</v>
          </cell>
        </row>
        <row r="6555">
          <cell r="A6555">
            <v>8664065</v>
          </cell>
          <cell r="B6555">
            <v>126453</v>
          </cell>
          <cell r="C6555" t="str">
            <v>Churchfields School</v>
          </cell>
          <cell r="D6555" t="str">
            <v>Swindon</v>
          </cell>
          <cell r="E6555" t="str">
            <v>Foundation School</v>
          </cell>
          <cell r="F6555" t="str">
            <v>Secondary</v>
          </cell>
        </row>
        <row r="6556">
          <cell r="A6556">
            <v>8653467</v>
          </cell>
          <cell r="B6556">
            <v>130388</v>
          </cell>
          <cell r="C6556" t="str">
            <v>Churchfields, the Village School</v>
          </cell>
          <cell r="D6556" t="str">
            <v>Wiltshire</v>
          </cell>
          <cell r="E6556" t="str">
            <v>Voluntary Controlled School</v>
          </cell>
          <cell r="F6556" t="str">
            <v>Primary</v>
          </cell>
        </row>
        <row r="6557">
          <cell r="A6557">
            <v>8813501</v>
          </cell>
          <cell r="B6557">
            <v>115170</v>
          </cell>
          <cell r="C6557" t="str">
            <v>Churchgate Church of England Voluntary Aided Primary School, Harlow</v>
          </cell>
          <cell r="D6557" t="str">
            <v>Essex</v>
          </cell>
          <cell r="E6557" t="str">
            <v>Voluntary Aided School</v>
          </cell>
          <cell r="F6557" t="str">
            <v>Primary</v>
          </cell>
        </row>
        <row r="6558">
          <cell r="A6558">
            <v>8024139</v>
          </cell>
          <cell r="B6558">
            <v>137000</v>
          </cell>
          <cell r="C6558" t="str">
            <v>Churchill Academy</v>
          </cell>
          <cell r="D6558" t="str">
            <v>North Somerset</v>
          </cell>
          <cell r="E6558" t="str">
            <v>Academy Converters</v>
          </cell>
          <cell r="F6558" t="str">
            <v>Secondary</v>
          </cell>
        </row>
        <row r="6559">
          <cell r="A6559">
            <v>8023113</v>
          </cell>
          <cell r="B6559">
            <v>109215</v>
          </cell>
          <cell r="C6559" t="str">
            <v>Churchill Church of England Primary School</v>
          </cell>
          <cell r="D6559" t="str">
            <v>North Somerset</v>
          </cell>
          <cell r="E6559" t="str">
            <v>Voluntary Controlled School</v>
          </cell>
          <cell r="F6559" t="str">
            <v>Primary</v>
          </cell>
        </row>
        <row r="6560">
          <cell r="A6560">
            <v>8863055</v>
          </cell>
          <cell r="B6560">
            <v>118616</v>
          </cell>
          <cell r="C6560" t="str">
            <v>Churchill Church of England Voluntary Controlled Primary School</v>
          </cell>
          <cell r="D6560" t="str">
            <v>Kent</v>
          </cell>
          <cell r="E6560" t="str">
            <v>Voluntary Controlled School</v>
          </cell>
          <cell r="F6560" t="str">
            <v>Primary</v>
          </cell>
        </row>
        <row r="6561">
          <cell r="A6561">
            <v>3924033</v>
          </cell>
          <cell r="B6561">
            <v>108641</v>
          </cell>
          <cell r="C6561" t="str">
            <v>Churchill Community College</v>
          </cell>
          <cell r="D6561" t="str">
            <v>North Tyneside</v>
          </cell>
          <cell r="E6561" t="str">
            <v>Foundation School</v>
          </cell>
          <cell r="F6561" t="str">
            <v>Secondary</v>
          </cell>
        </row>
        <row r="6562">
          <cell r="A6562">
            <v>8024139</v>
          </cell>
          <cell r="B6562">
            <v>109312</v>
          </cell>
          <cell r="C6562" t="str">
            <v>Churchill Community Foundation School and Sixth Form Centre</v>
          </cell>
          <cell r="D6562" t="str">
            <v>North Somerset</v>
          </cell>
          <cell r="E6562" t="str">
            <v>Foundation School</v>
          </cell>
          <cell r="F6562" t="str">
            <v>Secondary</v>
          </cell>
        </row>
        <row r="6563">
          <cell r="A6563">
            <v>2132113</v>
          </cell>
          <cell r="B6563">
            <v>101109</v>
          </cell>
          <cell r="C6563" t="str">
            <v>Churchill Gardens Community Primary School</v>
          </cell>
          <cell r="D6563" t="str">
            <v>Westminster</v>
          </cell>
          <cell r="E6563" t="str">
            <v>Community School</v>
          </cell>
          <cell r="F6563" t="str">
            <v>Primary</v>
          </cell>
        </row>
        <row r="6564">
          <cell r="A6564">
            <v>2139900</v>
          </cell>
          <cell r="B6564">
            <v>133032</v>
          </cell>
          <cell r="C6564" t="str">
            <v>Churchill Gardens Language Unit</v>
          </cell>
          <cell r="D6564" t="str">
            <v>Westminster</v>
          </cell>
          <cell r="E6564" t="str">
            <v>Miscellaneous</v>
          </cell>
          <cell r="F6564" t="str">
            <v>Not applicable</v>
          </cell>
        </row>
        <row r="6565">
          <cell r="A6565">
            <v>9267021</v>
          </cell>
          <cell r="B6565">
            <v>135119</v>
          </cell>
          <cell r="C6565" t="str">
            <v>Churchill Park Complex Needs School</v>
          </cell>
          <cell r="D6565" t="str">
            <v>Norfolk</v>
          </cell>
          <cell r="E6565" t="str">
            <v>Community Special School</v>
          </cell>
          <cell r="F6565" t="str">
            <v>Special</v>
          </cell>
        </row>
        <row r="6566">
          <cell r="A6566">
            <v>8684084</v>
          </cell>
          <cell r="B6566">
            <v>133580</v>
          </cell>
          <cell r="C6566" t="str">
            <v>Churchmead Church of England (VA) School</v>
          </cell>
          <cell r="D6566" t="str">
            <v>Windsor and Maidenhead</v>
          </cell>
          <cell r="E6566" t="str">
            <v>Voluntary Aided School</v>
          </cell>
          <cell r="F6566" t="str">
            <v>Secondary</v>
          </cell>
        </row>
        <row r="6567">
          <cell r="A6567">
            <v>8684076</v>
          </cell>
          <cell r="B6567">
            <v>110073</v>
          </cell>
          <cell r="C6567" t="str">
            <v>Churchmead School</v>
          </cell>
          <cell r="D6567" t="str">
            <v>Windsor and Maidenhead</v>
          </cell>
          <cell r="E6567" t="str">
            <v>Community School</v>
          </cell>
          <cell r="F6567" t="str">
            <v>Secondary</v>
          </cell>
        </row>
        <row r="6568">
          <cell r="A6568">
            <v>9332203</v>
          </cell>
          <cell r="B6568">
            <v>123701</v>
          </cell>
          <cell r="C6568" t="str">
            <v>Churchstanton Primary School</v>
          </cell>
          <cell r="D6568" t="str">
            <v>Somerset</v>
          </cell>
          <cell r="E6568" t="str">
            <v>Community School</v>
          </cell>
          <cell r="F6568" t="str">
            <v>Primary</v>
          </cell>
        </row>
        <row r="6569">
          <cell r="A6569">
            <v>6662054</v>
          </cell>
          <cell r="B6569">
            <v>400490</v>
          </cell>
          <cell r="C6569" t="str">
            <v>Churchstoke C.P. School</v>
          </cell>
          <cell r="D6569" t="str">
            <v>Powys</v>
          </cell>
          <cell r="E6569" t="str">
            <v>Welsh Establishment</v>
          </cell>
          <cell r="F6569" t="str">
            <v>Primary</v>
          </cell>
        </row>
        <row r="6570">
          <cell r="A6570">
            <v>3432032</v>
          </cell>
          <cell r="B6570">
            <v>104861</v>
          </cell>
          <cell r="C6570" t="str">
            <v>Churchtown Primary School</v>
          </cell>
          <cell r="D6570" t="str">
            <v>Sefton</v>
          </cell>
          <cell r="E6570" t="str">
            <v>Community School</v>
          </cell>
          <cell r="F6570" t="str">
            <v>Primary</v>
          </cell>
        </row>
        <row r="6571">
          <cell r="A6571">
            <v>8452148</v>
          </cell>
          <cell r="B6571">
            <v>114470</v>
          </cell>
          <cell r="C6571" t="str">
            <v>Churchwood Community Primary School</v>
          </cell>
          <cell r="D6571" t="str">
            <v>East Sussex</v>
          </cell>
          <cell r="E6571" t="str">
            <v>Community School</v>
          </cell>
          <cell r="F6571" t="str">
            <v>Primary</v>
          </cell>
        </row>
        <row r="6572">
          <cell r="A6572">
            <v>8604160</v>
          </cell>
          <cell r="B6572">
            <v>124436</v>
          </cell>
          <cell r="C6572" t="str">
            <v>Churnet View Middle School</v>
          </cell>
          <cell r="D6572" t="str">
            <v>Staffordshire</v>
          </cell>
          <cell r="E6572" t="str">
            <v>Community School</v>
          </cell>
          <cell r="F6572" t="str">
            <v>Middle Deemed Secondary</v>
          </cell>
        </row>
        <row r="6573">
          <cell r="A6573">
            <v>8804116</v>
          </cell>
          <cell r="B6573">
            <v>113525</v>
          </cell>
          <cell r="C6573" t="str">
            <v>Churston Ferrers Grammar School</v>
          </cell>
          <cell r="D6573" t="str">
            <v>Torbay</v>
          </cell>
          <cell r="E6573" t="str">
            <v>Foundation School</v>
          </cell>
          <cell r="F6573" t="str">
            <v>Secondary</v>
          </cell>
        </row>
        <row r="6574">
          <cell r="A6574">
            <v>8804116</v>
          </cell>
          <cell r="B6574">
            <v>136388</v>
          </cell>
          <cell r="C6574" t="str">
            <v>Churston Ferrers Grammar School Academy</v>
          </cell>
          <cell r="D6574" t="str">
            <v>Torbay</v>
          </cell>
          <cell r="E6574" t="str">
            <v>Academy Converters</v>
          </cell>
          <cell r="F6574" t="str">
            <v>Secondary</v>
          </cell>
        </row>
        <row r="6575">
          <cell r="A6575">
            <v>3832286</v>
          </cell>
          <cell r="B6575">
            <v>107820</v>
          </cell>
          <cell r="C6575" t="str">
            <v>Churwell Primary School</v>
          </cell>
          <cell r="D6575" t="str">
            <v>Leeds</v>
          </cell>
          <cell r="E6575" t="str">
            <v>Community School</v>
          </cell>
          <cell r="F6575" t="str">
            <v>Primary</v>
          </cell>
        </row>
        <row r="6576">
          <cell r="A6576">
            <v>3934015</v>
          </cell>
          <cell r="B6576">
            <v>128188</v>
          </cell>
          <cell r="C6576" t="str">
            <v>Chuter Ede Comprehensive School</v>
          </cell>
          <cell r="D6576" t="str">
            <v>South Tyneside</v>
          </cell>
          <cell r="E6576" t="str">
            <v>Community School</v>
          </cell>
          <cell r="F6576" t="str">
            <v>Secondary</v>
          </cell>
        </row>
        <row r="6577">
          <cell r="A6577">
            <v>8912674</v>
          </cell>
          <cell r="B6577">
            <v>122612</v>
          </cell>
          <cell r="C6577" t="str">
            <v>Chuter Ede Primary School</v>
          </cell>
          <cell r="D6577" t="str">
            <v>Nottinghamshire</v>
          </cell>
          <cell r="E6577" t="str">
            <v>Community School</v>
          </cell>
          <cell r="F6577" t="str">
            <v>Primary</v>
          </cell>
        </row>
        <row r="6578">
          <cell r="A6578">
            <v>8452094</v>
          </cell>
          <cell r="B6578">
            <v>114426</v>
          </cell>
          <cell r="C6578" t="str">
            <v>Chyngton School</v>
          </cell>
          <cell r="D6578" t="str">
            <v>East Sussex</v>
          </cell>
          <cell r="E6578" t="str">
            <v>Community School</v>
          </cell>
          <cell r="F6578" t="str">
            <v>Primary</v>
          </cell>
        </row>
        <row r="6579">
          <cell r="A6579">
            <v>8607006</v>
          </cell>
          <cell r="B6579">
            <v>124499</v>
          </cell>
          <cell r="C6579" t="str">
            <v>Cicely Haughton School</v>
          </cell>
          <cell r="D6579" t="str">
            <v>Staffordshire</v>
          </cell>
          <cell r="E6579" t="str">
            <v>Community Special School</v>
          </cell>
          <cell r="F6579" t="str">
            <v>Special</v>
          </cell>
        </row>
        <row r="6580">
          <cell r="A6580">
            <v>6702109</v>
          </cell>
          <cell r="B6580">
            <v>400910</v>
          </cell>
          <cell r="C6580" t="str">
            <v>Cila Primary School</v>
          </cell>
          <cell r="D6580" t="str">
            <v>Swansea</v>
          </cell>
          <cell r="E6580" t="str">
            <v>Welsh Establishment</v>
          </cell>
          <cell r="F6580" t="str">
            <v>Primary</v>
          </cell>
        </row>
        <row r="6581">
          <cell r="A6581">
            <v>6672284</v>
          </cell>
          <cell r="B6581">
            <v>400574</v>
          </cell>
          <cell r="C6581" t="str">
            <v>Cilcennin C.P. School</v>
          </cell>
          <cell r="D6581" t="str">
            <v>Ceredigion</v>
          </cell>
          <cell r="E6581" t="str">
            <v>Welsh Establishment</v>
          </cell>
          <cell r="F6581" t="str">
            <v>Primary</v>
          </cell>
        </row>
        <row r="6582">
          <cell r="A6582">
            <v>6696012</v>
          </cell>
          <cell r="B6582">
            <v>402106</v>
          </cell>
          <cell r="C6582" t="str">
            <v>Cilddewi Uchaf</v>
          </cell>
          <cell r="D6582" t="str">
            <v>Carmarthenshire</v>
          </cell>
          <cell r="E6582" t="str">
            <v>Welsh Establishment</v>
          </cell>
          <cell r="F6582" t="str">
            <v>Not applicable</v>
          </cell>
        </row>
        <row r="6583">
          <cell r="A6583">
            <v>6712230</v>
          </cell>
          <cell r="B6583">
            <v>401015</v>
          </cell>
          <cell r="C6583" t="str">
            <v>Cilffriw Primary School</v>
          </cell>
          <cell r="D6583" t="str">
            <v>Neath Port Talbot</v>
          </cell>
          <cell r="E6583" t="str">
            <v>Welsh Establishment</v>
          </cell>
          <cell r="F6583" t="str">
            <v>Primary</v>
          </cell>
        </row>
        <row r="6584">
          <cell r="A6584">
            <v>6742060</v>
          </cell>
          <cell r="B6584">
            <v>401141</v>
          </cell>
          <cell r="C6584" t="str">
            <v>Cilfynydd Primary School</v>
          </cell>
          <cell r="D6584" t="str">
            <v>Rhondda, Cynon, Taff</v>
          </cell>
          <cell r="E6584" t="str">
            <v>Welsh Establishment</v>
          </cell>
          <cell r="F6584" t="str">
            <v>Primary</v>
          </cell>
        </row>
        <row r="6585">
          <cell r="A6585">
            <v>6683035</v>
          </cell>
          <cell r="B6585">
            <v>400705</v>
          </cell>
          <cell r="C6585" t="str">
            <v>Cilgerran V.C.P. School</v>
          </cell>
          <cell r="D6585" t="str">
            <v>Pembrokeshire</v>
          </cell>
          <cell r="E6585" t="str">
            <v>Welsh Establishment</v>
          </cell>
          <cell r="F6585" t="str">
            <v>Primary</v>
          </cell>
        </row>
        <row r="6586">
          <cell r="A6586">
            <v>6693032</v>
          </cell>
          <cell r="B6586">
            <v>400853</v>
          </cell>
          <cell r="C6586" t="str">
            <v>Cilycwm V.C.P.</v>
          </cell>
          <cell r="D6586" t="str">
            <v>Carmarthenshire</v>
          </cell>
          <cell r="E6586" t="str">
            <v>Welsh Establishment</v>
          </cell>
          <cell r="F6586" t="str">
            <v>Primary</v>
          </cell>
        </row>
        <row r="6587">
          <cell r="A6587">
            <v>8773638</v>
          </cell>
          <cell r="B6587">
            <v>111381</v>
          </cell>
          <cell r="C6587" t="str">
            <v>Cinnamon Brow CofE Primary School</v>
          </cell>
          <cell r="D6587" t="str">
            <v>Warrington</v>
          </cell>
          <cell r="E6587" t="str">
            <v>Voluntary Aided School</v>
          </cell>
          <cell r="F6587" t="str">
            <v>Primary</v>
          </cell>
        </row>
        <row r="6588">
          <cell r="A6588">
            <v>8712194</v>
          </cell>
          <cell r="B6588">
            <v>109901</v>
          </cell>
          <cell r="C6588" t="str">
            <v>Cippenham Infant School</v>
          </cell>
          <cell r="D6588" t="str">
            <v>Slough</v>
          </cell>
          <cell r="E6588" t="str">
            <v>Community School</v>
          </cell>
          <cell r="F6588" t="str">
            <v>Primary</v>
          </cell>
        </row>
        <row r="6589">
          <cell r="A6589">
            <v>8711022</v>
          </cell>
          <cell r="B6589">
            <v>109762</v>
          </cell>
          <cell r="C6589" t="str">
            <v>Cippenham Nursery School</v>
          </cell>
          <cell r="D6589" t="str">
            <v>Slough</v>
          </cell>
          <cell r="E6589" t="str">
            <v>LA Nursery School</v>
          </cell>
          <cell r="F6589" t="str">
            <v>Nursery</v>
          </cell>
        </row>
        <row r="6590">
          <cell r="A6590">
            <v>8715200</v>
          </cell>
          <cell r="B6590">
            <v>110088</v>
          </cell>
          <cell r="C6590" t="str">
            <v>Cippenham Primary School</v>
          </cell>
          <cell r="D6590" t="str">
            <v>Slough</v>
          </cell>
          <cell r="E6590" t="str">
            <v>Foundation School</v>
          </cell>
          <cell r="F6590" t="str">
            <v>Primary</v>
          </cell>
        </row>
        <row r="6591">
          <cell r="A6591">
            <v>9165420</v>
          </cell>
          <cell r="B6591">
            <v>115771</v>
          </cell>
          <cell r="C6591" t="str">
            <v>Cirencester Deer Park School</v>
          </cell>
          <cell r="D6591" t="str">
            <v>Gloucestershire</v>
          </cell>
          <cell r="E6591" t="str">
            <v>Foundation School</v>
          </cell>
          <cell r="F6591" t="str">
            <v>Secondary</v>
          </cell>
        </row>
        <row r="6592">
          <cell r="A6592">
            <v>9165420</v>
          </cell>
          <cell r="B6592">
            <v>136527</v>
          </cell>
          <cell r="C6592" t="str">
            <v>Cirencester Deer Park School</v>
          </cell>
          <cell r="D6592" t="str">
            <v>Gloucestershire</v>
          </cell>
          <cell r="E6592" t="str">
            <v>Academy Converters</v>
          </cell>
          <cell r="F6592" t="str">
            <v>Secondary</v>
          </cell>
        </row>
        <row r="6593">
          <cell r="A6593">
            <v>9162055</v>
          </cell>
          <cell r="B6593">
            <v>115514</v>
          </cell>
          <cell r="C6593" t="str">
            <v>Cirencester Infant School</v>
          </cell>
          <cell r="D6593" t="str">
            <v>Gloucestershire</v>
          </cell>
          <cell r="E6593" t="str">
            <v>Community School</v>
          </cell>
          <cell r="F6593" t="str">
            <v>Primary</v>
          </cell>
        </row>
        <row r="6594">
          <cell r="A6594">
            <v>9162054</v>
          </cell>
          <cell r="B6594">
            <v>115513</v>
          </cell>
          <cell r="C6594" t="str">
            <v>Cirencester Junior School</v>
          </cell>
          <cell r="D6594" t="str">
            <v>Gloucestershire</v>
          </cell>
          <cell r="E6594" t="str">
            <v>Community School</v>
          </cell>
          <cell r="F6594" t="str">
            <v>Primary</v>
          </cell>
        </row>
        <row r="6595">
          <cell r="A6595">
            <v>9165419</v>
          </cell>
          <cell r="B6595">
            <v>115770</v>
          </cell>
          <cell r="C6595" t="str">
            <v>Cirencester Kingshill School</v>
          </cell>
          <cell r="D6595" t="str">
            <v>Gloucestershire</v>
          </cell>
          <cell r="E6595" t="str">
            <v>Foundation School</v>
          </cell>
          <cell r="F6595" t="str">
            <v>Secondary</v>
          </cell>
        </row>
        <row r="6596">
          <cell r="A6596">
            <v>9165419</v>
          </cell>
          <cell r="B6596">
            <v>137217</v>
          </cell>
          <cell r="C6596" t="str">
            <v>Cirencester Kingshill School</v>
          </cell>
          <cell r="D6596" t="str">
            <v>Gloucestershire</v>
          </cell>
          <cell r="E6596" t="str">
            <v>Academy Converters</v>
          </cell>
          <cell r="F6596" t="str">
            <v>Secondary</v>
          </cell>
        </row>
        <row r="6597">
          <cell r="A6597">
            <v>9163375</v>
          </cell>
          <cell r="B6597">
            <v>135985</v>
          </cell>
          <cell r="C6597" t="str">
            <v>Cirencester Primary School</v>
          </cell>
          <cell r="D6597" t="str">
            <v>Gloucestershire</v>
          </cell>
          <cell r="E6597" t="str">
            <v>Community School</v>
          </cell>
          <cell r="F6597" t="str">
            <v>Primary</v>
          </cell>
        </row>
        <row r="6598">
          <cell r="A6598">
            <v>9168008</v>
          </cell>
          <cell r="B6598">
            <v>130686</v>
          </cell>
          <cell r="C6598" t="str">
            <v>Cirencester Tertiary College</v>
          </cell>
          <cell r="D6598" t="str">
            <v>Gloucestershire</v>
          </cell>
          <cell r="E6598" t="str">
            <v>Further Education</v>
          </cell>
          <cell r="F6598" t="str">
            <v>16 Plus</v>
          </cell>
        </row>
        <row r="6599">
          <cell r="A6599">
            <v>3419900</v>
          </cell>
          <cell r="B6599">
            <v>133004</v>
          </cell>
          <cell r="C6599" t="str">
            <v>Cities in Schools at Unit 302</v>
          </cell>
          <cell r="D6599" t="str">
            <v>Liverpool</v>
          </cell>
          <cell r="E6599" t="str">
            <v>Miscellaneous</v>
          </cell>
          <cell r="F6599" t="str">
            <v>Not applicable</v>
          </cell>
        </row>
        <row r="6600">
          <cell r="A6600">
            <v>8266008</v>
          </cell>
          <cell r="B6600">
            <v>134392</v>
          </cell>
          <cell r="C6600" t="str">
            <v>Citischool</v>
          </cell>
          <cell r="D6600" t="str">
            <v>Milton Keynes</v>
          </cell>
          <cell r="E6600" t="str">
            <v>Other Independent School</v>
          </cell>
          <cell r="F6600" t="str">
            <v>Not applicable</v>
          </cell>
        </row>
        <row r="6601">
          <cell r="A6601">
            <v>9266906</v>
          </cell>
          <cell r="B6601">
            <v>135904</v>
          </cell>
          <cell r="C6601" t="str">
            <v>City Academy Norwich</v>
          </cell>
          <cell r="D6601" t="str">
            <v>Norfolk</v>
          </cell>
          <cell r="E6601" t="str">
            <v>Academy Sponsor Led</v>
          </cell>
          <cell r="F6601" t="str">
            <v>Secondary</v>
          </cell>
        </row>
        <row r="6602">
          <cell r="A6602">
            <v>2068033</v>
          </cell>
          <cell r="B6602">
            <v>130409</v>
          </cell>
          <cell r="C6602" t="str">
            <v>City and Islington College</v>
          </cell>
          <cell r="D6602" t="str">
            <v>Islington</v>
          </cell>
          <cell r="E6602" t="str">
            <v>Further Education</v>
          </cell>
          <cell r="F6602" t="str">
            <v>16 Plus</v>
          </cell>
        </row>
        <row r="6603">
          <cell r="A6603">
            <v>3418016</v>
          </cell>
          <cell r="B6603">
            <v>133191</v>
          </cell>
          <cell r="C6603" t="str">
            <v>City College</v>
          </cell>
          <cell r="D6603" t="str">
            <v>Liverpool</v>
          </cell>
          <cell r="E6603" t="str">
            <v>Miscellaneous</v>
          </cell>
          <cell r="F6603" t="str">
            <v>Not applicable</v>
          </cell>
        </row>
        <row r="6604">
          <cell r="A6604">
            <v>8468002</v>
          </cell>
          <cell r="B6604">
            <v>130663</v>
          </cell>
          <cell r="C6604" t="str">
            <v>City College Brighton and Hove</v>
          </cell>
          <cell r="D6604" t="str">
            <v>Brighton and Hove</v>
          </cell>
          <cell r="E6604" t="str">
            <v>Further Education</v>
          </cell>
          <cell r="F6604" t="str">
            <v>16 Plus</v>
          </cell>
        </row>
        <row r="6605">
          <cell r="A6605">
            <v>3318003</v>
          </cell>
          <cell r="B6605">
            <v>130473</v>
          </cell>
          <cell r="C6605" t="str">
            <v>City College Coventry</v>
          </cell>
          <cell r="D6605" t="str">
            <v>Coventry</v>
          </cell>
          <cell r="E6605" t="str">
            <v>Further Education</v>
          </cell>
          <cell r="F6605" t="str">
            <v>16 Plus</v>
          </cell>
        </row>
        <row r="6606">
          <cell r="A6606">
            <v>3528016</v>
          </cell>
          <cell r="B6606">
            <v>130501</v>
          </cell>
          <cell r="C6606" t="str">
            <v>City College Manchester</v>
          </cell>
          <cell r="D6606" t="str">
            <v>Manchester</v>
          </cell>
          <cell r="E6606" t="str">
            <v>Further Education</v>
          </cell>
          <cell r="F6606" t="str">
            <v>16 Plus</v>
          </cell>
        </row>
        <row r="6607">
          <cell r="A6607">
            <v>8798005</v>
          </cell>
          <cell r="B6607">
            <v>130649</v>
          </cell>
          <cell r="C6607" t="str">
            <v>City College Plymouth</v>
          </cell>
          <cell r="D6607" t="str">
            <v>Plymouth</v>
          </cell>
          <cell r="E6607" t="str">
            <v>Further Education</v>
          </cell>
          <cell r="F6607" t="str">
            <v>16 Plus</v>
          </cell>
        </row>
        <row r="6608">
          <cell r="A6608">
            <v>3308023</v>
          </cell>
          <cell r="B6608">
            <v>130465</v>
          </cell>
          <cell r="C6608" t="str">
            <v>City College, Birmingham</v>
          </cell>
          <cell r="D6608" t="str">
            <v>Birmingham</v>
          </cell>
          <cell r="E6608" t="str">
            <v>Further Education</v>
          </cell>
          <cell r="F6608" t="str">
            <v>16 Plus</v>
          </cell>
        </row>
        <row r="6609">
          <cell r="A6609">
            <v>9307005</v>
          </cell>
          <cell r="B6609">
            <v>129738</v>
          </cell>
          <cell r="C6609" t="str">
            <v>City Hospital School</v>
          </cell>
          <cell r="D6609" t="str">
            <v>Pre LGR (1998) Nottinghamshire</v>
          </cell>
          <cell r="E6609" t="str">
            <v>Community Special School</v>
          </cell>
          <cell r="F6609" t="str">
            <v>Special</v>
          </cell>
        </row>
        <row r="6610">
          <cell r="A6610">
            <v>3307042</v>
          </cell>
          <cell r="B6610">
            <v>131284</v>
          </cell>
          <cell r="C6610" t="str">
            <v>City Hospital Teaching Unit</v>
          </cell>
          <cell r="D6610" t="str">
            <v>Birmingham</v>
          </cell>
          <cell r="E6610" t="str">
            <v>Community Special School</v>
          </cell>
          <cell r="F6610" t="str">
            <v>Special</v>
          </cell>
        </row>
        <row r="6611">
          <cell r="A6611">
            <v>2028016</v>
          </cell>
          <cell r="B6611">
            <v>130401</v>
          </cell>
          <cell r="C6611" t="str">
            <v>City Lit</v>
          </cell>
          <cell r="D6611" t="str">
            <v>Camden</v>
          </cell>
          <cell r="E6611" t="str">
            <v>Further Education</v>
          </cell>
          <cell r="F6611" t="str">
            <v>16 Plus</v>
          </cell>
        </row>
        <row r="6612">
          <cell r="A6612">
            <v>8008009</v>
          </cell>
          <cell r="B6612">
            <v>130558</v>
          </cell>
          <cell r="C6612" t="str">
            <v>City of Bath College</v>
          </cell>
          <cell r="D6612" t="str">
            <v>Bath and North East Somerset</v>
          </cell>
          <cell r="E6612" t="str">
            <v>Further Education</v>
          </cell>
          <cell r="F6612" t="str">
            <v>16 Plus</v>
          </cell>
        </row>
        <row r="6613">
          <cell r="A6613">
            <v>8018008</v>
          </cell>
          <cell r="B6613">
            <v>131094</v>
          </cell>
          <cell r="C6613" t="str">
            <v>City of Bristol College</v>
          </cell>
          <cell r="D6613" t="str">
            <v>Bristol City of</v>
          </cell>
          <cell r="E6613" t="str">
            <v>Further Education</v>
          </cell>
          <cell r="F6613" t="str">
            <v>16 Plus</v>
          </cell>
        </row>
        <row r="6614">
          <cell r="A6614">
            <v>3834031</v>
          </cell>
          <cell r="B6614">
            <v>108056</v>
          </cell>
          <cell r="C6614" t="str">
            <v>City of Leeds School</v>
          </cell>
          <cell r="D6614" t="str">
            <v>Leeds</v>
          </cell>
          <cell r="E6614" t="str">
            <v>Community School</v>
          </cell>
          <cell r="F6614" t="str">
            <v>Secondary</v>
          </cell>
        </row>
        <row r="6615">
          <cell r="A6615">
            <v>3834008</v>
          </cell>
          <cell r="B6615">
            <v>127954</v>
          </cell>
          <cell r="C6615" t="str">
            <v>City of Leeds School</v>
          </cell>
          <cell r="D6615" t="str">
            <v>Leeds</v>
          </cell>
          <cell r="E6615" t="str">
            <v>Community School</v>
          </cell>
          <cell r="F6615" t="str">
            <v>Secondary</v>
          </cell>
        </row>
        <row r="6616">
          <cell r="A6616">
            <v>9244203</v>
          </cell>
          <cell r="B6616">
            <v>129540</v>
          </cell>
          <cell r="C6616" t="str">
            <v>City of Leicester School</v>
          </cell>
          <cell r="D6616" t="str">
            <v>Pre LGR (1997) Leicestershire</v>
          </cell>
          <cell r="E6616" t="str">
            <v>Community School</v>
          </cell>
          <cell r="F6616" t="str">
            <v>Secondary</v>
          </cell>
        </row>
        <row r="6617">
          <cell r="A6617">
            <v>2066906</v>
          </cell>
          <cell r="B6617">
            <v>135587</v>
          </cell>
          <cell r="C6617" t="str">
            <v>City of London Academy - Islington</v>
          </cell>
          <cell r="D6617" t="str">
            <v>Islington</v>
          </cell>
          <cell r="E6617" t="str">
            <v>Academy Sponsor Led</v>
          </cell>
          <cell r="F6617" t="str">
            <v>Secondary</v>
          </cell>
        </row>
        <row r="6618">
          <cell r="A6618">
            <v>2106905</v>
          </cell>
          <cell r="B6618">
            <v>134222</v>
          </cell>
          <cell r="C6618" t="str">
            <v>City of London Academy (Southwark)</v>
          </cell>
          <cell r="D6618" t="str">
            <v>Southwark</v>
          </cell>
          <cell r="E6618" t="str">
            <v>Academy Sponsor Led</v>
          </cell>
          <cell r="F6618" t="str">
            <v>Secondary</v>
          </cell>
        </row>
        <row r="6619">
          <cell r="A6619">
            <v>9366061</v>
          </cell>
          <cell r="B6619">
            <v>125349</v>
          </cell>
          <cell r="C6619" t="str">
            <v>City of London Freemen's School</v>
          </cell>
          <cell r="D6619" t="str">
            <v>Surrey</v>
          </cell>
          <cell r="E6619" t="str">
            <v>Other Independent School</v>
          </cell>
          <cell r="F6619" t="str">
            <v>Not applicable</v>
          </cell>
        </row>
        <row r="6620">
          <cell r="A6620">
            <v>2016007</v>
          </cell>
          <cell r="B6620">
            <v>100003</v>
          </cell>
          <cell r="C6620" t="str">
            <v>City of London School</v>
          </cell>
          <cell r="D6620" t="str">
            <v>City of London</v>
          </cell>
          <cell r="E6620" t="str">
            <v>Other Independent School</v>
          </cell>
          <cell r="F6620" t="str">
            <v>Not applicable</v>
          </cell>
        </row>
        <row r="6621">
          <cell r="A6621">
            <v>2016005</v>
          </cell>
          <cell r="B6621">
            <v>100001</v>
          </cell>
          <cell r="C6621" t="str">
            <v>City of London School for Girls</v>
          </cell>
          <cell r="D6621" t="str">
            <v>City of London</v>
          </cell>
          <cell r="E6621" t="str">
            <v>Other Independent School</v>
          </cell>
          <cell r="F6621" t="str">
            <v>Not applicable</v>
          </cell>
        </row>
        <row r="6622">
          <cell r="A6622">
            <v>9264065</v>
          </cell>
          <cell r="B6622">
            <v>121172</v>
          </cell>
          <cell r="C6622" t="str">
            <v>City of Norwich School</v>
          </cell>
          <cell r="D6622" t="str">
            <v>Norfolk</v>
          </cell>
          <cell r="E6622" t="str">
            <v>Community School</v>
          </cell>
          <cell r="F6622" t="str">
            <v>Secondary</v>
          </cell>
        </row>
        <row r="6623">
          <cell r="A6623">
            <v>8514289</v>
          </cell>
          <cell r="B6623">
            <v>116460</v>
          </cell>
          <cell r="C6623" t="str">
            <v>City of Portsmouth Girls' School</v>
          </cell>
          <cell r="D6623" t="str">
            <v>Portsmouth</v>
          </cell>
          <cell r="E6623" t="str">
            <v>Community School</v>
          </cell>
          <cell r="F6623" t="str">
            <v>Secondary</v>
          </cell>
        </row>
        <row r="6624">
          <cell r="A6624">
            <v>8884004</v>
          </cell>
          <cell r="B6624">
            <v>119709</v>
          </cell>
          <cell r="C6624" t="str">
            <v>City of Preston High School</v>
          </cell>
          <cell r="D6624" t="str">
            <v>Lancashire</v>
          </cell>
          <cell r="E6624" t="str">
            <v>Community School</v>
          </cell>
          <cell r="F6624" t="str">
            <v>Secondary</v>
          </cell>
        </row>
        <row r="6625">
          <cell r="A6625">
            <v>8618600</v>
          </cell>
          <cell r="B6625">
            <v>130817</v>
          </cell>
          <cell r="C6625" t="str">
            <v>City of Stoke-on-Trent Sixth Form College</v>
          </cell>
          <cell r="D6625" t="str">
            <v>Stoke-on-Trent</v>
          </cell>
          <cell r="E6625" t="str">
            <v>Further Education</v>
          </cell>
          <cell r="F6625" t="str">
            <v>16 Plus</v>
          </cell>
        </row>
        <row r="6626">
          <cell r="A6626">
            <v>3948003</v>
          </cell>
          <cell r="B6626">
            <v>131347</v>
          </cell>
          <cell r="C6626" t="str">
            <v>City of Sunderland College</v>
          </cell>
          <cell r="D6626" t="str">
            <v>Sunderland</v>
          </cell>
          <cell r="E6626" t="str">
            <v>Further Education</v>
          </cell>
          <cell r="F6626" t="str">
            <v>16 Plus</v>
          </cell>
        </row>
        <row r="6627">
          <cell r="A6627">
            <v>2138028</v>
          </cell>
          <cell r="B6627">
            <v>130423</v>
          </cell>
          <cell r="C6627" t="str">
            <v>City of Westminster College</v>
          </cell>
          <cell r="D6627" t="str">
            <v>Westminster</v>
          </cell>
          <cell r="E6627" t="str">
            <v>Further Education</v>
          </cell>
          <cell r="F6627" t="str">
            <v>16 Plus</v>
          </cell>
        </row>
        <row r="6628">
          <cell r="A6628">
            <v>3368002</v>
          </cell>
          <cell r="B6628">
            <v>130484</v>
          </cell>
          <cell r="C6628" t="str">
            <v>City of Wolverhampton College</v>
          </cell>
          <cell r="D6628" t="str">
            <v>Wolverhampton</v>
          </cell>
          <cell r="E6628" t="str">
            <v>Further Education</v>
          </cell>
          <cell r="F6628" t="str">
            <v>16 Plus</v>
          </cell>
        </row>
        <row r="6629">
          <cell r="A6629">
            <v>3302044</v>
          </cell>
          <cell r="B6629">
            <v>103181</v>
          </cell>
          <cell r="C6629" t="str">
            <v>City Road Primary School</v>
          </cell>
          <cell r="D6629" t="str">
            <v>Birmingham</v>
          </cell>
          <cell r="E6629" t="str">
            <v>Community School</v>
          </cell>
          <cell r="F6629" t="str">
            <v>Primary</v>
          </cell>
        </row>
        <row r="6630">
          <cell r="A6630">
            <v>206</v>
          </cell>
          <cell r="B6630">
            <v>133815</v>
          </cell>
          <cell r="C6630" t="str">
            <v>City University</v>
          </cell>
          <cell r="D6630" t="str">
            <v>Islington</v>
          </cell>
          <cell r="E6630" t="str">
            <v>Higher Education Institutions</v>
          </cell>
          <cell r="F6630" t="str">
            <v>Not applicable</v>
          </cell>
        </row>
        <row r="6631">
          <cell r="A6631">
            <v>9262410</v>
          </cell>
          <cell r="B6631">
            <v>121012</v>
          </cell>
          <cell r="C6631" t="str">
            <v>Clackclose Community Primary School, Downham Market</v>
          </cell>
          <cell r="D6631" t="str">
            <v>Norfolk</v>
          </cell>
          <cell r="E6631" t="str">
            <v>Community School</v>
          </cell>
          <cell r="F6631" t="str">
            <v>Primary</v>
          </cell>
        </row>
        <row r="6632">
          <cell r="A6632">
            <v>8816910</v>
          </cell>
          <cell r="B6632">
            <v>135957</v>
          </cell>
          <cell r="C6632" t="str">
            <v>Clacton Coastal Academy</v>
          </cell>
          <cell r="D6632" t="str">
            <v>Essex</v>
          </cell>
          <cell r="E6632" t="str">
            <v>Academy Sponsor Led</v>
          </cell>
          <cell r="F6632" t="str">
            <v>Secondary</v>
          </cell>
        </row>
        <row r="6633">
          <cell r="A6633">
            <v>8815444</v>
          </cell>
          <cell r="B6633">
            <v>115360</v>
          </cell>
          <cell r="C6633" t="str">
            <v>Clacton County High School</v>
          </cell>
          <cell r="D6633" t="str">
            <v>Essex</v>
          </cell>
          <cell r="E6633" t="str">
            <v>Foundation School</v>
          </cell>
          <cell r="F6633" t="str">
            <v>Secondary</v>
          </cell>
        </row>
        <row r="6634">
          <cell r="A6634">
            <v>8853019</v>
          </cell>
          <cell r="B6634">
            <v>116793</v>
          </cell>
          <cell r="C6634" t="str">
            <v>Claines CofE Primary School</v>
          </cell>
          <cell r="D6634" t="str">
            <v>Worcestershire</v>
          </cell>
          <cell r="E6634" t="str">
            <v>Voluntary Controlled School</v>
          </cell>
          <cell r="F6634" t="str">
            <v>Primary</v>
          </cell>
        </row>
        <row r="6635">
          <cell r="A6635">
            <v>8686014</v>
          </cell>
          <cell r="B6635">
            <v>110153</v>
          </cell>
          <cell r="C6635" t="str">
            <v>Claires Court Schools</v>
          </cell>
          <cell r="D6635" t="str">
            <v>Windsor and Maidenhead</v>
          </cell>
          <cell r="E6635" t="str">
            <v>Other Independent School</v>
          </cell>
          <cell r="F6635" t="str">
            <v>Not applicable</v>
          </cell>
        </row>
        <row r="6636">
          <cell r="A6636">
            <v>9363408</v>
          </cell>
          <cell r="B6636">
            <v>125199</v>
          </cell>
          <cell r="C6636" t="str">
            <v>Clandon CofE Aided Infant School</v>
          </cell>
          <cell r="D6636" t="str">
            <v>Surrey</v>
          </cell>
          <cell r="E6636" t="str">
            <v>Voluntary Aided School</v>
          </cell>
          <cell r="F6636" t="str">
            <v>Primary</v>
          </cell>
        </row>
        <row r="6637">
          <cell r="A6637">
            <v>8003080</v>
          </cell>
          <cell r="B6637">
            <v>109188</v>
          </cell>
          <cell r="C6637" t="str">
            <v>Clandown CofE Primary School</v>
          </cell>
          <cell r="D6637" t="str">
            <v>Bath and North East Somerset</v>
          </cell>
          <cell r="E6637" t="str">
            <v>Voluntary Controlled School</v>
          </cell>
          <cell r="F6637" t="str">
            <v>Primary</v>
          </cell>
        </row>
        <row r="6638">
          <cell r="A6638">
            <v>9313100</v>
          </cell>
          <cell r="B6638">
            <v>123105</v>
          </cell>
          <cell r="C6638" t="str">
            <v>Clanfield CofE Primary School</v>
          </cell>
          <cell r="D6638" t="str">
            <v>Oxfordshire</v>
          </cell>
          <cell r="E6638" t="str">
            <v>Voluntary Controlled School</v>
          </cell>
          <cell r="F6638" t="str">
            <v>Primary</v>
          </cell>
        </row>
        <row r="6639">
          <cell r="A6639">
            <v>8502040</v>
          </cell>
          <cell r="B6639">
            <v>115876</v>
          </cell>
          <cell r="C6639" t="str">
            <v>Clanfield Junior School</v>
          </cell>
          <cell r="D6639" t="str">
            <v>Hampshire</v>
          </cell>
          <cell r="E6639" t="str">
            <v>Community School</v>
          </cell>
          <cell r="F6639" t="str">
            <v>Primary</v>
          </cell>
        </row>
        <row r="6640">
          <cell r="A6640">
            <v>3834035</v>
          </cell>
          <cell r="B6640">
            <v>127978</v>
          </cell>
          <cell r="C6640" t="str">
            <v>Clapgate Middle School</v>
          </cell>
          <cell r="D6640" t="str">
            <v>Leeds</v>
          </cell>
          <cell r="E6640" t="str">
            <v>Community School</v>
          </cell>
          <cell r="F6640" t="str">
            <v>Middle Deemed Secondary</v>
          </cell>
        </row>
        <row r="6641">
          <cell r="A6641">
            <v>3832482</v>
          </cell>
          <cell r="B6641">
            <v>107958</v>
          </cell>
          <cell r="C6641" t="str">
            <v>Clapgate Primary School</v>
          </cell>
          <cell r="D6641" t="str">
            <v>Leeds</v>
          </cell>
          <cell r="E6641" t="str">
            <v>Community School</v>
          </cell>
          <cell r="F6641" t="str">
            <v>Primary</v>
          </cell>
        </row>
        <row r="6642">
          <cell r="A6642">
            <v>9383007</v>
          </cell>
          <cell r="B6642">
            <v>125977</v>
          </cell>
          <cell r="C6642" t="str">
            <v>Clapham and Patching CofE Primary School</v>
          </cell>
          <cell r="D6642" t="str">
            <v>West Sussex</v>
          </cell>
          <cell r="E6642" t="str">
            <v>Voluntary Controlled School</v>
          </cell>
          <cell r="F6642" t="str">
            <v>Primary</v>
          </cell>
        </row>
        <row r="6643">
          <cell r="A6643">
            <v>8153234</v>
          </cell>
          <cell r="B6643">
            <v>121557</v>
          </cell>
          <cell r="C6643" t="str">
            <v>Clapham Church of England Voluntary Controlled Primary School</v>
          </cell>
          <cell r="D6643" t="str">
            <v>North Yorkshire</v>
          </cell>
          <cell r="E6643" t="str">
            <v>Voluntary Controlled School</v>
          </cell>
          <cell r="F6643" t="str">
            <v>Primary</v>
          </cell>
        </row>
        <row r="6644">
          <cell r="A6644">
            <v>2082115</v>
          </cell>
          <cell r="B6644">
            <v>100560</v>
          </cell>
          <cell r="C6644" t="str">
            <v>Clapham Manor Primary School</v>
          </cell>
          <cell r="D6644" t="str">
            <v>Lambeth</v>
          </cell>
          <cell r="E6644" t="str">
            <v>Community School</v>
          </cell>
          <cell r="F6644" t="str">
            <v>Primary</v>
          </cell>
        </row>
        <row r="6645">
          <cell r="A6645">
            <v>2087057</v>
          </cell>
          <cell r="B6645">
            <v>100656</v>
          </cell>
          <cell r="C6645" t="str">
            <v>Clapham Park School</v>
          </cell>
          <cell r="D6645" t="str">
            <v>Lambeth</v>
          </cell>
          <cell r="E6645" t="str">
            <v>Community Special School</v>
          </cell>
          <cell r="F6645" t="str">
            <v>Special</v>
          </cell>
        </row>
        <row r="6646">
          <cell r="A6646">
            <v>9372312</v>
          </cell>
          <cell r="B6646">
            <v>125554</v>
          </cell>
          <cell r="C6646" t="str">
            <v>Clapham Terrace Community Primary School and Nursery</v>
          </cell>
          <cell r="D6646" t="str">
            <v>Warwickshire</v>
          </cell>
          <cell r="E6646" t="str">
            <v>Community School</v>
          </cell>
          <cell r="F6646" t="str">
            <v>Primary</v>
          </cell>
        </row>
        <row r="6647">
          <cell r="A6647">
            <v>2044302</v>
          </cell>
          <cell r="B6647">
            <v>137442</v>
          </cell>
          <cell r="C6647" t="str">
            <v>Clapton Girls' Academy</v>
          </cell>
          <cell r="D6647" t="str">
            <v>Hackney</v>
          </cell>
          <cell r="E6647" t="str">
            <v>Academy Converters</v>
          </cell>
          <cell r="F6647" t="str">
            <v>Secondary</v>
          </cell>
        </row>
        <row r="6648">
          <cell r="A6648">
            <v>2044302</v>
          </cell>
          <cell r="B6648">
            <v>100278</v>
          </cell>
          <cell r="C6648" t="str">
            <v>Clapton Girls' Technology College</v>
          </cell>
          <cell r="D6648" t="str">
            <v>Hackney</v>
          </cell>
          <cell r="E6648" t="str">
            <v>Community School</v>
          </cell>
          <cell r="F6648" t="str">
            <v>Secondary</v>
          </cell>
        </row>
        <row r="6649">
          <cell r="A6649">
            <v>8912705</v>
          </cell>
          <cell r="B6649">
            <v>122628</v>
          </cell>
          <cell r="C6649" t="str">
            <v>Clarborough Primary School</v>
          </cell>
          <cell r="D6649" t="str">
            <v>Nottinghamshire</v>
          </cell>
          <cell r="E6649" t="str">
            <v>Community School</v>
          </cell>
          <cell r="F6649" t="str">
            <v>Primary</v>
          </cell>
        </row>
        <row r="6650">
          <cell r="A6650">
            <v>9352005</v>
          </cell>
          <cell r="B6650">
            <v>124533</v>
          </cell>
          <cell r="C6650" t="str">
            <v>Clare Community Primary School</v>
          </cell>
          <cell r="D6650" t="str">
            <v>Suffolk</v>
          </cell>
          <cell r="E6650" t="str">
            <v>Community School</v>
          </cell>
          <cell r="F6650" t="str">
            <v>Primary</v>
          </cell>
        </row>
        <row r="6651">
          <cell r="A6651">
            <v>3814000</v>
          </cell>
          <cell r="B6651">
            <v>127764</v>
          </cell>
          <cell r="C6651" t="str">
            <v>Clare Hall School</v>
          </cell>
          <cell r="D6651" t="str">
            <v>Calderdale</v>
          </cell>
          <cell r="E6651" t="str">
            <v>Community School</v>
          </cell>
          <cell r="F6651" t="str">
            <v>Secondary</v>
          </cell>
        </row>
        <row r="6652">
          <cell r="A6652">
            <v>3052074</v>
          </cell>
          <cell r="B6652">
            <v>101638</v>
          </cell>
          <cell r="C6652" t="str">
            <v>Clare House Primary School</v>
          </cell>
          <cell r="D6652" t="str">
            <v>Bromley</v>
          </cell>
          <cell r="E6652" t="str">
            <v>Community School</v>
          </cell>
          <cell r="F6652" t="str">
            <v>Primary</v>
          </cell>
        </row>
        <row r="6653">
          <cell r="A6653">
            <v>874611</v>
          </cell>
          <cell r="B6653">
            <v>133117</v>
          </cell>
          <cell r="C6653" t="str">
            <v>Clare Lodge</v>
          </cell>
          <cell r="D6653" t="str">
            <v>Peterborough</v>
          </cell>
          <cell r="E6653" t="str">
            <v>Secure Units</v>
          </cell>
          <cell r="F6653" t="str">
            <v>Not applicable</v>
          </cell>
        </row>
        <row r="6654">
          <cell r="A6654">
            <v>9354012</v>
          </cell>
          <cell r="B6654">
            <v>124791</v>
          </cell>
          <cell r="C6654" t="str">
            <v>Clare Middle School</v>
          </cell>
          <cell r="D6654" t="str">
            <v>Suffolk</v>
          </cell>
          <cell r="E6654" t="str">
            <v>Community School</v>
          </cell>
          <cell r="F6654" t="str">
            <v>Middle Deemed Secondary</v>
          </cell>
        </row>
        <row r="6655">
          <cell r="A6655">
            <v>3447001</v>
          </cell>
          <cell r="B6655">
            <v>105129</v>
          </cell>
          <cell r="C6655" t="str">
            <v>Clare Mount Specialist Sports College</v>
          </cell>
          <cell r="D6655" t="str">
            <v>Wirral</v>
          </cell>
          <cell r="E6655" t="str">
            <v>Community Special School</v>
          </cell>
          <cell r="F6655" t="str">
            <v>Special</v>
          </cell>
        </row>
        <row r="6656">
          <cell r="A6656">
            <v>3362042</v>
          </cell>
          <cell r="B6656">
            <v>104310</v>
          </cell>
          <cell r="C6656" t="str">
            <v>Claregate Primary School</v>
          </cell>
          <cell r="D6656" t="str">
            <v>Wolverhampton</v>
          </cell>
          <cell r="E6656" t="str">
            <v>Community School</v>
          </cell>
          <cell r="F6656" t="str">
            <v>Primary</v>
          </cell>
        </row>
        <row r="6657">
          <cell r="A6657">
            <v>8902201</v>
          </cell>
          <cell r="B6657">
            <v>119240</v>
          </cell>
          <cell r="C6657" t="str">
            <v>Claremont Community Primary School</v>
          </cell>
          <cell r="D6657" t="str">
            <v>Blackpool</v>
          </cell>
          <cell r="E6657" t="str">
            <v>Community School</v>
          </cell>
          <cell r="F6657" t="str">
            <v>Primary</v>
          </cell>
        </row>
        <row r="6658">
          <cell r="A6658">
            <v>9366032</v>
          </cell>
          <cell r="B6658">
            <v>125334</v>
          </cell>
          <cell r="C6658" t="str">
            <v>Claremont Fan Court School</v>
          </cell>
          <cell r="D6658" t="str">
            <v>Surrey</v>
          </cell>
          <cell r="E6658" t="str">
            <v>Other Independent School</v>
          </cell>
          <cell r="F6658" t="str">
            <v>Not applicable</v>
          </cell>
        </row>
        <row r="6659">
          <cell r="A6659">
            <v>3045400</v>
          </cell>
          <cell r="B6659">
            <v>101557</v>
          </cell>
          <cell r="C6659" t="str">
            <v>Claremont High School</v>
          </cell>
          <cell r="D6659" t="str">
            <v>Brent</v>
          </cell>
          <cell r="E6659" t="str">
            <v>Foundation School</v>
          </cell>
          <cell r="F6659" t="str">
            <v>Secondary</v>
          </cell>
        </row>
        <row r="6660">
          <cell r="A6660">
            <v>3045400</v>
          </cell>
          <cell r="B6660">
            <v>136656</v>
          </cell>
          <cell r="C6660" t="str">
            <v>Claremont High School</v>
          </cell>
          <cell r="D6660" t="str">
            <v>Brent</v>
          </cell>
          <cell r="E6660" t="str">
            <v>Academy Converters</v>
          </cell>
          <cell r="F6660" t="str">
            <v>Secondary</v>
          </cell>
        </row>
        <row r="6661">
          <cell r="A6661">
            <v>3522315</v>
          </cell>
          <cell r="B6661">
            <v>105477</v>
          </cell>
          <cell r="C6661" t="str">
            <v>Claremont Infant School</v>
          </cell>
          <cell r="D6661" t="str">
            <v>Manchester</v>
          </cell>
          <cell r="E6661" t="str">
            <v>Community School</v>
          </cell>
          <cell r="F6661" t="str">
            <v>Primary</v>
          </cell>
        </row>
        <row r="6662">
          <cell r="A6662">
            <v>9236030</v>
          </cell>
          <cell r="B6662">
            <v>129507</v>
          </cell>
          <cell r="C6662" t="str">
            <v>Claremont Preparatory School</v>
          </cell>
          <cell r="D6662" t="str">
            <v>Pre LGR (1998) Lancashire</v>
          </cell>
          <cell r="E6662" t="str">
            <v>Other Independent School</v>
          </cell>
          <cell r="F6662" t="str">
            <v>Not applicable</v>
          </cell>
        </row>
        <row r="6663">
          <cell r="A6663">
            <v>8922894</v>
          </cell>
          <cell r="B6663">
            <v>122702</v>
          </cell>
          <cell r="C6663" t="str">
            <v>Claremont Primary and Nursery School</v>
          </cell>
          <cell r="D6663" t="str">
            <v>Nottingham</v>
          </cell>
          <cell r="E6663" t="str">
            <v>Community School</v>
          </cell>
          <cell r="F6663" t="str">
            <v>Primary</v>
          </cell>
        </row>
        <row r="6664">
          <cell r="A6664">
            <v>3522068</v>
          </cell>
          <cell r="B6664">
            <v>105408</v>
          </cell>
          <cell r="C6664" t="str">
            <v>Claremont Primary School</v>
          </cell>
          <cell r="D6664" t="str">
            <v>Manchester</v>
          </cell>
          <cell r="E6664" t="str">
            <v>Community School</v>
          </cell>
          <cell r="F6664" t="str">
            <v>Primary</v>
          </cell>
        </row>
        <row r="6665">
          <cell r="A6665">
            <v>8862465</v>
          </cell>
          <cell r="B6665">
            <v>118456</v>
          </cell>
          <cell r="C6665" t="str">
            <v>Claremont Primary School</v>
          </cell>
          <cell r="D6665" t="str">
            <v>Kent</v>
          </cell>
          <cell r="E6665" t="str">
            <v>Community School</v>
          </cell>
          <cell r="F6665" t="str">
            <v>Primary</v>
          </cell>
        </row>
        <row r="6666">
          <cell r="A6666">
            <v>3023522</v>
          </cell>
          <cell r="B6666">
            <v>131750</v>
          </cell>
          <cell r="C6666" t="str">
            <v>Claremont Primary School</v>
          </cell>
          <cell r="D6666" t="str">
            <v>Barnet</v>
          </cell>
          <cell r="E6666" t="str">
            <v>Community School</v>
          </cell>
          <cell r="F6666" t="str">
            <v>Primary</v>
          </cell>
        </row>
        <row r="6667">
          <cell r="A6667">
            <v>8017011</v>
          </cell>
          <cell r="B6667">
            <v>109391</v>
          </cell>
          <cell r="C6667" t="str">
            <v>Claremont School</v>
          </cell>
          <cell r="D6667" t="str">
            <v>Bristol City of</v>
          </cell>
          <cell r="E6667" t="str">
            <v>Community Special School</v>
          </cell>
          <cell r="F6667" t="str">
            <v>Special</v>
          </cell>
        </row>
        <row r="6668">
          <cell r="A6668">
            <v>8456010</v>
          </cell>
          <cell r="B6668">
            <v>114640</v>
          </cell>
          <cell r="C6668" t="str">
            <v>Claremont School</v>
          </cell>
          <cell r="D6668" t="str">
            <v>East Sussex</v>
          </cell>
          <cell r="E6668" t="str">
            <v>Other Independent School</v>
          </cell>
          <cell r="F6668" t="str">
            <v>Not applicable</v>
          </cell>
        </row>
        <row r="6669">
          <cell r="A6669">
            <v>3557005</v>
          </cell>
          <cell r="B6669">
            <v>133076</v>
          </cell>
          <cell r="C6669" t="str">
            <v>Claremont School</v>
          </cell>
          <cell r="D6669" t="str">
            <v>Salford</v>
          </cell>
          <cell r="E6669" t="str">
            <v>Community Special School</v>
          </cell>
          <cell r="F6669" t="str">
            <v>Special</v>
          </cell>
        </row>
        <row r="6670">
          <cell r="A6670">
            <v>3436131</v>
          </cell>
          <cell r="B6670">
            <v>104975</v>
          </cell>
          <cell r="C6670" t="str">
            <v>Clarence High School</v>
          </cell>
          <cell r="D6670" t="str">
            <v>Sefton</v>
          </cell>
          <cell r="E6670" t="str">
            <v>Other Independent Special School</v>
          </cell>
          <cell r="F6670" t="str">
            <v>Not applicable</v>
          </cell>
        </row>
        <row r="6671">
          <cell r="A6671">
            <v>8401002</v>
          </cell>
          <cell r="B6671">
            <v>113967</v>
          </cell>
          <cell r="C6671" t="str">
            <v>Clarence Nursery School</v>
          </cell>
          <cell r="D6671" t="str">
            <v>Durham</v>
          </cell>
          <cell r="E6671" t="str">
            <v>LA Nursery School</v>
          </cell>
          <cell r="F6671" t="str">
            <v>Nursery</v>
          </cell>
        </row>
        <row r="6672">
          <cell r="A6672">
            <v>3416081</v>
          </cell>
          <cell r="B6672">
            <v>135121</v>
          </cell>
          <cell r="C6672" t="str">
            <v>Clarendon College</v>
          </cell>
          <cell r="D6672" t="str">
            <v>Liverpool</v>
          </cell>
          <cell r="E6672" t="str">
            <v>Other Independent School</v>
          </cell>
          <cell r="F6672" t="str">
            <v>Not applicable</v>
          </cell>
        </row>
        <row r="6673">
          <cell r="A6673">
            <v>3556023</v>
          </cell>
          <cell r="B6673">
            <v>106001</v>
          </cell>
          <cell r="C6673" t="str">
            <v>Clarendon Cottage School</v>
          </cell>
          <cell r="D6673" t="str">
            <v>Salford</v>
          </cell>
          <cell r="E6673" t="str">
            <v>Other Independent School</v>
          </cell>
          <cell r="F6673" t="str">
            <v>Not applicable</v>
          </cell>
        </row>
        <row r="6674">
          <cell r="A6674">
            <v>3526039</v>
          </cell>
          <cell r="B6674">
            <v>127425</v>
          </cell>
          <cell r="C6674" t="str">
            <v>Clarendon Cottage School</v>
          </cell>
          <cell r="D6674" t="str">
            <v>Manchester</v>
          </cell>
          <cell r="E6674" t="str">
            <v>Other Independent School</v>
          </cell>
          <cell r="F6674" t="str">
            <v>Not applicable</v>
          </cell>
        </row>
        <row r="6675">
          <cell r="A6675">
            <v>3572029</v>
          </cell>
          <cell r="B6675">
            <v>106196</v>
          </cell>
          <cell r="C6675" t="str">
            <v>Clarendon Fields Primary School</v>
          </cell>
          <cell r="D6675" t="str">
            <v>Tameside</v>
          </cell>
          <cell r="E6675" t="str">
            <v>Community School</v>
          </cell>
          <cell r="F6675" t="str">
            <v>Primary</v>
          </cell>
        </row>
        <row r="6676">
          <cell r="A6676">
            <v>8864118</v>
          </cell>
          <cell r="B6676">
            <v>118809</v>
          </cell>
          <cell r="C6676" t="str">
            <v>Clarendon House Grammar School</v>
          </cell>
          <cell r="D6676" t="str">
            <v>Kent</v>
          </cell>
          <cell r="E6676" t="str">
            <v>Foundation School</v>
          </cell>
          <cell r="F6676" t="str">
            <v>Secondary</v>
          </cell>
        </row>
        <row r="6677">
          <cell r="A6677">
            <v>8655219</v>
          </cell>
          <cell r="B6677">
            <v>126493</v>
          </cell>
          <cell r="C6677" t="str">
            <v>Clarendon Infants' School</v>
          </cell>
          <cell r="D6677" t="str">
            <v>Wiltshire</v>
          </cell>
          <cell r="E6677" t="str">
            <v>Foundation School</v>
          </cell>
          <cell r="F6677" t="str">
            <v>Primary</v>
          </cell>
        </row>
        <row r="6678">
          <cell r="A6678">
            <v>8655218</v>
          </cell>
          <cell r="B6678">
            <v>126492</v>
          </cell>
          <cell r="C6678" t="str">
            <v>Clarendon Junior School</v>
          </cell>
          <cell r="D6678" t="str">
            <v>Wiltshire</v>
          </cell>
          <cell r="E6678" t="str">
            <v>Foundation School</v>
          </cell>
          <cell r="F6678" t="str">
            <v>Primary</v>
          </cell>
        </row>
        <row r="6679">
          <cell r="A6679">
            <v>3502010</v>
          </cell>
          <cell r="B6679">
            <v>105153</v>
          </cell>
          <cell r="C6679" t="str">
            <v>Clarendon Primary School</v>
          </cell>
          <cell r="D6679" t="str">
            <v>Bolton</v>
          </cell>
          <cell r="E6679" t="str">
            <v>Community School</v>
          </cell>
          <cell r="F6679" t="str">
            <v>Primary</v>
          </cell>
        </row>
        <row r="6680">
          <cell r="A6680">
            <v>9362873</v>
          </cell>
          <cell r="B6680">
            <v>125088</v>
          </cell>
          <cell r="C6680" t="str">
            <v>Clarendon Primary School</v>
          </cell>
          <cell r="D6680" t="str">
            <v>Surrey</v>
          </cell>
          <cell r="E6680" t="str">
            <v>Community School</v>
          </cell>
          <cell r="F6680" t="str">
            <v>Primary</v>
          </cell>
        </row>
        <row r="6681">
          <cell r="A6681">
            <v>9202862</v>
          </cell>
          <cell r="B6681">
            <v>129249</v>
          </cell>
          <cell r="C6681" t="str">
            <v>Clarendon Primary School</v>
          </cell>
          <cell r="D6681" t="str">
            <v>Pre LGR (1996) Humberside</v>
          </cell>
          <cell r="E6681" t="str">
            <v>Community School</v>
          </cell>
          <cell r="F6681" t="str">
            <v>Primary</v>
          </cell>
        </row>
        <row r="6682">
          <cell r="A6682">
            <v>3552057</v>
          </cell>
          <cell r="B6682">
            <v>105902</v>
          </cell>
          <cell r="C6682" t="str">
            <v>Clarendon Road Community Primary School</v>
          </cell>
          <cell r="D6682" t="str">
            <v>Salford</v>
          </cell>
          <cell r="E6682" t="str">
            <v>Community School</v>
          </cell>
          <cell r="F6682" t="str">
            <v>Primary</v>
          </cell>
        </row>
        <row r="6683">
          <cell r="A6683">
            <v>3187000</v>
          </cell>
          <cell r="B6683">
            <v>102952</v>
          </cell>
          <cell r="C6683" t="str">
            <v>Clarendon School</v>
          </cell>
          <cell r="D6683" t="str">
            <v>Richmond upon Thames</v>
          </cell>
          <cell r="E6683" t="str">
            <v>Community Special School</v>
          </cell>
          <cell r="F6683" t="str">
            <v>Special</v>
          </cell>
        </row>
        <row r="6684">
          <cell r="A6684">
            <v>9026060</v>
          </cell>
          <cell r="B6684">
            <v>128265</v>
          </cell>
          <cell r="C6684" t="str">
            <v>Clarendon School</v>
          </cell>
          <cell r="D6684" t="str">
            <v>Pre LGR (1997) Bedfordshire</v>
          </cell>
          <cell r="E6684" t="str">
            <v>Other Independent School</v>
          </cell>
          <cell r="F6684" t="str">
            <v>Not applicable</v>
          </cell>
        </row>
        <row r="6685">
          <cell r="A6685">
            <v>8612075</v>
          </cell>
          <cell r="B6685">
            <v>124008</v>
          </cell>
          <cell r="C6685" t="str">
            <v>Clarice Cliff Primary School</v>
          </cell>
          <cell r="D6685" t="str">
            <v>Stoke-on-Trent</v>
          </cell>
          <cell r="E6685" t="str">
            <v>Community School</v>
          </cell>
          <cell r="F6685" t="str">
            <v>Primary</v>
          </cell>
        </row>
        <row r="6686">
          <cell r="A6686">
            <v>3056055</v>
          </cell>
          <cell r="B6686">
            <v>126804</v>
          </cell>
          <cell r="C6686" t="str">
            <v>Clark's College</v>
          </cell>
          <cell r="D6686" t="str">
            <v>Bromley</v>
          </cell>
          <cell r="E6686" t="str">
            <v>Other Independent School</v>
          </cell>
          <cell r="F6686" t="str">
            <v>Not applicable</v>
          </cell>
        </row>
        <row r="6687">
          <cell r="A6687">
            <v>9016012</v>
          </cell>
          <cell r="B6687">
            <v>128238</v>
          </cell>
          <cell r="C6687" t="str">
            <v>Clarks Grammar School</v>
          </cell>
          <cell r="D6687" t="str">
            <v>Pre LGR (1996) Avon</v>
          </cell>
          <cell r="E6687" t="str">
            <v>Other Independent School</v>
          </cell>
          <cell r="F6687" t="str">
            <v>Not applicable</v>
          </cell>
        </row>
        <row r="6688">
          <cell r="A6688">
            <v>3176070</v>
          </cell>
          <cell r="B6688">
            <v>115440</v>
          </cell>
          <cell r="C6688" t="str">
            <v>Clarks Preparatory School</v>
          </cell>
          <cell r="D6688" t="str">
            <v>Redbridge</v>
          </cell>
          <cell r="E6688" t="str">
            <v>Other Independent School</v>
          </cell>
          <cell r="F6688" t="str">
            <v>Not applicable</v>
          </cell>
        </row>
        <row r="6689">
          <cell r="A6689">
            <v>3532005</v>
          </cell>
          <cell r="B6689">
            <v>105629</v>
          </cell>
          <cell r="C6689" t="str">
            <v>Clarksfield Infant and Nursery School</v>
          </cell>
          <cell r="D6689" t="str">
            <v>Oldham</v>
          </cell>
          <cell r="E6689" t="str">
            <v>Community School</v>
          </cell>
          <cell r="F6689" t="str">
            <v>Primary</v>
          </cell>
        </row>
        <row r="6690">
          <cell r="A6690">
            <v>3532004</v>
          </cell>
          <cell r="B6690">
            <v>105628</v>
          </cell>
          <cell r="C6690" t="str">
            <v>Clarksfield Junior School</v>
          </cell>
          <cell r="D6690" t="str">
            <v>Oldham</v>
          </cell>
          <cell r="E6690" t="str">
            <v>Community School</v>
          </cell>
          <cell r="F6690" t="str">
            <v>Primary</v>
          </cell>
        </row>
        <row r="6691">
          <cell r="A6691">
            <v>3532112</v>
          </cell>
          <cell r="B6691">
            <v>133711</v>
          </cell>
          <cell r="C6691" t="str">
            <v>Clarksfield Primary School</v>
          </cell>
          <cell r="D6691" t="str">
            <v>Oldham</v>
          </cell>
          <cell r="E6691" t="str">
            <v>Community School</v>
          </cell>
          <cell r="F6691" t="str">
            <v>Primary</v>
          </cell>
        </row>
        <row r="6692">
          <cell r="A6692">
            <v>8732091</v>
          </cell>
          <cell r="B6692">
            <v>110649</v>
          </cell>
          <cell r="C6692" t="str">
            <v>Clarkson Infants School</v>
          </cell>
          <cell r="D6692" t="str">
            <v>Cambridgeshire</v>
          </cell>
          <cell r="E6692" t="str">
            <v>Community School</v>
          </cell>
          <cell r="F6692" t="str">
            <v>Primary</v>
          </cell>
        </row>
        <row r="6693">
          <cell r="A6693">
            <v>6702073</v>
          </cell>
          <cell r="B6693">
            <v>400893</v>
          </cell>
          <cell r="C6693" t="str">
            <v>Clase Primary School</v>
          </cell>
          <cell r="D6693" t="str">
            <v>Swansea</v>
          </cell>
          <cell r="E6693" t="str">
            <v>Welsh Establishment</v>
          </cell>
          <cell r="F6693" t="str">
            <v>Primary</v>
          </cell>
        </row>
        <row r="6694">
          <cell r="A6694">
            <v>2066373</v>
          </cell>
          <cell r="B6694">
            <v>126636</v>
          </cell>
          <cell r="C6694" t="str">
            <v>Classes Francophones De Londres</v>
          </cell>
          <cell r="D6694" t="str">
            <v>Islington</v>
          </cell>
          <cell r="E6694" t="str">
            <v>Other Independent School</v>
          </cell>
          <cell r="F6694" t="str">
            <v>Not applicable</v>
          </cell>
        </row>
        <row r="6695">
          <cell r="A6695">
            <v>2126392</v>
          </cell>
          <cell r="B6695">
            <v>126700</v>
          </cell>
          <cell r="C6695" t="str">
            <v>Classes Francophones De Londres</v>
          </cell>
          <cell r="D6695" t="str">
            <v>Wandsworth</v>
          </cell>
          <cell r="E6695" t="str">
            <v>Other Independent School</v>
          </cell>
          <cell r="F6695" t="str">
            <v>Not applicable</v>
          </cell>
        </row>
        <row r="6696">
          <cell r="A6696">
            <v>2126393</v>
          </cell>
          <cell r="B6696">
            <v>126701</v>
          </cell>
          <cell r="C6696" t="str">
            <v>Classes Francophones De Londres</v>
          </cell>
          <cell r="D6696" t="str">
            <v>Wandsworth</v>
          </cell>
          <cell r="E6696" t="str">
            <v>Other Independent School</v>
          </cell>
          <cell r="F6696" t="str">
            <v>Not applicable</v>
          </cell>
        </row>
        <row r="6697">
          <cell r="A6697">
            <v>8503396</v>
          </cell>
          <cell r="B6697">
            <v>116373</v>
          </cell>
          <cell r="C6697" t="str">
            <v>Clatford Church of England Primary School</v>
          </cell>
          <cell r="D6697" t="str">
            <v>Hampshire</v>
          </cell>
          <cell r="E6697" t="str">
            <v>Voluntary Aided School</v>
          </cell>
          <cell r="F6697" t="str">
            <v>Primary</v>
          </cell>
        </row>
        <row r="6698">
          <cell r="A6698">
            <v>9211103</v>
          </cell>
          <cell r="B6698">
            <v>133745</v>
          </cell>
          <cell r="C6698" t="str">
            <v>Clatterford Tuition Centre</v>
          </cell>
          <cell r="D6698" t="str">
            <v>Isle of Wight</v>
          </cell>
          <cell r="E6698" t="str">
            <v>Pupil Referral Unit</v>
          </cell>
          <cell r="F6698" t="str">
            <v>PRU</v>
          </cell>
        </row>
        <row r="6699">
          <cell r="A6699">
            <v>9372017</v>
          </cell>
          <cell r="B6699">
            <v>125507</v>
          </cell>
          <cell r="C6699" t="str">
            <v>Claverdon Primary School</v>
          </cell>
          <cell r="D6699" t="str">
            <v>Warwickshire</v>
          </cell>
          <cell r="E6699" t="str">
            <v>Community School</v>
          </cell>
          <cell r="F6699" t="str">
            <v>Primary</v>
          </cell>
        </row>
        <row r="6700">
          <cell r="A6700">
            <v>8454025</v>
          </cell>
          <cell r="B6700">
            <v>114584</v>
          </cell>
          <cell r="C6700" t="str">
            <v>Claverham Community College</v>
          </cell>
          <cell r="D6700" t="str">
            <v>East Sussex</v>
          </cell>
          <cell r="E6700" t="str">
            <v>Community School</v>
          </cell>
          <cell r="F6700" t="str">
            <v>Secondary</v>
          </cell>
        </row>
        <row r="6701">
          <cell r="A6701">
            <v>8052238</v>
          </cell>
          <cell r="B6701">
            <v>111614</v>
          </cell>
          <cell r="C6701" t="str">
            <v>Clavering Primary School</v>
          </cell>
          <cell r="D6701" t="str">
            <v>Hartlepool</v>
          </cell>
          <cell r="E6701" t="str">
            <v>Community School</v>
          </cell>
          <cell r="F6701" t="str">
            <v>Primary</v>
          </cell>
        </row>
        <row r="6702">
          <cell r="A6702">
            <v>8812720</v>
          </cell>
          <cell r="B6702">
            <v>114967</v>
          </cell>
          <cell r="C6702" t="str">
            <v>Clavering Primary School</v>
          </cell>
          <cell r="D6702" t="str">
            <v>Essex</v>
          </cell>
          <cell r="E6702" t="str">
            <v>Community School</v>
          </cell>
          <cell r="F6702" t="str">
            <v>Primary</v>
          </cell>
        </row>
        <row r="6703">
          <cell r="A6703">
            <v>8933311</v>
          </cell>
          <cell r="B6703">
            <v>123539</v>
          </cell>
          <cell r="C6703" t="str">
            <v>Claverley CofE Primary School</v>
          </cell>
          <cell r="D6703" t="str">
            <v>Shropshire</v>
          </cell>
          <cell r="E6703" t="str">
            <v>Voluntary Aided School</v>
          </cell>
          <cell r="F6703" t="str">
            <v>Primary</v>
          </cell>
        </row>
        <row r="6704">
          <cell r="A6704">
            <v>8782220</v>
          </cell>
          <cell r="B6704">
            <v>113143</v>
          </cell>
          <cell r="C6704" t="str">
            <v>Clawton Primary School</v>
          </cell>
          <cell r="D6704" t="str">
            <v>Devon</v>
          </cell>
          <cell r="E6704" t="str">
            <v>Community School</v>
          </cell>
          <cell r="F6704" t="str">
            <v>Primary</v>
          </cell>
        </row>
        <row r="6705">
          <cell r="A6705">
            <v>8302074</v>
          </cell>
          <cell r="B6705">
            <v>112528</v>
          </cell>
          <cell r="C6705" t="str">
            <v>Clay Cross Infant School</v>
          </cell>
          <cell r="D6705" t="str">
            <v>Derbyshire</v>
          </cell>
          <cell r="E6705" t="str">
            <v>Community School</v>
          </cell>
          <cell r="F6705" t="str">
            <v>Primary</v>
          </cell>
        </row>
        <row r="6706">
          <cell r="A6706">
            <v>8302075</v>
          </cell>
          <cell r="B6706">
            <v>112529</v>
          </cell>
          <cell r="C6706" t="str">
            <v>Clay Cross Junior School</v>
          </cell>
          <cell r="D6706" t="str">
            <v>Derbyshire</v>
          </cell>
          <cell r="E6706" t="str">
            <v>Community School</v>
          </cell>
          <cell r="F6706" t="str">
            <v>Primary</v>
          </cell>
        </row>
        <row r="6707">
          <cell r="A6707">
            <v>9367030</v>
          </cell>
          <cell r="B6707">
            <v>130138</v>
          </cell>
          <cell r="C6707" t="str">
            <v>Claybourne School</v>
          </cell>
          <cell r="D6707" t="str">
            <v>Surrey</v>
          </cell>
          <cell r="E6707" t="str">
            <v>Community Special School</v>
          </cell>
          <cell r="F6707" t="str">
            <v>Special</v>
          </cell>
        </row>
        <row r="6708">
          <cell r="A6708">
            <v>8556028</v>
          </cell>
          <cell r="B6708">
            <v>135586</v>
          </cell>
          <cell r="C6708" t="str">
            <v>Claybrook Cottage School</v>
          </cell>
          <cell r="D6708" t="str">
            <v>Leicestershire</v>
          </cell>
          <cell r="E6708" t="str">
            <v>Other Independent Special School</v>
          </cell>
          <cell r="F6708" t="str">
            <v>Not applicable</v>
          </cell>
        </row>
        <row r="6709">
          <cell r="A6709">
            <v>8553052</v>
          </cell>
          <cell r="B6709">
            <v>120140</v>
          </cell>
          <cell r="C6709" t="str">
            <v>Claybrooke Primary School</v>
          </cell>
          <cell r="D6709" t="str">
            <v>Leicestershire</v>
          </cell>
          <cell r="E6709" t="str">
            <v>Voluntary Controlled School</v>
          </cell>
          <cell r="F6709" t="str">
            <v>Primary</v>
          </cell>
        </row>
        <row r="6710">
          <cell r="A6710">
            <v>8712209</v>
          </cell>
          <cell r="B6710">
            <v>109909</v>
          </cell>
          <cell r="C6710" t="str">
            <v>Claycots Junior School</v>
          </cell>
          <cell r="D6710" t="str">
            <v>Slough</v>
          </cell>
          <cell r="E6710" t="str">
            <v>Community School</v>
          </cell>
          <cell r="F6710" t="str">
            <v>Middle Deemed Primary</v>
          </cell>
        </row>
        <row r="6711">
          <cell r="A6711">
            <v>8712210</v>
          </cell>
          <cell r="B6711">
            <v>109910</v>
          </cell>
          <cell r="C6711" t="str">
            <v>Claycots Nursery and Infant School</v>
          </cell>
          <cell r="D6711" t="str">
            <v>Slough</v>
          </cell>
          <cell r="E6711" t="str">
            <v>Community School</v>
          </cell>
          <cell r="F6711" t="str">
            <v>Primary</v>
          </cell>
        </row>
        <row r="6712">
          <cell r="A6712">
            <v>8712256</v>
          </cell>
          <cell r="B6712">
            <v>132089</v>
          </cell>
          <cell r="C6712" t="str">
            <v>Claycots School</v>
          </cell>
          <cell r="D6712" t="str">
            <v>Slough</v>
          </cell>
          <cell r="E6712" t="str">
            <v>Community School</v>
          </cell>
          <cell r="F6712" t="str">
            <v>Primary</v>
          </cell>
        </row>
        <row r="6713">
          <cell r="A6713">
            <v>9354096</v>
          </cell>
          <cell r="B6713">
            <v>124846</v>
          </cell>
          <cell r="C6713" t="str">
            <v>Claydon High School</v>
          </cell>
          <cell r="D6713" t="str">
            <v>Suffolk</v>
          </cell>
          <cell r="E6713" t="str">
            <v>Foundation School</v>
          </cell>
          <cell r="F6713" t="str">
            <v>Secondary</v>
          </cell>
        </row>
        <row r="6714">
          <cell r="A6714">
            <v>9264074</v>
          </cell>
          <cell r="B6714">
            <v>129627</v>
          </cell>
          <cell r="C6714" t="str">
            <v>Claydon High School</v>
          </cell>
          <cell r="D6714" t="str">
            <v>Norfolk</v>
          </cell>
          <cell r="E6714" t="str">
            <v>Community School</v>
          </cell>
          <cell r="F6714" t="str">
            <v>Secondary</v>
          </cell>
        </row>
        <row r="6715">
          <cell r="A6715">
            <v>9352069</v>
          </cell>
          <cell r="B6715">
            <v>124575</v>
          </cell>
          <cell r="C6715" t="str">
            <v>Claydon Primary School</v>
          </cell>
          <cell r="D6715" t="str">
            <v>Suffolk</v>
          </cell>
          <cell r="E6715" t="str">
            <v>Community School</v>
          </cell>
          <cell r="F6715" t="str">
            <v>Primary</v>
          </cell>
        </row>
        <row r="6716">
          <cell r="A6716">
            <v>8356028</v>
          </cell>
          <cell r="B6716">
            <v>113949</v>
          </cell>
          <cell r="C6716" t="str">
            <v>Clayesmore Preparatory School</v>
          </cell>
          <cell r="D6716" t="str">
            <v>Dorset</v>
          </cell>
          <cell r="E6716" t="str">
            <v>Other Independent School</v>
          </cell>
          <cell r="F6716" t="str">
            <v>Not applicable</v>
          </cell>
        </row>
        <row r="6717">
          <cell r="A6717">
            <v>8356009</v>
          </cell>
          <cell r="B6717">
            <v>113912</v>
          </cell>
          <cell r="C6717" t="str">
            <v>Clayesmore School</v>
          </cell>
          <cell r="D6717" t="str">
            <v>Dorset</v>
          </cell>
          <cell r="E6717" t="str">
            <v>Other Independent School</v>
          </cell>
          <cell r="F6717" t="str">
            <v>Not applicable</v>
          </cell>
        </row>
        <row r="6718">
          <cell r="A6718">
            <v>891611</v>
          </cell>
          <cell r="B6718">
            <v>133119</v>
          </cell>
          <cell r="C6718" t="str">
            <v>Clayfield House</v>
          </cell>
          <cell r="D6718" t="str">
            <v>Nottinghamshire</v>
          </cell>
          <cell r="E6718" t="str">
            <v>Secure Units</v>
          </cell>
          <cell r="F6718" t="str">
            <v>Not applicable</v>
          </cell>
        </row>
        <row r="6719">
          <cell r="A6719">
            <v>9362929</v>
          </cell>
          <cell r="B6719">
            <v>125108</v>
          </cell>
          <cell r="C6719" t="str">
            <v>Claygate Primary School</v>
          </cell>
          <cell r="D6719" t="str">
            <v>Surrey</v>
          </cell>
          <cell r="E6719" t="str">
            <v>Community School</v>
          </cell>
          <cell r="F6719" t="str">
            <v>Primary</v>
          </cell>
        </row>
        <row r="6720">
          <cell r="A6720">
            <v>3502073</v>
          </cell>
          <cell r="B6720">
            <v>105195</v>
          </cell>
          <cell r="C6720" t="str">
            <v>Claypool Primary School</v>
          </cell>
          <cell r="D6720" t="str">
            <v>Bolton</v>
          </cell>
          <cell r="E6720" t="str">
            <v>Community School</v>
          </cell>
          <cell r="F6720" t="str">
            <v>Primary</v>
          </cell>
        </row>
        <row r="6721">
          <cell r="A6721">
            <v>8882702</v>
          </cell>
          <cell r="B6721">
            <v>119331</v>
          </cell>
          <cell r="C6721" t="str">
            <v>Clayton Brook Primary School</v>
          </cell>
          <cell r="D6721" t="str">
            <v>Lancashire</v>
          </cell>
          <cell r="E6721" t="str">
            <v>Community School</v>
          </cell>
          <cell r="F6721" t="str">
            <v>Primary</v>
          </cell>
        </row>
        <row r="6722">
          <cell r="A6722">
            <v>3803024</v>
          </cell>
          <cell r="B6722">
            <v>107308</v>
          </cell>
          <cell r="C6722" t="str">
            <v>Clayton CofE Primary School</v>
          </cell>
          <cell r="D6722" t="str">
            <v>Bradford</v>
          </cell>
          <cell r="E6722" t="str">
            <v>Voluntary Controlled School</v>
          </cell>
          <cell r="F6722" t="str">
            <v>Primary</v>
          </cell>
        </row>
        <row r="6723">
          <cell r="A6723">
            <v>8604094</v>
          </cell>
          <cell r="B6723">
            <v>124412</v>
          </cell>
          <cell r="C6723" t="str">
            <v>Clayton Hall Business and Language College</v>
          </cell>
          <cell r="D6723" t="str">
            <v>Staffordshire</v>
          </cell>
          <cell r="E6723" t="str">
            <v>Community School</v>
          </cell>
          <cell r="F6723" t="str">
            <v>Secondary</v>
          </cell>
        </row>
        <row r="6724">
          <cell r="A6724">
            <v>3804002</v>
          </cell>
          <cell r="B6724">
            <v>107351</v>
          </cell>
          <cell r="C6724" t="str">
            <v>Clayton Middle School</v>
          </cell>
          <cell r="D6724" t="str">
            <v>Bradford</v>
          </cell>
          <cell r="E6724" t="str">
            <v>Community School</v>
          </cell>
          <cell r="F6724" t="str">
            <v>Middle Deemed Secondary</v>
          </cell>
        </row>
        <row r="6725">
          <cell r="A6725">
            <v>8747022</v>
          </cell>
          <cell r="B6725">
            <v>110950</v>
          </cell>
          <cell r="C6725" t="str">
            <v>Clayton School</v>
          </cell>
          <cell r="D6725" t="str">
            <v>Peterborough</v>
          </cell>
          <cell r="E6725" t="str">
            <v>Community Special School</v>
          </cell>
          <cell r="F6725" t="str">
            <v>Special</v>
          </cell>
        </row>
        <row r="6726">
          <cell r="A6726">
            <v>3802015</v>
          </cell>
          <cell r="B6726">
            <v>107199</v>
          </cell>
          <cell r="C6726" t="str">
            <v>Clayton Village Primary School</v>
          </cell>
          <cell r="D6726" t="str">
            <v>Bradford</v>
          </cell>
          <cell r="E6726" t="str">
            <v>Community School</v>
          </cell>
          <cell r="F6726" t="str">
            <v>Primary</v>
          </cell>
        </row>
        <row r="6727">
          <cell r="A6727">
            <v>8883348</v>
          </cell>
          <cell r="B6727">
            <v>119448</v>
          </cell>
          <cell r="C6727" t="str">
            <v>Clayton-le-Moors All Saints Church of England Primary School</v>
          </cell>
          <cell r="D6727" t="str">
            <v>Lancashire</v>
          </cell>
          <cell r="E6727" t="str">
            <v>Voluntary Aided School</v>
          </cell>
          <cell r="F6727" t="str">
            <v>Primary</v>
          </cell>
        </row>
        <row r="6728">
          <cell r="A6728">
            <v>8883348</v>
          </cell>
          <cell r="B6728">
            <v>137641</v>
          </cell>
          <cell r="C6728" t="str">
            <v>Clayton-le-Moors All Saints Church of England Primary School</v>
          </cell>
          <cell r="D6728" t="str">
            <v>Lancashire</v>
          </cell>
          <cell r="E6728" t="str">
            <v>Academy Converters</v>
          </cell>
          <cell r="F6728" t="str">
            <v>Primary</v>
          </cell>
        </row>
        <row r="6729">
          <cell r="A6729">
            <v>8882105</v>
          </cell>
          <cell r="B6729">
            <v>119186</v>
          </cell>
          <cell r="C6729" t="str">
            <v>Clayton-le-Moors Mount Pleasant Primary School</v>
          </cell>
          <cell r="D6729" t="str">
            <v>Lancashire</v>
          </cell>
          <cell r="E6729" t="str">
            <v>Community School</v>
          </cell>
          <cell r="F6729" t="str">
            <v>Primary</v>
          </cell>
        </row>
        <row r="6730">
          <cell r="A6730">
            <v>8883401</v>
          </cell>
          <cell r="B6730">
            <v>119468</v>
          </cell>
          <cell r="C6730" t="str">
            <v>Clayton-le-Woods Church of England Primary School</v>
          </cell>
          <cell r="D6730" t="str">
            <v>Lancashire</v>
          </cell>
          <cell r="E6730" t="str">
            <v>Voluntary Aided School</v>
          </cell>
          <cell r="F6730" t="str">
            <v>Primary</v>
          </cell>
        </row>
        <row r="6731">
          <cell r="A6731">
            <v>8882636</v>
          </cell>
          <cell r="B6731">
            <v>119318</v>
          </cell>
          <cell r="C6731" t="str">
            <v>Clayton-le-Woods Manor Road Primary School</v>
          </cell>
          <cell r="D6731" t="str">
            <v>Lancashire</v>
          </cell>
          <cell r="E6731" t="str">
            <v>Community School</v>
          </cell>
          <cell r="F6731" t="str">
            <v>Primary</v>
          </cell>
        </row>
        <row r="6732">
          <cell r="A6732">
            <v>9042208</v>
          </cell>
          <cell r="B6732">
            <v>128328</v>
          </cell>
          <cell r="C6732" t="str">
            <v>Claytons Middle School</v>
          </cell>
          <cell r="D6732" t="str">
            <v>Pre LGR (1997) Buckinghamshire</v>
          </cell>
          <cell r="E6732" t="str">
            <v>Community School</v>
          </cell>
          <cell r="F6732" t="str">
            <v>Middle Deemed Primary</v>
          </cell>
        </row>
        <row r="6733">
          <cell r="A6733">
            <v>8252235</v>
          </cell>
          <cell r="B6733">
            <v>110326</v>
          </cell>
          <cell r="C6733" t="str">
            <v>Claytons Primary School</v>
          </cell>
          <cell r="D6733" t="str">
            <v>Buckinghamshire</v>
          </cell>
          <cell r="E6733" t="str">
            <v>Community School</v>
          </cell>
          <cell r="F6733" t="str">
            <v>Primary</v>
          </cell>
        </row>
        <row r="6734">
          <cell r="A6734">
            <v>3931017</v>
          </cell>
          <cell r="B6734">
            <v>108664</v>
          </cell>
          <cell r="C6734" t="str">
            <v>Cleadon Park Nursery School</v>
          </cell>
          <cell r="D6734" t="str">
            <v>South Tyneside</v>
          </cell>
          <cell r="E6734" t="str">
            <v>LA Nursery School</v>
          </cell>
          <cell r="F6734" t="str">
            <v>Nursery</v>
          </cell>
        </row>
        <row r="6735">
          <cell r="A6735">
            <v>3933316</v>
          </cell>
          <cell r="B6735">
            <v>134389</v>
          </cell>
          <cell r="C6735" t="str">
            <v>Cleadon Village Church of England VA Primary School</v>
          </cell>
          <cell r="D6735" t="str">
            <v>South Tyneside</v>
          </cell>
          <cell r="E6735" t="str">
            <v>Voluntary Aided School</v>
          </cell>
          <cell r="F6735" t="str">
            <v>Primary</v>
          </cell>
        </row>
        <row r="6736">
          <cell r="A6736">
            <v>3933005</v>
          </cell>
          <cell r="B6736">
            <v>108710</v>
          </cell>
          <cell r="C6736" t="str">
            <v>Cleadon Village CofE Infants School</v>
          </cell>
          <cell r="D6736" t="str">
            <v>South Tyneside</v>
          </cell>
          <cell r="E6736" t="str">
            <v>Voluntary Controlled School</v>
          </cell>
          <cell r="F6736" t="str">
            <v>Primary</v>
          </cell>
        </row>
        <row r="6737">
          <cell r="A6737">
            <v>3932047</v>
          </cell>
          <cell r="B6737">
            <v>108690</v>
          </cell>
          <cell r="C6737" t="str">
            <v>Cleadon Village Junior School</v>
          </cell>
          <cell r="D6737" t="str">
            <v>South Tyneside</v>
          </cell>
          <cell r="E6737" t="str">
            <v>Community School</v>
          </cell>
          <cell r="F6737" t="str">
            <v>Primary</v>
          </cell>
        </row>
        <row r="6738">
          <cell r="A6738">
            <v>9163053</v>
          </cell>
          <cell r="B6738">
            <v>115638</v>
          </cell>
          <cell r="C6738" t="str">
            <v>Clearwell Church of England Primary School</v>
          </cell>
          <cell r="D6738" t="str">
            <v>Gloucestershire</v>
          </cell>
          <cell r="E6738" t="str">
            <v>Voluntary Controlled School</v>
          </cell>
          <cell r="F6738" t="str">
            <v>Primary</v>
          </cell>
        </row>
        <row r="6739">
          <cell r="A6739">
            <v>9297003</v>
          </cell>
          <cell r="B6739">
            <v>122382</v>
          </cell>
          <cell r="C6739" t="str">
            <v>Cleaswell Hill School</v>
          </cell>
          <cell r="D6739" t="str">
            <v>Northumberland</v>
          </cell>
          <cell r="E6739" t="str">
            <v>Community Special School</v>
          </cell>
          <cell r="F6739" t="str">
            <v>Special</v>
          </cell>
        </row>
        <row r="6740">
          <cell r="A6740">
            <v>9091001</v>
          </cell>
          <cell r="B6740">
            <v>112088</v>
          </cell>
          <cell r="C6740" t="str">
            <v>Cleator Moor Nursery School</v>
          </cell>
          <cell r="D6740" t="str">
            <v>Cumbria</v>
          </cell>
          <cell r="E6740" t="str">
            <v>LA Nursery School</v>
          </cell>
          <cell r="F6740" t="str">
            <v>Nursery</v>
          </cell>
        </row>
        <row r="6741">
          <cell r="A6741">
            <v>8752337</v>
          </cell>
          <cell r="B6741">
            <v>111151</v>
          </cell>
          <cell r="C6741" t="str">
            <v>Cledford Infant and Nursery School</v>
          </cell>
          <cell r="D6741" t="str">
            <v>Pre LGR (2009) Cheshire</v>
          </cell>
          <cell r="E6741" t="str">
            <v>Community School</v>
          </cell>
          <cell r="F6741" t="str">
            <v>Primary</v>
          </cell>
        </row>
        <row r="6742">
          <cell r="A6742">
            <v>8752290</v>
          </cell>
          <cell r="B6742">
            <v>111121</v>
          </cell>
          <cell r="C6742" t="str">
            <v>Cledford Junior School</v>
          </cell>
          <cell r="D6742" t="str">
            <v>Pre LGR (2009) Cheshire</v>
          </cell>
          <cell r="E6742" t="str">
            <v>Community School</v>
          </cell>
          <cell r="F6742" t="str">
            <v>Primary</v>
          </cell>
        </row>
        <row r="6743">
          <cell r="A6743">
            <v>8953821</v>
          </cell>
          <cell r="B6743">
            <v>135567</v>
          </cell>
          <cell r="C6743" t="str">
            <v>Cledford Primary School</v>
          </cell>
          <cell r="D6743" t="str">
            <v>Cheshire East</v>
          </cell>
          <cell r="E6743" t="str">
            <v>Community School</v>
          </cell>
          <cell r="F6743" t="str">
            <v>Primary</v>
          </cell>
        </row>
        <row r="6744">
          <cell r="A6744">
            <v>8932035</v>
          </cell>
          <cell r="B6744">
            <v>123360</v>
          </cell>
          <cell r="C6744" t="str">
            <v>Clee Hill Community Primary School</v>
          </cell>
          <cell r="D6744" t="str">
            <v>Shropshire</v>
          </cell>
          <cell r="E6744" t="str">
            <v>Community School</v>
          </cell>
          <cell r="F6744" t="str">
            <v>Primary</v>
          </cell>
        </row>
        <row r="6745">
          <cell r="A6745">
            <v>8124900</v>
          </cell>
          <cell r="B6745">
            <v>132932</v>
          </cell>
          <cell r="C6745" t="str">
            <v>Cleethorpes Sixth Form</v>
          </cell>
          <cell r="D6745" t="str">
            <v>North East Lincolnshire</v>
          </cell>
          <cell r="E6745" t="str">
            <v>Sixth Form Centres</v>
          </cell>
          <cell r="F6745" t="str">
            <v>16 Plus</v>
          </cell>
        </row>
        <row r="6746">
          <cell r="A6746">
            <v>3034030</v>
          </cell>
          <cell r="B6746">
            <v>101471</v>
          </cell>
          <cell r="C6746" t="str">
            <v>Cleeve Park School</v>
          </cell>
          <cell r="D6746" t="str">
            <v>Bexley</v>
          </cell>
          <cell r="E6746" t="str">
            <v>Community School</v>
          </cell>
          <cell r="F6746" t="str">
            <v>Secondary</v>
          </cell>
        </row>
        <row r="6747">
          <cell r="A6747">
            <v>8102822</v>
          </cell>
          <cell r="B6747">
            <v>117898</v>
          </cell>
          <cell r="C6747" t="str">
            <v>Cleeve Primary School</v>
          </cell>
          <cell r="D6747" t="str">
            <v>Kingston upon Hull City of</v>
          </cell>
          <cell r="E6747" t="str">
            <v>Community School</v>
          </cell>
          <cell r="F6747" t="str">
            <v>Primary</v>
          </cell>
        </row>
        <row r="6748">
          <cell r="A6748">
            <v>8853020</v>
          </cell>
          <cell r="B6748">
            <v>116794</v>
          </cell>
          <cell r="C6748" t="str">
            <v>Cleeve Prior CofE (Controlled) First School</v>
          </cell>
          <cell r="D6748" t="str">
            <v>Worcestershire</v>
          </cell>
          <cell r="E6748" t="str">
            <v>Voluntary Controlled School</v>
          </cell>
          <cell r="F6748" t="str">
            <v>Primary</v>
          </cell>
        </row>
        <row r="6749">
          <cell r="A6749">
            <v>9164024</v>
          </cell>
          <cell r="B6749">
            <v>115722</v>
          </cell>
          <cell r="C6749" t="str">
            <v>Cleeve School</v>
          </cell>
          <cell r="D6749" t="str">
            <v>Gloucestershire</v>
          </cell>
          <cell r="E6749" t="str">
            <v>Foundation School</v>
          </cell>
          <cell r="F6749" t="str">
            <v>Secondary</v>
          </cell>
        </row>
        <row r="6750">
          <cell r="A6750">
            <v>9164024</v>
          </cell>
          <cell r="B6750">
            <v>136772</v>
          </cell>
          <cell r="C6750" t="str">
            <v>Cleeve School</v>
          </cell>
          <cell r="D6750" t="str">
            <v>Gloucestershire</v>
          </cell>
          <cell r="E6750" t="str">
            <v>Academy Converters</v>
          </cell>
          <cell r="F6750" t="str">
            <v>Secondary</v>
          </cell>
        </row>
        <row r="6751">
          <cell r="A6751">
            <v>9162149</v>
          </cell>
          <cell r="B6751">
            <v>115584</v>
          </cell>
          <cell r="C6751" t="str">
            <v>Cleeve View County Infants' School</v>
          </cell>
          <cell r="D6751" t="str">
            <v>Gloucestershire</v>
          </cell>
          <cell r="E6751" t="str">
            <v>Community School</v>
          </cell>
          <cell r="F6751" t="str">
            <v>Primary</v>
          </cell>
        </row>
        <row r="6752">
          <cell r="A6752">
            <v>8843021</v>
          </cell>
          <cell r="B6752">
            <v>116795</v>
          </cell>
          <cell r="C6752" t="str">
            <v>Clehonger CofE Primary School</v>
          </cell>
          <cell r="D6752" t="str">
            <v>Herefordshire</v>
          </cell>
          <cell r="E6752" t="str">
            <v>Voluntary Controlled School</v>
          </cell>
          <cell r="F6752" t="str">
            <v>Primary</v>
          </cell>
        </row>
        <row r="6753">
          <cell r="A6753">
            <v>8866135</v>
          </cell>
          <cell r="B6753">
            <v>136196</v>
          </cell>
          <cell r="C6753" t="str">
            <v>Clementina School</v>
          </cell>
          <cell r="D6753" t="str">
            <v>Kent</v>
          </cell>
          <cell r="E6753" t="str">
            <v>Other Independent Special School</v>
          </cell>
          <cell r="F6753" t="str">
            <v>Not applicable</v>
          </cell>
        </row>
        <row r="6754">
          <cell r="A6754">
            <v>9352039</v>
          </cell>
          <cell r="B6754">
            <v>124556</v>
          </cell>
          <cell r="C6754" t="str">
            <v>Clements Community Primary School</v>
          </cell>
          <cell r="D6754" t="str">
            <v>Suffolk</v>
          </cell>
          <cell r="E6754" t="str">
            <v>Community School</v>
          </cell>
          <cell r="F6754" t="str">
            <v>Primary</v>
          </cell>
        </row>
        <row r="6755">
          <cell r="A6755">
            <v>9262187</v>
          </cell>
          <cell r="B6755">
            <v>120869</v>
          </cell>
          <cell r="C6755" t="str">
            <v>Clenchwarton Community Primary School</v>
          </cell>
          <cell r="D6755" t="str">
            <v>Norfolk</v>
          </cell>
          <cell r="E6755" t="str">
            <v>Community School</v>
          </cell>
          <cell r="F6755" t="str">
            <v>Primary</v>
          </cell>
        </row>
        <row r="6756">
          <cell r="A6756">
            <v>8801105</v>
          </cell>
          <cell r="B6756">
            <v>133413</v>
          </cell>
          <cell r="C6756" t="str">
            <v>Clennon Valley C.O.YMCA</v>
          </cell>
          <cell r="D6756" t="str">
            <v>Torbay</v>
          </cell>
          <cell r="E6756" t="str">
            <v>Pupil Referral Unit</v>
          </cell>
          <cell r="F6756" t="str">
            <v>PRU</v>
          </cell>
        </row>
        <row r="6757">
          <cell r="A6757">
            <v>8853022</v>
          </cell>
          <cell r="B6757">
            <v>116796</v>
          </cell>
          <cell r="C6757" t="str">
            <v>Clent Parochial Primary School</v>
          </cell>
          <cell r="D6757" t="str">
            <v>Worcestershire</v>
          </cell>
          <cell r="E6757" t="str">
            <v>Voluntary Controlled School</v>
          </cell>
          <cell r="F6757" t="str">
            <v>Primary</v>
          </cell>
        </row>
        <row r="6758">
          <cell r="A6758">
            <v>8932036</v>
          </cell>
          <cell r="B6758">
            <v>123361</v>
          </cell>
          <cell r="C6758" t="str">
            <v>Cleobury Mortimer Primary School</v>
          </cell>
          <cell r="D6758" t="str">
            <v>Shropshire</v>
          </cell>
          <cell r="E6758" t="str">
            <v>Community School</v>
          </cell>
          <cell r="F6758" t="str">
            <v>Primary</v>
          </cell>
        </row>
        <row r="6759">
          <cell r="A6759">
            <v>2063334</v>
          </cell>
          <cell r="B6759">
            <v>100436</v>
          </cell>
          <cell r="C6759" t="str">
            <v>Clerkenwell Parochial CofE Primary School</v>
          </cell>
          <cell r="D6759" t="str">
            <v>Islington</v>
          </cell>
          <cell r="E6759" t="str">
            <v>Voluntary Aided School</v>
          </cell>
          <cell r="F6759" t="str">
            <v>Primary</v>
          </cell>
        </row>
        <row r="6760">
          <cell r="A6760">
            <v>3931010</v>
          </cell>
          <cell r="B6760">
            <v>108661</v>
          </cell>
          <cell r="C6760" t="str">
            <v>Clervaux Nursery School</v>
          </cell>
          <cell r="D6760" t="str">
            <v>South Tyneside</v>
          </cell>
          <cell r="E6760" t="str">
            <v>LA Nursery School</v>
          </cell>
          <cell r="F6760" t="str">
            <v>Nursery</v>
          </cell>
        </row>
        <row r="6761">
          <cell r="A6761">
            <v>8016005</v>
          </cell>
          <cell r="B6761">
            <v>109339</v>
          </cell>
          <cell r="C6761" t="str">
            <v>Cleve House School</v>
          </cell>
          <cell r="D6761" t="str">
            <v>Bristol City of</v>
          </cell>
          <cell r="E6761" t="str">
            <v>Other Independent School</v>
          </cell>
          <cell r="F6761" t="str">
            <v>Not applicable</v>
          </cell>
        </row>
        <row r="6762">
          <cell r="A6762">
            <v>3806016</v>
          </cell>
          <cell r="B6762">
            <v>107448</v>
          </cell>
          <cell r="C6762" t="str">
            <v>Clevedon House Preparatory School</v>
          </cell>
          <cell r="D6762" t="str">
            <v>Bradford</v>
          </cell>
          <cell r="E6762" t="str">
            <v>Other Independent School</v>
          </cell>
          <cell r="F6762" t="str">
            <v>Not applicable</v>
          </cell>
        </row>
        <row r="6763">
          <cell r="A6763">
            <v>8024136</v>
          </cell>
          <cell r="B6763">
            <v>132006</v>
          </cell>
          <cell r="C6763" t="str">
            <v>Clevedon School</v>
          </cell>
          <cell r="D6763" t="str">
            <v>North Somerset</v>
          </cell>
          <cell r="E6763" t="str">
            <v>Community School</v>
          </cell>
          <cell r="F6763" t="str">
            <v>Secondary</v>
          </cell>
        </row>
        <row r="6764">
          <cell r="A6764">
            <v>8068150</v>
          </cell>
          <cell r="B6764">
            <v>130571</v>
          </cell>
          <cell r="C6764" t="str">
            <v>Cleveland College of Art and Design</v>
          </cell>
          <cell r="D6764" t="str">
            <v>Middlesbrough</v>
          </cell>
          <cell r="E6764" t="str">
            <v>Further Education</v>
          </cell>
          <cell r="F6764" t="str">
            <v>16 Plus</v>
          </cell>
        </row>
        <row r="6765">
          <cell r="A6765">
            <v>9078003</v>
          </cell>
          <cell r="B6765">
            <v>132871</v>
          </cell>
          <cell r="C6765" t="str">
            <v>Cleveland College of Further Education</v>
          </cell>
          <cell r="D6765" t="str">
            <v>Pre LGR (1996) Cleveland</v>
          </cell>
          <cell r="E6765" t="str">
            <v>Miscellaneous</v>
          </cell>
          <cell r="F6765" t="str">
            <v>Not applicable</v>
          </cell>
        </row>
        <row r="6766">
          <cell r="A6766">
            <v>3172014</v>
          </cell>
          <cell r="B6766">
            <v>102799</v>
          </cell>
          <cell r="C6766" t="str">
            <v>Cleveland Infants' School</v>
          </cell>
          <cell r="D6766" t="str">
            <v>Redbridge</v>
          </cell>
          <cell r="E6766" t="str">
            <v>Community School</v>
          </cell>
          <cell r="F6766" t="str">
            <v>Primary</v>
          </cell>
        </row>
        <row r="6767">
          <cell r="A6767">
            <v>3172012</v>
          </cell>
          <cell r="B6767">
            <v>102798</v>
          </cell>
          <cell r="C6767" t="str">
            <v>Cleveland Junior School</v>
          </cell>
          <cell r="D6767" t="str">
            <v>Redbridge</v>
          </cell>
          <cell r="E6767" t="str">
            <v>Community School</v>
          </cell>
          <cell r="F6767" t="str">
            <v>Primary</v>
          </cell>
        </row>
        <row r="6768">
          <cell r="A6768">
            <v>3506011</v>
          </cell>
          <cell r="B6768">
            <v>105270</v>
          </cell>
          <cell r="C6768" t="str">
            <v>Clevelands Preparatory School</v>
          </cell>
          <cell r="D6768" t="str">
            <v>Bolton</v>
          </cell>
          <cell r="E6768" t="str">
            <v>Other Independent School</v>
          </cell>
          <cell r="F6768" t="str">
            <v>Not applicable</v>
          </cell>
        </row>
        <row r="6769">
          <cell r="A6769">
            <v>8402397</v>
          </cell>
          <cell r="B6769">
            <v>114093</v>
          </cell>
          <cell r="C6769" t="str">
            <v>Cleves Cross Primary School</v>
          </cell>
          <cell r="D6769" t="str">
            <v>Durham</v>
          </cell>
          <cell r="E6769" t="str">
            <v>Community School</v>
          </cell>
          <cell r="F6769" t="str">
            <v>Primary</v>
          </cell>
        </row>
        <row r="6770">
          <cell r="A6770">
            <v>3162091</v>
          </cell>
          <cell r="B6770">
            <v>102760</v>
          </cell>
          <cell r="C6770" t="str">
            <v>Cleves Primary School</v>
          </cell>
          <cell r="D6770" t="str">
            <v>Newham</v>
          </cell>
          <cell r="E6770" t="str">
            <v>Community School</v>
          </cell>
          <cell r="F6770" t="str">
            <v>Primary</v>
          </cell>
        </row>
        <row r="6771">
          <cell r="A6771">
            <v>9365221</v>
          </cell>
          <cell r="B6771">
            <v>125039</v>
          </cell>
          <cell r="C6771" t="str">
            <v>Cleves School</v>
          </cell>
          <cell r="D6771" t="str">
            <v>Surrey</v>
          </cell>
          <cell r="E6771" t="str">
            <v>Foundation School</v>
          </cell>
          <cell r="F6771" t="str">
            <v>Primary</v>
          </cell>
        </row>
        <row r="6772">
          <cell r="A6772">
            <v>9365221</v>
          </cell>
          <cell r="B6772">
            <v>136338</v>
          </cell>
          <cell r="C6772" t="str">
            <v>Cleves School</v>
          </cell>
          <cell r="D6772" t="str">
            <v>Surrey</v>
          </cell>
          <cell r="E6772" t="str">
            <v>Academy Converters</v>
          </cell>
          <cell r="F6772" t="str">
            <v>Primary</v>
          </cell>
        </row>
        <row r="6773">
          <cell r="A6773">
            <v>9366521</v>
          </cell>
          <cell r="B6773">
            <v>125418</v>
          </cell>
          <cell r="C6773" t="str">
            <v>Clewborough House Preparatory School</v>
          </cell>
          <cell r="D6773" t="str">
            <v>Surrey</v>
          </cell>
          <cell r="E6773" t="str">
            <v>Other Independent School</v>
          </cell>
          <cell r="F6773" t="str">
            <v>Not applicable</v>
          </cell>
        </row>
        <row r="6774">
          <cell r="A6774">
            <v>8683326</v>
          </cell>
          <cell r="B6774">
            <v>110022</v>
          </cell>
          <cell r="C6774" t="str">
            <v>Clewer Green CofE First School</v>
          </cell>
          <cell r="D6774" t="str">
            <v>Windsor and Maidenhead</v>
          </cell>
          <cell r="E6774" t="str">
            <v>Voluntary Aided School</v>
          </cell>
          <cell r="F6774" t="str">
            <v>Primary</v>
          </cell>
        </row>
        <row r="6775">
          <cell r="A6775">
            <v>8502041</v>
          </cell>
          <cell r="B6775">
            <v>115877</v>
          </cell>
          <cell r="C6775" t="str">
            <v>Cliddesden Primary School</v>
          </cell>
          <cell r="D6775" t="str">
            <v>Hampshire</v>
          </cell>
          <cell r="E6775" t="str">
            <v>Community School</v>
          </cell>
          <cell r="F6775" t="str">
            <v>Primary</v>
          </cell>
        </row>
        <row r="6776">
          <cell r="A6776">
            <v>3837014</v>
          </cell>
          <cell r="B6776">
            <v>128052</v>
          </cell>
          <cell r="C6776" t="str">
            <v>Cliff House School</v>
          </cell>
          <cell r="D6776" t="str">
            <v>Leeds</v>
          </cell>
          <cell r="E6776" t="str">
            <v>Community Special School</v>
          </cell>
          <cell r="F6776" t="str">
            <v>Special</v>
          </cell>
        </row>
        <row r="6777">
          <cell r="A6777">
            <v>9352159</v>
          </cell>
          <cell r="B6777">
            <v>124647</v>
          </cell>
          <cell r="C6777" t="str">
            <v>Cliff Lane Primary School</v>
          </cell>
          <cell r="D6777" t="str">
            <v>Suffolk</v>
          </cell>
          <cell r="E6777" t="str">
            <v>Community School</v>
          </cell>
          <cell r="F6777" t="str">
            <v>Primary</v>
          </cell>
        </row>
        <row r="6778">
          <cell r="A6778">
            <v>9265409</v>
          </cell>
          <cell r="B6778">
            <v>121217</v>
          </cell>
          <cell r="C6778" t="str">
            <v>Cliff Park High School</v>
          </cell>
          <cell r="D6778" t="str">
            <v>Norfolk</v>
          </cell>
          <cell r="E6778" t="str">
            <v>Foundation School</v>
          </cell>
          <cell r="F6778" t="str">
            <v>Secondary</v>
          </cell>
        </row>
        <row r="6779">
          <cell r="A6779">
            <v>9262353</v>
          </cell>
          <cell r="B6779">
            <v>120980</v>
          </cell>
          <cell r="C6779" t="str">
            <v>Cliff Park Infant School, Gorleston</v>
          </cell>
          <cell r="D6779" t="str">
            <v>Norfolk</v>
          </cell>
          <cell r="E6779" t="str">
            <v>Community School</v>
          </cell>
          <cell r="F6779" t="str">
            <v>Primary</v>
          </cell>
        </row>
        <row r="6780">
          <cell r="A6780">
            <v>9262352</v>
          </cell>
          <cell r="B6780">
            <v>120979</v>
          </cell>
          <cell r="C6780" t="str">
            <v>Cliff Park Junior School</v>
          </cell>
          <cell r="D6780" t="str">
            <v>Norfolk</v>
          </cell>
          <cell r="E6780" t="str">
            <v>Community School</v>
          </cell>
          <cell r="F6780" t="str">
            <v>Primary</v>
          </cell>
        </row>
        <row r="6781">
          <cell r="A6781">
            <v>3846001</v>
          </cell>
          <cell r="B6781">
            <v>108301</v>
          </cell>
          <cell r="C6781" t="str">
            <v>Cliff School at St John's Lodge</v>
          </cell>
          <cell r="D6781" t="str">
            <v>Wakefield</v>
          </cell>
          <cell r="E6781" t="str">
            <v>Other Independent School</v>
          </cell>
          <cell r="F6781" t="str">
            <v>Not applicable</v>
          </cell>
        </row>
        <row r="6782">
          <cell r="A6782">
            <v>8517047</v>
          </cell>
          <cell r="B6782">
            <v>116629</v>
          </cell>
          <cell r="C6782" t="str">
            <v>Cliffdale Primary School</v>
          </cell>
          <cell r="D6782" t="str">
            <v>Portsmouth</v>
          </cell>
          <cell r="E6782" t="str">
            <v>Community Special School</v>
          </cell>
          <cell r="F6782" t="str">
            <v>Special</v>
          </cell>
        </row>
        <row r="6783">
          <cell r="A6783">
            <v>3812076</v>
          </cell>
          <cell r="B6783">
            <v>107525</v>
          </cell>
          <cell r="C6783" t="str">
            <v>Cliffe Hill Community Primary School</v>
          </cell>
          <cell r="D6783" t="str">
            <v>Calderdale</v>
          </cell>
          <cell r="E6783" t="str">
            <v>Community School</v>
          </cell>
          <cell r="F6783" t="str">
            <v>Primary</v>
          </cell>
        </row>
        <row r="6784">
          <cell r="A6784">
            <v>8153150</v>
          </cell>
          <cell r="B6784">
            <v>121529</v>
          </cell>
          <cell r="C6784" t="str">
            <v>Cliffe Voluntary Controlled Primary School</v>
          </cell>
          <cell r="D6784" t="str">
            <v>North Yorkshire</v>
          </cell>
          <cell r="E6784" t="str">
            <v>Voluntary Controlled School</v>
          </cell>
          <cell r="F6784" t="str">
            <v>Primary</v>
          </cell>
        </row>
        <row r="6785">
          <cell r="A6785">
            <v>9224234</v>
          </cell>
          <cell r="B6785">
            <v>129435</v>
          </cell>
          <cell r="C6785" t="str">
            <v>Cliffe Woods Middle School</v>
          </cell>
          <cell r="D6785" t="str">
            <v>Pre LGR (1998) Kent</v>
          </cell>
          <cell r="E6785" t="str">
            <v>Community School</v>
          </cell>
          <cell r="F6785" t="str">
            <v>Middle Deemed Secondary</v>
          </cell>
        </row>
        <row r="6786">
          <cell r="A6786">
            <v>8872588</v>
          </cell>
          <cell r="B6786">
            <v>118527</v>
          </cell>
          <cell r="C6786" t="str">
            <v>Cliffe Woods Primary School</v>
          </cell>
          <cell r="D6786" t="str">
            <v>Medway</v>
          </cell>
          <cell r="E6786" t="str">
            <v>Community School</v>
          </cell>
          <cell r="F6786" t="str">
            <v>Primary</v>
          </cell>
        </row>
        <row r="6787">
          <cell r="A6787">
            <v>8872588</v>
          </cell>
          <cell r="B6787">
            <v>136859</v>
          </cell>
          <cell r="C6787" t="str">
            <v>Cliffe Woods Primary School</v>
          </cell>
          <cell r="D6787" t="str">
            <v>Medway</v>
          </cell>
          <cell r="E6787" t="str">
            <v>Academy Converters</v>
          </cell>
          <cell r="F6787" t="str">
            <v>Primary</v>
          </cell>
        </row>
        <row r="6788">
          <cell r="A6788">
            <v>9252055</v>
          </cell>
          <cell r="B6788">
            <v>120393</v>
          </cell>
          <cell r="C6788" t="str">
            <v>Cliffedale Primary School</v>
          </cell>
          <cell r="D6788" t="str">
            <v>Lincolnshire</v>
          </cell>
          <cell r="E6788" t="str">
            <v>Community School</v>
          </cell>
          <cell r="F6788" t="str">
            <v>Primary</v>
          </cell>
        </row>
        <row r="6789">
          <cell r="A6789">
            <v>8857002</v>
          </cell>
          <cell r="B6789">
            <v>117050</v>
          </cell>
          <cell r="C6789" t="str">
            <v>Cliffey House School</v>
          </cell>
          <cell r="D6789" t="str">
            <v>Worcestershire</v>
          </cell>
          <cell r="E6789" t="str">
            <v>Community Special School</v>
          </cell>
          <cell r="F6789" t="str">
            <v>Special</v>
          </cell>
        </row>
        <row r="6790">
          <cell r="A6790">
            <v>3312110</v>
          </cell>
          <cell r="B6790">
            <v>103668</v>
          </cell>
          <cell r="C6790" t="str">
            <v>Clifford Bridge Primary School</v>
          </cell>
          <cell r="D6790" t="str">
            <v>Coventry</v>
          </cell>
          <cell r="E6790" t="str">
            <v>Community School</v>
          </cell>
          <cell r="F6790" t="str">
            <v>Primary</v>
          </cell>
        </row>
        <row r="6791">
          <cell r="A6791">
            <v>3735200</v>
          </cell>
          <cell r="B6791">
            <v>107150</v>
          </cell>
          <cell r="C6791" t="str">
            <v>Clifford CofE Infant School</v>
          </cell>
          <cell r="D6791" t="str">
            <v>Sheffield</v>
          </cell>
          <cell r="E6791" t="str">
            <v>Voluntary Aided School</v>
          </cell>
          <cell r="F6791" t="str">
            <v>Primary</v>
          </cell>
        </row>
        <row r="6792">
          <cell r="A6792">
            <v>3417042</v>
          </cell>
          <cell r="B6792">
            <v>104742</v>
          </cell>
          <cell r="C6792" t="str">
            <v>Clifford Holroyde Centre of Expertise</v>
          </cell>
          <cell r="D6792" t="str">
            <v>Liverpool</v>
          </cell>
          <cell r="E6792" t="str">
            <v>Community Special School</v>
          </cell>
          <cell r="F6792" t="str">
            <v>Special</v>
          </cell>
        </row>
        <row r="6793">
          <cell r="A6793">
            <v>3832375</v>
          </cell>
          <cell r="B6793">
            <v>107865</v>
          </cell>
          <cell r="C6793" t="str">
            <v>Clifford Primary School</v>
          </cell>
          <cell r="D6793" t="str">
            <v>Leeds</v>
          </cell>
          <cell r="E6793" t="str">
            <v>Community School</v>
          </cell>
          <cell r="F6793" t="str">
            <v>Primary</v>
          </cell>
        </row>
        <row r="6794">
          <cell r="A6794">
            <v>8842031</v>
          </cell>
          <cell r="B6794">
            <v>116668</v>
          </cell>
          <cell r="C6794" t="str">
            <v>Clifford Primary School</v>
          </cell>
          <cell r="D6794" t="str">
            <v>Herefordshire</v>
          </cell>
          <cell r="E6794" t="str">
            <v>Community School</v>
          </cell>
          <cell r="F6794" t="str">
            <v>Primary</v>
          </cell>
        </row>
        <row r="6795">
          <cell r="A6795">
            <v>9352166</v>
          </cell>
          <cell r="B6795">
            <v>124654</v>
          </cell>
          <cell r="C6795" t="str">
            <v>Clifford Road Primary School</v>
          </cell>
          <cell r="D6795" t="str">
            <v>Suffolk</v>
          </cell>
          <cell r="E6795" t="str">
            <v>Community School</v>
          </cell>
          <cell r="F6795" t="str">
            <v>Primary</v>
          </cell>
        </row>
        <row r="6796">
          <cell r="A6796">
            <v>3551105</v>
          </cell>
          <cell r="B6796">
            <v>135504</v>
          </cell>
          <cell r="C6796" t="str">
            <v>Clifton and Grosvenor Centre</v>
          </cell>
          <cell r="D6796" t="str">
            <v>Salford</v>
          </cell>
          <cell r="E6796" t="str">
            <v>Pupil Referral Unit</v>
          </cell>
          <cell r="F6796" t="str">
            <v>PRU</v>
          </cell>
        </row>
        <row r="6797">
          <cell r="A6797">
            <v>8303026</v>
          </cell>
          <cell r="B6797">
            <v>112811</v>
          </cell>
          <cell r="C6797" t="str">
            <v>Clifton CofE Primary School</v>
          </cell>
          <cell r="D6797" t="str">
            <v>Derbyshire</v>
          </cell>
          <cell r="E6797" t="str">
            <v>Voluntary Controlled School</v>
          </cell>
          <cell r="F6797" t="str">
            <v>Primary</v>
          </cell>
        </row>
        <row r="6798">
          <cell r="A6798">
            <v>8016000</v>
          </cell>
          <cell r="B6798">
            <v>109334</v>
          </cell>
          <cell r="C6798" t="str">
            <v>Clifton College</v>
          </cell>
          <cell r="D6798" t="str">
            <v>Bristol City of</v>
          </cell>
          <cell r="E6798" t="str">
            <v>Other Independent School</v>
          </cell>
          <cell r="F6798" t="str">
            <v>Not applicable</v>
          </cell>
        </row>
        <row r="6799">
          <cell r="A6799">
            <v>3072085</v>
          </cell>
          <cell r="B6799">
            <v>126833</v>
          </cell>
          <cell r="C6799" t="str">
            <v>Clifton First School</v>
          </cell>
          <cell r="D6799" t="str">
            <v>Ealing</v>
          </cell>
          <cell r="E6799" t="str">
            <v>Community School</v>
          </cell>
          <cell r="F6799" t="str">
            <v>Primary</v>
          </cell>
        </row>
        <row r="6800">
          <cell r="A6800">
            <v>8162018</v>
          </cell>
          <cell r="B6800">
            <v>121283</v>
          </cell>
          <cell r="C6800" t="str">
            <v>Clifton Green Primary School</v>
          </cell>
          <cell r="D6800" t="str">
            <v>York</v>
          </cell>
          <cell r="E6800" t="str">
            <v>Community School</v>
          </cell>
          <cell r="F6800" t="str">
            <v>Primary</v>
          </cell>
        </row>
        <row r="6801">
          <cell r="A6801">
            <v>9313183</v>
          </cell>
          <cell r="B6801">
            <v>123127</v>
          </cell>
          <cell r="C6801" t="str">
            <v>Clifton Hampden Church of England Primary School</v>
          </cell>
          <cell r="D6801" t="str">
            <v>Oxfordshire</v>
          </cell>
          <cell r="E6801" t="str">
            <v>Voluntary Controlled School</v>
          </cell>
          <cell r="F6801" t="str">
            <v>Primary</v>
          </cell>
        </row>
        <row r="6802">
          <cell r="A6802">
            <v>8016001</v>
          </cell>
          <cell r="B6802">
            <v>109335</v>
          </cell>
          <cell r="C6802" t="str">
            <v>Clifton High School</v>
          </cell>
          <cell r="D6802" t="str">
            <v>Bristol City of</v>
          </cell>
          <cell r="E6802" t="str">
            <v>Other Independent School</v>
          </cell>
          <cell r="F6802" t="str">
            <v>Not applicable</v>
          </cell>
        </row>
        <row r="6803">
          <cell r="A6803">
            <v>9367049</v>
          </cell>
          <cell r="B6803">
            <v>125470</v>
          </cell>
          <cell r="C6803" t="str">
            <v>Clifton Hill School</v>
          </cell>
          <cell r="D6803" t="str">
            <v>Surrey</v>
          </cell>
          <cell r="E6803" t="str">
            <v>Community Special School</v>
          </cell>
          <cell r="F6803" t="str">
            <v>Special</v>
          </cell>
        </row>
        <row r="6804">
          <cell r="A6804">
            <v>3302046</v>
          </cell>
          <cell r="B6804">
            <v>103183</v>
          </cell>
          <cell r="C6804" t="str">
            <v>Clifton Infant School</v>
          </cell>
          <cell r="D6804" t="str">
            <v>Birmingham</v>
          </cell>
          <cell r="E6804" t="str">
            <v>Community School</v>
          </cell>
          <cell r="F6804" t="str">
            <v>Primary</v>
          </cell>
        </row>
        <row r="6805">
          <cell r="A6805">
            <v>3302045</v>
          </cell>
          <cell r="B6805">
            <v>103182</v>
          </cell>
          <cell r="C6805" t="str">
            <v>Clifton Junior School</v>
          </cell>
          <cell r="D6805" t="str">
            <v>Birmingham</v>
          </cell>
          <cell r="E6805" t="str">
            <v>Community School</v>
          </cell>
          <cell r="F6805" t="str">
            <v>Primary</v>
          </cell>
        </row>
        <row r="6806">
          <cell r="A6806">
            <v>3076066</v>
          </cell>
          <cell r="B6806">
            <v>101955</v>
          </cell>
          <cell r="C6806" t="str">
            <v>Clifton Lodge School</v>
          </cell>
          <cell r="D6806" t="str">
            <v>Ealing</v>
          </cell>
          <cell r="E6806" t="str">
            <v>Other Independent School</v>
          </cell>
          <cell r="F6806" t="str">
            <v>Not applicable</v>
          </cell>
        </row>
        <row r="6807">
          <cell r="A6807">
            <v>3072086</v>
          </cell>
          <cell r="B6807">
            <v>126834</v>
          </cell>
          <cell r="C6807" t="str">
            <v>Clifton Middle School</v>
          </cell>
          <cell r="D6807" t="str">
            <v>Ealing</v>
          </cell>
          <cell r="E6807" t="str">
            <v>Community School</v>
          </cell>
          <cell r="F6807" t="str">
            <v>Middle Deemed Primary</v>
          </cell>
        </row>
        <row r="6808">
          <cell r="A6808">
            <v>8101001</v>
          </cell>
          <cell r="B6808">
            <v>117693</v>
          </cell>
          <cell r="C6808" t="str">
            <v>Clifton Nursery School</v>
          </cell>
          <cell r="D6808" t="str">
            <v>Kingston upon Hull City of</v>
          </cell>
          <cell r="E6808" t="str">
            <v>LA Nursery School</v>
          </cell>
          <cell r="F6808" t="str">
            <v>Nursery</v>
          </cell>
        </row>
        <row r="6809">
          <cell r="A6809">
            <v>8166004</v>
          </cell>
          <cell r="B6809">
            <v>121727</v>
          </cell>
          <cell r="C6809" t="str">
            <v>Clifton Preparatory School</v>
          </cell>
          <cell r="D6809" t="str">
            <v>York</v>
          </cell>
          <cell r="E6809" t="str">
            <v>Other Independent School</v>
          </cell>
          <cell r="F6809" t="str">
            <v>Not applicable</v>
          </cell>
        </row>
        <row r="6810">
          <cell r="A6810">
            <v>3072163</v>
          </cell>
          <cell r="B6810">
            <v>101893</v>
          </cell>
          <cell r="C6810" t="str">
            <v>Clifton Primary School</v>
          </cell>
          <cell r="D6810" t="str">
            <v>Ealing</v>
          </cell>
          <cell r="E6810" t="str">
            <v>Community School</v>
          </cell>
          <cell r="F6810" t="str">
            <v>Primary</v>
          </cell>
        </row>
        <row r="6811">
          <cell r="A6811">
            <v>3552065</v>
          </cell>
          <cell r="B6811">
            <v>105907</v>
          </cell>
          <cell r="C6811" t="str">
            <v>Clifton Primary School</v>
          </cell>
          <cell r="D6811" t="str">
            <v>Salford</v>
          </cell>
          <cell r="E6811" t="str">
            <v>Community School</v>
          </cell>
          <cell r="F6811" t="str">
            <v>Primary</v>
          </cell>
        </row>
        <row r="6812">
          <cell r="A6812">
            <v>9092305</v>
          </cell>
          <cell r="B6812">
            <v>112178</v>
          </cell>
          <cell r="C6812" t="str">
            <v>Clifton Primary School</v>
          </cell>
          <cell r="D6812" t="str">
            <v>Cumbria</v>
          </cell>
          <cell r="E6812" t="str">
            <v>Community School</v>
          </cell>
          <cell r="F6812" t="str">
            <v>Primary</v>
          </cell>
        </row>
        <row r="6813">
          <cell r="A6813">
            <v>8102089</v>
          </cell>
          <cell r="B6813">
            <v>117722</v>
          </cell>
          <cell r="C6813" t="str">
            <v>Clifton Primary School</v>
          </cell>
          <cell r="D6813" t="str">
            <v>Kingston upon Hull City of</v>
          </cell>
          <cell r="E6813" t="str">
            <v>Community School</v>
          </cell>
          <cell r="F6813" t="str">
            <v>Primary</v>
          </cell>
        </row>
        <row r="6814">
          <cell r="A6814">
            <v>8882497</v>
          </cell>
          <cell r="B6814">
            <v>119291</v>
          </cell>
          <cell r="C6814" t="str">
            <v>Clifton Primary School</v>
          </cell>
          <cell r="D6814" t="str">
            <v>Lancashire</v>
          </cell>
          <cell r="E6814" t="str">
            <v>Community School</v>
          </cell>
          <cell r="F6814" t="str">
            <v>Primary</v>
          </cell>
        </row>
        <row r="6815">
          <cell r="A6815">
            <v>3303432</v>
          </cell>
          <cell r="B6815">
            <v>134840</v>
          </cell>
          <cell r="C6815" t="str">
            <v>Clifton Primary School</v>
          </cell>
          <cell r="D6815" t="str">
            <v>Birmingham</v>
          </cell>
          <cell r="E6815" t="str">
            <v>Community School</v>
          </cell>
          <cell r="F6815" t="str">
            <v>Primary</v>
          </cell>
        </row>
        <row r="6816">
          <cell r="A6816">
            <v>8886028</v>
          </cell>
          <cell r="B6816">
            <v>130288</v>
          </cell>
          <cell r="C6816" t="str">
            <v>Clifton Tutorial Centre</v>
          </cell>
          <cell r="D6816" t="str">
            <v>Lancashire</v>
          </cell>
          <cell r="E6816" t="str">
            <v>Other Independent School</v>
          </cell>
          <cell r="F6816" t="str">
            <v>Not applicable</v>
          </cell>
        </row>
        <row r="6817">
          <cell r="A6817">
            <v>8162201</v>
          </cell>
          <cell r="B6817">
            <v>121348</v>
          </cell>
          <cell r="C6817" t="str">
            <v>Clifton with Rawcliffe Federation: Infant School</v>
          </cell>
          <cell r="D6817" t="str">
            <v>York</v>
          </cell>
          <cell r="E6817" t="str">
            <v>Community School</v>
          </cell>
          <cell r="F6817" t="str">
            <v>Primary</v>
          </cell>
        </row>
        <row r="6818">
          <cell r="A6818">
            <v>8162253</v>
          </cell>
          <cell r="B6818">
            <v>121375</v>
          </cell>
          <cell r="C6818" t="str">
            <v>Clifton with Rawcliffe Federation: Junior School</v>
          </cell>
          <cell r="D6818" t="str">
            <v>York</v>
          </cell>
          <cell r="E6818" t="str">
            <v>Community School</v>
          </cell>
          <cell r="F6818" t="str">
            <v>Primary</v>
          </cell>
        </row>
        <row r="6819">
          <cell r="A6819">
            <v>8162430</v>
          </cell>
          <cell r="B6819">
            <v>136133</v>
          </cell>
          <cell r="C6819" t="str">
            <v>Clifton With Rawcliffe Primary School</v>
          </cell>
          <cell r="D6819" t="str">
            <v>York</v>
          </cell>
          <cell r="E6819" t="str">
            <v>Community School</v>
          </cell>
          <cell r="F6819" t="str">
            <v>Primary</v>
          </cell>
        </row>
        <row r="6820">
          <cell r="A6820">
            <v>3724000</v>
          </cell>
          <cell r="B6820">
            <v>106947</v>
          </cell>
          <cell r="C6820" t="str">
            <v>Clifton: A Community Arts School</v>
          </cell>
          <cell r="D6820" t="str">
            <v>Rotherham</v>
          </cell>
          <cell r="E6820" t="str">
            <v>Community School</v>
          </cell>
          <cell r="F6820" t="str">
            <v>Secondary</v>
          </cell>
        </row>
        <row r="6821">
          <cell r="A6821">
            <v>9373177</v>
          </cell>
          <cell r="B6821">
            <v>125670</v>
          </cell>
          <cell r="C6821" t="str">
            <v>Clifton-upon-Dunsmore CofE Primary School</v>
          </cell>
          <cell r="D6821" t="str">
            <v>Warwickshire</v>
          </cell>
          <cell r="E6821" t="str">
            <v>Voluntary Controlled School</v>
          </cell>
          <cell r="F6821" t="str">
            <v>Primary</v>
          </cell>
        </row>
        <row r="6822">
          <cell r="A6822">
            <v>8852032</v>
          </cell>
          <cell r="B6822">
            <v>116669</v>
          </cell>
          <cell r="C6822" t="str">
            <v>Clifton-upon-Teme Primary School</v>
          </cell>
          <cell r="D6822" t="str">
            <v>Worcestershire</v>
          </cell>
          <cell r="E6822" t="str">
            <v>Community School</v>
          </cell>
          <cell r="F6822" t="str">
            <v>Primary</v>
          </cell>
        </row>
        <row r="6823">
          <cell r="A6823">
            <v>9284065</v>
          </cell>
          <cell r="B6823">
            <v>122073</v>
          </cell>
          <cell r="C6823" t="str">
            <v>Cliftonville Middle School</v>
          </cell>
          <cell r="D6823" t="str">
            <v>Northamptonshire</v>
          </cell>
          <cell r="E6823" t="str">
            <v>Community School</v>
          </cell>
          <cell r="F6823" t="str">
            <v>Middle Deemed Secondary</v>
          </cell>
        </row>
        <row r="6824">
          <cell r="A6824">
            <v>8862617</v>
          </cell>
          <cell r="B6824">
            <v>118542</v>
          </cell>
          <cell r="C6824" t="str">
            <v>Cliftonville Primary School</v>
          </cell>
          <cell r="D6824" t="str">
            <v>Kent</v>
          </cell>
          <cell r="E6824" t="str">
            <v>Community School</v>
          </cell>
          <cell r="F6824" t="str">
            <v>Primary</v>
          </cell>
        </row>
        <row r="6825">
          <cell r="A6825">
            <v>9372308</v>
          </cell>
          <cell r="B6825">
            <v>125551</v>
          </cell>
          <cell r="C6825" t="str">
            <v>Clinton Primary School</v>
          </cell>
          <cell r="D6825" t="str">
            <v>Warwickshire</v>
          </cell>
          <cell r="E6825" t="str">
            <v>Community School</v>
          </cell>
          <cell r="F6825" t="str">
            <v>Primary</v>
          </cell>
        </row>
        <row r="6826">
          <cell r="A6826">
            <v>9283202</v>
          </cell>
          <cell r="B6826">
            <v>122013</v>
          </cell>
          <cell r="C6826" t="str">
            <v>Clipston Endowed Voluntary Controlled Primary School</v>
          </cell>
          <cell r="D6826" t="str">
            <v>Northamptonshire</v>
          </cell>
          <cell r="E6826" t="str">
            <v>Voluntary Controlled School</v>
          </cell>
          <cell r="F6826" t="str">
            <v>Primary</v>
          </cell>
        </row>
        <row r="6827">
          <cell r="A6827">
            <v>8232201</v>
          </cell>
          <cell r="B6827">
            <v>109521</v>
          </cell>
          <cell r="C6827" t="str">
            <v>Clipstone Brook Lower School</v>
          </cell>
          <cell r="D6827" t="str">
            <v>Central Bedfordshire</v>
          </cell>
          <cell r="E6827" t="str">
            <v>Community School</v>
          </cell>
          <cell r="F6827" t="str">
            <v>Primary</v>
          </cell>
        </row>
        <row r="6828">
          <cell r="A6828">
            <v>2041109</v>
          </cell>
          <cell r="B6828">
            <v>136218</v>
          </cell>
          <cell r="C6828" t="str">
            <v>Clissold Park School</v>
          </cell>
          <cell r="D6828" t="str">
            <v>Hackney</v>
          </cell>
          <cell r="E6828" t="str">
            <v>Pupil Referral Unit</v>
          </cell>
          <cell r="F6828" t="str">
            <v>PRU</v>
          </cell>
        </row>
        <row r="6829">
          <cell r="A6829">
            <v>8882651</v>
          </cell>
          <cell r="B6829">
            <v>119321</v>
          </cell>
          <cell r="C6829" t="str">
            <v>Clitheroe Brookside Primary School</v>
          </cell>
          <cell r="D6829" t="str">
            <v>Lancashire</v>
          </cell>
          <cell r="E6829" t="str">
            <v>Community School</v>
          </cell>
          <cell r="F6829" t="str">
            <v>Primary</v>
          </cell>
        </row>
        <row r="6830">
          <cell r="A6830">
            <v>8882064</v>
          </cell>
          <cell r="B6830">
            <v>119161</v>
          </cell>
          <cell r="C6830" t="str">
            <v>Clitheroe Pendle Primary School</v>
          </cell>
          <cell r="D6830" t="str">
            <v>Lancashire</v>
          </cell>
          <cell r="E6830" t="str">
            <v>Community School</v>
          </cell>
          <cell r="F6830" t="str">
            <v>Primary</v>
          </cell>
        </row>
        <row r="6831">
          <cell r="A6831">
            <v>8885403</v>
          </cell>
          <cell r="B6831">
            <v>119812</v>
          </cell>
          <cell r="C6831" t="str">
            <v>Clitheroe Royal Grammar School</v>
          </cell>
          <cell r="D6831" t="str">
            <v>Lancashire</v>
          </cell>
          <cell r="E6831" t="str">
            <v>Foundation School</v>
          </cell>
          <cell r="F6831" t="str">
            <v>Secondary</v>
          </cell>
        </row>
        <row r="6832">
          <cell r="A6832">
            <v>8885403</v>
          </cell>
          <cell r="B6832">
            <v>136390</v>
          </cell>
          <cell r="C6832" t="str">
            <v>Clitheroe Royal Grammar School</v>
          </cell>
          <cell r="D6832" t="str">
            <v>Lancashire</v>
          </cell>
          <cell r="E6832" t="str">
            <v>Academy Converters</v>
          </cell>
          <cell r="F6832" t="str">
            <v>Secondary</v>
          </cell>
        </row>
        <row r="6833">
          <cell r="A6833">
            <v>3022013</v>
          </cell>
          <cell r="B6833">
            <v>101268</v>
          </cell>
          <cell r="C6833" t="str">
            <v>Clitterhouse Infant School</v>
          </cell>
          <cell r="D6833" t="str">
            <v>Barnet</v>
          </cell>
          <cell r="E6833" t="str">
            <v>Community School</v>
          </cell>
          <cell r="F6833" t="str">
            <v>Primary</v>
          </cell>
        </row>
        <row r="6834">
          <cell r="A6834">
            <v>3022012</v>
          </cell>
          <cell r="B6834">
            <v>101267</v>
          </cell>
          <cell r="C6834" t="str">
            <v>Clitterhouse Junior School</v>
          </cell>
          <cell r="D6834" t="str">
            <v>Barnet</v>
          </cell>
          <cell r="E6834" t="str">
            <v>Community School</v>
          </cell>
          <cell r="F6834" t="str">
            <v>Primary</v>
          </cell>
        </row>
        <row r="6835">
          <cell r="A6835">
            <v>8933026</v>
          </cell>
          <cell r="B6835">
            <v>123469</v>
          </cell>
          <cell r="C6835" t="str">
            <v>Clive CofE Primary School</v>
          </cell>
          <cell r="D6835" t="str">
            <v>Shropshire</v>
          </cell>
          <cell r="E6835" t="str">
            <v>Voluntary Controlled School</v>
          </cell>
          <cell r="F6835" t="str">
            <v>Primary</v>
          </cell>
        </row>
        <row r="6836">
          <cell r="A6836">
            <v>3112037</v>
          </cell>
          <cell r="B6836">
            <v>102290</v>
          </cell>
          <cell r="C6836" t="str">
            <v>Clockhouse Junior School</v>
          </cell>
          <cell r="D6836" t="str">
            <v>Havering</v>
          </cell>
          <cell r="E6836" t="str">
            <v>Community School</v>
          </cell>
          <cell r="F6836" t="str">
            <v>Primary</v>
          </cell>
        </row>
        <row r="6837">
          <cell r="A6837">
            <v>3112038</v>
          </cell>
          <cell r="B6837">
            <v>102291</v>
          </cell>
          <cell r="C6837" t="str">
            <v>Clockhouse Primary School</v>
          </cell>
          <cell r="D6837" t="str">
            <v>Havering</v>
          </cell>
          <cell r="E6837" t="str">
            <v>Community School</v>
          </cell>
          <cell r="F6837" t="str">
            <v>Primary</v>
          </cell>
        </row>
        <row r="6838">
          <cell r="A6838">
            <v>9186118</v>
          </cell>
          <cell r="B6838">
            <v>129106</v>
          </cell>
          <cell r="C6838" t="str">
            <v>Cloisters</v>
          </cell>
          <cell r="D6838" t="str">
            <v>Pre LGR (1998) Hereford &amp; Worcester</v>
          </cell>
          <cell r="E6838" t="str">
            <v>Other Independent School</v>
          </cell>
          <cell r="F6838" t="str">
            <v>Not applicable</v>
          </cell>
        </row>
        <row r="6839">
          <cell r="A6839">
            <v>9195213</v>
          </cell>
          <cell r="B6839">
            <v>131456</v>
          </cell>
          <cell r="C6839" t="str">
            <v>Clore Shalom School</v>
          </cell>
          <cell r="D6839" t="str">
            <v>Hertfordshire</v>
          </cell>
          <cell r="E6839" t="str">
            <v>Voluntary Aided School</v>
          </cell>
          <cell r="F6839" t="str">
            <v>Primary</v>
          </cell>
        </row>
        <row r="6840">
          <cell r="A6840">
            <v>3173514</v>
          </cell>
          <cell r="B6840">
            <v>131682</v>
          </cell>
          <cell r="C6840" t="str">
            <v>Clore Tikva School</v>
          </cell>
          <cell r="D6840" t="str">
            <v>Redbridge</v>
          </cell>
          <cell r="E6840" t="str">
            <v>Voluntary Aided School</v>
          </cell>
          <cell r="F6840" t="str">
            <v>Primary</v>
          </cell>
        </row>
        <row r="6841">
          <cell r="A6841">
            <v>3352111</v>
          </cell>
          <cell r="B6841">
            <v>104184</v>
          </cell>
          <cell r="C6841" t="str">
            <v>Clothier Street Primary School</v>
          </cell>
          <cell r="D6841" t="str">
            <v>Walsall</v>
          </cell>
          <cell r="E6841" t="str">
            <v>Community School</v>
          </cell>
          <cell r="F6841" t="str">
            <v>Primary</v>
          </cell>
        </row>
        <row r="6842">
          <cell r="A6842">
            <v>9252091</v>
          </cell>
          <cell r="B6842">
            <v>120412</v>
          </cell>
          <cell r="C6842" t="str">
            <v>Clough and Risegate Community Primary School</v>
          </cell>
          <cell r="D6842" t="str">
            <v>Lincolnshire</v>
          </cell>
          <cell r="E6842" t="str">
            <v>Community School</v>
          </cell>
          <cell r="F6842" t="str">
            <v>Primary</v>
          </cell>
        </row>
        <row r="6843">
          <cell r="A6843">
            <v>8882623</v>
          </cell>
          <cell r="B6843">
            <v>119317</v>
          </cell>
          <cell r="C6843" t="str">
            <v>Clough Fold Primary School</v>
          </cell>
          <cell r="D6843" t="str">
            <v>Lancashire</v>
          </cell>
          <cell r="E6843" t="str">
            <v>Community School</v>
          </cell>
          <cell r="F6843" t="str">
            <v>Primary</v>
          </cell>
        </row>
        <row r="6844">
          <cell r="A6844">
            <v>8604082</v>
          </cell>
          <cell r="B6844">
            <v>124403</v>
          </cell>
          <cell r="C6844" t="str">
            <v>Clough Hall Technology School</v>
          </cell>
          <cell r="D6844" t="str">
            <v>Staffordshire</v>
          </cell>
          <cell r="E6844" t="str">
            <v>Community School</v>
          </cell>
          <cell r="F6844" t="str">
            <v>Secondary</v>
          </cell>
        </row>
        <row r="6845">
          <cell r="A6845">
            <v>3822069</v>
          </cell>
          <cell r="B6845">
            <v>107643</v>
          </cell>
          <cell r="C6845" t="str">
            <v>Clough Head Junior and Infant School</v>
          </cell>
          <cell r="D6845" t="str">
            <v>Kirklees</v>
          </cell>
          <cell r="E6845" t="str">
            <v>Community School</v>
          </cell>
          <cell r="F6845" t="str">
            <v>Primary</v>
          </cell>
        </row>
        <row r="6846">
          <cell r="A6846">
            <v>8882124</v>
          </cell>
          <cell r="B6846">
            <v>119197</v>
          </cell>
          <cell r="C6846" t="str">
            <v>Cloughfold Primary School</v>
          </cell>
          <cell r="D6846" t="str">
            <v>Lancashire</v>
          </cell>
          <cell r="E6846" t="str">
            <v>Community School</v>
          </cell>
          <cell r="F6846" t="str">
            <v>Primary</v>
          </cell>
        </row>
        <row r="6847">
          <cell r="A6847">
            <v>3517009</v>
          </cell>
          <cell r="B6847">
            <v>105376</v>
          </cell>
          <cell r="C6847" t="str">
            <v>Cloughside College</v>
          </cell>
          <cell r="D6847" t="str">
            <v>Bury</v>
          </cell>
          <cell r="E6847" t="str">
            <v>Community Special School</v>
          </cell>
          <cell r="F6847" t="str">
            <v>Special</v>
          </cell>
        </row>
        <row r="6848">
          <cell r="A6848">
            <v>8967105</v>
          </cell>
          <cell r="B6848">
            <v>111502</v>
          </cell>
          <cell r="C6848" t="str">
            <v>Cloughwood School</v>
          </cell>
          <cell r="D6848" t="str">
            <v>Cheshire West and Chester</v>
          </cell>
          <cell r="E6848" t="str">
            <v>Community Special School</v>
          </cell>
          <cell r="F6848" t="str">
            <v>Special</v>
          </cell>
        </row>
        <row r="6849">
          <cell r="A6849">
            <v>8782221</v>
          </cell>
          <cell r="B6849">
            <v>113144</v>
          </cell>
          <cell r="C6849" t="str">
            <v>Clovelly Primary School</v>
          </cell>
          <cell r="D6849" t="str">
            <v>Devon</v>
          </cell>
          <cell r="E6849" t="str">
            <v>Community School</v>
          </cell>
          <cell r="F6849" t="str">
            <v>Primary</v>
          </cell>
        </row>
        <row r="6850">
          <cell r="A6850">
            <v>3902216</v>
          </cell>
          <cell r="B6850">
            <v>108363</v>
          </cell>
          <cell r="C6850" t="str">
            <v>Clover Hill Community Primary School</v>
          </cell>
          <cell r="D6850" t="str">
            <v>Gateshead</v>
          </cell>
          <cell r="E6850" t="str">
            <v>Community School</v>
          </cell>
          <cell r="F6850" t="str">
            <v>Primary</v>
          </cell>
        </row>
        <row r="6851">
          <cell r="A6851">
            <v>9262374</v>
          </cell>
          <cell r="B6851">
            <v>120992</v>
          </cell>
          <cell r="C6851" t="str">
            <v>Clover Hill Infant School and Nursery</v>
          </cell>
          <cell r="D6851" t="str">
            <v>Norfolk</v>
          </cell>
          <cell r="E6851" t="str">
            <v>Community School</v>
          </cell>
          <cell r="F6851" t="str">
            <v>Primary</v>
          </cell>
        </row>
        <row r="6852">
          <cell r="A6852">
            <v>3582013</v>
          </cell>
          <cell r="B6852">
            <v>106295</v>
          </cell>
          <cell r="C6852" t="str">
            <v>Cloverlea Primary School</v>
          </cell>
          <cell r="D6852" t="str">
            <v>Trafford</v>
          </cell>
          <cell r="E6852" t="str">
            <v>Community School</v>
          </cell>
          <cell r="F6852" t="str">
            <v>Primary</v>
          </cell>
        </row>
        <row r="6853">
          <cell r="A6853">
            <v>8302080</v>
          </cell>
          <cell r="B6853">
            <v>112533</v>
          </cell>
          <cell r="C6853" t="str">
            <v>Clowne Infant and Nursery School</v>
          </cell>
          <cell r="D6853" t="str">
            <v>Derbyshire</v>
          </cell>
          <cell r="E6853" t="str">
            <v>Community School</v>
          </cell>
          <cell r="F6853" t="str">
            <v>Primary</v>
          </cell>
        </row>
        <row r="6854">
          <cell r="A6854">
            <v>8302079</v>
          </cell>
          <cell r="B6854">
            <v>112532</v>
          </cell>
          <cell r="C6854" t="str">
            <v>Clowne Junior School</v>
          </cell>
          <cell r="D6854" t="str">
            <v>Derbyshire</v>
          </cell>
          <cell r="E6854" t="str">
            <v>Community School</v>
          </cell>
          <cell r="F6854" t="str">
            <v>Primary</v>
          </cell>
        </row>
        <row r="6855">
          <cell r="A6855">
            <v>9104163</v>
          </cell>
          <cell r="B6855">
            <v>128663</v>
          </cell>
          <cell r="C6855" t="str">
            <v>Clowne School</v>
          </cell>
          <cell r="D6855" t="str">
            <v>Pre LGR (1997) Derbyshire</v>
          </cell>
          <cell r="E6855" t="str">
            <v>Community School</v>
          </cell>
          <cell r="F6855" t="str">
            <v>Secondary</v>
          </cell>
        </row>
        <row r="6856">
          <cell r="A6856">
            <v>6712118</v>
          </cell>
          <cell r="B6856">
            <v>400958</v>
          </cell>
          <cell r="C6856" t="str">
            <v>Clun Primary School</v>
          </cell>
          <cell r="D6856" t="str">
            <v>Neath Port Talbot</v>
          </cell>
          <cell r="E6856" t="str">
            <v>Welsh Establishment</v>
          </cell>
          <cell r="F6856" t="str">
            <v>Primary</v>
          </cell>
        </row>
        <row r="6857">
          <cell r="A6857">
            <v>8933313</v>
          </cell>
          <cell r="B6857">
            <v>123541</v>
          </cell>
          <cell r="C6857" t="str">
            <v>Clunbury CofE Primary School</v>
          </cell>
          <cell r="D6857" t="str">
            <v>Shropshire</v>
          </cell>
          <cell r="E6857" t="str">
            <v>Voluntary Aided School</v>
          </cell>
          <cell r="F6857" t="str">
            <v>Primary</v>
          </cell>
        </row>
        <row r="6858">
          <cell r="A6858">
            <v>8963162</v>
          </cell>
          <cell r="B6858">
            <v>111280</v>
          </cell>
          <cell r="C6858" t="str">
            <v>Clutton Church of England Primary School</v>
          </cell>
          <cell r="D6858" t="str">
            <v>Cheshire West and Chester</v>
          </cell>
          <cell r="E6858" t="str">
            <v>Voluntary Controlled School</v>
          </cell>
          <cell r="F6858" t="str">
            <v>Primary</v>
          </cell>
        </row>
        <row r="6859">
          <cell r="A6859">
            <v>8002239</v>
          </cell>
          <cell r="B6859">
            <v>109063</v>
          </cell>
          <cell r="C6859" t="str">
            <v>Clutton Primary School</v>
          </cell>
          <cell r="D6859" t="str">
            <v>Bath and North East Somerset</v>
          </cell>
          <cell r="E6859" t="str">
            <v>Community School</v>
          </cell>
          <cell r="F6859" t="str">
            <v>Primary</v>
          </cell>
        </row>
        <row r="6860">
          <cell r="A6860">
            <v>6702069</v>
          </cell>
          <cell r="B6860">
            <v>400891</v>
          </cell>
          <cell r="C6860" t="str">
            <v>Clwyd Community Primary School</v>
          </cell>
          <cell r="D6860" t="str">
            <v>Swansea</v>
          </cell>
          <cell r="E6860" t="str">
            <v>Welsh Establishment</v>
          </cell>
          <cell r="F6860" t="str">
            <v>Primary</v>
          </cell>
        </row>
        <row r="6861">
          <cell r="A6861">
            <v>6792052</v>
          </cell>
          <cell r="B6861">
            <v>401460</v>
          </cell>
          <cell r="C6861" t="str">
            <v>Clydach C.P. School</v>
          </cell>
          <cell r="D6861" t="str">
            <v>Monmouthshire</v>
          </cell>
          <cell r="E6861" t="str">
            <v>Welsh Establishment</v>
          </cell>
          <cell r="F6861" t="str">
            <v>Primary</v>
          </cell>
        </row>
        <row r="6862">
          <cell r="A6862">
            <v>6702114</v>
          </cell>
          <cell r="B6862">
            <v>400912</v>
          </cell>
          <cell r="C6862" t="str">
            <v>Clydach Infant School</v>
          </cell>
          <cell r="D6862" t="str">
            <v>Swansea</v>
          </cell>
          <cell r="E6862" t="str">
            <v>Welsh Establishment</v>
          </cell>
          <cell r="F6862" t="str">
            <v>Primary</v>
          </cell>
        </row>
        <row r="6863">
          <cell r="A6863">
            <v>6702112</v>
          </cell>
          <cell r="B6863">
            <v>400911</v>
          </cell>
          <cell r="C6863" t="str">
            <v>Clydach Junior School</v>
          </cell>
          <cell r="D6863" t="str">
            <v>Swansea</v>
          </cell>
          <cell r="E6863" t="str">
            <v>Welsh Establishment</v>
          </cell>
          <cell r="F6863" t="str">
            <v>Primary</v>
          </cell>
        </row>
        <row r="6864">
          <cell r="A6864">
            <v>6791101</v>
          </cell>
          <cell r="B6864">
            <v>402153</v>
          </cell>
          <cell r="C6864" t="str">
            <v>Clydach Tuition Centre</v>
          </cell>
          <cell r="D6864" t="str">
            <v>Monmouthshire</v>
          </cell>
          <cell r="E6864" t="str">
            <v>Welsh Establishment</v>
          </cell>
          <cell r="F6864" t="str">
            <v>Not applicable</v>
          </cell>
        </row>
        <row r="6865">
          <cell r="A6865">
            <v>2091002</v>
          </cell>
          <cell r="B6865">
            <v>100667</v>
          </cell>
          <cell r="C6865" t="str">
            <v>Clyde Early Childhood Centre</v>
          </cell>
          <cell r="D6865" t="str">
            <v>Lewisham</v>
          </cell>
          <cell r="E6865" t="str">
            <v>LA Nursery School</v>
          </cell>
          <cell r="F6865" t="str">
            <v>Nursery</v>
          </cell>
        </row>
        <row r="6866">
          <cell r="A6866">
            <v>9386229</v>
          </cell>
          <cell r="B6866">
            <v>130198</v>
          </cell>
          <cell r="C6866" t="str">
            <v>Clymping College</v>
          </cell>
          <cell r="D6866" t="str">
            <v>West Sussex</v>
          </cell>
          <cell r="E6866" t="str">
            <v>Other Independent School</v>
          </cell>
          <cell r="F6866" t="str">
            <v>Not applicable</v>
          </cell>
        </row>
        <row r="6867">
          <cell r="A6867">
            <v>6663033</v>
          </cell>
          <cell r="B6867">
            <v>400551</v>
          </cell>
          <cell r="C6867" t="str">
            <v>Clyro C.I.W. School</v>
          </cell>
          <cell r="D6867" t="str">
            <v>Powys</v>
          </cell>
          <cell r="E6867" t="str">
            <v>Welsh Establishment</v>
          </cell>
          <cell r="F6867" t="str">
            <v>Primary</v>
          </cell>
        </row>
        <row r="6868">
          <cell r="A6868">
            <v>8783777</v>
          </cell>
          <cell r="B6868">
            <v>134641</v>
          </cell>
          <cell r="C6868" t="str">
            <v>Clyst Heath Nursery and Community Primary School</v>
          </cell>
          <cell r="D6868" t="str">
            <v>Devon</v>
          </cell>
          <cell r="E6868" t="str">
            <v>Community School</v>
          </cell>
          <cell r="F6868" t="str">
            <v>Primary</v>
          </cell>
        </row>
        <row r="6869">
          <cell r="A6869">
            <v>8783005</v>
          </cell>
          <cell r="B6869">
            <v>113351</v>
          </cell>
          <cell r="C6869" t="str">
            <v>Clyst Honiton Church of England Primary School</v>
          </cell>
          <cell r="D6869" t="str">
            <v>Devon</v>
          </cell>
          <cell r="E6869" t="str">
            <v>Voluntary Aided School</v>
          </cell>
          <cell r="F6869" t="str">
            <v>Primary</v>
          </cell>
        </row>
        <row r="6870">
          <cell r="A6870">
            <v>8782008</v>
          </cell>
          <cell r="B6870">
            <v>113065</v>
          </cell>
          <cell r="C6870" t="str">
            <v>Clyst Hydon Primary School</v>
          </cell>
          <cell r="D6870" t="str">
            <v>Devon</v>
          </cell>
          <cell r="E6870" t="str">
            <v>Community School</v>
          </cell>
          <cell r="F6870" t="str">
            <v>Primary</v>
          </cell>
        </row>
        <row r="6871">
          <cell r="A6871">
            <v>8782009</v>
          </cell>
          <cell r="B6871">
            <v>113066</v>
          </cell>
          <cell r="C6871" t="str">
            <v>Clyst St Mary Primary School</v>
          </cell>
          <cell r="D6871" t="str">
            <v>Devon</v>
          </cell>
          <cell r="E6871" t="str">
            <v>Community School</v>
          </cell>
          <cell r="F6871" t="str">
            <v>Primary</v>
          </cell>
        </row>
        <row r="6872">
          <cell r="A6872">
            <v>8784009</v>
          </cell>
          <cell r="B6872">
            <v>113501</v>
          </cell>
          <cell r="C6872" t="str">
            <v>Clyst Vale Community College</v>
          </cell>
          <cell r="D6872" t="str">
            <v>Devon</v>
          </cell>
          <cell r="E6872" t="str">
            <v>Community School</v>
          </cell>
          <cell r="F6872" t="str">
            <v>Secondary</v>
          </cell>
        </row>
        <row r="6873">
          <cell r="A6873">
            <v>8784009</v>
          </cell>
          <cell r="B6873">
            <v>136638</v>
          </cell>
          <cell r="C6873" t="str">
            <v>Clyst Vale Community College</v>
          </cell>
          <cell r="D6873" t="str">
            <v>Devon</v>
          </cell>
          <cell r="E6873" t="str">
            <v>Academy Converters</v>
          </cell>
          <cell r="F6873" t="str">
            <v>Secondary</v>
          </cell>
        </row>
        <row r="6874">
          <cell r="A6874">
            <v>6802003</v>
          </cell>
          <cell r="B6874">
            <v>401503</v>
          </cell>
          <cell r="C6874" t="str">
            <v>Clytha Primary School</v>
          </cell>
          <cell r="D6874" t="str">
            <v>Newport</v>
          </cell>
          <cell r="E6874" t="str">
            <v>Welsh Establishment</v>
          </cell>
          <cell r="F6874" t="str">
            <v>Primary</v>
          </cell>
        </row>
        <row r="6875">
          <cell r="A6875">
            <v>8856033</v>
          </cell>
          <cell r="B6875">
            <v>131137</v>
          </cell>
          <cell r="C6875" t="str">
            <v>Coach House School</v>
          </cell>
          <cell r="D6875" t="str">
            <v>Worcestershire</v>
          </cell>
          <cell r="E6875" t="str">
            <v>Other Independent Special School</v>
          </cell>
          <cell r="F6875" t="str">
            <v>Not applicable</v>
          </cell>
        </row>
        <row r="6876">
          <cell r="A6876">
            <v>9361115</v>
          </cell>
          <cell r="B6876">
            <v>124930</v>
          </cell>
          <cell r="C6876" t="str">
            <v>Coachman's Cottage Tuition Centre</v>
          </cell>
          <cell r="D6876" t="str">
            <v>Surrey</v>
          </cell>
          <cell r="E6876" t="str">
            <v>Pupil Referral Unit</v>
          </cell>
          <cell r="F6876" t="str">
            <v>PRU</v>
          </cell>
        </row>
        <row r="6877">
          <cell r="A6877">
            <v>9082615</v>
          </cell>
          <cell r="B6877">
            <v>111934</v>
          </cell>
          <cell r="C6877" t="str">
            <v>Coads Green Primary School</v>
          </cell>
          <cell r="D6877" t="str">
            <v>Cornwall</v>
          </cell>
          <cell r="E6877" t="str">
            <v>Community School</v>
          </cell>
          <cell r="F6877" t="str">
            <v>Primary</v>
          </cell>
        </row>
        <row r="6878">
          <cell r="A6878">
            <v>8943315</v>
          </cell>
          <cell r="B6878">
            <v>123542</v>
          </cell>
          <cell r="C6878" t="str">
            <v>Coalbrookdale and Ironbridge CofE Primary School</v>
          </cell>
          <cell r="D6878" t="str">
            <v>Telford and Wrekin</v>
          </cell>
          <cell r="E6878" t="str">
            <v>Voluntary Aided School</v>
          </cell>
          <cell r="F6878" t="str">
            <v>Primary</v>
          </cell>
        </row>
        <row r="6879">
          <cell r="A6879">
            <v>9163026</v>
          </cell>
          <cell r="B6879">
            <v>115616</v>
          </cell>
          <cell r="C6879" t="str">
            <v>Coaley Church of England Primary School</v>
          </cell>
          <cell r="D6879" t="str">
            <v>Gloucestershire</v>
          </cell>
          <cell r="E6879" t="str">
            <v>Voluntary Controlled School</v>
          </cell>
          <cell r="F6879" t="str">
            <v>Primary</v>
          </cell>
        </row>
        <row r="6880">
          <cell r="A6880">
            <v>9162106</v>
          </cell>
          <cell r="B6880">
            <v>115551</v>
          </cell>
          <cell r="C6880" t="str">
            <v>Coalway Community Infant School</v>
          </cell>
          <cell r="D6880" t="str">
            <v>Gloucestershire</v>
          </cell>
          <cell r="E6880" t="str">
            <v>Community School</v>
          </cell>
          <cell r="F6880" t="str">
            <v>Primary</v>
          </cell>
        </row>
        <row r="6881">
          <cell r="A6881">
            <v>9162105</v>
          </cell>
          <cell r="B6881">
            <v>115550</v>
          </cell>
          <cell r="C6881" t="str">
            <v>Coalway Junior School</v>
          </cell>
          <cell r="D6881" t="str">
            <v>Gloucestershire</v>
          </cell>
          <cell r="E6881" t="str">
            <v>Community School</v>
          </cell>
          <cell r="F6881" t="str">
            <v>Primary</v>
          </cell>
        </row>
        <row r="6882">
          <cell r="A6882">
            <v>6682384</v>
          </cell>
          <cell r="B6882">
            <v>400699</v>
          </cell>
          <cell r="C6882" t="str">
            <v>Coastlands County Primary</v>
          </cell>
          <cell r="D6882" t="str">
            <v>Pembrokeshire</v>
          </cell>
          <cell r="E6882" t="str">
            <v>Welsh Establishment</v>
          </cell>
          <cell r="F6882" t="str">
            <v>Primary</v>
          </cell>
        </row>
        <row r="6883">
          <cell r="A6883">
            <v>9163320</v>
          </cell>
          <cell r="B6883">
            <v>128949</v>
          </cell>
          <cell r="C6883" t="str">
            <v>Coates CofE School</v>
          </cell>
          <cell r="D6883" t="str">
            <v>Gloucestershire</v>
          </cell>
          <cell r="E6883" t="str">
            <v>Voluntary Aided School</v>
          </cell>
          <cell r="F6883" t="str">
            <v>Primary</v>
          </cell>
        </row>
        <row r="6884">
          <cell r="A6884">
            <v>8882812</v>
          </cell>
          <cell r="B6884">
            <v>119335</v>
          </cell>
          <cell r="C6884" t="str">
            <v>Coates Lane Primary School</v>
          </cell>
          <cell r="D6884" t="str">
            <v>Lancashire</v>
          </cell>
          <cell r="E6884" t="str">
            <v>Community School</v>
          </cell>
          <cell r="F6884" t="str">
            <v>Primary</v>
          </cell>
        </row>
        <row r="6885">
          <cell r="A6885">
            <v>8732065</v>
          </cell>
          <cell r="B6885">
            <v>110631</v>
          </cell>
          <cell r="C6885" t="str">
            <v>Coates Primary School</v>
          </cell>
          <cell r="D6885" t="str">
            <v>Cambridgeshire</v>
          </cell>
          <cell r="E6885" t="str">
            <v>Community School</v>
          </cell>
          <cell r="F6885" t="str">
            <v>Primary</v>
          </cell>
        </row>
        <row r="6886">
          <cell r="A6886">
            <v>9192433</v>
          </cell>
          <cell r="B6886">
            <v>117340</v>
          </cell>
          <cell r="C6886" t="str">
            <v>Coates Way JMI and Nursery School</v>
          </cell>
          <cell r="D6886" t="str">
            <v>Hertfordshire</v>
          </cell>
          <cell r="E6886" t="str">
            <v>Community School</v>
          </cell>
          <cell r="F6886" t="str">
            <v>Primary</v>
          </cell>
        </row>
        <row r="6887">
          <cell r="A6887">
            <v>8073005</v>
          </cell>
          <cell r="B6887">
            <v>111672</v>
          </cell>
          <cell r="C6887" t="str">
            <v>Coatham Church of England Voluntary Controlled Primary School</v>
          </cell>
          <cell r="D6887" t="str">
            <v>Redcar and Cleveland</v>
          </cell>
          <cell r="E6887" t="str">
            <v>Voluntary Controlled School</v>
          </cell>
          <cell r="F6887" t="str">
            <v>Primary</v>
          </cell>
        </row>
        <row r="6888">
          <cell r="A6888">
            <v>3842001</v>
          </cell>
          <cell r="B6888">
            <v>134278</v>
          </cell>
          <cell r="C6888" t="str">
            <v>Cobblers Lane Primary School</v>
          </cell>
          <cell r="D6888" t="str">
            <v>Wakefield</v>
          </cell>
          <cell r="E6888" t="str">
            <v>Foundation School</v>
          </cell>
          <cell r="F6888" t="str">
            <v>Primary</v>
          </cell>
        </row>
        <row r="6889">
          <cell r="A6889">
            <v>928942</v>
          </cell>
          <cell r="B6889">
            <v>134006</v>
          </cell>
          <cell r="C6889" t="str">
            <v>Cobblers Study Centre</v>
          </cell>
          <cell r="D6889" t="str">
            <v>Northamptonshire</v>
          </cell>
          <cell r="E6889" t="str">
            <v>Playing for Success Centres</v>
          </cell>
          <cell r="F6889" t="str">
            <v>Not applicable</v>
          </cell>
        </row>
        <row r="6890">
          <cell r="A6890">
            <v>8882696</v>
          </cell>
          <cell r="B6890">
            <v>119329</v>
          </cell>
          <cell r="C6890" t="str">
            <v>Cobbs Brow School</v>
          </cell>
          <cell r="D6890" t="str">
            <v>Lancashire</v>
          </cell>
          <cell r="E6890" t="str">
            <v>Community School</v>
          </cell>
          <cell r="F6890" t="str">
            <v>Primary</v>
          </cell>
        </row>
        <row r="6891">
          <cell r="A6891">
            <v>3832052</v>
          </cell>
          <cell r="B6891">
            <v>127818</v>
          </cell>
          <cell r="C6891" t="str">
            <v>Cobden First School</v>
          </cell>
          <cell r="D6891" t="str">
            <v>Leeds</v>
          </cell>
          <cell r="E6891" t="str">
            <v>Community School</v>
          </cell>
          <cell r="F6891" t="str">
            <v>Primary</v>
          </cell>
        </row>
        <row r="6892">
          <cell r="A6892">
            <v>3832487</v>
          </cell>
          <cell r="B6892">
            <v>107963</v>
          </cell>
          <cell r="C6892" t="str">
            <v>Cobden Primary School</v>
          </cell>
          <cell r="D6892" t="str">
            <v>Leeds</v>
          </cell>
          <cell r="E6892" t="str">
            <v>Community School</v>
          </cell>
          <cell r="F6892" t="str">
            <v>Primary</v>
          </cell>
        </row>
        <row r="6893">
          <cell r="A6893">
            <v>8552374</v>
          </cell>
          <cell r="B6893">
            <v>120097</v>
          </cell>
          <cell r="C6893" t="str">
            <v>Cobden Primary School &amp; Children's Centre</v>
          </cell>
          <cell r="D6893" t="str">
            <v>Leicestershire</v>
          </cell>
          <cell r="E6893" t="str">
            <v>Community School</v>
          </cell>
          <cell r="F6893" t="str">
            <v>Primary</v>
          </cell>
        </row>
        <row r="6894">
          <cell r="A6894">
            <v>9163027</v>
          </cell>
          <cell r="B6894">
            <v>115617</v>
          </cell>
          <cell r="C6894" t="str">
            <v>Coberley Church of England Primary School</v>
          </cell>
          <cell r="D6894" t="str">
            <v>Gloucestershire</v>
          </cell>
          <cell r="E6894" t="str">
            <v>Voluntary Controlled School</v>
          </cell>
          <cell r="F6894" t="str">
            <v>Primary</v>
          </cell>
        </row>
        <row r="6895">
          <cell r="A6895">
            <v>9362098</v>
          </cell>
          <cell r="B6895">
            <v>130020</v>
          </cell>
          <cell r="C6895" t="str">
            <v>Cobham County First School</v>
          </cell>
          <cell r="D6895" t="str">
            <v>Surrey</v>
          </cell>
          <cell r="E6895" t="str">
            <v>Community School</v>
          </cell>
          <cell r="F6895" t="str">
            <v>Primary</v>
          </cell>
        </row>
        <row r="6896">
          <cell r="A6896">
            <v>8866044</v>
          </cell>
          <cell r="B6896">
            <v>118991</v>
          </cell>
          <cell r="C6896" t="str">
            <v>Cobham Hall</v>
          </cell>
          <cell r="D6896" t="str">
            <v>Kent</v>
          </cell>
          <cell r="E6896" t="str">
            <v>Other Independent School</v>
          </cell>
          <cell r="F6896" t="str">
            <v>Not applicable</v>
          </cell>
        </row>
        <row r="6897">
          <cell r="A6897">
            <v>8862094</v>
          </cell>
          <cell r="B6897">
            <v>118257</v>
          </cell>
          <cell r="C6897" t="str">
            <v>Cobham Primary School</v>
          </cell>
          <cell r="D6897" t="str">
            <v>Kent</v>
          </cell>
          <cell r="E6897" t="str">
            <v>Community School</v>
          </cell>
          <cell r="F6897" t="str">
            <v>Primary</v>
          </cell>
        </row>
        <row r="6898">
          <cell r="A6898">
            <v>9262340</v>
          </cell>
          <cell r="B6898">
            <v>120971</v>
          </cell>
          <cell r="C6898" t="str">
            <v>Cobholm Primary School</v>
          </cell>
          <cell r="D6898" t="str">
            <v>Norfolk</v>
          </cell>
          <cell r="E6898" t="str">
            <v>Community School</v>
          </cell>
          <cell r="F6898" t="str">
            <v>Primary</v>
          </cell>
        </row>
        <row r="6899">
          <cell r="A6899">
            <v>2102116</v>
          </cell>
          <cell r="B6899">
            <v>100782</v>
          </cell>
          <cell r="C6899" t="str">
            <v>Cobourg Primary School</v>
          </cell>
          <cell r="D6899" t="str">
            <v>Southwark</v>
          </cell>
          <cell r="E6899" t="str">
            <v>Community School</v>
          </cell>
          <cell r="F6899" t="str">
            <v>Primary</v>
          </cell>
        </row>
        <row r="6900">
          <cell r="A6900">
            <v>3834047</v>
          </cell>
          <cell r="B6900">
            <v>108065</v>
          </cell>
          <cell r="C6900" t="str">
            <v>Cockburn</v>
          </cell>
          <cell r="D6900" t="str">
            <v>Leeds</v>
          </cell>
          <cell r="E6900" t="str">
            <v>Foundation School</v>
          </cell>
          <cell r="F6900" t="str">
            <v>Secondary</v>
          </cell>
        </row>
        <row r="6901">
          <cell r="A6901">
            <v>3834020</v>
          </cell>
          <cell r="B6901">
            <v>127966</v>
          </cell>
          <cell r="C6901" t="str">
            <v>Cockburn High School</v>
          </cell>
          <cell r="D6901" t="str">
            <v>Leeds</v>
          </cell>
          <cell r="E6901" t="str">
            <v>Community School</v>
          </cell>
          <cell r="F6901" t="str">
            <v>Secondary</v>
          </cell>
        </row>
        <row r="6902">
          <cell r="A6902">
            <v>8883522</v>
          </cell>
          <cell r="B6902">
            <v>119525</v>
          </cell>
          <cell r="C6902" t="str">
            <v>Cockerham Parochial Church of England Primary School</v>
          </cell>
          <cell r="D6902" t="str">
            <v>Lancashire</v>
          </cell>
          <cell r="E6902" t="str">
            <v>Voluntary Aided School</v>
          </cell>
          <cell r="F6902" t="str">
            <v>Primary</v>
          </cell>
        </row>
        <row r="6903">
          <cell r="A6903">
            <v>9094103</v>
          </cell>
          <cell r="B6903">
            <v>112381</v>
          </cell>
          <cell r="C6903" t="str">
            <v>Cockermouth School</v>
          </cell>
          <cell r="D6903" t="str">
            <v>Cumbria</v>
          </cell>
          <cell r="E6903" t="str">
            <v>Community School</v>
          </cell>
          <cell r="F6903" t="str">
            <v>Secondary</v>
          </cell>
        </row>
        <row r="6904">
          <cell r="A6904">
            <v>9193358</v>
          </cell>
          <cell r="B6904">
            <v>117446</v>
          </cell>
          <cell r="C6904" t="str">
            <v>Cockernhoe Endowed CofE Primary School</v>
          </cell>
          <cell r="D6904" t="str">
            <v>Hertfordshire</v>
          </cell>
          <cell r="E6904" t="str">
            <v>Voluntary Aided School</v>
          </cell>
          <cell r="F6904" t="str">
            <v>Primary</v>
          </cell>
        </row>
        <row r="6905">
          <cell r="A6905">
            <v>8413002</v>
          </cell>
          <cell r="B6905">
            <v>114212</v>
          </cell>
          <cell r="C6905" t="str">
            <v>Cockerton Church of England Primary School</v>
          </cell>
          <cell r="D6905" t="str">
            <v>Darlington</v>
          </cell>
          <cell r="E6905" t="str">
            <v>Voluntary Aided School</v>
          </cell>
          <cell r="F6905" t="str">
            <v>Primary</v>
          </cell>
        </row>
        <row r="6906">
          <cell r="A6906">
            <v>9353013</v>
          </cell>
          <cell r="B6906">
            <v>124694</v>
          </cell>
          <cell r="C6906" t="str">
            <v>Cockfield Church of England Voluntary Controlled Primary School</v>
          </cell>
          <cell r="D6906" t="str">
            <v>Suffolk</v>
          </cell>
          <cell r="E6906" t="str">
            <v>Voluntary Controlled School</v>
          </cell>
          <cell r="F6906" t="str">
            <v>Primary</v>
          </cell>
        </row>
        <row r="6907">
          <cell r="A6907">
            <v>8402440</v>
          </cell>
          <cell r="B6907">
            <v>114114</v>
          </cell>
          <cell r="C6907" t="str">
            <v>Cockfield Primary School</v>
          </cell>
          <cell r="D6907" t="str">
            <v>Durham</v>
          </cell>
          <cell r="E6907" t="str">
            <v>Community School</v>
          </cell>
          <cell r="F6907" t="str">
            <v>Primary</v>
          </cell>
        </row>
        <row r="6908">
          <cell r="A6908">
            <v>8802453</v>
          </cell>
          <cell r="B6908">
            <v>113229</v>
          </cell>
          <cell r="C6908" t="str">
            <v>Cockington Community Primary School</v>
          </cell>
          <cell r="D6908" t="str">
            <v>Torbay</v>
          </cell>
          <cell r="E6908" t="str">
            <v>Community School</v>
          </cell>
          <cell r="F6908" t="str">
            <v>Primary</v>
          </cell>
        </row>
        <row r="6909">
          <cell r="A6909">
            <v>3304233</v>
          </cell>
          <cell r="B6909">
            <v>103513</v>
          </cell>
          <cell r="C6909" t="str">
            <v>Cockshut Hill Technology College</v>
          </cell>
          <cell r="D6909" t="str">
            <v>Birmingham</v>
          </cell>
          <cell r="E6909" t="str">
            <v>Community School</v>
          </cell>
          <cell r="F6909" t="str">
            <v>Secondary</v>
          </cell>
        </row>
        <row r="6910">
          <cell r="A6910">
            <v>8933027</v>
          </cell>
          <cell r="B6910">
            <v>123470</v>
          </cell>
          <cell r="C6910" t="str">
            <v>Cockshutt CofE Primary School</v>
          </cell>
          <cell r="D6910" t="str">
            <v>Shropshire</v>
          </cell>
          <cell r="E6910" t="str">
            <v>Voluntary Controlled School</v>
          </cell>
          <cell r="F6910" t="str">
            <v>Primary</v>
          </cell>
        </row>
        <row r="6911">
          <cell r="A6911">
            <v>8402434</v>
          </cell>
          <cell r="B6911">
            <v>114111</v>
          </cell>
          <cell r="C6911" t="str">
            <v>Cockton Hill Infant School</v>
          </cell>
          <cell r="D6911" t="str">
            <v>Durham</v>
          </cell>
          <cell r="E6911" t="str">
            <v>Community School</v>
          </cell>
          <cell r="F6911" t="str">
            <v>Primary</v>
          </cell>
        </row>
        <row r="6912">
          <cell r="A6912">
            <v>8402433</v>
          </cell>
          <cell r="B6912">
            <v>114110</v>
          </cell>
          <cell r="C6912" t="str">
            <v>Cockton Hill Junior School</v>
          </cell>
          <cell r="D6912" t="str">
            <v>Durham</v>
          </cell>
          <cell r="E6912" t="str">
            <v>Community School</v>
          </cell>
          <cell r="F6912" t="str">
            <v>Primary</v>
          </cell>
        </row>
        <row r="6913">
          <cell r="A6913">
            <v>8782411</v>
          </cell>
          <cell r="B6913">
            <v>113194</v>
          </cell>
          <cell r="C6913" t="str">
            <v>Cockwood Primary School</v>
          </cell>
          <cell r="D6913" t="str">
            <v>Devon</v>
          </cell>
          <cell r="E6913" t="str">
            <v>Community School</v>
          </cell>
          <cell r="F6913" t="str">
            <v>Primary</v>
          </cell>
        </row>
        <row r="6914">
          <cell r="A6914">
            <v>8913081</v>
          </cell>
          <cell r="B6914">
            <v>122754</v>
          </cell>
          <cell r="C6914" t="str">
            <v>Coddington CofE Primary and Nursery School</v>
          </cell>
          <cell r="D6914" t="str">
            <v>Nottinghamshire</v>
          </cell>
          <cell r="E6914" t="str">
            <v>Voluntary Controlled School</v>
          </cell>
          <cell r="F6914" t="str">
            <v>Primary</v>
          </cell>
        </row>
        <row r="6915">
          <cell r="A6915">
            <v>8846014</v>
          </cell>
          <cell r="B6915">
            <v>133361</v>
          </cell>
          <cell r="C6915" t="str">
            <v>Coddington Court School</v>
          </cell>
          <cell r="D6915" t="str">
            <v>Herefordshire</v>
          </cell>
          <cell r="E6915" t="str">
            <v>Other Independent Special School</v>
          </cell>
          <cell r="F6915" t="str">
            <v>Not applicable</v>
          </cell>
        </row>
        <row r="6916">
          <cell r="A6916">
            <v>8653050</v>
          </cell>
          <cell r="B6916">
            <v>126321</v>
          </cell>
          <cell r="C6916" t="str">
            <v>Codford Church of England Primary School</v>
          </cell>
          <cell r="D6916" t="str">
            <v>Wiltshire</v>
          </cell>
          <cell r="E6916" t="str">
            <v>Voluntary Controlled School</v>
          </cell>
          <cell r="F6916" t="str">
            <v>Primary</v>
          </cell>
        </row>
        <row r="6917">
          <cell r="A6917">
            <v>9193013</v>
          </cell>
          <cell r="B6917">
            <v>117392</v>
          </cell>
          <cell r="C6917" t="str">
            <v>Codicote Church of England Primary School</v>
          </cell>
          <cell r="D6917" t="str">
            <v>Hertfordshire</v>
          </cell>
          <cell r="E6917" t="str">
            <v>Voluntary Controlled School</v>
          </cell>
          <cell r="F6917" t="str">
            <v>Primary</v>
          </cell>
        </row>
        <row r="6918">
          <cell r="A6918">
            <v>8303044</v>
          </cell>
          <cell r="B6918">
            <v>112825</v>
          </cell>
          <cell r="C6918" t="str">
            <v>Codnor CofE Junior School</v>
          </cell>
          <cell r="D6918" t="str">
            <v>Derbyshire</v>
          </cell>
          <cell r="E6918" t="str">
            <v>Voluntary Controlled School</v>
          </cell>
          <cell r="F6918" t="str">
            <v>Primary</v>
          </cell>
        </row>
        <row r="6919">
          <cell r="A6919">
            <v>8303164</v>
          </cell>
          <cell r="B6919">
            <v>131156</v>
          </cell>
          <cell r="C6919" t="str">
            <v>Codnor Community Primary School Church of England Controlled</v>
          </cell>
          <cell r="D6919" t="str">
            <v>Derbyshire</v>
          </cell>
          <cell r="E6919" t="str">
            <v>Voluntary Controlled School</v>
          </cell>
          <cell r="F6919" t="str">
            <v>Primary</v>
          </cell>
        </row>
        <row r="6920">
          <cell r="A6920">
            <v>8302117</v>
          </cell>
          <cell r="B6920">
            <v>112556</v>
          </cell>
          <cell r="C6920" t="str">
            <v>Codnor Infant School</v>
          </cell>
          <cell r="D6920" t="str">
            <v>Derbyshire</v>
          </cell>
          <cell r="E6920" t="str">
            <v>Community School</v>
          </cell>
          <cell r="F6920" t="str">
            <v>Primary</v>
          </cell>
        </row>
        <row r="6921">
          <cell r="A6921">
            <v>8604075</v>
          </cell>
          <cell r="B6921">
            <v>124400</v>
          </cell>
          <cell r="C6921" t="str">
            <v>Codsall Community High School</v>
          </cell>
          <cell r="D6921" t="str">
            <v>Staffordshire</v>
          </cell>
          <cell r="E6921" t="str">
            <v>Community School</v>
          </cell>
          <cell r="F6921" t="str">
            <v>Secondary</v>
          </cell>
        </row>
        <row r="6922">
          <cell r="A6922">
            <v>8604133</v>
          </cell>
          <cell r="B6922">
            <v>124424</v>
          </cell>
          <cell r="C6922" t="str">
            <v>Codsall Middle School</v>
          </cell>
          <cell r="D6922" t="str">
            <v>Staffordshire</v>
          </cell>
          <cell r="E6922" t="str">
            <v>Community School</v>
          </cell>
          <cell r="F6922" t="str">
            <v>Middle Deemed Secondary</v>
          </cell>
        </row>
        <row r="6923">
          <cell r="A6923">
            <v>6772250</v>
          </cell>
          <cell r="B6923">
            <v>401404</v>
          </cell>
          <cell r="C6923" t="str">
            <v>Coed Cae Junior School</v>
          </cell>
          <cell r="D6923" t="str">
            <v>Blaenau Gwent</v>
          </cell>
          <cell r="E6923" t="str">
            <v>Welsh Establishment</v>
          </cell>
          <cell r="F6923" t="str">
            <v>Primary</v>
          </cell>
        </row>
        <row r="6924">
          <cell r="A6924">
            <v>6782239</v>
          </cell>
          <cell r="B6924">
            <v>401439</v>
          </cell>
          <cell r="C6924" t="str">
            <v>Coed Eva Infant School</v>
          </cell>
          <cell r="D6924" t="str">
            <v>Torfaen</v>
          </cell>
          <cell r="E6924" t="str">
            <v>Welsh Establishment</v>
          </cell>
          <cell r="F6924" t="str">
            <v>Primary</v>
          </cell>
        </row>
        <row r="6925">
          <cell r="A6925">
            <v>6782240</v>
          </cell>
          <cell r="B6925">
            <v>401440</v>
          </cell>
          <cell r="C6925" t="str">
            <v>Coed Eva Junior Mixed School</v>
          </cell>
          <cell r="D6925" t="str">
            <v>Torfaen</v>
          </cell>
          <cell r="E6925" t="str">
            <v>Welsh Establishment</v>
          </cell>
          <cell r="F6925" t="str">
            <v>Primary</v>
          </cell>
        </row>
        <row r="6926">
          <cell r="A6926">
            <v>6782324</v>
          </cell>
          <cell r="B6926">
            <v>402204</v>
          </cell>
          <cell r="C6926" t="str">
            <v>Coed Eva Primary</v>
          </cell>
          <cell r="D6926" t="str">
            <v>Torfaen</v>
          </cell>
          <cell r="E6926" t="str">
            <v>Welsh Establishment</v>
          </cell>
          <cell r="F6926" t="str">
            <v>Primary</v>
          </cell>
        </row>
        <row r="6927">
          <cell r="A6927">
            <v>6812072</v>
          </cell>
          <cell r="B6927">
            <v>401598</v>
          </cell>
          <cell r="C6927" t="str">
            <v>Coed Glas Primary School</v>
          </cell>
          <cell r="D6927" t="str">
            <v>Cardiff</v>
          </cell>
          <cell r="E6927" t="str">
            <v>Welsh Establishment</v>
          </cell>
          <cell r="F6927" t="str">
            <v>Primary</v>
          </cell>
        </row>
        <row r="6928">
          <cell r="A6928">
            <v>6712232</v>
          </cell>
          <cell r="B6928">
            <v>401017</v>
          </cell>
          <cell r="C6928" t="str">
            <v>Coed Hirwaun Primary School</v>
          </cell>
          <cell r="D6928" t="str">
            <v>Neath Port Talbot</v>
          </cell>
          <cell r="E6928" t="str">
            <v>Welsh Establishment</v>
          </cell>
          <cell r="F6928" t="str">
            <v>Primary</v>
          </cell>
        </row>
        <row r="6929">
          <cell r="A6929">
            <v>6772313</v>
          </cell>
          <cell r="B6929">
            <v>402118</v>
          </cell>
          <cell r="C6929" t="str">
            <v>Coed -y- Garn Primary School</v>
          </cell>
          <cell r="D6929" t="str">
            <v>Blaenau Gwent</v>
          </cell>
          <cell r="E6929" t="str">
            <v>Welsh Establishment</v>
          </cell>
          <cell r="F6929" t="str">
            <v>Primary</v>
          </cell>
        </row>
        <row r="6930">
          <cell r="A6930">
            <v>6694050</v>
          </cell>
          <cell r="B6930">
            <v>401752</v>
          </cell>
          <cell r="C6930" t="str">
            <v>Coedcae School</v>
          </cell>
          <cell r="D6930" t="str">
            <v>Carmarthenshire</v>
          </cell>
          <cell r="E6930" t="str">
            <v>Welsh Establishment</v>
          </cell>
          <cell r="F6930" t="str">
            <v>Secondary</v>
          </cell>
        </row>
        <row r="6931">
          <cell r="A6931">
            <v>6712126</v>
          </cell>
          <cell r="B6931">
            <v>400963</v>
          </cell>
          <cell r="C6931" t="str">
            <v>Coedffranc Infant School</v>
          </cell>
          <cell r="D6931" t="str">
            <v>Neath Port Talbot</v>
          </cell>
          <cell r="E6931" t="str">
            <v>Welsh Establishment</v>
          </cell>
          <cell r="F6931" t="str">
            <v>Primary</v>
          </cell>
        </row>
        <row r="6932">
          <cell r="A6932">
            <v>6712121</v>
          </cell>
          <cell r="B6932">
            <v>400960</v>
          </cell>
          <cell r="C6932" t="str">
            <v>Coedffranc Junior School</v>
          </cell>
          <cell r="D6932" t="str">
            <v>Neath Port Talbot</v>
          </cell>
          <cell r="E6932" t="str">
            <v>Welsh Establishment</v>
          </cell>
          <cell r="F6932" t="str">
            <v>Primary</v>
          </cell>
        </row>
        <row r="6933">
          <cell r="A6933">
            <v>6712233</v>
          </cell>
          <cell r="B6933">
            <v>402113</v>
          </cell>
          <cell r="C6933" t="str">
            <v>Coedffranc Primary School</v>
          </cell>
          <cell r="D6933" t="str">
            <v>Neath Port Talbot</v>
          </cell>
          <cell r="E6933" t="str">
            <v>Welsh Establishment</v>
          </cell>
          <cell r="F6933" t="str">
            <v>Primary</v>
          </cell>
        </row>
        <row r="6934">
          <cell r="A6934">
            <v>6742066</v>
          </cell>
          <cell r="B6934">
            <v>401144</v>
          </cell>
          <cell r="C6934" t="str">
            <v>Coedpenmaen County Primary School</v>
          </cell>
          <cell r="D6934" t="str">
            <v>Rhondda, Cynon, Taff</v>
          </cell>
          <cell r="E6934" t="str">
            <v>Welsh Establishment</v>
          </cell>
          <cell r="F6934" t="str">
            <v>Primary</v>
          </cell>
        </row>
        <row r="6935">
          <cell r="A6935">
            <v>6762071</v>
          </cell>
          <cell r="B6935">
            <v>401302</v>
          </cell>
          <cell r="C6935" t="str">
            <v>Coed-Y-Brain Primary School</v>
          </cell>
          <cell r="D6935" t="str">
            <v>Caerphilly</v>
          </cell>
          <cell r="E6935" t="str">
            <v>Welsh Establishment</v>
          </cell>
          <cell r="F6935" t="str">
            <v>Primary</v>
          </cell>
        </row>
        <row r="6936">
          <cell r="A6936">
            <v>6742072</v>
          </cell>
          <cell r="B6936">
            <v>401147</v>
          </cell>
          <cell r="C6936" t="str">
            <v>Coedylan Primary School</v>
          </cell>
          <cell r="D6936" t="str">
            <v>Rhondda, Cynon, Taff</v>
          </cell>
          <cell r="E6936" t="str">
            <v>Welsh Establishment</v>
          </cell>
          <cell r="F6936" t="str">
            <v>Primary</v>
          </cell>
        </row>
        <row r="6937">
          <cell r="A6937">
            <v>6662108</v>
          </cell>
          <cell r="B6937">
            <v>400523</v>
          </cell>
          <cell r="C6937" t="str">
            <v>Coelbren C.P. School</v>
          </cell>
          <cell r="D6937" t="str">
            <v>Powys</v>
          </cell>
          <cell r="E6937" t="str">
            <v>Welsh Establishment</v>
          </cell>
          <cell r="F6937" t="str">
            <v>Primary</v>
          </cell>
        </row>
        <row r="6938">
          <cell r="A6938">
            <v>8609900</v>
          </cell>
          <cell r="B6938">
            <v>132992</v>
          </cell>
          <cell r="C6938" t="str">
            <v>CofE D A R S</v>
          </cell>
          <cell r="D6938" t="str">
            <v>Staffordshire</v>
          </cell>
          <cell r="E6938" t="str">
            <v>Miscellaneous</v>
          </cell>
          <cell r="F6938" t="str">
            <v>Not applicable</v>
          </cell>
        </row>
        <row r="6939">
          <cell r="A6939">
            <v>3523490</v>
          </cell>
          <cell r="B6939">
            <v>105547</v>
          </cell>
          <cell r="C6939" t="str">
            <v>CofE School of the Resurrection</v>
          </cell>
          <cell r="D6939" t="str">
            <v>Manchester</v>
          </cell>
          <cell r="E6939" t="str">
            <v>Voluntary Aided School</v>
          </cell>
          <cell r="F6939" t="str">
            <v>Primary</v>
          </cell>
        </row>
        <row r="6940">
          <cell r="A6940">
            <v>3302289</v>
          </cell>
          <cell r="B6940">
            <v>103315</v>
          </cell>
          <cell r="C6940" t="str">
            <v>Cofton Primary School</v>
          </cell>
          <cell r="D6940" t="str">
            <v>Birmingham</v>
          </cell>
          <cell r="E6940" t="str">
            <v>Community School</v>
          </cell>
          <cell r="F6940" t="str">
            <v>Primary</v>
          </cell>
        </row>
        <row r="6941">
          <cell r="A6941">
            <v>6731011</v>
          </cell>
          <cell r="B6941">
            <v>400012</v>
          </cell>
          <cell r="C6941" t="str">
            <v>Cogan Nursery School</v>
          </cell>
          <cell r="D6941" t="str">
            <v>The Vale of Glamorgan</v>
          </cell>
          <cell r="E6941" t="str">
            <v>Welsh Establishment</v>
          </cell>
          <cell r="F6941" t="str">
            <v>Nursery</v>
          </cell>
        </row>
        <row r="6942">
          <cell r="A6942">
            <v>6732114</v>
          </cell>
          <cell r="B6942">
            <v>401088</v>
          </cell>
          <cell r="C6942" t="str">
            <v>Cogan Primary School</v>
          </cell>
          <cell r="D6942" t="str">
            <v>The Vale of Glamorgan</v>
          </cell>
          <cell r="E6942" t="str">
            <v>Welsh Establishment</v>
          </cell>
          <cell r="F6942" t="str">
            <v>Primary</v>
          </cell>
        </row>
        <row r="6943">
          <cell r="A6943">
            <v>9282015</v>
          </cell>
          <cell r="B6943">
            <v>121805</v>
          </cell>
          <cell r="C6943" t="str">
            <v>Cogenhoe Primary School</v>
          </cell>
          <cell r="D6943" t="str">
            <v>Northamptonshire</v>
          </cell>
          <cell r="E6943" t="str">
            <v>Community School</v>
          </cell>
          <cell r="F6943" t="str">
            <v>Primary</v>
          </cell>
        </row>
        <row r="6944">
          <cell r="A6944">
            <v>3732312</v>
          </cell>
          <cell r="B6944">
            <v>107060</v>
          </cell>
          <cell r="C6944" t="str">
            <v>Coit Primary School</v>
          </cell>
          <cell r="D6944" t="str">
            <v>Sheffield</v>
          </cell>
          <cell r="E6944" t="str">
            <v>Community School</v>
          </cell>
          <cell r="F6944" t="str">
            <v>Primary</v>
          </cell>
        </row>
        <row r="6945">
          <cell r="A6945">
            <v>6722109</v>
          </cell>
          <cell r="B6945">
            <v>401032</v>
          </cell>
          <cell r="C6945" t="str">
            <v>Coity Primary School</v>
          </cell>
          <cell r="D6945" t="str">
            <v>Bridgend</v>
          </cell>
          <cell r="E6945" t="str">
            <v>Welsh Establishment</v>
          </cell>
          <cell r="F6945" t="str">
            <v>Primary</v>
          </cell>
        </row>
        <row r="6946">
          <cell r="A6946">
            <v>9316046</v>
          </cell>
          <cell r="B6946">
            <v>123283</v>
          </cell>
          <cell r="C6946" t="str">
            <v>Cokethorpe School</v>
          </cell>
          <cell r="D6946" t="str">
            <v>Oxfordshire</v>
          </cell>
          <cell r="E6946" t="str">
            <v>Other Independent School</v>
          </cell>
          <cell r="F6946" t="str">
            <v>Not applicable</v>
          </cell>
        </row>
        <row r="6947">
          <cell r="A6947">
            <v>8816052</v>
          </cell>
          <cell r="B6947">
            <v>134563</v>
          </cell>
          <cell r="C6947" t="str">
            <v>Col01 - Colchester Bridge Year 11</v>
          </cell>
          <cell r="D6947" t="str">
            <v>Essex</v>
          </cell>
          <cell r="E6947" t="str">
            <v>Other Independent School</v>
          </cell>
          <cell r="F6947" t="str">
            <v>Not applicable</v>
          </cell>
        </row>
        <row r="6948">
          <cell r="A6948">
            <v>8815445</v>
          </cell>
          <cell r="B6948">
            <v>115361</v>
          </cell>
          <cell r="C6948" t="str">
            <v>Colbayns High School</v>
          </cell>
          <cell r="D6948" t="str">
            <v>Essex</v>
          </cell>
          <cell r="E6948" t="str">
            <v>Foundation School</v>
          </cell>
          <cell r="F6948" t="str">
            <v>Secondary</v>
          </cell>
        </row>
        <row r="6949">
          <cell r="A6949">
            <v>8152167</v>
          </cell>
          <cell r="B6949">
            <v>121334</v>
          </cell>
          <cell r="C6949" t="str">
            <v>Colburn Community Primary School</v>
          </cell>
          <cell r="D6949" t="str">
            <v>North Yorkshire</v>
          </cell>
          <cell r="E6949" t="str">
            <v>Community School</v>
          </cell>
          <cell r="F6949" t="str">
            <v>Primary</v>
          </cell>
        </row>
        <row r="6950">
          <cell r="A6950">
            <v>9262038</v>
          </cell>
          <cell r="B6950">
            <v>120798</v>
          </cell>
          <cell r="C6950" t="str">
            <v>Colby Primary School</v>
          </cell>
          <cell r="D6950" t="str">
            <v>Norfolk</v>
          </cell>
          <cell r="E6950" t="str">
            <v>Community School</v>
          </cell>
          <cell r="F6950" t="str">
            <v>Primary</v>
          </cell>
        </row>
        <row r="6951">
          <cell r="A6951">
            <v>8816911</v>
          </cell>
          <cell r="B6951">
            <v>136195</v>
          </cell>
          <cell r="C6951" t="str">
            <v>Colchester Academy</v>
          </cell>
          <cell r="D6951" t="str">
            <v>Essex</v>
          </cell>
          <cell r="E6951" t="str">
            <v>Academy Sponsor Led</v>
          </cell>
          <cell r="F6951" t="str">
            <v>Secondary</v>
          </cell>
        </row>
        <row r="6952">
          <cell r="A6952">
            <v>8815454</v>
          </cell>
          <cell r="B6952">
            <v>115370</v>
          </cell>
          <cell r="C6952" t="str">
            <v>Colchester County High School for Girls</v>
          </cell>
          <cell r="D6952" t="str">
            <v>Essex</v>
          </cell>
          <cell r="E6952" t="str">
            <v>Foundation School</v>
          </cell>
          <cell r="F6952" t="str">
            <v>Secondary</v>
          </cell>
        </row>
        <row r="6953">
          <cell r="A6953">
            <v>8815454</v>
          </cell>
          <cell r="B6953">
            <v>137515</v>
          </cell>
          <cell r="C6953" t="str">
            <v>Colchester County High School for Girls</v>
          </cell>
          <cell r="D6953" t="str">
            <v>Essex</v>
          </cell>
          <cell r="E6953" t="str">
            <v>Academy Converters</v>
          </cell>
          <cell r="F6953" t="str">
            <v>Secondary</v>
          </cell>
        </row>
        <row r="6954">
          <cell r="A6954">
            <v>8816015</v>
          </cell>
          <cell r="B6954">
            <v>115409</v>
          </cell>
          <cell r="C6954" t="str">
            <v>Colchester High School</v>
          </cell>
          <cell r="D6954" t="str">
            <v>Essex</v>
          </cell>
          <cell r="E6954" t="str">
            <v>Other Independent School</v>
          </cell>
          <cell r="F6954" t="str">
            <v>Not applicable</v>
          </cell>
        </row>
        <row r="6955">
          <cell r="A6955">
            <v>8818006</v>
          </cell>
          <cell r="B6955">
            <v>130674</v>
          </cell>
          <cell r="C6955" t="str">
            <v>Colchester Institute</v>
          </cell>
          <cell r="D6955" t="str">
            <v>Essex</v>
          </cell>
          <cell r="E6955" t="str">
            <v>Further Education</v>
          </cell>
          <cell r="F6955" t="str">
            <v>16 Plus</v>
          </cell>
        </row>
        <row r="6956">
          <cell r="A6956">
            <v>8811104</v>
          </cell>
          <cell r="B6956">
            <v>131643</v>
          </cell>
          <cell r="C6956" t="str">
            <v>Colchester Pupil Referral Unit</v>
          </cell>
          <cell r="D6956" t="str">
            <v>Essex</v>
          </cell>
          <cell r="E6956" t="str">
            <v>Pupil Referral Unit</v>
          </cell>
          <cell r="F6956" t="str">
            <v>PRU</v>
          </cell>
        </row>
        <row r="6957">
          <cell r="A6957">
            <v>8815443</v>
          </cell>
          <cell r="B6957">
            <v>115359</v>
          </cell>
          <cell r="C6957" t="str">
            <v>Colchester Royal Grammar School</v>
          </cell>
          <cell r="D6957" t="str">
            <v>Essex</v>
          </cell>
          <cell r="E6957" t="str">
            <v>Foundation School</v>
          </cell>
          <cell r="F6957" t="str">
            <v>Secondary</v>
          </cell>
        </row>
        <row r="6958">
          <cell r="A6958">
            <v>9154028</v>
          </cell>
          <cell r="B6958">
            <v>128903</v>
          </cell>
          <cell r="C6958" t="str">
            <v>Colchester Sixth Form College</v>
          </cell>
          <cell r="D6958" t="str">
            <v>Pre LGR (1998) Essex</v>
          </cell>
          <cell r="E6958" t="str">
            <v>Community School</v>
          </cell>
          <cell r="F6958" t="str">
            <v>Secondary</v>
          </cell>
        </row>
        <row r="6959">
          <cell r="A6959">
            <v>881940</v>
          </cell>
          <cell r="B6959">
            <v>135033</v>
          </cell>
          <cell r="C6959" t="str">
            <v>Colchester United Community Sports Trust Learning Centre</v>
          </cell>
          <cell r="D6959" t="str">
            <v>Essex</v>
          </cell>
          <cell r="E6959" t="str">
            <v>Playing for Success Centres</v>
          </cell>
          <cell r="F6959" t="str">
            <v>Not applicable</v>
          </cell>
        </row>
        <row r="6960">
          <cell r="A6960">
            <v>6732115</v>
          </cell>
          <cell r="B6960">
            <v>401089</v>
          </cell>
          <cell r="C6960" t="str">
            <v>Colcot Primary School</v>
          </cell>
          <cell r="D6960" t="str">
            <v>The Vale of Glamorgan</v>
          </cell>
          <cell r="E6960" t="str">
            <v>Welsh Establishment</v>
          </cell>
          <cell r="F6960" t="str">
            <v>Primary</v>
          </cell>
        </row>
        <row r="6961">
          <cell r="A6961">
            <v>8693018</v>
          </cell>
          <cell r="B6961">
            <v>109958</v>
          </cell>
          <cell r="C6961" t="str">
            <v>Cold Ash St Mark's C.E. School</v>
          </cell>
          <cell r="D6961" t="str">
            <v>West Berkshire</v>
          </cell>
          <cell r="E6961" t="str">
            <v>Voluntary Controlled School</v>
          </cell>
          <cell r="F6961" t="str">
            <v>Primary</v>
          </cell>
        </row>
        <row r="6962">
          <cell r="A6962">
            <v>9163017</v>
          </cell>
          <cell r="B6962">
            <v>115609</v>
          </cell>
          <cell r="C6962" t="str">
            <v>Cold Aston Church of England Primary School</v>
          </cell>
          <cell r="D6962" t="str">
            <v>Gloucestershire</v>
          </cell>
          <cell r="E6962" t="str">
            <v>Voluntary Controlled School</v>
          </cell>
          <cell r="F6962" t="str">
            <v>Primary</v>
          </cell>
        </row>
        <row r="6963">
          <cell r="A6963">
            <v>8263000</v>
          </cell>
          <cell r="B6963">
            <v>110404</v>
          </cell>
          <cell r="C6963" t="str">
            <v>Cold Harbour Church of England School</v>
          </cell>
          <cell r="D6963" t="str">
            <v>Milton Keynes</v>
          </cell>
          <cell r="E6963" t="str">
            <v>Voluntary Controlled School</v>
          </cell>
          <cell r="F6963" t="str">
            <v>Primary</v>
          </cell>
        </row>
        <row r="6964">
          <cell r="A6964">
            <v>8812590</v>
          </cell>
          <cell r="B6964">
            <v>114904</v>
          </cell>
          <cell r="C6964" t="str">
            <v>Cold Norton Primary School</v>
          </cell>
          <cell r="D6964" t="str">
            <v>Essex</v>
          </cell>
          <cell r="E6964" t="str">
            <v>Community School</v>
          </cell>
          <cell r="F6964" t="str">
            <v>Primary</v>
          </cell>
        </row>
        <row r="6965">
          <cell r="A6965">
            <v>8462005</v>
          </cell>
          <cell r="B6965">
            <v>114364</v>
          </cell>
          <cell r="C6965" t="str">
            <v>Coldean Junior School</v>
          </cell>
          <cell r="D6965" t="str">
            <v>Brighton and Hove</v>
          </cell>
          <cell r="E6965" t="str">
            <v>Community School</v>
          </cell>
          <cell r="F6965" t="str">
            <v>Primary</v>
          </cell>
        </row>
        <row r="6966">
          <cell r="A6966">
            <v>8462044</v>
          </cell>
          <cell r="B6966">
            <v>114384</v>
          </cell>
          <cell r="C6966" t="str">
            <v>Coldean Primary School</v>
          </cell>
          <cell r="D6966" t="str">
            <v>Brighton and Hove</v>
          </cell>
          <cell r="E6966" t="str">
            <v>Community School</v>
          </cell>
          <cell r="F6966" t="str">
            <v>Primary</v>
          </cell>
        </row>
        <row r="6967">
          <cell r="A6967">
            <v>8502382</v>
          </cell>
          <cell r="B6967">
            <v>116074</v>
          </cell>
          <cell r="C6967" t="str">
            <v>Colden Common Primary School</v>
          </cell>
          <cell r="D6967" t="str">
            <v>Hampshire</v>
          </cell>
          <cell r="E6967" t="str">
            <v>Community School</v>
          </cell>
          <cell r="F6967" t="str">
            <v>Primary</v>
          </cell>
        </row>
        <row r="6968">
          <cell r="A6968">
            <v>3812059</v>
          </cell>
          <cell r="B6968">
            <v>107512</v>
          </cell>
          <cell r="C6968" t="str">
            <v>Colden Junior and Infant School</v>
          </cell>
          <cell r="D6968" t="str">
            <v>Calderdale</v>
          </cell>
          <cell r="E6968" t="str">
            <v>Community School</v>
          </cell>
          <cell r="F6968" t="str">
            <v>Primary</v>
          </cell>
        </row>
        <row r="6969">
          <cell r="A6969">
            <v>9352136</v>
          </cell>
          <cell r="B6969">
            <v>124629</v>
          </cell>
          <cell r="C6969" t="str">
            <v>Coldfair Green Community Primary School</v>
          </cell>
          <cell r="D6969" t="str">
            <v>Suffolk</v>
          </cell>
          <cell r="E6969" t="str">
            <v>Community School</v>
          </cell>
          <cell r="F6969" t="str">
            <v>Primary</v>
          </cell>
        </row>
        <row r="6970">
          <cell r="A6970">
            <v>3092029</v>
          </cell>
          <cell r="B6970">
            <v>102097</v>
          </cell>
          <cell r="C6970" t="str">
            <v>Coldfall Primary School</v>
          </cell>
          <cell r="D6970" t="str">
            <v>Haringey</v>
          </cell>
          <cell r="E6970" t="str">
            <v>Community School</v>
          </cell>
          <cell r="F6970" t="str">
            <v>Primary</v>
          </cell>
        </row>
        <row r="6971">
          <cell r="A6971">
            <v>3442262</v>
          </cell>
          <cell r="B6971">
            <v>105049</v>
          </cell>
          <cell r="C6971" t="str">
            <v>Cole Street Primary School</v>
          </cell>
          <cell r="D6971" t="str">
            <v>Wirral</v>
          </cell>
          <cell r="E6971" t="str">
            <v>Community School</v>
          </cell>
          <cell r="F6971" t="str">
            <v>Primary</v>
          </cell>
        </row>
        <row r="6972">
          <cell r="A6972">
            <v>3302185</v>
          </cell>
          <cell r="B6972">
            <v>103263</v>
          </cell>
          <cell r="C6972" t="str">
            <v>Colebourne Primary School</v>
          </cell>
          <cell r="D6972" t="str">
            <v>Birmingham</v>
          </cell>
          <cell r="E6972" t="str">
            <v>Community School</v>
          </cell>
          <cell r="F6972" t="str">
            <v>Primary</v>
          </cell>
        </row>
        <row r="6973">
          <cell r="A6973">
            <v>8662194</v>
          </cell>
          <cell r="B6973">
            <v>126268</v>
          </cell>
          <cell r="C6973" t="str">
            <v>Colebrook Infant School</v>
          </cell>
          <cell r="D6973" t="str">
            <v>Swindon</v>
          </cell>
          <cell r="E6973" t="str">
            <v>Community School</v>
          </cell>
          <cell r="F6973" t="str">
            <v>Primary</v>
          </cell>
        </row>
        <row r="6974">
          <cell r="A6974">
            <v>8662194</v>
          </cell>
          <cell r="B6974">
            <v>137620</v>
          </cell>
          <cell r="C6974" t="str">
            <v>Colebrook Infant School</v>
          </cell>
          <cell r="D6974" t="str">
            <v>Swindon</v>
          </cell>
          <cell r="E6974" t="str">
            <v>Academy Converters</v>
          </cell>
          <cell r="F6974" t="str">
            <v>Primary</v>
          </cell>
        </row>
        <row r="6975">
          <cell r="A6975">
            <v>8662166</v>
          </cell>
          <cell r="B6975">
            <v>126252</v>
          </cell>
          <cell r="C6975" t="str">
            <v>Colebrook Junior School</v>
          </cell>
          <cell r="D6975" t="str">
            <v>Swindon</v>
          </cell>
          <cell r="E6975" t="str">
            <v>Community School</v>
          </cell>
          <cell r="F6975" t="str">
            <v>Primary</v>
          </cell>
        </row>
        <row r="6976">
          <cell r="A6976">
            <v>2061109</v>
          </cell>
          <cell r="B6976">
            <v>131736</v>
          </cell>
          <cell r="C6976" t="str">
            <v>Colebrooke Pupil Referral Unit</v>
          </cell>
          <cell r="D6976" t="str">
            <v>Islington</v>
          </cell>
          <cell r="E6976" t="str">
            <v>Pupil Referral Unit</v>
          </cell>
          <cell r="F6976" t="str">
            <v>PRU</v>
          </cell>
        </row>
        <row r="6977">
          <cell r="A6977">
            <v>2067129</v>
          </cell>
          <cell r="B6977">
            <v>100468</v>
          </cell>
          <cell r="C6977" t="str">
            <v>Colebrooke School</v>
          </cell>
          <cell r="D6977" t="str">
            <v>Islington</v>
          </cell>
          <cell r="E6977" t="str">
            <v>Community Special School</v>
          </cell>
          <cell r="F6977" t="str">
            <v>Special</v>
          </cell>
        </row>
        <row r="6978">
          <cell r="A6978">
            <v>9253015</v>
          </cell>
          <cell r="B6978">
            <v>120517</v>
          </cell>
          <cell r="C6978" t="str">
            <v>Coleby Church of England (Controlled) Primary School</v>
          </cell>
          <cell r="D6978" t="str">
            <v>Lincolnshire</v>
          </cell>
          <cell r="E6978" t="str">
            <v>Voluntary Controlled School</v>
          </cell>
          <cell r="F6978" t="str">
            <v>Primary</v>
          </cell>
        </row>
        <row r="6979">
          <cell r="A6979">
            <v>9204485</v>
          </cell>
          <cell r="B6979">
            <v>129314</v>
          </cell>
          <cell r="C6979" t="str">
            <v>Coleford Junior High School</v>
          </cell>
          <cell r="D6979" t="str">
            <v>Pre LGR (1996) Humberside</v>
          </cell>
          <cell r="E6979" t="str">
            <v>Community School</v>
          </cell>
          <cell r="F6979" t="str">
            <v>Secondary</v>
          </cell>
        </row>
        <row r="6980">
          <cell r="A6980">
            <v>8102864</v>
          </cell>
          <cell r="B6980">
            <v>117903</v>
          </cell>
          <cell r="C6980" t="str">
            <v>Coleford Primary School</v>
          </cell>
          <cell r="D6980" t="str">
            <v>Kingston upon Hull City of</v>
          </cell>
          <cell r="E6980" t="str">
            <v>Community School</v>
          </cell>
          <cell r="F6980" t="str">
            <v>Primary</v>
          </cell>
        </row>
        <row r="6981">
          <cell r="A6981">
            <v>6724086</v>
          </cell>
          <cell r="B6981">
            <v>402261</v>
          </cell>
          <cell r="C6981" t="str">
            <v>Coleg Cymunedol Y Dderwen</v>
          </cell>
          <cell r="D6981" t="str">
            <v>Bridgend</v>
          </cell>
          <cell r="E6981" t="str">
            <v>Welsh Establishment</v>
          </cell>
          <cell r="F6981" t="str">
            <v>Secondary</v>
          </cell>
        </row>
        <row r="6982">
          <cell r="A6982">
            <v>6697904</v>
          </cell>
          <cell r="B6982">
            <v>402189</v>
          </cell>
          <cell r="C6982" t="str">
            <v>Coleg Elidyr</v>
          </cell>
          <cell r="D6982" t="str">
            <v>Carmarthenshire</v>
          </cell>
          <cell r="E6982" t="str">
            <v>Welsh Establishment</v>
          </cell>
          <cell r="F6982" t="str">
            <v>Not applicable</v>
          </cell>
        </row>
        <row r="6983">
          <cell r="A6983">
            <v>3902228</v>
          </cell>
          <cell r="B6983">
            <v>108375</v>
          </cell>
          <cell r="C6983" t="str">
            <v>Colegate Community Primary School</v>
          </cell>
          <cell r="D6983" t="str">
            <v>Gateshead</v>
          </cell>
          <cell r="E6983" t="str">
            <v>Community School</v>
          </cell>
          <cell r="F6983" t="str">
            <v>Primary</v>
          </cell>
        </row>
        <row r="6984">
          <cell r="A6984">
            <v>3902210</v>
          </cell>
          <cell r="B6984">
            <v>128109</v>
          </cell>
          <cell r="C6984" t="str">
            <v>Colegate Infant School</v>
          </cell>
          <cell r="D6984" t="str">
            <v>Gateshead</v>
          </cell>
          <cell r="E6984" t="str">
            <v>Community School</v>
          </cell>
          <cell r="F6984" t="str">
            <v>Primary</v>
          </cell>
        </row>
        <row r="6985">
          <cell r="A6985">
            <v>3902209</v>
          </cell>
          <cell r="B6985">
            <v>128108</v>
          </cell>
          <cell r="C6985" t="str">
            <v>Colegate Junior School</v>
          </cell>
          <cell r="D6985" t="str">
            <v>Gateshead</v>
          </cell>
          <cell r="E6985" t="str">
            <v>Community School</v>
          </cell>
          <cell r="F6985" t="str">
            <v>Primary</v>
          </cell>
        </row>
        <row r="6986">
          <cell r="A6986">
            <v>3162085</v>
          </cell>
          <cell r="B6986">
            <v>126996</v>
          </cell>
          <cell r="C6986" t="str">
            <v>Colegrave Infant School</v>
          </cell>
          <cell r="D6986" t="str">
            <v>Newham</v>
          </cell>
          <cell r="E6986" t="str">
            <v>Community School</v>
          </cell>
          <cell r="F6986" t="str">
            <v>Primary</v>
          </cell>
        </row>
        <row r="6987">
          <cell r="A6987">
            <v>3162079</v>
          </cell>
          <cell r="B6987">
            <v>102752</v>
          </cell>
          <cell r="C6987" t="str">
            <v>Colegrave Primary School</v>
          </cell>
          <cell r="D6987" t="str">
            <v>Newham</v>
          </cell>
          <cell r="E6987" t="str">
            <v>Community School</v>
          </cell>
          <cell r="F6987" t="str">
            <v>Primary</v>
          </cell>
        </row>
        <row r="6988">
          <cell r="A6988">
            <v>8932084</v>
          </cell>
          <cell r="B6988">
            <v>123389</v>
          </cell>
          <cell r="C6988" t="str">
            <v>Coleham Primary School</v>
          </cell>
          <cell r="D6988" t="str">
            <v>Shropshire</v>
          </cell>
          <cell r="E6988" t="str">
            <v>Community School</v>
          </cell>
          <cell r="F6988" t="str">
            <v>Primary</v>
          </cell>
        </row>
        <row r="6989">
          <cell r="A6989">
            <v>8352011</v>
          </cell>
          <cell r="B6989">
            <v>113664</v>
          </cell>
          <cell r="C6989" t="str">
            <v>Colehill First School</v>
          </cell>
          <cell r="D6989" t="str">
            <v>Dorset</v>
          </cell>
          <cell r="E6989" t="str">
            <v>Community School</v>
          </cell>
          <cell r="F6989" t="str">
            <v>Primary</v>
          </cell>
        </row>
        <row r="6990">
          <cell r="A6990">
            <v>9242218</v>
          </cell>
          <cell r="B6990">
            <v>129521</v>
          </cell>
          <cell r="C6990" t="str">
            <v>Coleman County Infant School</v>
          </cell>
          <cell r="D6990" t="str">
            <v>Pre LGR (1997) Leicestershire</v>
          </cell>
          <cell r="E6990" t="str">
            <v>Community School</v>
          </cell>
          <cell r="F6990" t="str">
            <v>Primary</v>
          </cell>
        </row>
        <row r="6991">
          <cell r="A6991">
            <v>9242219</v>
          </cell>
          <cell r="B6991">
            <v>129522</v>
          </cell>
          <cell r="C6991" t="str">
            <v>Coleman County Junior School</v>
          </cell>
          <cell r="D6991" t="str">
            <v>Pre LGR (1997) Leicestershire</v>
          </cell>
          <cell r="E6991" t="str">
            <v>Community School</v>
          </cell>
          <cell r="F6991" t="str">
            <v>Primary</v>
          </cell>
        </row>
        <row r="6992">
          <cell r="A6992">
            <v>8562371</v>
          </cell>
          <cell r="B6992">
            <v>120095</v>
          </cell>
          <cell r="C6992" t="str">
            <v>Coleman Primary School</v>
          </cell>
          <cell r="D6992" t="str">
            <v>Leicester</v>
          </cell>
          <cell r="E6992" t="str">
            <v>Community School</v>
          </cell>
          <cell r="F6992" t="str">
            <v>Primary</v>
          </cell>
        </row>
        <row r="6993">
          <cell r="A6993">
            <v>8461101</v>
          </cell>
          <cell r="B6993">
            <v>114353</v>
          </cell>
          <cell r="C6993" t="str">
            <v>Coleman Street Annexe</v>
          </cell>
          <cell r="D6993" t="str">
            <v>Brighton and Hove</v>
          </cell>
          <cell r="E6993" t="str">
            <v>Pupil Referral Unit</v>
          </cell>
          <cell r="F6993" t="str">
            <v>PRU</v>
          </cell>
        </row>
        <row r="6994">
          <cell r="A6994">
            <v>3092010</v>
          </cell>
          <cell r="B6994">
            <v>102086</v>
          </cell>
          <cell r="C6994" t="str">
            <v>Coleraine Park Primary School</v>
          </cell>
          <cell r="D6994" t="str">
            <v>Haringey</v>
          </cell>
          <cell r="E6994" t="str">
            <v>Community School</v>
          </cell>
          <cell r="F6994" t="str">
            <v>Primary</v>
          </cell>
        </row>
        <row r="6995">
          <cell r="A6995">
            <v>8734031</v>
          </cell>
          <cell r="B6995">
            <v>110866</v>
          </cell>
          <cell r="C6995" t="str">
            <v>Coleridge Community College</v>
          </cell>
          <cell r="D6995" t="str">
            <v>Cambridgeshire</v>
          </cell>
          <cell r="E6995" t="str">
            <v>Foundation School</v>
          </cell>
          <cell r="F6995" t="str">
            <v>Secondary</v>
          </cell>
        </row>
        <row r="6996">
          <cell r="A6996">
            <v>8734031</v>
          </cell>
          <cell r="B6996">
            <v>136650</v>
          </cell>
          <cell r="C6996" t="str">
            <v>Coleridge Community College</v>
          </cell>
          <cell r="D6996" t="str">
            <v>Cambridgeshire</v>
          </cell>
          <cell r="E6996" t="str">
            <v>Academy Converters</v>
          </cell>
          <cell r="F6996" t="str">
            <v>Secondary</v>
          </cell>
        </row>
        <row r="6997">
          <cell r="A6997">
            <v>3092069</v>
          </cell>
          <cell r="B6997">
            <v>126904</v>
          </cell>
          <cell r="C6997" t="str">
            <v>Coleridge Infant School</v>
          </cell>
          <cell r="D6997" t="str">
            <v>Haringey</v>
          </cell>
          <cell r="E6997" t="str">
            <v>Community School</v>
          </cell>
          <cell r="F6997" t="str">
            <v>Primary</v>
          </cell>
        </row>
        <row r="6998">
          <cell r="A6998">
            <v>3092058</v>
          </cell>
          <cell r="B6998">
            <v>102121</v>
          </cell>
          <cell r="C6998" t="str">
            <v>Coleridge Primary School</v>
          </cell>
          <cell r="D6998" t="str">
            <v>Haringey</v>
          </cell>
          <cell r="E6998" t="str">
            <v>Community School</v>
          </cell>
          <cell r="F6998" t="str">
            <v>Primary</v>
          </cell>
        </row>
        <row r="6999">
          <cell r="A6999">
            <v>3722008</v>
          </cell>
          <cell r="B6999">
            <v>106837</v>
          </cell>
          <cell r="C6999" t="str">
            <v>Coleridge Primary School</v>
          </cell>
          <cell r="D6999" t="str">
            <v>Rotherham</v>
          </cell>
          <cell r="E6999" t="str">
            <v>Community School</v>
          </cell>
          <cell r="F6999" t="str">
            <v>Primary</v>
          </cell>
        </row>
        <row r="7000">
          <cell r="A7000">
            <v>8653040</v>
          </cell>
          <cell r="B7000">
            <v>126316</v>
          </cell>
          <cell r="C7000" t="str">
            <v>Colerne CofE Primary School</v>
          </cell>
          <cell r="D7000" t="str">
            <v>Wiltshire</v>
          </cell>
          <cell r="E7000" t="str">
            <v>Voluntary Controlled School</v>
          </cell>
          <cell r="F7000" t="str">
            <v>Primary</v>
          </cell>
        </row>
        <row r="7001">
          <cell r="A7001">
            <v>3047007</v>
          </cell>
          <cell r="B7001">
            <v>126787</v>
          </cell>
          <cell r="C7001" t="str">
            <v>Coles Green School</v>
          </cell>
          <cell r="D7001" t="str">
            <v>Brent</v>
          </cell>
          <cell r="E7001" t="str">
            <v>Community Special School</v>
          </cell>
          <cell r="F7001" t="str">
            <v>Special</v>
          </cell>
        </row>
        <row r="7002">
          <cell r="A7002">
            <v>8253035</v>
          </cell>
          <cell r="B7002">
            <v>110426</v>
          </cell>
          <cell r="C7002" t="str">
            <v>Coleshill Church of England Infant School</v>
          </cell>
          <cell r="D7002" t="str">
            <v>Buckinghamshire</v>
          </cell>
          <cell r="E7002" t="str">
            <v>Voluntary Controlled School</v>
          </cell>
          <cell r="F7002" t="str">
            <v>Primary</v>
          </cell>
        </row>
        <row r="7003">
          <cell r="A7003">
            <v>9373195</v>
          </cell>
          <cell r="B7003">
            <v>130162</v>
          </cell>
          <cell r="C7003" t="str">
            <v>Coleshill CofE First School</v>
          </cell>
          <cell r="D7003" t="str">
            <v>Warwickshire</v>
          </cell>
          <cell r="E7003" t="str">
            <v>Voluntary Controlled School</v>
          </cell>
          <cell r="F7003" t="str">
            <v>Primary</v>
          </cell>
        </row>
        <row r="7004">
          <cell r="A7004">
            <v>9373203</v>
          </cell>
          <cell r="B7004">
            <v>130165</v>
          </cell>
          <cell r="C7004" t="str">
            <v>Coleshill CofE Middle School</v>
          </cell>
          <cell r="D7004" t="str">
            <v>Warwickshire</v>
          </cell>
          <cell r="E7004" t="str">
            <v>Voluntary Controlled School</v>
          </cell>
          <cell r="F7004" t="str">
            <v>Middle Deemed Primary</v>
          </cell>
        </row>
        <row r="7005">
          <cell r="A7005">
            <v>9373586</v>
          </cell>
          <cell r="B7005">
            <v>125728</v>
          </cell>
          <cell r="C7005" t="str">
            <v>Coleshill CofE Primary School</v>
          </cell>
          <cell r="D7005" t="str">
            <v>Warwickshire</v>
          </cell>
          <cell r="E7005" t="str">
            <v>Voluntary Aided School</v>
          </cell>
          <cell r="F7005" t="str">
            <v>Primary</v>
          </cell>
        </row>
        <row r="7006">
          <cell r="A7006">
            <v>3342074</v>
          </cell>
          <cell r="B7006">
            <v>127173</v>
          </cell>
          <cell r="C7006" t="str">
            <v>Coleshill Heath Infant School</v>
          </cell>
          <cell r="D7006" t="str">
            <v>Solihull</v>
          </cell>
          <cell r="E7006" t="str">
            <v>Community School</v>
          </cell>
          <cell r="F7006" t="str">
            <v>Primary</v>
          </cell>
        </row>
        <row r="7007">
          <cell r="A7007">
            <v>3342065</v>
          </cell>
          <cell r="B7007">
            <v>104070</v>
          </cell>
          <cell r="C7007" t="str">
            <v>Coleshill Heath School</v>
          </cell>
          <cell r="D7007" t="str">
            <v>Solihull</v>
          </cell>
          <cell r="E7007" t="str">
            <v>Community School</v>
          </cell>
          <cell r="F7007" t="str">
            <v>Primary</v>
          </cell>
        </row>
        <row r="7008">
          <cell r="A7008">
            <v>8702032</v>
          </cell>
          <cell r="B7008">
            <v>109798</v>
          </cell>
          <cell r="C7008" t="str">
            <v>Coley Park Primary School</v>
          </cell>
          <cell r="D7008" t="str">
            <v>Reading</v>
          </cell>
          <cell r="E7008" t="str">
            <v>Community School</v>
          </cell>
          <cell r="F7008" t="str">
            <v>Primary</v>
          </cell>
        </row>
        <row r="7009">
          <cell r="A7009">
            <v>8702005</v>
          </cell>
          <cell r="B7009">
            <v>109779</v>
          </cell>
          <cell r="C7009" t="str">
            <v>Coley Primary School</v>
          </cell>
          <cell r="D7009" t="str">
            <v>Reading</v>
          </cell>
          <cell r="E7009" t="str">
            <v>Community School</v>
          </cell>
          <cell r="F7009" t="str">
            <v>Primary</v>
          </cell>
        </row>
        <row r="7010">
          <cell r="A7010">
            <v>2036293</v>
          </cell>
          <cell r="B7010">
            <v>100202</v>
          </cell>
          <cell r="C7010" t="str">
            <v>Colfes School</v>
          </cell>
          <cell r="D7010" t="str">
            <v>Greenwich</v>
          </cell>
          <cell r="E7010" t="str">
            <v>Other Independent School</v>
          </cell>
          <cell r="F7010" t="str">
            <v>Not applicable</v>
          </cell>
        </row>
        <row r="7011">
          <cell r="A7011">
            <v>9382015</v>
          </cell>
          <cell r="B7011">
            <v>125825</v>
          </cell>
          <cell r="C7011" t="str">
            <v>Colgate Primary School</v>
          </cell>
          <cell r="D7011" t="str">
            <v>West Sussex</v>
          </cell>
          <cell r="E7011" t="str">
            <v>Community School</v>
          </cell>
          <cell r="F7011" t="str">
            <v>Primary</v>
          </cell>
        </row>
        <row r="7012">
          <cell r="A7012">
            <v>3122009</v>
          </cell>
          <cell r="B7012">
            <v>102372</v>
          </cell>
          <cell r="C7012" t="str">
            <v>Colham Manor Junior School</v>
          </cell>
          <cell r="D7012" t="str">
            <v>Hillingdon</v>
          </cell>
          <cell r="E7012" t="str">
            <v>Community School</v>
          </cell>
          <cell r="F7012" t="str">
            <v>Primary</v>
          </cell>
        </row>
        <row r="7013">
          <cell r="A7013">
            <v>3122010</v>
          </cell>
          <cell r="B7013">
            <v>102373</v>
          </cell>
          <cell r="C7013" t="str">
            <v>Colham Manor Primary School</v>
          </cell>
          <cell r="D7013" t="str">
            <v>Hillingdon</v>
          </cell>
          <cell r="E7013" t="str">
            <v>Community School</v>
          </cell>
          <cell r="F7013" t="str">
            <v>Primary</v>
          </cell>
        </row>
        <row r="7014">
          <cell r="A7014">
            <v>3022014</v>
          </cell>
          <cell r="B7014">
            <v>101269</v>
          </cell>
          <cell r="C7014" t="str">
            <v>Colindale Primary School</v>
          </cell>
          <cell r="D7014" t="str">
            <v>Barnet</v>
          </cell>
          <cell r="E7014" t="str">
            <v>Community School</v>
          </cell>
          <cell r="F7014" t="str">
            <v>Primary</v>
          </cell>
        </row>
        <row r="7015">
          <cell r="A7015">
            <v>9263312</v>
          </cell>
          <cell r="B7015">
            <v>121112</v>
          </cell>
          <cell r="C7015" t="str">
            <v>Colkirk Church of England Voluntary Aided Primary School</v>
          </cell>
          <cell r="D7015" t="str">
            <v>Norfolk</v>
          </cell>
          <cell r="E7015" t="str">
            <v>Voluntary Aided School</v>
          </cell>
          <cell r="F7015" t="str">
            <v>Primary</v>
          </cell>
        </row>
        <row r="7016">
          <cell r="A7016">
            <v>8803619</v>
          </cell>
          <cell r="B7016">
            <v>113476</v>
          </cell>
          <cell r="C7016" t="str">
            <v>Collaton St Mary Church of England Primary School</v>
          </cell>
          <cell r="D7016" t="str">
            <v>Torbay</v>
          </cell>
          <cell r="E7016" t="str">
            <v>Voluntary Aided School</v>
          </cell>
          <cell r="F7016" t="str">
            <v>Primary</v>
          </cell>
        </row>
        <row r="7017">
          <cell r="A7017">
            <v>8451111</v>
          </cell>
          <cell r="B7017">
            <v>136169</v>
          </cell>
          <cell r="C7017" t="str">
            <v>College Central</v>
          </cell>
          <cell r="D7017" t="str">
            <v>East Sussex</v>
          </cell>
          <cell r="E7017" t="str">
            <v>Pupil Referral Unit</v>
          </cell>
          <cell r="F7017" t="str">
            <v>PRU</v>
          </cell>
        </row>
        <row r="7018">
          <cell r="A7018">
            <v>2026385</v>
          </cell>
          <cell r="B7018">
            <v>100082</v>
          </cell>
          <cell r="C7018" t="str">
            <v>College Francais Bilingue De Londres</v>
          </cell>
          <cell r="D7018" t="str">
            <v>Camden</v>
          </cell>
          <cell r="E7018" t="str">
            <v>Other Independent School</v>
          </cell>
          <cell r="F7018" t="str">
            <v>Not applicable</v>
          </cell>
        </row>
        <row r="7019">
          <cell r="A7019">
            <v>3201003</v>
          </cell>
          <cell r="B7019">
            <v>103029</v>
          </cell>
          <cell r="C7019" t="str">
            <v>College Gardens Nursery</v>
          </cell>
          <cell r="D7019" t="str">
            <v>Waltham Forest</v>
          </cell>
          <cell r="E7019" t="str">
            <v>LA Nursery School</v>
          </cell>
          <cell r="F7019" t="str">
            <v>Nursery</v>
          </cell>
        </row>
        <row r="7020">
          <cell r="A7020">
            <v>3041003</v>
          </cell>
          <cell r="B7020">
            <v>101491</v>
          </cell>
          <cell r="C7020" t="str">
            <v>College Green Nursery School and Services</v>
          </cell>
          <cell r="D7020" t="str">
            <v>Brent</v>
          </cell>
          <cell r="E7020" t="str">
            <v>LA Nursery School</v>
          </cell>
          <cell r="F7020" t="str">
            <v>Nursery</v>
          </cell>
        </row>
        <row r="7021">
          <cell r="A7021">
            <v>8671105</v>
          </cell>
          <cell r="B7021">
            <v>131769</v>
          </cell>
          <cell r="C7021" t="str">
            <v>College Hall</v>
          </cell>
          <cell r="D7021" t="str">
            <v>Bracknell Forest</v>
          </cell>
          <cell r="E7021" t="str">
            <v>Pupil Referral Unit</v>
          </cell>
          <cell r="F7021" t="str">
            <v>PRU</v>
          </cell>
        </row>
        <row r="7022">
          <cell r="A7022">
            <v>9354100</v>
          </cell>
          <cell r="B7022">
            <v>124850</v>
          </cell>
          <cell r="C7022" t="str">
            <v>College Heath Middle School</v>
          </cell>
          <cell r="D7022" t="str">
            <v>Suffolk</v>
          </cell>
          <cell r="E7022" t="str">
            <v>Community School</v>
          </cell>
          <cell r="F7022" t="str">
            <v>Middle Deemed Secondary</v>
          </cell>
        </row>
        <row r="7023">
          <cell r="A7023">
            <v>9366540</v>
          </cell>
          <cell r="B7023">
            <v>130126</v>
          </cell>
          <cell r="C7023" t="str">
            <v>College Hill Pre-Prep School</v>
          </cell>
          <cell r="D7023" t="str">
            <v>Surrey</v>
          </cell>
          <cell r="E7023" t="str">
            <v>Other Independent School</v>
          </cell>
          <cell r="F7023" t="str">
            <v>Not applicable</v>
          </cell>
        </row>
        <row r="7024">
          <cell r="A7024">
            <v>9091104</v>
          </cell>
          <cell r="B7024">
            <v>112097</v>
          </cell>
          <cell r="C7024" t="str">
            <v>College House</v>
          </cell>
          <cell r="D7024" t="str">
            <v>Cumbria</v>
          </cell>
          <cell r="E7024" t="str">
            <v>Pupil Referral Unit</v>
          </cell>
          <cell r="F7024" t="str">
            <v>PRU</v>
          </cell>
        </row>
        <row r="7025">
          <cell r="A7025">
            <v>8912294</v>
          </cell>
          <cell r="B7025">
            <v>122543</v>
          </cell>
          <cell r="C7025" t="str">
            <v>College House Junior School</v>
          </cell>
          <cell r="D7025" t="str">
            <v>Nottinghamshire</v>
          </cell>
          <cell r="E7025" t="str">
            <v>Community School</v>
          </cell>
          <cell r="F7025" t="str">
            <v>Primary</v>
          </cell>
        </row>
        <row r="7026">
          <cell r="A7026">
            <v>8018003</v>
          </cell>
          <cell r="B7026">
            <v>130560</v>
          </cell>
          <cell r="C7026" t="str">
            <v>College of Care and Early Education</v>
          </cell>
          <cell r="D7026" t="str">
            <v>Bristol City of</v>
          </cell>
          <cell r="E7026" t="str">
            <v>Further Education</v>
          </cell>
          <cell r="F7026" t="str">
            <v>16 Plus</v>
          </cell>
        </row>
        <row r="7027">
          <cell r="A7027">
            <v>879</v>
          </cell>
          <cell r="B7027">
            <v>133866</v>
          </cell>
          <cell r="C7027" t="str">
            <v>College of St Mark &amp; St John</v>
          </cell>
          <cell r="D7027" t="str">
            <v>Plymouth</v>
          </cell>
          <cell r="E7027" t="str">
            <v>Higher Education Institutions</v>
          </cell>
          <cell r="F7027" t="str">
            <v>Not applicable</v>
          </cell>
        </row>
        <row r="7028">
          <cell r="A7028">
            <v>8013302</v>
          </cell>
          <cell r="B7028">
            <v>109233</v>
          </cell>
          <cell r="C7028" t="str">
            <v>College of St Matthia's Infant School</v>
          </cell>
          <cell r="D7028" t="str">
            <v>Bristol City of</v>
          </cell>
          <cell r="E7028" t="str">
            <v>Voluntary Aided School</v>
          </cell>
          <cell r="F7028" t="str">
            <v>Primary</v>
          </cell>
        </row>
        <row r="7029">
          <cell r="A7029">
            <v>9126018</v>
          </cell>
          <cell r="B7029">
            <v>128792</v>
          </cell>
          <cell r="C7029" t="str">
            <v>College of the Sacred Hearts</v>
          </cell>
          <cell r="D7029" t="str">
            <v>Pre LGR (1997) Dorset</v>
          </cell>
          <cell r="E7029" t="str">
            <v>Other Independent School</v>
          </cell>
          <cell r="F7029" t="str">
            <v>Not applicable</v>
          </cell>
        </row>
        <row r="7030">
          <cell r="A7030">
            <v>8512653</v>
          </cell>
          <cell r="B7030">
            <v>116188</v>
          </cell>
          <cell r="C7030" t="str">
            <v>College Park Infant School</v>
          </cell>
          <cell r="D7030" t="str">
            <v>Portsmouth</v>
          </cell>
          <cell r="E7030" t="str">
            <v>Community School</v>
          </cell>
          <cell r="F7030" t="str">
            <v>Primary</v>
          </cell>
        </row>
        <row r="7031">
          <cell r="A7031">
            <v>2137042</v>
          </cell>
          <cell r="B7031">
            <v>101182</v>
          </cell>
          <cell r="C7031" t="str">
            <v>College Park School</v>
          </cell>
          <cell r="D7031" t="str">
            <v>Westminster</v>
          </cell>
          <cell r="E7031" t="str">
            <v>Community Special School</v>
          </cell>
          <cell r="F7031" t="str">
            <v>Special</v>
          </cell>
        </row>
        <row r="7032">
          <cell r="A7032">
            <v>8792638</v>
          </cell>
          <cell r="B7032">
            <v>113276</v>
          </cell>
          <cell r="C7032" t="str">
            <v>College Road Primary School</v>
          </cell>
          <cell r="D7032" t="str">
            <v>Plymouth</v>
          </cell>
          <cell r="E7032" t="str">
            <v>Community School</v>
          </cell>
          <cell r="F7032" t="str">
            <v>Primary</v>
          </cell>
        </row>
        <row r="7033">
          <cell r="A7033">
            <v>8672087</v>
          </cell>
          <cell r="B7033">
            <v>109828</v>
          </cell>
          <cell r="C7033" t="str">
            <v>College Town Infant and Nursery School</v>
          </cell>
          <cell r="D7033" t="str">
            <v>Bracknell Forest</v>
          </cell>
          <cell r="E7033" t="str">
            <v>Community School</v>
          </cell>
          <cell r="F7033" t="str">
            <v>Primary</v>
          </cell>
        </row>
        <row r="7034">
          <cell r="A7034">
            <v>8672126</v>
          </cell>
          <cell r="B7034">
            <v>109859</v>
          </cell>
          <cell r="C7034" t="str">
            <v>College Town Junior School</v>
          </cell>
          <cell r="D7034" t="str">
            <v>Bracknell Forest</v>
          </cell>
          <cell r="E7034" t="str">
            <v>Community School</v>
          </cell>
          <cell r="F7034" t="str">
            <v>Primary</v>
          </cell>
        </row>
        <row r="7035">
          <cell r="A7035">
            <v>8731006</v>
          </cell>
          <cell r="B7035">
            <v>110597</v>
          </cell>
          <cell r="C7035" t="str">
            <v>Colleges Nursery and Family Centre</v>
          </cell>
          <cell r="D7035" t="str">
            <v>Cambridgeshire</v>
          </cell>
          <cell r="E7035" t="str">
            <v>LA Nursery School</v>
          </cell>
          <cell r="F7035" t="str">
            <v>Nursery</v>
          </cell>
        </row>
        <row r="7036">
          <cell r="A7036">
            <v>8904060</v>
          </cell>
          <cell r="B7036">
            <v>119737</v>
          </cell>
          <cell r="C7036" t="str">
            <v>Collegiate High School</v>
          </cell>
          <cell r="D7036" t="str">
            <v>Blackpool</v>
          </cell>
          <cell r="E7036" t="str">
            <v>Foundation School</v>
          </cell>
          <cell r="F7036" t="str">
            <v>Secondary</v>
          </cell>
        </row>
        <row r="7037">
          <cell r="A7037">
            <v>9194112</v>
          </cell>
          <cell r="B7037">
            <v>117533</v>
          </cell>
          <cell r="C7037" t="str">
            <v>Collenswood School</v>
          </cell>
          <cell r="D7037" t="str">
            <v>Hertfordshire</v>
          </cell>
          <cell r="E7037" t="str">
            <v>Community School</v>
          </cell>
          <cell r="F7037" t="str">
            <v>Secondary</v>
          </cell>
        </row>
        <row r="7038">
          <cell r="A7038">
            <v>3322102</v>
          </cell>
          <cell r="B7038">
            <v>103793</v>
          </cell>
          <cell r="C7038" t="str">
            <v>Colley Lane Primary School</v>
          </cell>
          <cell r="D7038" t="str">
            <v>Dudley</v>
          </cell>
          <cell r="E7038" t="str">
            <v>Community School</v>
          </cell>
          <cell r="F7038" t="str">
            <v>Primary</v>
          </cell>
        </row>
        <row r="7039">
          <cell r="A7039">
            <v>3734249</v>
          </cell>
          <cell r="B7039">
            <v>127723</v>
          </cell>
          <cell r="C7039" t="str">
            <v>Colley School</v>
          </cell>
          <cell r="D7039" t="str">
            <v>Sheffield</v>
          </cell>
          <cell r="E7039" t="str">
            <v>Community School</v>
          </cell>
          <cell r="F7039" t="str">
            <v>Secondary</v>
          </cell>
        </row>
        <row r="7040">
          <cell r="A7040">
            <v>8402208</v>
          </cell>
          <cell r="B7040">
            <v>114022</v>
          </cell>
          <cell r="C7040" t="str">
            <v>Collierley Primary School</v>
          </cell>
          <cell r="D7040" t="str">
            <v>Durham</v>
          </cell>
          <cell r="E7040" t="str">
            <v>Community School</v>
          </cell>
          <cell r="F7040" t="str">
            <v>Primary</v>
          </cell>
        </row>
        <row r="7041">
          <cell r="A7041">
            <v>8863308</v>
          </cell>
          <cell r="B7041">
            <v>118716</v>
          </cell>
          <cell r="C7041" t="str">
            <v>Colliers Green Church of England Primary School</v>
          </cell>
          <cell r="D7041" t="str">
            <v>Kent</v>
          </cell>
          <cell r="E7041" t="str">
            <v>Voluntary Aided School</v>
          </cell>
          <cell r="F7041" t="str">
            <v>Primary</v>
          </cell>
        </row>
        <row r="7042">
          <cell r="A7042">
            <v>8653049</v>
          </cell>
          <cell r="B7042">
            <v>126320</v>
          </cell>
          <cell r="C7042" t="str">
            <v>Collingbourne Church of England Primary School</v>
          </cell>
          <cell r="D7042" t="str">
            <v>Wiltshire</v>
          </cell>
          <cell r="E7042" t="str">
            <v>Voluntary Controlled School</v>
          </cell>
          <cell r="F7042" t="str">
            <v>Primary</v>
          </cell>
        </row>
        <row r="7043">
          <cell r="A7043">
            <v>2076362</v>
          </cell>
          <cell r="B7043">
            <v>100539</v>
          </cell>
          <cell r="C7043" t="str">
            <v>Collingham</v>
          </cell>
          <cell r="D7043" t="str">
            <v>Kensington and Chelsea</v>
          </cell>
          <cell r="E7043" t="str">
            <v>Other Independent School</v>
          </cell>
          <cell r="F7043" t="str">
            <v>Not applicable</v>
          </cell>
        </row>
        <row r="7044">
          <cell r="A7044">
            <v>3833357</v>
          </cell>
          <cell r="B7044">
            <v>108011</v>
          </cell>
          <cell r="C7044" t="str">
            <v>Collingham Lady Elizabeth Hastings' Church of England Primary School</v>
          </cell>
          <cell r="D7044" t="str">
            <v>Leeds</v>
          </cell>
          <cell r="E7044" t="str">
            <v>Voluntary Aided School</v>
          </cell>
          <cell r="F7044" t="str">
            <v>Primary</v>
          </cell>
        </row>
        <row r="7045">
          <cell r="A7045">
            <v>9316112</v>
          </cell>
          <cell r="B7045">
            <v>123324</v>
          </cell>
          <cell r="C7045" t="str">
            <v>Collingham Oxford</v>
          </cell>
          <cell r="D7045" t="str">
            <v>Oxfordshire</v>
          </cell>
          <cell r="E7045" t="str">
            <v>Other Independent School</v>
          </cell>
          <cell r="F7045" t="str">
            <v>Not applicable</v>
          </cell>
        </row>
        <row r="7046">
          <cell r="A7046">
            <v>9285205</v>
          </cell>
          <cell r="B7046">
            <v>122107</v>
          </cell>
          <cell r="C7046" t="str">
            <v>Collingtree Church of England Primary School</v>
          </cell>
          <cell r="D7046" t="str">
            <v>Northamptonshire</v>
          </cell>
          <cell r="E7046" t="str">
            <v>Voluntary Aided School</v>
          </cell>
          <cell r="F7046" t="str">
            <v>Primary</v>
          </cell>
        </row>
        <row r="7047">
          <cell r="A7047">
            <v>9365401</v>
          </cell>
          <cell r="B7047">
            <v>125301</v>
          </cell>
          <cell r="C7047" t="str">
            <v>Collingwood College</v>
          </cell>
          <cell r="D7047" t="str">
            <v>Surrey</v>
          </cell>
          <cell r="E7047" t="str">
            <v>Foundation School</v>
          </cell>
          <cell r="F7047" t="str">
            <v>Secondary</v>
          </cell>
        </row>
        <row r="7048">
          <cell r="A7048">
            <v>9365401</v>
          </cell>
          <cell r="B7048">
            <v>136828</v>
          </cell>
          <cell r="C7048" t="str">
            <v>Collingwood College</v>
          </cell>
          <cell r="D7048" t="str">
            <v>Surrey</v>
          </cell>
          <cell r="E7048" t="str">
            <v>Academy Converters</v>
          </cell>
          <cell r="F7048" t="str">
            <v>Secondary</v>
          </cell>
        </row>
        <row r="7049">
          <cell r="A7049">
            <v>3362005</v>
          </cell>
          <cell r="B7049">
            <v>104292</v>
          </cell>
          <cell r="C7049" t="str">
            <v>Collingwood Infant School</v>
          </cell>
          <cell r="D7049" t="str">
            <v>Wolverhampton</v>
          </cell>
          <cell r="E7049" t="str">
            <v>Community School</v>
          </cell>
          <cell r="F7049" t="str">
            <v>Primary</v>
          </cell>
        </row>
        <row r="7050">
          <cell r="A7050">
            <v>3362004</v>
          </cell>
          <cell r="B7050">
            <v>104291</v>
          </cell>
          <cell r="C7050" t="str">
            <v>Collingwood Junior School</v>
          </cell>
          <cell r="D7050" t="str">
            <v>Wolverhampton</v>
          </cell>
          <cell r="E7050" t="str">
            <v>Community School</v>
          </cell>
          <cell r="F7050" t="str">
            <v>Primary</v>
          </cell>
        </row>
        <row r="7051">
          <cell r="A7051">
            <v>3922076</v>
          </cell>
          <cell r="B7051">
            <v>108602</v>
          </cell>
          <cell r="C7051" t="str">
            <v>Collingwood Primary School</v>
          </cell>
          <cell r="D7051" t="str">
            <v>North Tyneside</v>
          </cell>
          <cell r="E7051" t="str">
            <v>Community School</v>
          </cell>
          <cell r="F7051" t="str">
            <v>Primary</v>
          </cell>
        </row>
        <row r="7052">
          <cell r="A7052">
            <v>8815265</v>
          </cell>
          <cell r="B7052">
            <v>115305</v>
          </cell>
          <cell r="C7052" t="str">
            <v>Collingwood Primary School</v>
          </cell>
          <cell r="D7052" t="str">
            <v>Essex</v>
          </cell>
          <cell r="E7052" t="str">
            <v>Foundation School</v>
          </cell>
          <cell r="F7052" t="str">
            <v>Primary</v>
          </cell>
        </row>
        <row r="7053">
          <cell r="A7053">
            <v>8102901</v>
          </cell>
          <cell r="B7053">
            <v>117928</v>
          </cell>
          <cell r="C7053" t="str">
            <v>Collingwood Primary School</v>
          </cell>
          <cell r="D7053" t="str">
            <v>Kingston upon Hull City of</v>
          </cell>
          <cell r="E7053" t="str">
            <v>Community School</v>
          </cell>
          <cell r="F7053" t="str">
            <v>Primary</v>
          </cell>
        </row>
        <row r="7054">
          <cell r="A7054">
            <v>3352227</v>
          </cell>
          <cell r="B7054">
            <v>127196</v>
          </cell>
          <cell r="C7054" t="str">
            <v>Collingwood Primary School</v>
          </cell>
          <cell r="D7054" t="str">
            <v>Walsall</v>
          </cell>
          <cell r="E7054" t="str">
            <v>Community School</v>
          </cell>
          <cell r="F7054" t="str">
            <v>Primary</v>
          </cell>
        </row>
        <row r="7055">
          <cell r="A7055">
            <v>3196052</v>
          </cell>
          <cell r="B7055">
            <v>103017</v>
          </cell>
          <cell r="C7055" t="str">
            <v>Collingwood School</v>
          </cell>
          <cell r="D7055" t="str">
            <v>Sutton</v>
          </cell>
          <cell r="E7055" t="str">
            <v>Other Independent School</v>
          </cell>
          <cell r="F7055" t="str">
            <v>Not applicable</v>
          </cell>
        </row>
        <row r="7056">
          <cell r="A7056">
            <v>9297022</v>
          </cell>
          <cell r="B7056">
            <v>122389</v>
          </cell>
          <cell r="C7056" t="str">
            <v>Collingwood School &amp; Media Arts College</v>
          </cell>
          <cell r="D7056" t="str">
            <v>Northumberland</v>
          </cell>
          <cell r="E7056" t="str">
            <v>Community Special School</v>
          </cell>
          <cell r="F7056" t="str">
            <v>Special</v>
          </cell>
        </row>
        <row r="7057">
          <cell r="A7057">
            <v>3182032</v>
          </cell>
          <cell r="B7057">
            <v>102903</v>
          </cell>
          <cell r="C7057" t="str">
            <v>Collis Primary School</v>
          </cell>
          <cell r="D7057" t="str">
            <v>Richmond upon Thames</v>
          </cell>
          <cell r="E7057" t="str">
            <v>Community School</v>
          </cell>
          <cell r="F7057" t="str">
            <v>Primary</v>
          </cell>
        </row>
        <row r="7058">
          <cell r="A7058">
            <v>9384600</v>
          </cell>
          <cell r="B7058">
            <v>130186</v>
          </cell>
          <cell r="C7058" t="str">
            <v>Collyers Sixth Form College</v>
          </cell>
          <cell r="D7058" t="str">
            <v>West Sussex</v>
          </cell>
          <cell r="E7058" t="str">
            <v>Voluntary Aided School</v>
          </cell>
          <cell r="F7058" t="str">
            <v>Secondary</v>
          </cell>
        </row>
        <row r="7059">
          <cell r="A7059">
            <v>3521008</v>
          </cell>
          <cell r="B7059">
            <v>105385</v>
          </cell>
          <cell r="C7059" t="str">
            <v>Collyhurst Nursery School</v>
          </cell>
          <cell r="D7059" t="str">
            <v>Manchester</v>
          </cell>
          <cell r="E7059" t="str">
            <v>LA Nursery School</v>
          </cell>
          <cell r="F7059" t="str">
            <v>Nursery</v>
          </cell>
        </row>
        <row r="7060">
          <cell r="A7060">
            <v>9282017</v>
          </cell>
          <cell r="B7060">
            <v>121806</v>
          </cell>
          <cell r="C7060" t="str">
            <v>Collyweston Primary School</v>
          </cell>
          <cell r="D7060" t="str">
            <v>Northamptonshire</v>
          </cell>
          <cell r="E7060" t="str">
            <v>Community School</v>
          </cell>
          <cell r="F7060" t="str">
            <v>Primary</v>
          </cell>
        </row>
        <row r="7061">
          <cell r="A7061">
            <v>9262301</v>
          </cell>
          <cell r="B7061">
            <v>120938</v>
          </cell>
          <cell r="C7061" t="str">
            <v>Colman Infant School</v>
          </cell>
          <cell r="D7061" t="str">
            <v>Norfolk</v>
          </cell>
          <cell r="E7061" t="str">
            <v>Community School</v>
          </cell>
          <cell r="F7061" t="str">
            <v>Primary</v>
          </cell>
        </row>
        <row r="7062">
          <cell r="A7062">
            <v>9262300</v>
          </cell>
          <cell r="B7062">
            <v>120937</v>
          </cell>
          <cell r="C7062" t="str">
            <v>Colman Junior School</v>
          </cell>
          <cell r="D7062" t="str">
            <v>Norfolk</v>
          </cell>
          <cell r="E7062" t="str">
            <v>Community School</v>
          </cell>
          <cell r="F7062" t="str">
            <v>Primary</v>
          </cell>
        </row>
        <row r="7063">
          <cell r="A7063">
            <v>3302052</v>
          </cell>
          <cell r="B7063">
            <v>103187</v>
          </cell>
          <cell r="C7063" t="str">
            <v>Colmers Farm Infant School</v>
          </cell>
          <cell r="D7063" t="str">
            <v>Birmingham</v>
          </cell>
          <cell r="E7063" t="str">
            <v>Community School</v>
          </cell>
          <cell r="F7063" t="str">
            <v>Primary</v>
          </cell>
        </row>
        <row r="7064">
          <cell r="A7064">
            <v>3302051</v>
          </cell>
          <cell r="B7064">
            <v>103186</v>
          </cell>
          <cell r="C7064" t="str">
            <v>Colmers Farm Junior School</v>
          </cell>
          <cell r="D7064" t="str">
            <v>Birmingham</v>
          </cell>
          <cell r="E7064" t="str">
            <v>Community School</v>
          </cell>
          <cell r="F7064" t="str">
            <v>Primary</v>
          </cell>
        </row>
        <row r="7065">
          <cell r="A7065">
            <v>3305416</v>
          </cell>
          <cell r="B7065">
            <v>103563</v>
          </cell>
          <cell r="C7065" t="str">
            <v>Colmers School - A Specialist Sports and Science College</v>
          </cell>
          <cell r="D7065" t="str">
            <v>Birmingham</v>
          </cell>
          <cell r="E7065" t="str">
            <v>Foundation School</v>
          </cell>
          <cell r="F7065" t="str">
            <v>Secondary</v>
          </cell>
        </row>
        <row r="7066">
          <cell r="A7066">
            <v>3302054</v>
          </cell>
          <cell r="B7066">
            <v>103189</v>
          </cell>
          <cell r="C7066" t="str">
            <v>Colmore Infant and Nursery School</v>
          </cell>
          <cell r="D7066" t="str">
            <v>Birmingham</v>
          </cell>
          <cell r="E7066" t="str">
            <v>Community School</v>
          </cell>
          <cell r="F7066" t="str">
            <v>Primary</v>
          </cell>
        </row>
        <row r="7067">
          <cell r="A7067">
            <v>3302053</v>
          </cell>
          <cell r="B7067">
            <v>103188</v>
          </cell>
          <cell r="C7067" t="str">
            <v>Colmore Junior School</v>
          </cell>
          <cell r="D7067" t="str">
            <v>Birmingham</v>
          </cell>
          <cell r="E7067" t="str">
            <v>Community School</v>
          </cell>
          <cell r="F7067" t="str">
            <v>Primary</v>
          </cell>
        </row>
        <row r="7068">
          <cell r="A7068">
            <v>8203021</v>
          </cell>
          <cell r="B7068">
            <v>109612</v>
          </cell>
          <cell r="C7068" t="str">
            <v>Colmworth CofE VC Lower School</v>
          </cell>
          <cell r="D7068" t="str">
            <v>Pre LGR (2009) Bedfordshire</v>
          </cell>
          <cell r="E7068" t="str">
            <v>Voluntary Controlled School</v>
          </cell>
          <cell r="F7068" t="str">
            <v>Primary</v>
          </cell>
        </row>
        <row r="7069">
          <cell r="A7069">
            <v>9167005</v>
          </cell>
          <cell r="B7069">
            <v>115812</v>
          </cell>
          <cell r="C7069" t="str">
            <v>Coln House School</v>
          </cell>
          <cell r="D7069" t="str">
            <v>Gloucestershire</v>
          </cell>
          <cell r="E7069" t="str">
            <v>Community Special School</v>
          </cell>
          <cell r="F7069" t="str">
            <v>Special</v>
          </cell>
        </row>
        <row r="7070">
          <cell r="A7070">
            <v>8713077</v>
          </cell>
          <cell r="B7070">
            <v>110000</v>
          </cell>
          <cell r="C7070" t="str">
            <v>Colnbrook Church of England Primary School</v>
          </cell>
          <cell r="D7070" t="str">
            <v>Slough</v>
          </cell>
          <cell r="E7070" t="str">
            <v>Voluntary Controlled School</v>
          </cell>
          <cell r="F7070" t="str">
            <v>Primary</v>
          </cell>
        </row>
        <row r="7071">
          <cell r="A7071">
            <v>9197011</v>
          </cell>
          <cell r="B7071">
            <v>117670</v>
          </cell>
          <cell r="C7071" t="str">
            <v>Colnbrook School</v>
          </cell>
          <cell r="D7071" t="str">
            <v>Hertfordshire</v>
          </cell>
          <cell r="E7071" t="str">
            <v>Community Special School</v>
          </cell>
          <cell r="F7071" t="str">
            <v>Special</v>
          </cell>
        </row>
        <row r="7072">
          <cell r="A7072">
            <v>8883325</v>
          </cell>
          <cell r="B7072">
            <v>119433</v>
          </cell>
          <cell r="C7072" t="str">
            <v>Colne Christ Church Church of England Voluntary Aided Primary School</v>
          </cell>
          <cell r="D7072" t="str">
            <v>Lancashire</v>
          </cell>
          <cell r="E7072" t="str">
            <v>Voluntary Aided School</v>
          </cell>
          <cell r="F7072" t="str">
            <v>Primary</v>
          </cell>
        </row>
        <row r="7073">
          <cell r="A7073">
            <v>8815460</v>
          </cell>
          <cell r="B7073">
            <v>115376</v>
          </cell>
          <cell r="C7073" t="str">
            <v>Colne Community School and College</v>
          </cell>
          <cell r="D7073" t="str">
            <v>Essex</v>
          </cell>
          <cell r="E7073" t="str">
            <v>Foundation School</v>
          </cell>
          <cell r="F7073" t="str">
            <v>Secondary</v>
          </cell>
        </row>
        <row r="7074">
          <cell r="A7074">
            <v>8815460</v>
          </cell>
          <cell r="B7074">
            <v>137429</v>
          </cell>
          <cell r="C7074" t="str">
            <v>Colne Community School and College</v>
          </cell>
          <cell r="D7074" t="str">
            <v>Essex</v>
          </cell>
          <cell r="E7074" t="str">
            <v>Academy Converters</v>
          </cell>
          <cell r="F7074" t="str">
            <v>Secondary</v>
          </cell>
        </row>
        <row r="7075">
          <cell r="A7075">
            <v>8813305</v>
          </cell>
          <cell r="B7075">
            <v>115135</v>
          </cell>
          <cell r="C7075" t="str">
            <v>Colne Engaine Church of England Voluntary Aided Primary School</v>
          </cell>
          <cell r="D7075" t="str">
            <v>Essex</v>
          </cell>
          <cell r="E7075" t="str">
            <v>Voluntary Aided School</v>
          </cell>
          <cell r="F7075" t="str">
            <v>Primary</v>
          </cell>
        </row>
        <row r="7076">
          <cell r="A7076">
            <v>8887050</v>
          </cell>
          <cell r="B7076">
            <v>119881</v>
          </cell>
          <cell r="C7076" t="str">
            <v>Colne Gibfield School</v>
          </cell>
          <cell r="D7076" t="str">
            <v>Lancashire</v>
          </cell>
          <cell r="E7076" t="str">
            <v>Community Special School</v>
          </cell>
          <cell r="F7076" t="str">
            <v>Special</v>
          </cell>
        </row>
        <row r="7077">
          <cell r="A7077">
            <v>8882080</v>
          </cell>
          <cell r="B7077">
            <v>119171</v>
          </cell>
          <cell r="C7077" t="str">
            <v>Colne Lord Street School</v>
          </cell>
          <cell r="D7077" t="str">
            <v>Lancashire</v>
          </cell>
          <cell r="E7077" t="str">
            <v>Community School</v>
          </cell>
          <cell r="F7077" t="str">
            <v>Primary</v>
          </cell>
        </row>
        <row r="7078">
          <cell r="A7078">
            <v>8884018</v>
          </cell>
          <cell r="B7078">
            <v>119719</v>
          </cell>
          <cell r="C7078" t="str">
            <v>Colne Park High School</v>
          </cell>
          <cell r="D7078" t="str">
            <v>Lancashire</v>
          </cell>
          <cell r="E7078" t="str">
            <v>Community School</v>
          </cell>
          <cell r="F7078" t="str">
            <v>Secondary</v>
          </cell>
        </row>
        <row r="7079">
          <cell r="A7079">
            <v>8884019</v>
          </cell>
          <cell r="B7079">
            <v>119720</v>
          </cell>
          <cell r="C7079" t="str">
            <v>Colne Primet High School</v>
          </cell>
          <cell r="D7079" t="str">
            <v>Lancashire</v>
          </cell>
          <cell r="E7079" t="str">
            <v>Community School</v>
          </cell>
          <cell r="F7079" t="str">
            <v>Secondary</v>
          </cell>
        </row>
        <row r="7080">
          <cell r="A7080">
            <v>8882083</v>
          </cell>
          <cell r="B7080">
            <v>119173</v>
          </cell>
          <cell r="C7080" t="str">
            <v>Colne Primet Primary School</v>
          </cell>
          <cell r="D7080" t="str">
            <v>Lancashire</v>
          </cell>
          <cell r="E7080" t="str">
            <v>Community School</v>
          </cell>
          <cell r="F7080" t="str">
            <v>Primary</v>
          </cell>
        </row>
        <row r="7081">
          <cell r="A7081">
            <v>3824042</v>
          </cell>
          <cell r="B7081">
            <v>107766</v>
          </cell>
          <cell r="C7081" t="str">
            <v>Colne Valley Specialist Arts College</v>
          </cell>
          <cell r="D7081" t="str">
            <v>Kirklees</v>
          </cell>
          <cell r="E7081" t="str">
            <v>Community School</v>
          </cell>
          <cell r="F7081" t="str">
            <v>Secondary</v>
          </cell>
        </row>
        <row r="7082">
          <cell r="A7082">
            <v>9352131</v>
          </cell>
          <cell r="B7082">
            <v>124624</v>
          </cell>
          <cell r="C7082" t="str">
            <v>Colneis Junior School</v>
          </cell>
          <cell r="D7082" t="str">
            <v>Suffolk</v>
          </cell>
          <cell r="E7082" t="str">
            <v>Community School</v>
          </cell>
          <cell r="F7082" t="str">
            <v>Primary</v>
          </cell>
        </row>
        <row r="7083">
          <cell r="A7083">
            <v>9192102</v>
          </cell>
          <cell r="B7083">
            <v>117145</v>
          </cell>
          <cell r="C7083" t="str">
            <v>Colney Heath Junior Mixed Infant and Nursery School</v>
          </cell>
          <cell r="D7083" t="str">
            <v>Hertfordshire</v>
          </cell>
          <cell r="E7083" t="str">
            <v>Community School</v>
          </cell>
          <cell r="F7083" t="str">
            <v>Primary</v>
          </cell>
        </row>
        <row r="7084">
          <cell r="A7084">
            <v>3065405</v>
          </cell>
          <cell r="B7084">
            <v>101823</v>
          </cell>
          <cell r="C7084" t="str">
            <v>Coloma Convent Girls' School</v>
          </cell>
          <cell r="D7084" t="str">
            <v>Croydon</v>
          </cell>
          <cell r="E7084" t="str">
            <v>Voluntary Aided School</v>
          </cell>
          <cell r="F7084" t="str">
            <v>Secondary</v>
          </cell>
        </row>
        <row r="7085">
          <cell r="A7085">
            <v>8914409</v>
          </cell>
          <cell r="B7085">
            <v>122867</v>
          </cell>
          <cell r="C7085" t="str">
            <v>Colonel Frank Seely Comprehensive School</v>
          </cell>
          <cell r="D7085" t="str">
            <v>Nottinghamshire</v>
          </cell>
          <cell r="E7085" t="str">
            <v>Community School</v>
          </cell>
          <cell r="F7085" t="str">
            <v>Secondary</v>
          </cell>
        </row>
        <row r="7086">
          <cell r="A7086">
            <v>8913083</v>
          </cell>
          <cell r="B7086">
            <v>122755</v>
          </cell>
          <cell r="C7086" t="str">
            <v>Colston Bassett Primary School</v>
          </cell>
          <cell r="D7086" t="str">
            <v>Nottinghamshire</v>
          </cell>
          <cell r="E7086" t="str">
            <v>Voluntary Controlled School</v>
          </cell>
          <cell r="F7086" t="str">
            <v>Primary</v>
          </cell>
        </row>
        <row r="7087">
          <cell r="A7087">
            <v>8916031</v>
          </cell>
          <cell r="B7087">
            <v>135366</v>
          </cell>
          <cell r="C7087" t="str">
            <v>Colston Bassett School</v>
          </cell>
          <cell r="D7087" t="str">
            <v>Nottinghamshire</v>
          </cell>
          <cell r="E7087" t="str">
            <v>Other Independent School</v>
          </cell>
          <cell r="F7087" t="str">
            <v>Not applicable</v>
          </cell>
        </row>
        <row r="7088">
          <cell r="A7088">
            <v>8016010</v>
          </cell>
          <cell r="B7088">
            <v>109344</v>
          </cell>
          <cell r="C7088" t="str">
            <v>Colstons Girls' School</v>
          </cell>
          <cell r="D7088" t="str">
            <v>Bristol City of</v>
          </cell>
          <cell r="E7088" t="str">
            <v>Other Independent School</v>
          </cell>
          <cell r="F7088" t="str">
            <v>Not applicable</v>
          </cell>
        </row>
        <row r="7089">
          <cell r="A7089">
            <v>8016909</v>
          </cell>
          <cell r="B7089">
            <v>135581</v>
          </cell>
          <cell r="C7089" t="str">
            <v>Colston's Girls' School</v>
          </cell>
          <cell r="D7089" t="str">
            <v>Bristol City of</v>
          </cell>
          <cell r="E7089" t="str">
            <v>Academy Sponsor Led</v>
          </cell>
          <cell r="F7089" t="str">
            <v>Secondary</v>
          </cell>
        </row>
        <row r="7090">
          <cell r="A7090">
            <v>8012022</v>
          </cell>
          <cell r="B7090">
            <v>108922</v>
          </cell>
          <cell r="C7090" t="str">
            <v>Colston's Primary School</v>
          </cell>
          <cell r="D7090" t="str">
            <v>Bristol City of</v>
          </cell>
          <cell r="E7090" t="str">
            <v>Community School</v>
          </cell>
          <cell r="F7090" t="str">
            <v>Primary</v>
          </cell>
        </row>
        <row r="7091">
          <cell r="A7091">
            <v>8016002</v>
          </cell>
          <cell r="B7091">
            <v>109336</v>
          </cell>
          <cell r="C7091" t="str">
            <v>Colston's School</v>
          </cell>
          <cell r="D7091" t="str">
            <v>Bristol City of</v>
          </cell>
          <cell r="E7091" t="str">
            <v>Other Independent School</v>
          </cell>
          <cell r="F7091" t="str">
            <v>Not applicable</v>
          </cell>
        </row>
        <row r="7092">
          <cell r="A7092">
            <v>9387018</v>
          </cell>
          <cell r="B7092">
            <v>126167</v>
          </cell>
          <cell r="C7092" t="str">
            <v>Colswood Education Centre</v>
          </cell>
          <cell r="D7092" t="str">
            <v>West Sussex</v>
          </cell>
          <cell r="E7092" t="str">
            <v>Community Special School</v>
          </cell>
          <cell r="F7092" t="str">
            <v>Special</v>
          </cell>
        </row>
        <row r="7093">
          <cell r="A7093">
            <v>9262415</v>
          </cell>
          <cell r="B7093">
            <v>121017</v>
          </cell>
          <cell r="C7093" t="str">
            <v>Coltishall Primary School</v>
          </cell>
          <cell r="D7093" t="str">
            <v>Norfolk</v>
          </cell>
          <cell r="E7093" t="str">
            <v>Community School</v>
          </cell>
          <cell r="F7093" t="str">
            <v>Primary</v>
          </cell>
        </row>
        <row r="7094">
          <cell r="A7094">
            <v>3832188</v>
          </cell>
          <cell r="B7094">
            <v>127850</v>
          </cell>
          <cell r="C7094" t="str">
            <v>Colton First School</v>
          </cell>
          <cell r="D7094" t="str">
            <v>Leeds</v>
          </cell>
          <cell r="E7094" t="str">
            <v>Community School</v>
          </cell>
          <cell r="F7094" t="str">
            <v>Primary</v>
          </cell>
        </row>
        <row r="7095">
          <cell r="A7095">
            <v>3364133</v>
          </cell>
          <cell r="B7095">
            <v>104395</v>
          </cell>
          <cell r="C7095" t="str">
            <v>Colton Hills Community School A Specialist Language College</v>
          </cell>
          <cell r="D7095" t="str">
            <v>Wolverhampton</v>
          </cell>
          <cell r="E7095" t="str">
            <v>Community School</v>
          </cell>
          <cell r="F7095" t="str">
            <v>Secondary</v>
          </cell>
        </row>
        <row r="7096">
          <cell r="A7096">
            <v>3832453</v>
          </cell>
          <cell r="B7096">
            <v>107929</v>
          </cell>
          <cell r="C7096" t="str">
            <v>Colton Primary School</v>
          </cell>
          <cell r="D7096" t="str">
            <v>Leeds</v>
          </cell>
          <cell r="E7096" t="str">
            <v>Foundation School</v>
          </cell>
          <cell r="F7096" t="str">
            <v>Primary</v>
          </cell>
        </row>
        <row r="7097">
          <cell r="A7097">
            <v>3947001</v>
          </cell>
          <cell r="B7097">
            <v>134184</v>
          </cell>
          <cell r="C7097" t="str">
            <v>Columbia Grange School</v>
          </cell>
          <cell r="D7097" t="str">
            <v>Sunderland</v>
          </cell>
          <cell r="E7097" t="str">
            <v>Community Special School</v>
          </cell>
          <cell r="F7097" t="str">
            <v>Special</v>
          </cell>
        </row>
        <row r="7098">
          <cell r="A7098">
            <v>2111024</v>
          </cell>
          <cell r="B7098">
            <v>100884</v>
          </cell>
          <cell r="C7098" t="str">
            <v>Columbia Market Nursery School</v>
          </cell>
          <cell r="D7098" t="str">
            <v>Tower Hamlets</v>
          </cell>
          <cell r="E7098" t="str">
            <v>LA Nursery School</v>
          </cell>
          <cell r="F7098" t="str">
            <v>Nursery</v>
          </cell>
        </row>
        <row r="7099">
          <cell r="A7099">
            <v>2112118</v>
          </cell>
          <cell r="B7099">
            <v>100897</v>
          </cell>
          <cell r="C7099" t="str">
            <v>Columbia Primary School</v>
          </cell>
          <cell r="D7099" t="str">
            <v>Tower Hamlets</v>
          </cell>
          <cell r="E7099" t="str">
            <v>Community School</v>
          </cell>
          <cell r="F7099" t="str">
            <v>Primary</v>
          </cell>
        </row>
        <row r="7100">
          <cell r="A7100">
            <v>3942125</v>
          </cell>
          <cell r="B7100">
            <v>108802</v>
          </cell>
          <cell r="C7100" t="str">
            <v>Columbia Primary School</v>
          </cell>
          <cell r="D7100" t="str">
            <v>Sunderland</v>
          </cell>
          <cell r="E7100" t="str">
            <v>Community School</v>
          </cell>
          <cell r="F7100" t="str">
            <v>Primary</v>
          </cell>
        </row>
        <row r="7101">
          <cell r="A7101">
            <v>8817071</v>
          </cell>
          <cell r="B7101">
            <v>135768</v>
          </cell>
          <cell r="C7101" t="str">
            <v>Columbus School and College</v>
          </cell>
          <cell r="D7101" t="str">
            <v>Essex</v>
          </cell>
          <cell r="E7101" t="str">
            <v>Community Special School</v>
          </cell>
          <cell r="F7101" t="str">
            <v>Special</v>
          </cell>
        </row>
        <row r="7102">
          <cell r="A7102">
            <v>2042120</v>
          </cell>
          <cell r="B7102">
            <v>100221</v>
          </cell>
          <cell r="C7102" t="str">
            <v>Colvestone Primary School</v>
          </cell>
          <cell r="D7102" t="str">
            <v>Hackney</v>
          </cell>
          <cell r="E7102" t="str">
            <v>Community School</v>
          </cell>
          <cell r="F7102" t="str">
            <v>Primary</v>
          </cell>
        </row>
        <row r="7103">
          <cell r="A7103">
            <v>2072121</v>
          </cell>
          <cell r="B7103">
            <v>100481</v>
          </cell>
          <cell r="C7103" t="str">
            <v>Colville Primary School</v>
          </cell>
          <cell r="D7103" t="str">
            <v>Kensington and Chelsea</v>
          </cell>
          <cell r="E7103" t="str">
            <v>Community School</v>
          </cell>
          <cell r="F7103" t="str">
            <v>Primary</v>
          </cell>
        </row>
        <row r="7104">
          <cell r="A7104">
            <v>8732119</v>
          </cell>
          <cell r="B7104">
            <v>110665</v>
          </cell>
          <cell r="C7104" t="str">
            <v>Colville Primary School</v>
          </cell>
          <cell r="D7104" t="str">
            <v>Cambridgeshire</v>
          </cell>
          <cell r="E7104" t="str">
            <v>Community School</v>
          </cell>
          <cell r="F7104" t="str">
            <v>Primary</v>
          </cell>
        </row>
        <row r="7105">
          <cell r="A7105">
            <v>9052081</v>
          </cell>
          <cell r="B7105">
            <v>128362</v>
          </cell>
          <cell r="C7105" t="str">
            <v>Colville Primary School</v>
          </cell>
          <cell r="D7105" t="str">
            <v>Pre LGR (1998) Cambridgeshire</v>
          </cell>
          <cell r="E7105" t="str">
            <v>Community School</v>
          </cell>
          <cell r="F7105" t="str">
            <v>Primary</v>
          </cell>
        </row>
        <row r="7106">
          <cell r="A7106">
            <v>8843023</v>
          </cell>
          <cell r="B7106">
            <v>116797</v>
          </cell>
          <cell r="C7106" t="str">
            <v>Colwall CofE Primary School</v>
          </cell>
          <cell r="D7106" t="str">
            <v>Herefordshire</v>
          </cell>
          <cell r="E7106" t="str">
            <v>Voluntary Controlled School</v>
          </cell>
          <cell r="F7106" t="str">
            <v>Primary</v>
          </cell>
        </row>
        <row r="7107">
          <cell r="A7107">
            <v>3412052</v>
          </cell>
          <cell r="B7107">
            <v>104538</v>
          </cell>
          <cell r="C7107" t="str">
            <v>Colwell County Junior Mixed Department School</v>
          </cell>
          <cell r="D7107" t="str">
            <v>Liverpool</v>
          </cell>
          <cell r="E7107" t="str">
            <v>Community School</v>
          </cell>
          <cell r="F7107" t="str">
            <v>Primary</v>
          </cell>
        </row>
        <row r="7108">
          <cell r="A7108">
            <v>3412220</v>
          </cell>
          <cell r="B7108">
            <v>130294</v>
          </cell>
          <cell r="C7108" t="str">
            <v>Colwell Primary School</v>
          </cell>
          <cell r="D7108" t="str">
            <v>Liverpool</v>
          </cell>
          <cell r="E7108" t="str">
            <v>Community School</v>
          </cell>
          <cell r="F7108" t="str">
            <v>Primary</v>
          </cell>
        </row>
        <row r="7109">
          <cell r="A7109">
            <v>3412054</v>
          </cell>
          <cell r="B7109">
            <v>104539</v>
          </cell>
          <cell r="C7109" t="str">
            <v>Colwell Road Infant School</v>
          </cell>
          <cell r="D7109" t="str">
            <v>Liverpool</v>
          </cell>
          <cell r="E7109" t="str">
            <v>Community School</v>
          </cell>
          <cell r="F7109" t="str">
            <v>Primary</v>
          </cell>
        </row>
        <row r="7110">
          <cell r="A7110">
            <v>9164004</v>
          </cell>
          <cell r="B7110">
            <v>128953</v>
          </cell>
          <cell r="C7110" t="str">
            <v>Colwell School for Girls</v>
          </cell>
          <cell r="D7110" t="str">
            <v>Gloucestershire</v>
          </cell>
          <cell r="E7110" t="str">
            <v>Community School</v>
          </cell>
          <cell r="F7110" t="str">
            <v>Secondary</v>
          </cell>
        </row>
        <row r="7111">
          <cell r="A7111">
            <v>8603045</v>
          </cell>
          <cell r="B7111">
            <v>124244</v>
          </cell>
          <cell r="C7111" t="str">
            <v>Colwich CofE (C) Primary School</v>
          </cell>
          <cell r="D7111" t="str">
            <v>Staffordshire</v>
          </cell>
          <cell r="E7111" t="str">
            <v>Voluntary Controlled School</v>
          </cell>
          <cell r="F7111" t="str">
            <v>Primary</v>
          </cell>
        </row>
        <row r="7112">
          <cell r="A7112">
            <v>3032055</v>
          </cell>
          <cell r="B7112">
            <v>101433</v>
          </cell>
          <cell r="C7112" t="str">
            <v>Colyers Primary School</v>
          </cell>
          <cell r="D7112" t="str">
            <v>Bexley</v>
          </cell>
          <cell r="E7112" t="str">
            <v>Community School</v>
          </cell>
          <cell r="F7112" t="str">
            <v>Primary</v>
          </cell>
        </row>
        <row r="7113">
          <cell r="A7113">
            <v>8785400</v>
          </cell>
          <cell r="B7113">
            <v>113555</v>
          </cell>
          <cell r="C7113" t="str">
            <v>Colyton Grammar School</v>
          </cell>
          <cell r="D7113" t="str">
            <v>Devon</v>
          </cell>
          <cell r="E7113" t="str">
            <v>Foundation School</v>
          </cell>
          <cell r="F7113" t="str">
            <v>Secondary</v>
          </cell>
        </row>
        <row r="7114">
          <cell r="A7114">
            <v>8785400</v>
          </cell>
          <cell r="B7114">
            <v>136366</v>
          </cell>
          <cell r="C7114" t="str">
            <v>Colyton Grammar School</v>
          </cell>
          <cell r="D7114" t="str">
            <v>Devon</v>
          </cell>
          <cell r="E7114" t="str">
            <v>Academy Converters</v>
          </cell>
          <cell r="F7114" t="str">
            <v>Secondary</v>
          </cell>
        </row>
        <row r="7115">
          <cell r="A7115">
            <v>8782010</v>
          </cell>
          <cell r="B7115">
            <v>113067</v>
          </cell>
          <cell r="C7115" t="str">
            <v>Colyton Primary School</v>
          </cell>
          <cell r="D7115" t="str">
            <v>Devon</v>
          </cell>
          <cell r="E7115" t="str">
            <v>Community School</v>
          </cell>
          <cell r="F7115" t="str">
            <v>Primary</v>
          </cell>
        </row>
        <row r="7116">
          <cell r="A7116">
            <v>8866018</v>
          </cell>
          <cell r="B7116">
            <v>118957</v>
          </cell>
          <cell r="C7116" t="str">
            <v>Combe Bank School</v>
          </cell>
          <cell r="D7116" t="str">
            <v>Kent</v>
          </cell>
          <cell r="E7116" t="str">
            <v>Other Independent School</v>
          </cell>
          <cell r="F7116" t="str">
            <v>Not applicable</v>
          </cell>
        </row>
        <row r="7117">
          <cell r="A7117">
            <v>9313142</v>
          </cell>
          <cell r="B7117">
            <v>123116</v>
          </cell>
          <cell r="C7117" t="str">
            <v>Combe Church of England Primary School</v>
          </cell>
          <cell r="D7117" t="str">
            <v>Oxfordshire</v>
          </cell>
          <cell r="E7117" t="str">
            <v>Voluntary Controlled School</v>
          </cell>
          <cell r="F7117" t="str">
            <v>Primary</v>
          </cell>
        </row>
        <row r="7118">
          <cell r="A7118">
            <v>8003128</v>
          </cell>
          <cell r="B7118">
            <v>109230</v>
          </cell>
          <cell r="C7118" t="str">
            <v>Combe Down CofE Primary School</v>
          </cell>
          <cell r="D7118" t="str">
            <v>Bath and North East Somerset</v>
          </cell>
          <cell r="E7118" t="str">
            <v>Voluntary Controlled School</v>
          </cell>
          <cell r="F7118" t="str">
            <v>Primary</v>
          </cell>
        </row>
        <row r="7119">
          <cell r="A7119">
            <v>9013039</v>
          </cell>
          <cell r="B7119">
            <v>128228</v>
          </cell>
          <cell r="C7119" t="str">
            <v>Combe Down Infant School</v>
          </cell>
          <cell r="D7119" t="str">
            <v>Pre LGR (1996) Avon</v>
          </cell>
          <cell r="E7119" t="str">
            <v>Voluntary Controlled School</v>
          </cell>
          <cell r="F7119" t="str">
            <v>Primary</v>
          </cell>
        </row>
        <row r="7120">
          <cell r="A7120">
            <v>9013038</v>
          </cell>
          <cell r="B7120">
            <v>128227</v>
          </cell>
          <cell r="C7120" t="str">
            <v>Combe Down Junior School</v>
          </cell>
          <cell r="D7120" t="str">
            <v>Pre LGR (1996) Avon</v>
          </cell>
          <cell r="E7120" t="str">
            <v>Voluntary Controlled School</v>
          </cell>
          <cell r="F7120" t="str">
            <v>Primary</v>
          </cell>
        </row>
        <row r="7121">
          <cell r="A7121">
            <v>8782222</v>
          </cell>
          <cell r="B7121">
            <v>113145</v>
          </cell>
          <cell r="C7121" t="str">
            <v>Combe Martin Primary School</v>
          </cell>
          <cell r="D7121" t="str">
            <v>Devon</v>
          </cell>
          <cell r="E7121" t="str">
            <v>Community School</v>
          </cell>
          <cell r="F7121" t="str">
            <v>Primary</v>
          </cell>
        </row>
        <row r="7122">
          <cell r="A7122">
            <v>8807041</v>
          </cell>
          <cell r="B7122">
            <v>113640</v>
          </cell>
          <cell r="C7122" t="str">
            <v>Combe Pafford School</v>
          </cell>
          <cell r="D7122" t="str">
            <v>Torbay</v>
          </cell>
          <cell r="E7122" t="str">
            <v>Community Special School</v>
          </cell>
          <cell r="F7122" t="str">
            <v>Special</v>
          </cell>
        </row>
        <row r="7123">
          <cell r="A7123">
            <v>9333307</v>
          </cell>
          <cell r="B7123">
            <v>123828</v>
          </cell>
          <cell r="C7123" t="str">
            <v>Combe St Nicholas Church of England VA Primary School</v>
          </cell>
          <cell r="D7123" t="str">
            <v>Somerset</v>
          </cell>
          <cell r="E7123" t="str">
            <v>Voluntary Aided School</v>
          </cell>
          <cell r="F7123" t="str">
            <v>Primary</v>
          </cell>
        </row>
        <row r="7124">
          <cell r="A7124">
            <v>2102123</v>
          </cell>
          <cell r="B7124">
            <v>100783</v>
          </cell>
          <cell r="C7124" t="str">
            <v>Comber Grove School</v>
          </cell>
          <cell r="D7124" t="str">
            <v>Southwark</v>
          </cell>
          <cell r="E7124" t="str">
            <v>Community School</v>
          </cell>
          <cell r="F7124" t="str">
            <v>Primary</v>
          </cell>
        </row>
        <row r="7125">
          <cell r="A7125">
            <v>8962339</v>
          </cell>
          <cell r="B7125">
            <v>111152</v>
          </cell>
          <cell r="C7125" t="str">
            <v>Comberbach Primary School</v>
          </cell>
          <cell r="D7125" t="str">
            <v>Cheshire West and Chester</v>
          </cell>
          <cell r="E7125" t="str">
            <v>Community School</v>
          </cell>
          <cell r="F7125" t="str">
            <v>Primary</v>
          </cell>
        </row>
        <row r="7126">
          <cell r="A7126">
            <v>8735406</v>
          </cell>
          <cell r="B7126">
            <v>136463</v>
          </cell>
          <cell r="C7126" t="str">
            <v>Comberton Academy Trust</v>
          </cell>
          <cell r="D7126" t="str">
            <v>Cambridgeshire</v>
          </cell>
          <cell r="E7126" t="str">
            <v>Academy Converters</v>
          </cell>
          <cell r="F7126" t="str">
            <v>Secondary</v>
          </cell>
        </row>
        <row r="7127">
          <cell r="A7127">
            <v>8852907</v>
          </cell>
          <cell r="B7127">
            <v>135047</v>
          </cell>
          <cell r="C7127" t="str">
            <v>Comberton Primary School</v>
          </cell>
          <cell r="D7127" t="str">
            <v>Worcestershire</v>
          </cell>
          <cell r="E7127" t="str">
            <v>Community School</v>
          </cell>
          <cell r="F7127" t="str">
            <v>Primary</v>
          </cell>
        </row>
        <row r="7128">
          <cell r="A7128">
            <v>8735406</v>
          </cell>
          <cell r="B7128">
            <v>110900</v>
          </cell>
          <cell r="C7128" t="str">
            <v>Comberton Village College</v>
          </cell>
          <cell r="D7128" t="str">
            <v>Cambridgeshire</v>
          </cell>
          <cell r="E7128" t="str">
            <v>Foundation School</v>
          </cell>
          <cell r="F7128" t="str">
            <v>Secondary</v>
          </cell>
        </row>
        <row r="7129">
          <cell r="A7129">
            <v>9352070</v>
          </cell>
          <cell r="B7129">
            <v>124576</v>
          </cell>
          <cell r="C7129" t="str">
            <v>Combs Ford Primary School</v>
          </cell>
          <cell r="D7129" t="str">
            <v>Suffolk</v>
          </cell>
          <cell r="E7129" t="str">
            <v>Community School</v>
          </cell>
          <cell r="F7129" t="str">
            <v>Primary</v>
          </cell>
        </row>
        <row r="7130">
          <cell r="A7130">
            <v>8302068</v>
          </cell>
          <cell r="B7130">
            <v>112525</v>
          </cell>
          <cell r="C7130" t="str">
            <v>Combs Infant School</v>
          </cell>
          <cell r="D7130" t="str">
            <v>Derbyshire</v>
          </cell>
          <cell r="E7130" t="str">
            <v>Community School</v>
          </cell>
          <cell r="F7130" t="str">
            <v>Primary</v>
          </cell>
        </row>
        <row r="7131">
          <cell r="A7131">
            <v>9354060</v>
          </cell>
          <cell r="B7131">
            <v>124820</v>
          </cell>
          <cell r="C7131" t="str">
            <v>Combs Middle School</v>
          </cell>
          <cell r="D7131" t="str">
            <v>Suffolk</v>
          </cell>
          <cell r="E7131" t="str">
            <v>Community School</v>
          </cell>
          <cell r="F7131" t="str">
            <v>Middle Deemed Secondary</v>
          </cell>
        </row>
        <row r="7132">
          <cell r="A7132">
            <v>2041051</v>
          </cell>
          <cell r="B7132">
            <v>100213</v>
          </cell>
          <cell r="C7132" t="str">
            <v>Comet Nursery School and Children's Centre</v>
          </cell>
          <cell r="D7132" t="str">
            <v>Hackney</v>
          </cell>
          <cell r="E7132" t="str">
            <v>LA Nursery School</v>
          </cell>
          <cell r="F7132" t="str">
            <v>Nursery</v>
          </cell>
        </row>
        <row r="7133">
          <cell r="A7133">
            <v>6742116</v>
          </cell>
          <cell r="B7133">
            <v>401171</v>
          </cell>
          <cell r="C7133" t="str">
            <v>Comin  Infants School</v>
          </cell>
          <cell r="D7133" t="str">
            <v>Rhondda, Cynon, Taff</v>
          </cell>
          <cell r="E7133" t="str">
            <v>Welsh Establishment</v>
          </cell>
          <cell r="F7133" t="str">
            <v>Primary</v>
          </cell>
        </row>
        <row r="7134">
          <cell r="A7134">
            <v>6742107</v>
          </cell>
          <cell r="B7134">
            <v>401166</v>
          </cell>
          <cell r="C7134" t="str">
            <v>Comin Junior Mixed School</v>
          </cell>
          <cell r="D7134" t="str">
            <v>Rhondda, Cynon, Taff</v>
          </cell>
          <cell r="E7134" t="str">
            <v>Welsh Establishment</v>
          </cell>
          <cell r="F7134" t="str">
            <v>Primary</v>
          </cell>
        </row>
        <row r="7135">
          <cell r="A7135">
            <v>6672303</v>
          </cell>
          <cell r="B7135">
            <v>400592</v>
          </cell>
          <cell r="C7135" t="str">
            <v>Comins Coch C.P. School</v>
          </cell>
          <cell r="D7135" t="str">
            <v>Ceredigion</v>
          </cell>
          <cell r="E7135" t="str">
            <v>Welsh Establishment</v>
          </cell>
          <cell r="F7135" t="str">
            <v>Primary</v>
          </cell>
        </row>
        <row r="7136">
          <cell r="A7136">
            <v>3842074</v>
          </cell>
          <cell r="B7136">
            <v>108160</v>
          </cell>
          <cell r="C7136" t="str">
            <v>Common Road First School</v>
          </cell>
          <cell r="D7136" t="str">
            <v>Wakefield</v>
          </cell>
          <cell r="E7136" t="str">
            <v>Community School</v>
          </cell>
          <cell r="F7136" t="str">
            <v>Primary</v>
          </cell>
        </row>
        <row r="7137">
          <cell r="A7137">
            <v>3844038</v>
          </cell>
          <cell r="B7137">
            <v>108288</v>
          </cell>
          <cell r="C7137" t="str">
            <v>Common Road Middle School</v>
          </cell>
          <cell r="D7137" t="str">
            <v>Wakefield</v>
          </cell>
          <cell r="E7137" t="str">
            <v>Community School</v>
          </cell>
          <cell r="F7137" t="str">
            <v>Middle Deemed Secondary</v>
          </cell>
        </row>
        <row r="7138">
          <cell r="A7138">
            <v>8817049</v>
          </cell>
          <cell r="B7138">
            <v>115465</v>
          </cell>
          <cell r="C7138" t="str">
            <v>Commonside School</v>
          </cell>
          <cell r="D7138" t="str">
            <v>Essex</v>
          </cell>
          <cell r="E7138" t="str">
            <v>Community Special School</v>
          </cell>
          <cell r="F7138" t="str">
            <v>Special</v>
          </cell>
        </row>
        <row r="7139">
          <cell r="A7139">
            <v>9192996</v>
          </cell>
          <cell r="B7139">
            <v>117378</v>
          </cell>
          <cell r="C7139" t="str">
            <v>Commonswood School</v>
          </cell>
          <cell r="D7139" t="str">
            <v>Hertfordshire</v>
          </cell>
          <cell r="E7139" t="str">
            <v>Community School</v>
          </cell>
          <cell r="F7139" t="str">
            <v>Primary</v>
          </cell>
        </row>
        <row r="7140">
          <cell r="A7140">
            <v>9081100</v>
          </cell>
          <cell r="B7140">
            <v>137738</v>
          </cell>
          <cell r="C7140" t="str">
            <v>Community &amp; Hospital Education Service</v>
          </cell>
          <cell r="D7140" t="str">
            <v>Cornwall</v>
          </cell>
          <cell r="E7140" t="str">
            <v>Pupil Referral Unit</v>
          </cell>
          <cell r="F7140" t="str">
            <v>PRU</v>
          </cell>
        </row>
        <row r="7141">
          <cell r="A7141">
            <v>2116384</v>
          </cell>
          <cell r="B7141">
            <v>126678</v>
          </cell>
          <cell r="C7141" t="str">
            <v>Community College London for 2000</v>
          </cell>
          <cell r="D7141" t="str">
            <v>Tower Hamlets</v>
          </cell>
          <cell r="E7141" t="str">
            <v>Other Independent School</v>
          </cell>
          <cell r="F7141" t="str">
            <v>Not applicable</v>
          </cell>
        </row>
        <row r="7142">
          <cell r="A7142">
            <v>6761109</v>
          </cell>
          <cell r="B7142">
            <v>402243</v>
          </cell>
          <cell r="C7142" t="str">
            <v>Community Tuition</v>
          </cell>
          <cell r="D7142" t="str">
            <v>Caerphilly</v>
          </cell>
          <cell r="E7142" t="str">
            <v>Welsh Establishment</v>
          </cell>
          <cell r="F7142" t="str">
            <v>Not applicable</v>
          </cell>
        </row>
        <row r="7143">
          <cell r="A7143">
            <v>8606028</v>
          </cell>
          <cell r="B7143">
            <v>134907</v>
          </cell>
          <cell r="C7143" t="str">
            <v>Companions</v>
          </cell>
          <cell r="D7143" t="str">
            <v>Staffordshire</v>
          </cell>
          <cell r="E7143" t="str">
            <v>Other Independent Special School</v>
          </cell>
          <cell r="F7143" t="str">
            <v>Not applicable</v>
          </cell>
        </row>
        <row r="7144">
          <cell r="A7144">
            <v>3501115</v>
          </cell>
          <cell r="B7144">
            <v>135128</v>
          </cell>
          <cell r="C7144" t="str">
            <v>Compass Centre North</v>
          </cell>
          <cell r="D7144" t="str">
            <v>Bolton</v>
          </cell>
          <cell r="E7144" t="str">
            <v>Pupil Referral Unit</v>
          </cell>
          <cell r="F7144" t="str">
            <v>PRU</v>
          </cell>
        </row>
        <row r="7145">
          <cell r="A7145">
            <v>3501114</v>
          </cell>
          <cell r="B7145">
            <v>135127</v>
          </cell>
          <cell r="C7145" t="str">
            <v>Compass Centre South</v>
          </cell>
          <cell r="D7145" t="str">
            <v>Bolton</v>
          </cell>
          <cell r="E7145" t="str">
            <v>Pupil Referral Unit</v>
          </cell>
          <cell r="F7145" t="str">
            <v>PRU</v>
          </cell>
        </row>
        <row r="7146">
          <cell r="A7146">
            <v>3501116</v>
          </cell>
          <cell r="B7146">
            <v>135129</v>
          </cell>
          <cell r="C7146" t="str">
            <v>Compass Centre West</v>
          </cell>
          <cell r="D7146" t="str">
            <v>Bolton</v>
          </cell>
          <cell r="E7146" t="str">
            <v>Pupil Referral Unit</v>
          </cell>
          <cell r="F7146" t="str">
            <v>PRU</v>
          </cell>
        </row>
        <row r="7147">
          <cell r="A7147">
            <v>8012320</v>
          </cell>
          <cell r="B7147">
            <v>109124</v>
          </cell>
          <cell r="C7147" t="str">
            <v>Compass Point: South Street School and Children's Centre</v>
          </cell>
          <cell r="D7147" t="str">
            <v>Bristol City of</v>
          </cell>
          <cell r="E7147" t="str">
            <v>Foundation School</v>
          </cell>
          <cell r="F7147" t="str">
            <v>Primary</v>
          </cell>
        </row>
        <row r="7148">
          <cell r="A7148">
            <v>6661100</v>
          </cell>
          <cell r="B7148">
            <v>402181</v>
          </cell>
          <cell r="C7148" t="str">
            <v>Complementary Ed Centre Brecon</v>
          </cell>
          <cell r="D7148" t="str">
            <v>Powys</v>
          </cell>
          <cell r="E7148" t="str">
            <v>Welsh Establishment</v>
          </cell>
          <cell r="F7148" t="str">
            <v>Not applicable</v>
          </cell>
        </row>
        <row r="7149">
          <cell r="A7149">
            <v>9281100</v>
          </cell>
          <cell r="B7149">
            <v>121789</v>
          </cell>
          <cell r="C7149" t="str">
            <v>Complementary Education</v>
          </cell>
          <cell r="D7149" t="str">
            <v>Northamptonshire</v>
          </cell>
          <cell r="E7149" t="str">
            <v>Pupil Referral Unit</v>
          </cell>
          <cell r="F7149" t="str">
            <v>PRU</v>
          </cell>
        </row>
        <row r="7150">
          <cell r="A7150">
            <v>2061100</v>
          </cell>
          <cell r="B7150">
            <v>100387</v>
          </cell>
          <cell r="C7150" t="str">
            <v>Complementary Education Centre Co Islington Learning Support Centre</v>
          </cell>
          <cell r="D7150" t="str">
            <v>Islington</v>
          </cell>
          <cell r="E7150" t="str">
            <v>Pupil Referral Unit</v>
          </cell>
          <cell r="F7150" t="str">
            <v>PRU</v>
          </cell>
        </row>
        <row r="7151">
          <cell r="A7151">
            <v>6661101</v>
          </cell>
          <cell r="B7151">
            <v>402180</v>
          </cell>
          <cell r="C7151" t="str">
            <v>Complementary Education Centre Newtown</v>
          </cell>
          <cell r="D7151" t="str">
            <v>Powys</v>
          </cell>
          <cell r="E7151" t="str">
            <v>Welsh Establishment</v>
          </cell>
          <cell r="F7151" t="str">
            <v>Not applicable</v>
          </cell>
        </row>
        <row r="7152">
          <cell r="A7152">
            <v>8503318</v>
          </cell>
          <cell r="B7152">
            <v>116354</v>
          </cell>
          <cell r="C7152" t="str">
            <v>Compton All Saints Church of England Primary School</v>
          </cell>
          <cell r="D7152" t="str">
            <v>Hampshire</v>
          </cell>
          <cell r="E7152" t="str">
            <v>Voluntary Aided School</v>
          </cell>
          <cell r="F7152" t="str">
            <v>Primary</v>
          </cell>
        </row>
        <row r="7153">
          <cell r="A7153">
            <v>9383010</v>
          </cell>
          <cell r="B7153">
            <v>125979</v>
          </cell>
          <cell r="C7153" t="str">
            <v>Compton and Up Marden CofE Primary School</v>
          </cell>
          <cell r="D7153" t="str">
            <v>West Sussex</v>
          </cell>
          <cell r="E7153" t="str">
            <v>Voluntary Controlled School</v>
          </cell>
          <cell r="F7153" t="str">
            <v>Primary</v>
          </cell>
        </row>
        <row r="7154">
          <cell r="A7154">
            <v>8693020</v>
          </cell>
          <cell r="B7154">
            <v>109959</v>
          </cell>
          <cell r="C7154" t="str">
            <v>Compton C.E. Primary School</v>
          </cell>
          <cell r="D7154" t="str">
            <v>West Berkshire</v>
          </cell>
          <cell r="E7154" t="str">
            <v>Voluntary Controlled School</v>
          </cell>
          <cell r="F7154" t="str">
            <v>Primary</v>
          </cell>
        </row>
        <row r="7155">
          <cell r="A7155">
            <v>8793159</v>
          </cell>
          <cell r="B7155">
            <v>113416</v>
          </cell>
          <cell r="C7155" t="str">
            <v>Compton CofE Primary School</v>
          </cell>
          <cell r="D7155" t="str">
            <v>Plymouth</v>
          </cell>
          <cell r="E7155" t="str">
            <v>Voluntary Controlled School</v>
          </cell>
          <cell r="F7155" t="str">
            <v>Primary</v>
          </cell>
        </row>
        <row r="7156">
          <cell r="A7156">
            <v>9333034</v>
          </cell>
          <cell r="B7156">
            <v>123748</v>
          </cell>
          <cell r="C7156" t="str">
            <v>Compton Dundon CofE Primary School</v>
          </cell>
          <cell r="D7156" t="str">
            <v>Somerset</v>
          </cell>
          <cell r="E7156" t="str">
            <v>Voluntary Controlled School</v>
          </cell>
          <cell r="F7156" t="str">
            <v>Primary</v>
          </cell>
        </row>
        <row r="7157">
          <cell r="A7157">
            <v>3072074</v>
          </cell>
          <cell r="B7157">
            <v>126831</v>
          </cell>
          <cell r="C7157" t="str">
            <v>Compton First School</v>
          </cell>
          <cell r="D7157" t="str">
            <v>Ealing</v>
          </cell>
          <cell r="E7157" t="str">
            <v>Community School</v>
          </cell>
          <cell r="F7157" t="str">
            <v>Primary</v>
          </cell>
        </row>
        <row r="7158">
          <cell r="A7158">
            <v>8936020</v>
          </cell>
          <cell r="B7158">
            <v>123623</v>
          </cell>
          <cell r="C7158" t="str">
            <v>Concord College</v>
          </cell>
          <cell r="D7158" t="str">
            <v>Shropshire</v>
          </cell>
          <cell r="E7158" t="str">
            <v>Other Independent School</v>
          </cell>
          <cell r="F7158" t="str">
            <v>Not applicable</v>
          </cell>
        </row>
        <row r="7159">
          <cell r="A7159">
            <v>3732263</v>
          </cell>
          <cell r="B7159">
            <v>107041</v>
          </cell>
          <cell r="C7159" t="str">
            <v>Concord Junior School</v>
          </cell>
          <cell r="D7159" t="str">
            <v>Sheffield</v>
          </cell>
          <cell r="E7159" t="str">
            <v>Community School</v>
          </cell>
          <cell r="F7159" t="str">
            <v>Primary</v>
          </cell>
        </row>
        <row r="7160">
          <cell r="A7160">
            <v>3917008</v>
          </cell>
          <cell r="B7160">
            <v>128141</v>
          </cell>
          <cell r="C7160" t="str">
            <v>Condercum House School</v>
          </cell>
          <cell r="D7160" t="str">
            <v>Newcastle upon Tyne</v>
          </cell>
          <cell r="E7160" t="str">
            <v>Community Special School</v>
          </cell>
          <cell r="F7160" t="str">
            <v>Special</v>
          </cell>
        </row>
        <row r="7161">
          <cell r="A7161">
            <v>8933316</v>
          </cell>
          <cell r="B7161">
            <v>123543</v>
          </cell>
          <cell r="C7161" t="str">
            <v>Condover CofE Primary School</v>
          </cell>
          <cell r="D7161" t="str">
            <v>Shropshire</v>
          </cell>
          <cell r="E7161" t="str">
            <v>Voluntary Aided School</v>
          </cell>
          <cell r="F7161" t="str">
            <v>Primary</v>
          </cell>
        </row>
        <row r="7162">
          <cell r="A7162">
            <v>8937904</v>
          </cell>
          <cell r="B7162">
            <v>131857</v>
          </cell>
          <cell r="C7162" t="str">
            <v>Condover College Limited</v>
          </cell>
          <cell r="D7162" t="str">
            <v>Shropshire</v>
          </cell>
          <cell r="E7162" t="str">
            <v>Special College</v>
          </cell>
          <cell r="F7162" t="str">
            <v>16 Plus</v>
          </cell>
        </row>
        <row r="7163">
          <cell r="A7163">
            <v>8936101</v>
          </cell>
          <cell r="B7163">
            <v>131290</v>
          </cell>
          <cell r="C7163" t="str">
            <v>Condover Horizon School</v>
          </cell>
          <cell r="D7163" t="str">
            <v>Shropshire</v>
          </cell>
          <cell r="E7163" t="str">
            <v>Other Independent Special School</v>
          </cell>
          <cell r="F7163" t="str">
            <v>Not applicable</v>
          </cell>
        </row>
        <row r="7164">
          <cell r="A7164">
            <v>3514023</v>
          </cell>
          <cell r="B7164">
            <v>105359</v>
          </cell>
          <cell r="C7164" t="str">
            <v>Coney Green Technology School</v>
          </cell>
          <cell r="D7164" t="str">
            <v>Bury</v>
          </cell>
          <cell r="E7164" t="str">
            <v>Community School</v>
          </cell>
          <cell r="F7164" t="str">
            <v>Secondary</v>
          </cell>
        </row>
        <row r="7165">
          <cell r="A7165">
            <v>9162175</v>
          </cell>
          <cell r="B7165">
            <v>115603</v>
          </cell>
          <cell r="C7165" t="str">
            <v>Coney Hill Community Primary School</v>
          </cell>
          <cell r="D7165" t="str">
            <v>Gloucestershire</v>
          </cell>
          <cell r="E7165" t="str">
            <v>Community School</v>
          </cell>
          <cell r="F7165" t="str">
            <v>Primary</v>
          </cell>
        </row>
        <row r="7166">
          <cell r="A7166">
            <v>9162017</v>
          </cell>
          <cell r="B7166">
            <v>128942</v>
          </cell>
          <cell r="C7166" t="str">
            <v>Coney Hill Infants' School</v>
          </cell>
          <cell r="D7166" t="str">
            <v>Gloucestershire</v>
          </cell>
          <cell r="E7166" t="str">
            <v>Community School</v>
          </cell>
          <cell r="F7166" t="str">
            <v>Primary</v>
          </cell>
        </row>
        <row r="7167">
          <cell r="A7167">
            <v>9162016</v>
          </cell>
          <cell r="B7167">
            <v>128941</v>
          </cell>
          <cell r="C7167" t="str">
            <v>Coney Hill Junior School</v>
          </cell>
          <cell r="D7167" t="str">
            <v>Gloucestershire</v>
          </cell>
          <cell r="E7167" t="str">
            <v>Community School</v>
          </cell>
          <cell r="F7167" t="str">
            <v>Primary</v>
          </cell>
        </row>
        <row r="7168">
          <cell r="A7168">
            <v>3057003</v>
          </cell>
          <cell r="B7168">
            <v>101696</v>
          </cell>
          <cell r="C7168" t="str">
            <v>Coney Hill School</v>
          </cell>
          <cell r="D7168" t="str">
            <v>Bromley</v>
          </cell>
          <cell r="E7168" t="str">
            <v>Non-Maintained Special School</v>
          </cell>
          <cell r="F7168" t="str">
            <v>Special</v>
          </cell>
        </row>
        <row r="7169">
          <cell r="A7169">
            <v>9146106</v>
          </cell>
          <cell r="B7169">
            <v>128856</v>
          </cell>
          <cell r="C7169" t="str">
            <v>Coneyboro School</v>
          </cell>
          <cell r="D7169" t="str">
            <v>Pre LGR (1997) East Sussex</v>
          </cell>
          <cell r="E7169" t="str">
            <v>Other Independent School</v>
          </cell>
          <cell r="F7169" t="str">
            <v>Not applicable</v>
          </cell>
        </row>
        <row r="7170">
          <cell r="A7170">
            <v>8552090</v>
          </cell>
          <cell r="B7170">
            <v>119949</v>
          </cell>
          <cell r="C7170" t="str">
            <v>Congerstone Primary School</v>
          </cell>
          <cell r="D7170" t="str">
            <v>Leicestershire</v>
          </cell>
          <cell r="E7170" t="str">
            <v>Community School</v>
          </cell>
          <cell r="F7170" t="str">
            <v>Primary</v>
          </cell>
        </row>
        <row r="7171">
          <cell r="A7171">
            <v>8954226</v>
          </cell>
          <cell r="B7171">
            <v>132748</v>
          </cell>
          <cell r="C7171" t="str">
            <v>Congleton High School</v>
          </cell>
          <cell r="D7171" t="str">
            <v>Cheshire East</v>
          </cell>
          <cell r="E7171" t="str">
            <v>Foundation School</v>
          </cell>
          <cell r="F7171" t="str">
            <v>Secondary</v>
          </cell>
        </row>
        <row r="7172">
          <cell r="A7172">
            <v>8954226</v>
          </cell>
          <cell r="B7172">
            <v>136655</v>
          </cell>
          <cell r="C7172" t="str">
            <v>Congleton High School</v>
          </cell>
          <cell r="D7172" t="str">
            <v>Cheshire East</v>
          </cell>
          <cell r="E7172" t="str">
            <v>Academy Converters</v>
          </cell>
          <cell r="F7172" t="str">
            <v>Secondary</v>
          </cell>
        </row>
        <row r="7173">
          <cell r="A7173">
            <v>9063123</v>
          </cell>
          <cell r="B7173">
            <v>128447</v>
          </cell>
          <cell r="C7173" t="str">
            <v>Congleton St James CofE Primary School</v>
          </cell>
          <cell r="D7173" t="str">
            <v>Pre LGR (1998) Cheshire</v>
          </cell>
          <cell r="E7173" t="str">
            <v>Voluntary Controlled School</v>
          </cell>
          <cell r="F7173" t="str">
            <v>Primary</v>
          </cell>
        </row>
        <row r="7174">
          <cell r="A7174">
            <v>8353408</v>
          </cell>
          <cell r="B7174">
            <v>134080</v>
          </cell>
          <cell r="C7174" t="str">
            <v>Conifers Primary School</v>
          </cell>
          <cell r="D7174" t="str">
            <v>Dorset</v>
          </cell>
          <cell r="E7174" t="str">
            <v>Community School</v>
          </cell>
          <cell r="F7174" t="str">
            <v>Primary</v>
          </cell>
        </row>
        <row r="7175">
          <cell r="A7175">
            <v>9386072</v>
          </cell>
          <cell r="B7175">
            <v>126118</v>
          </cell>
          <cell r="C7175" t="str">
            <v>Conifers School</v>
          </cell>
          <cell r="D7175" t="str">
            <v>West Sussex</v>
          </cell>
          <cell r="E7175" t="str">
            <v>Other Independent School</v>
          </cell>
          <cell r="F7175" t="str">
            <v>Not applicable</v>
          </cell>
        </row>
        <row r="7176">
          <cell r="A7176">
            <v>9253119</v>
          </cell>
          <cell r="B7176">
            <v>120567</v>
          </cell>
          <cell r="C7176" t="str">
            <v>Coningsby St Michael's Church of England Primary School</v>
          </cell>
          <cell r="D7176" t="str">
            <v>Lincolnshire</v>
          </cell>
          <cell r="E7176" t="str">
            <v>Voluntary Controlled School</v>
          </cell>
          <cell r="F7176" t="str">
            <v>Primary</v>
          </cell>
        </row>
        <row r="7177">
          <cell r="A7177">
            <v>2094249</v>
          </cell>
          <cell r="B7177">
            <v>100742</v>
          </cell>
          <cell r="C7177" t="str">
            <v>Conisborough College</v>
          </cell>
          <cell r="D7177" t="str">
            <v>Lewisham</v>
          </cell>
          <cell r="E7177" t="str">
            <v>Community School</v>
          </cell>
          <cell r="F7177" t="str">
            <v>Secondary</v>
          </cell>
        </row>
        <row r="7178">
          <cell r="A7178">
            <v>3712176</v>
          </cell>
          <cell r="B7178">
            <v>106738</v>
          </cell>
          <cell r="C7178" t="str">
            <v>Conisbrough Balby Street Primary School</v>
          </cell>
          <cell r="D7178" t="str">
            <v>Doncaster</v>
          </cell>
          <cell r="E7178" t="str">
            <v>Community School</v>
          </cell>
          <cell r="F7178" t="str">
            <v>Primary</v>
          </cell>
        </row>
        <row r="7179">
          <cell r="A7179">
            <v>3712117</v>
          </cell>
          <cell r="B7179">
            <v>106700</v>
          </cell>
          <cell r="C7179" t="str">
            <v>Conisbrough Ivanhoe Junior and Infant School</v>
          </cell>
          <cell r="D7179" t="str">
            <v>Doncaster</v>
          </cell>
          <cell r="E7179" t="str">
            <v>Community School</v>
          </cell>
          <cell r="F7179" t="str">
            <v>Primary</v>
          </cell>
        </row>
        <row r="7180">
          <cell r="A7180">
            <v>3712187</v>
          </cell>
          <cell r="B7180">
            <v>106749</v>
          </cell>
          <cell r="C7180" t="str">
            <v>Conisbrough Station Road Primary School</v>
          </cell>
          <cell r="D7180" t="str">
            <v>Doncaster</v>
          </cell>
          <cell r="E7180" t="str">
            <v>Community School</v>
          </cell>
          <cell r="F7180" t="str">
            <v>Primary</v>
          </cell>
        </row>
        <row r="7181">
          <cell r="A7181">
            <v>9093122</v>
          </cell>
          <cell r="B7181">
            <v>112279</v>
          </cell>
          <cell r="C7181" t="str">
            <v>Coniston CofE Primary School</v>
          </cell>
          <cell r="D7181" t="str">
            <v>Cumbria</v>
          </cell>
          <cell r="E7181" t="str">
            <v>Voluntary Controlled School</v>
          </cell>
          <cell r="F7181" t="str">
            <v>Primary</v>
          </cell>
        </row>
        <row r="7182">
          <cell r="A7182">
            <v>8032209</v>
          </cell>
          <cell r="B7182">
            <v>109041</v>
          </cell>
          <cell r="C7182" t="str">
            <v>Coniston Infant School</v>
          </cell>
          <cell r="D7182" t="str">
            <v>South Gloucestershire</v>
          </cell>
          <cell r="E7182" t="str">
            <v>Community School</v>
          </cell>
          <cell r="F7182" t="str">
            <v>Primary</v>
          </cell>
        </row>
        <row r="7183">
          <cell r="A7183">
            <v>8032196</v>
          </cell>
          <cell r="B7183">
            <v>109031</v>
          </cell>
          <cell r="C7183" t="str">
            <v>Coniston Junior School</v>
          </cell>
          <cell r="D7183" t="str">
            <v>South Gloucestershire</v>
          </cell>
          <cell r="E7183" t="str">
            <v>Community School</v>
          </cell>
          <cell r="F7183" t="str">
            <v>Primary</v>
          </cell>
        </row>
        <row r="7184">
          <cell r="A7184">
            <v>8032002</v>
          </cell>
          <cell r="B7184">
            <v>131698</v>
          </cell>
          <cell r="C7184" t="str">
            <v>Coniston Primary School</v>
          </cell>
          <cell r="D7184" t="str">
            <v>South Gloucestershire</v>
          </cell>
          <cell r="E7184" t="str">
            <v>Community School</v>
          </cell>
          <cell r="F7184" t="str">
            <v>Primary</v>
          </cell>
        </row>
        <row r="7185">
          <cell r="A7185">
            <v>9366500</v>
          </cell>
          <cell r="B7185">
            <v>125409</v>
          </cell>
          <cell r="C7185" t="str">
            <v>Coniston School</v>
          </cell>
          <cell r="D7185" t="str">
            <v>Surrey</v>
          </cell>
          <cell r="E7185" t="str">
            <v>Other Independent School</v>
          </cell>
          <cell r="F7185" t="str">
            <v>Not applicable</v>
          </cell>
        </row>
        <row r="7186">
          <cell r="A7186">
            <v>6644022</v>
          </cell>
          <cell r="B7186">
            <v>401708</v>
          </cell>
          <cell r="C7186" t="str">
            <v>Connah's Quay High School</v>
          </cell>
          <cell r="D7186" t="str">
            <v>Flintshire</v>
          </cell>
          <cell r="E7186" t="str">
            <v>Welsh Establishment</v>
          </cell>
          <cell r="F7186" t="str">
            <v>Secondary</v>
          </cell>
        </row>
        <row r="7187">
          <cell r="A7187">
            <v>2136129</v>
          </cell>
          <cell r="B7187">
            <v>101164</v>
          </cell>
          <cell r="C7187" t="str">
            <v>Connaught House School</v>
          </cell>
          <cell r="D7187" t="str">
            <v>Westminster</v>
          </cell>
          <cell r="E7187" t="str">
            <v>Other Independent School</v>
          </cell>
          <cell r="F7187" t="str">
            <v>Not applicable</v>
          </cell>
        </row>
        <row r="7188">
          <cell r="A7188">
            <v>8356021</v>
          </cell>
          <cell r="B7188">
            <v>113951</v>
          </cell>
          <cell r="C7188" t="str">
            <v>Connaught House School</v>
          </cell>
          <cell r="D7188" t="str">
            <v>Dorset</v>
          </cell>
          <cell r="E7188" t="str">
            <v>Other Independent School</v>
          </cell>
          <cell r="F7188" t="str">
            <v>Not applicable</v>
          </cell>
        </row>
        <row r="7189">
          <cell r="A7189">
            <v>8012025</v>
          </cell>
          <cell r="B7189">
            <v>108924</v>
          </cell>
          <cell r="C7189" t="str">
            <v>Connaught Infants' School</v>
          </cell>
          <cell r="D7189" t="str">
            <v>Bristol City of</v>
          </cell>
          <cell r="E7189" t="str">
            <v>Community School</v>
          </cell>
          <cell r="F7189" t="str">
            <v>Primary</v>
          </cell>
        </row>
        <row r="7190">
          <cell r="A7190">
            <v>9362440</v>
          </cell>
          <cell r="B7190">
            <v>125062</v>
          </cell>
          <cell r="C7190" t="str">
            <v>Connaught Junior School</v>
          </cell>
          <cell r="D7190" t="str">
            <v>Surrey</v>
          </cell>
          <cell r="E7190" t="str">
            <v>Community School</v>
          </cell>
          <cell r="F7190" t="str">
            <v>Primary</v>
          </cell>
        </row>
        <row r="7191">
          <cell r="A7191">
            <v>9382043</v>
          </cell>
          <cell r="B7191">
            <v>125842</v>
          </cell>
          <cell r="C7191" t="str">
            <v>Connaught Junior School</v>
          </cell>
          <cell r="D7191" t="str">
            <v>West Sussex</v>
          </cell>
          <cell r="E7191" t="str">
            <v>Community School</v>
          </cell>
          <cell r="F7191" t="str">
            <v>Primary</v>
          </cell>
        </row>
        <row r="7192">
          <cell r="A7192">
            <v>8012007</v>
          </cell>
          <cell r="B7192">
            <v>131494</v>
          </cell>
          <cell r="C7192" t="str">
            <v>Connaught Primary School</v>
          </cell>
          <cell r="D7192" t="str">
            <v>Bristol City of</v>
          </cell>
          <cell r="E7192" t="str">
            <v>Community School</v>
          </cell>
          <cell r="F7192" t="str">
            <v>Primary</v>
          </cell>
        </row>
        <row r="7193">
          <cell r="A7193">
            <v>3204061</v>
          </cell>
          <cell r="B7193">
            <v>103095</v>
          </cell>
          <cell r="C7193" t="str">
            <v>Connaught School for Girls</v>
          </cell>
          <cell r="D7193" t="str">
            <v>Waltham Forest</v>
          </cell>
          <cell r="E7193" t="str">
            <v>Community School</v>
          </cell>
          <cell r="F7193" t="str">
            <v>Secondary</v>
          </cell>
        </row>
        <row r="7194">
          <cell r="A7194">
            <v>9082228</v>
          </cell>
          <cell r="B7194">
            <v>111847</v>
          </cell>
          <cell r="C7194" t="str">
            <v>Connor Downs Primary School</v>
          </cell>
          <cell r="D7194" t="str">
            <v>Cornwall</v>
          </cell>
          <cell r="E7194" t="str">
            <v>Community School</v>
          </cell>
          <cell r="F7194" t="str">
            <v>Primary</v>
          </cell>
        </row>
        <row r="7195">
          <cell r="A7195">
            <v>8152316</v>
          </cell>
          <cell r="B7195">
            <v>121387</v>
          </cell>
          <cell r="C7195" t="str">
            <v>Cononley Community Primary School</v>
          </cell>
          <cell r="D7195" t="str">
            <v>North Yorkshire</v>
          </cell>
          <cell r="E7195" t="str">
            <v>Community School</v>
          </cell>
          <cell r="F7195" t="str">
            <v>Primary</v>
          </cell>
        </row>
        <row r="7196">
          <cell r="A7196">
            <v>383</v>
          </cell>
          <cell r="B7196">
            <v>133840</v>
          </cell>
          <cell r="C7196" t="str">
            <v>Conservatoire for Dance and Drama</v>
          </cell>
          <cell r="D7196" t="str">
            <v>Leeds</v>
          </cell>
          <cell r="E7196" t="str">
            <v>Higher Education Institutions</v>
          </cell>
          <cell r="F7196" t="str">
            <v>Not applicable</v>
          </cell>
        </row>
        <row r="7197">
          <cell r="A7197">
            <v>202</v>
          </cell>
          <cell r="B7197">
            <v>133908</v>
          </cell>
          <cell r="C7197" t="str">
            <v>Conservatoire for Dance and Drama</v>
          </cell>
          <cell r="D7197" t="str">
            <v>Camden</v>
          </cell>
          <cell r="E7197" t="str">
            <v>Higher Education Institutions</v>
          </cell>
          <cell r="F7197" t="str">
            <v>Not applicable</v>
          </cell>
        </row>
        <row r="7198">
          <cell r="A7198">
            <v>8404117</v>
          </cell>
          <cell r="B7198">
            <v>114295</v>
          </cell>
          <cell r="C7198" t="str">
            <v>Consett Community Sports College</v>
          </cell>
          <cell r="D7198" t="str">
            <v>Durham</v>
          </cell>
          <cell r="E7198" t="str">
            <v>Community School</v>
          </cell>
          <cell r="F7198" t="str">
            <v>Secondary</v>
          </cell>
        </row>
        <row r="7199">
          <cell r="A7199">
            <v>8402278</v>
          </cell>
          <cell r="B7199">
            <v>114052</v>
          </cell>
          <cell r="C7199" t="str">
            <v>Consett Infant School and Nursery Unit</v>
          </cell>
          <cell r="D7199" t="str">
            <v>Durham</v>
          </cell>
          <cell r="E7199" t="str">
            <v>Community School</v>
          </cell>
          <cell r="F7199" t="str">
            <v>Primary</v>
          </cell>
        </row>
        <row r="7200">
          <cell r="A7200">
            <v>8402277</v>
          </cell>
          <cell r="B7200">
            <v>114051</v>
          </cell>
          <cell r="C7200" t="str">
            <v>Consett Junior School</v>
          </cell>
          <cell r="D7200" t="str">
            <v>Durham</v>
          </cell>
          <cell r="E7200" t="str">
            <v>Community School</v>
          </cell>
          <cell r="F7200" t="str">
            <v>Primary</v>
          </cell>
        </row>
        <row r="7201">
          <cell r="A7201">
            <v>8102092</v>
          </cell>
          <cell r="B7201">
            <v>117723</v>
          </cell>
          <cell r="C7201" t="str">
            <v>Constable Primary School</v>
          </cell>
          <cell r="D7201" t="str">
            <v>Kingston upon Hull City of</v>
          </cell>
          <cell r="E7201" t="str">
            <v>Community School</v>
          </cell>
          <cell r="F7201" t="str">
            <v>Primary</v>
          </cell>
        </row>
        <row r="7202">
          <cell r="A7202">
            <v>9082132</v>
          </cell>
          <cell r="B7202">
            <v>111830</v>
          </cell>
          <cell r="C7202" t="str">
            <v>Constantine Primary School</v>
          </cell>
          <cell r="D7202" t="str">
            <v>Cornwall</v>
          </cell>
          <cell r="E7202" t="str">
            <v>Community School</v>
          </cell>
          <cell r="F7202" t="str">
            <v>Primary</v>
          </cell>
        </row>
        <row r="7203">
          <cell r="A7203">
            <v>9286067</v>
          </cell>
          <cell r="B7203">
            <v>131802</v>
          </cell>
          <cell r="C7203" t="str">
            <v>Continuum School</v>
          </cell>
          <cell r="D7203" t="str">
            <v>Northamptonshire</v>
          </cell>
          <cell r="E7203" t="str">
            <v>Other Independent Special School</v>
          </cell>
          <cell r="F7203" t="str">
            <v>Not applicable</v>
          </cell>
        </row>
        <row r="7204">
          <cell r="A7204">
            <v>8816059</v>
          </cell>
          <cell r="B7204">
            <v>135772</v>
          </cell>
          <cell r="C7204" t="str">
            <v>Continuum School</v>
          </cell>
          <cell r="D7204" t="str">
            <v>Essex</v>
          </cell>
          <cell r="E7204" t="str">
            <v>Other Independent Special School</v>
          </cell>
          <cell r="F7204" t="str">
            <v>Not applicable</v>
          </cell>
        </row>
        <row r="7205">
          <cell r="A7205">
            <v>8786213</v>
          </cell>
          <cell r="B7205">
            <v>135803</v>
          </cell>
          <cell r="C7205" t="str">
            <v>Continuum School</v>
          </cell>
          <cell r="D7205" t="str">
            <v>Devon</v>
          </cell>
          <cell r="E7205" t="str">
            <v>Other Independent Special School</v>
          </cell>
          <cell r="F7205" t="str">
            <v>Not applicable</v>
          </cell>
        </row>
        <row r="7206">
          <cell r="A7206">
            <v>8816063</v>
          </cell>
          <cell r="B7206">
            <v>135977</v>
          </cell>
          <cell r="C7206" t="str">
            <v>Continuum School - Canvey Island</v>
          </cell>
          <cell r="D7206" t="str">
            <v>Essex</v>
          </cell>
          <cell r="E7206" t="str">
            <v>Other Independent Special School</v>
          </cell>
          <cell r="F7206" t="str">
            <v>Not applicable</v>
          </cell>
        </row>
        <row r="7207">
          <cell r="A7207">
            <v>8816061</v>
          </cell>
          <cell r="B7207">
            <v>135928</v>
          </cell>
          <cell r="C7207" t="str">
            <v>Continuum School - Conifers</v>
          </cell>
          <cell r="D7207" t="str">
            <v>Essex</v>
          </cell>
          <cell r="E7207" t="str">
            <v>Other Independent Special School</v>
          </cell>
          <cell r="F7207" t="str">
            <v>Not applicable</v>
          </cell>
        </row>
        <row r="7208">
          <cell r="A7208">
            <v>8566010</v>
          </cell>
          <cell r="B7208">
            <v>137509</v>
          </cell>
          <cell r="C7208" t="str">
            <v>Continuum School - Leicester</v>
          </cell>
          <cell r="D7208" t="str">
            <v>Leicester</v>
          </cell>
          <cell r="E7208" t="str">
            <v>Other Independent Special School</v>
          </cell>
          <cell r="F7208" t="str">
            <v>Not applicable</v>
          </cell>
        </row>
        <row r="7209">
          <cell r="A7209">
            <v>8116012</v>
          </cell>
          <cell r="B7209">
            <v>133429</v>
          </cell>
          <cell r="C7209" t="str">
            <v>Continuum School Farrow House</v>
          </cell>
          <cell r="D7209" t="str">
            <v>East Riding of Yorkshire</v>
          </cell>
          <cell r="E7209" t="str">
            <v>Other Independent Special School</v>
          </cell>
          <cell r="F7209" t="str">
            <v>Not applicable</v>
          </cell>
        </row>
        <row r="7210">
          <cell r="A7210">
            <v>9336211</v>
          </cell>
          <cell r="B7210">
            <v>131455</v>
          </cell>
          <cell r="C7210" t="str">
            <v>Continuum School Somerset</v>
          </cell>
          <cell r="D7210" t="str">
            <v>Somerset</v>
          </cell>
          <cell r="E7210" t="str">
            <v>Other Independent Special School</v>
          </cell>
          <cell r="F7210" t="str">
            <v>Not applicable</v>
          </cell>
        </row>
        <row r="7211">
          <cell r="A7211">
            <v>9256001</v>
          </cell>
          <cell r="B7211">
            <v>137669</v>
          </cell>
          <cell r="C7211" t="str">
            <v>Continuum School, Rose House</v>
          </cell>
          <cell r="D7211" t="str">
            <v>Lincolnshire</v>
          </cell>
          <cell r="E7211" t="str">
            <v>Other Independent Special School</v>
          </cell>
          <cell r="F7211" t="str">
            <v>Not applicable</v>
          </cell>
        </row>
        <row r="7212">
          <cell r="A7212">
            <v>8816064</v>
          </cell>
          <cell r="B7212">
            <v>136001</v>
          </cell>
          <cell r="C7212" t="str">
            <v>Continuum School-Finchingfield</v>
          </cell>
          <cell r="D7212" t="str">
            <v>Essex</v>
          </cell>
          <cell r="E7212" t="str">
            <v>Other Independent Special School</v>
          </cell>
          <cell r="F7212" t="str">
            <v>Not applicable</v>
          </cell>
        </row>
        <row r="7213">
          <cell r="A7213">
            <v>8816231</v>
          </cell>
          <cell r="B7213">
            <v>135992</v>
          </cell>
          <cell r="C7213" t="str">
            <v>Continuum School-Harlow</v>
          </cell>
          <cell r="D7213" t="str">
            <v>Essex</v>
          </cell>
          <cell r="E7213" t="str">
            <v>Other Independent Special School</v>
          </cell>
          <cell r="F7213" t="str">
            <v>Not applicable</v>
          </cell>
        </row>
        <row r="7214">
          <cell r="A7214">
            <v>8816062</v>
          </cell>
          <cell r="B7214">
            <v>135929</v>
          </cell>
          <cell r="C7214" t="str">
            <v>Continuum School-Whitewebbs</v>
          </cell>
          <cell r="D7214" t="str">
            <v>Essex</v>
          </cell>
          <cell r="E7214" t="str">
            <v>Other Independent Special School</v>
          </cell>
          <cell r="F7214" t="str">
            <v>Not applicable</v>
          </cell>
        </row>
        <row r="7215">
          <cell r="A7215">
            <v>3045404</v>
          </cell>
          <cell r="B7215">
            <v>101561</v>
          </cell>
          <cell r="C7215" t="str">
            <v>Convent of Jesus and Mary Language College</v>
          </cell>
          <cell r="D7215" t="str">
            <v>Brent</v>
          </cell>
          <cell r="E7215" t="str">
            <v>Voluntary Aided School</v>
          </cell>
          <cell r="F7215" t="str">
            <v>Secondary</v>
          </cell>
        </row>
        <row r="7216">
          <cell r="A7216">
            <v>3043507</v>
          </cell>
          <cell r="B7216">
            <v>101544</v>
          </cell>
          <cell r="C7216" t="str">
            <v>Convent of Jesus and Mary RC Infant School</v>
          </cell>
          <cell r="D7216" t="str">
            <v>Brent</v>
          </cell>
          <cell r="E7216" t="str">
            <v>Voluntary Aided School</v>
          </cell>
          <cell r="F7216" t="str">
            <v>Primary</v>
          </cell>
        </row>
        <row r="7217">
          <cell r="A7217">
            <v>7066002</v>
          </cell>
          <cell r="B7217">
            <v>132537</v>
          </cell>
          <cell r="C7217" t="str">
            <v>Convent of Mercy</v>
          </cell>
          <cell r="D7217" t="str">
            <v>Guernsey Offshore Establishments</v>
          </cell>
          <cell r="E7217" t="str">
            <v>Offshore Schools</v>
          </cell>
          <cell r="F7217" t="str">
            <v>Not applicable</v>
          </cell>
        </row>
        <row r="7218">
          <cell r="A7218">
            <v>9146121</v>
          </cell>
          <cell r="B7218">
            <v>128861</v>
          </cell>
          <cell r="C7218" t="str">
            <v>Convent of Our Lady School</v>
          </cell>
          <cell r="D7218" t="str">
            <v>Pre LGR (1997) East Sussex</v>
          </cell>
          <cell r="E7218" t="str">
            <v>Other Independent School</v>
          </cell>
          <cell r="F7218" t="str">
            <v>Not applicable</v>
          </cell>
        </row>
        <row r="7219">
          <cell r="A7219">
            <v>9116045</v>
          </cell>
          <cell r="B7219">
            <v>128739</v>
          </cell>
          <cell r="C7219" t="str">
            <v>Convent of the Holy Family School</v>
          </cell>
          <cell r="D7219" t="str">
            <v>Pre LGR (1998) Devon</v>
          </cell>
          <cell r="E7219" t="str">
            <v>Other Independent School</v>
          </cell>
          <cell r="F7219" t="str">
            <v>Not applicable</v>
          </cell>
        </row>
        <row r="7220">
          <cell r="A7220">
            <v>9386014</v>
          </cell>
          <cell r="B7220">
            <v>130187</v>
          </cell>
          <cell r="C7220" t="str">
            <v>Convent of the Holy Family School</v>
          </cell>
          <cell r="D7220" t="str">
            <v>West Sussex</v>
          </cell>
          <cell r="E7220" t="str">
            <v>Other Independent School</v>
          </cell>
          <cell r="F7220" t="str">
            <v>Not applicable</v>
          </cell>
        </row>
        <row r="7221">
          <cell r="A7221">
            <v>9366025</v>
          </cell>
          <cell r="B7221">
            <v>130112</v>
          </cell>
          <cell r="C7221" t="str">
            <v>Convent of the Sacred Hearts School</v>
          </cell>
          <cell r="D7221" t="str">
            <v>Surrey</v>
          </cell>
          <cell r="E7221" t="str">
            <v>Other Independent School</v>
          </cell>
          <cell r="F7221" t="str">
            <v>Not applicable</v>
          </cell>
        </row>
        <row r="7222">
          <cell r="A7222">
            <v>3546000</v>
          </cell>
          <cell r="B7222">
            <v>105854</v>
          </cell>
          <cell r="C7222" t="str">
            <v>Convent Primary School</v>
          </cell>
          <cell r="D7222" t="str">
            <v>Rochdale</v>
          </cell>
          <cell r="E7222" t="str">
            <v>Other Independent School</v>
          </cell>
          <cell r="F7222" t="str">
            <v>Not applicable</v>
          </cell>
        </row>
        <row r="7223">
          <cell r="A7223">
            <v>2032126</v>
          </cell>
          <cell r="B7223">
            <v>100117</v>
          </cell>
          <cell r="C7223" t="str">
            <v>Conway Infant School</v>
          </cell>
          <cell r="D7223" t="str">
            <v>Greenwich</v>
          </cell>
          <cell r="E7223" t="str">
            <v>Community School</v>
          </cell>
          <cell r="F7223" t="str">
            <v>Primary</v>
          </cell>
        </row>
        <row r="7224">
          <cell r="A7224">
            <v>2032125</v>
          </cell>
          <cell r="B7224">
            <v>100116</v>
          </cell>
          <cell r="C7224" t="str">
            <v>Conway Junior School</v>
          </cell>
          <cell r="D7224" t="str">
            <v>Greenwich</v>
          </cell>
          <cell r="E7224" t="str">
            <v>Community School</v>
          </cell>
          <cell r="F7224" t="str">
            <v>Primary</v>
          </cell>
        </row>
        <row r="7225">
          <cell r="A7225">
            <v>3302082</v>
          </cell>
          <cell r="B7225">
            <v>103202</v>
          </cell>
          <cell r="C7225" t="str">
            <v>Conway Primary School</v>
          </cell>
          <cell r="D7225" t="str">
            <v>Birmingham</v>
          </cell>
          <cell r="E7225" t="str">
            <v>Community School</v>
          </cell>
          <cell r="F7225" t="str">
            <v>Primary</v>
          </cell>
        </row>
        <row r="7226">
          <cell r="A7226">
            <v>2032924</v>
          </cell>
          <cell r="B7226">
            <v>132800</v>
          </cell>
          <cell r="C7226" t="str">
            <v>Conway Primary School</v>
          </cell>
          <cell r="D7226" t="str">
            <v>Greenwich</v>
          </cell>
          <cell r="E7226" t="str">
            <v>Community School</v>
          </cell>
          <cell r="F7226" t="str">
            <v>Primary</v>
          </cell>
        </row>
        <row r="7227">
          <cell r="A7227">
            <v>9256019</v>
          </cell>
          <cell r="B7227">
            <v>120730</v>
          </cell>
          <cell r="C7227" t="str">
            <v>Conway School</v>
          </cell>
          <cell r="D7227" t="str">
            <v>Lincolnshire</v>
          </cell>
          <cell r="E7227" t="str">
            <v>Other Independent School</v>
          </cell>
          <cell r="F7227" t="str">
            <v>Not applicable</v>
          </cell>
        </row>
        <row r="7228">
          <cell r="A7228">
            <v>6621101</v>
          </cell>
          <cell r="B7228">
            <v>401939</v>
          </cell>
          <cell r="C7228" t="str">
            <v>Conwy Behavioural Support Unit</v>
          </cell>
          <cell r="D7228" t="str">
            <v>Conwy</v>
          </cell>
          <cell r="E7228" t="str">
            <v>Welsh Establishment</v>
          </cell>
          <cell r="F7228" t="str">
            <v>Not applicable</v>
          </cell>
        </row>
        <row r="7229">
          <cell r="A7229">
            <v>6622100</v>
          </cell>
          <cell r="B7229">
            <v>400210</v>
          </cell>
          <cell r="C7229" t="str">
            <v>Conwy Road Infants School</v>
          </cell>
          <cell r="D7229" t="str">
            <v>Conwy</v>
          </cell>
          <cell r="E7229" t="str">
            <v>Welsh Establishment</v>
          </cell>
          <cell r="F7229" t="str">
            <v>Primary</v>
          </cell>
        </row>
        <row r="7230">
          <cell r="A7230">
            <v>6621104</v>
          </cell>
          <cell r="B7230">
            <v>402026</v>
          </cell>
          <cell r="C7230" t="str">
            <v>Conwy Secondary Pupil Referral Unit</v>
          </cell>
          <cell r="D7230" t="str">
            <v>Conwy</v>
          </cell>
          <cell r="E7230" t="str">
            <v>Welsh Establishment</v>
          </cell>
          <cell r="F7230" t="str">
            <v>Not applicable</v>
          </cell>
        </row>
        <row r="7231">
          <cell r="A7231">
            <v>8084023</v>
          </cell>
          <cell r="B7231">
            <v>111730</v>
          </cell>
          <cell r="C7231" t="str">
            <v>Conyers School</v>
          </cell>
          <cell r="D7231" t="str">
            <v>Stockton-on-Tees</v>
          </cell>
          <cell r="E7231" t="str">
            <v>Community School</v>
          </cell>
          <cell r="F7231" t="str">
            <v>Secondary</v>
          </cell>
        </row>
        <row r="7232">
          <cell r="A7232">
            <v>8683021</v>
          </cell>
          <cell r="B7232">
            <v>109960</v>
          </cell>
          <cell r="C7232" t="str">
            <v>Cookham Dean CofE Primary School</v>
          </cell>
          <cell r="D7232" t="str">
            <v>Windsor and Maidenhead</v>
          </cell>
          <cell r="E7232" t="str">
            <v>Voluntary Aided School</v>
          </cell>
          <cell r="F7232" t="str">
            <v>Primary</v>
          </cell>
        </row>
        <row r="7233">
          <cell r="A7233">
            <v>8681011</v>
          </cell>
          <cell r="B7233">
            <v>109754</v>
          </cell>
          <cell r="C7233" t="str">
            <v>Cookham Nursery School</v>
          </cell>
          <cell r="D7233" t="str">
            <v>Windsor and Maidenhead</v>
          </cell>
          <cell r="E7233" t="str">
            <v>LA Nursery School</v>
          </cell>
          <cell r="F7233" t="str">
            <v>Nursery</v>
          </cell>
        </row>
        <row r="7234">
          <cell r="A7234">
            <v>8682123</v>
          </cell>
          <cell r="B7234">
            <v>109856</v>
          </cell>
          <cell r="C7234" t="str">
            <v>Cookham Rise Primary School</v>
          </cell>
          <cell r="D7234" t="str">
            <v>Windsor and Maidenhead</v>
          </cell>
          <cell r="E7234" t="str">
            <v>Community School</v>
          </cell>
          <cell r="F7234" t="str">
            <v>Primary</v>
          </cell>
        </row>
        <row r="7235">
          <cell r="A7235">
            <v>9353082</v>
          </cell>
          <cell r="B7235">
            <v>124726</v>
          </cell>
          <cell r="C7235" t="str">
            <v>Cookley and Walpole Church of England Voluntary Controlled Primary School</v>
          </cell>
          <cell r="D7235" t="str">
            <v>Suffolk</v>
          </cell>
          <cell r="E7235" t="str">
            <v>Voluntary Controlled School</v>
          </cell>
          <cell r="F7235" t="str">
            <v>Primary</v>
          </cell>
        </row>
        <row r="7236">
          <cell r="A7236">
            <v>8853025</v>
          </cell>
          <cell r="B7236">
            <v>116798</v>
          </cell>
          <cell r="C7236" t="str">
            <v>Cookley Sebright First School</v>
          </cell>
          <cell r="D7236" t="str">
            <v>Worcestershire</v>
          </cell>
          <cell r="E7236" t="str">
            <v>Voluntary Controlled School</v>
          </cell>
          <cell r="F7236" t="str">
            <v>Primary</v>
          </cell>
        </row>
        <row r="7237">
          <cell r="A7237">
            <v>8853016</v>
          </cell>
          <cell r="B7237">
            <v>135048</v>
          </cell>
          <cell r="C7237" t="str">
            <v>Cookley Sebright Primary School</v>
          </cell>
          <cell r="D7237" t="str">
            <v>Worcestershire</v>
          </cell>
          <cell r="E7237" t="str">
            <v>Voluntary Controlled School</v>
          </cell>
          <cell r="F7237" t="str">
            <v>Primary</v>
          </cell>
        </row>
        <row r="7238">
          <cell r="A7238">
            <v>3832059</v>
          </cell>
          <cell r="B7238">
            <v>127819</v>
          </cell>
          <cell r="C7238" t="str">
            <v>Cookridge First School</v>
          </cell>
          <cell r="D7238" t="str">
            <v>Leeds</v>
          </cell>
          <cell r="E7238" t="str">
            <v>Community School</v>
          </cell>
          <cell r="F7238" t="str">
            <v>Primary</v>
          </cell>
        </row>
        <row r="7239">
          <cell r="A7239">
            <v>3833903</v>
          </cell>
          <cell r="B7239">
            <v>108042</v>
          </cell>
          <cell r="C7239" t="str">
            <v>Cookridge Holy Trinity Church of England Primary School</v>
          </cell>
          <cell r="D7239" t="str">
            <v>Leeds</v>
          </cell>
          <cell r="E7239" t="str">
            <v>Voluntary Aided School</v>
          </cell>
          <cell r="F7239" t="str">
            <v>Primary</v>
          </cell>
        </row>
        <row r="7240">
          <cell r="A7240">
            <v>3832418</v>
          </cell>
          <cell r="B7240">
            <v>107894</v>
          </cell>
          <cell r="C7240" t="str">
            <v>Cookridge Primary School</v>
          </cell>
          <cell r="D7240" t="str">
            <v>Leeds</v>
          </cell>
          <cell r="E7240" t="str">
            <v>Community School</v>
          </cell>
          <cell r="F7240" t="str">
            <v>Primary</v>
          </cell>
        </row>
        <row r="7241">
          <cell r="A7241">
            <v>8122877</v>
          </cell>
          <cell r="B7241">
            <v>117907</v>
          </cell>
          <cell r="C7241" t="str">
            <v>Coomb Briggs Primary School</v>
          </cell>
          <cell r="D7241" t="str">
            <v>North East Lincolnshire</v>
          </cell>
          <cell r="E7241" t="str">
            <v>Community School</v>
          </cell>
          <cell r="F7241" t="str">
            <v>Primary</v>
          </cell>
        </row>
        <row r="7242">
          <cell r="A7242">
            <v>8653229</v>
          </cell>
          <cell r="B7242">
            <v>126382</v>
          </cell>
          <cell r="C7242" t="str">
            <v>Coombe Bissett Church of England Primary School</v>
          </cell>
          <cell r="D7242" t="str">
            <v>Wiltshire</v>
          </cell>
          <cell r="E7242" t="str">
            <v>Voluntary Aided School</v>
          </cell>
          <cell r="F7242" t="str">
            <v>Primary</v>
          </cell>
        </row>
        <row r="7243">
          <cell r="A7243">
            <v>3145403</v>
          </cell>
          <cell r="B7243">
            <v>102608</v>
          </cell>
          <cell r="C7243" t="str">
            <v>Coombe Boys' School</v>
          </cell>
          <cell r="D7243" t="str">
            <v>Kingston upon Thames</v>
          </cell>
          <cell r="E7243" t="str">
            <v>Foundation School</v>
          </cell>
          <cell r="F7243" t="str">
            <v>Secondary</v>
          </cell>
        </row>
        <row r="7244">
          <cell r="A7244">
            <v>8794181</v>
          </cell>
          <cell r="B7244">
            <v>113538</v>
          </cell>
          <cell r="C7244" t="str">
            <v>Coombe Dean School</v>
          </cell>
          <cell r="D7244" t="str">
            <v>Plymouth</v>
          </cell>
          <cell r="E7244" t="str">
            <v>Community School</v>
          </cell>
          <cell r="F7244" t="str">
            <v>Secondary</v>
          </cell>
        </row>
        <row r="7245">
          <cell r="A7245">
            <v>8794181</v>
          </cell>
          <cell r="B7245">
            <v>136558</v>
          </cell>
          <cell r="C7245" t="str">
            <v>Coombe Dean School</v>
          </cell>
          <cell r="D7245" t="str">
            <v>Plymouth</v>
          </cell>
          <cell r="E7245" t="str">
            <v>Academy Converters</v>
          </cell>
          <cell r="F7245" t="str">
            <v>Secondary</v>
          </cell>
        </row>
        <row r="7246">
          <cell r="A7246">
            <v>3144004</v>
          </cell>
          <cell r="B7246">
            <v>102598</v>
          </cell>
          <cell r="C7246" t="str">
            <v>Coombe Girls' School</v>
          </cell>
          <cell r="D7246" t="str">
            <v>Kingston upon Thames</v>
          </cell>
          <cell r="E7246" t="str">
            <v>Community School</v>
          </cell>
          <cell r="F7246" t="str">
            <v>Secondary</v>
          </cell>
        </row>
        <row r="7247">
          <cell r="A7247">
            <v>2067085</v>
          </cell>
          <cell r="B7247">
            <v>126637</v>
          </cell>
          <cell r="C7247" t="str">
            <v>Coombe Hall School</v>
          </cell>
          <cell r="D7247" t="str">
            <v>Islington</v>
          </cell>
          <cell r="E7247" t="str">
            <v>Community Special School</v>
          </cell>
          <cell r="F7247" t="str">
            <v>Special</v>
          </cell>
        </row>
        <row r="7248">
          <cell r="A7248">
            <v>3142004</v>
          </cell>
          <cell r="B7248">
            <v>102567</v>
          </cell>
          <cell r="C7248" t="str">
            <v>Coombe Hill Infant School</v>
          </cell>
          <cell r="D7248" t="str">
            <v>Kingston upon Thames</v>
          </cell>
          <cell r="E7248" t="str">
            <v>Community School</v>
          </cell>
          <cell r="F7248" t="str">
            <v>Primary</v>
          </cell>
        </row>
        <row r="7249">
          <cell r="A7249">
            <v>3142028</v>
          </cell>
          <cell r="B7249">
            <v>102576</v>
          </cell>
          <cell r="C7249" t="str">
            <v>Coombe Hill Junior School</v>
          </cell>
          <cell r="D7249" t="str">
            <v>Kingston upon Thames</v>
          </cell>
          <cell r="E7249" t="str">
            <v>Community School</v>
          </cell>
          <cell r="F7249" t="str">
            <v>Primary</v>
          </cell>
        </row>
        <row r="7250">
          <cell r="A7250">
            <v>8462007</v>
          </cell>
          <cell r="B7250">
            <v>114365</v>
          </cell>
          <cell r="C7250" t="str">
            <v>Coombe Road Primary School</v>
          </cell>
          <cell r="D7250" t="str">
            <v>Brighton and Hove</v>
          </cell>
          <cell r="E7250" t="str">
            <v>Community School</v>
          </cell>
          <cell r="F7250" t="str">
            <v>Primary</v>
          </cell>
        </row>
        <row r="7251">
          <cell r="A7251">
            <v>8722156</v>
          </cell>
          <cell r="B7251">
            <v>109885</v>
          </cell>
          <cell r="C7251" t="str">
            <v>Coombes Infant and Nursery School</v>
          </cell>
          <cell r="D7251" t="str">
            <v>Wokingham</v>
          </cell>
          <cell r="E7251" t="str">
            <v>Community School</v>
          </cell>
          <cell r="F7251" t="str">
            <v>Primary</v>
          </cell>
        </row>
        <row r="7252">
          <cell r="A7252">
            <v>8784112</v>
          </cell>
          <cell r="B7252">
            <v>113522</v>
          </cell>
          <cell r="C7252" t="str">
            <v>Coombeshead College</v>
          </cell>
          <cell r="D7252" t="str">
            <v>Devon</v>
          </cell>
          <cell r="E7252" t="str">
            <v>Foundation School</v>
          </cell>
          <cell r="F7252" t="str">
            <v>Secondary</v>
          </cell>
        </row>
        <row r="7253">
          <cell r="A7253">
            <v>8784112</v>
          </cell>
          <cell r="B7253">
            <v>137176</v>
          </cell>
          <cell r="C7253" t="str">
            <v>Coombeshead College</v>
          </cell>
          <cell r="D7253" t="str">
            <v>Devon</v>
          </cell>
          <cell r="E7253" t="str">
            <v>Academy Converters</v>
          </cell>
          <cell r="F7253" t="str">
            <v>Secondary</v>
          </cell>
        </row>
        <row r="7254">
          <cell r="A7254">
            <v>3827006</v>
          </cell>
          <cell r="B7254">
            <v>127801</v>
          </cell>
          <cell r="C7254" t="str">
            <v>Coombs Hill School</v>
          </cell>
          <cell r="D7254" t="str">
            <v>Kirklees</v>
          </cell>
          <cell r="E7254" t="str">
            <v>Community Special School</v>
          </cell>
          <cell r="F7254" t="str">
            <v>Special</v>
          </cell>
        </row>
        <row r="7255">
          <cell r="A7255">
            <v>3353321</v>
          </cell>
          <cell r="B7255">
            <v>104238</v>
          </cell>
          <cell r="C7255" t="str">
            <v>Cooper and Jordan Church of England Infant School</v>
          </cell>
          <cell r="D7255" t="str">
            <v>Walsall</v>
          </cell>
          <cell r="E7255" t="str">
            <v>Voluntary Aided School</v>
          </cell>
          <cell r="F7255" t="str">
            <v>Primary</v>
          </cell>
        </row>
        <row r="7256">
          <cell r="A7256">
            <v>3353320</v>
          </cell>
          <cell r="B7256">
            <v>104237</v>
          </cell>
          <cell r="C7256" t="str">
            <v>Cooper and Jordan Church of England Junior School</v>
          </cell>
          <cell r="D7256" t="str">
            <v>Walsall</v>
          </cell>
          <cell r="E7256" t="str">
            <v>Voluntary Aided School</v>
          </cell>
          <cell r="F7256" t="str">
            <v>Primary</v>
          </cell>
        </row>
        <row r="7257">
          <cell r="A7257">
            <v>3352249</v>
          </cell>
          <cell r="B7257">
            <v>132073</v>
          </cell>
          <cell r="C7257" t="str">
            <v>Cooper and Jordan Church of England Primary School</v>
          </cell>
          <cell r="D7257" t="str">
            <v>Walsall</v>
          </cell>
          <cell r="E7257" t="str">
            <v>Voluntary Aided School</v>
          </cell>
          <cell r="F7257" t="str">
            <v>Primary</v>
          </cell>
        </row>
        <row r="7258">
          <cell r="A7258">
            <v>3802016</v>
          </cell>
          <cell r="B7258">
            <v>107200</v>
          </cell>
          <cell r="C7258" t="str">
            <v>Cooper Lane Primary School</v>
          </cell>
          <cell r="D7258" t="str">
            <v>Bradford</v>
          </cell>
          <cell r="E7258" t="str">
            <v>Community School</v>
          </cell>
          <cell r="F7258" t="str">
            <v>Primary</v>
          </cell>
        </row>
        <row r="7259">
          <cell r="A7259">
            <v>8602399</v>
          </cell>
          <cell r="B7259">
            <v>124195</v>
          </cell>
          <cell r="C7259" t="str">
            <v>Cooper Perry Primary School</v>
          </cell>
          <cell r="D7259" t="str">
            <v>Staffordshire</v>
          </cell>
          <cell r="E7259" t="str">
            <v>Community School</v>
          </cell>
          <cell r="F7259" t="str">
            <v>Primary</v>
          </cell>
        </row>
        <row r="7260">
          <cell r="A7260">
            <v>8616905</v>
          </cell>
          <cell r="B7260">
            <v>136102</v>
          </cell>
          <cell r="C7260" t="str">
            <v>Co-Operative Academy at Brownhills</v>
          </cell>
          <cell r="D7260" t="str">
            <v>Stoke-on-Trent</v>
          </cell>
          <cell r="E7260" t="str">
            <v>Academy Sponsor Led</v>
          </cell>
          <cell r="F7260" t="str">
            <v>Secondary</v>
          </cell>
        </row>
        <row r="7261">
          <cell r="A7261">
            <v>8866094</v>
          </cell>
          <cell r="B7261">
            <v>134204</v>
          </cell>
          <cell r="C7261" t="str">
            <v>Co-Operative Independent College</v>
          </cell>
          <cell r="D7261" t="str">
            <v>Kent</v>
          </cell>
          <cell r="E7261" t="str">
            <v>Other Independent School</v>
          </cell>
          <cell r="F7261" t="str">
            <v>Not applicable</v>
          </cell>
        </row>
        <row r="7262">
          <cell r="A7262">
            <v>9162185</v>
          </cell>
          <cell r="B7262">
            <v>136074</v>
          </cell>
          <cell r="C7262" t="str">
            <v>Coopers Edge School</v>
          </cell>
          <cell r="D7262" t="str">
            <v>Gloucestershire</v>
          </cell>
          <cell r="E7262" t="str">
            <v>Foundation School</v>
          </cell>
          <cell r="F7262" t="str">
            <v>Primary</v>
          </cell>
        </row>
        <row r="7263">
          <cell r="A7263">
            <v>2092127</v>
          </cell>
          <cell r="B7263">
            <v>100676</v>
          </cell>
          <cell r="C7263" t="str">
            <v>Cooper's Lane Primary School</v>
          </cell>
          <cell r="D7263" t="str">
            <v>Lewisham</v>
          </cell>
          <cell r="E7263" t="str">
            <v>Community School</v>
          </cell>
          <cell r="F7263" t="str">
            <v>Primary</v>
          </cell>
        </row>
        <row r="7264">
          <cell r="A7264">
            <v>3055401</v>
          </cell>
          <cell r="B7264">
            <v>101667</v>
          </cell>
          <cell r="C7264" t="str">
            <v>Coopers Technology College</v>
          </cell>
          <cell r="D7264" t="str">
            <v>Bromley</v>
          </cell>
          <cell r="E7264" t="str">
            <v>Foundation School</v>
          </cell>
          <cell r="F7264" t="str">
            <v>Secondary</v>
          </cell>
        </row>
        <row r="7265">
          <cell r="A7265">
            <v>3055401</v>
          </cell>
          <cell r="B7265">
            <v>136464</v>
          </cell>
          <cell r="C7265" t="str">
            <v>Coopers Technology College</v>
          </cell>
          <cell r="D7265" t="str">
            <v>Bromley</v>
          </cell>
          <cell r="E7265" t="str">
            <v>Academy Converters</v>
          </cell>
          <cell r="F7265" t="str">
            <v>Secondary</v>
          </cell>
        </row>
        <row r="7266">
          <cell r="A7266">
            <v>8813123</v>
          </cell>
          <cell r="B7266">
            <v>115095</v>
          </cell>
          <cell r="C7266" t="str">
            <v>Coopersale and Theydon Garnon Church of England Voluntary Controlled Primary School</v>
          </cell>
          <cell r="D7266" t="str">
            <v>Essex</v>
          </cell>
          <cell r="E7266" t="str">
            <v>Voluntary Controlled School</v>
          </cell>
          <cell r="F7266" t="str">
            <v>Primary</v>
          </cell>
        </row>
        <row r="7267">
          <cell r="A7267">
            <v>8816040</v>
          </cell>
          <cell r="B7267">
            <v>115435</v>
          </cell>
          <cell r="C7267" t="str">
            <v>Coopersale Hall School</v>
          </cell>
          <cell r="D7267" t="str">
            <v>Essex</v>
          </cell>
          <cell r="E7267" t="str">
            <v>Other Independent School</v>
          </cell>
          <cell r="F7267" t="str">
            <v>Not applicable</v>
          </cell>
        </row>
        <row r="7268">
          <cell r="A7268">
            <v>8883018</v>
          </cell>
          <cell r="B7268">
            <v>119363</v>
          </cell>
          <cell r="C7268" t="str">
            <v>Cop Lane Church of England Primary School, Penwortham</v>
          </cell>
          <cell r="D7268" t="str">
            <v>Lancashire</v>
          </cell>
          <cell r="E7268" t="str">
            <v>Voluntary Aided School</v>
          </cell>
          <cell r="F7268" t="str">
            <v>Primary</v>
          </cell>
        </row>
        <row r="7269">
          <cell r="A7269">
            <v>9352071</v>
          </cell>
          <cell r="B7269">
            <v>124577</v>
          </cell>
          <cell r="C7269" t="str">
            <v>Copdock Primary School</v>
          </cell>
          <cell r="D7269" t="str">
            <v>Suffolk</v>
          </cell>
          <cell r="E7269" t="str">
            <v>Community School</v>
          </cell>
          <cell r="F7269" t="str">
            <v>Primary</v>
          </cell>
        </row>
        <row r="7270">
          <cell r="A7270">
            <v>8402704</v>
          </cell>
          <cell r="B7270">
            <v>114187</v>
          </cell>
          <cell r="C7270" t="str">
            <v>Copeland Road Primary School</v>
          </cell>
          <cell r="D7270" t="str">
            <v>Durham</v>
          </cell>
          <cell r="E7270" t="str">
            <v>Community School</v>
          </cell>
          <cell r="F7270" t="str">
            <v>Primary</v>
          </cell>
        </row>
        <row r="7271">
          <cell r="A7271">
            <v>2062128</v>
          </cell>
          <cell r="B7271">
            <v>100401</v>
          </cell>
          <cell r="C7271" t="str">
            <v>Copenhagen Primary School</v>
          </cell>
          <cell r="D7271" t="str">
            <v>Islington</v>
          </cell>
          <cell r="E7271" t="str">
            <v>Community School</v>
          </cell>
          <cell r="F7271" t="str">
            <v>Primary</v>
          </cell>
        </row>
        <row r="7272">
          <cell r="A7272">
            <v>8813020</v>
          </cell>
          <cell r="B7272">
            <v>115074</v>
          </cell>
          <cell r="C7272" t="str">
            <v>Copford Church of England Voluntary Controlled Primary School</v>
          </cell>
          <cell r="D7272" t="str">
            <v>Essex</v>
          </cell>
          <cell r="E7272" t="str">
            <v>Voluntary Controlled School</v>
          </cell>
          <cell r="F7272" t="str">
            <v>Primary</v>
          </cell>
        </row>
        <row r="7273">
          <cell r="A7273">
            <v>3045401</v>
          </cell>
          <cell r="B7273">
            <v>101558</v>
          </cell>
          <cell r="C7273" t="str">
            <v>Copland Community School</v>
          </cell>
          <cell r="D7273" t="str">
            <v>Brent</v>
          </cell>
          <cell r="E7273" t="str">
            <v>Foundation School</v>
          </cell>
          <cell r="F7273" t="str">
            <v>Secondary</v>
          </cell>
        </row>
        <row r="7274">
          <cell r="A7274">
            <v>8222035</v>
          </cell>
          <cell r="B7274">
            <v>109442</v>
          </cell>
          <cell r="C7274" t="str">
            <v>Cople Lower School</v>
          </cell>
          <cell r="D7274" t="str">
            <v>Bedford</v>
          </cell>
          <cell r="E7274" t="str">
            <v>Community School</v>
          </cell>
          <cell r="F7274" t="str">
            <v>Primary</v>
          </cell>
        </row>
        <row r="7275">
          <cell r="A7275">
            <v>9354092</v>
          </cell>
          <cell r="B7275">
            <v>124842</v>
          </cell>
          <cell r="C7275" t="str">
            <v>Copleston High School</v>
          </cell>
          <cell r="D7275" t="str">
            <v>Suffolk</v>
          </cell>
          <cell r="E7275" t="str">
            <v>Community School</v>
          </cell>
          <cell r="F7275" t="str">
            <v>Secondary</v>
          </cell>
        </row>
        <row r="7276">
          <cell r="A7276">
            <v>9354092</v>
          </cell>
          <cell r="B7276">
            <v>136827</v>
          </cell>
          <cell r="C7276" t="str">
            <v>Copleston High School</v>
          </cell>
          <cell r="D7276" t="str">
            <v>Suffolk</v>
          </cell>
          <cell r="E7276" t="str">
            <v>Academy Converters</v>
          </cell>
          <cell r="F7276" t="str">
            <v>Secondary</v>
          </cell>
        </row>
        <row r="7277">
          <cell r="A7277">
            <v>3574011</v>
          </cell>
          <cell r="B7277">
            <v>106259</v>
          </cell>
          <cell r="C7277" t="str">
            <v>Copley High School</v>
          </cell>
          <cell r="D7277" t="str">
            <v>Tameside</v>
          </cell>
          <cell r="E7277" t="str">
            <v>Community School</v>
          </cell>
          <cell r="F7277" t="str">
            <v>Secondary</v>
          </cell>
        </row>
        <row r="7278">
          <cell r="A7278">
            <v>3712157</v>
          </cell>
          <cell r="B7278">
            <v>106722</v>
          </cell>
          <cell r="C7278" t="str">
            <v>Copley Junior School</v>
          </cell>
          <cell r="D7278" t="str">
            <v>Doncaster</v>
          </cell>
          <cell r="E7278" t="str">
            <v>Community School</v>
          </cell>
          <cell r="F7278" t="str">
            <v>Primary</v>
          </cell>
        </row>
        <row r="7279">
          <cell r="A7279">
            <v>3812006</v>
          </cell>
          <cell r="B7279">
            <v>107480</v>
          </cell>
          <cell r="C7279" t="str">
            <v>Copley Primary School</v>
          </cell>
          <cell r="D7279" t="str">
            <v>Calderdale</v>
          </cell>
          <cell r="E7279" t="str">
            <v>Community School</v>
          </cell>
          <cell r="F7279" t="str">
            <v>Primary</v>
          </cell>
        </row>
        <row r="7280">
          <cell r="A7280">
            <v>8162384</v>
          </cell>
          <cell r="B7280">
            <v>121439</v>
          </cell>
          <cell r="C7280" t="str">
            <v>Copmanthorpe Infant School</v>
          </cell>
          <cell r="D7280" t="str">
            <v>York</v>
          </cell>
          <cell r="E7280" t="str">
            <v>Community School</v>
          </cell>
          <cell r="F7280" t="str">
            <v>Primary</v>
          </cell>
        </row>
        <row r="7281">
          <cell r="A7281">
            <v>8162375</v>
          </cell>
          <cell r="B7281">
            <v>121430</v>
          </cell>
          <cell r="C7281" t="str">
            <v>Copmanthorpe Junior School</v>
          </cell>
          <cell r="D7281" t="str">
            <v>York</v>
          </cell>
          <cell r="E7281" t="str">
            <v>Community School</v>
          </cell>
          <cell r="F7281" t="str">
            <v>Primary</v>
          </cell>
        </row>
        <row r="7282">
          <cell r="A7282">
            <v>8162013</v>
          </cell>
          <cell r="B7282">
            <v>132047</v>
          </cell>
          <cell r="C7282" t="str">
            <v>Copmanthorpe Primary School</v>
          </cell>
          <cell r="D7282" t="str">
            <v>York</v>
          </cell>
          <cell r="E7282" t="str">
            <v>Community School</v>
          </cell>
          <cell r="F7282" t="str">
            <v>Primary</v>
          </cell>
        </row>
        <row r="7283">
          <cell r="A7283">
            <v>8512695</v>
          </cell>
          <cell r="B7283">
            <v>116208</v>
          </cell>
          <cell r="C7283" t="str">
            <v>Copnor Infant School</v>
          </cell>
          <cell r="D7283" t="str">
            <v>Portsmouth</v>
          </cell>
          <cell r="E7283" t="str">
            <v>Community School</v>
          </cell>
          <cell r="F7283" t="str">
            <v>Primary</v>
          </cell>
        </row>
        <row r="7284">
          <cell r="A7284">
            <v>8512701</v>
          </cell>
          <cell r="B7284">
            <v>116214</v>
          </cell>
          <cell r="C7284" t="str">
            <v>Copnor Junior School</v>
          </cell>
          <cell r="D7284" t="str">
            <v>Portsmouth</v>
          </cell>
          <cell r="E7284" t="str">
            <v>Community School</v>
          </cell>
          <cell r="F7284" t="str">
            <v>Primary</v>
          </cell>
        </row>
        <row r="7285">
          <cell r="A7285">
            <v>8754131</v>
          </cell>
          <cell r="B7285">
            <v>111413</v>
          </cell>
          <cell r="C7285" t="str">
            <v>Coppenhall High School</v>
          </cell>
          <cell r="D7285" t="str">
            <v>Pre LGR (2009) Cheshire</v>
          </cell>
          <cell r="E7285" t="str">
            <v>Community School</v>
          </cell>
          <cell r="F7285" t="str">
            <v>Secondary</v>
          </cell>
        </row>
        <row r="7286">
          <cell r="A7286">
            <v>8881105</v>
          </cell>
          <cell r="B7286">
            <v>119108</v>
          </cell>
          <cell r="C7286" t="str">
            <v>Copper House School</v>
          </cell>
          <cell r="D7286" t="str">
            <v>Lancashire</v>
          </cell>
          <cell r="E7286" t="str">
            <v>Pupil Referral Unit</v>
          </cell>
          <cell r="F7286" t="str">
            <v>PRU</v>
          </cell>
        </row>
        <row r="7287">
          <cell r="A7287">
            <v>8262273</v>
          </cell>
          <cell r="B7287">
            <v>110346</v>
          </cell>
          <cell r="C7287" t="str">
            <v>Copperfield Middle School</v>
          </cell>
          <cell r="D7287" t="str">
            <v>Milton Keynes</v>
          </cell>
          <cell r="E7287" t="str">
            <v>Community School</v>
          </cell>
          <cell r="F7287" t="str">
            <v>Middle Deemed Primary</v>
          </cell>
        </row>
        <row r="7288">
          <cell r="A7288">
            <v>3834116</v>
          </cell>
          <cell r="B7288">
            <v>131047</v>
          </cell>
          <cell r="C7288" t="str">
            <v>Copperfields College</v>
          </cell>
          <cell r="D7288" t="str">
            <v>Leeds</v>
          </cell>
          <cell r="E7288" t="str">
            <v>Community School</v>
          </cell>
          <cell r="F7288" t="str">
            <v>Secondary</v>
          </cell>
        </row>
        <row r="7289">
          <cell r="A7289">
            <v>9016092</v>
          </cell>
          <cell r="B7289">
            <v>128244</v>
          </cell>
          <cell r="C7289" t="str">
            <v>Copperfields School</v>
          </cell>
          <cell r="D7289" t="str">
            <v>Pre LGR (1996) Avon</v>
          </cell>
          <cell r="E7289" t="str">
            <v>Other Independent School</v>
          </cell>
          <cell r="F7289" t="str">
            <v>Not applicable</v>
          </cell>
        </row>
        <row r="7290">
          <cell r="A7290">
            <v>3202075</v>
          </cell>
          <cell r="B7290">
            <v>103078</v>
          </cell>
          <cell r="C7290" t="str">
            <v>Coppermill Primary School</v>
          </cell>
          <cell r="D7290" t="str">
            <v>Waltham Forest</v>
          </cell>
          <cell r="E7290" t="str">
            <v>Community School</v>
          </cell>
          <cell r="F7290" t="str">
            <v>Primary</v>
          </cell>
        </row>
        <row r="7291">
          <cell r="A7291">
            <v>6692152</v>
          </cell>
          <cell r="B7291">
            <v>400800</v>
          </cell>
          <cell r="C7291" t="str">
            <v>Copperworks Infant &amp; Nursery School</v>
          </cell>
          <cell r="D7291" t="str">
            <v>Carmarthenshire</v>
          </cell>
          <cell r="E7291" t="str">
            <v>Welsh Establishment</v>
          </cell>
          <cell r="F7291" t="str">
            <v>Primary</v>
          </cell>
        </row>
        <row r="7292">
          <cell r="A7292">
            <v>3022015</v>
          </cell>
          <cell r="B7292">
            <v>101270</v>
          </cell>
          <cell r="C7292" t="str">
            <v>Coppetts Wood Primary School</v>
          </cell>
          <cell r="D7292" t="str">
            <v>Barnet</v>
          </cell>
          <cell r="E7292" t="str">
            <v>Community School</v>
          </cell>
          <cell r="F7292" t="str">
            <v>Primary</v>
          </cell>
        </row>
        <row r="7293">
          <cell r="A7293">
            <v>8912213</v>
          </cell>
          <cell r="B7293">
            <v>122516</v>
          </cell>
          <cell r="C7293" t="str">
            <v>Coppice Farm Primary School</v>
          </cell>
          <cell r="D7293" t="str">
            <v>Nottinghamshire</v>
          </cell>
          <cell r="E7293" t="str">
            <v>Community School</v>
          </cell>
          <cell r="F7293" t="str">
            <v>Primary</v>
          </cell>
        </row>
        <row r="7294">
          <cell r="A7294">
            <v>3532105</v>
          </cell>
          <cell r="B7294">
            <v>105683</v>
          </cell>
          <cell r="C7294" t="str">
            <v>Coppice Infant and Nursery School</v>
          </cell>
          <cell r="D7294" t="str">
            <v>Oldham</v>
          </cell>
          <cell r="E7294" t="str">
            <v>Community School</v>
          </cell>
          <cell r="F7294" t="str">
            <v>Primary</v>
          </cell>
        </row>
        <row r="7295">
          <cell r="A7295">
            <v>3302430</v>
          </cell>
          <cell r="B7295">
            <v>127057</v>
          </cell>
          <cell r="C7295" t="str">
            <v>Coppice Infant School</v>
          </cell>
          <cell r="D7295" t="str">
            <v>Birmingham</v>
          </cell>
          <cell r="E7295" t="str">
            <v>Community School</v>
          </cell>
          <cell r="F7295" t="str">
            <v>Primary</v>
          </cell>
        </row>
        <row r="7296">
          <cell r="A7296">
            <v>3342004</v>
          </cell>
          <cell r="B7296">
            <v>104041</v>
          </cell>
          <cell r="C7296" t="str">
            <v>Coppice Junior School</v>
          </cell>
          <cell r="D7296" t="str">
            <v>Solihull</v>
          </cell>
          <cell r="E7296" t="str">
            <v>Community School</v>
          </cell>
          <cell r="F7296" t="str">
            <v>Primary</v>
          </cell>
        </row>
        <row r="7297">
          <cell r="A7297">
            <v>3532106</v>
          </cell>
          <cell r="B7297">
            <v>105684</v>
          </cell>
          <cell r="C7297" t="str">
            <v>Coppice Junior School</v>
          </cell>
          <cell r="D7297" t="str">
            <v>Oldham</v>
          </cell>
          <cell r="E7297" t="str">
            <v>Community School</v>
          </cell>
          <cell r="F7297" t="str">
            <v>Primary</v>
          </cell>
        </row>
        <row r="7298">
          <cell r="A7298">
            <v>3302422</v>
          </cell>
          <cell r="B7298">
            <v>127055</v>
          </cell>
          <cell r="C7298" t="str">
            <v>Coppice Junior School</v>
          </cell>
          <cell r="D7298" t="str">
            <v>Birmingham</v>
          </cell>
          <cell r="E7298" t="str">
            <v>Community School</v>
          </cell>
          <cell r="F7298" t="str">
            <v>Primary</v>
          </cell>
        </row>
        <row r="7299">
          <cell r="A7299">
            <v>3364128</v>
          </cell>
          <cell r="B7299">
            <v>104390</v>
          </cell>
          <cell r="C7299" t="str">
            <v>Coppice Performing Arts School</v>
          </cell>
          <cell r="D7299" t="str">
            <v>Wolverhampton</v>
          </cell>
          <cell r="E7299" t="str">
            <v>Community School</v>
          </cell>
          <cell r="F7299" t="str">
            <v>Secondary</v>
          </cell>
        </row>
        <row r="7300">
          <cell r="A7300">
            <v>3172061</v>
          </cell>
          <cell r="B7300">
            <v>102837</v>
          </cell>
          <cell r="C7300" t="str">
            <v>Coppice Primary School</v>
          </cell>
          <cell r="D7300" t="str">
            <v>Redbridge</v>
          </cell>
          <cell r="E7300" t="str">
            <v>Community School</v>
          </cell>
          <cell r="F7300" t="str">
            <v>Primary</v>
          </cell>
        </row>
        <row r="7301">
          <cell r="A7301">
            <v>3302464</v>
          </cell>
          <cell r="B7301">
            <v>103390</v>
          </cell>
          <cell r="C7301" t="str">
            <v>Coppice Primary School</v>
          </cell>
          <cell r="D7301" t="str">
            <v>Birmingham</v>
          </cell>
          <cell r="E7301" t="str">
            <v>Community School</v>
          </cell>
          <cell r="F7301" t="str">
            <v>Primary</v>
          </cell>
        </row>
        <row r="7302">
          <cell r="A7302">
            <v>8302126</v>
          </cell>
          <cell r="B7302">
            <v>112563</v>
          </cell>
          <cell r="C7302" t="str">
            <v>Coppice Primary School</v>
          </cell>
          <cell r="D7302" t="str">
            <v>Derbyshire</v>
          </cell>
          <cell r="E7302" t="str">
            <v>Community School</v>
          </cell>
          <cell r="F7302" t="str">
            <v>Primary</v>
          </cell>
        </row>
        <row r="7303">
          <cell r="A7303">
            <v>3533505</v>
          </cell>
          <cell r="B7303">
            <v>135153</v>
          </cell>
          <cell r="C7303" t="str">
            <v>Coppice Primary School</v>
          </cell>
          <cell r="D7303" t="str">
            <v>Oldham</v>
          </cell>
          <cell r="E7303" t="str">
            <v>Community School</v>
          </cell>
          <cell r="F7303" t="str">
            <v>Primary</v>
          </cell>
        </row>
        <row r="7304">
          <cell r="A7304">
            <v>8852915</v>
          </cell>
          <cell r="B7304">
            <v>137697</v>
          </cell>
          <cell r="C7304" t="str">
            <v>Coppice Primary School</v>
          </cell>
          <cell r="D7304" t="str">
            <v>Worcestershire</v>
          </cell>
          <cell r="E7304" t="str">
            <v>Academy Converters</v>
          </cell>
          <cell r="F7304" t="str">
            <v>Primary</v>
          </cell>
        </row>
        <row r="7305">
          <cell r="A7305">
            <v>8607027</v>
          </cell>
          <cell r="B7305">
            <v>124511</v>
          </cell>
          <cell r="C7305" t="str">
            <v>Coppice School</v>
          </cell>
          <cell r="D7305" t="str">
            <v>Staffordshire</v>
          </cell>
          <cell r="E7305" t="str">
            <v>Community Special School</v>
          </cell>
          <cell r="F7305" t="str">
            <v>Special</v>
          </cell>
        </row>
        <row r="7306">
          <cell r="A7306">
            <v>3717014</v>
          </cell>
          <cell r="B7306">
            <v>135546</v>
          </cell>
          <cell r="C7306" t="str">
            <v>Coppice School</v>
          </cell>
          <cell r="D7306" t="str">
            <v>Doncaster</v>
          </cell>
          <cell r="E7306" t="str">
            <v>Community Special School</v>
          </cell>
          <cell r="F7306" t="str">
            <v>Special</v>
          </cell>
        </row>
        <row r="7307">
          <cell r="A7307">
            <v>8815212</v>
          </cell>
          <cell r="B7307">
            <v>115252</v>
          </cell>
          <cell r="C7307" t="str">
            <v>Coppins Green Primary School</v>
          </cell>
          <cell r="D7307" t="str">
            <v>Essex</v>
          </cell>
          <cell r="E7307" t="str">
            <v>Foundation School</v>
          </cell>
          <cell r="F7307" t="str">
            <v>Primary</v>
          </cell>
        </row>
        <row r="7308">
          <cell r="A7308">
            <v>8782011</v>
          </cell>
          <cell r="B7308">
            <v>113068</v>
          </cell>
          <cell r="C7308" t="str">
            <v>Copplestone Primary School</v>
          </cell>
          <cell r="D7308" t="str">
            <v>Devon</v>
          </cell>
          <cell r="E7308" t="str">
            <v>Community School</v>
          </cell>
          <cell r="F7308" t="str">
            <v>Primary</v>
          </cell>
        </row>
        <row r="7309">
          <cell r="A7309">
            <v>8883403</v>
          </cell>
          <cell r="B7309">
            <v>119470</v>
          </cell>
          <cell r="C7309" t="str">
            <v>Coppull Parish Church of England Primary School</v>
          </cell>
          <cell r="D7309" t="str">
            <v>Lancashire</v>
          </cell>
          <cell r="E7309" t="str">
            <v>Voluntary Aided School</v>
          </cell>
          <cell r="F7309" t="str">
            <v>Primary</v>
          </cell>
        </row>
        <row r="7310">
          <cell r="A7310">
            <v>8882147</v>
          </cell>
          <cell r="B7310">
            <v>119206</v>
          </cell>
          <cell r="C7310" t="str">
            <v>Coppull Primary School and Children's Centre</v>
          </cell>
          <cell r="D7310" t="str">
            <v>Lancashire</v>
          </cell>
          <cell r="E7310" t="str">
            <v>Community School</v>
          </cell>
          <cell r="F7310" t="str">
            <v>Primary</v>
          </cell>
        </row>
        <row r="7311">
          <cell r="A7311">
            <v>8883402</v>
          </cell>
          <cell r="B7311">
            <v>119469</v>
          </cell>
          <cell r="C7311" t="str">
            <v>Coppull St John's Church of England Voluntary Aided Primary School</v>
          </cell>
          <cell r="D7311" t="str">
            <v>Lancashire</v>
          </cell>
          <cell r="E7311" t="str">
            <v>Voluntary Aided School</v>
          </cell>
          <cell r="F7311" t="str">
            <v>Primary</v>
          </cell>
        </row>
        <row r="7312">
          <cell r="A7312">
            <v>3319903</v>
          </cell>
          <cell r="B7312">
            <v>133208</v>
          </cell>
          <cell r="C7312" t="str">
            <v>Copsewood Education Trust</v>
          </cell>
          <cell r="D7312" t="str">
            <v>Coventry</v>
          </cell>
          <cell r="E7312" t="str">
            <v>Miscellaneous</v>
          </cell>
          <cell r="F7312" t="str">
            <v>Not applicable</v>
          </cell>
        </row>
        <row r="7313">
          <cell r="A7313">
            <v>8606033</v>
          </cell>
          <cell r="B7313">
            <v>135846</v>
          </cell>
          <cell r="C7313" t="str">
            <v>Copsewood Primary School</v>
          </cell>
          <cell r="D7313" t="str">
            <v>Staffordshire</v>
          </cell>
          <cell r="E7313" t="str">
            <v>Other Independent School</v>
          </cell>
          <cell r="F7313" t="str">
            <v>Not applicable</v>
          </cell>
        </row>
        <row r="7314">
          <cell r="A7314">
            <v>3316027</v>
          </cell>
          <cell r="B7314">
            <v>134464</v>
          </cell>
          <cell r="C7314" t="str">
            <v>Copsewood School</v>
          </cell>
          <cell r="D7314" t="str">
            <v>Coventry</v>
          </cell>
          <cell r="E7314" t="str">
            <v>Other Independent School</v>
          </cell>
          <cell r="F7314" t="str">
            <v>Not applicable</v>
          </cell>
        </row>
        <row r="7315">
          <cell r="A7315">
            <v>3947011</v>
          </cell>
          <cell r="B7315">
            <v>128213</v>
          </cell>
          <cell r="C7315" t="str">
            <v>Copt Hill School</v>
          </cell>
          <cell r="D7315" t="str">
            <v>Sunderland</v>
          </cell>
          <cell r="E7315" t="str">
            <v>Community Special School</v>
          </cell>
          <cell r="F7315" t="str">
            <v>Special</v>
          </cell>
        </row>
        <row r="7316">
          <cell r="A7316">
            <v>3024210</v>
          </cell>
          <cell r="B7316">
            <v>101349</v>
          </cell>
          <cell r="C7316" t="str">
            <v>Copthall School</v>
          </cell>
          <cell r="D7316" t="str">
            <v>Barnet</v>
          </cell>
          <cell r="E7316" t="str">
            <v>Community School</v>
          </cell>
          <cell r="F7316" t="str">
            <v>Secondary</v>
          </cell>
        </row>
        <row r="7317">
          <cell r="A7317">
            <v>9256035</v>
          </cell>
          <cell r="B7317">
            <v>120741</v>
          </cell>
          <cell r="C7317" t="str">
            <v>Copthill Independent Day School &amp; Nursery</v>
          </cell>
          <cell r="D7317" t="str">
            <v>Lincolnshire</v>
          </cell>
          <cell r="E7317" t="str">
            <v>Other Independent School</v>
          </cell>
          <cell r="F7317" t="str">
            <v>Not applicable</v>
          </cell>
        </row>
        <row r="7318">
          <cell r="A7318">
            <v>9383059</v>
          </cell>
          <cell r="B7318">
            <v>126013</v>
          </cell>
          <cell r="C7318" t="str">
            <v>Copthorne CofE Junior School</v>
          </cell>
          <cell r="D7318" t="str">
            <v>West Sussex</v>
          </cell>
          <cell r="E7318" t="str">
            <v>Voluntary Controlled School</v>
          </cell>
          <cell r="F7318" t="str">
            <v>Primary</v>
          </cell>
        </row>
        <row r="7319">
          <cell r="A7319">
            <v>8302336</v>
          </cell>
          <cell r="B7319">
            <v>112687</v>
          </cell>
          <cell r="C7319" t="str">
            <v>Copthorne Community Infant School</v>
          </cell>
          <cell r="D7319" t="str">
            <v>Derbyshire</v>
          </cell>
          <cell r="E7319" t="str">
            <v>Community School</v>
          </cell>
          <cell r="F7319" t="str">
            <v>Primary</v>
          </cell>
        </row>
        <row r="7320">
          <cell r="A7320">
            <v>9366438</v>
          </cell>
          <cell r="B7320">
            <v>125406</v>
          </cell>
          <cell r="C7320" t="str">
            <v>Copthorne Preparatory School</v>
          </cell>
          <cell r="D7320" t="str">
            <v>Surrey</v>
          </cell>
          <cell r="E7320" t="str">
            <v>Other Independent School</v>
          </cell>
          <cell r="F7320" t="str">
            <v>Not applicable</v>
          </cell>
        </row>
        <row r="7321">
          <cell r="A7321">
            <v>3802186</v>
          </cell>
          <cell r="B7321">
            <v>107297</v>
          </cell>
          <cell r="C7321" t="str">
            <v>Copthorne Primary School</v>
          </cell>
          <cell r="D7321" t="str">
            <v>Bradford</v>
          </cell>
          <cell r="E7321" t="str">
            <v>Community School</v>
          </cell>
          <cell r="F7321" t="str">
            <v>Primary</v>
          </cell>
        </row>
        <row r="7322">
          <cell r="A7322">
            <v>8503032</v>
          </cell>
          <cell r="B7322">
            <v>116282</v>
          </cell>
          <cell r="C7322" t="str">
            <v>Copythorne CofE Infant School</v>
          </cell>
          <cell r="D7322" t="str">
            <v>Hampshire</v>
          </cell>
          <cell r="E7322" t="str">
            <v>Voluntary Controlled School</v>
          </cell>
          <cell r="F7322" t="str">
            <v>Primary</v>
          </cell>
        </row>
        <row r="7323">
          <cell r="A7323">
            <v>3922059</v>
          </cell>
          <cell r="B7323">
            <v>108590</v>
          </cell>
          <cell r="C7323" t="str">
            <v>Coquet Park First School</v>
          </cell>
          <cell r="D7323" t="str">
            <v>North Tyneside</v>
          </cell>
          <cell r="E7323" t="str">
            <v>Community School</v>
          </cell>
          <cell r="F7323" t="str">
            <v>Primary</v>
          </cell>
        </row>
        <row r="7324">
          <cell r="A7324">
            <v>3806123</v>
          </cell>
          <cell r="B7324">
            <v>135480</v>
          </cell>
          <cell r="C7324" t="str">
            <v>Coral College for Girls</v>
          </cell>
          <cell r="D7324" t="str">
            <v>Bradford</v>
          </cell>
          <cell r="E7324" t="str">
            <v>Other Independent School</v>
          </cell>
          <cell r="F7324" t="str">
            <v>Not applicable</v>
          </cell>
        </row>
        <row r="7325">
          <cell r="A7325">
            <v>3117000</v>
          </cell>
          <cell r="B7325">
            <v>102362</v>
          </cell>
          <cell r="C7325" t="str">
            <v>Corbets Tey School</v>
          </cell>
          <cell r="D7325" t="str">
            <v>Havering</v>
          </cell>
          <cell r="E7325" t="str">
            <v>Foundation Special School</v>
          </cell>
          <cell r="F7325" t="str">
            <v>Special</v>
          </cell>
        </row>
        <row r="7326">
          <cell r="A7326">
            <v>3332117</v>
          </cell>
          <cell r="B7326">
            <v>103938</v>
          </cell>
          <cell r="C7326" t="str">
            <v>Corbett Infant School</v>
          </cell>
          <cell r="D7326" t="str">
            <v>Sandwell</v>
          </cell>
          <cell r="E7326" t="str">
            <v>Community School</v>
          </cell>
          <cell r="F7326" t="str">
            <v>Primary</v>
          </cell>
        </row>
        <row r="7327">
          <cell r="A7327">
            <v>8605202</v>
          </cell>
          <cell r="B7327">
            <v>124464</v>
          </cell>
          <cell r="C7327" t="str">
            <v>Corbett VA CofE Primary School</v>
          </cell>
          <cell r="D7327" t="str">
            <v>Staffordshire</v>
          </cell>
          <cell r="E7327" t="str">
            <v>Voluntary Aided School</v>
          </cell>
          <cell r="F7327" t="str">
            <v>Primary</v>
          </cell>
        </row>
        <row r="7328">
          <cell r="A7328">
            <v>9293367</v>
          </cell>
          <cell r="B7328">
            <v>122287</v>
          </cell>
          <cell r="C7328" t="str">
            <v>Corbridge Church of England Aided First School</v>
          </cell>
          <cell r="D7328" t="str">
            <v>Northumberland</v>
          </cell>
          <cell r="E7328" t="str">
            <v>Voluntary Aided School</v>
          </cell>
          <cell r="F7328" t="str">
            <v>Primary</v>
          </cell>
        </row>
        <row r="7329">
          <cell r="A7329">
            <v>9294079</v>
          </cell>
          <cell r="B7329">
            <v>122326</v>
          </cell>
          <cell r="C7329" t="str">
            <v>Corbridge Middle School</v>
          </cell>
          <cell r="D7329" t="str">
            <v>Northumberland</v>
          </cell>
          <cell r="E7329" t="str">
            <v>Community School</v>
          </cell>
          <cell r="F7329" t="str">
            <v>Middle Deemed Secondary</v>
          </cell>
        </row>
        <row r="7330">
          <cell r="A7330">
            <v>9286906</v>
          </cell>
          <cell r="B7330">
            <v>135306</v>
          </cell>
          <cell r="C7330" t="str">
            <v>Corby Business Academy</v>
          </cell>
          <cell r="D7330" t="str">
            <v>Northamptonshire</v>
          </cell>
          <cell r="E7330" t="str">
            <v>Academy Sponsor Led</v>
          </cell>
          <cell r="F7330" t="str">
            <v>Secondary</v>
          </cell>
        </row>
        <row r="7331">
          <cell r="A7331">
            <v>9284101</v>
          </cell>
          <cell r="B7331">
            <v>132050</v>
          </cell>
          <cell r="C7331" t="str">
            <v>Corby Community College</v>
          </cell>
          <cell r="D7331" t="str">
            <v>Northamptonshire</v>
          </cell>
          <cell r="E7331" t="str">
            <v>Community School</v>
          </cell>
          <cell r="F7331" t="str">
            <v>Secondary</v>
          </cell>
        </row>
        <row r="7332">
          <cell r="A7332">
            <v>9252013</v>
          </cell>
          <cell r="B7332">
            <v>120374</v>
          </cell>
          <cell r="C7332" t="str">
            <v>Corby Glen Community Primary School</v>
          </cell>
          <cell r="D7332" t="str">
            <v>Lincolnshire</v>
          </cell>
          <cell r="E7332" t="str">
            <v>Community School</v>
          </cell>
          <cell r="F7332" t="str">
            <v>Primary</v>
          </cell>
        </row>
        <row r="7333">
          <cell r="A7333">
            <v>9282127</v>
          </cell>
          <cell r="B7333">
            <v>121888</v>
          </cell>
          <cell r="C7333" t="str">
            <v>Corby Kingswood Primary School</v>
          </cell>
          <cell r="D7333" t="str">
            <v>Northamptonshire</v>
          </cell>
          <cell r="E7333" t="str">
            <v>Community School</v>
          </cell>
          <cell r="F7333" t="str">
            <v>Primary</v>
          </cell>
        </row>
        <row r="7334">
          <cell r="A7334">
            <v>9282019</v>
          </cell>
          <cell r="B7334">
            <v>121808</v>
          </cell>
          <cell r="C7334" t="str">
            <v>Corby Old Village Primary School</v>
          </cell>
          <cell r="D7334" t="str">
            <v>Northamptonshire</v>
          </cell>
          <cell r="E7334" t="str">
            <v>Community School</v>
          </cell>
          <cell r="F7334" t="str">
            <v>Primary</v>
          </cell>
        </row>
        <row r="7335">
          <cell r="A7335">
            <v>9254056</v>
          </cell>
          <cell r="B7335">
            <v>120651</v>
          </cell>
          <cell r="C7335" t="str">
            <v>Cordeaux School</v>
          </cell>
          <cell r="D7335" t="str">
            <v>Lincolnshire</v>
          </cell>
          <cell r="E7335" t="str">
            <v>Foundation School</v>
          </cell>
          <cell r="F7335" t="str">
            <v>Secondary</v>
          </cell>
        </row>
        <row r="7336">
          <cell r="A7336">
            <v>2048010</v>
          </cell>
          <cell r="B7336">
            <v>130406</v>
          </cell>
          <cell r="C7336" t="str">
            <v>Cordwainers College</v>
          </cell>
          <cell r="D7336" t="str">
            <v>Hackney</v>
          </cell>
          <cell r="E7336" t="str">
            <v>Further Education</v>
          </cell>
          <cell r="F7336" t="str">
            <v>16 Plus</v>
          </cell>
        </row>
        <row r="7337">
          <cell r="A7337">
            <v>9362333</v>
          </cell>
          <cell r="B7337">
            <v>125018</v>
          </cell>
          <cell r="C7337" t="str">
            <v>Cordwalles Junior School</v>
          </cell>
          <cell r="D7337" t="str">
            <v>Surrey</v>
          </cell>
          <cell r="E7337" t="str">
            <v>Community School</v>
          </cell>
          <cell r="F7337" t="str">
            <v>Primary</v>
          </cell>
        </row>
        <row r="7338">
          <cell r="A7338">
            <v>9323028</v>
          </cell>
          <cell r="B7338">
            <v>129795</v>
          </cell>
          <cell r="C7338" t="str">
            <v>Coreley CofE Primary School</v>
          </cell>
          <cell r="D7338" t="str">
            <v>Pre LGR (1998) Shropshire</v>
          </cell>
          <cell r="E7338" t="str">
            <v>Voluntary Controlled School</v>
          </cell>
          <cell r="F7338" t="str">
            <v>Primary</v>
          </cell>
        </row>
        <row r="7339">
          <cell r="A7339">
            <v>2034243</v>
          </cell>
          <cell r="B7339">
            <v>137473</v>
          </cell>
          <cell r="C7339" t="str">
            <v>Corelli College</v>
          </cell>
          <cell r="D7339" t="str">
            <v>Greenwich</v>
          </cell>
          <cell r="E7339" t="str">
            <v>Academy Converters</v>
          </cell>
          <cell r="F7339" t="str">
            <v>Secondary</v>
          </cell>
        </row>
        <row r="7340">
          <cell r="A7340">
            <v>8353010</v>
          </cell>
          <cell r="B7340">
            <v>113760</v>
          </cell>
          <cell r="C7340" t="str">
            <v>Corfe Castle Church of England Voluntary Controlled First School</v>
          </cell>
          <cell r="D7340" t="str">
            <v>Dorset</v>
          </cell>
          <cell r="E7340" t="str">
            <v>Voluntary Controlled School</v>
          </cell>
          <cell r="F7340" t="str">
            <v>Primary</v>
          </cell>
        </row>
        <row r="7341">
          <cell r="A7341">
            <v>8365410</v>
          </cell>
          <cell r="B7341">
            <v>113864</v>
          </cell>
          <cell r="C7341" t="str">
            <v>Corfe Hills School</v>
          </cell>
          <cell r="D7341" t="str">
            <v>Poole</v>
          </cell>
          <cell r="E7341" t="str">
            <v>Foundation School</v>
          </cell>
          <cell r="F7341" t="str">
            <v>Secondary</v>
          </cell>
        </row>
        <row r="7342">
          <cell r="A7342">
            <v>8365410</v>
          </cell>
          <cell r="B7342">
            <v>136574</v>
          </cell>
          <cell r="C7342" t="str">
            <v>Corfe Hills School</v>
          </cell>
          <cell r="D7342" t="str">
            <v>Poole</v>
          </cell>
          <cell r="E7342" t="str">
            <v>Academy Converters</v>
          </cell>
          <cell r="F7342" t="str">
            <v>Secondary</v>
          </cell>
        </row>
        <row r="7343">
          <cell r="A7343">
            <v>8303046</v>
          </cell>
          <cell r="B7343">
            <v>112826</v>
          </cell>
          <cell r="C7343" t="str">
            <v>Corfield CofE Infant School</v>
          </cell>
          <cell r="D7343" t="str">
            <v>Derbyshire</v>
          </cell>
          <cell r="E7343" t="str">
            <v>Voluntary Controlled School</v>
          </cell>
          <cell r="F7343" t="str">
            <v>Primary</v>
          </cell>
        </row>
        <row r="7344">
          <cell r="A7344">
            <v>3412039</v>
          </cell>
          <cell r="B7344">
            <v>104530</v>
          </cell>
          <cell r="C7344" t="str">
            <v>Corinthian Community Primary School</v>
          </cell>
          <cell r="D7344" t="str">
            <v>Liverpool</v>
          </cell>
          <cell r="E7344" t="str">
            <v>Community School</v>
          </cell>
          <cell r="F7344" t="str">
            <v>Primary</v>
          </cell>
        </row>
        <row r="7345">
          <cell r="A7345">
            <v>3941000</v>
          </cell>
          <cell r="B7345">
            <v>108743</v>
          </cell>
          <cell r="C7345" t="str">
            <v>Cork Street Nursery Centre</v>
          </cell>
          <cell r="D7345" t="str">
            <v>Sunderland</v>
          </cell>
          <cell r="E7345" t="str">
            <v>LA Nursery School</v>
          </cell>
          <cell r="F7345" t="str">
            <v>Nursery</v>
          </cell>
        </row>
        <row r="7346">
          <cell r="A7346">
            <v>3317001</v>
          </cell>
          <cell r="B7346">
            <v>103755</v>
          </cell>
          <cell r="C7346" t="str">
            <v>Corley (Coventry) School</v>
          </cell>
          <cell r="D7346" t="str">
            <v>Coventry</v>
          </cell>
          <cell r="E7346" t="str">
            <v>Community Special School</v>
          </cell>
          <cell r="F7346" t="str">
            <v>Special</v>
          </cell>
        </row>
        <row r="7347">
          <cell r="A7347">
            <v>3317022</v>
          </cell>
          <cell r="B7347">
            <v>134533</v>
          </cell>
          <cell r="C7347" t="str">
            <v>Corley Centre</v>
          </cell>
          <cell r="D7347" t="str">
            <v>Coventry</v>
          </cell>
          <cell r="E7347" t="str">
            <v>Community Special School</v>
          </cell>
          <cell r="F7347" t="str">
            <v>Special</v>
          </cell>
        </row>
        <row r="7348">
          <cell r="A7348">
            <v>9373020</v>
          </cell>
          <cell r="B7348">
            <v>125629</v>
          </cell>
          <cell r="C7348" t="str">
            <v>Corley CofE First School</v>
          </cell>
          <cell r="D7348" t="str">
            <v>Warwickshire</v>
          </cell>
          <cell r="E7348" t="str">
            <v>Voluntary Controlled School</v>
          </cell>
          <cell r="F7348" t="str">
            <v>Primary</v>
          </cell>
        </row>
        <row r="7349">
          <cell r="A7349">
            <v>6722288</v>
          </cell>
          <cell r="B7349">
            <v>401060</v>
          </cell>
          <cell r="C7349" t="str">
            <v>Corneli Primary School</v>
          </cell>
          <cell r="D7349" t="str">
            <v>Bridgend</v>
          </cell>
          <cell r="E7349" t="str">
            <v>Welsh Establishment</v>
          </cell>
          <cell r="F7349" t="str">
            <v>Primary</v>
          </cell>
        </row>
        <row r="7350">
          <cell r="A7350">
            <v>2121104</v>
          </cell>
          <cell r="B7350">
            <v>135615</v>
          </cell>
          <cell r="C7350" t="str">
            <v>Corner House Unit</v>
          </cell>
          <cell r="D7350" t="str">
            <v>Wandsworth</v>
          </cell>
          <cell r="E7350" t="str">
            <v>Pupil Referral Unit</v>
          </cell>
          <cell r="F7350" t="str">
            <v>PRU</v>
          </cell>
        </row>
        <row r="7351">
          <cell r="A7351">
            <v>8526010</v>
          </cell>
          <cell r="B7351">
            <v>134645</v>
          </cell>
          <cell r="C7351" t="str">
            <v>Cornerstone School</v>
          </cell>
          <cell r="D7351" t="str">
            <v>Southampton</v>
          </cell>
          <cell r="E7351" t="str">
            <v>Other Independent Special School</v>
          </cell>
          <cell r="F7351" t="str">
            <v>Not applicable</v>
          </cell>
        </row>
        <row r="7352">
          <cell r="A7352">
            <v>8776001</v>
          </cell>
          <cell r="B7352">
            <v>134186</v>
          </cell>
          <cell r="C7352" t="str">
            <v>Cornerstones</v>
          </cell>
          <cell r="D7352" t="str">
            <v>Warrington</v>
          </cell>
          <cell r="E7352" t="str">
            <v>Other Independent Special School</v>
          </cell>
          <cell r="F7352" t="str">
            <v>Not applicable</v>
          </cell>
        </row>
        <row r="7353">
          <cell r="A7353">
            <v>9366581</v>
          </cell>
          <cell r="B7353">
            <v>133477</v>
          </cell>
          <cell r="C7353" t="str">
            <v>Cornfield School</v>
          </cell>
          <cell r="D7353" t="str">
            <v>Surrey</v>
          </cell>
          <cell r="E7353" t="str">
            <v>Other Independent Special School</v>
          </cell>
          <cell r="F7353" t="str">
            <v>Not applicable</v>
          </cell>
        </row>
        <row r="7354">
          <cell r="A7354">
            <v>9387022</v>
          </cell>
          <cell r="B7354">
            <v>126170</v>
          </cell>
          <cell r="C7354" t="str">
            <v>Cornfield School, Littlehampton</v>
          </cell>
          <cell r="D7354" t="str">
            <v>West Sussex</v>
          </cell>
          <cell r="E7354" t="str">
            <v>Community Special School</v>
          </cell>
          <cell r="F7354" t="str">
            <v>Special</v>
          </cell>
        </row>
        <row r="7355">
          <cell r="A7355">
            <v>3332118</v>
          </cell>
          <cell r="B7355">
            <v>103939</v>
          </cell>
          <cell r="C7355" t="str">
            <v>Corngreaves Primary School</v>
          </cell>
          <cell r="D7355" t="str">
            <v>Sandwell</v>
          </cell>
          <cell r="E7355" t="str">
            <v>Community School</v>
          </cell>
          <cell r="F7355" t="str">
            <v>Primary</v>
          </cell>
        </row>
        <row r="7356">
          <cell r="A7356">
            <v>8262295</v>
          </cell>
          <cell r="B7356">
            <v>110362</v>
          </cell>
          <cell r="C7356" t="str">
            <v>Cornhill First School</v>
          </cell>
          <cell r="D7356" t="str">
            <v>Milton Keynes</v>
          </cell>
          <cell r="E7356" t="str">
            <v>Community School</v>
          </cell>
          <cell r="F7356" t="str">
            <v>Primary</v>
          </cell>
        </row>
        <row r="7357">
          <cell r="A7357">
            <v>9292376</v>
          </cell>
          <cell r="B7357">
            <v>122249</v>
          </cell>
          <cell r="C7357" t="str">
            <v>Cornhill First School</v>
          </cell>
          <cell r="D7357" t="str">
            <v>Northumberland</v>
          </cell>
          <cell r="E7357" t="str">
            <v>Community School</v>
          </cell>
          <cell r="F7357" t="str">
            <v>Primary</v>
          </cell>
        </row>
        <row r="7358">
          <cell r="A7358">
            <v>3812069</v>
          </cell>
          <cell r="B7358">
            <v>107521</v>
          </cell>
          <cell r="C7358" t="str">
            <v>Cornholme Junior, Infant and Nursery School</v>
          </cell>
          <cell r="D7358" t="str">
            <v>Calderdale</v>
          </cell>
          <cell r="E7358" t="str">
            <v>Community School</v>
          </cell>
          <cell r="F7358" t="str">
            <v>Primary</v>
          </cell>
        </row>
        <row r="7359">
          <cell r="A7359">
            <v>908940</v>
          </cell>
          <cell r="B7359">
            <v>133611</v>
          </cell>
          <cell r="C7359" t="str">
            <v>Cornish Pirates Learning Zone</v>
          </cell>
          <cell r="D7359" t="str">
            <v>Cornwall</v>
          </cell>
          <cell r="E7359" t="str">
            <v>Playing for Success Centres</v>
          </cell>
          <cell r="F7359" t="str">
            <v>Not applicable</v>
          </cell>
        </row>
        <row r="7360">
          <cell r="A7360">
            <v>6642091</v>
          </cell>
          <cell r="B7360">
            <v>400366</v>
          </cell>
          <cell r="C7360" t="str">
            <v>Cornist Park C.P. School</v>
          </cell>
          <cell r="D7360" t="str">
            <v>Flintshire</v>
          </cell>
          <cell r="E7360" t="str">
            <v>Welsh Establishment</v>
          </cell>
          <cell r="F7360" t="str">
            <v>Primary</v>
          </cell>
        </row>
        <row r="7361">
          <cell r="A7361">
            <v>9088000</v>
          </cell>
          <cell r="B7361">
            <v>130627</v>
          </cell>
          <cell r="C7361" t="str">
            <v>Cornwall College</v>
          </cell>
          <cell r="D7361" t="str">
            <v>Cornwall</v>
          </cell>
          <cell r="E7361" t="str">
            <v>Further Education</v>
          </cell>
          <cell r="F7361" t="str">
            <v>16 Plus</v>
          </cell>
        </row>
        <row r="7362">
          <cell r="A7362">
            <v>9081107</v>
          </cell>
          <cell r="B7362">
            <v>134761</v>
          </cell>
          <cell r="C7362" t="str">
            <v>Cornwall Hospital Education Service</v>
          </cell>
          <cell r="D7362" t="str">
            <v>Cornwall</v>
          </cell>
          <cell r="E7362" t="str">
            <v>Pupil Referral Unit</v>
          </cell>
          <cell r="F7362" t="str">
            <v>PRU</v>
          </cell>
        </row>
        <row r="7363">
          <cell r="A7363">
            <v>9086000</v>
          </cell>
          <cell r="B7363">
            <v>137676</v>
          </cell>
          <cell r="C7363" t="str">
            <v>Cornwall Progressive School</v>
          </cell>
          <cell r="D7363" t="str">
            <v>Cornwall</v>
          </cell>
          <cell r="E7363" t="str">
            <v>Other Independent Special School</v>
          </cell>
          <cell r="F7363" t="str">
            <v>Not applicable</v>
          </cell>
        </row>
        <row r="7364">
          <cell r="A7364">
            <v>9086087</v>
          </cell>
          <cell r="B7364">
            <v>128561</v>
          </cell>
          <cell r="C7364" t="str">
            <v>Cornwall Steiner School</v>
          </cell>
          <cell r="D7364" t="str">
            <v>Cornwall</v>
          </cell>
          <cell r="E7364" t="str">
            <v>Other Independent School</v>
          </cell>
          <cell r="F7364" t="str">
            <v>Not applicable</v>
          </cell>
        </row>
        <row r="7365">
          <cell r="A7365">
            <v>8866913</v>
          </cell>
          <cell r="B7365">
            <v>135371</v>
          </cell>
          <cell r="C7365" t="str">
            <v>Cornwallis Academy</v>
          </cell>
          <cell r="D7365" t="str">
            <v>Kent</v>
          </cell>
          <cell r="E7365" t="str">
            <v>Academy Sponsor Led</v>
          </cell>
          <cell r="F7365" t="str">
            <v>Secondary</v>
          </cell>
        </row>
        <row r="7366">
          <cell r="A7366">
            <v>8783152</v>
          </cell>
          <cell r="B7366">
            <v>113409</v>
          </cell>
          <cell r="C7366" t="str">
            <v>Cornwood Church of England Primary School</v>
          </cell>
          <cell r="D7366" t="str">
            <v>Devon</v>
          </cell>
          <cell r="E7366" t="str">
            <v>Voluntary Controlled School</v>
          </cell>
          <cell r="F7366" t="str">
            <v>Primary</v>
          </cell>
        </row>
        <row r="7367">
          <cell r="A7367">
            <v>3136002</v>
          </cell>
          <cell r="B7367">
            <v>100367</v>
          </cell>
          <cell r="C7367" t="str">
            <v>Corona Theatre School</v>
          </cell>
          <cell r="D7367" t="str">
            <v>Hounslow</v>
          </cell>
          <cell r="E7367" t="str">
            <v>Other Independent School</v>
          </cell>
          <cell r="F7367" t="str">
            <v>Not applicable</v>
          </cell>
        </row>
        <row r="7368">
          <cell r="A7368">
            <v>8606030</v>
          </cell>
          <cell r="B7368">
            <v>135191</v>
          </cell>
          <cell r="C7368" t="str">
            <v>Corporation Farmhouse</v>
          </cell>
          <cell r="D7368" t="str">
            <v>Staffordshire</v>
          </cell>
          <cell r="E7368" t="str">
            <v>Other Independent Special School</v>
          </cell>
          <cell r="F7368" t="str">
            <v>Not applicable</v>
          </cell>
        </row>
        <row r="7369">
          <cell r="A7369">
            <v>8412003</v>
          </cell>
          <cell r="B7369">
            <v>134075</v>
          </cell>
          <cell r="C7369" t="str">
            <v>Corporation Road Community Primary School</v>
          </cell>
          <cell r="D7369" t="str">
            <v>Darlington</v>
          </cell>
          <cell r="E7369" t="str">
            <v>Community School</v>
          </cell>
          <cell r="F7369" t="str">
            <v>Primary</v>
          </cell>
        </row>
        <row r="7370">
          <cell r="A7370">
            <v>8412651</v>
          </cell>
          <cell r="B7370">
            <v>114168</v>
          </cell>
          <cell r="C7370" t="str">
            <v>Corporation Road Infant School</v>
          </cell>
          <cell r="D7370" t="str">
            <v>Darlington</v>
          </cell>
          <cell r="E7370" t="str">
            <v>Community School</v>
          </cell>
          <cell r="F7370" t="str">
            <v>Primary</v>
          </cell>
        </row>
        <row r="7371">
          <cell r="A7371">
            <v>8412650</v>
          </cell>
          <cell r="B7371">
            <v>114167</v>
          </cell>
          <cell r="C7371" t="str">
            <v>Corporation Road Junior School</v>
          </cell>
          <cell r="D7371" t="str">
            <v>Darlington</v>
          </cell>
          <cell r="E7371" t="str">
            <v>Community School</v>
          </cell>
          <cell r="F7371" t="str">
            <v>Primary</v>
          </cell>
        </row>
        <row r="7372">
          <cell r="A7372">
            <v>8411027</v>
          </cell>
          <cell r="B7372">
            <v>113979</v>
          </cell>
          <cell r="C7372" t="str">
            <v>Corporation Road Nursery School</v>
          </cell>
          <cell r="D7372" t="str">
            <v>Darlington</v>
          </cell>
          <cell r="E7372" t="str">
            <v>LA Nursery School</v>
          </cell>
          <cell r="F7372" t="str">
            <v>Nursery</v>
          </cell>
        </row>
        <row r="7373">
          <cell r="A7373">
            <v>3834752</v>
          </cell>
          <cell r="B7373">
            <v>108096</v>
          </cell>
          <cell r="C7373" t="str">
            <v>Corpus Christi Catholic College</v>
          </cell>
          <cell r="D7373" t="str">
            <v>Leeds</v>
          </cell>
          <cell r="E7373" t="str">
            <v>Voluntary Aided School</v>
          </cell>
          <cell r="F7373" t="str">
            <v>Secondary</v>
          </cell>
        </row>
        <row r="7374">
          <cell r="A7374">
            <v>6814611</v>
          </cell>
          <cell r="B7374">
            <v>401891</v>
          </cell>
          <cell r="C7374" t="str">
            <v>Corpus Christi Catholic High School</v>
          </cell>
          <cell r="D7374" t="str">
            <v>Cardiff</v>
          </cell>
          <cell r="E7374" t="str">
            <v>Welsh Establishment</v>
          </cell>
          <cell r="F7374" t="str">
            <v>Secondary</v>
          </cell>
        </row>
        <row r="7375">
          <cell r="A7375">
            <v>2085202</v>
          </cell>
          <cell r="B7375">
            <v>100630</v>
          </cell>
          <cell r="C7375" t="str">
            <v>Corpus Christi Catholic Primary School</v>
          </cell>
          <cell r="D7375" t="str">
            <v>Lambeth</v>
          </cell>
          <cell r="E7375" t="str">
            <v>Voluntary Aided School</v>
          </cell>
          <cell r="F7375" t="str">
            <v>Primary</v>
          </cell>
        </row>
        <row r="7376">
          <cell r="A7376">
            <v>3143500</v>
          </cell>
          <cell r="B7376">
            <v>102594</v>
          </cell>
          <cell r="C7376" t="str">
            <v>Corpus Christi Catholic Primary School</v>
          </cell>
          <cell r="D7376" t="str">
            <v>Kingston upon Thames</v>
          </cell>
          <cell r="E7376" t="str">
            <v>Voluntary Aided School</v>
          </cell>
          <cell r="F7376" t="str">
            <v>Primary</v>
          </cell>
        </row>
        <row r="7377">
          <cell r="A7377">
            <v>3303320</v>
          </cell>
          <cell r="B7377">
            <v>103424</v>
          </cell>
          <cell r="C7377" t="str">
            <v>Corpus Christi Catholic Primary School</v>
          </cell>
          <cell r="D7377" t="str">
            <v>Birmingham</v>
          </cell>
          <cell r="E7377" t="str">
            <v>Voluntary Aided School</v>
          </cell>
          <cell r="F7377" t="str">
            <v>Primary</v>
          </cell>
        </row>
        <row r="7378">
          <cell r="A7378">
            <v>3363310</v>
          </cell>
          <cell r="B7378">
            <v>104379</v>
          </cell>
          <cell r="C7378" t="str">
            <v>Corpus Christi Catholic Primary School</v>
          </cell>
          <cell r="D7378" t="str">
            <v>Wolverhampton</v>
          </cell>
          <cell r="E7378" t="str">
            <v>Voluntary Aided School</v>
          </cell>
          <cell r="F7378" t="str">
            <v>Primary</v>
          </cell>
        </row>
        <row r="7379">
          <cell r="A7379">
            <v>3423451</v>
          </cell>
          <cell r="B7379">
            <v>104814</v>
          </cell>
          <cell r="C7379" t="str">
            <v>Corpus Christi Catholic Primary School</v>
          </cell>
          <cell r="D7379" t="str">
            <v>St. Helens</v>
          </cell>
          <cell r="E7379" t="str">
            <v>Voluntary Aided School</v>
          </cell>
          <cell r="F7379" t="str">
            <v>Primary</v>
          </cell>
        </row>
        <row r="7380">
          <cell r="A7380">
            <v>3833370</v>
          </cell>
          <cell r="B7380">
            <v>108024</v>
          </cell>
          <cell r="C7380" t="str">
            <v>Corpus Christi Catholic Primary School</v>
          </cell>
          <cell r="D7380" t="str">
            <v>Leeds</v>
          </cell>
          <cell r="E7380" t="str">
            <v>Voluntary Aided School</v>
          </cell>
          <cell r="F7380" t="str">
            <v>Primary</v>
          </cell>
        </row>
        <row r="7381">
          <cell r="A7381">
            <v>3903313</v>
          </cell>
          <cell r="B7381">
            <v>108382</v>
          </cell>
          <cell r="C7381" t="str">
            <v>Corpus Christi Catholic Primary School</v>
          </cell>
          <cell r="D7381" t="str">
            <v>Gateshead</v>
          </cell>
          <cell r="E7381" t="str">
            <v>Voluntary Aided School</v>
          </cell>
          <cell r="F7381" t="str">
            <v>Primary</v>
          </cell>
        </row>
        <row r="7382">
          <cell r="A7382">
            <v>8023354</v>
          </cell>
          <cell r="B7382">
            <v>109242</v>
          </cell>
          <cell r="C7382" t="str">
            <v>Corpus Christi Catholic Primary School</v>
          </cell>
          <cell r="D7382" t="str">
            <v>North Somerset</v>
          </cell>
          <cell r="E7382" t="str">
            <v>Voluntary Aided School</v>
          </cell>
          <cell r="F7382" t="str">
            <v>Primary</v>
          </cell>
        </row>
        <row r="7383">
          <cell r="A7383">
            <v>8373684</v>
          </cell>
          <cell r="B7383">
            <v>113845</v>
          </cell>
          <cell r="C7383" t="str">
            <v>Corpus Christi Catholic Primary School</v>
          </cell>
          <cell r="D7383" t="str">
            <v>Bournemouth</v>
          </cell>
          <cell r="E7383" t="str">
            <v>Voluntary Aided School</v>
          </cell>
          <cell r="F7383" t="str">
            <v>Primary</v>
          </cell>
        </row>
        <row r="7384">
          <cell r="A7384">
            <v>8513420</v>
          </cell>
          <cell r="B7384">
            <v>116384</v>
          </cell>
          <cell r="C7384" t="str">
            <v>Corpus Christi Catholic Primary School</v>
          </cell>
          <cell r="D7384" t="str">
            <v>Portsmouth</v>
          </cell>
          <cell r="E7384" t="str">
            <v>Voluntary Aided School</v>
          </cell>
          <cell r="F7384" t="str">
            <v>Primary</v>
          </cell>
        </row>
        <row r="7385">
          <cell r="A7385">
            <v>2085202</v>
          </cell>
          <cell r="B7385">
            <v>137295</v>
          </cell>
          <cell r="C7385" t="str">
            <v>Corpus Christi Catholic Primary School</v>
          </cell>
          <cell r="D7385" t="str">
            <v>Lambeth</v>
          </cell>
          <cell r="E7385" t="str">
            <v>Academy Converters</v>
          </cell>
          <cell r="F7385" t="str">
            <v>Primary</v>
          </cell>
        </row>
        <row r="7386">
          <cell r="A7386">
            <v>3313434</v>
          </cell>
          <cell r="B7386">
            <v>103725</v>
          </cell>
          <cell r="C7386" t="str">
            <v>Corpus Christi Catholic School</v>
          </cell>
          <cell r="D7386" t="str">
            <v>Coventry</v>
          </cell>
          <cell r="E7386" t="str">
            <v>Voluntary Aided School</v>
          </cell>
          <cell r="F7386" t="str">
            <v>Primary</v>
          </cell>
        </row>
        <row r="7387">
          <cell r="A7387">
            <v>8884609</v>
          </cell>
          <cell r="B7387">
            <v>119780</v>
          </cell>
          <cell r="C7387" t="str">
            <v>Corpus Christi Catholic Sports College</v>
          </cell>
          <cell r="D7387" t="str">
            <v>Lancashire</v>
          </cell>
          <cell r="E7387" t="str">
            <v>Voluntary Aided School</v>
          </cell>
          <cell r="F7387" t="str">
            <v>Secondary</v>
          </cell>
        </row>
        <row r="7388">
          <cell r="A7388">
            <v>3204601</v>
          </cell>
          <cell r="B7388">
            <v>127042</v>
          </cell>
          <cell r="C7388" t="str">
            <v>Corpus Christi High School</v>
          </cell>
          <cell r="D7388" t="str">
            <v>Waltham Forest</v>
          </cell>
          <cell r="E7388" t="str">
            <v>Voluntary Aided School</v>
          </cell>
          <cell r="F7388" t="str">
            <v>Secondary</v>
          </cell>
        </row>
        <row r="7389">
          <cell r="A7389">
            <v>3833618</v>
          </cell>
          <cell r="B7389">
            <v>127937</v>
          </cell>
          <cell r="C7389" t="str">
            <v>Corpus Christi RC First School</v>
          </cell>
          <cell r="D7389" t="str">
            <v>Leeds</v>
          </cell>
          <cell r="E7389" t="str">
            <v>Voluntary Aided School</v>
          </cell>
          <cell r="F7389" t="str">
            <v>Primary</v>
          </cell>
        </row>
        <row r="7390">
          <cell r="A7390">
            <v>3313417</v>
          </cell>
          <cell r="B7390">
            <v>127124</v>
          </cell>
          <cell r="C7390" t="str">
            <v>Corpus Christi RC Infant School</v>
          </cell>
          <cell r="D7390" t="str">
            <v>Coventry</v>
          </cell>
          <cell r="E7390" t="str">
            <v>Voluntary Aided School</v>
          </cell>
          <cell r="F7390" t="str">
            <v>Primary</v>
          </cell>
        </row>
        <row r="7391">
          <cell r="A7391">
            <v>3313410</v>
          </cell>
          <cell r="B7391">
            <v>127123</v>
          </cell>
          <cell r="C7391" t="str">
            <v>Corpus Christi RC Junior School</v>
          </cell>
          <cell r="D7391" t="str">
            <v>Coventry</v>
          </cell>
          <cell r="E7391" t="str">
            <v>Voluntary Aided School</v>
          </cell>
          <cell r="F7391" t="str">
            <v>Primary</v>
          </cell>
        </row>
        <row r="7392">
          <cell r="A7392">
            <v>3523403</v>
          </cell>
          <cell r="B7392">
            <v>105515</v>
          </cell>
          <cell r="C7392" t="str">
            <v>Corpus Christi RC Primary School</v>
          </cell>
          <cell r="D7392" t="str">
            <v>Manchester</v>
          </cell>
          <cell r="E7392" t="str">
            <v>Voluntary Aided School</v>
          </cell>
          <cell r="F7392" t="str">
            <v>Primary</v>
          </cell>
        </row>
        <row r="7393">
          <cell r="A7393">
            <v>3533358</v>
          </cell>
          <cell r="B7393">
            <v>105718</v>
          </cell>
          <cell r="C7393" t="str">
            <v>Corpus Christi RC Primary School</v>
          </cell>
          <cell r="D7393" t="str">
            <v>Oldham</v>
          </cell>
          <cell r="E7393" t="str">
            <v>Voluntary Aided School</v>
          </cell>
          <cell r="F7393" t="str">
            <v>Primary</v>
          </cell>
        </row>
        <row r="7394">
          <cell r="A7394">
            <v>8063384</v>
          </cell>
          <cell r="B7394">
            <v>111713</v>
          </cell>
          <cell r="C7394" t="str">
            <v>Corpus Christi RC Primary School</v>
          </cell>
          <cell r="D7394" t="str">
            <v>Middlesbrough</v>
          </cell>
          <cell r="E7394" t="str">
            <v>Voluntary Aided School</v>
          </cell>
          <cell r="F7394" t="str">
            <v>Primary</v>
          </cell>
        </row>
        <row r="7395">
          <cell r="A7395">
            <v>3834640</v>
          </cell>
          <cell r="B7395">
            <v>128018</v>
          </cell>
          <cell r="C7395" t="str">
            <v>Corpus Christi RC School</v>
          </cell>
          <cell r="D7395" t="str">
            <v>Leeds</v>
          </cell>
          <cell r="E7395" t="str">
            <v>Voluntary Aided School</v>
          </cell>
          <cell r="F7395" t="str">
            <v>Secondary</v>
          </cell>
        </row>
        <row r="7396">
          <cell r="A7396">
            <v>9262041</v>
          </cell>
          <cell r="B7396">
            <v>120799</v>
          </cell>
          <cell r="C7396" t="str">
            <v>Corpusty Primary School</v>
          </cell>
          <cell r="D7396" t="str">
            <v>Norfolk</v>
          </cell>
          <cell r="E7396" t="str">
            <v>Community School</v>
          </cell>
          <cell r="F7396" t="str">
            <v>Primary</v>
          </cell>
        </row>
        <row r="7397">
          <cell r="A7397">
            <v>3572058</v>
          </cell>
          <cell r="B7397">
            <v>106214</v>
          </cell>
          <cell r="C7397" t="str">
            <v>Corrie Primary School</v>
          </cell>
          <cell r="D7397" t="str">
            <v>Tameside</v>
          </cell>
          <cell r="E7397" t="str">
            <v>Community School</v>
          </cell>
          <cell r="F7397" t="str">
            <v>Primary</v>
          </cell>
        </row>
        <row r="7398">
          <cell r="A7398">
            <v>9253120</v>
          </cell>
          <cell r="B7398">
            <v>120568</v>
          </cell>
          <cell r="C7398" t="str">
            <v>Corringham CofE VC Primary School</v>
          </cell>
          <cell r="D7398" t="str">
            <v>Lincolnshire</v>
          </cell>
          <cell r="E7398" t="str">
            <v>Voluntary Controlled School</v>
          </cell>
          <cell r="F7398" t="str">
            <v>Primary</v>
          </cell>
        </row>
        <row r="7399">
          <cell r="A7399">
            <v>8832392</v>
          </cell>
          <cell r="B7399">
            <v>114838</v>
          </cell>
          <cell r="C7399" t="str">
            <v>Corringham Primary School</v>
          </cell>
          <cell r="D7399" t="str">
            <v>Thurrock</v>
          </cell>
          <cell r="E7399" t="str">
            <v>Community School</v>
          </cell>
          <cell r="F7399" t="str">
            <v>Primary</v>
          </cell>
        </row>
        <row r="7400">
          <cell r="A7400">
            <v>9163321</v>
          </cell>
          <cell r="B7400">
            <v>128950</v>
          </cell>
          <cell r="C7400" t="str">
            <v>Corse CofE School</v>
          </cell>
          <cell r="D7400" t="str">
            <v>Gloucestershire</v>
          </cell>
          <cell r="E7400" t="str">
            <v>Voluntary Aided School</v>
          </cell>
          <cell r="F7400" t="str">
            <v>Primary</v>
          </cell>
        </row>
        <row r="7401">
          <cell r="A7401">
            <v>8652028</v>
          </cell>
          <cell r="B7401">
            <v>126184</v>
          </cell>
          <cell r="C7401" t="str">
            <v>Corsham Primary School</v>
          </cell>
          <cell r="D7401" t="str">
            <v>Wiltshire</v>
          </cell>
          <cell r="E7401" t="str">
            <v>Community School</v>
          </cell>
          <cell r="F7401" t="str">
            <v>Primary</v>
          </cell>
        </row>
        <row r="7402">
          <cell r="A7402">
            <v>8652028</v>
          </cell>
          <cell r="B7402">
            <v>136630</v>
          </cell>
          <cell r="C7402" t="str">
            <v>Corsham Primary School</v>
          </cell>
          <cell r="D7402" t="str">
            <v>Wiltshire</v>
          </cell>
          <cell r="E7402" t="str">
            <v>Academy Converters</v>
          </cell>
          <cell r="F7402" t="str">
            <v>Primary</v>
          </cell>
        </row>
        <row r="7403">
          <cell r="A7403">
            <v>8652032</v>
          </cell>
          <cell r="B7403">
            <v>126187</v>
          </cell>
          <cell r="C7403" t="str">
            <v>Corsham Regis Primary School</v>
          </cell>
          <cell r="D7403" t="str">
            <v>Wiltshire</v>
          </cell>
          <cell r="E7403" t="str">
            <v>Community School</v>
          </cell>
          <cell r="F7403" t="str">
            <v>Primary</v>
          </cell>
        </row>
        <row r="7404">
          <cell r="A7404">
            <v>8653325</v>
          </cell>
          <cell r="B7404">
            <v>126399</v>
          </cell>
          <cell r="C7404" t="str">
            <v>Corsley Church of England Primary School</v>
          </cell>
          <cell r="D7404" t="str">
            <v>Wiltshire</v>
          </cell>
          <cell r="E7404" t="str">
            <v>Voluntary Aided School</v>
          </cell>
          <cell r="F7404" t="str">
            <v>Primary</v>
          </cell>
        </row>
        <row r="7405">
          <cell r="A7405">
            <v>9353083</v>
          </cell>
          <cell r="B7405">
            <v>124727</v>
          </cell>
          <cell r="C7405" t="str">
            <v>Corton Church of England Voluntary Controlled Primary School</v>
          </cell>
          <cell r="D7405" t="str">
            <v>Suffolk</v>
          </cell>
          <cell r="E7405" t="str">
            <v>Voluntary Controlled School</v>
          </cell>
          <cell r="F7405" t="str">
            <v>Primary</v>
          </cell>
        </row>
        <row r="7406">
          <cell r="A7406">
            <v>8933360</v>
          </cell>
          <cell r="B7406">
            <v>123559</v>
          </cell>
          <cell r="C7406" t="str">
            <v>Corvedale CofE Primary School</v>
          </cell>
          <cell r="D7406" t="str">
            <v>Shropshire</v>
          </cell>
          <cell r="E7406" t="str">
            <v>Voluntary Aided School</v>
          </cell>
          <cell r="F7406" t="str">
            <v>Primary</v>
          </cell>
        </row>
        <row r="7407">
          <cell r="A7407">
            <v>6812104</v>
          </cell>
          <cell r="B7407">
            <v>401612</v>
          </cell>
          <cell r="C7407" t="str">
            <v>Coryton Primary School</v>
          </cell>
          <cell r="D7407" t="str">
            <v>Cardiff</v>
          </cell>
          <cell r="E7407" t="str">
            <v>Welsh Establishment</v>
          </cell>
          <cell r="F7407" t="str">
            <v>Primary</v>
          </cell>
        </row>
        <row r="7408">
          <cell r="A7408">
            <v>8552029</v>
          </cell>
          <cell r="B7408">
            <v>119919</v>
          </cell>
          <cell r="C7408" t="str">
            <v>Cosby Primary School</v>
          </cell>
          <cell r="D7408" t="str">
            <v>Leicestershire</v>
          </cell>
          <cell r="E7408" t="str">
            <v>Community School</v>
          </cell>
          <cell r="F7408" t="str">
            <v>Primary</v>
          </cell>
        </row>
        <row r="7409">
          <cell r="A7409">
            <v>9282023</v>
          </cell>
          <cell r="B7409">
            <v>121811</v>
          </cell>
          <cell r="C7409" t="str">
            <v>Cosgrove Village Primary School</v>
          </cell>
          <cell r="D7409" t="str">
            <v>Northamptonshire</v>
          </cell>
          <cell r="E7409" t="str">
            <v>Community School</v>
          </cell>
          <cell r="F7409" t="str">
            <v>Primary</v>
          </cell>
        </row>
        <row r="7410">
          <cell r="A7410">
            <v>6683036</v>
          </cell>
          <cell r="B7410">
            <v>400706</v>
          </cell>
          <cell r="C7410" t="str">
            <v>Cosheston V.C.P. School</v>
          </cell>
          <cell r="D7410" t="str">
            <v>Pembrokeshire</v>
          </cell>
          <cell r="E7410" t="str">
            <v>Welsh Establishment</v>
          </cell>
          <cell r="F7410" t="str">
            <v>Primary</v>
          </cell>
        </row>
        <row r="7411">
          <cell r="A7411">
            <v>8553024</v>
          </cell>
          <cell r="B7411">
            <v>120124</v>
          </cell>
          <cell r="C7411" t="str">
            <v>Cossington Church of England Primary School</v>
          </cell>
          <cell r="D7411" t="str">
            <v>Leicestershire</v>
          </cell>
          <cell r="E7411" t="str">
            <v>Voluntary Controlled School</v>
          </cell>
          <cell r="F7411" t="str">
            <v>Primary</v>
          </cell>
        </row>
        <row r="7412">
          <cell r="A7412">
            <v>9332168</v>
          </cell>
          <cell r="B7412">
            <v>123684</v>
          </cell>
          <cell r="C7412" t="str">
            <v>Cossington Primary School</v>
          </cell>
          <cell r="D7412" t="str">
            <v>Somerset</v>
          </cell>
          <cell r="E7412" t="str">
            <v>Community School</v>
          </cell>
          <cell r="F7412" t="str">
            <v>Primary</v>
          </cell>
        </row>
        <row r="7413">
          <cell r="A7413">
            <v>8504002</v>
          </cell>
          <cell r="B7413">
            <v>116406</v>
          </cell>
          <cell r="C7413" t="str">
            <v>Costello Technology College</v>
          </cell>
          <cell r="D7413" t="str">
            <v>Hampshire</v>
          </cell>
          <cell r="E7413" t="str">
            <v>Foundation School</v>
          </cell>
          <cell r="F7413" t="str">
            <v>Secondary</v>
          </cell>
        </row>
        <row r="7414">
          <cell r="A7414">
            <v>9265403</v>
          </cell>
          <cell r="B7414">
            <v>121211</v>
          </cell>
          <cell r="C7414" t="str">
            <v>Costessey High School</v>
          </cell>
          <cell r="D7414" t="str">
            <v>Norfolk</v>
          </cell>
          <cell r="E7414" t="str">
            <v>Foundation School</v>
          </cell>
          <cell r="F7414" t="str">
            <v>Secondary</v>
          </cell>
        </row>
        <row r="7415">
          <cell r="A7415">
            <v>9262042</v>
          </cell>
          <cell r="B7415">
            <v>120800</v>
          </cell>
          <cell r="C7415" t="str">
            <v>Costessey Infant School</v>
          </cell>
          <cell r="D7415" t="str">
            <v>Norfolk</v>
          </cell>
          <cell r="E7415" t="str">
            <v>Community School</v>
          </cell>
          <cell r="F7415" t="str">
            <v>Primary</v>
          </cell>
        </row>
        <row r="7416">
          <cell r="A7416">
            <v>9262043</v>
          </cell>
          <cell r="B7416">
            <v>120801</v>
          </cell>
          <cell r="C7416" t="str">
            <v>Costessey Junior School</v>
          </cell>
          <cell r="D7416" t="str">
            <v>Norfolk</v>
          </cell>
          <cell r="E7416" t="str">
            <v>Community School</v>
          </cell>
          <cell r="F7416" t="str">
            <v>Primary</v>
          </cell>
        </row>
        <row r="7417">
          <cell r="A7417">
            <v>8913084</v>
          </cell>
          <cell r="B7417">
            <v>122756</v>
          </cell>
          <cell r="C7417" t="str">
            <v>Costock CofE Primary School</v>
          </cell>
          <cell r="D7417" t="str">
            <v>Nottinghamshire</v>
          </cell>
          <cell r="E7417" t="str">
            <v>Voluntary Controlled School</v>
          </cell>
          <cell r="F7417" t="str">
            <v>Primary</v>
          </cell>
        </row>
        <row r="7418">
          <cell r="A7418">
            <v>3072088</v>
          </cell>
          <cell r="B7418">
            <v>101879</v>
          </cell>
          <cell r="C7418" t="str">
            <v>Coston Primary School</v>
          </cell>
          <cell r="D7418" t="str">
            <v>Ealing</v>
          </cell>
          <cell r="E7418" t="str">
            <v>Community School</v>
          </cell>
          <cell r="F7418" t="str">
            <v>Primary</v>
          </cell>
        </row>
        <row r="7419">
          <cell r="A7419">
            <v>3122012</v>
          </cell>
          <cell r="B7419">
            <v>102375</v>
          </cell>
          <cell r="C7419" t="str">
            <v>Coteford Infant School</v>
          </cell>
          <cell r="D7419" t="str">
            <v>Hillingdon</v>
          </cell>
          <cell r="E7419" t="str">
            <v>Community School</v>
          </cell>
          <cell r="F7419" t="str">
            <v>Primary</v>
          </cell>
        </row>
        <row r="7420">
          <cell r="A7420">
            <v>3122011</v>
          </cell>
          <cell r="B7420">
            <v>102374</v>
          </cell>
          <cell r="C7420" t="str">
            <v>Coteford Junior School</v>
          </cell>
          <cell r="D7420" t="str">
            <v>Hillingdon</v>
          </cell>
          <cell r="E7420" t="str">
            <v>Community School</v>
          </cell>
          <cell r="F7420" t="str">
            <v>Primary</v>
          </cell>
        </row>
        <row r="7421">
          <cell r="A7421">
            <v>9093005</v>
          </cell>
          <cell r="B7421">
            <v>128588</v>
          </cell>
          <cell r="C7421" t="str">
            <v>Cotehill CofE School</v>
          </cell>
          <cell r="D7421" t="str">
            <v>Cumbria</v>
          </cell>
          <cell r="E7421" t="str">
            <v>Voluntary Controlled School</v>
          </cell>
          <cell r="F7421" t="str">
            <v>Primary</v>
          </cell>
        </row>
        <row r="7422">
          <cell r="A7422">
            <v>3061109</v>
          </cell>
          <cell r="B7422">
            <v>123976</v>
          </cell>
          <cell r="C7422" t="str">
            <v>Cotelands PRU Co John Ruskin College</v>
          </cell>
          <cell r="D7422" t="str">
            <v>Croydon</v>
          </cell>
          <cell r="E7422" t="str">
            <v>Pupil Referral Unit</v>
          </cell>
          <cell r="F7422" t="str">
            <v>PRU</v>
          </cell>
        </row>
        <row r="7423">
          <cell r="A7423">
            <v>9254006</v>
          </cell>
          <cell r="B7423">
            <v>120634</v>
          </cell>
          <cell r="C7423" t="str">
            <v>Coteland's School Ruskington</v>
          </cell>
          <cell r="D7423" t="str">
            <v>Lincolnshire</v>
          </cell>
          <cell r="E7423" t="str">
            <v>Community School</v>
          </cell>
          <cell r="F7423" t="str">
            <v>Secondary</v>
          </cell>
        </row>
        <row r="7424">
          <cell r="A7424">
            <v>9372578</v>
          </cell>
          <cell r="B7424">
            <v>125588</v>
          </cell>
          <cell r="C7424" t="str">
            <v>Coten End First School</v>
          </cell>
          <cell r="D7424" t="str">
            <v>Warwickshire</v>
          </cell>
          <cell r="E7424" t="str">
            <v>Community School</v>
          </cell>
          <cell r="F7424" t="str">
            <v>Primary</v>
          </cell>
        </row>
        <row r="7425">
          <cell r="A7425">
            <v>9372320</v>
          </cell>
          <cell r="B7425">
            <v>125558</v>
          </cell>
          <cell r="C7425" t="str">
            <v>Coten End Middle School</v>
          </cell>
          <cell r="D7425" t="str">
            <v>Warwickshire</v>
          </cell>
          <cell r="E7425" t="str">
            <v>Community School</v>
          </cell>
          <cell r="F7425" t="str">
            <v>Middle Deemed Primary</v>
          </cell>
        </row>
        <row r="7426">
          <cell r="A7426">
            <v>9372623</v>
          </cell>
          <cell r="B7426">
            <v>130867</v>
          </cell>
          <cell r="C7426" t="str">
            <v>Coten End Primary School</v>
          </cell>
          <cell r="D7426" t="str">
            <v>Warwickshire</v>
          </cell>
          <cell r="E7426" t="str">
            <v>Community School</v>
          </cell>
          <cell r="F7426" t="str">
            <v>Primary</v>
          </cell>
        </row>
        <row r="7427">
          <cell r="A7427">
            <v>8916006</v>
          </cell>
          <cell r="B7427">
            <v>122924</v>
          </cell>
          <cell r="C7427" t="str">
            <v>Coteswood House School</v>
          </cell>
          <cell r="D7427" t="str">
            <v>Nottinghamshire</v>
          </cell>
          <cell r="E7427" t="str">
            <v>Other Independent School</v>
          </cell>
          <cell r="F7427" t="str">
            <v>Not applicable</v>
          </cell>
        </row>
        <row r="7428">
          <cell r="A7428">
            <v>9332334</v>
          </cell>
          <cell r="B7428">
            <v>133560</v>
          </cell>
          <cell r="C7428" t="str">
            <v>Cotford St Luke Primary School</v>
          </cell>
          <cell r="D7428" t="str">
            <v>Somerset</v>
          </cell>
          <cell r="E7428" t="str">
            <v>Community School</v>
          </cell>
          <cell r="F7428" t="str">
            <v>Primary</v>
          </cell>
        </row>
        <row r="7429">
          <cell r="A7429">
            <v>8913790</v>
          </cell>
          <cell r="B7429">
            <v>123351</v>
          </cell>
          <cell r="C7429" t="str">
            <v>Cotgrave Candleby Lane School</v>
          </cell>
          <cell r="D7429" t="str">
            <v>Nottinghamshire</v>
          </cell>
          <cell r="E7429" t="str">
            <v>Community School</v>
          </cell>
          <cell r="F7429" t="str">
            <v>Primary</v>
          </cell>
        </row>
        <row r="7430">
          <cell r="A7430">
            <v>8913530</v>
          </cell>
          <cell r="B7430">
            <v>122797</v>
          </cell>
          <cell r="C7430" t="str">
            <v>Cotgrave CofE Primary School</v>
          </cell>
          <cell r="D7430" t="str">
            <v>Nottinghamshire</v>
          </cell>
          <cell r="E7430" t="str">
            <v>Voluntary Aided School</v>
          </cell>
          <cell r="F7430" t="str">
            <v>Primary</v>
          </cell>
        </row>
        <row r="7431">
          <cell r="A7431">
            <v>8912721</v>
          </cell>
          <cell r="B7431">
            <v>122633</v>
          </cell>
          <cell r="C7431" t="str">
            <v>Cotgrave Manvers Infant and Nursery School</v>
          </cell>
          <cell r="D7431" t="str">
            <v>Nottinghamshire</v>
          </cell>
          <cell r="E7431" t="str">
            <v>Community School</v>
          </cell>
          <cell r="F7431" t="str">
            <v>Primary</v>
          </cell>
        </row>
        <row r="7432">
          <cell r="A7432">
            <v>8014100</v>
          </cell>
          <cell r="B7432">
            <v>109289</v>
          </cell>
          <cell r="C7432" t="str">
            <v>Cotham School</v>
          </cell>
          <cell r="D7432" t="str">
            <v>Bristol City of</v>
          </cell>
          <cell r="E7432" t="str">
            <v>Community School</v>
          </cell>
          <cell r="F7432" t="str">
            <v>Secondary</v>
          </cell>
        </row>
        <row r="7433">
          <cell r="A7433">
            <v>8014100</v>
          </cell>
          <cell r="B7433">
            <v>137440</v>
          </cell>
          <cell r="C7433" t="str">
            <v>Cotham School</v>
          </cell>
          <cell r="D7433" t="str">
            <v>Bristol City of</v>
          </cell>
          <cell r="E7433" t="str">
            <v>Academy Converters</v>
          </cell>
          <cell r="F7433" t="str">
            <v>Secondary</v>
          </cell>
        </row>
        <row r="7434">
          <cell r="A7434">
            <v>8402185</v>
          </cell>
          <cell r="B7434">
            <v>114020</v>
          </cell>
          <cell r="C7434" t="str">
            <v>Cotherstone Primary School</v>
          </cell>
          <cell r="D7434" t="str">
            <v>Durham</v>
          </cell>
          <cell r="E7434" t="str">
            <v>Community School</v>
          </cell>
          <cell r="F7434" t="str">
            <v>Primary</v>
          </cell>
        </row>
        <row r="7435">
          <cell r="A7435">
            <v>9316075</v>
          </cell>
          <cell r="B7435">
            <v>123297</v>
          </cell>
          <cell r="C7435" t="str">
            <v>Cothill House</v>
          </cell>
          <cell r="D7435" t="str">
            <v>Oxfordshire</v>
          </cell>
          <cell r="E7435" t="str">
            <v>Other Independent School</v>
          </cell>
          <cell r="F7435" t="str">
            <v>Not applicable</v>
          </cell>
        </row>
        <row r="7436">
          <cell r="A7436">
            <v>8302139</v>
          </cell>
          <cell r="B7436">
            <v>112570</v>
          </cell>
          <cell r="C7436" t="str">
            <v>Cotmanhay Infant School</v>
          </cell>
          <cell r="D7436" t="str">
            <v>Derbyshire</v>
          </cell>
          <cell r="E7436" t="str">
            <v>Community School</v>
          </cell>
          <cell r="F7436" t="str">
            <v>Primary</v>
          </cell>
        </row>
        <row r="7437">
          <cell r="A7437">
            <v>8302138</v>
          </cell>
          <cell r="B7437">
            <v>112569</v>
          </cell>
          <cell r="C7437" t="str">
            <v>Cotmanhay Junior School</v>
          </cell>
          <cell r="D7437" t="str">
            <v>Derbyshire</v>
          </cell>
          <cell r="E7437" t="str">
            <v>Community School</v>
          </cell>
          <cell r="F7437" t="str">
            <v>Primary</v>
          </cell>
        </row>
        <row r="7438">
          <cell r="A7438">
            <v>8733011</v>
          </cell>
          <cell r="B7438">
            <v>110786</v>
          </cell>
          <cell r="C7438" t="str">
            <v>Coton Church of England (Voluntary Controlled) Primary School</v>
          </cell>
          <cell r="D7438" t="str">
            <v>Cambridgeshire</v>
          </cell>
          <cell r="E7438" t="str">
            <v>Voluntary Controlled School</v>
          </cell>
          <cell r="F7438" t="str">
            <v>Primary</v>
          </cell>
        </row>
        <row r="7439">
          <cell r="A7439">
            <v>8602297</v>
          </cell>
          <cell r="B7439">
            <v>124133</v>
          </cell>
          <cell r="C7439" t="str">
            <v>Coton Green Primary School</v>
          </cell>
          <cell r="D7439" t="str">
            <v>Staffordshire</v>
          </cell>
          <cell r="E7439" t="str">
            <v>Community School</v>
          </cell>
          <cell r="F7439" t="str">
            <v>Primary</v>
          </cell>
        </row>
        <row r="7440">
          <cell r="A7440">
            <v>9322087</v>
          </cell>
          <cell r="B7440">
            <v>129787</v>
          </cell>
          <cell r="C7440" t="str">
            <v>Coton Mount Infant School</v>
          </cell>
          <cell r="D7440" t="str">
            <v>Pre LGR (1998) Shropshire</v>
          </cell>
          <cell r="E7440" t="str">
            <v>Community School</v>
          </cell>
          <cell r="F7440" t="str">
            <v>Primary</v>
          </cell>
        </row>
        <row r="7441">
          <cell r="A7441">
            <v>8303027</v>
          </cell>
          <cell r="B7441">
            <v>112812</v>
          </cell>
          <cell r="C7441" t="str">
            <v>Coton-in-the-Elms CofE Primary School</v>
          </cell>
          <cell r="D7441" t="str">
            <v>Derbyshire</v>
          </cell>
          <cell r="E7441" t="str">
            <v>Voluntary Controlled School</v>
          </cell>
          <cell r="F7441" t="str">
            <v>Primary</v>
          </cell>
        </row>
        <row r="7442">
          <cell r="A7442">
            <v>8936016</v>
          </cell>
          <cell r="B7442">
            <v>123618</v>
          </cell>
          <cell r="C7442" t="str">
            <v>Cotsbrook Community School</v>
          </cell>
          <cell r="D7442" t="str">
            <v>Shropshire</v>
          </cell>
          <cell r="E7442" t="str">
            <v>Other Independent School</v>
          </cell>
          <cell r="F7442" t="str">
            <v>Not applicable</v>
          </cell>
        </row>
        <row r="7443">
          <cell r="A7443">
            <v>8402534</v>
          </cell>
          <cell r="B7443">
            <v>114151</v>
          </cell>
          <cell r="C7443" t="str">
            <v>Cotsford Infant School</v>
          </cell>
          <cell r="D7443" t="str">
            <v>Durham</v>
          </cell>
          <cell r="E7443" t="str">
            <v>Community School</v>
          </cell>
          <cell r="F7443" t="str">
            <v>Primary</v>
          </cell>
        </row>
        <row r="7444">
          <cell r="A7444">
            <v>8402532</v>
          </cell>
          <cell r="B7444">
            <v>114150</v>
          </cell>
          <cell r="C7444" t="str">
            <v>Cotsford Junior School</v>
          </cell>
          <cell r="D7444" t="str">
            <v>Durham</v>
          </cell>
          <cell r="E7444" t="str">
            <v>Community School</v>
          </cell>
          <cell r="F7444" t="str">
            <v>Primary</v>
          </cell>
        </row>
        <row r="7445">
          <cell r="A7445">
            <v>9166040</v>
          </cell>
          <cell r="B7445">
            <v>115802</v>
          </cell>
          <cell r="C7445" t="str">
            <v>Cotswold Chine School</v>
          </cell>
          <cell r="D7445" t="str">
            <v>Gloucestershire</v>
          </cell>
          <cell r="E7445" t="str">
            <v>Other Independent Special School</v>
          </cell>
          <cell r="F7445" t="str">
            <v>Not applicable</v>
          </cell>
        </row>
        <row r="7446">
          <cell r="A7446">
            <v>8656030</v>
          </cell>
          <cell r="B7446">
            <v>131470</v>
          </cell>
          <cell r="C7446" t="str">
            <v>Cotswold Community</v>
          </cell>
          <cell r="D7446" t="str">
            <v>Wiltshire</v>
          </cell>
          <cell r="E7446" t="str">
            <v>Other Independent Special School</v>
          </cell>
          <cell r="F7446" t="str">
            <v>Not applicable</v>
          </cell>
        </row>
        <row r="7447">
          <cell r="A7447">
            <v>86515</v>
          </cell>
          <cell r="B7447">
            <v>133056</v>
          </cell>
          <cell r="C7447" t="str">
            <v>Cotswold Community Home</v>
          </cell>
          <cell r="D7447" t="str">
            <v>Wiltshire</v>
          </cell>
          <cell r="E7447" t="str">
            <v>Secure Units</v>
          </cell>
          <cell r="F7447" t="str">
            <v>Not applicable</v>
          </cell>
        </row>
        <row r="7448">
          <cell r="A7448">
            <v>8031100</v>
          </cell>
          <cell r="B7448">
            <v>131626</v>
          </cell>
          <cell r="C7448" t="str">
            <v>Cotswold Education Centre</v>
          </cell>
          <cell r="D7448" t="str">
            <v>South Gloucestershire</v>
          </cell>
          <cell r="E7448" t="str">
            <v>Pupil Referral Unit</v>
          </cell>
          <cell r="F7448" t="str">
            <v>PRU</v>
          </cell>
        </row>
        <row r="7449">
          <cell r="A7449">
            <v>9256048</v>
          </cell>
          <cell r="B7449">
            <v>134147</v>
          </cell>
          <cell r="C7449" t="str">
            <v>Cottage Crafts</v>
          </cell>
          <cell r="D7449" t="str">
            <v>Lincolnshire</v>
          </cell>
          <cell r="E7449" t="str">
            <v>Other Independent School</v>
          </cell>
          <cell r="F7449" t="str">
            <v>Not applicable</v>
          </cell>
        </row>
        <row r="7450">
          <cell r="A7450">
            <v>8512689</v>
          </cell>
          <cell r="B7450">
            <v>116203</v>
          </cell>
          <cell r="C7450" t="str">
            <v>Cottage Grove Primary School</v>
          </cell>
          <cell r="D7450" t="str">
            <v>Portsmouth</v>
          </cell>
          <cell r="E7450" t="str">
            <v>Community School</v>
          </cell>
          <cell r="F7450" t="str">
            <v>Primary</v>
          </cell>
        </row>
        <row r="7451">
          <cell r="A7451">
            <v>8882838</v>
          </cell>
          <cell r="B7451">
            <v>131720</v>
          </cell>
          <cell r="C7451" t="str">
            <v>Cottam Primary School</v>
          </cell>
          <cell r="D7451" t="str">
            <v>Lancashire</v>
          </cell>
          <cell r="E7451" t="str">
            <v>Community School</v>
          </cell>
          <cell r="F7451" t="str">
            <v>Primary</v>
          </cell>
        </row>
        <row r="7452">
          <cell r="A7452">
            <v>8732006</v>
          </cell>
          <cell r="B7452">
            <v>110604</v>
          </cell>
          <cell r="C7452" t="str">
            <v>Cottenham Primary School</v>
          </cell>
          <cell r="D7452" t="str">
            <v>Cambridgeshire</v>
          </cell>
          <cell r="E7452" t="str">
            <v>Community School</v>
          </cell>
          <cell r="F7452" t="str">
            <v>Primary</v>
          </cell>
        </row>
        <row r="7453">
          <cell r="A7453">
            <v>8734038</v>
          </cell>
          <cell r="B7453">
            <v>110867</v>
          </cell>
          <cell r="C7453" t="str">
            <v>Cottenham Village College</v>
          </cell>
          <cell r="D7453" t="str">
            <v>Cambridgeshire</v>
          </cell>
          <cell r="E7453" t="str">
            <v>Foundation School</v>
          </cell>
          <cell r="F7453" t="str">
            <v>Secondary</v>
          </cell>
        </row>
        <row r="7454">
          <cell r="A7454">
            <v>8734038</v>
          </cell>
          <cell r="B7454">
            <v>137434</v>
          </cell>
          <cell r="C7454" t="str">
            <v>Cottenham Village College</v>
          </cell>
          <cell r="D7454" t="str">
            <v>Cambridgeshire</v>
          </cell>
          <cell r="E7454" t="str">
            <v>Academy Converters</v>
          </cell>
          <cell r="F7454" t="str">
            <v>Secondary</v>
          </cell>
        </row>
        <row r="7455">
          <cell r="A7455">
            <v>9193014</v>
          </cell>
          <cell r="B7455">
            <v>129147</v>
          </cell>
          <cell r="C7455" t="str">
            <v>Cottered VC Primary School</v>
          </cell>
          <cell r="D7455" t="str">
            <v>Hertfordshire</v>
          </cell>
          <cell r="E7455" t="str">
            <v>Voluntary Controlled School</v>
          </cell>
          <cell r="F7455" t="str">
            <v>Primary</v>
          </cell>
        </row>
        <row r="7456">
          <cell r="A7456">
            <v>3302055</v>
          </cell>
          <cell r="B7456">
            <v>103190</v>
          </cell>
          <cell r="C7456" t="str">
            <v>Cotteridge Junior and Infant School</v>
          </cell>
          <cell r="D7456" t="str">
            <v>Birmingham</v>
          </cell>
          <cell r="E7456" t="str">
            <v>Community School</v>
          </cell>
          <cell r="F7456" t="str">
            <v>Primary</v>
          </cell>
        </row>
        <row r="7457">
          <cell r="A7457">
            <v>3302299</v>
          </cell>
          <cell r="B7457">
            <v>103323</v>
          </cell>
          <cell r="C7457" t="str">
            <v>Cottesbrooke Infant School</v>
          </cell>
          <cell r="D7457" t="str">
            <v>Birmingham</v>
          </cell>
          <cell r="E7457" t="str">
            <v>Community School</v>
          </cell>
          <cell r="F7457" t="str">
            <v>Primary</v>
          </cell>
        </row>
        <row r="7458">
          <cell r="A7458">
            <v>3302226</v>
          </cell>
          <cell r="B7458">
            <v>103280</v>
          </cell>
          <cell r="C7458" t="str">
            <v>Cottesbrooke Junior School</v>
          </cell>
          <cell r="D7458" t="str">
            <v>Birmingham</v>
          </cell>
          <cell r="E7458" t="str">
            <v>Community School</v>
          </cell>
          <cell r="F7458" t="str">
            <v>Primary</v>
          </cell>
        </row>
        <row r="7459">
          <cell r="A7459">
            <v>8572311</v>
          </cell>
          <cell r="B7459">
            <v>120041</v>
          </cell>
          <cell r="C7459" t="str">
            <v>Cottesmore Primary School</v>
          </cell>
          <cell r="D7459" t="str">
            <v>Rutland</v>
          </cell>
          <cell r="E7459" t="str">
            <v>Community School</v>
          </cell>
          <cell r="F7459" t="str">
            <v>Primary</v>
          </cell>
        </row>
        <row r="7460">
          <cell r="A7460">
            <v>9386008</v>
          </cell>
          <cell r="B7460">
            <v>126106</v>
          </cell>
          <cell r="C7460" t="str">
            <v>Cottesmore School</v>
          </cell>
          <cell r="D7460" t="str">
            <v>West Sussex</v>
          </cell>
          <cell r="E7460" t="str">
            <v>Other Independent School</v>
          </cell>
          <cell r="F7460" t="str">
            <v>Not applicable</v>
          </cell>
        </row>
        <row r="7461">
          <cell r="A7461">
            <v>8463341</v>
          </cell>
          <cell r="B7461">
            <v>114567</v>
          </cell>
          <cell r="C7461" t="str">
            <v>Cottesmore St Mary's Catholic Primary School</v>
          </cell>
          <cell r="D7461" t="str">
            <v>Brighton and Hove</v>
          </cell>
          <cell r="E7461" t="str">
            <v>Voluntary Aided School</v>
          </cell>
          <cell r="F7461" t="str">
            <v>Primary</v>
          </cell>
        </row>
        <row r="7462">
          <cell r="A7462">
            <v>9283017</v>
          </cell>
          <cell r="B7462">
            <v>121965</v>
          </cell>
          <cell r="C7462" t="str">
            <v>Cottingham Church of England School</v>
          </cell>
          <cell r="D7462" t="str">
            <v>Northamptonshire</v>
          </cell>
          <cell r="E7462" t="str">
            <v>Voluntary Controlled School</v>
          </cell>
          <cell r="F7462" t="str">
            <v>Primary</v>
          </cell>
        </row>
        <row r="7463">
          <cell r="A7463">
            <v>8112756</v>
          </cell>
          <cell r="B7463">
            <v>117874</v>
          </cell>
          <cell r="C7463" t="str">
            <v>Cottingham Croxby Primary School</v>
          </cell>
          <cell r="D7463" t="str">
            <v>East Riding of Yorkshire</v>
          </cell>
          <cell r="E7463" t="str">
            <v>Community School</v>
          </cell>
          <cell r="F7463" t="str">
            <v>Primary</v>
          </cell>
        </row>
        <row r="7464">
          <cell r="A7464">
            <v>8114058</v>
          </cell>
          <cell r="B7464">
            <v>118079</v>
          </cell>
          <cell r="C7464" t="str">
            <v>Cottingham High School</v>
          </cell>
          <cell r="D7464" t="str">
            <v>East Riding of Yorkshire</v>
          </cell>
          <cell r="E7464" t="str">
            <v>Community School</v>
          </cell>
          <cell r="F7464" t="str">
            <v>Secondary</v>
          </cell>
        </row>
        <row r="7465">
          <cell r="A7465">
            <v>8114058</v>
          </cell>
          <cell r="B7465">
            <v>136921</v>
          </cell>
          <cell r="C7465" t="str">
            <v>Cottingham High School and Sixth Form College</v>
          </cell>
          <cell r="D7465" t="str">
            <v>East Riding of Yorkshire</v>
          </cell>
          <cell r="E7465" t="str">
            <v>Academy Converters</v>
          </cell>
          <cell r="F7465" t="str">
            <v>Secondary</v>
          </cell>
        </row>
        <row r="7466">
          <cell r="A7466">
            <v>3832060</v>
          </cell>
          <cell r="B7466">
            <v>127820</v>
          </cell>
          <cell r="C7466" t="str">
            <v>Cottingley First School</v>
          </cell>
          <cell r="D7466" t="str">
            <v>Leeds</v>
          </cell>
          <cell r="E7466" t="str">
            <v>Community School</v>
          </cell>
          <cell r="F7466" t="str">
            <v>Primary</v>
          </cell>
        </row>
        <row r="7467">
          <cell r="A7467">
            <v>3804609</v>
          </cell>
          <cell r="B7467">
            <v>107427</v>
          </cell>
          <cell r="C7467" t="str">
            <v>Cottingley Manor RC Middle School</v>
          </cell>
          <cell r="D7467" t="str">
            <v>Bradford</v>
          </cell>
          <cell r="E7467" t="str">
            <v>Voluntary Aided School</v>
          </cell>
          <cell r="F7467" t="str">
            <v>Middle Deemed Secondary</v>
          </cell>
        </row>
        <row r="7468">
          <cell r="A7468">
            <v>3832472</v>
          </cell>
          <cell r="B7468">
            <v>107948</v>
          </cell>
          <cell r="C7468" t="str">
            <v>Cottingley Primary School</v>
          </cell>
          <cell r="D7468" t="str">
            <v>Leeds</v>
          </cell>
          <cell r="E7468" t="str">
            <v>Community School</v>
          </cell>
          <cell r="F7468" t="str">
            <v>Primary</v>
          </cell>
        </row>
        <row r="7469">
          <cell r="A7469">
            <v>3802110</v>
          </cell>
          <cell r="B7469">
            <v>107252</v>
          </cell>
          <cell r="C7469" t="str">
            <v>Cottingley Village Primary School</v>
          </cell>
          <cell r="D7469" t="str">
            <v>Bradford</v>
          </cell>
          <cell r="E7469" t="str">
            <v>Community School</v>
          </cell>
          <cell r="F7469" t="str">
            <v>Primary</v>
          </cell>
        </row>
        <row r="7470">
          <cell r="A7470">
            <v>8222041</v>
          </cell>
          <cell r="B7470">
            <v>109446</v>
          </cell>
          <cell r="C7470" t="str">
            <v>Cotton End Lower School</v>
          </cell>
          <cell r="D7470" t="str">
            <v>Bedford</v>
          </cell>
          <cell r="E7470" t="str">
            <v>Community School</v>
          </cell>
          <cell r="F7470" t="str">
            <v>Primary</v>
          </cell>
        </row>
        <row r="7471">
          <cell r="A7471">
            <v>3322130</v>
          </cell>
          <cell r="B7471">
            <v>103810</v>
          </cell>
          <cell r="C7471" t="str">
            <v>Cotwall End Primary School</v>
          </cell>
          <cell r="D7471" t="str">
            <v>Dudley</v>
          </cell>
          <cell r="E7471" t="str">
            <v>Community School</v>
          </cell>
          <cell r="F7471" t="str">
            <v>Primary</v>
          </cell>
        </row>
        <row r="7472">
          <cell r="A7472">
            <v>380941</v>
          </cell>
          <cell r="B7472">
            <v>131805</v>
          </cell>
          <cell r="C7472" t="str">
            <v>Cougar Pride Centre</v>
          </cell>
          <cell r="D7472" t="str">
            <v>Bradford</v>
          </cell>
          <cell r="E7472" t="str">
            <v>Playing for Success Centres</v>
          </cell>
          <cell r="F7472" t="str">
            <v>Not applicable</v>
          </cell>
        </row>
        <row r="7473">
          <cell r="A7473">
            <v>9373021</v>
          </cell>
          <cell r="B7473">
            <v>125630</v>
          </cell>
          <cell r="C7473" t="str">
            <v>Coughton CofE Primary School</v>
          </cell>
          <cell r="D7473" t="str">
            <v>Warwickshire</v>
          </cell>
          <cell r="E7473" t="str">
            <v>Voluntary Controlled School</v>
          </cell>
          <cell r="F7473" t="str">
            <v>Primary</v>
          </cell>
        </row>
        <row r="7474">
          <cell r="A7474">
            <v>8064128</v>
          </cell>
          <cell r="B7474">
            <v>111743</v>
          </cell>
          <cell r="C7474" t="str">
            <v>Coulby Newham School</v>
          </cell>
          <cell r="D7474" t="str">
            <v>Middlesbrough</v>
          </cell>
          <cell r="E7474" t="str">
            <v>Community School</v>
          </cell>
          <cell r="F7474" t="str">
            <v>Secondary</v>
          </cell>
        </row>
        <row r="7475">
          <cell r="A7475">
            <v>3063300</v>
          </cell>
          <cell r="B7475">
            <v>101792</v>
          </cell>
          <cell r="C7475" t="str">
            <v>Coulsdon CofE Primary School</v>
          </cell>
          <cell r="D7475" t="str">
            <v>Croydon</v>
          </cell>
          <cell r="E7475" t="str">
            <v>Voluntary Aided School</v>
          </cell>
          <cell r="F7475" t="str">
            <v>Primary</v>
          </cell>
        </row>
        <row r="7476">
          <cell r="A7476">
            <v>3065404</v>
          </cell>
          <cell r="B7476">
            <v>101822</v>
          </cell>
          <cell r="C7476" t="str">
            <v>Coulsdon High School</v>
          </cell>
          <cell r="D7476" t="str">
            <v>Croydon</v>
          </cell>
          <cell r="E7476" t="str">
            <v>Foundation School</v>
          </cell>
          <cell r="F7476" t="str">
            <v>Secondary</v>
          </cell>
        </row>
        <row r="7477">
          <cell r="A7477">
            <v>3061001</v>
          </cell>
          <cell r="B7477">
            <v>101703</v>
          </cell>
          <cell r="C7477" t="str">
            <v>Coulsdon Nursery School</v>
          </cell>
          <cell r="D7477" t="str">
            <v>Croydon</v>
          </cell>
          <cell r="E7477" t="str">
            <v>LA Nursery School</v>
          </cell>
          <cell r="F7477" t="str">
            <v>Nursery</v>
          </cell>
        </row>
        <row r="7478">
          <cell r="A7478">
            <v>3068600</v>
          </cell>
          <cell r="B7478">
            <v>130433</v>
          </cell>
          <cell r="C7478" t="str">
            <v>Coulsdon Sixth Form College</v>
          </cell>
          <cell r="D7478" t="str">
            <v>Croydon</v>
          </cell>
          <cell r="E7478" t="str">
            <v>Further Education</v>
          </cell>
          <cell r="F7478" t="str">
            <v>16 Plus</v>
          </cell>
        </row>
        <row r="7479">
          <cell r="A7479">
            <v>9292297</v>
          </cell>
          <cell r="B7479">
            <v>122241</v>
          </cell>
          <cell r="C7479" t="str">
            <v>Coulson Park First School</v>
          </cell>
          <cell r="D7479" t="str">
            <v>Northumberland</v>
          </cell>
          <cell r="E7479" t="str">
            <v>Community School</v>
          </cell>
          <cell r="F7479" t="str">
            <v>Primary</v>
          </cell>
        </row>
        <row r="7480">
          <cell r="A7480">
            <v>9132403</v>
          </cell>
          <cell r="B7480">
            <v>128814</v>
          </cell>
          <cell r="C7480" t="str">
            <v>Coundon County Infant School</v>
          </cell>
          <cell r="D7480" t="str">
            <v>Pre LGR (1997) Durham</v>
          </cell>
          <cell r="E7480" t="str">
            <v>Community School</v>
          </cell>
          <cell r="F7480" t="str">
            <v>Primary</v>
          </cell>
        </row>
        <row r="7481">
          <cell r="A7481">
            <v>3314026</v>
          </cell>
          <cell r="B7481">
            <v>103729</v>
          </cell>
          <cell r="C7481" t="str">
            <v>Coundon Court School and Community College</v>
          </cell>
          <cell r="D7481" t="str">
            <v>Coventry</v>
          </cell>
          <cell r="E7481" t="str">
            <v>Community School</v>
          </cell>
          <cell r="F7481" t="str">
            <v>Secondary</v>
          </cell>
        </row>
        <row r="7482">
          <cell r="A7482">
            <v>3312088</v>
          </cell>
          <cell r="B7482">
            <v>127113</v>
          </cell>
          <cell r="C7482" t="str">
            <v>Coundon Infant School</v>
          </cell>
          <cell r="D7482" t="str">
            <v>Coventry</v>
          </cell>
          <cell r="E7482" t="str">
            <v>Community School</v>
          </cell>
          <cell r="F7482" t="str">
            <v>Primary</v>
          </cell>
        </row>
        <row r="7483">
          <cell r="A7483">
            <v>3312006</v>
          </cell>
          <cell r="B7483">
            <v>127077</v>
          </cell>
          <cell r="C7483" t="str">
            <v>Coundon Junior School</v>
          </cell>
          <cell r="D7483" t="str">
            <v>Coventry</v>
          </cell>
          <cell r="E7483" t="str">
            <v>Community School</v>
          </cell>
          <cell r="F7483" t="str">
            <v>Primary</v>
          </cell>
        </row>
        <row r="7484">
          <cell r="A7484">
            <v>3312130</v>
          </cell>
          <cell r="B7484">
            <v>103680</v>
          </cell>
          <cell r="C7484" t="str">
            <v>Coundon Primary School</v>
          </cell>
          <cell r="D7484" t="str">
            <v>Coventry</v>
          </cell>
          <cell r="E7484" t="str">
            <v>Community School</v>
          </cell>
          <cell r="F7484" t="str">
            <v>Primary</v>
          </cell>
        </row>
        <row r="7485">
          <cell r="A7485">
            <v>8402402</v>
          </cell>
          <cell r="B7485">
            <v>114098</v>
          </cell>
          <cell r="C7485" t="str">
            <v>Coundon Primary School</v>
          </cell>
          <cell r="D7485" t="str">
            <v>Durham</v>
          </cell>
          <cell r="E7485" t="str">
            <v>Community School</v>
          </cell>
          <cell r="F7485" t="str">
            <v>Primary</v>
          </cell>
        </row>
        <row r="7486">
          <cell r="A7486">
            <v>9193406</v>
          </cell>
          <cell r="B7486">
            <v>117482</v>
          </cell>
          <cell r="C7486" t="str">
            <v>Countess Anne Voluntary Aided Church of England Primary School, Hatfield</v>
          </cell>
          <cell r="D7486" t="str">
            <v>Hertfordshire</v>
          </cell>
          <cell r="E7486" t="str">
            <v>Voluntary Aided School</v>
          </cell>
          <cell r="F7486" t="str">
            <v>Primary</v>
          </cell>
        </row>
        <row r="7487">
          <cell r="A7487">
            <v>9332059</v>
          </cell>
          <cell r="B7487">
            <v>123659</v>
          </cell>
          <cell r="C7487" t="str">
            <v>Countess Gytha Primary School</v>
          </cell>
          <cell r="D7487" t="str">
            <v>Somerset</v>
          </cell>
          <cell r="E7487" t="str">
            <v>Community School</v>
          </cell>
          <cell r="F7487" t="str">
            <v>Primary</v>
          </cell>
        </row>
        <row r="7488">
          <cell r="A7488">
            <v>8759901</v>
          </cell>
          <cell r="B7488">
            <v>132987</v>
          </cell>
          <cell r="C7488" t="str">
            <v>Countess of Chester Hospital Education Unit</v>
          </cell>
          <cell r="D7488" t="str">
            <v>Pre LGR (2009) Cheshire</v>
          </cell>
          <cell r="E7488" t="str">
            <v>Miscellaneous</v>
          </cell>
          <cell r="F7488" t="str">
            <v>Not applicable</v>
          </cell>
        </row>
        <row r="7489">
          <cell r="A7489">
            <v>8782025</v>
          </cell>
          <cell r="B7489">
            <v>113079</v>
          </cell>
          <cell r="C7489" t="str">
            <v>Countess Wear Community School</v>
          </cell>
          <cell r="D7489" t="str">
            <v>Devon</v>
          </cell>
          <cell r="E7489" t="str">
            <v>Community School</v>
          </cell>
          <cell r="F7489" t="str">
            <v>Primary</v>
          </cell>
        </row>
        <row r="7490">
          <cell r="A7490">
            <v>9112021</v>
          </cell>
          <cell r="B7490">
            <v>128685</v>
          </cell>
          <cell r="C7490" t="str">
            <v>Countess Weir First School</v>
          </cell>
          <cell r="D7490" t="str">
            <v>Pre LGR (1998) Devon</v>
          </cell>
          <cell r="E7490" t="str">
            <v>Community School</v>
          </cell>
          <cell r="F7490" t="str">
            <v>Primary</v>
          </cell>
        </row>
        <row r="7491">
          <cell r="A7491">
            <v>8554050</v>
          </cell>
          <cell r="B7491">
            <v>120268</v>
          </cell>
          <cell r="C7491" t="str">
            <v>Countesthorpe Community College</v>
          </cell>
          <cell r="D7491" t="str">
            <v>Leicestershire</v>
          </cell>
          <cell r="E7491" t="str">
            <v>Community School</v>
          </cell>
          <cell r="F7491" t="str">
            <v>Secondary</v>
          </cell>
        </row>
        <row r="7492">
          <cell r="A7492">
            <v>8551000</v>
          </cell>
          <cell r="B7492">
            <v>119901</v>
          </cell>
          <cell r="C7492" t="str">
            <v>Countesthorpe Nursery School</v>
          </cell>
          <cell r="D7492" t="str">
            <v>Leicestershire</v>
          </cell>
          <cell r="E7492" t="str">
            <v>LA Nursery School</v>
          </cell>
          <cell r="F7492" t="str">
            <v>Nursery</v>
          </cell>
        </row>
        <row r="7493">
          <cell r="A7493">
            <v>3534001</v>
          </cell>
          <cell r="B7493">
            <v>105728</v>
          </cell>
          <cell r="C7493" t="str">
            <v>Counthill School</v>
          </cell>
          <cell r="D7493" t="str">
            <v>Oldham</v>
          </cell>
          <cell r="E7493" t="str">
            <v>Community School</v>
          </cell>
          <cell r="F7493" t="str">
            <v>Secondary</v>
          </cell>
        </row>
        <row r="7494">
          <cell r="A7494">
            <v>3352117</v>
          </cell>
          <cell r="B7494">
            <v>104189</v>
          </cell>
          <cell r="C7494" t="str">
            <v>County Bridge Primary School</v>
          </cell>
          <cell r="D7494" t="str">
            <v>Walsall</v>
          </cell>
          <cell r="E7494" t="str">
            <v>Community School</v>
          </cell>
          <cell r="F7494" t="str">
            <v>Primary</v>
          </cell>
        </row>
        <row r="7495">
          <cell r="A7495">
            <v>9352915</v>
          </cell>
          <cell r="B7495">
            <v>124673</v>
          </cell>
          <cell r="C7495" t="str">
            <v>Coupals Community Primary School</v>
          </cell>
          <cell r="D7495" t="str">
            <v>Suffolk</v>
          </cell>
          <cell r="E7495" t="str">
            <v>Community School</v>
          </cell>
          <cell r="F7495" t="str">
            <v>Primary</v>
          </cell>
        </row>
        <row r="7496">
          <cell r="A7496">
            <v>8882637</v>
          </cell>
          <cell r="B7496">
            <v>119319</v>
          </cell>
          <cell r="C7496" t="str">
            <v>Coupe Green Primary School</v>
          </cell>
          <cell r="D7496" t="str">
            <v>Lancashire</v>
          </cell>
          <cell r="E7496" t="str">
            <v>Community School</v>
          </cell>
          <cell r="F7496" t="str">
            <v>Primary</v>
          </cell>
        </row>
        <row r="7497">
          <cell r="A7497">
            <v>3302191</v>
          </cell>
          <cell r="B7497">
            <v>103267</v>
          </cell>
          <cell r="C7497" t="str">
            <v>Court Farm Primary School</v>
          </cell>
          <cell r="D7497" t="str">
            <v>Birmingham</v>
          </cell>
          <cell r="E7497" t="str">
            <v>Community School</v>
          </cell>
          <cell r="F7497" t="str">
            <v>Primary</v>
          </cell>
        </row>
        <row r="7498">
          <cell r="A7498">
            <v>9334356</v>
          </cell>
          <cell r="B7498">
            <v>123885</v>
          </cell>
          <cell r="C7498" t="str">
            <v>Court Fields Community School</v>
          </cell>
          <cell r="D7498" t="str">
            <v>Somerset</v>
          </cell>
          <cell r="E7498" t="str">
            <v>Community School</v>
          </cell>
          <cell r="F7498" t="str">
            <v>Secondary</v>
          </cell>
        </row>
        <row r="7499">
          <cell r="A7499">
            <v>8512677</v>
          </cell>
          <cell r="B7499">
            <v>116198</v>
          </cell>
          <cell r="C7499" t="str">
            <v>Court Lane Infant School</v>
          </cell>
          <cell r="D7499" t="str">
            <v>Portsmouth</v>
          </cell>
          <cell r="E7499" t="str">
            <v>Community School</v>
          </cell>
          <cell r="F7499" t="str">
            <v>Primary</v>
          </cell>
        </row>
        <row r="7500">
          <cell r="A7500">
            <v>8512644</v>
          </cell>
          <cell r="B7500">
            <v>116185</v>
          </cell>
          <cell r="C7500" t="str">
            <v>Court Lane Junior School</v>
          </cell>
          <cell r="D7500" t="str">
            <v>Portsmouth</v>
          </cell>
          <cell r="E7500" t="str">
            <v>Community School</v>
          </cell>
          <cell r="F7500" t="str">
            <v>Primary</v>
          </cell>
        </row>
        <row r="7501">
          <cell r="A7501">
            <v>9362422</v>
          </cell>
          <cell r="B7501">
            <v>125054</v>
          </cell>
          <cell r="C7501" t="str">
            <v>Court Lodge Infant and Nursery School</v>
          </cell>
          <cell r="D7501" t="str">
            <v>Surrey</v>
          </cell>
          <cell r="E7501" t="str">
            <v>Community School</v>
          </cell>
          <cell r="F7501" t="str">
            <v>Primary</v>
          </cell>
        </row>
        <row r="7502">
          <cell r="A7502">
            <v>9364170</v>
          </cell>
          <cell r="B7502">
            <v>130102</v>
          </cell>
          <cell r="C7502" t="str">
            <v>Court Lodge School</v>
          </cell>
          <cell r="D7502" t="str">
            <v>Surrey</v>
          </cell>
          <cell r="E7502" t="str">
            <v>Community School</v>
          </cell>
          <cell r="F7502" t="str">
            <v>Secondary</v>
          </cell>
        </row>
        <row r="7503">
          <cell r="A7503">
            <v>9387016</v>
          </cell>
          <cell r="B7503">
            <v>126165</v>
          </cell>
          <cell r="C7503" t="str">
            <v>Court Meadow School, Cuckfield</v>
          </cell>
          <cell r="D7503" t="str">
            <v>West Sussex</v>
          </cell>
          <cell r="E7503" t="str">
            <v>Community Special School</v>
          </cell>
          <cell r="F7503" t="str">
            <v>Special</v>
          </cell>
        </row>
        <row r="7504">
          <cell r="A7504">
            <v>8504117</v>
          </cell>
          <cell r="B7504">
            <v>116412</v>
          </cell>
          <cell r="C7504" t="str">
            <v>Court Moor School</v>
          </cell>
          <cell r="D7504" t="str">
            <v>Hampshire</v>
          </cell>
          <cell r="E7504" t="str">
            <v>Community School</v>
          </cell>
          <cell r="F7504" t="str">
            <v>Secondary</v>
          </cell>
        </row>
        <row r="7505">
          <cell r="A7505">
            <v>9204461</v>
          </cell>
          <cell r="B7505">
            <v>129294</v>
          </cell>
          <cell r="C7505" t="str">
            <v>Court Park Junior High School</v>
          </cell>
          <cell r="D7505" t="str">
            <v>Pre LGR (1996) Humberside</v>
          </cell>
          <cell r="E7505" t="str">
            <v>Community School</v>
          </cell>
          <cell r="F7505" t="str">
            <v>Secondary</v>
          </cell>
        </row>
        <row r="7506">
          <cell r="A7506">
            <v>8102484</v>
          </cell>
          <cell r="B7506">
            <v>117804</v>
          </cell>
          <cell r="C7506" t="str">
            <v>Court Park Primary School</v>
          </cell>
          <cell r="D7506" t="str">
            <v>Kingston upon Hull City of</v>
          </cell>
          <cell r="E7506" t="str">
            <v>Community School</v>
          </cell>
          <cell r="F7506" t="str">
            <v>Primary</v>
          </cell>
        </row>
        <row r="7507">
          <cell r="A7507">
            <v>211</v>
          </cell>
          <cell r="B7507">
            <v>134154</v>
          </cell>
          <cell r="C7507" t="str">
            <v>Courtauld Institute of Art</v>
          </cell>
          <cell r="D7507" t="str">
            <v>Tower Hamlets</v>
          </cell>
          <cell r="E7507" t="str">
            <v>Higher Education Institutions</v>
          </cell>
          <cell r="F7507" t="str">
            <v>Not applicable</v>
          </cell>
        </row>
        <row r="7508">
          <cell r="A7508">
            <v>8023121</v>
          </cell>
          <cell r="B7508">
            <v>109223</v>
          </cell>
          <cell r="C7508" t="str">
            <v>Court-de-Wyck Primary School</v>
          </cell>
          <cell r="D7508" t="str">
            <v>North Somerset</v>
          </cell>
          <cell r="E7508" t="str">
            <v>Voluntary Controlled School</v>
          </cell>
          <cell r="F7508" t="str">
            <v>Primary</v>
          </cell>
        </row>
        <row r="7509">
          <cell r="A7509">
            <v>9117004</v>
          </cell>
          <cell r="B7509">
            <v>128764</v>
          </cell>
          <cell r="C7509" t="str">
            <v>Courtenay School</v>
          </cell>
          <cell r="D7509" t="str">
            <v>Pre LGR (1998) Devon</v>
          </cell>
          <cell r="E7509" t="str">
            <v>Community Special School</v>
          </cell>
          <cell r="F7509" t="str">
            <v>Special</v>
          </cell>
        </row>
        <row r="7510">
          <cell r="A7510">
            <v>8362152</v>
          </cell>
          <cell r="B7510">
            <v>113688</v>
          </cell>
          <cell r="C7510" t="str">
            <v>Courthill First School</v>
          </cell>
          <cell r="D7510" t="str">
            <v>Poole</v>
          </cell>
          <cell r="E7510" t="str">
            <v>Community School</v>
          </cell>
          <cell r="F7510" t="str">
            <v>Primary</v>
          </cell>
        </row>
        <row r="7511">
          <cell r="A7511">
            <v>3312009</v>
          </cell>
          <cell r="B7511">
            <v>103640</v>
          </cell>
          <cell r="C7511" t="str">
            <v>Courthouse Green Primary School</v>
          </cell>
          <cell r="D7511" t="str">
            <v>Coventry</v>
          </cell>
          <cell r="E7511" t="str">
            <v>Community School</v>
          </cell>
          <cell r="F7511" t="str">
            <v>Primary</v>
          </cell>
        </row>
        <row r="7512">
          <cell r="A7512">
            <v>8682072</v>
          </cell>
          <cell r="B7512">
            <v>109819</v>
          </cell>
          <cell r="C7512" t="str">
            <v>Courthouse Junior School</v>
          </cell>
          <cell r="D7512" t="str">
            <v>Windsor and Maidenhead</v>
          </cell>
          <cell r="E7512" t="str">
            <v>Community School</v>
          </cell>
          <cell r="F7512" t="str">
            <v>Primary</v>
          </cell>
        </row>
        <row r="7513">
          <cell r="A7513">
            <v>3022016</v>
          </cell>
          <cell r="B7513">
            <v>101271</v>
          </cell>
          <cell r="C7513" t="str">
            <v>Courtland School</v>
          </cell>
          <cell r="D7513" t="str">
            <v>Barnet</v>
          </cell>
          <cell r="E7513" t="str">
            <v>Community School</v>
          </cell>
          <cell r="F7513" t="str">
            <v>Primary</v>
          </cell>
        </row>
        <row r="7514">
          <cell r="A7514">
            <v>8797065</v>
          </cell>
          <cell r="B7514">
            <v>113647</v>
          </cell>
          <cell r="C7514" t="str">
            <v>Courtlands School</v>
          </cell>
          <cell r="D7514" t="str">
            <v>Plymouth</v>
          </cell>
          <cell r="E7514" t="str">
            <v>Community Special School</v>
          </cell>
          <cell r="F7514" t="str">
            <v>Special</v>
          </cell>
        </row>
        <row r="7515">
          <cell r="A7515">
            <v>8017005</v>
          </cell>
          <cell r="B7515">
            <v>109387</v>
          </cell>
          <cell r="C7515" t="str">
            <v>Courtlands Special School</v>
          </cell>
          <cell r="D7515" t="str">
            <v>Bristol City of</v>
          </cell>
          <cell r="E7515" t="str">
            <v>Community Special School</v>
          </cell>
          <cell r="F7515" t="str">
            <v>Special</v>
          </cell>
        </row>
        <row r="7516">
          <cell r="A7516">
            <v>9017005</v>
          </cell>
          <cell r="B7516">
            <v>132860</v>
          </cell>
          <cell r="C7516" t="str">
            <v>Courtlands Special School</v>
          </cell>
          <cell r="D7516" t="str">
            <v>Pre LGR (1996) Avon</v>
          </cell>
          <cell r="E7516" t="str">
            <v>Community Special School</v>
          </cell>
          <cell r="F7516" t="str">
            <v>Special</v>
          </cell>
        </row>
        <row r="7517">
          <cell r="A7517">
            <v>8032227</v>
          </cell>
          <cell r="B7517">
            <v>109054</v>
          </cell>
          <cell r="C7517" t="str">
            <v>Courtney Primary School</v>
          </cell>
          <cell r="D7517" t="str">
            <v>South Gloucestershire</v>
          </cell>
          <cell r="E7517" t="str">
            <v>Community School</v>
          </cell>
          <cell r="F7517" t="str">
            <v>Primary</v>
          </cell>
        </row>
        <row r="7518">
          <cell r="A7518">
            <v>3062086</v>
          </cell>
          <cell r="B7518">
            <v>101774</v>
          </cell>
          <cell r="C7518" t="str">
            <v>Courtwood Primary School</v>
          </cell>
          <cell r="D7518" t="str">
            <v>Croydon</v>
          </cell>
          <cell r="E7518" t="str">
            <v>Community School</v>
          </cell>
          <cell r="F7518" t="str">
            <v>Primary</v>
          </cell>
        </row>
        <row r="7519">
          <cell r="A7519">
            <v>8502511</v>
          </cell>
          <cell r="B7519">
            <v>116141</v>
          </cell>
          <cell r="C7519" t="str">
            <v>Cove Infant School</v>
          </cell>
          <cell r="D7519" t="str">
            <v>Hampshire</v>
          </cell>
          <cell r="E7519" t="str">
            <v>Community School</v>
          </cell>
          <cell r="F7519" t="str">
            <v>Primary</v>
          </cell>
        </row>
        <row r="7520">
          <cell r="A7520">
            <v>8502510</v>
          </cell>
          <cell r="B7520">
            <v>116140</v>
          </cell>
          <cell r="C7520" t="str">
            <v>Cove Junior School</v>
          </cell>
          <cell r="D7520" t="str">
            <v>Hampshire</v>
          </cell>
          <cell r="E7520" t="str">
            <v>Community School</v>
          </cell>
          <cell r="F7520" t="str">
            <v>Primary</v>
          </cell>
        </row>
        <row r="7521">
          <cell r="A7521">
            <v>8504203</v>
          </cell>
          <cell r="B7521">
            <v>116446</v>
          </cell>
          <cell r="C7521" t="str">
            <v>Cove School</v>
          </cell>
          <cell r="D7521" t="str">
            <v>Hampshire</v>
          </cell>
          <cell r="E7521" t="str">
            <v>Community School</v>
          </cell>
          <cell r="F7521" t="str">
            <v>Secondary</v>
          </cell>
        </row>
        <row r="7522">
          <cell r="A7522">
            <v>3566021</v>
          </cell>
          <cell r="B7522">
            <v>106158</v>
          </cell>
          <cell r="C7522" t="str">
            <v>Covenant Christian School</v>
          </cell>
          <cell r="D7522" t="str">
            <v>Stockport</v>
          </cell>
          <cell r="E7522" t="str">
            <v>Other Independent School</v>
          </cell>
          <cell r="F7522" t="str">
            <v>Not applicable</v>
          </cell>
        </row>
        <row r="7523">
          <cell r="A7523">
            <v>3016000</v>
          </cell>
          <cell r="B7523">
            <v>126724</v>
          </cell>
          <cell r="C7523" t="str">
            <v>Covenant School</v>
          </cell>
          <cell r="D7523" t="str">
            <v>Barking and Dagenham</v>
          </cell>
          <cell r="E7523" t="str">
            <v>Other Independent School</v>
          </cell>
          <cell r="F7523" t="str">
            <v>Not applicable</v>
          </cell>
        </row>
        <row r="7524">
          <cell r="A7524">
            <v>331940</v>
          </cell>
          <cell r="B7524">
            <v>133667</v>
          </cell>
          <cell r="C7524" t="str">
            <v>Coventry City FC Pfs Partnership Centre</v>
          </cell>
          <cell r="D7524" t="str">
            <v>Coventry</v>
          </cell>
          <cell r="E7524" t="str">
            <v>Playing for Success Centres</v>
          </cell>
          <cell r="F7524" t="str">
            <v>Not applicable</v>
          </cell>
        </row>
        <row r="7525">
          <cell r="A7525">
            <v>3317014</v>
          </cell>
          <cell r="B7525">
            <v>127130</v>
          </cell>
          <cell r="C7525" t="str">
            <v>Coventry Hospital School</v>
          </cell>
          <cell r="D7525" t="str">
            <v>Coventry</v>
          </cell>
          <cell r="E7525" t="str">
            <v>Community Special School</v>
          </cell>
          <cell r="F7525" t="str">
            <v>Special</v>
          </cell>
        </row>
        <row r="7526">
          <cell r="A7526">
            <v>3319900</v>
          </cell>
          <cell r="B7526">
            <v>132966</v>
          </cell>
          <cell r="C7526" t="str">
            <v>Coventry Hospital School and Home Tuition Service</v>
          </cell>
          <cell r="D7526" t="str">
            <v>Coventry</v>
          </cell>
          <cell r="E7526" t="str">
            <v>Miscellaneous</v>
          </cell>
          <cell r="F7526" t="str">
            <v>Not applicable</v>
          </cell>
        </row>
        <row r="7527">
          <cell r="A7527">
            <v>3316022</v>
          </cell>
          <cell r="B7527">
            <v>103753</v>
          </cell>
          <cell r="C7527" t="str">
            <v>Coventry Muslim School</v>
          </cell>
          <cell r="D7527" t="str">
            <v>Coventry</v>
          </cell>
          <cell r="E7527" t="str">
            <v>Other Independent School</v>
          </cell>
          <cell r="F7527" t="str">
            <v>Not applicable</v>
          </cell>
        </row>
        <row r="7528">
          <cell r="A7528">
            <v>3316003</v>
          </cell>
          <cell r="B7528">
            <v>103746</v>
          </cell>
          <cell r="C7528" t="str">
            <v>Coventry Preparatory School</v>
          </cell>
          <cell r="D7528" t="str">
            <v>Coventry</v>
          </cell>
          <cell r="E7528" t="str">
            <v>Other Independent School</v>
          </cell>
          <cell r="F7528" t="str">
            <v>Not applicable</v>
          </cell>
        </row>
        <row r="7529">
          <cell r="A7529">
            <v>331941</v>
          </cell>
          <cell r="B7529">
            <v>126671</v>
          </cell>
          <cell r="C7529" t="str">
            <v>Coventry Rfc Playing for Success Centre</v>
          </cell>
          <cell r="D7529" t="str">
            <v>Coventry</v>
          </cell>
          <cell r="E7529" t="str">
            <v>Playing for Success Centres</v>
          </cell>
          <cell r="F7529" t="str">
            <v>Not applicable</v>
          </cell>
        </row>
        <row r="7530">
          <cell r="A7530">
            <v>331300</v>
          </cell>
          <cell r="B7530">
            <v>133099</v>
          </cell>
          <cell r="C7530" t="str">
            <v>Coventry Secure Unit</v>
          </cell>
          <cell r="D7530" t="str">
            <v>Coventry</v>
          </cell>
          <cell r="E7530" t="str">
            <v>Secure Units</v>
          </cell>
          <cell r="F7530" t="str">
            <v>Not applicable</v>
          </cell>
        </row>
        <row r="7531">
          <cell r="A7531">
            <v>3319902</v>
          </cell>
          <cell r="B7531">
            <v>133071</v>
          </cell>
          <cell r="C7531" t="str">
            <v>Coventry Speech and Language Service Co Manor Park Primary School</v>
          </cell>
          <cell r="D7531" t="str">
            <v>Coventry</v>
          </cell>
          <cell r="E7531" t="str">
            <v>Miscellaneous</v>
          </cell>
          <cell r="F7531" t="str">
            <v>Not applicable</v>
          </cell>
        </row>
        <row r="7532">
          <cell r="A7532">
            <v>3318000</v>
          </cell>
          <cell r="B7532">
            <v>130471</v>
          </cell>
          <cell r="C7532" t="str">
            <v>Coventry Technical College</v>
          </cell>
          <cell r="D7532" t="str">
            <v>Coventry</v>
          </cell>
          <cell r="E7532" t="str">
            <v>Further Education</v>
          </cell>
          <cell r="F7532" t="str">
            <v>16 Plus</v>
          </cell>
        </row>
        <row r="7533">
          <cell r="A7533">
            <v>937</v>
          </cell>
          <cell r="B7533">
            <v>133808</v>
          </cell>
          <cell r="C7533" t="str">
            <v>Coventry University</v>
          </cell>
          <cell r="D7533" t="str">
            <v>Warwickshire</v>
          </cell>
          <cell r="E7533" t="str">
            <v>Higher Education Institutions</v>
          </cell>
          <cell r="F7533" t="str">
            <v>Not applicable</v>
          </cell>
        </row>
        <row r="7534">
          <cell r="A7534">
            <v>3319901</v>
          </cell>
          <cell r="B7534">
            <v>134721</v>
          </cell>
          <cell r="C7534" t="str">
            <v>Coventry Youth Offending Service</v>
          </cell>
          <cell r="D7534" t="str">
            <v>Coventry</v>
          </cell>
          <cell r="E7534" t="str">
            <v>Miscellaneous</v>
          </cell>
          <cell r="F7534" t="str">
            <v>Not applicable</v>
          </cell>
        </row>
        <row r="7535">
          <cell r="A7535">
            <v>9082121</v>
          </cell>
          <cell r="B7535">
            <v>111822</v>
          </cell>
          <cell r="C7535" t="str">
            <v>Coverack Community Primary School</v>
          </cell>
          <cell r="D7535" t="str">
            <v>Cornwall</v>
          </cell>
          <cell r="E7535" t="str">
            <v>Community School</v>
          </cell>
          <cell r="F7535" t="str">
            <v>Primary</v>
          </cell>
        </row>
        <row r="7536">
          <cell r="A7536">
            <v>8662035</v>
          </cell>
          <cell r="B7536">
            <v>126189</v>
          </cell>
          <cell r="C7536" t="str">
            <v>Covingham Park Infant School</v>
          </cell>
          <cell r="D7536" t="str">
            <v>Swindon</v>
          </cell>
          <cell r="E7536" t="str">
            <v>Community School</v>
          </cell>
          <cell r="F7536" t="str">
            <v>Primary</v>
          </cell>
        </row>
        <row r="7537">
          <cell r="A7537">
            <v>8662036</v>
          </cell>
          <cell r="B7537">
            <v>126190</v>
          </cell>
          <cell r="C7537" t="str">
            <v>Covingham Park Junior School</v>
          </cell>
          <cell r="D7537" t="str">
            <v>Swindon</v>
          </cell>
          <cell r="E7537" t="str">
            <v>Community School</v>
          </cell>
          <cell r="F7537" t="str">
            <v>Primary</v>
          </cell>
        </row>
        <row r="7538">
          <cell r="A7538">
            <v>8663465</v>
          </cell>
          <cell r="B7538">
            <v>135206</v>
          </cell>
          <cell r="C7538" t="str">
            <v>Covingham Park Primary School</v>
          </cell>
          <cell r="D7538" t="str">
            <v>Swindon</v>
          </cell>
          <cell r="E7538" t="str">
            <v>Community School</v>
          </cell>
          <cell r="F7538" t="str">
            <v>Primary</v>
          </cell>
        </row>
        <row r="7539">
          <cell r="A7539">
            <v>6734065</v>
          </cell>
          <cell r="B7539">
            <v>401801</v>
          </cell>
          <cell r="C7539" t="str">
            <v>Cowbridge Comprehensive School</v>
          </cell>
          <cell r="D7539" t="str">
            <v>The Vale of Glamorgan</v>
          </cell>
          <cell r="E7539" t="str">
            <v>Welsh Establishment</v>
          </cell>
          <cell r="F7539" t="str">
            <v>Secondary</v>
          </cell>
        </row>
        <row r="7540">
          <cell r="A7540">
            <v>9214029</v>
          </cell>
          <cell r="B7540">
            <v>136009</v>
          </cell>
          <cell r="C7540" t="str">
            <v>Cowes Enterprise College</v>
          </cell>
          <cell r="D7540" t="str">
            <v>Isle of Wight</v>
          </cell>
          <cell r="E7540" t="str">
            <v>Foundation School</v>
          </cell>
          <cell r="F7540" t="str">
            <v>Secondary</v>
          </cell>
        </row>
        <row r="7541">
          <cell r="A7541">
            <v>9214003</v>
          </cell>
          <cell r="B7541">
            <v>118201</v>
          </cell>
          <cell r="C7541" t="str">
            <v>Cowes High School</v>
          </cell>
          <cell r="D7541" t="str">
            <v>Isle of Wight</v>
          </cell>
          <cell r="E7541" t="str">
            <v>Community School</v>
          </cell>
          <cell r="F7541" t="str">
            <v>Secondary</v>
          </cell>
        </row>
        <row r="7542">
          <cell r="A7542">
            <v>9212002</v>
          </cell>
          <cell r="B7542">
            <v>118156</v>
          </cell>
          <cell r="C7542" t="str">
            <v>Cowes Primary School</v>
          </cell>
          <cell r="D7542" t="str">
            <v>Isle of Wight</v>
          </cell>
          <cell r="E7542" t="str">
            <v>Community School</v>
          </cell>
          <cell r="F7542" t="str">
            <v>Primary</v>
          </cell>
        </row>
        <row r="7543">
          <cell r="A7543">
            <v>3912150</v>
          </cell>
          <cell r="B7543">
            <v>108464</v>
          </cell>
          <cell r="C7543" t="str">
            <v>Cowgate Primary School</v>
          </cell>
          <cell r="D7543" t="str">
            <v>Newcastle upon Tyne</v>
          </cell>
          <cell r="E7543" t="str">
            <v>Community School</v>
          </cell>
          <cell r="F7543" t="str">
            <v>Primary</v>
          </cell>
        </row>
        <row r="7544">
          <cell r="A7544">
            <v>8113081</v>
          </cell>
          <cell r="B7544">
            <v>118025</v>
          </cell>
          <cell r="C7544" t="str">
            <v>Cowick Church of England Voluntary Controlled Primary School</v>
          </cell>
          <cell r="D7544" t="str">
            <v>East Riding of Yorkshire</v>
          </cell>
          <cell r="E7544" t="str">
            <v>Voluntary Controlled School</v>
          </cell>
          <cell r="F7544" t="str">
            <v>Primary</v>
          </cell>
        </row>
        <row r="7545">
          <cell r="A7545">
            <v>8782023</v>
          </cell>
          <cell r="B7545">
            <v>113077</v>
          </cell>
          <cell r="C7545" t="str">
            <v>Cowick First School</v>
          </cell>
          <cell r="D7545" t="str">
            <v>Devon</v>
          </cell>
          <cell r="E7545" t="str">
            <v>Community School</v>
          </cell>
          <cell r="F7545" t="str">
            <v>Primary</v>
          </cell>
        </row>
        <row r="7546">
          <cell r="A7546">
            <v>3822150</v>
          </cell>
          <cell r="B7546">
            <v>107695</v>
          </cell>
          <cell r="C7546" t="str">
            <v>Cowlersley Primary School</v>
          </cell>
          <cell r="D7546" t="str">
            <v>Kirklees</v>
          </cell>
          <cell r="E7546" t="str">
            <v>Community School</v>
          </cell>
          <cell r="F7546" t="str">
            <v>Primary</v>
          </cell>
        </row>
        <row r="7547">
          <cell r="A7547">
            <v>9192030</v>
          </cell>
          <cell r="B7547">
            <v>117099</v>
          </cell>
          <cell r="C7547" t="str">
            <v>Cowley Hill School</v>
          </cell>
          <cell r="D7547" t="str">
            <v>Hertfordshire</v>
          </cell>
          <cell r="E7547" t="str">
            <v>Community School</v>
          </cell>
          <cell r="F7547" t="str">
            <v>Primary</v>
          </cell>
        </row>
        <row r="7548">
          <cell r="A7548">
            <v>3122013</v>
          </cell>
          <cell r="B7548">
            <v>102376</v>
          </cell>
          <cell r="C7548" t="str">
            <v>Cowley Infant School</v>
          </cell>
          <cell r="D7548" t="str">
            <v>Hillingdon</v>
          </cell>
          <cell r="E7548" t="str">
            <v>Community School</v>
          </cell>
          <cell r="F7548" t="str">
            <v>Primary</v>
          </cell>
        </row>
        <row r="7549">
          <cell r="A7549">
            <v>3424101</v>
          </cell>
          <cell r="B7549">
            <v>104829</v>
          </cell>
          <cell r="C7549" t="str">
            <v>Cowley Language College</v>
          </cell>
          <cell r="D7549" t="str">
            <v>St. Helens</v>
          </cell>
          <cell r="E7549" t="str">
            <v>Community School</v>
          </cell>
          <cell r="F7549" t="str">
            <v>Secondary</v>
          </cell>
        </row>
        <row r="7550">
          <cell r="A7550">
            <v>3123410</v>
          </cell>
          <cell r="B7550">
            <v>117709</v>
          </cell>
          <cell r="C7550" t="str">
            <v>Cowley St Laurence CofE Primary School</v>
          </cell>
          <cell r="D7550" t="str">
            <v>Hillingdon</v>
          </cell>
          <cell r="E7550" t="str">
            <v>Voluntary Controlled School</v>
          </cell>
          <cell r="F7550" t="str">
            <v>Primary</v>
          </cell>
        </row>
        <row r="7551">
          <cell r="A7551">
            <v>9112067</v>
          </cell>
          <cell r="B7551">
            <v>128691</v>
          </cell>
          <cell r="C7551" t="str">
            <v>Cowleymoor First School</v>
          </cell>
          <cell r="D7551" t="str">
            <v>Pre LGR (1998) Devon</v>
          </cell>
          <cell r="E7551" t="str">
            <v>Community School</v>
          </cell>
          <cell r="F7551" t="str">
            <v>Primary</v>
          </cell>
        </row>
        <row r="7552">
          <cell r="A7552">
            <v>8152317</v>
          </cell>
          <cell r="B7552">
            <v>121388</v>
          </cell>
          <cell r="C7552" t="str">
            <v>Cowling Community Primary School</v>
          </cell>
          <cell r="D7552" t="str">
            <v>North Yorkshire</v>
          </cell>
          <cell r="E7552" t="str">
            <v>Community School</v>
          </cell>
          <cell r="F7552" t="str">
            <v>Primary</v>
          </cell>
        </row>
        <row r="7553">
          <cell r="A7553">
            <v>9366543</v>
          </cell>
          <cell r="B7553">
            <v>125429</v>
          </cell>
          <cell r="C7553" t="str">
            <v>Coworth-Flexlands School</v>
          </cell>
          <cell r="D7553" t="str">
            <v>Surrey</v>
          </cell>
          <cell r="E7553" t="str">
            <v>Other Independent School</v>
          </cell>
          <cell r="F7553" t="str">
            <v>Not applicable</v>
          </cell>
        </row>
        <row r="7554">
          <cell r="A7554">
            <v>8504110</v>
          </cell>
          <cell r="B7554">
            <v>116410</v>
          </cell>
          <cell r="C7554" t="str">
            <v>Cowplain Community School</v>
          </cell>
          <cell r="D7554" t="str">
            <v>Hampshire</v>
          </cell>
          <cell r="E7554" t="str">
            <v>Foundation School</v>
          </cell>
          <cell r="F7554" t="str">
            <v>Secondary</v>
          </cell>
        </row>
        <row r="7555">
          <cell r="A7555">
            <v>8684056</v>
          </cell>
          <cell r="B7555">
            <v>110067</v>
          </cell>
          <cell r="C7555" t="str">
            <v>Cox Green School</v>
          </cell>
          <cell r="D7555" t="str">
            <v>Windsor and Maidenhead</v>
          </cell>
          <cell r="E7555" t="str">
            <v>Community School</v>
          </cell>
          <cell r="F7555" t="str">
            <v>Secondary</v>
          </cell>
        </row>
        <row r="7556">
          <cell r="A7556">
            <v>8684056</v>
          </cell>
          <cell r="B7556">
            <v>137695</v>
          </cell>
          <cell r="C7556" t="str">
            <v>Cox Green School</v>
          </cell>
          <cell r="D7556" t="str">
            <v>Windsor and Maidenhead</v>
          </cell>
          <cell r="E7556" t="str">
            <v>Academy Converters</v>
          </cell>
          <cell r="F7556" t="str">
            <v>Secondary</v>
          </cell>
        </row>
        <row r="7557">
          <cell r="A7557">
            <v>9222449</v>
          </cell>
          <cell r="B7557">
            <v>129382</v>
          </cell>
          <cell r="C7557" t="str">
            <v>Coxheath County Junior School</v>
          </cell>
          <cell r="D7557" t="str">
            <v>Pre LGR (1998) Kent</v>
          </cell>
          <cell r="E7557" t="str">
            <v>Community School</v>
          </cell>
          <cell r="F7557" t="str">
            <v>Primary</v>
          </cell>
        </row>
        <row r="7558">
          <cell r="A7558">
            <v>9222602</v>
          </cell>
          <cell r="B7558">
            <v>129393</v>
          </cell>
          <cell r="C7558" t="str">
            <v>Coxheath Infant School</v>
          </cell>
          <cell r="D7558" t="str">
            <v>Pre LGR (1998) Kent</v>
          </cell>
          <cell r="E7558" t="str">
            <v>Community School</v>
          </cell>
          <cell r="F7558" t="str">
            <v>Primary</v>
          </cell>
        </row>
        <row r="7559">
          <cell r="A7559">
            <v>8862677</v>
          </cell>
          <cell r="B7559">
            <v>118588</v>
          </cell>
          <cell r="C7559" t="str">
            <v>Coxheath Primary School</v>
          </cell>
          <cell r="D7559" t="str">
            <v>Kent</v>
          </cell>
          <cell r="E7559" t="str">
            <v>Community School</v>
          </cell>
          <cell r="F7559" t="str">
            <v>Primary</v>
          </cell>
        </row>
        <row r="7560">
          <cell r="A7560">
            <v>8402372</v>
          </cell>
          <cell r="B7560">
            <v>114080</v>
          </cell>
          <cell r="C7560" t="str">
            <v>Coxhoe Primary School</v>
          </cell>
          <cell r="D7560" t="str">
            <v>Durham</v>
          </cell>
          <cell r="E7560" t="str">
            <v>Community School</v>
          </cell>
          <cell r="F7560" t="str">
            <v>Primary</v>
          </cell>
        </row>
        <row r="7561">
          <cell r="A7561">
            <v>8506017</v>
          </cell>
          <cell r="B7561">
            <v>116586</v>
          </cell>
          <cell r="C7561" t="str">
            <v>Coxlease School</v>
          </cell>
          <cell r="D7561" t="str">
            <v>Hampshire</v>
          </cell>
          <cell r="E7561" t="str">
            <v>Other Independent Special School</v>
          </cell>
          <cell r="F7561" t="str">
            <v>Not applicable</v>
          </cell>
        </row>
        <row r="7562">
          <cell r="A7562">
            <v>9332019</v>
          </cell>
          <cell r="B7562">
            <v>123641</v>
          </cell>
          <cell r="C7562" t="str">
            <v>Coxley Primary School</v>
          </cell>
          <cell r="D7562" t="str">
            <v>Somerset</v>
          </cell>
          <cell r="E7562" t="str">
            <v>Community School</v>
          </cell>
          <cell r="F7562" t="str">
            <v>Primary</v>
          </cell>
        </row>
        <row r="7563">
          <cell r="A7563">
            <v>8912011</v>
          </cell>
          <cell r="B7563">
            <v>122405</v>
          </cell>
          <cell r="C7563" t="str">
            <v>Coxmoor Primary School</v>
          </cell>
          <cell r="D7563" t="str">
            <v>Nottinghamshire</v>
          </cell>
          <cell r="E7563" t="str">
            <v>Community School</v>
          </cell>
          <cell r="F7563" t="str">
            <v>Primary</v>
          </cell>
        </row>
        <row r="7564">
          <cell r="A7564">
            <v>6722146</v>
          </cell>
          <cell r="B7564">
            <v>401039</v>
          </cell>
          <cell r="C7564" t="str">
            <v>Coychurch (Llangrallo) Primary School</v>
          </cell>
          <cell r="D7564" t="str">
            <v>Bridgend</v>
          </cell>
          <cell r="E7564" t="str">
            <v>Welsh Establishment</v>
          </cell>
          <cell r="F7564" t="str">
            <v>Primary</v>
          </cell>
        </row>
        <row r="7565">
          <cell r="A7565">
            <v>3522296</v>
          </cell>
          <cell r="B7565">
            <v>105465</v>
          </cell>
          <cell r="C7565" t="str">
            <v>Crab Lane Primary School</v>
          </cell>
          <cell r="D7565" t="str">
            <v>Manchester</v>
          </cell>
          <cell r="E7565" t="str">
            <v>Community School</v>
          </cell>
          <cell r="F7565" t="str">
            <v>Primary</v>
          </cell>
        </row>
        <row r="7566">
          <cell r="A7566">
            <v>8922153</v>
          </cell>
          <cell r="B7566">
            <v>122476</v>
          </cell>
          <cell r="C7566" t="str">
            <v>Crabtree Farm Primary School</v>
          </cell>
          <cell r="D7566" t="str">
            <v>Nottingham</v>
          </cell>
          <cell r="E7566" t="str">
            <v>Community School</v>
          </cell>
          <cell r="F7566" t="str">
            <v>Primary</v>
          </cell>
        </row>
        <row r="7567">
          <cell r="A7567">
            <v>9192390</v>
          </cell>
          <cell r="B7567">
            <v>117312</v>
          </cell>
          <cell r="C7567" t="str">
            <v>Crabtree Infants' School</v>
          </cell>
          <cell r="D7567" t="str">
            <v>Hertfordshire</v>
          </cell>
          <cell r="E7567" t="str">
            <v>Community School</v>
          </cell>
          <cell r="F7567" t="str">
            <v>Primary</v>
          </cell>
        </row>
        <row r="7568">
          <cell r="A7568">
            <v>9192344</v>
          </cell>
          <cell r="B7568">
            <v>117287</v>
          </cell>
          <cell r="C7568" t="str">
            <v>Crabtree Junior School</v>
          </cell>
          <cell r="D7568" t="str">
            <v>Hertfordshire</v>
          </cell>
          <cell r="E7568" t="str">
            <v>Community School</v>
          </cell>
          <cell r="F7568" t="str">
            <v>Primary</v>
          </cell>
        </row>
        <row r="7569">
          <cell r="A7569">
            <v>8602247</v>
          </cell>
          <cell r="B7569">
            <v>124108</v>
          </cell>
          <cell r="C7569" t="str">
            <v>Crackley Bank Primary School</v>
          </cell>
          <cell r="D7569" t="str">
            <v>Staffordshire</v>
          </cell>
          <cell r="E7569" t="str">
            <v>Community School</v>
          </cell>
          <cell r="F7569" t="str">
            <v>Primary</v>
          </cell>
        </row>
        <row r="7570">
          <cell r="A7570">
            <v>9376001</v>
          </cell>
          <cell r="B7570">
            <v>125772</v>
          </cell>
          <cell r="C7570" t="str">
            <v>Crackley Hall School</v>
          </cell>
          <cell r="D7570" t="str">
            <v>Warwickshire</v>
          </cell>
          <cell r="E7570" t="str">
            <v>Other Independent School</v>
          </cell>
          <cell r="F7570" t="str">
            <v>Not applicable</v>
          </cell>
        </row>
        <row r="7571">
          <cell r="A7571">
            <v>8153235</v>
          </cell>
          <cell r="B7571">
            <v>121558</v>
          </cell>
          <cell r="C7571" t="str">
            <v>Cracoe and Rylstone Voluntary Controlled Church of England Primary School</v>
          </cell>
          <cell r="D7571" t="str">
            <v>North Yorkshire</v>
          </cell>
          <cell r="E7571" t="str">
            <v>Voluntary Controlled School</v>
          </cell>
          <cell r="F7571" t="str">
            <v>Primary</v>
          </cell>
        </row>
        <row r="7572">
          <cell r="A7572">
            <v>8452104</v>
          </cell>
          <cell r="B7572">
            <v>114434</v>
          </cell>
          <cell r="C7572" t="str">
            <v>Cradle Hill Community Primary School</v>
          </cell>
          <cell r="D7572" t="str">
            <v>East Sussex</v>
          </cell>
          <cell r="E7572" t="str">
            <v>Community School</v>
          </cell>
          <cell r="F7572" t="str">
            <v>Primary</v>
          </cell>
        </row>
        <row r="7573">
          <cell r="A7573">
            <v>3323350</v>
          </cell>
          <cell r="B7573">
            <v>103846</v>
          </cell>
          <cell r="C7573" t="str">
            <v>Cradley CofE Primary School</v>
          </cell>
          <cell r="D7573" t="str">
            <v>Dudley</v>
          </cell>
          <cell r="E7573" t="str">
            <v>Voluntary Aided School</v>
          </cell>
          <cell r="F7573" t="str">
            <v>Primary</v>
          </cell>
        </row>
        <row r="7574">
          <cell r="A7574">
            <v>8843315</v>
          </cell>
          <cell r="B7574">
            <v>116874</v>
          </cell>
          <cell r="C7574" t="str">
            <v>Cradley CofE Primary School</v>
          </cell>
          <cell r="D7574" t="str">
            <v>Herefordshire</v>
          </cell>
          <cell r="E7574" t="str">
            <v>Voluntary Aided School</v>
          </cell>
          <cell r="F7574" t="str">
            <v>Primary</v>
          </cell>
        </row>
        <row r="7575">
          <cell r="A7575">
            <v>3331001</v>
          </cell>
          <cell r="B7575">
            <v>103884</v>
          </cell>
          <cell r="C7575" t="str">
            <v>Cradley Heath Nursery School</v>
          </cell>
          <cell r="D7575" t="str">
            <v>Sandwell</v>
          </cell>
          <cell r="E7575" t="str">
            <v>LA Nursery School</v>
          </cell>
          <cell r="F7575" t="str">
            <v>Nursery</v>
          </cell>
        </row>
        <row r="7576">
          <cell r="A7576">
            <v>3324114</v>
          </cell>
          <cell r="B7576">
            <v>103862</v>
          </cell>
          <cell r="C7576" t="str">
            <v>Cradley High School</v>
          </cell>
          <cell r="D7576" t="str">
            <v>Dudley</v>
          </cell>
          <cell r="E7576" t="str">
            <v>Community School</v>
          </cell>
          <cell r="F7576" t="str">
            <v>Secondary</v>
          </cell>
        </row>
        <row r="7577">
          <cell r="A7577">
            <v>6662115</v>
          </cell>
          <cell r="B7577">
            <v>400526</v>
          </cell>
          <cell r="C7577" t="str">
            <v>Cradoc C.P. School</v>
          </cell>
          <cell r="D7577" t="str">
            <v>Powys</v>
          </cell>
          <cell r="E7577" t="str">
            <v>Welsh Establishment</v>
          </cell>
          <cell r="F7577" t="str">
            <v>Primary</v>
          </cell>
        </row>
        <row r="7578">
          <cell r="A7578">
            <v>3812055</v>
          </cell>
          <cell r="B7578">
            <v>107508</v>
          </cell>
          <cell r="C7578" t="str">
            <v>Cragg Vale Junior and Infant School</v>
          </cell>
          <cell r="D7578" t="str">
            <v>Calderdale</v>
          </cell>
          <cell r="E7578" t="str">
            <v>Community School</v>
          </cell>
          <cell r="F7578" t="str">
            <v>Primary</v>
          </cell>
        </row>
        <row r="7579">
          <cell r="A7579">
            <v>3722063</v>
          </cell>
          <cell r="B7579">
            <v>106870</v>
          </cell>
          <cell r="C7579" t="str">
            <v>Crags Community School</v>
          </cell>
          <cell r="D7579" t="str">
            <v>Rotherham</v>
          </cell>
          <cell r="E7579" t="str">
            <v>Community School</v>
          </cell>
          <cell r="F7579" t="str">
            <v>Primary</v>
          </cell>
        </row>
        <row r="7580">
          <cell r="A7580">
            <v>9293918</v>
          </cell>
          <cell r="B7580">
            <v>134473</v>
          </cell>
          <cell r="C7580" t="str">
            <v>Cragside CofE Controlled Primary School</v>
          </cell>
          <cell r="D7580" t="str">
            <v>Northumberland</v>
          </cell>
          <cell r="E7580" t="str">
            <v>Voluntary Controlled School</v>
          </cell>
          <cell r="F7580" t="str">
            <v>Primary</v>
          </cell>
        </row>
        <row r="7581">
          <cell r="A7581">
            <v>3912170</v>
          </cell>
          <cell r="B7581">
            <v>108465</v>
          </cell>
          <cell r="C7581" t="str">
            <v>Cragside Primary School</v>
          </cell>
          <cell r="D7581" t="str">
            <v>Newcastle upon Tyne</v>
          </cell>
          <cell r="E7581" t="str">
            <v>Community School</v>
          </cell>
          <cell r="F7581" t="str">
            <v>Primary</v>
          </cell>
        </row>
        <row r="7582">
          <cell r="A7582">
            <v>6706008</v>
          </cell>
          <cell r="B7582">
            <v>401997</v>
          </cell>
          <cell r="C7582" t="str">
            <v>Craig Y Nos School</v>
          </cell>
          <cell r="D7582" t="str">
            <v>Swansea</v>
          </cell>
          <cell r="E7582" t="str">
            <v>Welsh Establishment</v>
          </cell>
          <cell r="F7582" t="str">
            <v>Not applicable</v>
          </cell>
        </row>
        <row r="7583">
          <cell r="A7583">
            <v>6816087</v>
          </cell>
          <cell r="B7583">
            <v>402022</v>
          </cell>
          <cell r="C7583" t="str">
            <v>Craig Y Parc School</v>
          </cell>
          <cell r="D7583" t="str">
            <v>Cardiff</v>
          </cell>
          <cell r="E7583" t="str">
            <v>Welsh Establishment</v>
          </cell>
          <cell r="F7583" t="str">
            <v>Not applicable</v>
          </cell>
        </row>
        <row r="7584">
          <cell r="A7584">
            <v>6702117</v>
          </cell>
          <cell r="B7584">
            <v>400913</v>
          </cell>
          <cell r="C7584" t="str">
            <v>Craigcefnparc Primary School</v>
          </cell>
          <cell r="D7584" t="str">
            <v>Swansea</v>
          </cell>
          <cell r="E7584" t="str">
            <v>Welsh Establishment</v>
          </cell>
          <cell r="F7584" t="str">
            <v>Primary</v>
          </cell>
        </row>
        <row r="7585">
          <cell r="A7585">
            <v>6702215</v>
          </cell>
          <cell r="B7585">
            <v>400933</v>
          </cell>
          <cell r="C7585" t="str">
            <v>Craigfelen Primary School</v>
          </cell>
          <cell r="D7585" t="str">
            <v>Swansea</v>
          </cell>
          <cell r="E7585" t="str">
            <v>Welsh Establishment</v>
          </cell>
          <cell r="F7585" t="str">
            <v>Primary</v>
          </cell>
        </row>
        <row r="7586">
          <cell r="A7586">
            <v>3412197</v>
          </cell>
          <cell r="B7586">
            <v>127281</v>
          </cell>
          <cell r="C7586" t="str">
            <v>Craighurst County Infant School</v>
          </cell>
          <cell r="D7586" t="str">
            <v>Liverpool</v>
          </cell>
          <cell r="E7586" t="str">
            <v>Community School</v>
          </cell>
          <cell r="F7586" t="str">
            <v>Primary</v>
          </cell>
        </row>
        <row r="7587">
          <cell r="A7587">
            <v>3946012</v>
          </cell>
          <cell r="B7587">
            <v>108876</v>
          </cell>
          <cell r="C7587" t="str">
            <v>Craigievar School</v>
          </cell>
          <cell r="D7587" t="str">
            <v>Sunderland</v>
          </cell>
          <cell r="E7587" t="str">
            <v>Other Independent School</v>
          </cell>
          <cell r="F7587" t="str">
            <v>Not applicable</v>
          </cell>
        </row>
        <row r="7588">
          <cell r="A7588">
            <v>6742076</v>
          </cell>
          <cell r="B7588">
            <v>401148</v>
          </cell>
          <cell r="C7588" t="str">
            <v>Craig-Yr-Eos Infants School</v>
          </cell>
          <cell r="D7588" t="str">
            <v>Rhondda, Cynon, Taff</v>
          </cell>
          <cell r="E7588" t="str">
            <v>Welsh Establishment</v>
          </cell>
          <cell r="F7588" t="str">
            <v>Primary</v>
          </cell>
        </row>
        <row r="7589">
          <cell r="A7589">
            <v>6742225</v>
          </cell>
          <cell r="B7589">
            <v>401220</v>
          </cell>
          <cell r="C7589" t="str">
            <v>Craig-Yr-Hesg Primary School</v>
          </cell>
          <cell r="D7589" t="str">
            <v>Rhondda, Cynon, Taff</v>
          </cell>
          <cell r="E7589" t="str">
            <v>Welsh Establishment</v>
          </cell>
          <cell r="F7589" t="str">
            <v>Primary</v>
          </cell>
        </row>
        <row r="7590">
          <cell r="A7590">
            <v>8153020</v>
          </cell>
          <cell r="B7590">
            <v>121483</v>
          </cell>
          <cell r="C7590" t="str">
            <v>Crakehall Church of England Primary School</v>
          </cell>
          <cell r="D7590" t="str">
            <v>North Yorkshire</v>
          </cell>
          <cell r="E7590" t="str">
            <v>Voluntary Controlled School</v>
          </cell>
          <cell r="F7590" t="str">
            <v>Primary</v>
          </cell>
        </row>
        <row r="7591">
          <cell r="A7591">
            <v>9292075</v>
          </cell>
          <cell r="B7591">
            <v>122192</v>
          </cell>
          <cell r="C7591" t="str">
            <v>Cramlington Cragside Church of England Controlled First School</v>
          </cell>
          <cell r="D7591" t="str">
            <v>Northumberland</v>
          </cell>
          <cell r="E7591" t="str">
            <v>Community School</v>
          </cell>
          <cell r="F7591" t="str">
            <v>Primary</v>
          </cell>
        </row>
        <row r="7592">
          <cell r="A7592">
            <v>9292074</v>
          </cell>
          <cell r="B7592">
            <v>122191</v>
          </cell>
          <cell r="C7592" t="str">
            <v>Cramlington Eastlea Primary School</v>
          </cell>
          <cell r="D7592" t="str">
            <v>Northumberland</v>
          </cell>
          <cell r="E7592" t="str">
            <v>Community School</v>
          </cell>
          <cell r="F7592" t="str">
            <v>Primary</v>
          </cell>
        </row>
        <row r="7593">
          <cell r="A7593">
            <v>9297006</v>
          </cell>
          <cell r="B7593">
            <v>122383</v>
          </cell>
          <cell r="C7593" t="str">
            <v>Cramlington Hillcrest School</v>
          </cell>
          <cell r="D7593" t="str">
            <v>Northumberland</v>
          </cell>
          <cell r="E7593" t="str">
            <v>Community Special School</v>
          </cell>
          <cell r="F7593" t="str">
            <v>Special</v>
          </cell>
        </row>
        <row r="7594">
          <cell r="A7594">
            <v>9292528</v>
          </cell>
          <cell r="B7594">
            <v>122267</v>
          </cell>
          <cell r="C7594" t="str">
            <v>Cramlington Kramel First School</v>
          </cell>
          <cell r="D7594" t="str">
            <v>Northumberland</v>
          </cell>
          <cell r="E7594" t="str">
            <v>Community School</v>
          </cell>
          <cell r="F7594" t="str">
            <v>Primary</v>
          </cell>
        </row>
        <row r="7595">
          <cell r="A7595">
            <v>9294424</v>
          </cell>
          <cell r="B7595">
            <v>122357</v>
          </cell>
          <cell r="C7595" t="str">
            <v>Cramlington Learning Village</v>
          </cell>
          <cell r="D7595" t="str">
            <v>Northumberland</v>
          </cell>
          <cell r="E7595" t="str">
            <v>Community School</v>
          </cell>
          <cell r="F7595" t="str">
            <v>Secondary</v>
          </cell>
        </row>
        <row r="7596">
          <cell r="A7596">
            <v>9294424</v>
          </cell>
          <cell r="B7596">
            <v>137457</v>
          </cell>
          <cell r="C7596" t="str">
            <v>Cramlington Learning Village</v>
          </cell>
          <cell r="D7596" t="str">
            <v>Northumberland</v>
          </cell>
          <cell r="E7596" t="str">
            <v>Academy Converters</v>
          </cell>
          <cell r="F7596" t="str">
            <v>Secondary</v>
          </cell>
        </row>
        <row r="7597">
          <cell r="A7597">
            <v>9292530</v>
          </cell>
          <cell r="B7597">
            <v>122269</v>
          </cell>
          <cell r="C7597" t="str">
            <v>Cramlington Northburn Primary School</v>
          </cell>
          <cell r="D7597" t="str">
            <v>Northumberland</v>
          </cell>
          <cell r="E7597" t="str">
            <v>Community School</v>
          </cell>
          <cell r="F7597" t="str">
            <v>Primary</v>
          </cell>
        </row>
        <row r="7598">
          <cell r="A7598">
            <v>9294151</v>
          </cell>
          <cell r="B7598">
            <v>122330</v>
          </cell>
          <cell r="C7598" t="str">
            <v>Cramlington Parkside Middle School</v>
          </cell>
          <cell r="D7598" t="str">
            <v>Northumberland</v>
          </cell>
          <cell r="E7598" t="str">
            <v>Community School</v>
          </cell>
          <cell r="F7598" t="str">
            <v>Middle Deemed Secondary</v>
          </cell>
        </row>
        <row r="7599">
          <cell r="A7599">
            <v>9292077</v>
          </cell>
          <cell r="B7599">
            <v>122194</v>
          </cell>
          <cell r="C7599" t="str">
            <v>Cramlington Shanklea Primary School</v>
          </cell>
          <cell r="D7599" t="str">
            <v>Northumberland</v>
          </cell>
          <cell r="E7599" t="str">
            <v>Community School</v>
          </cell>
          <cell r="F7599" t="str">
            <v>Primary</v>
          </cell>
        </row>
        <row r="7600">
          <cell r="A7600">
            <v>9296003</v>
          </cell>
          <cell r="B7600">
            <v>137486</v>
          </cell>
          <cell r="C7600" t="str">
            <v>Cramlington Village Primary School</v>
          </cell>
          <cell r="D7600" t="str">
            <v>Northumberland</v>
          </cell>
          <cell r="E7600" t="str">
            <v>Other Independent School</v>
          </cell>
          <cell r="F7600" t="str">
            <v>Not applicable</v>
          </cell>
        </row>
        <row r="7601">
          <cell r="A7601">
            <v>2102138</v>
          </cell>
          <cell r="B7601">
            <v>100784</v>
          </cell>
          <cell r="C7601" t="str">
            <v>Crampton School</v>
          </cell>
          <cell r="D7601" t="str">
            <v>Southwark</v>
          </cell>
          <cell r="E7601" t="str">
            <v>Community School</v>
          </cell>
          <cell r="F7601" t="str">
            <v>Primary</v>
          </cell>
        </row>
        <row r="7602">
          <cell r="A7602">
            <v>9063528</v>
          </cell>
          <cell r="B7602">
            <v>128453</v>
          </cell>
          <cell r="C7602" t="str">
            <v>Cranage CofE Aided Primary School</v>
          </cell>
          <cell r="D7602" t="str">
            <v>Pre LGR (1998) Cheshire</v>
          </cell>
          <cell r="E7602" t="str">
            <v>Voluntary Aided School</v>
          </cell>
          <cell r="F7602" t="str">
            <v>Primary</v>
          </cell>
        </row>
        <row r="7603">
          <cell r="A7603">
            <v>8752164</v>
          </cell>
          <cell r="B7603">
            <v>111034</v>
          </cell>
          <cell r="C7603" t="str">
            <v>Cranberry Infant School</v>
          </cell>
          <cell r="D7603" t="str">
            <v>Pre LGR (2009) Cheshire</v>
          </cell>
          <cell r="E7603" t="str">
            <v>Community School</v>
          </cell>
          <cell r="F7603" t="str">
            <v>Primary</v>
          </cell>
        </row>
        <row r="7604">
          <cell r="A7604">
            <v>8752366</v>
          </cell>
          <cell r="B7604">
            <v>111166</v>
          </cell>
          <cell r="C7604" t="str">
            <v>Cranberry Junior School</v>
          </cell>
          <cell r="D7604" t="str">
            <v>Pre LGR (2009) Cheshire</v>
          </cell>
          <cell r="E7604" t="str">
            <v>Community School</v>
          </cell>
          <cell r="F7604" t="str">
            <v>Primary</v>
          </cell>
        </row>
        <row r="7605">
          <cell r="A7605">
            <v>8953819</v>
          </cell>
          <cell r="B7605">
            <v>135455</v>
          </cell>
          <cell r="C7605" t="str">
            <v>Cranberry Primary School</v>
          </cell>
          <cell r="D7605" t="str">
            <v>Cheshire East</v>
          </cell>
          <cell r="E7605" t="str">
            <v>Foundation School</v>
          </cell>
          <cell r="F7605" t="str">
            <v>Primary</v>
          </cell>
        </row>
        <row r="7606">
          <cell r="A7606">
            <v>8353317</v>
          </cell>
          <cell r="B7606">
            <v>113797</v>
          </cell>
          <cell r="C7606" t="str">
            <v>Cranborne Church of England Voluntary Aided First School</v>
          </cell>
          <cell r="D7606" t="str">
            <v>Dorset</v>
          </cell>
          <cell r="E7606" t="str">
            <v>Voluntary Aided School</v>
          </cell>
          <cell r="F7606" t="str">
            <v>Primary</v>
          </cell>
        </row>
        <row r="7607">
          <cell r="A7607">
            <v>8354020</v>
          </cell>
          <cell r="B7607">
            <v>113853</v>
          </cell>
          <cell r="C7607" t="str">
            <v>Cranborne Middle School</v>
          </cell>
          <cell r="D7607" t="str">
            <v>Dorset</v>
          </cell>
          <cell r="E7607" t="str">
            <v>Community School</v>
          </cell>
          <cell r="F7607" t="str">
            <v>Middle Deemed Secondary</v>
          </cell>
        </row>
        <row r="7608">
          <cell r="A7608">
            <v>9192980</v>
          </cell>
          <cell r="B7608">
            <v>117369</v>
          </cell>
          <cell r="C7608" t="str">
            <v>Cranborne Primary School</v>
          </cell>
          <cell r="D7608" t="str">
            <v>Hertfordshire</v>
          </cell>
          <cell r="E7608" t="str">
            <v>Community School</v>
          </cell>
          <cell r="F7608" t="str">
            <v>Primary</v>
          </cell>
        </row>
        <row r="7609">
          <cell r="A7609">
            <v>8504164</v>
          </cell>
          <cell r="B7609">
            <v>116432</v>
          </cell>
          <cell r="C7609" t="str">
            <v>Cranbourne Business and Enterprise College</v>
          </cell>
          <cell r="D7609" t="str">
            <v>Hampshire</v>
          </cell>
          <cell r="E7609" t="str">
            <v>Community School</v>
          </cell>
          <cell r="F7609" t="str">
            <v>Secondary</v>
          </cell>
        </row>
        <row r="7610">
          <cell r="A7610">
            <v>9396086</v>
          </cell>
          <cell r="B7610">
            <v>130229</v>
          </cell>
          <cell r="C7610" t="str">
            <v>Cranbourne Chase School</v>
          </cell>
          <cell r="D7610" t="str">
            <v>Pre LGR (1997) Wiltshire</v>
          </cell>
          <cell r="E7610" t="str">
            <v>Other Independent School</v>
          </cell>
          <cell r="F7610" t="str">
            <v>Not applicable</v>
          </cell>
        </row>
        <row r="7611">
          <cell r="A7611">
            <v>9192376</v>
          </cell>
          <cell r="B7611">
            <v>129136</v>
          </cell>
          <cell r="C7611" t="str">
            <v>Cranbourne Infant School</v>
          </cell>
          <cell r="D7611" t="str">
            <v>Hertfordshire</v>
          </cell>
          <cell r="E7611" t="str">
            <v>Community School</v>
          </cell>
          <cell r="F7611" t="str">
            <v>Primary</v>
          </cell>
        </row>
        <row r="7612">
          <cell r="A7612">
            <v>9192363</v>
          </cell>
          <cell r="B7612">
            <v>129134</v>
          </cell>
          <cell r="C7612" t="str">
            <v>Cranbourne Junior School</v>
          </cell>
          <cell r="D7612" t="str">
            <v>Hertfordshire</v>
          </cell>
          <cell r="E7612" t="str">
            <v>Community School</v>
          </cell>
          <cell r="F7612" t="str">
            <v>Primary</v>
          </cell>
        </row>
        <row r="7613">
          <cell r="A7613">
            <v>8672099</v>
          </cell>
          <cell r="B7613">
            <v>109835</v>
          </cell>
          <cell r="C7613" t="str">
            <v>Cranbourne Primary School</v>
          </cell>
          <cell r="D7613" t="str">
            <v>Bracknell Forest</v>
          </cell>
          <cell r="E7613" t="str">
            <v>Community School</v>
          </cell>
          <cell r="F7613" t="str">
            <v>Primary</v>
          </cell>
        </row>
        <row r="7614">
          <cell r="A7614">
            <v>3176054</v>
          </cell>
          <cell r="B7614">
            <v>102868</v>
          </cell>
          <cell r="C7614" t="str">
            <v>Cranbrook</v>
          </cell>
          <cell r="D7614" t="str">
            <v>Redbridge</v>
          </cell>
          <cell r="E7614" t="str">
            <v>Other Independent School</v>
          </cell>
          <cell r="F7614" t="str">
            <v>Not applicable</v>
          </cell>
        </row>
        <row r="7615">
          <cell r="A7615">
            <v>8863027</v>
          </cell>
          <cell r="B7615">
            <v>118600</v>
          </cell>
          <cell r="C7615" t="str">
            <v>Cranbrook Church of England Primary School</v>
          </cell>
          <cell r="D7615" t="str">
            <v>Kent</v>
          </cell>
          <cell r="E7615" t="str">
            <v>Voluntary Controlled School</v>
          </cell>
          <cell r="F7615" t="str">
            <v>Primary</v>
          </cell>
        </row>
        <row r="7616">
          <cell r="A7616">
            <v>3173528</v>
          </cell>
          <cell r="B7616">
            <v>131625</v>
          </cell>
          <cell r="C7616" t="str">
            <v>Cranbrook Primary School</v>
          </cell>
          <cell r="D7616" t="str">
            <v>Redbridge</v>
          </cell>
          <cell r="E7616" t="str">
            <v>Community School</v>
          </cell>
          <cell r="F7616" t="str">
            <v>Primary</v>
          </cell>
        </row>
        <row r="7617">
          <cell r="A7617">
            <v>8865416</v>
          </cell>
          <cell r="B7617">
            <v>118888</v>
          </cell>
          <cell r="C7617" t="str">
            <v>Cranbrook School</v>
          </cell>
          <cell r="D7617" t="str">
            <v>Kent</v>
          </cell>
          <cell r="E7617" t="str">
            <v>Voluntary Aided School</v>
          </cell>
          <cell r="F7617" t="str">
            <v>Secondary</v>
          </cell>
        </row>
        <row r="7618">
          <cell r="A7618">
            <v>8865416</v>
          </cell>
          <cell r="B7618">
            <v>137739</v>
          </cell>
          <cell r="C7618" t="str">
            <v>Cranbrook School</v>
          </cell>
          <cell r="D7618" t="str">
            <v>Kent</v>
          </cell>
          <cell r="E7618" t="str">
            <v>Academy Converters</v>
          </cell>
          <cell r="F7618" t="str">
            <v>Secondary</v>
          </cell>
        </row>
        <row r="7619">
          <cell r="A7619">
            <v>8701112</v>
          </cell>
          <cell r="B7619">
            <v>134984</v>
          </cell>
          <cell r="C7619" t="str">
            <v>Cranbury College</v>
          </cell>
          <cell r="D7619" t="str">
            <v>Reading</v>
          </cell>
          <cell r="E7619" t="str">
            <v>Pupil Referral Unit</v>
          </cell>
          <cell r="F7619" t="str">
            <v>PRU</v>
          </cell>
        </row>
        <row r="7620">
          <cell r="A7620">
            <v>3132011</v>
          </cell>
          <cell r="B7620">
            <v>102476</v>
          </cell>
          <cell r="C7620" t="str">
            <v>Crane Infant and Nursery School</v>
          </cell>
          <cell r="D7620" t="str">
            <v>Hounslow</v>
          </cell>
          <cell r="E7620" t="str">
            <v>Community School</v>
          </cell>
          <cell r="F7620" t="str">
            <v>Primary</v>
          </cell>
        </row>
        <row r="7621">
          <cell r="A7621">
            <v>3132010</v>
          </cell>
          <cell r="B7621">
            <v>102475</v>
          </cell>
          <cell r="C7621" t="str">
            <v>Crane Junior School</v>
          </cell>
          <cell r="D7621" t="str">
            <v>Hounslow</v>
          </cell>
          <cell r="E7621" t="str">
            <v>Community School</v>
          </cell>
          <cell r="F7621" t="str">
            <v>Primary</v>
          </cell>
        </row>
        <row r="7622">
          <cell r="A7622">
            <v>3132078</v>
          </cell>
          <cell r="B7622">
            <v>132263</v>
          </cell>
          <cell r="C7622" t="str">
            <v>Crane Park Primary School</v>
          </cell>
          <cell r="D7622" t="str">
            <v>Hounslow</v>
          </cell>
          <cell r="E7622" t="str">
            <v>Community School</v>
          </cell>
          <cell r="F7622" t="str">
            <v>Primary</v>
          </cell>
        </row>
        <row r="7623">
          <cell r="A7623">
            <v>8512716</v>
          </cell>
          <cell r="B7623">
            <v>116223</v>
          </cell>
          <cell r="C7623" t="str">
            <v>Craneswater Junior School</v>
          </cell>
          <cell r="D7623" t="str">
            <v>Portsmouth</v>
          </cell>
          <cell r="E7623" t="str">
            <v>Community School</v>
          </cell>
          <cell r="F7623" t="str">
            <v>Primary</v>
          </cell>
        </row>
        <row r="7624">
          <cell r="A7624">
            <v>823</v>
          </cell>
          <cell r="B7624">
            <v>133848</v>
          </cell>
          <cell r="C7624" t="str">
            <v>Cranfield University</v>
          </cell>
          <cell r="D7624" t="str">
            <v>Central Bedfordshire</v>
          </cell>
          <cell r="E7624" t="str">
            <v>Higher Education Institutions</v>
          </cell>
          <cell r="F7624" t="str">
            <v>Not applicable</v>
          </cell>
        </row>
        <row r="7625">
          <cell r="A7625">
            <v>8233005</v>
          </cell>
          <cell r="B7625">
            <v>109598</v>
          </cell>
          <cell r="C7625" t="str">
            <v>Cranfield VC Lower School</v>
          </cell>
          <cell r="D7625" t="str">
            <v>Central Bedfordshire</v>
          </cell>
          <cell r="E7625" t="str">
            <v>Voluntary Controlled School</v>
          </cell>
          <cell r="F7625" t="str">
            <v>Primary</v>
          </cell>
        </row>
        <row r="7626">
          <cell r="A7626">
            <v>9283018</v>
          </cell>
          <cell r="B7626">
            <v>121966</v>
          </cell>
          <cell r="C7626" t="str">
            <v>Cranford Church of England Primary School</v>
          </cell>
          <cell r="D7626" t="str">
            <v>Northamptonshire</v>
          </cell>
          <cell r="E7626" t="str">
            <v>Voluntary Controlled School</v>
          </cell>
          <cell r="F7626" t="str">
            <v>Primary</v>
          </cell>
        </row>
        <row r="7627">
          <cell r="A7627">
            <v>3134029</v>
          </cell>
          <cell r="B7627">
            <v>102540</v>
          </cell>
          <cell r="C7627" t="str">
            <v>Cranford Community College</v>
          </cell>
          <cell r="D7627" t="str">
            <v>Hounslow</v>
          </cell>
          <cell r="E7627" t="str">
            <v>Foundation School</v>
          </cell>
          <cell r="F7627" t="str">
            <v>Secondary</v>
          </cell>
        </row>
        <row r="7628">
          <cell r="A7628">
            <v>3134029</v>
          </cell>
          <cell r="B7628">
            <v>136522</v>
          </cell>
          <cell r="C7628" t="str">
            <v>Cranford Community College</v>
          </cell>
          <cell r="D7628" t="str">
            <v>Hounslow</v>
          </cell>
          <cell r="E7628" t="str">
            <v>Academy Converters</v>
          </cell>
          <cell r="F7628" t="str">
            <v>Secondary</v>
          </cell>
        </row>
        <row r="7629">
          <cell r="A7629">
            <v>9316083</v>
          </cell>
          <cell r="B7629">
            <v>123303</v>
          </cell>
          <cell r="C7629" t="str">
            <v>Cranford House School Trust Limited</v>
          </cell>
          <cell r="D7629" t="str">
            <v>Oxfordshire</v>
          </cell>
          <cell r="E7629" t="str">
            <v>Other Independent School</v>
          </cell>
          <cell r="F7629" t="str">
            <v>Not applicable</v>
          </cell>
        </row>
        <row r="7630">
          <cell r="A7630">
            <v>3132013</v>
          </cell>
          <cell r="B7630">
            <v>102478</v>
          </cell>
          <cell r="C7630" t="str">
            <v>Cranford Infant and Nursery School</v>
          </cell>
          <cell r="D7630" t="str">
            <v>Hounslow</v>
          </cell>
          <cell r="E7630" t="str">
            <v>Community School</v>
          </cell>
          <cell r="F7630" t="str">
            <v>Primary</v>
          </cell>
        </row>
        <row r="7631">
          <cell r="A7631">
            <v>3132012</v>
          </cell>
          <cell r="B7631">
            <v>102477</v>
          </cell>
          <cell r="C7631" t="str">
            <v>Cranford Junior School</v>
          </cell>
          <cell r="D7631" t="str">
            <v>Hounslow</v>
          </cell>
          <cell r="E7631" t="str">
            <v>Community School</v>
          </cell>
          <cell r="F7631" t="str">
            <v>Primary</v>
          </cell>
        </row>
        <row r="7632">
          <cell r="A7632">
            <v>3122015</v>
          </cell>
          <cell r="B7632">
            <v>126933</v>
          </cell>
          <cell r="C7632" t="str">
            <v>Cranford Park Infant School</v>
          </cell>
          <cell r="D7632" t="str">
            <v>Hillingdon</v>
          </cell>
          <cell r="E7632" t="str">
            <v>Community School</v>
          </cell>
          <cell r="F7632" t="str">
            <v>Primary</v>
          </cell>
        </row>
        <row r="7633">
          <cell r="A7633">
            <v>3122014</v>
          </cell>
          <cell r="B7633">
            <v>126932</v>
          </cell>
          <cell r="C7633" t="str">
            <v>Cranford Park Junior School</v>
          </cell>
          <cell r="D7633" t="str">
            <v>Hillingdon</v>
          </cell>
          <cell r="E7633" t="str">
            <v>Community School</v>
          </cell>
          <cell r="F7633" t="str">
            <v>Primary</v>
          </cell>
        </row>
        <row r="7634">
          <cell r="A7634">
            <v>8503671</v>
          </cell>
          <cell r="B7634">
            <v>135885</v>
          </cell>
          <cell r="C7634" t="str">
            <v>Cranford Park Primary</v>
          </cell>
          <cell r="D7634" t="str">
            <v>Hampshire</v>
          </cell>
          <cell r="E7634" t="str">
            <v>Voluntary Controlled School</v>
          </cell>
          <cell r="F7634" t="str">
            <v>Primary</v>
          </cell>
        </row>
        <row r="7635">
          <cell r="A7635">
            <v>3122078</v>
          </cell>
          <cell r="B7635">
            <v>102415</v>
          </cell>
          <cell r="C7635" t="str">
            <v>Cranford Park Primary School</v>
          </cell>
          <cell r="D7635" t="str">
            <v>Hillingdon</v>
          </cell>
          <cell r="E7635" t="str">
            <v>Community School</v>
          </cell>
          <cell r="F7635" t="str">
            <v>Primary</v>
          </cell>
        </row>
        <row r="7636">
          <cell r="A7636">
            <v>3132004</v>
          </cell>
          <cell r="B7636">
            <v>136809</v>
          </cell>
          <cell r="C7636" t="str">
            <v>Cranford Primary</v>
          </cell>
          <cell r="D7636" t="str">
            <v>Hounslow</v>
          </cell>
          <cell r="E7636" t="str">
            <v>Community School</v>
          </cell>
          <cell r="F7636" t="str">
            <v>Primary</v>
          </cell>
        </row>
        <row r="7637">
          <cell r="A7637">
            <v>9163322</v>
          </cell>
          <cell r="B7637">
            <v>115682</v>
          </cell>
          <cell r="C7637" t="str">
            <v>Cranham Church of England Primary School</v>
          </cell>
          <cell r="D7637" t="str">
            <v>Gloucestershire</v>
          </cell>
          <cell r="E7637" t="str">
            <v>Voluntary Aided School</v>
          </cell>
          <cell r="F7637" t="str">
            <v>Primary</v>
          </cell>
        </row>
        <row r="7638">
          <cell r="A7638">
            <v>8852162</v>
          </cell>
          <cell r="B7638">
            <v>116750</v>
          </cell>
          <cell r="C7638" t="str">
            <v>Cranham Primary School</v>
          </cell>
          <cell r="D7638" t="str">
            <v>Worcestershire</v>
          </cell>
          <cell r="E7638" t="str">
            <v>Community School</v>
          </cell>
          <cell r="F7638" t="str">
            <v>Primary</v>
          </cell>
        </row>
        <row r="7639">
          <cell r="A7639">
            <v>3423105</v>
          </cell>
          <cell r="B7639">
            <v>127344</v>
          </cell>
          <cell r="C7639" t="str">
            <v>Crank Hill CofE Primary School</v>
          </cell>
          <cell r="D7639" t="str">
            <v>St. Helens</v>
          </cell>
          <cell r="E7639" t="str">
            <v>Voluntary Controlled School</v>
          </cell>
          <cell r="F7639" t="str">
            <v>Primary</v>
          </cell>
        </row>
        <row r="7640">
          <cell r="A7640">
            <v>9363944</v>
          </cell>
          <cell r="B7640">
            <v>135566</v>
          </cell>
          <cell r="C7640" t="str">
            <v>Cranleigh Church of England Primary School</v>
          </cell>
          <cell r="D7640" t="str">
            <v>Surrey</v>
          </cell>
          <cell r="E7640" t="str">
            <v>Voluntary Controlled School</v>
          </cell>
          <cell r="F7640" t="str">
            <v>Primary</v>
          </cell>
        </row>
        <row r="7641">
          <cell r="A7641">
            <v>8032234</v>
          </cell>
          <cell r="B7641">
            <v>109059</v>
          </cell>
          <cell r="C7641" t="str">
            <v>Cranleigh Court Infants' School</v>
          </cell>
          <cell r="D7641" t="str">
            <v>South Gloucestershire</v>
          </cell>
          <cell r="E7641" t="str">
            <v>Community School</v>
          </cell>
          <cell r="F7641" t="str">
            <v>Primary</v>
          </cell>
        </row>
        <row r="7642">
          <cell r="A7642">
            <v>9362071</v>
          </cell>
          <cell r="B7642">
            <v>124948</v>
          </cell>
          <cell r="C7642" t="str">
            <v>Cranleigh Infant School</v>
          </cell>
          <cell r="D7642" t="str">
            <v>Surrey</v>
          </cell>
          <cell r="E7642" t="str">
            <v>Community School</v>
          </cell>
          <cell r="F7642" t="str">
            <v>Primary</v>
          </cell>
        </row>
        <row r="7643">
          <cell r="A7643">
            <v>9366017</v>
          </cell>
          <cell r="B7643">
            <v>125323</v>
          </cell>
          <cell r="C7643" t="str">
            <v>Cranleigh School</v>
          </cell>
          <cell r="D7643" t="str">
            <v>Surrey</v>
          </cell>
          <cell r="E7643" t="str">
            <v>Other Independent School</v>
          </cell>
          <cell r="F7643" t="str">
            <v>Not applicable</v>
          </cell>
        </row>
        <row r="7644">
          <cell r="A7644">
            <v>3154036</v>
          </cell>
          <cell r="B7644">
            <v>126958</v>
          </cell>
          <cell r="C7644" t="str">
            <v>Cranmer County Middle School</v>
          </cell>
          <cell r="D7644" t="str">
            <v>Merton</v>
          </cell>
          <cell r="E7644" t="str">
            <v>Community School</v>
          </cell>
          <cell r="F7644" t="str">
            <v>Middle Deemed Secondary</v>
          </cell>
        </row>
        <row r="7645">
          <cell r="A7645">
            <v>3152082</v>
          </cell>
          <cell r="B7645">
            <v>102653</v>
          </cell>
          <cell r="C7645" t="str">
            <v>Cranmer Primary School</v>
          </cell>
          <cell r="D7645" t="str">
            <v>Merton</v>
          </cell>
          <cell r="E7645" t="str">
            <v>Community School</v>
          </cell>
          <cell r="F7645" t="str">
            <v>Primary</v>
          </cell>
        </row>
        <row r="7646">
          <cell r="A7646">
            <v>9362960</v>
          </cell>
          <cell r="B7646">
            <v>131125</v>
          </cell>
          <cell r="C7646" t="str">
            <v>Cranmere Primary School</v>
          </cell>
          <cell r="D7646" t="str">
            <v>Surrey</v>
          </cell>
          <cell r="E7646" t="str">
            <v>Community School</v>
          </cell>
          <cell r="F7646" t="str">
            <v>Primary</v>
          </cell>
        </row>
        <row r="7647">
          <cell r="A7647">
            <v>3342005</v>
          </cell>
          <cell r="B7647">
            <v>104042</v>
          </cell>
          <cell r="C7647" t="str">
            <v>Cranmore Infant School</v>
          </cell>
          <cell r="D7647" t="str">
            <v>Solihull</v>
          </cell>
          <cell r="E7647" t="str">
            <v>Community School</v>
          </cell>
          <cell r="F7647" t="str">
            <v>Primary</v>
          </cell>
        </row>
        <row r="7648">
          <cell r="A7648">
            <v>9366519</v>
          </cell>
          <cell r="B7648">
            <v>125416</v>
          </cell>
          <cell r="C7648" t="str">
            <v>Cranmore Preparatory School</v>
          </cell>
          <cell r="D7648" t="str">
            <v>Surrey</v>
          </cell>
          <cell r="E7648" t="str">
            <v>Other Independent School</v>
          </cell>
          <cell r="F7648" t="str">
            <v>Not applicable</v>
          </cell>
        </row>
        <row r="7649">
          <cell r="A7649">
            <v>8966017</v>
          </cell>
          <cell r="B7649">
            <v>111483</v>
          </cell>
          <cell r="C7649" t="str">
            <v>Cransley School</v>
          </cell>
          <cell r="D7649" t="str">
            <v>Cheshire West and Chester</v>
          </cell>
          <cell r="E7649" t="str">
            <v>Other Independent School</v>
          </cell>
          <cell r="F7649" t="str">
            <v>Not applicable</v>
          </cell>
        </row>
        <row r="7650">
          <cell r="A7650">
            <v>9255207</v>
          </cell>
          <cell r="B7650">
            <v>120674</v>
          </cell>
          <cell r="C7650" t="str">
            <v>Cranwell Primary School (Foundation)</v>
          </cell>
          <cell r="D7650" t="str">
            <v>Lincolnshire</v>
          </cell>
          <cell r="E7650" t="str">
            <v>Foundation School</v>
          </cell>
          <cell r="F7650" t="str">
            <v>Primary</v>
          </cell>
        </row>
        <row r="7651">
          <cell r="A7651">
            <v>8158005</v>
          </cell>
          <cell r="B7651">
            <v>130591</v>
          </cell>
          <cell r="C7651" t="str">
            <v>Craven College</v>
          </cell>
          <cell r="D7651" t="str">
            <v>North Yorkshire</v>
          </cell>
          <cell r="E7651" t="str">
            <v>Further Education</v>
          </cell>
          <cell r="F7651" t="str">
            <v>16 Plus</v>
          </cell>
        </row>
        <row r="7652">
          <cell r="A7652">
            <v>8557001</v>
          </cell>
          <cell r="B7652">
            <v>120347</v>
          </cell>
          <cell r="C7652" t="str">
            <v>Craven Lodge School</v>
          </cell>
          <cell r="D7652" t="str">
            <v>Leicestershire</v>
          </cell>
          <cell r="E7652" t="str">
            <v>Community Special School</v>
          </cell>
          <cell r="F7652" t="str">
            <v>Special</v>
          </cell>
        </row>
        <row r="7653">
          <cell r="A7653">
            <v>2042140</v>
          </cell>
          <cell r="B7653">
            <v>100222</v>
          </cell>
          <cell r="C7653" t="str">
            <v>Craven Park School</v>
          </cell>
          <cell r="D7653" t="str">
            <v>Hackney</v>
          </cell>
          <cell r="E7653" t="str">
            <v>Community School</v>
          </cell>
          <cell r="F7653" t="str">
            <v>Primary</v>
          </cell>
        </row>
        <row r="7654">
          <cell r="A7654">
            <v>8102097</v>
          </cell>
          <cell r="B7654">
            <v>117724</v>
          </cell>
          <cell r="C7654" t="str">
            <v>Craven Primary School</v>
          </cell>
          <cell r="D7654" t="str">
            <v>Kingston upon Hull City of</v>
          </cell>
          <cell r="E7654" t="str">
            <v>Community School</v>
          </cell>
          <cell r="F7654" t="str">
            <v>Primary</v>
          </cell>
        </row>
        <row r="7655">
          <cell r="A7655">
            <v>3522069</v>
          </cell>
          <cell r="B7655">
            <v>105409</v>
          </cell>
          <cell r="C7655" t="str">
            <v>Cravenwood Community Primary School</v>
          </cell>
          <cell r="D7655" t="str">
            <v>Manchester</v>
          </cell>
          <cell r="E7655" t="str">
            <v>Community School</v>
          </cell>
          <cell r="F7655" t="str">
            <v>Primary</v>
          </cell>
        </row>
        <row r="7656">
          <cell r="A7656">
            <v>2102142</v>
          </cell>
          <cell r="B7656">
            <v>100785</v>
          </cell>
          <cell r="C7656" t="str">
            <v>Crawford Primary School</v>
          </cell>
          <cell r="D7656" t="str">
            <v>Southwark</v>
          </cell>
          <cell r="E7656" t="str">
            <v>Community School</v>
          </cell>
          <cell r="F7656" t="str">
            <v>Primary</v>
          </cell>
        </row>
        <row r="7657">
          <cell r="A7657">
            <v>2136387</v>
          </cell>
          <cell r="B7657">
            <v>132017</v>
          </cell>
          <cell r="C7657" t="str">
            <v>Crawford Upper School</v>
          </cell>
          <cell r="D7657" t="str">
            <v>Westminster</v>
          </cell>
          <cell r="E7657" t="str">
            <v>Other Independent School</v>
          </cell>
          <cell r="F7657" t="str">
            <v>Not applicable</v>
          </cell>
        </row>
        <row r="7658">
          <cell r="A7658">
            <v>2136388</v>
          </cell>
          <cell r="B7658">
            <v>132024</v>
          </cell>
          <cell r="C7658" t="str">
            <v>Crawford Upper School</v>
          </cell>
          <cell r="D7658" t="str">
            <v>Westminster</v>
          </cell>
          <cell r="E7658" t="str">
            <v>Other Independent School</v>
          </cell>
          <cell r="F7658" t="str">
            <v>Not applicable</v>
          </cell>
        </row>
        <row r="7659">
          <cell r="A7659">
            <v>8882183</v>
          </cell>
          <cell r="B7659">
            <v>119224</v>
          </cell>
          <cell r="C7659" t="str">
            <v>Crawford Village Primary School</v>
          </cell>
          <cell r="D7659" t="str">
            <v>Lancashire</v>
          </cell>
          <cell r="E7659" t="str">
            <v>Community School</v>
          </cell>
          <cell r="F7659" t="str">
            <v>Primary</v>
          </cell>
        </row>
        <row r="7660">
          <cell r="A7660">
            <v>9353091</v>
          </cell>
          <cell r="B7660">
            <v>124733</v>
          </cell>
          <cell r="C7660" t="str">
            <v>Crawford's Church of England Voluntary Controlled Primary School</v>
          </cell>
          <cell r="D7660" t="str">
            <v>Suffolk</v>
          </cell>
          <cell r="E7660" t="str">
            <v>Voluntary Controlled School</v>
          </cell>
          <cell r="F7660" t="str">
            <v>Primary</v>
          </cell>
        </row>
        <row r="7661">
          <cell r="A7661">
            <v>9292072</v>
          </cell>
          <cell r="B7661">
            <v>129705</v>
          </cell>
          <cell r="C7661" t="str">
            <v>Crawhall County First School</v>
          </cell>
          <cell r="D7661" t="str">
            <v>Northumberland</v>
          </cell>
          <cell r="E7661" t="str">
            <v>Community School</v>
          </cell>
          <cell r="F7661" t="str">
            <v>Primary</v>
          </cell>
        </row>
        <row r="7662">
          <cell r="A7662">
            <v>9388001</v>
          </cell>
          <cell r="B7662">
            <v>130841</v>
          </cell>
          <cell r="C7662" t="str">
            <v>Crawley College</v>
          </cell>
          <cell r="D7662" t="str">
            <v>West Sussex</v>
          </cell>
          <cell r="E7662" t="str">
            <v>Further Education</v>
          </cell>
          <cell r="F7662" t="str">
            <v>16 Plus</v>
          </cell>
        </row>
        <row r="7663">
          <cell r="A7663">
            <v>9383053</v>
          </cell>
          <cell r="B7663">
            <v>126008</v>
          </cell>
          <cell r="C7663" t="str">
            <v>Crawley Down CofE Junior School</v>
          </cell>
          <cell r="D7663" t="str">
            <v>West Sussex</v>
          </cell>
          <cell r="E7663" t="str">
            <v>Voluntary Controlled School</v>
          </cell>
          <cell r="F7663" t="str">
            <v>Primary</v>
          </cell>
        </row>
        <row r="7664">
          <cell r="A7664">
            <v>9383366</v>
          </cell>
          <cell r="B7664">
            <v>131001</v>
          </cell>
          <cell r="C7664" t="str">
            <v>Crawley Down Village CofE</v>
          </cell>
          <cell r="D7664" t="str">
            <v>West Sussex</v>
          </cell>
          <cell r="E7664" t="str">
            <v>Voluntary Controlled School</v>
          </cell>
          <cell r="F7664" t="str">
            <v>Primary</v>
          </cell>
        </row>
        <row r="7665">
          <cell r="A7665">
            <v>8215201</v>
          </cell>
          <cell r="B7665">
            <v>109702</v>
          </cell>
          <cell r="C7665" t="str">
            <v>Crawley Green Infant School</v>
          </cell>
          <cell r="D7665" t="str">
            <v>Luton</v>
          </cell>
          <cell r="E7665" t="str">
            <v>Foundation School</v>
          </cell>
          <cell r="F7665" t="str">
            <v>Primary</v>
          </cell>
        </row>
        <row r="7666">
          <cell r="A7666">
            <v>9362419</v>
          </cell>
          <cell r="B7666">
            <v>125053</v>
          </cell>
          <cell r="C7666" t="str">
            <v>Crawley Ridge Infant School</v>
          </cell>
          <cell r="D7666" t="str">
            <v>Surrey</v>
          </cell>
          <cell r="E7666" t="str">
            <v>Community School</v>
          </cell>
          <cell r="F7666" t="str">
            <v>Primary</v>
          </cell>
        </row>
        <row r="7667">
          <cell r="A7667">
            <v>9362476</v>
          </cell>
          <cell r="B7667">
            <v>125076</v>
          </cell>
          <cell r="C7667" t="str">
            <v>Crawley Ridge Junior School</v>
          </cell>
          <cell r="D7667" t="str">
            <v>Surrey</v>
          </cell>
          <cell r="E7667" t="str">
            <v>Community School</v>
          </cell>
          <cell r="F7667" t="str">
            <v>Primary</v>
          </cell>
        </row>
        <row r="7668">
          <cell r="A7668">
            <v>3834107</v>
          </cell>
          <cell r="B7668">
            <v>108084</v>
          </cell>
          <cell r="C7668" t="str">
            <v>Crawshaw School</v>
          </cell>
          <cell r="D7668" t="str">
            <v>Leeds</v>
          </cell>
          <cell r="E7668" t="str">
            <v>Community School</v>
          </cell>
          <cell r="F7668" t="str">
            <v>Secondary</v>
          </cell>
        </row>
        <row r="7669">
          <cell r="A7669">
            <v>8882595</v>
          </cell>
          <cell r="B7669">
            <v>119313</v>
          </cell>
          <cell r="C7669" t="str">
            <v>Crawshawbooth Primary School</v>
          </cell>
          <cell r="D7669" t="str">
            <v>Lancashire</v>
          </cell>
          <cell r="E7669" t="str">
            <v>Community School</v>
          </cell>
          <cell r="F7669" t="str">
            <v>Primary</v>
          </cell>
        </row>
        <row r="7670">
          <cell r="A7670">
            <v>8153021</v>
          </cell>
          <cell r="B7670">
            <v>121484</v>
          </cell>
          <cell r="C7670" t="str">
            <v>Crayke Church of England Voluntary Controlled Primary School</v>
          </cell>
          <cell r="D7670" t="str">
            <v>North Yorkshire</v>
          </cell>
          <cell r="E7670" t="str">
            <v>Voluntary Controlled School</v>
          </cell>
          <cell r="F7670" t="str">
            <v>Primary</v>
          </cell>
        </row>
        <row r="7671">
          <cell r="A7671">
            <v>8812251</v>
          </cell>
          <cell r="B7671">
            <v>114810</v>
          </cell>
          <cell r="C7671" t="str">
            <v>Crays Hill Primary School</v>
          </cell>
          <cell r="D7671" t="str">
            <v>Essex</v>
          </cell>
          <cell r="E7671" t="str">
            <v>Community School</v>
          </cell>
          <cell r="F7671" t="str">
            <v>Primary</v>
          </cell>
        </row>
        <row r="7672">
          <cell r="A7672">
            <v>8723048</v>
          </cell>
          <cell r="B7672">
            <v>109983</v>
          </cell>
          <cell r="C7672" t="str">
            <v>Crazies Hill CofE Primary School</v>
          </cell>
          <cell r="D7672" t="str">
            <v>Wokingham</v>
          </cell>
          <cell r="E7672" t="str">
            <v>Voluntary Controlled School</v>
          </cell>
          <cell r="F7672" t="str">
            <v>Primary</v>
          </cell>
        </row>
        <row r="7673">
          <cell r="A7673">
            <v>8786016</v>
          </cell>
          <cell r="B7673">
            <v>113581</v>
          </cell>
          <cell r="C7673" t="str">
            <v>Crediton Preparatory School</v>
          </cell>
          <cell r="D7673" t="str">
            <v>Devon</v>
          </cell>
          <cell r="E7673" t="str">
            <v>Other Independent School</v>
          </cell>
          <cell r="F7673" t="str">
            <v>Not applicable</v>
          </cell>
        </row>
        <row r="7674">
          <cell r="A7674">
            <v>9333178</v>
          </cell>
          <cell r="B7674">
            <v>123793</v>
          </cell>
          <cell r="C7674" t="str">
            <v>Creech St Michael Church of England Primary School</v>
          </cell>
          <cell r="D7674" t="str">
            <v>Somerset</v>
          </cell>
          <cell r="E7674" t="str">
            <v>Voluntary Controlled School</v>
          </cell>
          <cell r="F7674" t="str">
            <v>Primary</v>
          </cell>
        </row>
        <row r="7675">
          <cell r="A7675">
            <v>9356034</v>
          </cell>
          <cell r="B7675">
            <v>129997</v>
          </cell>
          <cell r="C7675" t="str">
            <v>Creeting Preparatory School</v>
          </cell>
          <cell r="D7675" t="str">
            <v>Suffolk</v>
          </cell>
          <cell r="E7675" t="str">
            <v>Other Independent School</v>
          </cell>
          <cell r="F7675" t="str">
            <v>Not applicable</v>
          </cell>
        </row>
        <row r="7676">
          <cell r="A7676">
            <v>9353322</v>
          </cell>
          <cell r="B7676">
            <v>124770</v>
          </cell>
          <cell r="C7676" t="str">
            <v>Creeting St Mary Church of England Voluntary Aided Primary School</v>
          </cell>
          <cell r="D7676" t="str">
            <v>Suffolk</v>
          </cell>
          <cell r="E7676" t="str">
            <v>Voluntary Aided School</v>
          </cell>
          <cell r="F7676" t="str">
            <v>Primary</v>
          </cell>
        </row>
        <row r="7677">
          <cell r="A7677">
            <v>6812305</v>
          </cell>
          <cell r="B7677">
            <v>401635</v>
          </cell>
          <cell r="C7677" t="str">
            <v>Creigiau Primary School</v>
          </cell>
          <cell r="D7677" t="str">
            <v>Cardiff</v>
          </cell>
          <cell r="E7677" t="str">
            <v>Welsh Establishment</v>
          </cell>
          <cell r="F7677" t="str">
            <v>Primary</v>
          </cell>
        </row>
        <row r="7678">
          <cell r="A7678">
            <v>3526058</v>
          </cell>
          <cell r="B7678">
            <v>134590</v>
          </cell>
          <cell r="C7678" t="str">
            <v>Crescent Community High School for Girls</v>
          </cell>
          <cell r="D7678" t="str">
            <v>Manchester</v>
          </cell>
          <cell r="E7678" t="str">
            <v>Other Independent School</v>
          </cell>
          <cell r="F7678" t="str">
            <v>Not applicable</v>
          </cell>
        </row>
        <row r="7679">
          <cell r="A7679">
            <v>8562220</v>
          </cell>
          <cell r="B7679">
            <v>120004</v>
          </cell>
          <cell r="C7679" t="str">
            <v>Crescent Junior School</v>
          </cell>
          <cell r="D7679" t="str">
            <v>Leicester</v>
          </cell>
          <cell r="E7679" t="str">
            <v>Community School</v>
          </cell>
          <cell r="F7679" t="str">
            <v>Primary</v>
          </cell>
        </row>
        <row r="7680">
          <cell r="A7680">
            <v>8612086</v>
          </cell>
          <cell r="B7680">
            <v>124013</v>
          </cell>
          <cell r="C7680" t="str">
            <v>Crescent Primary School</v>
          </cell>
          <cell r="D7680" t="str">
            <v>Stoke-on-Trent</v>
          </cell>
          <cell r="E7680" t="str">
            <v>Community School</v>
          </cell>
          <cell r="F7680" t="str">
            <v>Primary</v>
          </cell>
        </row>
        <row r="7681">
          <cell r="A7681">
            <v>8912948</v>
          </cell>
          <cell r="B7681">
            <v>132243</v>
          </cell>
          <cell r="C7681" t="str">
            <v>Crescent Primary School</v>
          </cell>
          <cell r="D7681" t="str">
            <v>Nottinghamshire</v>
          </cell>
          <cell r="E7681" t="str">
            <v>Community School</v>
          </cell>
          <cell r="F7681" t="str">
            <v>Primary</v>
          </cell>
        </row>
        <row r="7682">
          <cell r="A7682">
            <v>9376041</v>
          </cell>
          <cell r="B7682">
            <v>125784</v>
          </cell>
          <cell r="C7682" t="str">
            <v>Crescent School</v>
          </cell>
          <cell r="D7682" t="str">
            <v>Warwickshire</v>
          </cell>
          <cell r="E7682" t="str">
            <v>Other Independent School</v>
          </cell>
          <cell r="F7682" t="str">
            <v>Not applicable</v>
          </cell>
        </row>
        <row r="7683">
          <cell r="A7683">
            <v>9316061</v>
          </cell>
          <cell r="B7683">
            <v>129778</v>
          </cell>
          <cell r="C7683" t="str">
            <v>Crescent School</v>
          </cell>
          <cell r="D7683" t="str">
            <v>Oxfordshire</v>
          </cell>
          <cell r="E7683" t="str">
            <v>Other Independent School</v>
          </cell>
          <cell r="F7683" t="str">
            <v>Not applicable</v>
          </cell>
        </row>
        <row r="7684">
          <cell r="A7684">
            <v>8302156</v>
          </cell>
          <cell r="B7684">
            <v>112581</v>
          </cell>
          <cell r="C7684" t="str">
            <v>Cressbrook Primary School</v>
          </cell>
          <cell r="D7684" t="str">
            <v>Derbyshire</v>
          </cell>
          <cell r="E7684" t="str">
            <v>Community School</v>
          </cell>
          <cell r="F7684" t="str">
            <v>Primary</v>
          </cell>
        </row>
        <row r="7685">
          <cell r="A7685">
            <v>8254072</v>
          </cell>
          <cell r="B7685">
            <v>110500</v>
          </cell>
          <cell r="C7685" t="str">
            <v>Cressex Community School</v>
          </cell>
          <cell r="D7685" t="str">
            <v>Buckinghamshire</v>
          </cell>
          <cell r="E7685" t="str">
            <v>Foundation School</v>
          </cell>
          <cell r="F7685" t="str">
            <v>Secondary</v>
          </cell>
        </row>
        <row r="7686">
          <cell r="A7686">
            <v>3066104</v>
          </cell>
          <cell r="B7686">
            <v>133438</v>
          </cell>
          <cell r="C7686" t="str">
            <v>Cressey College</v>
          </cell>
          <cell r="D7686" t="str">
            <v>Croydon</v>
          </cell>
          <cell r="E7686" t="str">
            <v>Other Independent Special School</v>
          </cell>
          <cell r="F7686" t="str">
            <v>Not applicable</v>
          </cell>
        </row>
        <row r="7687">
          <cell r="A7687">
            <v>8812370</v>
          </cell>
          <cell r="B7687">
            <v>114832</v>
          </cell>
          <cell r="C7687" t="str">
            <v>Cressing Primary School</v>
          </cell>
          <cell r="D7687" t="str">
            <v>Essex</v>
          </cell>
          <cell r="E7687" t="str">
            <v>Community School</v>
          </cell>
          <cell r="F7687" t="str">
            <v>Primary</v>
          </cell>
        </row>
        <row r="7688">
          <cell r="A7688">
            <v>8504191</v>
          </cell>
          <cell r="B7688">
            <v>116445</v>
          </cell>
          <cell r="C7688" t="str">
            <v>Crestwood College for Business and Enterprise</v>
          </cell>
          <cell r="D7688" t="str">
            <v>Hampshire</v>
          </cell>
          <cell r="E7688" t="str">
            <v>Community School</v>
          </cell>
          <cell r="F7688" t="str">
            <v>Secondary</v>
          </cell>
        </row>
        <row r="7689">
          <cell r="A7689">
            <v>3322072</v>
          </cell>
          <cell r="B7689">
            <v>103790</v>
          </cell>
          <cell r="C7689" t="str">
            <v>Crestwood Park Primary School</v>
          </cell>
          <cell r="D7689" t="str">
            <v>Dudley</v>
          </cell>
          <cell r="E7689" t="str">
            <v>Community School</v>
          </cell>
          <cell r="F7689" t="str">
            <v>Primary</v>
          </cell>
        </row>
        <row r="7690">
          <cell r="A7690">
            <v>8303032</v>
          </cell>
          <cell r="B7690">
            <v>112814</v>
          </cell>
          <cell r="C7690" t="str">
            <v>Creswell CofE Controlled Infant and Nursery</v>
          </cell>
          <cell r="D7690" t="str">
            <v>Derbyshire</v>
          </cell>
          <cell r="E7690" t="str">
            <v>Voluntary Controlled School</v>
          </cell>
          <cell r="F7690" t="str">
            <v>Primary</v>
          </cell>
        </row>
        <row r="7691">
          <cell r="A7691">
            <v>8302104</v>
          </cell>
          <cell r="B7691">
            <v>112548</v>
          </cell>
          <cell r="C7691" t="str">
            <v>Creswell Junior School</v>
          </cell>
          <cell r="D7691" t="str">
            <v>Derbyshire</v>
          </cell>
          <cell r="E7691" t="str">
            <v>Community School</v>
          </cell>
          <cell r="F7691" t="str">
            <v>Primary</v>
          </cell>
        </row>
        <row r="7692">
          <cell r="A7692">
            <v>9192240</v>
          </cell>
          <cell r="B7692">
            <v>117229</v>
          </cell>
          <cell r="C7692" t="str">
            <v>Creswick Primary and Nursery School</v>
          </cell>
          <cell r="D7692" t="str">
            <v>Hertfordshire</v>
          </cell>
          <cell r="E7692" t="str">
            <v>Community School</v>
          </cell>
          <cell r="F7692" t="str">
            <v>Primary</v>
          </cell>
        </row>
        <row r="7693">
          <cell r="A7693">
            <v>6712129</v>
          </cell>
          <cell r="B7693">
            <v>400966</v>
          </cell>
          <cell r="C7693" t="str">
            <v>Creunant Primary School</v>
          </cell>
          <cell r="D7693" t="str">
            <v>Neath Port Talbot</v>
          </cell>
          <cell r="E7693" t="str">
            <v>Welsh Establishment</v>
          </cell>
          <cell r="F7693" t="str">
            <v>Primary</v>
          </cell>
        </row>
        <row r="7694">
          <cell r="A7694">
            <v>3707003</v>
          </cell>
          <cell r="B7694">
            <v>106661</v>
          </cell>
          <cell r="C7694" t="str">
            <v>Crevesford School</v>
          </cell>
          <cell r="D7694" t="str">
            <v>Barnsley</v>
          </cell>
          <cell r="E7694" t="str">
            <v>Community Special School</v>
          </cell>
          <cell r="F7694" t="str">
            <v>Special</v>
          </cell>
        </row>
        <row r="7695">
          <cell r="A7695">
            <v>8751100</v>
          </cell>
          <cell r="B7695">
            <v>110961</v>
          </cell>
          <cell r="C7695" t="str">
            <v>Crewe Secondary Unit</v>
          </cell>
          <cell r="D7695" t="str">
            <v>Pre LGR (2009) Cheshire</v>
          </cell>
          <cell r="E7695" t="str">
            <v>Pupil Referral Unit</v>
          </cell>
          <cell r="F7695" t="str">
            <v>PRU</v>
          </cell>
        </row>
        <row r="7696">
          <cell r="A7696">
            <v>8303105</v>
          </cell>
          <cell r="B7696">
            <v>112866</v>
          </cell>
          <cell r="C7696" t="str">
            <v>Crich Carr CofE Primary School</v>
          </cell>
          <cell r="D7696" t="str">
            <v>Derbyshire</v>
          </cell>
          <cell r="E7696" t="str">
            <v>Voluntary Controlled School</v>
          </cell>
          <cell r="F7696" t="str">
            <v>Primary</v>
          </cell>
        </row>
        <row r="7697">
          <cell r="A7697">
            <v>8303106</v>
          </cell>
          <cell r="B7697">
            <v>112867</v>
          </cell>
          <cell r="C7697" t="str">
            <v>Crich CofE Infant School</v>
          </cell>
          <cell r="D7697" t="str">
            <v>Derbyshire</v>
          </cell>
          <cell r="E7697" t="str">
            <v>Voluntary Controlled School</v>
          </cell>
          <cell r="F7697" t="str">
            <v>Primary</v>
          </cell>
        </row>
        <row r="7698">
          <cell r="A7698">
            <v>8302082</v>
          </cell>
          <cell r="B7698">
            <v>112534</v>
          </cell>
          <cell r="C7698" t="str">
            <v>Crich Junior School</v>
          </cell>
          <cell r="D7698" t="str">
            <v>Derbyshire</v>
          </cell>
          <cell r="E7698" t="str">
            <v>Community School</v>
          </cell>
          <cell r="F7698" t="str">
            <v>Primary</v>
          </cell>
        </row>
        <row r="7699">
          <cell r="A7699">
            <v>9282024</v>
          </cell>
          <cell r="B7699">
            <v>121812</v>
          </cell>
          <cell r="C7699" t="str">
            <v>Crick Primary School</v>
          </cell>
          <cell r="D7699" t="str">
            <v>Northamptonshire</v>
          </cell>
          <cell r="E7699" t="str">
            <v>Community School</v>
          </cell>
          <cell r="F7699" t="str">
            <v>Primary</v>
          </cell>
        </row>
        <row r="7700">
          <cell r="A7700">
            <v>3157006</v>
          </cell>
          <cell r="B7700">
            <v>102699</v>
          </cell>
          <cell r="C7700" t="str">
            <v>Cricket Green School</v>
          </cell>
          <cell r="D7700" t="str">
            <v>Merton</v>
          </cell>
          <cell r="E7700" t="str">
            <v>Community Special School</v>
          </cell>
          <cell r="F7700" t="str">
            <v>Special</v>
          </cell>
        </row>
        <row r="7701">
          <cell r="A7701">
            <v>6662113</v>
          </cell>
          <cell r="B7701">
            <v>400524</v>
          </cell>
          <cell r="C7701" t="str">
            <v>Crickhowell C.P. School</v>
          </cell>
          <cell r="D7701" t="str">
            <v>Powys</v>
          </cell>
          <cell r="E7701" t="str">
            <v>Welsh Establishment</v>
          </cell>
          <cell r="F7701" t="str">
            <v>Primary</v>
          </cell>
        </row>
        <row r="7702">
          <cell r="A7702">
            <v>6664024</v>
          </cell>
          <cell r="B7702">
            <v>401733</v>
          </cell>
          <cell r="C7702" t="str">
            <v>Crickhowell High School</v>
          </cell>
          <cell r="D7702" t="str">
            <v>Powys</v>
          </cell>
          <cell r="E7702" t="str">
            <v>Welsh Establishment</v>
          </cell>
          <cell r="F7702" t="str">
            <v>Secondary</v>
          </cell>
        </row>
        <row r="7703">
          <cell r="A7703">
            <v>8508007</v>
          </cell>
          <cell r="B7703">
            <v>130694</v>
          </cell>
          <cell r="C7703" t="str">
            <v>Cricklade College</v>
          </cell>
          <cell r="D7703" t="str">
            <v>Hampshire</v>
          </cell>
          <cell r="E7703" t="str">
            <v>Further Education</v>
          </cell>
          <cell r="F7703" t="str">
            <v>16 Plus</v>
          </cell>
        </row>
        <row r="7704">
          <cell r="A7704">
            <v>8933031</v>
          </cell>
          <cell r="B7704">
            <v>123472</v>
          </cell>
          <cell r="C7704" t="str">
            <v>Criftins CofE Primary School</v>
          </cell>
          <cell r="D7704" t="str">
            <v>Shropshire</v>
          </cell>
          <cell r="E7704" t="str">
            <v>Voluntary Controlled School</v>
          </cell>
          <cell r="F7704" t="str">
            <v>Primary</v>
          </cell>
        </row>
        <row r="7705">
          <cell r="A7705">
            <v>3842156</v>
          </cell>
          <cell r="B7705">
            <v>108212</v>
          </cell>
          <cell r="C7705" t="str">
            <v>Crigglestone Dane Royd Junior and Infant School</v>
          </cell>
          <cell r="D7705" t="str">
            <v>Wakefield</v>
          </cell>
          <cell r="E7705" t="str">
            <v>Community School</v>
          </cell>
          <cell r="F7705" t="str">
            <v>Primary</v>
          </cell>
        </row>
        <row r="7706">
          <cell r="A7706">
            <v>3842155</v>
          </cell>
          <cell r="B7706">
            <v>108211</v>
          </cell>
          <cell r="C7706" t="str">
            <v>Crigglestone Mackie Hill Junior and Infant School</v>
          </cell>
          <cell r="D7706" t="str">
            <v>Wakefield</v>
          </cell>
          <cell r="E7706" t="str">
            <v>Community School</v>
          </cell>
          <cell r="F7706" t="str">
            <v>Primary</v>
          </cell>
        </row>
        <row r="7707">
          <cell r="A7707">
            <v>3844025</v>
          </cell>
          <cell r="B7707">
            <v>128087</v>
          </cell>
          <cell r="C7707" t="str">
            <v>Crigglestone Middle School</v>
          </cell>
          <cell r="D7707" t="str">
            <v>Wakefield</v>
          </cell>
          <cell r="E7707" t="str">
            <v>Community School</v>
          </cell>
          <cell r="F7707" t="str">
            <v>Middle Deemed Secondary</v>
          </cell>
        </row>
        <row r="7708">
          <cell r="A7708">
            <v>3841005</v>
          </cell>
          <cell r="B7708">
            <v>108137</v>
          </cell>
          <cell r="C7708" t="str">
            <v>Crigglestone Nursery School and Early Years Centre</v>
          </cell>
          <cell r="D7708" t="str">
            <v>Wakefield</v>
          </cell>
          <cell r="E7708" t="str">
            <v>LA Nursery School</v>
          </cell>
          <cell r="F7708" t="str">
            <v>Nursery</v>
          </cell>
        </row>
        <row r="7709">
          <cell r="A7709">
            <v>3843019</v>
          </cell>
          <cell r="B7709">
            <v>108250</v>
          </cell>
          <cell r="C7709" t="str">
            <v>Crigglestone St James Church of England Voluntary Controlled Junior and Infant School</v>
          </cell>
          <cell r="D7709" t="str">
            <v>Wakefield</v>
          </cell>
          <cell r="E7709" t="str">
            <v>Voluntary Controlled School</v>
          </cell>
          <cell r="F7709" t="str">
            <v>Primary</v>
          </cell>
        </row>
        <row r="7710">
          <cell r="A7710">
            <v>6802004</v>
          </cell>
          <cell r="B7710">
            <v>401504</v>
          </cell>
          <cell r="C7710" t="str">
            <v>Crindau Junior &amp; Infant School</v>
          </cell>
          <cell r="D7710" t="str">
            <v>Newport</v>
          </cell>
          <cell r="E7710" t="str">
            <v>Welsh Establishment</v>
          </cell>
          <cell r="F7710" t="str">
            <v>Primary</v>
          </cell>
        </row>
        <row r="7711">
          <cell r="A7711">
            <v>9263313</v>
          </cell>
          <cell r="B7711">
            <v>121113</v>
          </cell>
          <cell r="C7711" t="str">
            <v>Cringleford CofE VA Primary School</v>
          </cell>
          <cell r="D7711" t="str">
            <v>Norfolk</v>
          </cell>
          <cell r="E7711" t="str">
            <v>Voluntary Aided School</v>
          </cell>
          <cell r="F7711" t="str">
            <v>Primary</v>
          </cell>
        </row>
        <row r="7712">
          <cell r="A7712">
            <v>9334283</v>
          </cell>
          <cell r="B7712">
            <v>123873</v>
          </cell>
          <cell r="C7712" t="str">
            <v>Crispin School</v>
          </cell>
          <cell r="D7712" t="str">
            <v>Somerset</v>
          </cell>
          <cell r="E7712" t="str">
            <v>Community School</v>
          </cell>
          <cell r="F7712" t="str">
            <v>Secondary</v>
          </cell>
        </row>
        <row r="7713">
          <cell r="A7713">
            <v>9334283</v>
          </cell>
          <cell r="B7713">
            <v>136913</v>
          </cell>
          <cell r="C7713" t="str">
            <v>Crispin School Academy</v>
          </cell>
          <cell r="D7713" t="str">
            <v>Somerset</v>
          </cell>
          <cell r="E7713" t="str">
            <v>Academy Converters</v>
          </cell>
          <cell r="F7713" t="str">
            <v>Secondary</v>
          </cell>
        </row>
        <row r="7714">
          <cell r="A7714">
            <v>9337019</v>
          </cell>
          <cell r="B7714">
            <v>123946</v>
          </cell>
          <cell r="C7714" t="str">
            <v>Critchill School</v>
          </cell>
          <cell r="D7714" t="str">
            <v>Somerset</v>
          </cell>
          <cell r="E7714" t="str">
            <v>Community Special School</v>
          </cell>
          <cell r="F7714" t="str">
            <v>Special</v>
          </cell>
        </row>
        <row r="7715">
          <cell r="A7715">
            <v>8862088</v>
          </cell>
          <cell r="B7715">
            <v>118254</v>
          </cell>
          <cell r="C7715" t="str">
            <v>Crockenhill Primary School</v>
          </cell>
          <cell r="D7715" t="str">
            <v>Kent</v>
          </cell>
          <cell r="E7715" t="str">
            <v>Community School</v>
          </cell>
          <cell r="F7715" t="str">
            <v>Primary</v>
          </cell>
        </row>
        <row r="7716">
          <cell r="A7716">
            <v>8023130</v>
          </cell>
          <cell r="B7716">
            <v>131120</v>
          </cell>
          <cell r="C7716" t="str">
            <v>Crockerne Church of England Primary School</v>
          </cell>
          <cell r="D7716" t="str">
            <v>North Somerset</v>
          </cell>
          <cell r="E7716" t="str">
            <v>Voluntary Controlled School</v>
          </cell>
          <cell r="F7716" t="str">
            <v>Primary</v>
          </cell>
        </row>
        <row r="7717">
          <cell r="A7717">
            <v>8023124</v>
          </cell>
          <cell r="B7717">
            <v>109226</v>
          </cell>
          <cell r="C7717" t="str">
            <v>Crockerne Pill Infant School</v>
          </cell>
          <cell r="D7717" t="str">
            <v>North Somerset</v>
          </cell>
          <cell r="E7717" t="str">
            <v>Voluntary Controlled School</v>
          </cell>
          <cell r="F7717" t="str">
            <v>Primary</v>
          </cell>
        </row>
        <row r="7718">
          <cell r="A7718">
            <v>8653047</v>
          </cell>
          <cell r="B7718">
            <v>126318</v>
          </cell>
          <cell r="C7718" t="str">
            <v>Crockerton CofE Primary School</v>
          </cell>
          <cell r="D7718" t="str">
            <v>Wiltshire</v>
          </cell>
          <cell r="E7718" t="str">
            <v>Voluntary Aided School</v>
          </cell>
          <cell r="F7718" t="str">
            <v>Primary</v>
          </cell>
        </row>
        <row r="7719">
          <cell r="A7719">
            <v>3332123</v>
          </cell>
          <cell r="B7719">
            <v>103941</v>
          </cell>
          <cell r="C7719" t="str">
            <v>Crocketts Community Primary School</v>
          </cell>
          <cell r="D7719" t="str">
            <v>Sandwell</v>
          </cell>
          <cell r="E7719" t="str">
            <v>Community School</v>
          </cell>
          <cell r="F7719" t="str">
            <v>Primary</v>
          </cell>
        </row>
        <row r="7720">
          <cell r="A7720">
            <v>8863054</v>
          </cell>
          <cell r="B7720">
            <v>118615</v>
          </cell>
          <cell r="C7720" t="str">
            <v>Crockham Hill Church of England Voluntary Controlled Primary School</v>
          </cell>
          <cell r="D7720" t="str">
            <v>Kent</v>
          </cell>
          <cell r="E7720" t="str">
            <v>Voluntary Controlled School</v>
          </cell>
          <cell r="F7720" t="str">
            <v>Primary</v>
          </cell>
        </row>
        <row r="7721">
          <cell r="A7721">
            <v>6712173</v>
          </cell>
          <cell r="B7721">
            <v>400993</v>
          </cell>
          <cell r="C7721" t="str">
            <v>Croeserw Primary School</v>
          </cell>
          <cell r="D7721" t="str">
            <v>Neath Port Talbot</v>
          </cell>
          <cell r="E7721" t="str">
            <v>Welsh Establishment</v>
          </cell>
          <cell r="F7721" t="str">
            <v>Primary</v>
          </cell>
        </row>
        <row r="7722">
          <cell r="A7722">
            <v>6682270</v>
          </cell>
          <cell r="B7722">
            <v>400691</v>
          </cell>
          <cell r="C7722" t="str">
            <v>Croesgoch  C.P. School</v>
          </cell>
          <cell r="D7722" t="str">
            <v>Pembrokeshire</v>
          </cell>
          <cell r="E7722" t="str">
            <v>Welsh Establishment</v>
          </cell>
          <cell r="F7722" t="str">
            <v>Primary</v>
          </cell>
        </row>
        <row r="7723">
          <cell r="A7723">
            <v>6792285</v>
          </cell>
          <cell r="B7723">
            <v>401485</v>
          </cell>
          <cell r="C7723" t="str">
            <v>Croesonen Infants School</v>
          </cell>
          <cell r="D7723" t="str">
            <v>Monmouthshire</v>
          </cell>
          <cell r="E7723" t="str">
            <v>Welsh Establishment</v>
          </cell>
          <cell r="F7723" t="str">
            <v>Primary</v>
          </cell>
        </row>
        <row r="7724">
          <cell r="A7724">
            <v>6722279</v>
          </cell>
          <cell r="B7724">
            <v>401059</v>
          </cell>
          <cell r="C7724" t="str">
            <v>Croesty Primary School</v>
          </cell>
          <cell r="D7724" t="str">
            <v>Bridgend</v>
          </cell>
          <cell r="E7724" t="str">
            <v>Welsh Establishment</v>
          </cell>
          <cell r="F7724" t="str">
            <v>Primary</v>
          </cell>
        </row>
        <row r="7725">
          <cell r="A7725">
            <v>9324435</v>
          </cell>
          <cell r="B7725">
            <v>129814</v>
          </cell>
          <cell r="C7725" t="str">
            <v>Croeswylan School</v>
          </cell>
          <cell r="D7725" t="str">
            <v>Pre LGR (1998) Shropshire</v>
          </cell>
          <cell r="E7725" t="str">
            <v>Community School</v>
          </cell>
          <cell r="F7725" t="str">
            <v>Secondary</v>
          </cell>
        </row>
        <row r="7726">
          <cell r="A7726">
            <v>6784051</v>
          </cell>
          <cell r="B7726">
            <v>401853</v>
          </cell>
          <cell r="C7726" t="str">
            <v>Croesyceiliog  School</v>
          </cell>
          <cell r="D7726" t="str">
            <v>Torfaen</v>
          </cell>
          <cell r="E7726" t="str">
            <v>Welsh Establishment</v>
          </cell>
          <cell r="F7726" t="str">
            <v>Secondary</v>
          </cell>
        </row>
        <row r="7727">
          <cell r="A7727">
            <v>6782200</v>
          </cell>
          <cell r="B7727">
            <v>401430</v>
          </cell>
          <cell r="C7727" t="str">
            <v>Croesyceiliog Junior School</v>
          </cell>
          <cell r="D7727" t="str">
            <v>Torfaen</v>
          </cell>
          <cell r="E7727" t="str">
            <v>Welsh Establishment</v>
          </cell>
          <cell r="F7727" t="str">
            <v>Primary</v>
          </cell>
        </row>
        <row r="7728">
          <cell r="A7728">
            <v>6782197</v>
          </cell>
          <cell r="B7728">
            <v>401428</v>
          </cell>
          <cell r="C7728" t="str">
            <v>Croesyceiliog North Rd Infants</v>
          </cell>
          <cell r="D7728" t="str">
            <v>Torfaen</v>
          </cell>
          <cell r="E7728" t="str">
            <v>Welsh Establishment</v>
          </cell>
          <cell r="F7728" t="str">
            <v>Primary</v>
          </cell>
        </row>
        <row r="7729">
          <cell r="A7729">
            <v>6782325</v>
          </cell>
          <cell r="B7729">
            <v>402217</v>
          </cell>
          <cell r="C7729" t="str">
            <v>Croesyceiliog Primary</v>
          </cell>
          <cell r="D7729" t="str">
            <v>Torfaen</v>
          </cell>
          <cell r="E7729" t="str">
            <v>Welsh Establishment</v>
          </cell>
          <cell r="F7729" t="str">
            <v>Primary</v>
          </cell>
        </row>
        <row r="7730">
          <cell r="A7730">
            <v>8553027</v>
          </cell>
          <cell r="B7730">
            <v>120125</v>
          </cell>
          <cell r="C7730" t="str">
            <v>Croft Church of England Primary School</v>
          </cell>
          <cell r="D7730" t="str">
            <v>Leicestershire</v>
          </cell>
          <cell r="E7730" t="str">
            <v>Voluntary Controlled School</v>
          </cell>
          <cell r="F7730" t="str">
            <v>Primary</v>
          </cell>
        </row>
        <row r="7731">
          <cell r="A7731">
            <v>8153022</v>
          </cell>
          <cell r="B7731">
            <v>121485</v>
          </cell>
          <cell r="C7731" t="str">
            <v>Croft Church of England Primary School</v>
          </cell>
          <cell r="D7731" t="str">
            <v>North Yorkshire</v>
          </cell>
          <cell r="E7731" t="str">
            <v>Voluntary Controlled School</v>
          </cell>
          <cell r="F7731" t="str">
            <v>Primary</v>
          </cell>
        </row>
        <row r="7732">
          <cell r="A7732">
            <v>3352047</v>
          </cell>
          <cell r="B7732">
            <v>104172</v>
          </cell>
          <cell r="C7732" t="str">
            <v>Croft Community Primary School</v>
          </cell>
          <cell r="D7732" t="str">
            <v>Walsall</v>
          </cell>
          <cell r="E7732" t="str">
            <v>Community School</v>
          </cell>
          <cell r="F7732" t="str">
            <v>Primary</v>
          </cell>
        </row>
        <row r="7733">
          <cell r="A7733">
            <v>8866034</v>
          </cell>
          <cell r="B7733">
            <v>118976</v>
          </cell>
          <cell r="C7733" t="str">
            <v>Croft Hall School</v>
          </cell>
          <cell r="D7733" t="str">
            <v>Kent</v>
          </cell>
          <cell r="E7733" t="str">
            <v>Other Independent School</v>
          </cell>
          <cell r="F7733" t="str">
            <v>Not applicable</v>
          </cell>
        </row>
        <row r="7734">
          <cell r="A7734">
            <v>9166043</v>
          </cell>
          <cell r="B7734">
            <v>128967</v>
          </cell>
          <cell r="C7734" t="str">
            <v>Croft Hall School</v>
          </cell>
          <cell r="D7734" t="str">
            <v>Gloucestershire</v>
          </cell>
          <cell r="E7734" t="str">
            <v>Other Independent School</v>
          </cell>
          <cell r="F7734" t="str">
            <v>Not applicable</v>
          </cell>
        </row>
        <row r="7735">
          <cell r="A7735">
            <v>3841003</v>
          </cell>
          <cell r="B7735">
            <v>108135</v>
          </cell>
          <cell r="C7735" t="str">
            <v>Croft House Nursery School</v>
          </cell>
          <cell r="D7735" t="str">
            <v>Wakefield</v>
          </cell>
          <cell r="E7735" t="str">
            <v>LA Nursery School</v>
          </cell>
          <cell r="F7735" t="str">
            <v>Nursery</v>
          </cell>
        </row>
        <row r="7736">
          <cell r="A7736">
            <v>8356012</v>
          </cell>
          <cell r="B7736">
            <v>113921</v>
          </cell>
          <cell r="C7736" t="str">
            <v>Croft House School</v>
          </cell>
          <cell r="D7736" t="str">
            <v>Dorset</v>
          </cell>
          <cell r="E7736" t="str">
            <v>Other Independent School</v>
          </cell>
          <cell r="F7736" t="str">
            <v>Not applicable</v>
          </cell>
        </row>
        <row r="7737">
          <cell r="A7737">
            <v>9296015</v>
          </cell>
          <cell r="B7737">
            <v>122378</v>
          </cell>
          <cell r="C7737" t="str">
            <v>Croft House School</v>
          </cell>
          <cell r="D7737" t="str">
            <v>Northumberland</v>
          </cell>
          <cell r="E7737" t="str">
            <v>Other Independent School</v>
          </cell>
          <cell r="F7737" t="str">
            <v>Not applicable</v>
          </cell>
        </row>
        <row r="7738">
          <cell r="A7738">
            <v>8302002</v>
          </cell>
          <cell r="B7738">
            <v>112493</v>
          </cell>
          <cell r="C7738" t="str">
            <v>Croft Infant School</v>
          </cell>
          <cell r="D7738" t="str">
            <v>Derbyshire</v>
          </cell>
          <cell r="E7738" t="str">
            <v>Community School</v>
          </cell>
          <cell r="F7738" t="str">
            <v>Primary</v>
          </cell>
        </row>
        <row r="7739">
          <cell r="A7739">
            <v>9372601</v>
          </cell>
          <cell r="B7739">
            <v>125605</v>
          </cell>
          <cell r="C7739" t="str">
            <v>Croft Junior School</v>
          </cell>
          <cell r="D7739" t="str">
            <v>Warwickshire</v>
          </cell>
          <cell r="E7739" t="str">
            <v>Community School</v>
          </cell>
          <cell r="F7739" t="str">
            <v>Primary</v>
          </cell>
        </row>
        <row r="7740">
          <cell r="A7740">
            <v>9116032</v>
          </cell>
          <cell r="B7740">
            <v>128735</v>
          </cell>
          <cell r="C7740" t="str">
            <v>Croft Lodge School</v>
          </cell>
          <cell r="D7740" t="str">
            <v>Pre LGR (1998) Devon</v>
          </cell>
          <cell r="E7740" t="str">
            <v>Other Independent School</v>
          </cell>
          <cell r="F7740" t="str">
            <v>Not applicable</v>
          </cell>
        </row>
        <row r="7741">
          <cell r="A7741">
            <v>8921010</v>
          </cell>
          <cell r="B7741">
            <v>122395</v>
          </cell>
          <cell r="C7741" t="str">
            <v>Croft Nursery School</v>
          </cell>
          <cell r="D7741" t="str">
            <v>Nottingham</v>
          </cell>
          <cell r="E7741" t="str">
            <v>LA Nursery School</v>
          </cell>
          <cell r="F7741" t="str">
            <v>Nursery</v>
          </cell>
        </row>
        <row r="7742">
          <cell r="A7742">
            <v>8772401</v>
          </cell>
          <cell r="B7742">
            <v>111179</v>
          </cell>
          <cell r="C7742" t="str">
            <v>Croft Primary School</v>
          </cell>
          <cell r="D7742" t="str">
            <v>Warrington</v>
          </cell>
          <cell r="E7742" t="str">
            <v>Community School</v>
          </cell>
          <cell r="F7742" t="str">
            <v>Primary</v>
          </cell>
        </row>
        <row r="7743">
          <cell r="A7743">
            <v>8912126</v>
          </cell>
          <cell r="B7743">
            <v>122463</v>
          </cell>
          <cell r="C7743" t="str">
            <v>Croft Primary School</v>
          </cell>
          <cell r="D7743" t="str">
            <v>Nottinghamshire</v>
          </cell>
          <cell r="E7743" t="str">
            <v>Community School</v>
          </cell>
          <cell r="F7743" t="str">
            <v>Primary</v>
          </cell>
        </row>
        <row r="7744">
          <cell r="A7744">
            <v>8602153</v>
          </cell>
          <cell r="B7744">
            <v>124054</v>
          </cell>
          <cell r="C7744" t="str">
            <v>Croft Primary School</v>
          </cell>
          <cell r="D7744" t="str">
            <v>Staffordshire</v>
          </cell>
          <cell r="E7744" t="str">
            <v>Community School</v>
          </cell>
          <cell r="F7744" t="str">
            <v>Primary</v>
          </cell>
        </row>
        <row r="7745">
          <cell r="A7745">
            <v>9186087</v>
          </cell>
          <cell r="B7745">
            <v>117026</v>
          </cell>
          <cell r="C7745" t="str">
            <v>Croftdown School</v>
          </cell>
          <cell r="D7745" t="str">
            <v>Pre LGR (1998) Hereford &amp; Worcester</v>
          </cell>
          <cell r="E7745" t="str">
            <v>Other Independent School</v>
          </cell>
          <cell r="F7745" t="str">
            <v>Not applicable</v>
          </cell>
        </row>
        <row r="7746">
          <cell r="A7746">
            <v>9092413</v>
          </cell>
          <cell r="B7746">
            <v>112197</v>
          </cell>
          <cell r="C7746" t="str">
            <v>Croftlands Infant School</v>
          </cell>
          <cell r="D7746" t="str">
            <v>Cumbria</v>
          </cell>
          <cell r="E7746" t="str">
            <v>Community School</v>
          </cell>
          <cell r="F7746" t="str">
            <v>Primary</v>
          </cell>
        </row>
        <row r="7747">
          <cell r="A7747">
            <v>9092414</v>
          </cell>
          <cell r="B7747">
            <v>112198</v>
          </cell>
          <cell r="C7747" t="str">
            <v>Croftlands Junior School</v>
          </cell>
          <cell r="D7747" t="str">
            <v>Cumbria</v>
          </cell>
          <cell r="E7747" t="str">
            <v>Community School</v>
          </cell>
          <cell r="F7747" t="str">
            <v>Primary</v>
          </cell>
        </row>
        <row r="7748">
          <cell r="A7748">
            <v>3844029</v>
          </cell>
          <cell r="B7748">
            <v>137001</v>
          </cell>
          <cell r="C7748" t="str">
            <v>Crofton Academy</v>
          </cell>
          <cell r="D7748" t="str">
            <v>Wakefield</v>
          </cell>
          <cell r="E7748" t="str">
            <v>Academy Converters</v>
          </cell>
          <cell r="F7748" t="str">
            <v>Secondary</v>
          </cell>
        </row>
        <row r="7749">
          <cell r="A7749">
            <v>8502216</v>
          </cell>
          <cell r="B7749">
            <v>115967</v>
          </cell>
          <cell r="C7749" t="str">
            <v>Crofton Anne Dale Infant School</v>
          </cell>
          <cell r="D7749" t="str">
            <v>Hampshire</v>
          </cell>
          <cell r="E7749" t="str">
            <v>Community School</v>
          </cell>
          <cell r="F7749" t="str">
            <v>Primary</v>
          </cell>
        </row>
        <row r="7750">
          <cell r="A7750">
            <v>8502049</v>
          </cell>
          <cell r="B7750">
            <v>115880</v>
          </cell>
          <cell r="C7750" t="str">
            <v>Crofton Anne Dale Junior School</v>
          </cell>
          <cell r="D7750" t="str">
            <v>Hampshire</v>
          </cell>
          <cell r="E7750" t="str">
            <v>Community School</v>
          </cell>
          <cell r="F7750" t="str">
            <v>Primary</v>
          </cell>
        </row>
        <row r="7751">
          <cell r="A7751">
            <v>9292399</v>
          </cell>
          <cell r="B7751">
            <v>122256</v>
          </cell>
          <cell r="C7751" t="str">
            <v>Crofton First School</v>
          </cell>
          <cell r="D7751" t="str">
            <v>Northumberland</v>
          </cell>
          <cell r="E7751" t="str">
            <v>Community School</v>
          </cell>
          <cell r="F7751" t="str">
            <v>Primary</v>
          </cell>
        </row>
        <row r="7752">
          <cell r="A7752">
            <v>8502276</v>
          </cell>
          <cell r="B7752">
            <v>116009</v>
          </cell>
          <cell r="C7752" t="str">
            <v>Crofton Hammond Infant School</v>
          </cell>
          <cell r="D7752" t="str">
            <v>Hampshire</v>
          </cell>
          <cell r="E7752" t="str">
            <v>Community School</v>
          </cell>
          <cell r="F7752" t="str">
            <v>Primary</v>
          </cell>
        </row>
        <row r="7753">
          <cell r="A7753">
            <v>8502345</v>
          </cell>
          <cell r="B7753">
            <v>116058</v>
          </cell>
          <cell r="C7753" t="str">
            <v>Crofton Hammond Junior School</v>
          </cell>
          <cell r="D7753" t="str">
            <v>Hampshire</v>
          </cell>
          <cell r="E7753" t="str">
            <v>Community School</v>
          </cell>
          <cell r="F7753" t="str">
            <v>Primary</v>
          </cell>
        </row>
        <row r="7754">
          <cell r="A7754">
            <v>3844029</v>
          </cell>
          <cell r="B7754">
            <v>108281</v>
          </cell>
          <cell r="C7754" t="str">
            <v>Crofton High School - Specialists In Maths and Computing: With Visual Impairment Resource</v>
          </cell>
          <cell r="D7754" t="str">
            <v>Wakefield</v>
          </cell>
          <cell r="E7754" t="str">
            <v>Community School</v>
          </cell>
          <cell r="F7754" t="str">
            <v>Secondary</v>
          </cell>
        </row>
        <row r="7755">
          <cell r="A7755">
            <v>3076073</v>
          </cell>
          <cell r="B7755">
            <v>101960</v>
          </cell>
          <cell r="C7755" t="str">
            <v>Crofton Hill Education Establishment</v>
          </cell>
          <cell r="D7755" t="str">
            <v>Ealing</v>
          </cell>
          <cell r="E7755" t="str">
            <v>Other Independent School</v>
          </cell>
          <cell r="F7755" t="str">
            <v>Not applicable</v>
          </cell>
        </row>
        <row r="7756">
          <cell r="A7756">
            <v>3052038</v>
          </cell>
          <cell r="B7756">
            <v>101611</v>
          </cell>
          <cell r="C7756" t="str">
            <v>Crofton Infant School</v>
          </cell>
          <cell r="D7756" t="str">
            <v>Bromley</v>
          </cell>
          <cell r="E7756" t="str">
            <v>Community School</v>
          </cell>
          <cell r="F7756" t="str">
            <v>Primary</v>
          </cell>
        </row>
        <row r="7757">
          <cell r="A7757">
            <v>3842040</v>
          </cell>
          <cell r="B7757">
            <v>108142</v>
          </cell>
          <cell r="C7757" t="str">
            <v>Crofton Infant School</v>
          </cell>
          <cell r="D7757" t="str">
            <v>Wakefield</v>
          </cell>
          <cell r="E7757" t="str">
            <v>Community School</v>
          </cell>
          <cell r="F7757" t="str">
            <v>Primary</v>
          </cell>
        </row>
        <row r="7758">
          <cell r="A7758">
            <v>3055200</v>
          </cell>
          <cell r="B7758">
            <v>101660</v>
          </cell>
          <cell r="C7758" t="str">
            <v>Crofton Junior School</v>
          </cell>
          <cell r="D7758" t="str">
            <v>Bromley</v>
          </cell>
          <cell r="E7758" t="str">
            <v>Foundation School</v>
          </cell>
          <cell r="F7758" t="str">
            <v>Primary</v>
          </cell>
        </row>
        <row r="7759">
          <cell r="A7759">
            <v>3842039</v>
          </cell>
          <cell r="B7759">
            <v>108141</v>
          </cell>
          <cell r="C7759" t="str">
            <v>Crofton Junior School</v>
          </cell>
          <cell r="D7759" t="str">
            <v>Wakefield</v>
          </cell>
          <cell r="E7759" t="str">
            <v>Community School</v>
          </cell>
          <cell r="F7759" t="str">
            <v>Primary</v>
          </cell>
        </row>
        <row r="7760">
          <cell r="A7760">
            <v>3055200</v>
          </cell>
          <cell r="B7760">
            <v>137683</v>
          </cell>
          <cell r="C7760" t="str">
            <v>Crofton Junior School</v>
          </cell>
          <cell r="D7760" t="str">
            <v>Bromley</v>
          </cell>
          <cell r="E7760" t="str">
            <v>Academy Converters</v>
          </cell>
          <cell r="F7760" t="str">
            <v>Primary</v>
          </cell>
        </row>
        <row r="7761">
          <cell r="A7761">
            <v>8505405</v>
          </cell>
          <cell r="B7761">
            <v>116498</v>
          </cell>
          <cell r="C7761" t="str">
            <v>Crofton School</v>
          </cell>
          <cell r="D7761" t="str">
            <v>Hampshire</v>
          </cell>
          <cell r="E7761" t="str">
            <v>Foundation School</v>
          </cell>
          <cell r="F7761" t="str">
            <v>Secondary</v>
          </cell>
        </row>
        <row r="7762">
          <cell r="A7762">
            <v>9292398</v>
          </cell>
          <cell r="B7762">
            <v>122255</v>
          </cell>
          <cell r="C7762" t="str">
            <v>Croftway Primary School</v>
          </cell>
          <cell r="D7762" t="str">
            <v>Northumberland</v>
          </cell>
          <cell r="E7762" t="str">
            <v>Community School</v>
          </cell>
          <cell r="F7762" t="str">
            <v>Primary</v>
          </cell>
        </row>
        <row r="7763">
          <cell r="A7763">
            <v>3066002</v>
          </cell>
          <cell r="B7763">
            <v>101828</v>
          </cell>
          <cell r="C7763" t="str">
            <v>Croham Hurst School</v>
          </cell>
          <cell r="D7763" t="str">
            <v>Croydon</v>
          </cell>
          <cell r="E7763" t="str">
            <v>Other Independent School</v>
          </cell>
          <cell r="F7763" t="str">
            <v>Not applicable</v>
          </cell>
        </row>
        <row r="7764">
          <cell r="A7764">
            <v>9265401</v>
          </cell>
          <cell r="B7764">
            <v>121209</v>
          </cell>
          <cell r="C7764" t="str">
            <v>Cromer High School and Language College</v>
          </cell>
          <cell r="D7764" t="str">
            <v>Norfolk</v>
          </cell>
          <cell r="E7764" t="str">
            <v>Foundation School</v>
          </cell>
          <cell r="F7764" t="str">
            <v>Secondary</v>
          </cell>
        </row>
        <row r="7765">
          <cell r="A7765">
            <v>9265401</v>
          </cell>
          <cell r="B7765">
            <v>137431</v>
          </cell>
          <cell r="C7765" t="str">
            <v>Cromer High School and Language College</v>
          </cell>
          <cell r="D7765" t="str">
            <v>Norfolk</v>
          </cell>
          <cell r="E7765" t="str">
            <v>Academy Converters</v>
          </cell>
          <cell r="F7765" t="str">
            <v>Secondary</v>
          </cell>
        </row>
        <row r="7766">
          <cell r="A7766">
            <v>9262045</v>
          </cell>
          <cell r="B7766">
            <v>120802</v>
          </cell>
          <cell r="C7766" t="str">
            <v>Cromer Junior School</v>
          </cell>
          <cell r="D7766" t="str">
            <v>Norfolk</v>
          </cell>
          <cell r="E7766" t="str">
            <v>Community School</v>
          </cell>
          <cell r="F7766" t="str">
            <v>Primary</v>
          </cell>
        </row>
        <row r="7767">
          <cell r="A7767">
            <v>3022017</v>
          </cell>
          <cell r="B7767">
            <v>101272</v>
          </cell>
          <cell r="C7767" t="str">
            <v>Cromer Road Primary School</v>
          </cell>
          <cell r="D7767" t="str">
            <v>Barnet</v>
          </cell>
          <cell r="E7767" t="str">
            <v>Community School</v>
          </cell>
          <cell r="F7767" t="str">
            <v>Primary</v>
          </cell>
        </row>
        <row r="7768">
          <cell r="A7768">
            <v>8303069</v>
          </cell>
          <cell r="B7768">
            <v>112840</v>
          </cell>
          <cell r="C7768" t="str">
            <v>Cromford CofE Primary School</v>
          </cell>
          <cell r="D7768" t="str">
            <v>Derbyshire</v>
          </cell>
          <cell r="E7768" t="str">
            <v>Voluntary Controlled School</v>
          </cell>
          <cell r="F7768" t="str">
            <v>Primary</v>
          </cell>
        </row>
        <row r="7769">
          <cell r="A7769">
            <v>3505200</v>
          </cell>
          <cell r="B7769">
            <v>105265</v>
          </cell>
          <cell r="C7769" t="str">
            <v>Crompton Fold Primary School</v>
          </cell>
          <cell r="D7769" t="str">
            <v>Bolton</v>
          </cell>
          <cell r="E7769" t="str">
            <v>Foundation School</v>
          </cell>
          <cell r="F7769" t="str">
            <v>Primary</v>
          </cell>
        </row>
        <row r="7770">
          <cell r="A7770">
            <v>3534605</v>
          </cell>
          <cell r="B7770">
            <v>105740</v>
          </cell>
          <cell r="C7770" t="str">
            <v>Crompton House CofE School</v>
          </cell>
          <cell r="D7770" t="str">
            <v>Oldham</v>
          </cell>
          <cell r="E7770" t="str">
            <v>Voluntary Aided School</v>
          </cell>
          <cell r="F7770" t="str">
            <v>Secondary</v>
          </cell>
        </row>
        <row r="7771">
          <cell r="A7771">
            <v>3532110</v>
          </cell>
          <cell r="B7771">
            <v>133286</v>
          </cell>
          <cell r="C7771" t="str">
            <v>Crompton Primary School</v>
          </cell>
          <cell r="D7771" t="str">
            <v>Oldham</v>
          </cell>
          <cell r="E7771" t="str">
            <v>Community School</v>
          </cell>
          <cell r="F7771" t="str">
            <v>Primary</v>
          </cell>
        </row>
        <row r="7772">
          <cell r="A7772">
            <v>8912940</v>
          </cell>
          <cell r="B7772">
            <v>131091</v>
          </cell>
          <cell r="C7772" t="str">
            <v>Crompton View Primary School</v>
          </cell>
          <cell r="D7772" t="str">
            <v>Nottinghamshire</v>
          </cell>
          <cell r="E7772" t="str">
            <v>Community School</v>
          </cell>
          <cell r="F7772" t="str">
            <v>Primary</v>
          </cell>
        </row>
        <row r="7773">
          <cell r="A7773">
            <v>8734045</v>
          </cell>
          <cell r="B7773">
            <v>110869</v>
          </cell>
          <cell r="C7773" t="str">
            <v>Cromwell Community College</v>
          </cell>
          <cell r="D7773" t="str">
            <v>Cambridgeshire</v>
          </cell>
          <cell r="E7773" t="str">
            <v>Community School</v>
          </cell>
          <cell r="F7773" t="str">
            <v>Secondary</v>
          </cell>
        </row>
        <row r="7774">
          <cell r="A7774">
            <v>3577005</v>
          </cell>
          <cell r="B7774">
            <v>106279</v>
          </cell>
          <cell r="C7774" t="str">
            <v>Cromwell High School</v>
          </cell>
          <cell r="D7774" t="str">
            <v>Tameside</v>
          </cell>
          <cell r="E7774" t="str">
            <v>Community Special School</v>
          </cell>
          <cell r="F7774" t="str">
            <v>Special</v>
          </cell>
        </row>
        <row r="7775">
          <cell r="A7775">
            <v>3302060</v>
          </cell>
          <cell r="B7775">
            <v>103191</v>
          </cell>
          <cell r="C7775" t="str">
            <v>Cromwell Junior and Infant School and Nursery Class</v>
          </cell>
          <cell r="D7775" t="str">
            <v>Birmingham</v>
          </cell>
          <cell r="E7775" t="str">
            <v>Community School</v>
          </cell>
          <cell r="F7775" t="str">
            <v>Primary</v>
          </cell>
        </row>
        <row r="7776">
          <cell r="A7776">
            <v>8732451</v>
          </cell>
          <cell r="B7776">
            <v>132071</v>
          </cell>
          <cell r="C7776" t="str">
            <v>Cromwell Park Primary School</v>
          </cell>
          <cell r="D7776" t="str">
            <v>Cambridgeshire</v>
          </cell>
          <cell r="E7776" t="str">
            <v>Community School</v>
          </cell>
          <cell r="F7776" t="str">
            <v>Primary</v>
          </cell>
        </row>
        <row r="7777">
          <cell r="A7777">
            <v>8072334</v>
          </cell>
          <cell r="B7777">
            <v>111634</v>
          </cell>
          <cell r="C7777" t="str">
            <v>Cromwell Road Primary School</v>
          </cell>
          <cell r="D7777" t="str">
            <v>Redcar and Cleveland</v>
          </cell>
          <cell r="E7777" t="str">
            <v>Community School</v>
          </cell>
          <cell r="F7777" t="str">
            <v>Primary</v>
          </cell>
        </row>
        <row r="7778">
          <cell r="A7778">
            <v>8502046</v>
          </cell>
          <cell r="B7778">
            <v>115878</v>
          </cell>
          <cell r="C7778" t="str">
            <v>Crondall Primary School</v>
          </cell>
          <cell r="D7778" t="str">
            <v>Hampshire</v>
          </cell>
          <cell r="E7778" t="str">
            <v>Community School</v>
          </cell>
          <cell r="F7778" t="str">
            <v>Primary</v>
          </cell>
        </row>
        <row r="7779">
          <cell r="A7779">
            <v>3546022</v>
          </cell>
          <cell r="B7779">
            <v>131427</v>
          </cell>
          <cell r="C7779" t="str">
            <v>Cronkeyshaw - Green Corns</v>
          </cell>
          <cell r="D7779" t="str">
            <v>Rochdale</v>
          </cell>
          <cell r="E7779" t="str">
            <v>Other Independent Special School</v>
          </cell>
          <cell r="F7779" t="str">
            <v>Not applicable</v>
          </cell>
        </row>
        <row r="7780">
          <cell r="A7780">
            <v>7052204</v>
          </cell>
          <cell r="B7780">
            <v>132443</v>
          </cell>
          <cell r="C7780" t="str">
            <v>Cronk-Y-Berry School</v>
          </cell>
          <cell r="D7780" t="str">
            <v>Isle of Man Offshore Establishments</v>
          </cell>
          <cell r="E7780" t="str">
            <v>Offshore Schools</v>
          </cell>
          <cell r="F7780" t="str">
            <v>Not applicable</v>
          </cell>
        </row>
        <row r="7781">
          <cell r="A7781">
            <v>3403300</v>
          </cell>
          <cell r="B7781">
            <v>104449</v>
          </cell>
          <cell r="C7781" t="str">
            <v>Cronton CofE Primary School</v>
          </cell>
          <cell r="D7781" t="str">
            <v>Knowsley</v>
          </cell>
          <cell r="E7781" t="str">
            <v>Voluntary Aided School</v>
          </cell>
          <cell r="F7781" t="str">
            <v>Primary</v>
          </cell>
        </row>
        <row r="7782">
          <cell r="A7782">
            <v>9132309</v>
          </cell>
          <cell r="B7782">
            <v>128813</v>
          </cell>
          <cell r="C7782" t="str">
            <v>Crook Infant School</v>
          </cell>
          <cell r="D7782" t="str">
            <v>Pre LGR (1997) Durham</v>
          </cell>
          <cell r="E7782" t="str">
            <v>Community School</v>
          </cell>
          <cell r="F7782" t="str">
            <v>Primary</v>
          </cell>
        </row>
        <row r="7783">
          <cell r="A7783">
            <v>3032001</v>
          </cell>
          <cell r="B7783">
            <v>101402</v>
          </cell>
          <cell r="C7783" t="str">
            <v>Crook Log Primary School</v>
          </cell>
          <cell r="D7783" t="str">
            <v>Bexley</v>
          </cell>
          <cell r="E7783" t="str">
            <v>Community School</v>
          </cell>
          <cell r="F7783" t="str">
            <v>Primary</v>
          </cell>
        </row>
        <row r="7784">
          <cell r="A7784">
            <v>8401032</v>
          </cell>
          <cell r="B7784">
            <v>113984</v>
          </cell>
          <cell r="C7784" t="str">
            <v>Crook Nursery School</v>
          </cell>
          <cell r="D7784" t="str">
            <v>Durham</v>
          </cell>
          <cell r="E7784" t="str">
            <v>LA Nursery School</v>
          </cell>
          <cell r="F7784" t="str">
            <v>Nursery</v>
          </cell>
        </row>
        <row r="7785">
          <cell r="A7785">
            <v>8402308</v>
          </cell>
          <cell r="B7785">
            <v>114056</v>
          </cell>
          <cell r="C7785" t="str">
            <v>Crook Primary School</v>
          </cell>
          <cell r="D7785" t="str">
            <v>Durham</v>
          </cell>
          <cell r="E7785" t="str">
            <v>Community School</v>
          </cell>
          <cell r="F7785" t="str">
            <v>Primary</v>
          </cell>
        </row>
        <row r="7786">
          <cell r="A7786">
            <v>3732025</v>
          </cell>
          <cell r="B7786">
            <v>127643</v>
          </cell>
          <cell r="C7786" t="str">
            <v>Crookesmoor Junior School</v>
          </cell>
          <cell r="D7786" t="str">
            <v>Sheffield</v>
          </cell>
          <cell r="E7786" t="str">
            <v>Community School</v>
          </cell>
          <cell r="F7786" t="str">
            <v>Primary</v>
          </cell>
        </row>
        <row r="7787">
          <cell r="A7787">
            <v>8503666</v>
          </cell>
          <cell r="B7787">
            <v>116403</v>
          </cell>
          <cell r="C7787" t="str">
            <v>Crookham Church of England Aided Infant School</v>
          </cell>
          <cell r="D7787" t="str">
            <v>Hampshire</v>
          </cell>
          <cell r="E7787" t="str">
            <v>Voluntary Aided School</v>
          </cell>
          <cell r="F7787" t="str">
            <v>Primary</v>
          </cell>
        </row>
        <row r="7788">
          <cell r="A7788">
            <v>9173034</v>
          </cell>
          <cell r="B7788">
            <v>132890</v>
          </cell>
          <cell r="C7788" t="str">
            <v>Crookham CofE Infants' School</v>
          </cell>
          <cell r="D7788" t="str">
            <v>Pre LGR (1997) Hampshire</v>
          </cell>
          <cell r="E7788" t="str">
            <v>Community School</v>
          </cell>
          <cell r="F7788" t="str">
            <v>Primary</v>
          </cell>
        </row>
        <row r="7789">
          <cell r="A7789">
            <v>9036076</v>
          </cell>
          <cell r="B7789">
            <v>128296</v>
          </cell>
          <cell r="C7789" t="str">
            <v>Crookham Court School</v>
          </cell>
          <cell r="D7789" t="str">
            <v>Pre LGR (1998) Berkshire</v>
          </cell>
          <cell r="E7789" t="str">
            <v>Other Independent School</v>
          </cell>
          <cell r="F7789" t="str">
            <v>Not applicable</v>
          </cell>
        </row>
        <row r="7790">
          <cell r="A7790">
            <v>8886022</v>
          </cell>
          <cell r="B7790">
            <v>119849</v>
          </cell>
          <cell r="C7790" t="str">
            <v>Crookhey Hall School</v>
          </cell>
          <cell r="D7790" t="str">
            <v>Lancashire</v>
          </cell>
          <cell r="E7790" t="str">
            <v>Other Independent Special School</v>
          </cell>
          <cell r="F7790" t="str">
            <v>Not applicable</v>
          </cell>
        </row>
        <row r="7791">
          <cell r="A7791">
            <v>3417019</v>
          </cell>
          <cell r="B7791">
            <v>127331</v>
          </cell>
          <cell r="C7791" t="str">
            <v>Crookhey Hall School</v>
          </cell>
          <cell r="D7791" t="str">
            <v>Liverpool</v>
          </cell>
          <cell r="E7791" t="str">
            <v>Community Special School</v>
          </cell>
          <cell r="F7791" t="str">
            <v>Special</v>
          </cell>
        </row>
        <row r="7792">
          <cell r="A7792">
            <v>3902219</v>
          </cell>
          <cell r="B7792">
            <v>108366</v>
          </cell>
          <cell r="C7792" t="str">
            <v>Crookhill Community Primary School</v>
          </cell>
          <cell r="D7792" t="str">
            <v>Gateshead</v>
          </cell>
          <cell r="E7792" t="str">
            <v>Community School</v>
          </cell>
          <cell r="F7792" t="str">
            <v>Primary</v>
          </cell>
        </row>
        <row r="7793">
          <cell r="A7793">
            <v>8504159</v>
          </cell>
          <cell r="B7793">
            <v>116428</v>
          </cell>
          <cell r="C7793" t="str">
            <v>Crookhorn College of Technology</v>
          </cell>
          <cell r="D7793" t="str">
            <v>Hampshire</v>
          </cell>
          <cell r="E7793" t="str">
            <v>Foundation School</v>
          </cell>
          <cell r="F7793" t="str">
            <v>Secondary</v>
          </cell>
        </row>
        <row r="7794">
          <cell r="A7794">
            <v>8082304</v>
          </cell>
          <cell r="B7794">
            <v>111616</v>
          </cell>
          <cell r="C7794" t="str">
            <v>Crooksbarn Primary School</v>
          </cell>
          <cell r="D7794" t="str">
            <v>Stockton-on-Tees</v>
          </cell>
          <cell r="E7794" t="str">
            <v>Community School</v>
          </cell>
          <cell r="F7794" t="str">
            <v>Primary</v>
          </cell>
        </row>
        <row r="7795">
          <cell r="A7795">
            <v>9313000</v>
          </cell>
          <cell r="B7795">
            <v>123090</v>
          </cell>
          <cell r="C7795" t="str">
            <v>Cropredy Church of England Primary School</v>
          </cell>
          <cell r="D7795" t="str">
            <v>Oxfordshire</v>
          </cell>
          <cell r="E7795" t="str">
            <v>Voluntary Controlled School</v>
          </cell>
          <cell r="F7795" t="str">
            <v>Primary</v>
          </cell>
        </row>
        <row r="7796">
          <cell r="A7796">
            <v>8853027</v>
          </cell>
          <cell r="B7796">
            <v>116800</v>
          </cell>
          <cell r="C7796" t="str">
            <v>Cropthorne-with-Charlton CofE First School</v>
          </cell>
          <cell r="D7796" t="str">
            <v>Worcestershire</v>
          </cell>
          <cell r="E7796" t="str">
            <v>Voluntary Controlled School</v>
          </cell>
          <cell r="F7796" t="str">
            <v>Primary</v>
          </cell>
        </row>
        <row r="7797">
          <cell r="A7797">
            <v>8912723</v>
          </cell>
          <cell r="B7797">
            <v>122635</v>
          </cell>
          <cell r="C7797" t="str">
            <v>Cropwell Bishop Primary School</v>
          </cell>
          <cell r="D7797" t="str">
            <v>Nottinghamshire</v>
          </cell>
          <cell r="E7797" t="str">
            <v>Community School</v>
          </cell>
          <cell r="F7797" t="str">
            <v>Primary</v>
          </cell>
        </row>
        <row r="7798">
          <cell r="A7798">
            <v>9202337</v>
          </cell>
          <cell r="B7798">
            <v>129232</v>
          </cell>
          <cell r="C7798" t="str">
            <v>Crosby First School</v>
          </cell>
          <cell r="D7798" t="str">
            <v>Pre LGR (1996) Humberside</v>
          </cell>
          <cell r="E7798" t="str">
            <v>Community School</v>
          </cell>
          <cell r="F7798" t="str">
            <v>Primary</v>
          </cell>
        </row>
        <row r="7799">
          <cell r="A7799">
            <v>3437009</v>
          </cell>
          <cell r="B7799">
            <v>104980</v>
          </cell>
          <cell r="C7799" t="str">
            <v>Crosby High School</v>
          </cell>
          <cell r="D7799" t="str">
            <v>Sefton</v>
          </cell>
          <cell r="E7799" t="str">
            <v>Community Special School</v>
          </cell>
          <cell r="F7799" t="str">
            <v>Special</v>
          </cell>
        </row>
        <row r="7800">
          <cell r="A7800">
            <v>9202132</v>
          </cell>
          <cell r="B7800">
            <v>129194</v>
          </cell>
          <cell r="C7800" t="str">
            <v>Crosby Infant School</v>
          </cell>
          <cell r="D7800" t="str">
            <v>Pre LGR (1996) Humberside</v>
          </cell>
          <cell r="E7800" t="str">
            <v>Community School</v>
          </cell>
          <cell r="F7800" t="str">
            <v>Primary</v>
          </cell>
        </row>
        <row r="7801">
          <cell r="A7801">
            <v>9202131</v>
          </cell>
          <cell r="B7801">
            <v>129193</v>
          </cell>
          <cell r="C7801" t="str">
            <v>Crosby Junior School</v>
          </cell>
          <cell r="D7801" t="str">
            <v>Pre LGR (1996) Humberside</v>
          </cell>
          <cell r="E7801" t="str">
            <v>Community School</v>
          </cell>
          <cell r="F7801" t="str">
            <v>Primary</v>
          </cell>
        </row>
        <row r="7802">
          <cell r="A7802">
            <v>3527038</v>
          </cell>
          <cell r="B7802">
            <v>105610</v>
          </cell>
          <cell r="C7802" t="str">
            <v>Crosby Meadow School</v>
          </cell>
          <cell r="D7802" t="str">
            <v>Manchester</v>
          </cell>
          <cell r="E7802" t="str">
            <v>Community Special School</v>
          </cell>
          <cell r="F7802" t="str">
            <v>Special</v>
          </cell>
        </row>
        <row r="7803">
          <cell r="A7803">
            <v>9202336</v>
          </cell>
          <cell r="B7803">
            <v>129231</v>
          </cell>
          <cell r="C7803" t="str">
            <v>Crosby Middle School</v>
          </cell>
          <cell r="D7803" t="str">
            <v>Pre LGR (1996) Humberside</v>
          </cell>
          <cell r="E7803" t="str">
            <v>Community School</v>
          </cell>
          <cell r="F7803" t="str">
            <v>Middle Deemed Primary</v>
          </cell>
        </row>
        <row r="7804">
          <cell r="A7804">
            <v>8132907</v>
          </cell>
          <cell r="B7804">
            <v>117934</v>
          </cell>
          <cell r="C7804" t="str">
            <v>Crosby Primary School</v>
          </cell>
          <cell r="D7804" t="str">
            <v>North Lincolnshire</v>
          </cell>
          <cell r="E7804" t="str">
            <v>Community School</v>
          </cell>
          <cell r="F7804" t="str">
            <v>Primary</v>
          </cell>
        </row>
        <row r="7805">
          <cell r="A7805">
            <v>9093356</v>
          </cell>
          <cell r="B7805">
            <v>112315</v>
          </cell>
          <cell r="C7805" t="str">
            <v>Crosby Ravensworth CofE School</v>
          </cell>
          <cell r="D7805" t="str">
            <v>Cumbria</v>
          </cell>
          <cell r="E7805" t="str">
            <v>Voluntary Aided School</v>
          </cell>
          <cell r="F7805" t="str">
            <v>Primary</v>
          </cell>
        </row>
        <row r="7806">
          <cell r="A7806">
            <v>9095223</v>
          </cell>
          <cell r="B7806">
            <v>112425</v>
          </cell>
          <cell r="C7806" t="str">
            <v>Crosby-on-Eden CofE School</v>
          </cell>
          <cell r="D7806" t="str">
            <v>Cumbria</v>
          </cell>
          <cell r="E7806" t="str">
            <v>Foundation School</v>
          </cell>
          <cell r="F7806" t="str">
            <v>Primary</v>
          </cell>
        </row>
        <row r="7807">
          <cell r="A7807">
            <v>9333311</v>
          </cell>
          <cell r="B7807">
            <v>123829</v>
          </cell>
          <cell r="C7807" t="str">
            <v>Croscombe Church of England Primary School</v>
          </cell>
          <cell r="D7807" t="str">
            <v>Somerset</v>
          </cell>
          <cell r="E7807" t="str">
            <v>Voluntary Aided School</v>
          </cell>
          <cell r="F7807" t="str">
            <v>Primary</v>
          </cell>
        </row>
        <row r="7808">
          <cell r="A7808">
            <v>3061000</v>
          </cell>
          <cell r="B7808">
            <v>101702</v>
          </cell>
          <cell r="C7808" t="str">
            <v>Crosfield Nursery School</v>
          </cell>
          <cell r="D7808" t="str">
            <v>Croydon</v>
          </cell>
          <cell r="E7808" t="str">
            <v>LA Nursery School</v>
          </cell>
          <cell r="F7808" t="str">
            <v>Nursery</v>
          </cell>
        </row>
        <row r="7809">
          <cell r="A7809">
            <v>8726008</v>
          </cell>
          <cell r="B7809">
            <v>110155</v>
          </cell>
          <cell r="C7809" t="str">
            <v>Crosfields School</v>
          </cell>
          <cell r="D7809" t="str">
            <v>Wokingham</v>
          </cell>
          <cell r="E7809" t="str">
            <v>Other Independent School</v>
          </cell>
          <cell r="F7809" t="str">
            <v>Not applicable</v>
          </cell>
        </row>
        <row r="7810">
          <cell r="A7810">
            <v>3822054</v>
          </cell>
          <cell r="B7810">
            <v>127778</v>
          </cell>
          <cell r="C7810" t="str">
            <v>Crosland Moor County Infant School</v>
          </cell>
          <cell r="D7810" t="str">
            <v>Kirklees</v>
          </cell>
          <cell r="E7810" t="str">
            <v>Community School</v>
          </cell>
          <cell r="F7810" t="str">
            <v>Primary</v>
          </cell>
        </row>
        <row r="7811">
          <cell r="A7811">
            <v>3822034</v>
          </cell>
          <cell r="B7811">
            <v>107619</v>
          </cell>
          <cell r="C7811" t="str">
            <v>Crosland Moor Junior School</v>
          </cell>
          <cell r="D7811" t="str">
            <v>Kirklees</v>
          </cell>
          <cell r="E7811" t="str">
            <v>Community School</v>
          </cell>
          <cell r="F7811" t="str">
            <v>Primary</v>
          </cell>
        </row>
        <row r="7812">
          <cell r="A7812">
            <v>6792305</v>
          </cell>
          <cell r="B7812">
            <v>401490</v>
          </cell>
          <cell r="C7812" t="str">
            <v>Cross Ash C.P. School</v>
          </cell>
          <cell r="D7812" t="str">
            <v>Monmouthshire</v>
          </cell>
          <cell r="E7812" t="str">
            <v>Welsh Establishment</v>
          </cell>
          <cell r="F7812" t="str">
            <v>Primary</v>
          </cell>
        </row>
        <row r="7813">
          <cell r="A7813">
            <v>3412204</v>
          </cell>
          <cell r="B7813">
            <v>127283</v>
          </cell>
          <cell r="C7813" t="str">
            <v>Cross Farm County Infant School</v>
          </cell>
          <cell r="D7813" t="str">
            <v>Liverpool</v>
          </cell>
          <cell r="E7813" t="str">
            <v>Community School</v>
          </cell>
          <cell r="F7813" t="str">
            <v>Primary</v>
          </cell>
        </row>
        <row r="7814">
          <cell r="A7814">
            <v>9362501</v>
          </cell>
          <cell r="B7814">
            <v>125085</v>
          </cell>
          <cell r="C7814" t="str">
            <v>Cross Farm Infant School</v>
          </cell>
          <cell r="D7814" t="str">
            <v>Surrey</v>
          </cell>
          <cell r="E7814" t="str">
            <v>Community School</v>
          </cell>
          <cell r="F7814" t="str">
            <v>Primary</v>
          </cell>
        </row>
        <row r="7815">
          <cell r="A7815">
            <v>3412202</v>
          </cell>
          <cell r="B7815">
            <v>104603</v>
          </cell>
          <cell r="C7815" t="str">
            <v>Cross Farm Primary School</v>
          </cell>
          <cell r="D7815" t="str">
            <v>Liverpool</v>
          </cell>
          <cell r="E7815" t="str">
            <v>Community School</v>
          </cell>
          <cell r="F7815" t="str">
            <v>Primary</v>
          </cell>
        </row>
        <row r="7816">
          <cell r="A7816">
            <v>3834027</v>
          </cell>
          <cell r="B7816">
            <v>127972</v>
          </cell>
          <cell r="C7816" t="str">
            <v>Cross Flats Park Middle School</v>
          </cell>
          <cell r="D7816" t="str">
            <v>Leeds</v>
          </cell>
          <cell r="E7816" t="str">
            <v>Community School</v>
          </cell>
          <cell r="F7816" t="str">
            <v>Middle Deemed Secondary</v>
          </cell>
        </row>
        <row r="7817">
          <cell r="A7817">
            <v>3832479</v>
          </cell>
          <cell r="B7817">
            <v>107955</v>
          </cell>
          <cell r="C7817" t="str">
            <v>Cross Flatts Park Primary School</v>
          </cell>
          <cell r="D7817" t="str">
            <v>Leeds</v>
          </cell>
          <cell r="E7817" t="str">
            <v>Community School</v>
          </cell>
          <cell r="F7817" t="str">
            <v>Primary</v>
          </cell>
        </row>
        <row r="7818">
          <cell r="A7818">
            <v>3832070</v>
          </cell>
          <cell r="B7818">
            <v>127821</v>
          </cell>
          <cell r="C7818" t="str">
            <v>Cross Gates First School</v>
          </cell>
          <cell r="D7818" t="str">
            <v>Leeds</v>
          </cell>
          <cell r="E7818" t="str">
            <v>Community School</v>
          </cell>
          <cell r="F7818" t="str">
            <v>Primary</v>
          </cell>
        </row>
        <row r="7819">
          <cell r="A7819">
            <v>3834262</v>
          </cell>
          <cell r="B7819">
            <v>127992</v>
          </cell>
          <cell r="C7819" t="str">
            <v>Cross Gates Middle School</v>
          </cell>
          <cell r="D7819" t="str">
            <v>Leeds</v>
          </cell>
          <cell r="E7819" t="str">
            <v>Community School</v>
          </cell>
          <cell r="F7819" t="str">
            <v>Middle Deemed Secondary</v>
          </cell>
        </row>
        <row r="7820">
          <cell r="A7820">
            <v>3832458</v>
          </cell>
          <cell r="B7820">
            <v>107934</v>
          </cell>
          <cell r="C7820" t="str">
            <v>Cross Gates Primary School</v>
          </cell>
          <cell r="D7820" t="str">
            <v>Leeds</v>
          </cell>
          <cell r="E7820" t="str">
            <v>Community School</v>
          </cell>
          <cell r="F7820" t="str">
            <v>Primary</v>
          </cell>
        </row>
        <row r="7821">
          <cell r="A7821">
            <v>3834042</v>
          </cell>
          <cell r="B7821">
            <v>108060</v>
          </cell>
          <cell r="C7821" t="str">
            <v>Cross Green High School</v>
          </cell>
          <cell r="D7821" t="str">
            <v>Leeds</v>
          </cell>
          <cell r="E7821" t="str">
            <v>Community School</v>
          </cell>
          <cell r="F7821" t="str">
            <v>Secondary</v>
          </cell>
        </row>
        <row r="7822">
          <cell r="A7822">
            <v>3834022</v>
          </cell>
          <cell r="B7822">
            <v>127968</v>
          </cell>
          <cell r="C7822" t="str">
            <v>Cross Green High School</v>
          </cell>
          <cell r="D7822" t="str">
            <v>Leeds</v>
          </cell>
          <cell r="E7822" t="str">
            <v>Community School</v>
          </cell>
          <cell r="F7822" t="str">
            <v>Secondary</v>
          </cell>
        </row>
        <row r="7823">
          <cell r="A7823">
            <v>3832287</v>
          </cell>
          <cell r="B7823">
            <v>107821</v>
          </cell>
          <cell r="C7823" t="str">
            <v>Cross Hall Infant School</v>
          </cell>
          <cell r="D7823" t="str">
            <v>Leeds</v>
          </cell>
          <cell r="E7823" t="str">
            <v>Community School</v>
          </cell>
          <cell r="F7823" t="str">
            <v>Primary</v>
          </cell>
        </row>
        <row r="7824">
          <cell r="A7824">
            <v>3832346</v>
          </cell>
          <cell r="B7824">
            <v>107853</v>
          </cell>
          <cell r="C7824" t="str">
            <v>Cross Hall Junior School</v>
          </cell>
          <cell r="D7824" t="str">
            <v>Leeds</v>
          </cell>
          <cell r="E7824" t="str">
            <v>Community School</v>
          </cell>
          <cell r="F7824" t="str">
            <v>Primary</v>
          </cell>
        </row>
        <row r="7825">
          <cell r="A7825">
            <v>6692008</v>
          </cell>
          <cell r="B7825">
            <v>400736</v>
          </cell>
          <cell r="C7825" t="str">
            <v>Cross Hands C.P. School</v>
          </cell>
          <cell r="D7825" t="str">
            <v>Carmarthenshire</v>
          </cell>
          <cell r="E7825" t="str">
            <v>Welsh Establishment</v>
          </cell>
          <cell r="F7825" t="str">
            <v>Primary</v>
          </cell>
        </row>
        <row r="7826">
          <cell r="A7826">
            <v>6691107</v>
          </cell>
          <cell r="B7826">
            <v>402176</v>
          </cell>
          <cell r="C7826" t="str">
            <v>Cross Hands Centre</v>
          </cell>
          <cell r="D7826" t="str">
            <v>Carmarthenshire</v>
          </cell>
          <cell r="E7826" t="str">
            <v>Welsh Establishment</v>
          </cell>
          <cell r="F7826" t="str">
            <v>Not Applicable</v>
          </cell>
        </row>
        <row r="7827">
          <cell r="A7827">
            <v>6672287</v>
          </cell>
          <cell r="B7827">
            <v>400577</v>
          </cell>
          <cell r="C7827" t="str">
            <v>Cross Inn C.P. School</v>
          </cell>
          <cell r="D7827" t="str">
            <v>Ceredigion</v>
          </cell>
          <cell r="E7827" t="str">
            <v>Welsh Establishment</v>
          </cell>
          <cell r="F7827" t="str">
            <v>Primary</v>
          </cell>
        </row>
        <row r="7828">
          <cell r="A7828">
            <v>3812087</v>
          </cell>
          <cell r="B7828">
            <v>107533</v>
          </cell>
          <cell r="C7828" t="str">
            <v>Cross Lane Primary and Nursery School</v>
          </cell>
          <cell r="D7828" t="str">
            <v>Calderdale</v>
          </cell>
          <cell r="E7828" t="str">
            <v>Community School</v>
          </cell>
          <cell r="F7828" t="str">
            <v>Primary</v>
          </cell>
        </row>
        <row r="7829">
          <cell r="A7829">
            <v>3522074</v>
          </cell>
          <cell r="B7829">
            <v>105411</v>
          </cell>
          <cell r="C7829" t="str">
            <v>Crossacres Infant School</v>
          </cell>
          <cell r="D7829" t="str">
            <v>Manchester</v>
          </cell>
          <cell r="E7829" t="str">
            <v>Community School</v>
          </cell>
          <cell r="F7829" t="str">
            <v>Primary</v>
          </cell>
        </row>
        <row r="7830">
          <cell r="A7830">
            <v>3522073</v>
          </cell>
          <cell r="B7830">
            <v>105410</v>
          </cell>
          <cell r="C7830" t="str">
            <v>Crossacres Primary School</v>
          </cell>
          <cell r="D7830" t="str">
            <v>Manchester</v>
          </cell>
          <cell r="E7830" t="str">
            <v>Community School</v>
          </cell>
          <cell r="F7830" t="str">
            <v>Primary</v>
          </cell>
        </row>
        <row r="7831">
          <cell r="A7831">
            <v>9093103</v>
          </cell>
          <cell r="B7831">
            <v>112273</v>
          </cell>
          <cell r="C7831" t="str">
            <v>Crosscanonby St John's CofE School</v>
          </cell>
          <cell r="D7831" t="str">
            <v>Cumbria</v>
          </cell>
          <cell r="E7831" t="str">
            <v>Voluntary Controlled School</v>
          </cell>
          <cell r="F7831" t="str">
            <v>Primary</v>
          </cell>
        </row>
        <row r="7832">
          <cell r="A7832">
            <v>9093357</v>
          </cell>
          <cell r="B7832">
            <v>112316</v>
          </cell>
          <cell r="C7832" t="str">
            <v>Crosscrake CofE Primary School</v>
          </cell>
          <cell r="D7832" t="str">
            <v>Cumbria</v>
          </cell>
          <cell r="E7832" t="str">
            <v>Voluntary Aided School</v>
          </cell>
          <cell r="F7832" t="str">
            <v>Primary</v>
          </cell>
        </row>
        <row r="7833">
          <cell r="A7833">
            <v>8912770</v>
          </cell>
          <cell r="B7833">
            <v>122652</v>
          </cell>
          <cell r="C7833" t="str">
            <v>Crossdale Drive Primary School</v>
          </cell>
          <cell r="D7833" t="str">
            <v>Nottinghamshire</v>
          </cell>
          <cell r="E7833" t="str">
            <v>Community School</v>
          </cell>
          <cell r="F7833" t="str">
            <v>Primary</v>
          </cell>
        </row>
        <row r="7834">
          <cell r="A7834">
            <v>3431002</v>
          </cell>
          <cell r="B7834">
            <v>104845</v>
          </cell>
          <cell r="C7834" t="str">
            <v>Crossens Nursery School</v>
          </cell>
          <cell r="D7834" t="str">
            <v>Sefton</v>
          </cell>
          <cell r="E7834" t="str">
            <v>LA Nursery School</v>
          </cell>
          <cell r="F7834" t="str">
            <v>Nursery</v>
          </cell>
        </row>
        <row r="7835">
          <cell r="A7835">
            <v>3802111</v>
          </cell>
          <cell r="B7835">
            <v>107253</v>
          </cell>
          <cell r="C7835" t="str">
            <v>Crossflatts Primary School</v>
          </cell>
          <cell r="D7835" t="str">
            <v>Bradford</v>
          </cell>
          <cell r="E7835" t="str">
            <v>Community School</v>
          </cell>
          <cell r="F7835" t="str">
            <v>Primary</v>
          </cell>
        </row>
        <row r="7836">
          <cell r="A7836">
            <v>6662077</v>
          </cell>
          <cell r="B7836">
            <v>400506</v>
          </cell>
          <cell r="C7836" t="str">
            <v>Crossgates C.P. School</v>
          </cell>
          <cell r="D7836" t="str">
            <v>Powys</v>
          </cell>
          <cell r="E7836" t="str">
            <v>Welsh Establishment</v>
          </cell>
          <cell r="F7836" t="str">
            <v>Primary</v>
          </cell>
        </row>
        <row r="7837">
          <cell r="A7837">
            <v>3545200</v>
          </cell>
          <cell r="B7837">
            <v>105846</v>
          </cell>
          <cell r="C7837" t="str">
            <v>Crossgates Primary School</v>
          </cell>
          <cell r="D7837" t="str">
            <v>Rochdale</v>
          </cell>
          <cell r="E7837" t="str">
            <v>Foundation School</v>
          </cell>
          <cell r="F7837" t="str">
            <v>Primary</v>
          </cell>
        </row>
        <row r="7838">
          <cell r="A7838">
            <v>8735203</v>
          </cell>
          <cell r="B7838">
            <v>110891</v>
          </cell>
          <cell r="C7838" t="str">
            <v>Crosshall Infant School</v>
          </cell>
          <cell r="D7838" t="str">
            <v>Cambridgeshire</v>
          </cell>
          <cell r="E7838" t="str">
            <v>Foundation School</v>
          </cell>
          <cell r="F7838" t="str">
            <v>Primary</v>
          </cell>
        </row>
        <row r="7839">
          <cell r="A7839">
            <v>8735203</v>
          </cell>
          <cell r="B7839">
            <v>136332</v>
          </cell>
          <cell r="C7839" t="str">
            <v>Crosshall Infant School Academy Trust</v>
          </cell>
          <cell r="D7839" t="str">
            <v>Cambridgeshire</v>
          </cell>
          <cell r="E7839" t="str">
            <v>Academy Converters</v>
          </cell>
          <cell r="F7839" t="str">
            <v>Primary</v>
          </cell>
        </row>
        <row r="7840">
          <cell r="A7840">
            <v>8735204</v>
          </cell>
          <cell r="B7840">
            <v>110892</v>
          </cell>
          <cell r="C7840" t="str">
            <v>Crosshall Junior School</v>
          </cell>
          <cell r="D7840" t="str">
            <v>Cambridgeshire</v>
          </cell>
          <cell r="E7840" t="str">
            <v>Foundation School</v>
          </cell>
          <cell r="F7840" t="str">
            <v>Primary</v>
          </cell>
        </row>
        <row r="7841">
          <cell r="A7841">
            <v>8735204</v>
          </cell>
          <cell r="B7841">
            <v>136339</v>
          </cell>
          <cell r="C7841" t="str">
            <v>Crosshall Junior School</v>
          </cell>
          <cell r="D7841" t="str">
            <v>Cambridgeshire</v>
          </cell>
          <cell r="E7841" t="str">
            <v>Academy Converters</v>
          </cell>
          <cell r="F7841" t="str">
            <v>Primary</v>
          </cell>
        </row>
        <row r="7842">
          <cell r="A7842">
            <v>8897003</v>
          </cell>
          <cell r="B7842">
            <v>119858</v>
          </cell>
          <cell r="C7842" t="str">
            <v>Crosshill Special School</v>
          </cell>
          <cell r="D7842" t="str">
            <v>Blackburn with Darwen</v>
          </cell>
          <cell r="E7842" t="str">
            <v>Community Special School</v>
          </cell>
          <cell r="F7842" t="str">
            <v>Special</v>
          </cell>
        </row>
        <row r="7843">
          <cell r="A7843">
            <v>8453015</v>
          </cell>
          <cell r="B7843">
            <v>114496</v>
          </cell>
          <cell r="C7843" t="str">
            <v>Cross-in-Hand Church of England Primary School</v>
          </cell>
          <cell r="D7843" t="str">
            <v>East Sussex</v>
          </cell>
          <cell r="E7843" t="str">
            <v>Voluntary Controlled School</v>
          </cell>
          <cell r="F7843" t="str">
            <v>Primary</v>
          </cell>
        </row>
        <row r="7844">
          <cell r="A7844">
            <v>3522075</v>
          </cell>
          <cell r="B7844">
            <v>105412</v>
          </cell>
          <cell r="C7844" t="str">
            <v>Crosslee Community Primary School</v>
          </cell>
          <cell r="D7844" t="str">
            <v>Manchester</v>
          </cell>
          <cell r="E7844" t="str">
            <v>Community School</v>
          </cell>
          <cell r="F7844" t="str">
            <v>Primary</v>
          </cell>
        </row>
        <row r="7845">
          <cell r="A7845">
            <v>3822152</v>
          </cell>
          <cell r="B7845">
            <v>107697</v>
          </cell>
          <cell r="C7845" t="str">
            <v>Crossley Fields Junior and Infant School</v>
          </cell>
          <cell r="D7845" t="str">
            <v>Kirklees</v>
          </cell>
          <cell r="E7845" t="str">
            <v>Community School</v>
          </cell>
          <cell r="F7845" t="str">
            <v>Primary</v>
          </cell>
        </row>
        <row r="7846">
          <cell r="A7846">
            <v>3802024</v>
          </cell>
          <cell r="B7846">
            <v>107203</v>
          </cell>
          <cell r="C7846" t="str">
            <v>Crossley Hall Primary School</v>
          </cell>
          <cell r="D7846" t="str">
            <v>Bradford</v>
          </cell>
          <cell r="E7846" t="str">
            <v>Community School</v>
          </cell>
          <cell r="F7846" t="str">
            <v>Primary</v>
          </cell>
        </row>
        <row r="7847">
          <cell r="A7847">
            <v>3832347</v>
          </cell>
          <cell r="B7847">
            <v>107854</v>
          </cell>
          <cell r="C7847" t="str">
            <v>Crossley Street Primary School</v>
          </cell>
          <cell r="D7847" t="str">
            <v>Leeds</v>
          </cell>
          <cell r="E7847" t="str">
            <v>Community School</v>
          </cell>
          <cell r="F7847" t="str">
            <v>Primary</v>
          </cell>
        </row>
        <row r="7848">
          <cell r="A7848">
            <v>9062255</v>
          </cell>
          <cell r="B7848">
            <v>128415</v>
          </cell>
          <cell r="C7848" t="str">
            <v>Crosstown County Infant School</v>
          </cell>
          <cell r="D7848" t="str">
            <v>Pre LGR (1998) Cheshire</v>
          </cell>
          <cell r="E7848" t="str">
            <v>Community School</v>
          </cell>
          <cell r="F7848" t="str">
            <v>Primary</v>
          </cell>
        </row>
        <row r="7849">
          <cell r="A7849">
            <v>2094900</v>
          </cell>
          <cell r="B7849">
            <v>134183</v>
          </cell>
          <cell r="C7849" t="str">
            <v>Crossways Consortium</v>
          </cell>
          <cell r="D7849" t="str">
            <v>Lewisham</v>
          </cell>
          <cell r="E7849" t="str">
            <v>Sixth Form Centres</v>
          </cell>
          <cell r="F7849" t="str">
            <v>16 Plus</v>
          </cell>
        </row>
        <row r="7850">
          <cell r="A7850">
            <v>8786055</v>
          </cell>
          <cell r="B7850">
            <v>133698</v>
          </cell>
          <cell r="C7850" t="str">
            <v>Crossways Independent School</v>
          </cell>
          <cell r="D7850" t="str">
            <v>Devon</v>
          </cell>
          <cell r="E7850" t="str">
            <v>Other Independent Special School</v>
          </cell>
          <cell r="F7850" t="str">
            <v>Not applicable</v>
          </cell>
        </row>
        <row r="7851">
          <cell r="A7851">
            <v>8032220</v>
          </cell>
          <cell r="B7851">
            <v>109049</v>
          </cell>
          <cell r="C7851" t="str">
            <v>Crossways Infant School</v>
          </cell>
          <cell r="D7851" t="str">
            <v>South Gloucestershire</v>
          </cell>
          <cell r="E7851" t="str">
            <v>Community School</v>
          </cell>
          <cell r="F7851" t="str">
            <v>Primary</v>
          </cell>
        </row>
        <row r="7852">
          <cell r="A7852">
            <v>8032208</v>
          </cell>
          <cell r="B7852">
            <v>109040</v>
          </cell>
          <cell r="C7852" t="str">
            <v>Crossways Junior School</v>
          </cell>
          <cell r="D7852" t="str">
            <v>South Gloucestershire</v>
          </cell>
          <cell r="E7852" t="str">
            <v>Community School</v>
          </cell>
          <cell r="F7852" t="str">
            <v>Primary</v>
          </cell>
        </row>
        <row r="7853">
          <cell r="A7853">
            <v>8351103</v>
          </cell>
          <cell r="B7853">
            <v>130314</v>
          </cell>
          <cell r="C7853" t="str">
            <v>Crossways Pupil Referral Unit</v>
          </cell>
          <cell r="D7853" t="str">
            <v>Dorset</v>
          </cell>
          <cell r="E7853" t="str">
            <v>Pupil Referral Unit</v>
          </cell>
          <cell r="F7853" t="str">
            <v>PRU</v>
          </cell>
        </row>
        <row r="7854">
          <cell r="A7854">
            <v>2094041</v>
          </cell>
          <cell r="B7854">
            <v>134194</v>
          </cell>
          <cell r="C7854" t="str">
            <v>Crossways Sixth Form</v>
          </cell>
          <cell r="D7854" t="str">
            <v>Lewisham</v>
          </cell>
          <cell r="E7854" t="str">
            <v>Community School</v>
          </cell>
          <cell r="F7854" t="str">
            <v>16 Plus</v>
          </cell>
        </row>
        <row r="7855">
          <cell r="A7855">
            <v>9093408</v>
          </cell>
          <cell r="B7855">
            <v>128601</v>
          </cell>
          <cell r="C7855" t="str">
            <v>Crosthwaite CofE First School</v>
          </cell>
          <cell r="D7855" t="str">
            <v>Cumbria</v>
          </cell>
          <cell r="E7855" t="str">
            <v>Voluntary Aided School</v>
          </cell>
          <cell r="F7855" t="str">
            <v>Primary</v>
          </cell>
        </row>
        <row r="7856">
          <cell r="A7856">
            <v>9093358</v>
          </cell>
          <cell r="B7856">
            <v>112317</v>
          </cell>
          <cell r="C7856" t="str">
            <v>Crosthwaite CofE School</v>
          </cell>
          <cell r="D7856" t="str">
            <v>Cumbria</v>
          </cell>
          <cell r="E7856" t="str">
            <v>Voluntary Aided School</v>
          </cell>
          <cell r="F7856" t="str">
            <v>Primary</v>
          </cell>
        </row>
        <row r="7857">
          <cell r="A7857">
            <v>9233140</v>
          </cell>
          <cell r="B7857">
            <v>119399</v>
          </cell>
          <cell r="C7857" t="str">
            <v>Croston Methodist School</v>
          </cell>
          <cell r="D7857" t="str">
            <v>Pre LGR (1998) Lancashire</v>
          </cell>
          <cell r="E7857" t="str">
            <v>Voluntary Controlled School</v>
          </cell>
          <cell r="F7857" t="str">
            <v>Primary</v>
          </cell>
        </row>
        <row r="7858">
          <cell r="A7858">
            <v>9283019</v>
          </cell>
          <cell r="B7858">
            <v>121967</v>
          </cell>
          <cell r="C7858" t="str">
            <v>Croughton All Saints CofE Primary School</v>
          </cell>
          <cell r="D7858" t="str">
            <v>Northamptonshire</v>
          </cell>
          <cell r="E7858" t="str">
            <v>Voluntary Controlled School</v>
          </cell>
          <cell r="F7858" t="str">
            <v>Primary</v>
          </cell>
        </row>
        <row r="7859">
          <cell r="A7859">
            <v>3822038</v>
          </cell>
          <cell r="B7859">
            <v>107623</v>
          </cell>
          <cell r="C7859" t="str">
            <v>Crow Lane Primary and Foundation Stage School</v>
          </cell>
          <cell r="D7859" t="str">
            <v>Kirklees</v>
          </cell>
          <cell r="E7859" t="str">
            <v>Community School</v>
          </cell>
          <cell r="F7859" t="str">
            <v>Primary</v>
          </cell>
        </row>
        <row r="7860">
          <cell r="A7860">
            <v>8882705</v>
          </cell>
          <cell r="B7860">
            <v>119334</v>
          </cell>
          <cell r="C7860" t="str">
            <v>Crow Orchard Primary School</v>
          </cell>
          <cell r="D7860" t="str">
            <v>Lancashire</v>
          </cell>
          <cell r="E7860" t="str">
            <v>Community School</v>
          </cell>
          <cell r="F7860" t="str">
            <v>Primary</v>
          </cell>
        </row>
        <row r="7861">
          <cell r="A7861">
            <v>9082103</v>
          </cell>
          <cell r="B7861">
            <v>111810</v>
          </cell>
          <cell r="C7861" t="str">
            <v>Crowan Primary School</v>
          </cell>
          <cell r="D7861" t="str">
            <v>Cornwall</v>
          </cell>
          <cell r="E7861" t="str">
            <v>Community School</v>
          </cell>
          <cell r="F7861" t="str">
            <v>Primary</v>
          </cell>
        </row>
        <row r="7862">
          <cell r="A7862">
            <v>8451106</v>
          </cell>
          <cell r="B7862">
            <v>114358</v>
          </cell>
          <cell r="C7862" t="str">
            <v>Crowborough Tutorial Centre</v>
          </cell>
          <cell r="D7862" t="str">
            <v>East Sussex</v>
          </cell>
          <cell r="E7862" t="str">
            <v>Pupil Referral Unit</v>
          </cell>
          <cell r="F7862" t="str">
            <v>PRU</v>
          </cell>
        </row>
        <row r="7863">
          <cell r="A7863">
            <v>9333313</v>
          </cell>
          <cell r="B7863">
            <v>123830</v>
          </cell>
          <cell r="C7863" t="str">
            <v>Crowcombe CofE VA Primary School</v>
          </cell>
          <cell r="D7863" t="str">
            <v>Somerset</v>
          </cell>
          <cell r="E7863" t="str">
            <v>Voluntary Aided School</v>
          </cell>
          <cell r="F7863" t="str">
            <v>Primary</v>
          </cell>
        </row>
        <row r="7864">
          <cell r="A7864">
            <v>3522076</v>
          </cell>
          <cell r="B7864">
            <v>105413</v>
          </cell>
          <cell r="C7864" t="str">
            <v>Crowcroft Park Primary School</v>
          </cell>
          <cell r="D7864" t="str">
            <v>Manchester</v>
          </cell>
          <cell r="E7864" t="str">
            <v>Community School</v>
          </cell>
          <cell r="F7864" t="str">
            <v>Primary</v>
          </cell>
        </row>
        <row r="7865">
          <cell r="A7865">
            <v>8667006</v>
          </cell>
          <cell r="B7865">
            <v>126549</v>
          </cell>
          <cell r="C7865" t="str">
            <v>Crowdys Hill School</v>
          </cell>
          <cell r="D7865" t="str">
            <v>Swindon</v>
          </cell>
          <cell r="E7865" t="str">
            <v>Community Special School</v>
          </cell>
          <cell r="F7865" t="str">
            <v>Special</v>
          </cell>
        </row>
        <row r="7866">
          <cell r="A7866">
            <v>9352062</v>
          </cell>
          <cell r="B7866">
            <v>124569</v>
          </cell>
          <cell r="C7866" t="str">
            <v>Crowfoot Community Primary School</v>
          </cell>
          <cell r="D7866" t="str">
            <v>Suffolk</v>
          </cell>
          <cell r="E7866" t="str">
            <v>Community School</v>
          </cell>
          <cell r="F7866" t="str">
            <v>Primary</v>
          </cell>
        </row>
        <row r="7867">
          <cell r="A7867">
            <v>8453016</v>
          </cell>
          <cell r="B7867">
            <v>114497</v>
          </cell>
          <cell r="C7867" t="str">
            <v>Crowhurst CofE Primary School</v>
          </cell>
          <cell r="D7867" t="str">
            <v>East Sussex</v>
          </cell>
          <cell r="E7867" t="str">
            <v>Voluntary Controlled School</v>
          </cell>
          <cell r="F7867" t="str">
            <v>Primary</v>
          </cell>
        </row>
        <row r="7868">
          <cell r="A7868">
            <v>3092014</v>
          </cell>
          <cell r="B7868">
            <v>126900</v>
          </cell>
          <cell r="C7868" t="str">
            <v>Crowland Infant School</v>
          </cell>
          <cell r="D7868" t="str">
            <v>Haringey</v>
          </cell>
          <cell r="E7868" t="str">
            <v>Community School</v>
          </cell>
          <cell r="F7868" t="str">
            <v>Primary</v>
          </cell>
        </row>
        <row r="7869">
          <cell r="A7869">
            <v>3092013</v>
          </cell>
          <cell r="B7869">
            <v>126899</v>
          </cell>
          <cell r="C7869" t="str">
            <v>Crowland Junior School</v>
          </cell>
          <cell r="D7869" t="str">
            <v>Haringey</v>
          </cell>
          <cell r="E7869" t="str">
            <v>Community School</v>
          </cell>
          <cell r="F7869" t="str">
            <v>Primary</v>
          </cell>
        </row>
        <row r="7870">
          <cell r="A7870">
            <v>3092075</v>
          </cell>
          <cell r="B7870">
            <v>102129</v>
          </cell>
          <cell r="C7870" t="str">
            <v>Crowland Primary School</v>
          </cell>
          <cell r="D7870" t="str">
            <v>Haringey</v>
          </cell>
          <cell r="E7870" t="str">
            <v>Community School</v>
          </cell>
          <cell r="F7870" t="str">
            <v>Primary</v>
          </cell>
        </row>
        <row r="7871">
          <cell r="A7871">
            <v>3112040</v>
          </cell>
          <cell r="B7871">
            <v>102293</v>
          </cell>
          <cell r="C7871" t="str">
            <v>Crowlands Infant School</v>
          </cell>
          <cell r="D7871" t="str">
            <v>Havering</v>
          </cell>
          <cell r="E7871" t="str">
            <v>Community School</v>
          </cell>
          <cell r="F7871" t="str">
            <v>Primary</v>
          </cell>
        </row>
        <row r="7872">
          <cell r="A7872">
            <v>3112039</v>
          </cell>
          <cell r="B7872">
            <v>102292</v>
          </cell>
          <cell r="C7872" t="str">
            <v>Crowlands Junior School</v>
          </cell>
          <cell r="D7872" t="str">
            <v>Havering</v>
          </cell>
          <cell r="E7872" t="str">
            <v>Community School</v>
          </cell>
          <cell r="F7872" t="str">
            <v>Primary</v>
          </cell>
        </row>
        <row r="7873">
          <cell r="A7873">
            <v>3112097</v>
          </cell>
          <cell r="B7873">
            <v>135812</v>
          </cell>
          <cell r="C7873" t="str">
            <v>Crowlands Primary School</v>
          </cell>
          <cell r="D7873" t="str">
            <v>Havering</v>
          </cell>
          <cell r="E7873" t="str">
            <v>Community School</v>
          </cell>
          <cell r="F7873" t="str">
            <v>Primary</v>
          </cell>
        </row>
        <row r="7874">
          <cell r="A7874">
            <v>8853028</v>
          </cell>
          <cell r="B7874">
            <v>116801</v>
          </cell>
          <cell r="C7874" t="str">
            <v>Crowle CofE First School</v>
          </cell>
          <cell r="D7874" t="str">
            <v>Worcestershire</v>
          </cell>
          <cell r="E7874" t="str">
            <v>Voluntary Controlled School</v>
          </cell>
          <cell r="F7874" t="str">
            <v>Primary</v>
          </cell>
        </row>
        <row r="7875">
          <cell r="A7875">
            <v>8132115</v>
          </cell>
          <cell r="B7875">
            <v>117735</v>
          </cell>
          <cell r="C7875" t="str">
            <v>Crowle Primary School</v>
          </cell>
          <cell r="D7875" t="str">
            <v>North Lincolnshire</v>
          </cell>
          <cell r="E7875" t="str">
            <v>Community School</v>
          </cell>
          <cell r="F7875" t="str">
            <v>Primary</v>
          </cell>
        </row>
        <row r="7876">
          <cell r="A7876">
            <v>3823041</v>
          </cell>
          <cell r="B7876">
            <v>107725</v>
          </cell>
          <cell r="C7876" t="str">
            <v>Crowlees Church of England Voluntary Controlled Junior and Infant School</v>
          </cell>
          <cell r="D7876" t="str">
            <v>Kirklees</v>
          </cell>
          <cell r="E7876" t="str">
            <v>Voluntary Controlled School</v>
          </cell>
          <cell r="F7876" t="str">
            <v>Primary</v>
          </cell>
        </row>
        <row r="7877">
          <cell r="A7877">
            <v>9183073</v>
          </cell>
          <cell r="B7877">
            <v>129082</v>
          </cell>
          <cell r="C7877" t="str">
            <v>Crowleigh CofE Primary School</v>
          </cell>
          <cell r="D7877" t="str">
            <v>Pre LGR (1998) Hereford &amp; Worcester</v>
          </cell>
          <cell r="E7877" t="str">
            <v>Voluntary Controlled School</v>
          </cell>
          <cell r="F7877" t="str">
            <v>Primary</v>
          </cell>
        </row>
        <row r="7878">
          <cell r="A7878">
            <v>9313200</v>
          </cell>
          <cell r="B7878">
            <v>123133</v>
          </cell>
          <cell r="C7878" t="str">
            <v>Crowmarsh Gifford Church of England School</v>
          </cell>
          <cell r="D7878" t="str">
            <v>Oxfordshire</v>
          </cell>
          <cell r="E7878" t="str">
            <v>Voluntary Controlled School</v>
          </cell>
          <cell r="F7878" t="str">
            <v>Primary</v>
          </cell>
        </row>
        <row r="7879">
          <cell r="A7879">
            <v>8932088</v>
          </cell>
          <cell r="B7879">
            <v>123391</v>
          </cell>
          <cell r="C7879" t="str">
            <v>Crowmoor Primary School and Nursery</v>
          </cell>
          <cell r="D7879" t="str">
            <v>Shropshire</v>
          </cell>
          <cell r="E7879" t="str">
            <v>Community School</v>
          </cell>
          <cell r="F7879" t="str">
            <v>Primary</v>
          </cell>
        </row>
        <row r="7880">
          <cell r="A7880">
            <v>8051101</v>
          </cell>
          <cell r="B7880">
            <v>133750</v>
          </cell>
          <cell r="C7880" t="str">
            <v>Crown Centre</v>
          </cell>
          <cell r="D7880" t="str">
            <v>Hartlepool</v>
          </cell>
          <cell r="E7880" t="str">
            <v>Pupil Referral Unit</v>
          </cell>
          <cell r="F7880" t="str">
            <v>PRU</v>
          </cell>
        </row>
        <row r="7881">
          <cell r="A7881">
            <v>350941</v>
          </cell>
          <cell r="B7881">
            <v>135519</v>
          </cell>
          <cell r="C7881" t="str">
            <v>Crown Green Zone</v>
          </cell>
          <cell r="D7881" t="str">
            <v>Bolton</v>
          </cell>
          <cell r="E7881" t="str">
            <v>Playing for Success Centres</v>
          </cell>
          <cell r="F7881" t="str">
            <v>Not applicable</v>
          </cell>
        </row>
        <row r="7882">
          <cell r="A7882">
            <v>8564205</v>
          </cell>
          <cell r="B7882">
            <v>120277</v>
          </cell>
          <cell r="C7882" t="str">
            <v>Crown Hills Community College</v>
          </cell>
          <cell r="D7882" t="str">
            <v>Leicester</v>
          </cell>
          <cell r="E7882" t="str">
            <v>Community School</v>
          </cell>
          <cell r="F7882" t="str">
            <v>Secondary</v>
          </cell>
        </row>
        <row r="7883">
          <cell r="A7883">
            <v>8256016</v>
          </cell>
          <cell r="B7883">
            <v>110557</v>
          </cell>
          <cell r="C7883" t="str">
            <v>Crown House School</v>
          </cell>
          <cell r="D7883" t="str">
            <v>Buckinghamshire</v>
          </cell>
          <cell r="E7883" t="str">
            <v>Other Independent School</v>
          </cell>
          <cell r="F7883" t="str">
            <v>Not applicable</v>
          </cell>
        </row>
        <row r="7884">
          <cell r="A7884">
            <v>2082783</v>
          </cell>
          <cell r="B7884">
            <v>100593</v>
          </cell>
          <cell r="C7884" t="str">
            <v>Crown Lane Primary School</v>
          </cell>
          <cell r="D7884" t="str">
            <v>Lambeth</v>
          </cell>
          <cell r="E7884" t="str">
            <v>Community School</v>
          </cell>
          <cell r="F7884" t="str">
            <v>Primary</v>
          </cell>
        </row>
        <row r="7885">
          <cell r="A7885">
            <v>8852002</v>
          </cell>
          <cell r="B7885">
            <v>116646</v>
          </cell>
          <cell r="C7885" t="str">
            <v>Crown Meadow First School &amp; Nursery</v>
          </cell>
          <cell r="D7885" t="str">
            <v>Worcestershire</v>
          </cell>
          <cell r="E7885" t="str">
            <v>Community School</v>
          </cell>
          <cell r="F7885" t="str">
            <v>Primary</v>
          </cell>
        </row>
        <row r="7886">
          <cell r="A7886">
            <v>8672236</v>
          </cell>
          <cell r="B7886">
            <v>109928</v>
          </cell>
          <cell r="C7886" t="str">
            <v>Crown Wood Primary School</v>
          </cell>
          <cell r="D7886" t="str">
            <v>Bracknell Forest</v>
          </cell>
          <cell r="E7886" t="str">
            <v>Community School</v>
          </cell>
          <cell r="F7886" t="str">
            <v>Primary</v>
          </cell>
        </row>
        <row r="7887">
          <cell r="A7887">
            <v>2034271</v>
          </cell>
          <cell r="B7887">
            <v>100189</v>
          </cell>
          <cell r="C7887" t="str">
            <v>Crown Woods School</v>
          </cell>
          <cell r="D7887" t="str">
            <v>Greenwich</v>
          </cell>
          <cell r="E7887" t="str">
            <v>Community School</v>
          </cell>
          <cell r="F7887" t="str">
            <v>Secondary</v>
          </cell>
        </row>
        <row r="7888">
          <cell r="A7888">
            <v>6787012</v>
          </cell>
          <cell r="B7888">
            <v>401926</v>
          </cell>
          <cell r="C7888" t="str">
            <v>Crownbridge Special Day School</v>
          </cell>
          <cell r="D7888" t="str">
            <v>Torfaen</v>
          </cell>
          <cell r="E7888" t="str">
            <v>Welsh Establishment</v>
          </cell>
          <cell r="F7888" t="str">
            <v>Not applicable</v>
          </cell>
        </row>
        <row r="7889">
          <cell r="A7889">
            <v>3112042</v>
          </cell>
          <cell r="B7889">
            <v>102295</v>
          </cell>
          <cell r="C7889" t="str">
            <v>Crownfield Infant School</v>
          </cell>
          <cell r="D7889" t="str">
            <v>Havering</v>
          </cell>
          <cell r="E7889" t="str">
            <v>Community School</v>
          </cell>
          <cell r="F7889" t="str">
            <v>Primary</v>
          </cell>
        </row>
        <row r="7890">
          <cell r="A7890">
            <v>3112041</v>
          </cell>
          <cell r="B7890">
            <v>102294</v>
          </cell>
          <cell r="C7890" t="str">
            <v>Crownfield Junior School</v>
          </cell>
          <cell r="D7890" t="str">
            <v>Havering</v>
          </cell>
          <cell r="E7890" t="str">
            <v>Community School</v>
          </cell>
          <cell r="F7890" t="str">
            <v>Primary</v>
          </cell>
        </row>
        <row r="7891">
          <cell r="A7891">
            <v>8826003</v>
          </cell>
          <cell r="B7891">
            <v>115404</v>
          </cell>
          <cell r="C7891" t="str">
            <v>Crowstone School</v>
          </cell>
          <cell r="D7891" t="str">
            <v>Southend-on-Sea</v>
          </cell>
          <cell r="E7891" t="str">
            <v>Other Independent School</v>
          </cell>
          <cell r="F7891" t="str">
            <v>Not applicable</v>
          </cell>
        </row>
        <row r="7892">
          <cell r="A7892">
            <v>8897031</v>
          </cell>
          <cell r="B7892">
            <v>119875</v>
          </cell>
          <cell r="C7892" t="str">
            <v>Crowthorn School</v>
          </cell>
          <cell r="D7892" t="str">
            <v>Blackburn with Darwen</v>
          </cell>
          <cell r="E7892" t="str">
            <v>Non-Maintained Special School</v>
          </cell>
          <cell r="F7892" t="str">
            <v>Special</v>
          </cell>
        </row>
        <row r="7893">
          <cell r="A7893">
            <v>8673023</v>
          </cell>
          <cell r="B7893">
            <v>109962</v>
          </cell>
          <cell r="C7893" t="str">
            <v>Crowthorne Church of England Primary School</v>
          </cell>
          <cell r="D7893" t="str">
            <v>Bracknell Forest</v>
          </cell>
          <cell r="E7893" t="str">
            <v>Voluntary Controlled School</v>
          </cell>
          <cell r="F7893" t="str">
            <v>Primary</v>
          </cell>
        </row>
        <row r="7894">
          <cell r="A7894">
            <v>8963532</v>
          </cell>
          <cell r="B7894">
            <v>111336</v>
          </cell>
          <cell r="C7894" t="str">
            <v>Crowton Christ Church CofE Primary School</v>
          </cell>
          <cell r="D7894" t="str">
            <v>Cheshire West and Chester</v>
          </cell>
          <cell r="E7894" t="str">
            <v>Voluntary Aided School</v>
          </cell>
          <cell r="F7894" t="str">
            <v>Primary</v>
          </cell>
        </row>
        <row r="7895">
          <cell r="A7895">
            <v>3414423</v>
          </cell>
          <cell r="B7895">
            <v>104695</v>
          </cell>
          <cell r="C7895" t="str">
            <v>Croxteth Community Comprehensive School</v>
          </cell>
          <cell r="D7895" t="str">
            <v>Liverpool</v>
          </cell>
          <cell r="E7895" t="str">
            <v>Community School</v>
          </cell>
          <cell r="F7895" t="str">
            <v>Secondary</v>
          </cell>
        </row>
        <row r="7896">
          <cell r="A7896">
            <v>3412216</v>
          </cell>
          <cell r="B7896">
            <v>104612</v>
          </cell>
          <cell r="C7896" t="str">
            <v>Croxteth Community Primary School</v>
          </cell>
          <cell r="D7896" t="str">
            <v>Liverpool</v>
          </cell>
          <cell r="E7896" t="str">
            <v>Community School</v>
          </cell>
          <cell r="F7896" t="str">
            <v>Primary</v>
          </cell>
        </row>
        <row r="7897">
          <cell r="A7897">
            <v>3412192</v>
          </cell>
          <cell r="B7897">
            <v>127278</v>
          </cell>
          <cell r="C7897" t="str">
            <v>Croxteth County Infant School</v>
          </cell>
          <cell r="D7897" t="str">
            <v>Liverpool</v>
          </cell>
          <cell r="E7897" t="str">
            <v>Community School</v>
          </cell>
          <cell r="F7897" t="str">
            <v>Primary</v>
          </cell>
        </row>
        <row r="7898">
          <cell r="A7898">
            <v>3412169</v>
          </cell>
          <cell r="B7898">
            <v>127276</v>
          </cell>
          <cell r="C7898" t="str">
            <v>Croxteth County Junior School</v>
          </cell>
          <cell r="D7898" t="str">
            <v>Liverpool</v>
          </cell>
          <cell r="E7898" t="str">
            <v>Community School</v>
          </cell>
          <cell r="F7898" t="str">
            <v>Primary</v>
          </cell>
        </row>
        <row r="7899">
          <cell r="A7899">
            <v>8553028</v>
          </cell>
          <cell r="B7899">
            <v>120126</v>
          </cell>
          <cell r="C7899" t="str">
            <v>Croxton Kerrial Church of England Primary School</v>
          </cell>
          <cell r="D7899" t="str">
            <v>Leicestershire</v>
          </cell>
          <cell r="E7899" t="str">
            <v>Voluntary Controlled School</v>
          </cell>
          <cell r="F7899" t="str">
            <v>Primary</v>
          </cell>
        </row>
        <row r="7900">
          <cell r="A7900">
            <v>3066098</v>
          </cell>
          <cell r="B7900">
            <v>134465</v>
          </cell>
          <cell r="C7900" t="str">
            <v>Croydon &amp; District Education Trust</v>
          </cell>
          <cell r="D7900" t="str">
            <v>Croydon</v>
          </cell>
          <cell r="E7900" t="str">
            <v>Other Independent School</v>
          </cell>
          <cell r="F7900" t="str">
            <v>Not applicable</v>
          </cell>
        </row>
        <row r="7901">
          <cell r="A7901">
            <v>3068000</v>
          </cell>
          <cell r="B7901">
            <v>130432</v>
          </cell>
          <cell r="C7901" t="str">
            <v>Croydon College</v>
          </cell>
          <cell r="D7901" t="str">
            <v>Croydon</v>
          </cell>
          <cell r="E7901" t="str">
            <v>Further Education</v>
          </cell>
          <cell r="F7901" t="str">
            <v>16 Plus</v>
          </cell>
        </row>
        <row r="7902">
          <cell r="A7902">
            <v>8017008</v>
          </cell>
          <cell r="B7902">
            <v>109388</v>
          </cell>
          <cell r="C7902" t="str">
            <v>Croydon Hall School</v>
          </cell>
          <cell r="D7902" t="str">
            <v>Bristol City of</v>
          </cell>
          <cell r="E7902" t="str">
            <v>Community Special School</v>
          </cell>
          <cell r="F7902" t="str">
            <v>Special</v>
          </cell>
        </row>
        <row r="7903">
          <cell r="A7903">
            <v>3066081</v>
          </cell>
          <cell r="B7903">
            <v>101845</v>
          </cell>
          <cell r="C7903" t="str">
            <v>Croydon High School</v>
          </cell>
          <cell r="D7903" t="str">
            <v>Croydon</v>
          </cell>
          <cell r="E7903" t="str">
            <v>Other Independent School</v>
          </cell>
          <cell r="F7903" t="str">
            <v>Not applicable</v>
          </cell>
        </row>
        <row r="7904">
          <cell r="A7904">
            <v>3066000</v>
          </cell>
          <cell r="B7904">
            <v>137567</v>
          </cell>
          <cell r="C7904" t="str">
            <v>Croydon Metropolitan College</v>
          </cell>
          <cell r="D7904" t="str">
            <v>Croydon</v>
          </cell>
          <cell r="E7904" t="str">
            <v>Other Independent School</v>
          </cell>
          <cell r="F7904" t="str">
            <v>Not applicable</v>
          </cell>
        </row>
        <row r="7905">
          <cell r="A7905">
            <v>3066102</v>
          </cell>
          <cell r="B7905">
            <v>131537</v>
          </cell>
          <cell r="C7905" t="str">
            <v>Croydon Primary Independent School</v>
          </cell>
          <cell r="D7905" t="str">
            <v>Croydon</v>
          </cell>
          <cell r="E7905" t="str">
            <v>Other Independent School</v>
          </cell>
          <cell r="F7905" t="str">
            <v>Not applicable</v>
          </cell>
        </row>
        <row r="7906">
          <cell r="A7906">
            <v>9282096</v>
          </cell>
          <cell r="B7906">
            <v>121868</v>
          </cell>
          <cell r="C7906" t="str">
            <v>Croyland Infant School</v>
          </cell>
          <cell r="D7906" t="str">
            <v>Northamptonshire</v>
          </cell>
          <cell r="E7906" t="str">
            <v>Community School</v>
          </cell>
          <cell r="F7906" t="str">
            <v>Primary</v>
          </cell>
        </row>
        <row r="7907">
          <cell r="A7907">
            <v>9282095</v>
          </cell>
          <cell r="B7907">
            <v>121867</v>
          </cell>
          <cell r="C7907" t="str">
            <v>Croyland Junior School</v>
          </cell>
          <cell r="D7907" t="str">
            <v>Northamptonshire</v>
          </cell>
          <cell r="E7907" t="str">
            <v>Community School</v>
          </cell>
          <cell r="F7907" t="str">
            <v>Primary</v>
          </cell>
        </row>
        <row r="7908">
          <cell r="A7908">
            <v>9281001</v>
          </cell>
          <cell r="B7908">
            <v>121783</v>
          </cell>
          <cell r="C7908" t="str">
            <v>Croyland Nursery School</v>
          </cell>
          <cell r="D7908" t="str">
            <v>Northamptonshire</v>
          </cell>
          <cell r="E7908" t="str">
            <v>LA Nursery School</v>
          </cell>
          <cell r="F7908" t="str">
            <v>Nursery</v>
          </cell>
        </row>
        <row r="7909">
          <cell r="A7909">
            <v>9282231</v>
          </cell>
          <cell r="B7909">
            <v>133600</v>
          </cell>
          <cell r="C7909" t="str">
            <v>Croyland Primary School</v>
          </cell>
          <cell r="D7909" t="str">
            <v>Northamptonshire</v>
          </cell>
          <cell r="E7909" t="str">
            <v>Community School</v>
          </cell>
          <cell r="F7909" t="str">
            <v>Primary</v>
          </cell>
        </row>
        <row r="7910">
          <cell r="A7910">
            <v>8936017</v>
          </cell>
          <cell r="B7910">
            <v>123619</v>
          </cell>
          <cell r="C7910" t="str">
            <v>Cruckton Hall School</v>
          </cell>
          <cell r="D7910" t="str">
            <v>Shropshire</v>
          </cell>
          <cell r="E7910" t="str">
            <v>Other Independent Special School</v>
          </cell>
          <cell r="F7910" t="str">
            <v>Not applicable</v>
          </cell>
        </row>
        <row r="7911">
          <cell r="A7911">
            <v>3911001</v>
          </cell>
          <cell r="B7911">
            <v>108428</v>
          </cell>
          <cell r="C7911" t="str">
            <v>Cruddas Park Early Years Centre</v>
          </cell>
          <cell r="D7911" t="str">
            <v>Newcastle upon Tyne</v>
          </cell>
          <cell r="E7911" t="str">
            <v>LA Nursery School</v>
          </cell>
          <cell r="F7911" t="str">
            <v>Nursery</v>
          </cell>
        </row>
        <row r="7912">
          <cell r="A7912">
            <v>8942038</v>
          </cell>
          <cell r="B7912">
            <v>123362</v>
          </cell>
          <cell r="C7912" t="str">
            <v>Crudgington Primary School</v>
          </cell>
          <cell r="D7912" t="str">
            <v>Telford and Wrekin</v>
          </cell>
          <cell r="E7912" t="str">
            <v>Community School</v>
          </cell>
          <cell r="F7912" t="str">
            <v>Primary</v>
          </cell>
        </row>
        <row r="7913">
          <cell r="A7913">
            <v>8653048</v>
          </cell>
          <cell r="B7913">
            <v>126319</v>
          </cell>
          <cell r="C7913" t="str">
            <v>Crudwell CofE Primary School</v>
          </cell>
          <cell r="D7913" t="str">
            <v>Wiltshire</v>
          </cell>
          <cell r="E7913" t="str">
            <v>Voluntary Controlled School</v>
          </cell>
          <cell r="F7913" t="str">
            <v>Primary</v>
          </cell>
        </row>
        <row r="7914">
          <cell r="A7914">
            <v>6762093</v>
          </cell>
          <cell r="B7914">
            <v>401311</v>
          </cell>
          <cell r="C7914" t="str">
            <v>Crumlin High Level Primary School</v>
          </cell>
          <cell r="D7914" t="str">
            <v>Caerphilly</v>
          </cell>
          <cell r="E7914" t="str">
            <v>Welsh Establishment</v>
          </cell>
          <cell r="F7914" t="str">
            <v>Primary</v>
          </cell>
        </row>
        <row r="7915">
          <cell r="A7915">
            <v>3522078</v>
          </cell>
          <cell r="B7915">
            <v>127409</v>
          </cell>
          <cell r="C7915" t="str">
            <v>Crumpsall Lane Infant School</v>
          </cell>
          <cell r="D7915" t="str">
            <v>Manchester</v>
          </cell>
          <cell r="E7915" t="str">
            <v>Community School</v>
          </cell>
          <cell r="F7915" t="str">
            <v>Primary</v>
          </cell>
        </row>
        <row r="7916">
          <cell r="A7916">
            <v>3522077</v>
          </cell>
          <cell r="B7916">
            <v>127408</v>
          </cell>
          <cell r="C7916" t="str">
            <v>Crumpsall Lane Junior School</v>
          </cell>
          <cell r="D7916" t="str">
            <v>Manchester</v>
          </cell>
          <cell r="E7916" t="str">
            <v>Community School</v>
          </cell>
          <cell r="F7916" t="str">
            <v>Primary</v>
          </cell>
        </row>
        <row r="7917">
          <cell r="A7917">
            <v>3522327</v>
          </cell>
          <cell r="B7917">
            <v>105486</v>
          </cell>
          <cell r="C7917" t="str">
            <v>Crumpsall Lane Primary School</v>
          </cell>
          <cell r="D7917" t="str">
            <v>Manchester</v>
          </cell>
          <cell r="E7917" t="str">
            <v>Community School</v>
          </cell>
          <cell r="F7917" t="str">
            <v>Primary</v>
          </cell>
        </row>
        <row r="7918">
          <cell r="A7918">
            <v>2047151</v>
          </cell>
          <cell r="B7918">
            <v>100310</v>
          </cell>
          <cell r="C7918" t="str">
            <v>Crusoe House School</v>
          </cell>
          <cell r="D7918" t="str">
            <v>Hackney</v>
          </cell>
          <cell r="E7918" t="str">
            <v>Community Special School</v>
          </cell>
          <cell r="F7918" t="str">
            <v>Special</v>
          </cell>
        </row>
        <row r="7919">
          <cell r="A7919">
            <v>6702120</v>
          </cell>
          <cell r="B7919">
            <v>400914</v>
          </cell>
          <cell r="C7919" t="str">
            <v>Crwys Primary School</v>
          </cell>
          <cell r="D7919" t="str">
            <v>Swansea</v>
          </cell>
          <cell r="E7919" t="str">
            <v>Welsh Establishment</v>
          </cell>
          <cell r="F7919" t="str">
            <v>Primary</v>
          </cell>
        </row>
        <row r="7920">
          <cell r="A7920">
            <v>6712134</v>
          </cell>
          <cell r="B7920">
            <v>400969</v>
          </cell>
          <cell r="C7920" t="str">
            <v>Crymlyn Primary School</v>
          </cell>
          <cell r="D7920" t="str">
            <v>Neath Port Talbot</v>
          </cell>
          <cell r="E7920" t="str">
            <v>Welsh Establishment</v>
          </cell>
          <cell r="F7920" t="str">
            <v>Primary</v>
          </cell>
        </row>
        <row r="7921">
          <cell r="A7921">
            <v>6712207</v>
          </cell>
          <cell r="B7921">
            <v>401009</v>
          </cell>
          <cell r="C7921" t="str">
            <v>Crynallt Infant School</v>
          </cell>
          <cell r="D7921" t="str">
            <v>Neath Port Talbot</v>
          </cell>
          <cell r="E7921" t="str">
            <v>Welsh Establishment</v>
          </cell>
          <cell r="F7921" t="str">
            <v>Primary</v>
          </cell>
        </row>
        <row r="7922">
          <cell r="A7922">
            <v>6712196</v>
          </cell>
          <cell r="B7922">
            <v>401001</v>
          </cell>
          <cell r="C7922" t="str">
            <v>Crynallt Junior School</v>
          </cell>
          <cell r="D7922" t="str">
            <v>Neath Port Talbot</v>
          </cell>
          <cell r="E7922" t="str">
            <v>Welsh Establishment</v>
          </cell>
          <cell r="F7922" t="str">
            <v>Primary</v>
          </cell>
        </row>
        <row r="7923">
          <cell r="A7923">
            <v>3806066</v>
          </cell>
          <cell r="B7923">
            <v>130857</v>
          </cell>
          <cell r="C7923" t="str">
            <v>Crystal Gardens Primary School</v>
          </cell>
          <cell r="D7923" t="str">
            <v>Bradford</v>
          </cell>
          <cell r="E7923" t="str">
            <v>Other Independent School</v>
          </cell>
          <cell r="F7923" t="str">
            <v>Not applicable</v>
          </cell>
        </row>
        <row r="7924">
          <cell r="A7924">
            <v>306940</v>
          </cell>
          <cell r="B7924">
            <v>132696</v>
          </cell>
          <cell r="C7924" t="str">
            <v>Crystal Palace FC Study Support Centre</v>
          </cell>
          <cell r="D7924" t="str">
            <v>Croydon</v>
          </cell>
          <cell r="E7924" t="str">
            <v>Playing for Success Centres</v>
          </cell>
          <cell r="F7924" t="str">
            <v>Not applicable</v>
          </cell>
        </row>
        <row r="7925">
          <cell r="A7925">
            <v>7046020</v>
          </cell>
          <cell r="B7925">
            <v>134387</v>
          </cell>
          <cell r="C7925" t="str">
            <v>CSPC International School, Hui Yang</v>
          </cell>
          <cell r="D7925" t="str">
            <v>Fieldwork Overseas Establishments</v>
          </cell>
          <cell r="E7925" t="str">
            <v>Service Childrens Education</v>
          </cell>
          <cell r="F7925" t="str">
            <v>Not applicable</v>
          </cell>
        </row>
        <row r="7926">
          <cell r="A7926">
            <v>8811112</v>
          </cell>
          <cell r="B7926">
            <v>132850</v>
          </cell>
          <cell r="C7926" t="str">
            <v>Css Ne Quadrant PRU</v>
          </cell>
          <cell r="D7926" t="str">
            <v>Essex</v>
          </cell>
          <cell r="E7926" t="str">
            <v>Pupil Referral Unit</v>
          </cell>
          <cell r="F7926" t="str">
            <v>PRU</v>
          </cell>
        </row>
        <row r="7927">
          <cell r="A7927">
            <v>8731100</v>
          </cell>
          <cell r="B7927">
            <v>110600</v>
          </cell>
          <cell r="C7927" t="str">
            <v>CSSC Ascham</v>
          </cell>
          <cell r="D7927" t="str">
            <v>Cambridgeshire</v>
          </cell>
          <cell r="E7927" t="str">
            <v>Pupil Referral Unit</v>
          </cell>
          <cell r="F7927" t="str">
            <v>PRU</v>
          </cell>
        </row>
        <row r="7928">
          <cell r="A7928">
            <v>3346924</v>
          </cell>
          <cell r="B7928">
            <v>135684</v>
          </cell>
          <cell r="C7928" t="str">
            <v>CTC Kingshurst Academy</v>
          </cell>
          <cell r="D7928" t="str">
            <v>Solihull</v>
          </cell>
          <cell r="E7928" t="str">
            <v>Academy Sponsor Led</v>
          </cell>
          <cell r="F7928" t="str">
            <v>Secondary</v>
          </cell>
        </row>
        <row r="7929">
          <cell r="A7929">
            <v>9373144</v>
          </cell>
          <cell r="B7929">
            <v>125660</v>
          </cell>
          <cell r="C7929" t="str">
            <v>Cubbington CofE Primary School</v>
          </cell>
          <cell r="D7929" t="str">
            <v>Warwickshire</v>
          </cell>
          <cell r="E7929" t="str">
            <v>Voluntary Controlled School</v>
          </cell>
          <cell r="F7929" t="str">
            <v>Primary</v>
          </cell>
        </row>
        <row r="7930">
          <cell r="A7930">
            <v>9082400</v>
          </cell>
          <cell r="B7930">
            <v>111880</v>
          </cell>
          <cell r="C7930" t="str">
            <v>Cubert School</v>
          </cell>
          <cell r="D7930" t="str">
            <v>Cornwall</v>
          </cell>
          <cell r="E7930" t="str">
            <v>Community School</v>
          </cell>
          <cell r="F7930" t="str">
            <v>Primary</v>
          </cell>
        </row>
        <row r="7931">
          <cell r="A7931">
            <v>2112893</v>
          </cell>
          <cell r="B7931">
            <v>100932</v>
          </cell>
          <cell r="C7931" t="str">
            <v>Cubitt Town Infants' School</v>
          </cell>
          <cell r="D7931" t="str">
            <v>Tower Hamlets</v>
          </cell>
          <cell r="E7931" t="str">
            <v>Community School</v>
          </cell>
          <cell r="F7931" t="str">
            <v>Primary</v>
          </cell>
        </row>
        <row r="7932">
          <cell r="A7932">
            <v>2112144</v>
          </cell>
          <cell r="B7932">
            <v>100898</v>
          </cell>
          <cell r="C7932" t="str">
            <v>Cubitt Town Junior School</v>
          </cell>
          <cell r="D7932" t="str">
            <v>Tower Hamlets</v>
          </cell>
          <cell r="E7932" t="str">
            <v>Community School</v>
          </cell>
          <cell r="F7932" t="str">
            <v>Primary</v>
          </cell>
        </row>
        <row r="7933">
          <cell r="A7933">
            <v>8457036</v>
          </cell>
          <cell r="B7933">
            <v>114696</v>
          </cell>
          <cell r="C7933" t="str">
            <v>Cuckmere House School</v>
          </cell>
          <cell r="D7933" t="str">
            <v>East Sussex</v>
          </cell>
          <cell r="E7933" t="str">
            <v>Community Special School</v>
          </cell>
          <cell r="F7933" t="str">
            <v>Special</v>
          </cell>
        </row>
        <row r="7934">
          <cell r="A7934">
            <v>8913087</v>
          </cell>
          <cell r="B7934">
            <v>122757</v>
          </cell>
          <cell r="C7934" t="str">
            <v>Cuckney CofE Primary School</v>
          </cell>
          <cell r="D7934" t="str">
            <v>Nottinghamshire</v>
          </cell>
          <cell r="E7934" t="str">
            <v>Voluntary Controlled School</v>
          </cell>
          <cell r="F7934" t="str">
            <v>Primary</v>
          </cell>
        </row>
        <row r="7935">
          <cell r="A7935">
            <v>3082078</v>
          </cell>
          <cell r="B7935">
            <v>136284</v>
          </cell>
          <cell r="C7935" t="str">
            <v>Cuckoo Hall Academy</v>
          </cell>
          <cell r="D7935" t="str">
            <v>Enfield</v>
          </cell>
          <cell r="E7935" t="str">
            <v>Academy Converters</v>
          </cell>
          <cell r="F7935" t="str">
            <v>Primary</v>
          </cell>
        </row>
        <row r="7936">
          <cell r="A7936">
            <v>3082078</v>
          </cell>
          <cell r="B7936">
            <v>102018</v>
          </cell>
          <cell r="C7936" t="str">
            <v>Cuckoo Hall Primary School</v>
          </cell>
          <cell r="D7936" t="str">
            <v>Enfield</v>
          </cell>
          <cell r="E7936" t="str">
            <v>Foundation School</v>
          </cell>
          <cell r="F7936" t="str">
            <v>Primary</v>
          </cell>
        </row>
        <row r="7937">
          <cell r="A7937">
            <v>8253309</v>
          </cell>
          <cell r="B7937">
            <v>110452</v>
          </cell>
          <cell r="C7937" t="str">
            <v>Cuddington and Dinton CofE School</v>
          </cell>
          <cell r="D7937" t="str">
            <v>Buckinghamshire</v>
          </cell>
          <cell r="E7937" t="str">
            <v>Voluntary Aided School</v>
          </cell>
          <cell r="F7937" t="str">
            <v>Primary</v>
          </cell>
        </row>
        <row r="7938">
          <cell r="A7938">
            <v>9362095</v>
          </cell>
          <cell r="B7938">
            <v>124963</v>
          </cell>
          <cell r="C7938" t="str">
            <v>Cuddington Community Primary School</v>
          </cell>
          <cell r="D7938" t="str">
            <v>Surrey</v>
          </cell>
          <cell r="E7938" t="str">
            <v>Community School</v>
          </cell>
          <cell r="F7938" t="str">
            <v>Primary</v>
          </cell>
        </row>
        <row r="7939">
          <cell r="A7939">
            <v>9362355</v>
          </cell>
          <cell r="B7939">
            <v>125027</v>
          </cell>
          <cell r="C7939" t="str">
            <v>Cuddington Croft Primary School</v>
          </cell>
          <cell r="D7939" t="str">
            <v>Surrey</v>
          </cell>
          <cell r="E7939" t="str">
            <v>Community School</v>
          </cell>
          <cell r="F7939" t="str">
            <v>Primary</v>
          </cell>
        </row>
        <row r="7940">
          <cell r="A7940">
            <v>8962196</v>
          </cell>
          <cell r="B7940">
            <v>111059</v>
          </cell>
          <cell r="C7940" t="str">
            <v>Cuddington Primary School</v>
          </cell>
          <cell r="D7940" t="str">
            <v>Cheshire West and Chester</v>
          </cell>
          <cell r="E7940" t="str">
            <v>Community School</v>
          </cell>
          <cell r="F7940" t="str">
            <v>Primary</v>
          </cell>
        </row>
        <row r="7941">
          <cell r="A7941">
            <v>3053004</v>
          </cell>
          <cell r="B7941">
            <v>101646</v>
          </cell>
          <cell r="C7941" t="str">
            <v>Cudham Church of England Primary School</v>
          </cell>
          <cell r="D7941" t="str">
            <v>Bromley</v>
          </cell>
          <cell r="E7941" t="str">
            <v>Voluntary Controlled School</v>
          </cell>
          <cell r="F7941" t="str">
            <v>Primary</v>
          </cell>
        </row>
        <row r="7942">
          <cell r="A7942">
            <v>3702134</v>
          </cell>
          <cell r="B7942">
            <v>106622</v>
          </cell>
          <cell r="C7942" t="str">
            <v>Cudworth Churchfield Primary School</v>
          </cell>
          <cell r="D7942" t="str">
            <v>Barnsley</v>
          </cell>
          <cell r="E7942" t="str">
            <v>Community School</v>
          </cell>
          <cell r="F7942" t="str">
            <v>Primary</v>
          </cell>
        </row>
        <row r="7943">
          <cell r="A7943">
            <v>3704020</v>
          </cell>
          <cell r="B7943">
            <v>127594</v>
          </cell>
          <cell r="C7943" t="str">
            <v>Cudworth Middle School</v>
          </cell>
          <cell r="D7943" t="str">
            <v>Barnsley</v>
          </cell>
          <cell r="E7943" t="str">
            <v>Community School</v>
          </cell>
          <cell r="F7943" t="str">
            <v>Middle Deemed Secondary</v>
          </cell>
        </row>
        <row r="7944">
          <cell r="A7944">
            <v>8882842</v>
          </cell>
          <cell r="B7944">
            <v>133645</v>
          </cell>
          <cell r="C7944" t="str">
            <v>Cuerden Church School, Bamber Bridge</v>
          </cell>
          <cell r="D7944" t="str">
            <v>Lancashire</v>
          </cell>
          <cell r="E7944" t="str">
            <v>Voluntary Aided School</v>
          </cell>
          <cell r="F7944" t="str">
            <v>Primary</v>
          </cell>
        </row>
        <row r="7945">
          <cell r="A7945">
            <v>9195205</v>
          </cell>
          <cell r="B7945">
            <v>117565</v>
          </cell>
          <cell r="C7945" t="str">
            <v>Cuffley School</v>
          </cell>
          <cell r="D7945" t="str">
            <v>Hertfordshire</v>
          </cell>
          <cell r="E7945" t="str">
            <v>Foundation School</v>
          </cell>
          <cell r="F7945" t="str">
            <v>Primary</v>
          </cell>
        </row>
        <row r="7946">
          <cell r="A7946">
            <v>8772402</v>
          </cell>
          <cell r="B7946">
            <v>111180</v>
          </cell>
          <cell r="C7946" t="str">
            <v>Culcheth Community Primary School</v>
          </cell>
          <cell r="D7946" t="str">
            <v>Warrington</v>
          </cell>
          <cell r="E7946" t="str">
            <v>Community School</v>
          </cell>
          <cell r="F7946" t="str">
            <v>Primary</v>
          </cell>
        </row>
        <row r="7947">
          <cell r="A7947">
            <v>3586000</v>
          </cell>
          <cell r="B7947">
            <v>106377</v>
          </cell>
          <cell r="C7947" t="str">
            <v>Culcheth Hall School</v>
          </cell>
          <cell r="D7947" t="str">
            <v>Trafford</v>
          </cell>
          <cell r="E7947" t="str">
            <v>Other Independent School</v>
          </cell>
          <cell r="F7947" t="str">
            <v>Not applicable</v>
          </cell>
        </row>
        <row r="7948">
          <cell r="A7948">
            <v>8774200</v>
          </cell>
          <cell r="B7948">
            <v>111430</v>
          </cell>
          <cell r="C7948" t="str">
            <v>Culcheth High School</v>
          </cell>
          <cell r="D7948" t="str">
            <v>Warrington</v>
          </cell>
          <cell r="E7948" t="str">
            <v>Community School</v>
          </cell>
          <cell r="F7948" t="str">
            <v>Secondary</v>
          </cell>
        </row>
        <row r="7949">
          <cell r="A7949">
            <v>3344036</v>
          </cell>
          <cell r="B7949">
            <v>127181</v>
          </cell>
          <cell r="C7949" t="str">
            <v>Culey Green School</v>
          </cell>
          <cell r="D7949" t="str">
            <v>Solihull</v>
          </cell>
          <cell r="E7949" t="str">
            <v>Community School</v>
          </cell>
          <cell r="F7949" t="str">
            <v>Secondary</v>
          </cell>
        </row>
        <row r="7950">
          <cell r="A7950">
            <v>9356077</v>
          </cell>
          <cell r="B7950">
            <v>124900</v>
          </cell>
          <cell r="C7950" t="str">
            <v>Culford Preparatory School</v>
          </cell>
          <cell r="D7950" t="str">
            <v>Suffolk</v>
          </cell>
          <cell r="E7950" t="str">
            <v>Other Independent School</v>
          </cell>
          <cell r="F7950" t="str">
            <v>Not applicable</v>
          </cell>
        </row>
        <row r="7951">
          <cell r="A7951">
            <v>9353015</v>
          </cell>
          <cell r="B7951">
            <v>129978</v>
          </cell>
          <cell r="C7951" t="str">
            <v>Culford Primary School</v>
          </cell>
          <cell r="D7951" t="str">
            <v>Suffolk</v>
          </cell>
          <cell r="E7951" t="str">
            <v>Voluntary Controlled School</v>
          </cell>
          <cell r="F7951" t="str">
            <v>Primary</v>
          </cell>
        </row>
        <row r="7952">
          <cell r="A7952">
            <v>9356053</v>
          </cell>
          <cell r="B7952">
            <v>124886</v>
          </cell>
          <cell r="C7952" t="str">
            <v>Culford School</v>
          </cell>
          <cell r="D7952" t="str">
            <v>Suffolk</v>
          </cell>
          <cell r="E7952" t="str">
            <v>Other Independent School</v>
          </cell>
          <cell r="F7952" t="str">
            <v>Not applicable</v>
          </cell>
        </row>
        <row r="7953">
          <cell r="A7953">
            <v>9093305</v>
          </cell>
          <cell r="B7953">
            <v>112302</v>
          </cell>
          <cell r="C7953" t="str">
            <v>Culgaith CofE School</v>
          </cell>
          <cell r="D7953" t="str">
            <v>Cumbria</v>
          </cell>
          <cell r="E7953" t="str">
            <v>Voluntary Aided School</v>
          </cell>
          <cell r="F7953" t="str">
            <v>Primary</v>
          </cell>
        </row>
        <row r="7954">
          <cell r="A7954">
            <v>9313190</v>
          </cell>
          <cell r="B7954">
            <v>123132</v>
          </cell>
          <cell r="C7954" t="str">
            <v>Culham Parochial Church of England School</v>
          </cell>
          <cell r="D7954" t="str">
            <v>Oxfordshire</v>
          </cell>
          <cell r="E7954" t="str">
            <v>Voluntary Controlled School</v>
          </cell>
          <cell r="F7954" t="str">
            <v>Primary</v>
          </cell>
        </row>
        <row r="7955">
          <cell r="A7955">
            <v>3922000</v>
          </cell>
          <cell r="B7955">
            <v>108569</v>
          </cell>
          <cell r="C7955" t="str">
            <v>Cullercoats Primary School</v>
          </cell>
          <cell r="D7955" t="str">
            <v>North Tyneside</v>
          </cell>
          <cell r="E7955" t="str">
            <v>Community School</v>
          </cell>
          <cell r="F7955" t="str">
            <v>Primary</v>
          </cell>
        </row>
        <row r="7956">
          <cell r="A7956">
            <v>3802112</v>
          </cell>
          <cell r="B7956">
            <v>107254</v>
          </cell>
          <cell r="C7956" t="str">
            <v>Cullingworth Village Primary School</v>
          </cell>
          <cell r="D7956" t="str">
            <v>Bradford</v>
          </cell>
          <cell r="E7956" t="str">
            <v>Community School</v>
          </cell>
          <cell r="F7956" t="str">
            <v>Primary</v>
          </cell>
        </row>
        <row r="7957">
          <cell r="A7957">
            <v>2112145</v>
          </cell>
          <cell r="B7957">
            <v>100899</v>
          </cell>
          <cell r="C7957" t="str">
            <v>Culloden Primary School</v>
          </cell>
          <cell r="D7957" t="str">
            <v>Tower Hamlets</v>
          </cell>
          <cell r="E7957" t="str">
            <v>Community School</v>
          </cell>
          <cell r="F7957" t="str">
            <v>Primary</v>
          </cell>
        </row>
        <row r="7958">
          <cell r="A7958">
            <v>8784010</v>
          </cell>
          <cell r="B7958">
            <v>113502</v>
          </cell>
          <cell r="C7958" t="str">
            <v>Cullompton Community College</v>
          </cell>
          <cell r="D7958" t="str">
            <v>Devon</v>
          </cell>
          <cell r="E7958" t="str">
            <v>Community School</v>
          </cell>
          <cell r="F7958" t="str">
            <v>Secondary</v>
          </cell>
        </row>
        <row r="7959">
          <cell r="A7959">
            <v>8782015</v>
          </cell>
          <cell r="B7959">
            <v>113071</v>
          </cell>
          <cell r="C7959" t="str">
            <v>Culmstock Primary School</v>
          </cell>
          <cell r="D7959" t="str">
            <v>Devon</v>
          </cell>
          <cell r="E7959" t="str">
            <v>Community School</v>
          </cell>
          <cell r="F7959" t="str">
            <v>Primary</v>
          </cell>
        </row>
        <row r="7960">
          <cell r="A7960">
            <v>8004108</v>
          </cell>
          <cell r="B7960">
            <v>109293</v>
          </cell>
          <cell r="C7960" t="str">
            <v>Culverhay School</v>
          </cell>
          <cell r="D7960" t="str">
            <v>Bath and North East Somerset</v>
          </cell>
          <cell r="E7960" t="str">
            <v>Community School</v>
          </cell>
          <cell r="F7960" t="str">
            <v>Secondary</v>
          </cell>
        </row>
        <row r="7961">
          <cell r="A7961">
            <v>8037000</v>
          </cell>
          <cell r="B7961">
            <v>131808</v>
          </cell>
          <cell r="C7961" t="str">
            <v>Culverhill School</v>
          </cell>
          <cell r="D7961" t="str">
            <v>South Gloucestershire</v>
          </cell>
          <cell r="E7961" t="str">
            <v>Community Special School</v>
          </cell>
          <cell r="F7961" t="str">
            <v>Special</v>
          </cell>
        </row>
        <row r="7962">
          <cell r="A7962">
            <v>3192048</v>
          </cell>
          <cell r="B7962">
            <v>131103</v>
          </cell>
          <cell r="C7962" t="str">
            <v>Culvers House Primary School</v>
          </cell>
          <cell r="D7962" t="str">
            <v>Sutton</v>
          </cell>
          <cell r="E7962" t="str">
            <v>Community School</v>
          </cell>
          <cell r="F7962" t="str">
            <v>Primary</v>
          </cell>
        </row>
        <row r="7963">
          <cell r="A7963">
            <v>8862110</v>
          </cell>
          <cell r="B7963">
            <v>118263</v>
          </cell>
          <cell r="C7963" t="str">
            <v>Culverstone Green Primary School</v>
          </cell>
          <cell r="D7963" t="str">
            <v>Kent</v>
          </cell>
          <cell r="E7963" t="str">
            <v>Community School</v>
          </cell>
          <cell r="F7963" t="str">
            <v>Primary</v>
          </cell>
        </row>
        <row r="7964">
          <cell r="A7964">
            <v>9283312</v>
          </cell>
          <cell r="B7964">
            <v>122019</v>
          </cell>
          <cell r="C7964" t="str">
            <v>Culworth Church of England School</v>
          </cell>
          <cell r="D7964" t="str">
            <v>Northamptonshire</v>
          </cell>
          <cell r="E7964" t="str">
            <v>Voluntary Aided School</v>
          </cell>
          <cell r="F7964" t="str">
            <v>Primary</v>
          </cell>
        </row>
        <row r="7965">
          <cell r="A7965">
            <v>8512665</v>
          </cell>
          <cell r="B7965">
            <v>116192</v>
          </cell>
          <cell r="C7965" t="str">
            <v>Cumberland Infant School</v>
          </cell>
          <cell r="D7965" t="str">
            <v>Portsmouth</v>
          </cell>
          <cell r="E7965" t="str">
            <v>Community School</v>
          </cell>
          <cell r="F7965" t="str">
            <v>Primary</v>
          </cell>
        </row>
        <row r="7966">
          <cell r="A7966">
            <v>3164033</v>
          </cell>
          <cell r="B7966">
            <v>102783</v>
          </cell>
          <cell r="C7966" t="str">
            <v>Cumberland School</v>
          </cell>
          <cell r="D7966" t="str">
            <v>Newham</v>
          </cell>
          <cell r="E7966" t="str">
            <v>Community School</v>
          </cell>
          <cell r="F7966" t="str">
            <v>Secondary</v>
          </cell>
        </row>
        <row r="7967">
          <cell r="A7967">
            <v>8886104</v>
          </cell>
          <cell r="B7967">
            <v>135541</v>
          </cell>
          <cell r="C7967" t="str">
            <v>Cumberland School</v>
          </cell>
          <cell r="D7967" t="str">
            <v>Lancashire</v>
          </cell>
          <cell r="E7967" t="str">
            <v>Other Independent Special School</v>
          </cell>
          <cell r="F7967" t="str">
            <v>Not applicable</v>
          </cell>
        </row>
        <row r="7968">
          <cell r="A7968">
            <v>8914423</v>
          </cell>
          <cell r="B7968">
            <v>122872</v>
          </cell>
          <cell r="C7968" t="str">
            <v>Cumberlands Middle School</v>
          </cell>
          <cell r="D7968" t="str">
            <v>Nottinghamshire</v>
          </cell>
          <cell r="E7968" t="str">
            <v>Community School</v>
          </cell>
          <cell r="F7968" t="str">
            <v>Middle Deemed Secondary</v>
          </cell>
        </row>
        <row r="7969">
          <cell r="A7969">
            <v>3823325</v>
          </cell>
          <cell r="B7969">
            <v>107741</v>
          </cell>
          <cell r="C7969" t="str">
            <v>Cumberworth Church of England Voluntary Aided First School</v>
          </cell>
          <cell r="D7969" t="str">
            <v>Kirklees</v>
          </cell>
          <cell r="E7969" t="str">
            <v>Voluntary Aided School</v>
          </cell>
          <cell r="F7969" t="str">
            <v>Primary</v>
          </cell>
        </row>
        <row r="7970">
          <cell r="A7970">
            <v>9098150</v>
          </cell>
          <cell r="B7970">
            <v>130635</v>
          </cell>
          <cell r="C7970" t="str">
            <v>Cumbria College of Art and Design</v>
          </cell>
          <cell r="D7970" t="str">
            <v>Cumbria</v>
          </cell>
          <cell r="E7970" t="str">
            <v>Further Education</v>
          </cell>
          <cell r="F7970" t="str">
            <v>16 Plus</v>
          </cell>
        </row>
        <row r="7971">
          <cell r="A7971">
            <v>909</v>
          </cell>
          <cell r="B7971">
            <v>133800</v>
          </cell>
          <cell r="C7971" t="str">
            <v>Cumbria Institute of the Arts</v>
          </cell>
          <cell r="D7971" t="str">
            <v>Cumbria</v>
          </cell>
          <cell r="E7971" t="str">
            <v>Higher Education Institutions</v>
          </cell>
          <cell r="F7971" t="str">
            <v>Not applicable</v>
          </cell>
        </row>
        <row r="7972">
          <cell r="A7972">
            <v>9092019</v>
          </cell>
          <cell r="B7972">
            <v>112107</v>
          </cell>
          <cell r="C7972" t="str">
            <v>Cummersdale School</v>
          </cell>
          <cell r="D7972" t="str">
            <v>Cumbria</v>
          </cell>
          <cell r="E7972" t="str">
            <v>Community School</v>
          </cell>
          <cell r="F7972" t="str">
            <v>Primary</v>
          </cell>
        </row>
        <row r="7973">
          <cell r="A7973">
            <v>9313223</v>
          </cell>
          <cell r="B7973">
            <v>123146</v>
          </cell>
          <cell r="C7973" t="str">
            <v>Cumnor Church of England School (Voluntary Controlled)</v>
          </cell>
          <cell r="D7973" t="str">
            <v>Oxfordshire</v>
          </cell>
          <cell r="E7973" t="str">
            <v>Voluntary Controlled School</v>
          </cell>
          <cell r="F7973" t="str">
            <v>Primary</v>
          </cell>
        </row>
        <row r="7974">
          <cell r="A7974">
            <v>3066003</v>
          </cell>
          <cell r="B7974">
            <v>101829</v>
          </cell>
          <cell r="C7974" t="str">
            <v>Cumnor House School</v>
          </cell>
          <cell r="D7974" t="str">
            <v>Croydon</v>
          </cell>
          <cell r="E7974" t="str">
            <v>Other Independent School</v>
          </cell>
          <cell r="F7974" t="str">
            <v>Not applicable</v>
          </cell>
        </row>
        <row r="7975">
          <cell r="A7975">
            <v>9386019</v>
          </cell>
          <cell r="B7975">
            <v>114623</v>
          </cell>
          <cell r="C7975" t="str">
            <v>Cumnor House School</v>
          </cell>
          <cell r="D7975" t="str">
            <v>West Sussex</v>
          </cell>
          <cell r="E7975" t="str">
            <v>Other Independent School</v>
          </cell>
          <cell r="F7975" t="str">
            <v>Not applicable</v>
          </cell>
        </row>
        <row r="7976">
          <cell r="A7976">
            <v>3066107</v>
          </cell>
          <cell r="B7976">
            <v>136226</v>
          </cell>
          <cell r="C7976" t="str">
            <v>Cumnor House School</v>
          </cell>
          <cell r="D7976" t="str">
            <v>Croydon</v>
          </cell>
          <cell r="E7976" t="str">
            <v>Other Independent School</v>
          </cell>
          <cell r="F7976" t="str">
            <v>Not applicable</v>
          </cell>
        </row>
        <row r="7977">
          <cell r="A7977">
            <v>9092020</v>
          </cell>
          <cell r="B7977">
            <v>112108</v>
          </cell>
          <cell r="C7977" t="str">
            <v>Cumwhinton School</v>
          </cell>
          <cell r="D7977" t="str">
            <v>Cumbria</v>
          </cell>
          <cell r="E7977" t="str">
            <v>Community School</v>
          </cell>
          <cell r="F7977" t="str">
            <v>Primary</v>
          </cell>
        </row>
        <row r="7978">
          <cell r="A7978">
            <v>8156022</v>
          </cell>
          <cell r="B7978">
            <v>121752</v>
          </cell>
          <cell r="C7978" t="str">
            <v>Cundall Manor Preparatory School</v>
          </cell>
          <cell r="D7978" t="str">
            <v>North Yorkshire</v>
          </cell>
          <cell r="E7978" t="str">
            <v>Other Independent School</v>
          </cell>
          <cell r="F7978" t="str">
            <v>Not applicable</v>
          </cell>
        </row>
        <row r="7979">
          <cell r="A7979">
            <v>9192332</v>
          </cell>
          <cell r="B7979">
            <v>117279</v>
          </cell>
          <cell r="C7979" t="str">
            <v>Cunningham Hill Infant School</v>
          </cell>
          <cell r="D7979" t="str">
            <v>Hertfordshire</v>
          </cell>
          <cell r="E7979" t="str">
            <v>Community School</v>
          </cell>
          <cell r="F7979" t="str">
            <v>Primary</v>
          </cell>
        </row>
        <row r="7980">
          <cell r="A7980">
            <v>9192280</v>
          </cell>
          <cell r="B7980">
            <v>117250</v>
          </cell>
          <cell r="C7980" t="str">
            <v>Cunningham Hill Junior School</v>
          </cell>
          <cell r="D7980" t="str">
            <v>Hertfordshire</v>
          </cell>
          <cell r="E7980" t="str">
            <v>Community School</v>
          </cell>
          <cell r="F7980" t="str">
            <v>Primary</v>
          </cell>
        </row>
        <row r="7981">
          <cell r="A7981">
            <v>8502329</v>
          </cell>
          <cell r="B7981">
            <v>116048</v>
          </cell>
          <cell r="C7981" t="str">
            <v>Cupernham Infant School</v>
          </cell>
          <cell r="D7981" t="str">
            <v>Hampshire</v>
          </cell>
          <cell r="E7981" t="str">
            <v>Community School</v>
          </cell>
          <cell r="F7981" t="str">
            <v>Primary</v>
          </cell>
        </row>
        <row r="7982">
          <cell r="A7982">
            <v>8502176</v>
          </cell>
          <cell r="B7982">
            <v>115944</v>
          </cell>
          <cell r="C7982" t="str">
            <v>Cupernham Junior School</v>
          </cell>
          <cell r="D7982" t="str">
            <v>Hampshire</v>
          </cell>
          <cell r="E7982" t="str">
            <v>Community School</v>
          </cell>
          <cell r="F7982" t="str">
            <v>Primary</v>
          </cell>
        </row>
        <row r="7983">
          <cell r="A7983">
            <v>9386263</v>
          </cell>
          <cell r="B7983">
            <v>134941</v>
          </cell>
          <cell r="C7983" t="str">
            <v>Cura Academy</v>
          </cell>
          <cell r="D7983" t="str">
            <v>West Sussex</v>
          </cell>
          <cell r="E7983" t="str">
            <v>Other Independent School</v>
          </cell>
          <cell r="F7983" t="str">
            <v>Not applicable</v>
          </cell>
        </row>
        <row r="7984">
          <cell r="A7984">
            <v>8302083</v>
          </cell>
          <cell r="B7984">
            <v>112535</v>
          </cell>
          <cell r="C7984" t="str">
            <v>Curbar Primary School</v>
          </cell>
          <cell r="D7984" t="str">
            <v>Derbyshire</v>
          </cell>
          <cell r="E7984" t="str">
            <v>Community School</v>
          </cell>
          <cell r="F7984" t="str">
            <v>Primary</v>
          </cell>
        </row>
        <row r="7985">
          <cell r="A7985">
            <v>8502047</v>
          </cell>
          <cell r="B7985">
            <v>115879</v>
          </cell>
          <cell r="C7985" t="str">
            <v>Curdridge Primary School</v>
          </cell>
          <cell r="D7985" t="str">
            <v>Hampshire</v>
          </cell>
          <cell r="E7985" t="str">
            <v>Community School</v>
          </cell>
          <cell r="F7985" t="str">
            <v>Primary</v>
          </cell>
        </row>
        <row r="7986">
          <cell r="A7986">
            <v>9372502</v>
          </cell>
          <cell r="B7986">
            <v>125583</v>
          </cell>
          <cell r="C7986" t="str">
            <v>Curdworth Primary School</v>
          </cell>
          <cell r="D7986" t="str">
            <v>Warwickshire</v>
          </cell>
          <cell r="E7986" t="str">
            <v>Community School</v>
          </cell>
          <cell r="F7986" t="str">
            <v>Primary</v>
          </cell>
        </row>
        <row r="7987">
          <cell r="A7987">
            <v>8802434</v>
          </cell>
          <cell r="B7987">
            <v>113212</v>
          </cell>
          <cell r="C7987" t="str">
            <v>Curledge Street Primary School</v>
          </cell>
          <cell r="D7987" t="str">
            <v>Torbay</v>
          </cell>
          <cell r="E7987" t="str">
            <v>Community School</v>
          </cell>
          <cell r="F7987" t="str">
            <v>Primary</v>
          </cell>
        </row>
        <row r="7988">
          <cell r="A7988">
            <v>3712031</v>
          </cell>
          <cell r="B7988">
            <v>127601</v>
          </cell>
          <cell r="C7988" t="str">
            <v>Curlew Middle School</v>
          </cell>
          <cell r="D7988" t="str">
            <v>Doncaster</v>
          </cell>
          <cell r="E7988" t="str">
            <v>Community School</v>
          </cell>
          <cell r="F7988" t="str">
            <v>Middle Deemed Primary</v>
          </cell>
        </row>
        <row r="7989">
          <cell r="A7989">
            <v>9087004</v>
          </cell>
          <cell r="B7989">
            <v>112086</v>
          </cell>
          <cell r="C7989" t="str">
            <v>Curnow School</v>
          </cell>
          <cell r="D7989" t="str">
            <v>Cornwall</v>
          </cell>
          <cell r="E7989" t="str">
            <v>Community Special School</v>
          </cell>
          <cell r="F7989" t="str">
            <v>Special</v>
          </cell>
        </row>
        <row r="7990">
          <cell r="A7990">
            <v>8692064</v>
          </cell>
          <cell r="B7990">
            <v>109811</v>
          </cell>
          <cell r="C7990" t="str">
            <v>Curridge Primary School</v>
          </cell>
          <cell r="D7990" t="str">
            <v>West Berkshire</v>
          </cell>
          <cell r="E7990" t="str">
            <v>Community School</v>
          </cell>
          <cell r="F7990" t="str">
            <v>Primary</v>
          </cell>
        </row>
        <row r="7991">
          <cell r="A7991">
            <v>9333039</v>
          </cell>
          <cell r="B7991">
            <v>123751</v>
          </cell>
          <cell r="C7991" t="str">
            <v>Curry Mallet Church of England Primary School</v>
          </cell>
          <cell r="D7991" t="str">
            <v>Somerset</v>
          </cell>
          <cell r="E7991" t="str">
            <v>Voluntary Controlled School</v>
          </cell>
          <cell r="F7991" t="str">
            <v>Primary</v>
          </cell>
        </row>
        <row r="7992">
          <cell r="A7992">
            <v>9333040</v>
          </cell>
          <cell r="B7992">
            <v>123752</v>
          </cell>
          <cell r="C7992" t="str">
            <v>Curry Rivel Church of England VC Primary School</v>
          </cell>
          <cell r="D7992" t="str">
            <v>Somerset</v>
          </cell>
          <cell r="E7992" t="str">
            <v>Voluntary Controlled School</v>
          </cell>
          <cell r="F7992" t="str">
            <v>Primary</v>
          </cell>
        </row>
        <row r="7993">
          <cell r="A7993">
            <v>3162013</v>
          </cell>
          <cell r="B7993">
            <v>126976</v>
          </cell>
          <cell r="C7993" t="str">
            <v>Curwen Infant School</v>
          </cell>
          <cell r="D7993" t="str">
            <v>Newham</v>
          </cell>
          <cell r="E7993" t="str">
            <v>Community School</v>
          </cell>
          <cell r="F7993" t="str">
            <v>Primary</v>
          </cell>
        </row>
        <row r="7994">
          <cell r="A7994">
            <v>3162012</v>
          </cell>
          <cell r="B7994">
            <v>102715</v>
          </cell>
          <cell r="C7994" t="str">
            <v>Curwen Primary and Nursery School</v>
          </cell>
          <cell r="D7994" t="str">
            <v>Newham</v>
          </cell>
          <cell r="E7994" t="str">
            <v>Community School</v>
          </cell>
          <cell r="F7994" t="str">
            <v>Primary</v>
          </cell>
        </row>
        <row r="7995">
          <cell r="A7995">
            <v>9083383</v>
          </cell>
          <cell r="B7995">
            <v>112001</v>
          </cell>
          <cell r="C7995" t="str">
            <v>Cury CofE Primary School</v>
          </cell>
          <cell r="D7995" t="str">
            <v>Cornwall</v>
          </cell>
          <cell r="E7995" t="str">
            <v>Voluntary Aided School</v>
          </cell>
          <cell r="F7995" t="str">
            <v>Primary</v>
          </cell>
        </row>
        <row r="7996">
          <cell r="A7996">
            <v>8253038</v>
          </cell>
          <cell r="B7996">
            <v>110429</v>
          </cell>
          <cell r="C7996" t="str">
            <v>Curzon Church of England Combined School</v>
          </cell>
          <cell r="D7996" t="str">
            <v>Buckinghamshire</v>
          </cell>
          <cell r="E7996" t="str">
            <v>Voluntary Aided School</v>
          </cell>
          <cell r="F7996" t="str">
            <v>Primary</v>
          </cell>
        </row>
        <row r="7997">
          <cell r="A7997">
            <v>3041000</v>
          </cell>
          <cell r="B7997">
            <v>101489</v>
          </cell>
          <cell r="C7997" t="str">
            <v>Curzon Crescent Nursery School</v>
          </cell>
          <cell r="D7997" t="str">
            <v>Brent</v>
          </cell>
          <cell r="E7997" t="str">
            <v>LA Nursery School</v>
          </cell>
          <cell r="F7997" t="str">
            <v>Nursery</v>
          </cell>
        </row>
        <row r="7998">
          <cell r="A7998">
            <v>9082226</v>
          </cell>
          <cell r="B7998">
            <v>111845</v>
          </cell>
          <cell r="C7998" t="str">
            <v>Cusgarne Community Primary School</v>
          </cell>
          <cell r="D7998" t="str">
            <v>Cornwall</v>
          </cell>
          <cell r="E7998" t="str">
            <v>Community School</v>
          </cell>
          <cell r="F7998" t="str">
            <v>Primary</v>
          </cell>
        </row>
        <row r="7999">
          <cell r="A7999">
            <v>6642008</v>
          </cell>
          <cell r="B7999">
            <v>400318</v>
          </cell>
          <cell r="C7999" t="str">
            <v>Custom House Lane C.P.</v>
          </cell>
          <cell r="D7999" t="str">
            <v>Flintshire</v>
          </cell>
          <cell r="E7999" t="str">
            <v>Welsh Establishment</v>
          </cell>
          <cell r="F7999" t="str">
            <v>Primary</v>
          </cell>
        </row>
        <row r="8000">
          <cell r="A8000">
            <v>9333314</v>
          </cell>
          <cell r="B8000">
            <v>123831</v>
          </cell>
          <cell r="C8000" t="str">
            <v>Cutcombe Church of England First School</v>
          </cell>
          <cell r="D8000" t="str">
            <v>Somerset</v>
          </cell>
          <cell r="E8000" t="str">
            <v>Voluntary Aided School</v>
          </cell>
          <cell r="F8000" t="str">
            <v>Primary</v>
          </cell>
        </row>
        <row r="8001">
          <cell r="A8001">
            <v>8012053</v>
          </cell>
          <cell r="B8001">
            <v>108945</v>
          </cell>
          <cell r="C8001" t="str">
            <v>Cutlers Brook Junior School</v>
          </cell>
          <cell r="D8001" t="str">
            <v>Bristol City of</v>
          </cell>
          <cell r="E8001" t="str">
            <v>Community School</v>
          </cell>
          <cell r="F8001" t="str">
            <v>Primary</v>
          </cell>
        </row>
        <row r="8002">
          <cell r="A8002">
            <v>8853316</v>
          </cell>
          <cell r="B8002">
            <v>116875</v>
          </cell>
          <cell r="C8002" t="str">
            <v>Cutnall Green CofE First</v>
          </cell>
          <cell r="D8002" t="str">
            <v>Worcestershire</v>
          </cell>
          <cell r="E8002" t="str">
            <v>Voluntary Aided School</v>
          </cell>
          <cell r="F8002" t="str">
            <v>Primary</v>
          </cell>
        </row>
        <row r="8003">
          <cell r="A8003">
            <v>3842028</v>
          </cell>
          <cell r="B8003">
            <v>128069</v>
          </cell>
          <cell r="C8003" t="str">
            <v>Cutsyke First School</v>
          </cell>
          <cell r="D8003" t="str">
            <v>Wakefield</v>
          </cell>
          <cell r="E8003" t="str">
            <v>Community School</v>
          </cell>
          <cell r="F8003" t="str">
            <v>Primary</v>
          </cell>
        </row>
        <row r="8004">
          <cell r="A8004">
            <v>9312522</v>
          </cell>
          <cell r="B8004">
            <v>123045</v>
          </cell>
          <cell r="C8004" t="str">
            <v>Cutteslowe Primary School</v>
          </cell>
          <cell r="D8004" t="str">
            <v>Oxfordshire</v>
          </cell>
          <cell r="E8004" t="str">
            <v>Community School</v>
          </cell>
          <cell r="F8004" t="str">
            <v>Primary</v>
          </cell>
        </row>
        <row r="8005">
          <cell r="A8005">
            <v>8302050</v>
          </cell>
          <cell r="B8005">
            <v>112513</v>
          </cell>
          <cell r="C8005" t="str">
            <v>Cutthorpe Primary School</v>
          </cell>
          <cell r="D8005" t="str">
            <v>Derbyshire</v>
          </cell>
          <cell r="E8005" t="str">
            <v>Community School</v>
          </cell>
          <cell r="F8005" t="str">
            <v>Primary</v>
          </cell>
        </row>
        <row r="8006">
          <cell r="A8006">
            <v>8872208</v>
          </cell>
          <cell r="B8006">
            <v>118323</v>
          </cell>
          <cell r="C8006" t="str">
            <v>Cuxton Community Infant School</v>
          </cell>
          <cell r="D8006" t="str">
            <v>Medway</v>
          </cell>
          <cell r="E8006" t="str">
            <v>Community School</v>
          </cell>
          <cell r="F8006" t="str">
            <v>Primary</v>
          </cell>
        </row>
        <row r="8007">
          <cell r="A8007">
            <v>8872540</v>
          </cell>
          <cell r="B8007">
            <v>118502</v>
          </cell>
          <cell r="C8007" t="str">
            <v>Cuxton Community Junior School</v>
          </cell>
          <cell r="D8007" t="str">
            <v>Medway</v>
          </cell>
          <cell r="E8007" t="str">
            <v>Community School</v>
          </cell>
          <cell r="F8007" t="str">
            <v>Primary</v>
          </cell>
        </row>
        <row r="8008">
          <cell r="A8008">
            <v>6762339</v>
          </cell>
          <cell r="B8008">
            <v>401371</v>
          </cell>
          <cell r="C8008" t="str">
            <v>Cwm Glas Infant School</v>
          </cell>
          <cell r="D8008" t="str">
            <v>Caerphilly</v>
          </cell>
          <cell r="E8008" t="str">
            <v>Welsh Establishment</v>
          </cell>
          <cell r="F8008" t="str">
            <v>Primary</v>
          </cell>
        </row>
        <row r="8009">
          <cell r="A8009">
            <v>6762252</v>
          </cell>
          <cell r="B8009">
            <v>401341</v>
          </cell>
          <cell r="C8009" t="str">
            <v>Cwm Ifor Primary School</v>
          </cell>
          <cell r="D8009" t="str">
            <v>Caerphilly</v>
          </cell>
          <cell r="E8009" t="str">
            <v>Welsh Establishment</v>
          </cell>
          <cell r="F8009" t="str">
            <v>Primary</v>
          </cell>
        </row>
        <row r="8010">
          <cell r="A8010">
            <v>6702010</v>
          </cell>
          <cell r="B8010">
            <v>400864</v>
          </cell>
          <cell r="C8010" t="str">
            <v>Cwm Primary School</v>
          </cell>
          <cell r="D8010" t="str">
            <v>Swansea</v>
          </cell>
          <cell r="E8010" t="str">
            <v>Welsh Establishment</v>
          </cell>
          <cell r="F8010" t="str">
            <v>Primary</v>
          </cell>
        </row>
        <row r="8011">
          <cell r="A8011">
            <v>6772253</v>
          </cell>
          <cell r="B8011">
            <v>401405</v>
          </cell>
          <cell r="C8011" t="str">
            <v>Cwm Primary School</v>
          </cell>
          <cell r="D8011" t="str">
            <v>Blaenau Gwent</v>
          </cell>
          <cell r="E8011" t="str">
            <v>Welsh Establishment</v>
          </cell>
          <cell r="F8011" t="str">
            <v>Primary</v>
          </cell>
        </row>
        <row r="8012">
          <cell r="A8012">
            <v>6762347</v>
          </cell>
          <cell r="B8012">
            <v>401373</v>
          </cell>
          <cell r="C8012" t="str">
            <v>Cwmaber Infant School</v>
          </cell>
          <cell r="D8012" t="str">
            <v>Caerphilly</v>
          </cell>
          <cell r="E8012" t="str">
            <v>Welsh Establishment</v>
          </cell>
          <cell r="F8012" t="str">
            <v>Primary</v>
          </cell>
        </row>
        <row r="8013">
          <cell r="A8013">
            <v>6762081</v>
          </cell>
          <cell r="B8013">
            <v>401305</v>
          </cell>
          <cell r="C8013" t="str">
            <v>Cwmaber Junior School</v>
          </cell>
          <cell r="D8013" t="str">
            <v>Caerphilly</v>
          </cell>
          <cell r="E8013" t="str">
            <v>Welsh Establishment</v>
          </cell>
          <cell r="F8013" t="str">
            <v>Primary</v>
          </cell>
        </row>
        <row r="8014">
          <cell r="A8014">
            <v>6712135</v>
          </cell>
          <cell r="B8014">
            <v>400970</v>
          </cell>
          <cell r="C8014" t="str">
            <v>Cwmafan Infant School</v>
          </cell>
          <cell r="D8014" t="str">
            <v>Neath Port Talbot</v>
          </cell>
          <cell r="E8014" t="str">
            <v>Welsh Establishment</v>
          </cell>
          <cell r="F8014" t="str">
            <v>Primary</v>
          </cell>
        </row>
        <row r="8015">
          <cell r="A8015">
            <v>6712132</v>
          </cell>
          <cell r="B8015">
            <v>400968</v>
          </cell>
          <cell r="C8015" t="str">
            <v>Cwmafan Junior School</v>
          </cell>
          <cell r="D8015" t="str">
            <v>Neath Port Talbot</v>
          </cell>
          <cell r="E8015" t="str">
            <v>Welsh Establishment</v>
          </cell>
          <cell r="F8015" t="str">
            <v>Primary</v>
          </cell>
        </row>
        <row r="8016">
          <cell r="A8016">
            <v>6742125</v>
          </cell>
          <cell r="B8016">
            <v>401175</v>
          </cell>
          <cell r="C8016" t="str">
            <v>Cwmaman  Infants School</v>
          </cell>
          <cell r="D8016" t="str">
            <v>Rhondda, Cynon, Taff</v>
          </cell>
          <cell r="E8016" t="str">
            <v>Welsh Establishment</v>
          </cell>
          <cell r="F8016" t="str">
            <v>Primary</v>
          </cell>
        </row>
        <row r="8017">
          <cell r="A8017">
            <v>6743319</v>
          </cell>
          <cell r="B8017">
            <v>401268</v>
          </cell>
          <cell r="C8017" t="str">
            <v>Cwmbach C.I.W. Primary School</v>
          </cell>
          <cell r="D8017" t="str">
            <v>Rhondda, Cynon, Taff</v>
          </cell>
          <cell r="E8017" t="str">
            <v>Welsh Establishment</v>
          </cell>
          <cell r="F8017" t="str">
            <v>Primary</v>
          </cell>
        </row>
        <row r="8018">
          <cell r="A8018">
            <v>6742131</v>
          </cell>
          <cell r="B8018">
            <v>401178</v>
          </cell>
          <cell r="C8018" t="str">
            <v>Cwmbach Infants School</v>
          </cell>
          <cell r="D8018" t="str">
            <v>Rhondda, Cynon, Taff</v>
          </cell>
          <cell r="E8018" t="str">
            <v>Welsh Establishment</v>
          </cell>
          <cell r="F8018" t="str">
            <v>Primary</v>
          </cell>
        </row>
        <row r="8019">
          <cell r="A8019">
            <v>6742240</v>
          </cell>
          <cell r="B8019">
            <v>401228</v>
          </cell>
          <cell r="C8019" t="str">
            <v>Cwmbach Junior School</v>
          </cell>
          <cell r="D8019" t="str">
            <v>Rhondda, Cynon, Taff</v>
          </cell>
          <cell r="E8019" t="str">
            <v>Welsh Establishment</v>
          </cell>
          <cell r="F8019" t="str">
            <v>Primary</v>
          </cell>
        </row>
        <row r="8020">
          <cell r="A8020">
            <v>6741011</v>
          </cell>
          <cell r="B8020">
            <v>400018</v>
          </cell>
          <cell r="C8020" t="str">
            <v>Cwmbach Nursery School</v>
          </cell>
          <cell r="D8020" t="str">
            <v>Rhondda, Cynon, Taff</v>
          </cell>
          <cell r="E8020" t="str">
            <v>Welsh Establishment</v>
          </cell>
          <cell r="F8020" t="str">
            <v>Nursery</v>
          </cell>
        </row>
        <row r="8021">
          <cell r="A8021">
            <v>6702012</v>
          </cell>
          <cell r="B8021">
            <v>400865</v>
          </cell>
          <cell r="C8021" t="str">
            <v>Cwmbwrla Primary School</v>
          </cell>
          <cell r="D8021" t="str">
            <v>Swansea</v>
          </cell>
          <cell r="E8021" t="str">
            <v>Welsh Establishment</v>
          </cell>
          <cell r="F8021" t="str">
            <v>Primary</v>
          </cell>
        </row>
        <row r="8022">
          <cell r="A8022">
            <v>6765400</v>
          </cell>
          <cell r="B8022">
            <v>401845</v>
          </cell>
          <cell r="C8022" t="str">
            <v>Cwmcarn High School</v>
          </cell>
          <cell r="D8022" t="str">
            <v>Caerphilly</v>
          </cell>
          <cell r="E8022" t="str">
            <v>Welsh Establishment</v>
          </cell>
          <cell r="F8022" t="str">
            <v>Secondary</v>
          </cell>
        </row>
        <row r="8023">
          <cell r="A8023">
            <v>6762100</v>
          </cell>
          <cell r="B8023">
            <v>401315</v>
          </cell>
          <cell r="C8023" t="str">
            <v>Cwmcarn Primary School</v>
          </cell>
          <cell r="D8023" t="str">
            <v>Caerphilly</v>
          </cell>
          <cell r="E8023" t="str">
            <v>Welsh Establishment</v>
          </cell>
          <cell r="F8023" t="str">
            <v>Primary</v>
          </cell>
        </row>
        <row r="8024">
          <cell r="A8024">
            <v>6772194</v>
          </cell>
          <cell r="B8024">
            <v>401399</v>
          </cell>
          <cell r="C8024" t="str">
            <v>Cwmcelyn Infants School</v>
          </cell>
          <cell r="D8024" t="str">
            <v>Blaenau Gwent</v>
          </cell>
          <cell r="E8024" t="str">
            <v>Welsh Establishment</v>
          </cell>
          <cell r="F8024" t="str">
            <v>Not applicable</v>
          </cell>
        </row>
        <row r="8025">
          <cell r="A8025">
            <v>6742088</v>
          </cell>
          <cell r="B8025">
            <v>401155</v>
          </cell>
          <cell r="C8025" t="str">
            <v>Cwmclydach Infants School</v>
          </cell>
          <cell r="D8025" t="str">
            <v>Rhondda, Cynon, Taff</v>
          </cell>
          <cell r="E8025" t="str">
            <v>Welsh Establishment</v>
          </cell>
          <cell r="F8025" t="str">
            <v>Primary</v>
          </cell>
        </row>
        <row r="8026">
          <cell r="A8026">
            <v>6742080</v>
          </cell>
          <cell r="B8026">
            <v>401151</v>
          </cell>
          <cell r="C8026" t="str">
            <v>Cwmclydach Junior School</v>
          </cell>
          <cell r="D8026" t="str">
            <v>Rhondda, Cynon, Taff</v>
          </cell>
          <cell r="E8026" t="str">
            <v>Welsh Establishment</v>
          </cell>
          <cell r="F8026" t="str">
            <v>Primary</v>
          </cell>
        </row>
        <row r="8027">
          <cell r="A8027">
            <v>6742380</v>
          </cell>
          <cell r="B8027">
            <v>402115</v>
          </cell>
          <cell r="C8027" t="str">
            <v>Cwmclydach Primary</v>
          </cell>
          <cell r="D8027" t="str">
            <v>Rhondda, Cynon, Taff</v>
          </cell>
          <cell r="E8027" t="str">
            <v>Welsh Establishment</v>
          </cell>
          <cell r="F8027" t="str">
            <v>Primary</v>
          </cell>
        </row>
        <row r="8028">
          <cell r="A8028">
            <v>6742134</v>
          </cell>
          <cell r="B8028">
            <v>401179</v>
          </cell>
          <cell r="C8028" t="str">
            <v>Cwmdar County Primary School</v>
          </cell>
          <cell r="D8028" t="str">
            <v>Rhondda, Cynon, Taff</v>
          </cell>
          <cell r="E8028" t="str">
            <v>Welsh Establishment</v>
          </cell>
          <cell r="F8028" t="str">
            <v>Primary</v>
          </cell>
        </row>
        <row r="8029">
          <cell r="A8029">
            <v>6663042</v>
          </cell>
          <cell r="B8029">
            <v>400556</v>
          </cell>
          <cell r="C8029" t="str">
            <v>Cwmdu C.I.W. School</v>
          </cell>
          <cell r="D8029" t="str">
            <v>Powys</v>
          </cell>
          <cell r="E8029" t="str">
            <v>Welsh Establishment</v>
          </cell>
          <cell r="F8029" t="str">
            <v>Primary</v>
          </cell>
        </row>
        <row r="8030">
          <cell r="A8030">
            <v>6663321</v>
          </cell>
          <cell r="B8030">
            <v>402213</v>
          </cell>
          <cell r="C8030" t="str">
            <v>Cwmdu Church in Wales Voluntary Aided Primary School</v>
          </cell>
          <cell r="D8030" t="str">
            <v>Powys</v>
          </cell>
          <cell r="E8030" t="str">
            <v>Welsh Establishment</v>
          </cell>
          <cell r="F8030" t="str">
            <v>Primary</v>
          </cell>
        </row>
        <row r="8031">
          <cell r="A8031">
            <v>6722117</v>
          </cell>
          <cell r="B8031">
            <v>401033</v>
          </cell>
          <cell r="C8031" t="str">
            <v>Cwmfelin Primary School</v>
          </cell>
          <cell r="D8031" t="str">
            <v>Bridgend</v>
          </cell>
          <cell r="E8031" t="str">
            <v>Welsh Establishment</v>
          </cell>
          <cell r="F8031" t="str">
            <v>Primary</v>
          </cell>
        </row>
        <row r="8032">
          <cell r="A8032">
            <v>6762370</v>
          </cell>
          <cell r="B8032">
            <v>401376</v>
          </cell>
          <cell r="C8032" t="str">
            <v>Cwmfelinfach Primary School</v>
          </cell>
          <cell r="D8032" t="str">
            <v>Caerphilly</v>
          </cell>
          <cell r="E8032" t="str">
            <v>Welsh Establishment</v>
          </cell>
          <cell r="F8032" t="str">
            <v>Primary</v>
          </cell>
        </row>
        <row r="8033">
          <cell r="A8033">
            <v>6782298</v>
          </cell>
          <cell r="B8033">
            <v>401448</v>
          </cell>
          <cell r="C8033" t="str">
            <v>Cwmffrwdoer Primary School</v>
          </cell>
          <cell r="D8033" t="str">
            <v>Torfaen</v>
          </cell>
          <cell r="E8033" t="str">
            <v>Welsh Establishment</v>
          </cell>
          <cell r="F8033" t="str">
            <v>Primary</v>
          </cell>
        </row>
        <row r="8034">
          <cell r="A8034">
            <v>6702077</v>
          </cell>
          <cell r="B8034">
            <v>400896</v>
          </cell>
          <cell r="C8034" t="str">
            <v>Cwmglas Primary School</v>
          </cell>
          <cell r="D8034" t="str">
            <v>Swansea</v>
          </cell>
          <cell r="E8034" t="str">
            <v>Welsh Establishment</v>
          </cell>
          <cell r="F8034" t="str">
            <v>Primary</v>
          </cell>
        </row>
        <row r="8035">
          <cell r="A8035">
            <v>6692005</v>
          </cell>
          <cell r="B8035">
            <v>400733</v>
          </cell>
          <cell r="C8035" t="str">
            <v>Cwmgwili C.P. School</v>
          </cell>
          <cell r="D8035" t="str">
            <v>Carmarthenshire</v>
          </cell>
          <cell r="E8035" t="str">
            <v>Welsh Establishment</v>
          </cell>
          <cell r="F8035" t="str">
            <v>Primary</v>
          </cell>
        </row>
        <row r="8036">
          <cell r="A8036">
            <v>6692060</v>
          </cell>
          <cell r="B8036">
            <v>400761</v>
          </cell>
          <cell r="C8036" t="str">
            <v>Cwmifor C.P. School</v>
          </cell>
          <cell r="D8036" t="str">
            <v>Carmarthenshire</v>
          </cell>
          <cell r="E8036" t="str">
            <v>Welsh Establishment</v>
          </cell>
          <cell r="F8036" t="str">
            <v>Primary</v>
          </cell>
        </row>
        <row r="8037">
          <cell r="A8037">
            <v>6742079</v>
          </cell>
          <cell r="B8037">
            <v>401150</v>
          </cell>
          <cell r="C8037" t="str">
            <v>Cwmlai Primary School</v>
          </cell>
          <cell r="D8037" t="str">
            <v>Rhondda, Cynon, Taff</v>
          </cell>
          <cell r="E8037" t="str">
            <v>Welsh Establishment</v>
          </cell>
          <cell r="F8037" t="str">
            <v>Primary</v>
          </cell>
        </row>
        <row r="8038">
          <cell r="A8038">
            <v>6712137</v>
          </cell>
          <cell r="B8038">
            <v>400971</v>
          </cell>
          <cell r="C8038" t="str">
            <v>Cwmnedd Primary School</v>
          </cell>
          <cell r="D8038" t="str">
            <v>Neath Port Talbot</v>
          </cell>
          <cell r="E8038" t="str">
            <v>Welsh Establishment</v>
          </cell>
          <cell r="F8038" t="str">
            <v>Primary</v>
          </cell>
        </row>
        <row r="8039">
          <cell r="A8039">
            <v>6672304</v>
          </cell>
          <cell r="B8039">
            <v>400593</v>
          </cell>
          <cell r="C8039" t="str">
            <v>Cwmpadarn C.P. School</v>
          </cell>
          <cell r="D8039" t="str">
            <v>Ceredigion</v>
          </cell>
          <cell r="E8039" t="str">
            <v>Welsh Establishment</v>
          </cell>
          <cell r="F8039" t="str">
            <v>Primary</v>
          </cell>
        </row>
        <row r="8040">
          <cell r="A8040">
            <v>6702014</v>
          </cell>
          <cell r="B8040">
            <v>400866</v>
          </cell>
          <cell r="C8040" t="str">
            <v>Cwmrhydyceirw Primary School</v>
          </cell>
          <cell r="D8040" t="str">
            <v>Swansea</v>
          </cell>
          <cell r="E8040" t="str">
            <v>Welsh Establishment</v>
          </cell>
          <cell r="F8040" t="str">
            <v>Primary</v>
          </cell>
        </row>
        <row r="8041">
          <cell r="A8041">
            <v>6762318</v>
          </cell>
          <cell r="B8041">
            <v>401360</v>
          </cell>
          <cell r="C8041" t="str">
            <v>Cwmsyfiog Primary School</v>
          </cell>
          <cell r="D8041" t="str">
            <v>Caerphilly</v>
          </cell>
          <cell r="E8041" t="str">
            <v>Welsh Establishment</v>
          </cell>
          <cell r="F8041" t="str">
            <v>Primary</v>
          </cell>
        </row>
        <row r="8042">
          <cell r="A8042">
            <v>6714065</v>
          </cell>
          <cell r="B8042">
            <v>401784</v>
          </cell>
          <cell r="C8042" t="str">
            <v>Cwmtawe Community School</v>
          </cell>
          <cell r="D8042" t="str">
            <v>Neath Port Talbot</v>
          </cell>
          <cell r="E8042" t="str">
            <v>Welsh Establishment</v>
          </cell>
          <cell r="F8042" t="str">
            <v>Secondary</v>
          </cell>
        </row>
        <row r="8043">
          <cell r="A8043">
            <v>6692067</v>
          </cell>
          <cell r="B8043">
            <v>400764</v>
          </cell>
          <cell r="C8043" t="str">
            <v>Cwrt Henry</v>
          </cell>
          <cell r="D8043" t="str">
            <v>Carmarthenshire</v>
          </cell>
          <cell r="E8043" t="str">
            <v>Welsh Establishment</v>
          </cell>
          <cell r="F8043" t="str">
            <v>Primary</v>
          </cell>
        </row>
        <row r="8044">
          <cell r="A8044">
            <v>6762376</v>
          </cell>
          <cell r="B8044">
            <v>401380</v>
          </cell>
          <cell r="C8044" t="str">
            <v>Cwrt Rawlin Primary School</v>
          </cell>
          <cell r="D8044" t="str">
            <v>Caerphilly</v>
          </cell>
          <cell r="E8044" t="str">
            <v>Welsh Establishment</v>
          </cell>
          <cell r="F8044" t="str">
            <v>Primary</v>
          </cell>
        </row>
        <row r="8045">
          <cell r="A8045">
            <v>6714068</v>
          </cell>
          <cell r="B8045">
            <v>401787</v>
          </cell>
          <cell r="C8045" t="str">
            <v>Cwrt Sart Community Comprehensive School</v>
          </cell>
          <cell r="D8045" t="str">
            <v>Neath Port Talbot</v>
          </cell>
          <cell r="E8045" t="str">
            <v>Welsh Establishment</v>
          </cell>
          <cell r="F8045" t="str">
            <v>Secondary</v>
          </cell>
        </row>
        <row r="8046">
          <cell r="A8046">
            <v>6812068</v>
          </cell>
          <cell r="B8046">
            <v>401594</v>
          </cell>
          <cell r="C8046" t="str">
            <v>Cwrt-Yr-Ala Junior School</v>
          </cell>
          <cell r="D8046" t="str">
            <v>Cardiff</v>
          </cell>
          <cell r="E8046" t="str">
            <v>Welsh Establishment</v>
          </cell>
          <cell r="F8046" t="str">
            <v>Primary</v>
          </cell>
        </row>
        <row r="8047">
          <cell r="A8047">
            <v>6754013</v>
          </cell>
          <cell r="B8047">
            <v>401827</v>
          </cell>
          <cell r="C8047" t="str">
            <v>Cyfarthfa High School</v>
          </cell>
          <cell r="D8047" t="str">
            <v>Merthyr Tydfil</v>
          </cell>
          <cell r="E8047" t="str">
            <v>Welsh Establishment</v>
          </cell>
          <cell r="F8047" t="str">
            <v>Secondary</v>
          </cell>
        </row>
        <row r="8048">
          <cell r="A8048">
            <v>6752002</v>
          </cell>
          <cell r="B8048">
            <v>401270</v>
          </cell>
          <cell r="C8048" t="str">
            <v>Cyfarthfa Junior School</v>
          </cell>
          <cell r="D8048" t="str">
            <v>Merthyr Tydfil</v>
          </cell>
          <cell r="E8048" t="str">
            <v>Welsh Establishment</v>
          </cell>
          <cell r="F8048" t="str">
            <v>Primary</v>
          </cell>
        </row>
        <row r="8049">
          <cell r="A8049">
            <v>6651103</v>
          </cell>
          <cell r="B8049">
            <v>402126</v>
          </cell>
          <cell r="C8049" t="str">
            <v>Cyfle Young Mothers Unit</v>
          </cell>
          <cell r="D8049" t="str">
            <v>Wrexham</v>
          </cell>
          <cell r="E8049" t="str">
            <v>Welsh Establishment</v>
          </cell>
          <cell r="F8049" t="str">
            <v>Not applicable</v>
          </cell>
        </row>
        <row r="8050">
          <cell r="A8050">
            <v>6801102</v>
          </cell>
          <cell r="B8050">
            <v>402271</v>
          </cell>
          <cell r="C8050" t="str">
            <v>Cylchdroi Centre</v>
          </cell>
          <cell r="D8050" t="str">
            <v>Newport</v>
          </cell>
          <cell r="E8050" t="str">
            <v>Welsh Establishment</v>
          </cell>
          <cell r="F8050" t="str">
            <v>Not applicable</v>
          </cell>
        </row>
        <row r="8051">
          <cell r="A8051">
            <v>6714047</v>
          </cell>
          <cell r="B8051">
            <v>401778</v>
          </cell>
          <cell r="C8051" t="str">
            <v>Cymer Afan Comprehensive School</v>
          </cell>
          <cell r="D8051" t="str">
            <v>Neath Port Talbot</v>
          </cell>
          <cell r="E8051" t="str">
            <v>Welsh Establishment</v>
          </cell>
          <cell r="F8051" t="str">
            <v>Secondary</v>
          </cell>
        </row>
        <row r="8052">
          <cell r="A8052">
            <v>6712138</v>
          </cell>
          <cell r="B8052">
            <v>400972</v>
          </cell>
          <cell r="C8052" t="str">
            <v>Cymer Afan Primary School</v>
          </cell>
          <cell r="D8052" t="str">
            <v>Neath Port Talbot</v>
          </cell>
          <cell r="E8052" t="str">
            <v>Welsh Establishment</v>
          </cell>
          <cell r="F8052" t="str">
            <v>Primary</v>
          </cell>
        </row>
        <row r="8053">
          <cell r="A8053">
            <v>6742096</v>
          </cell>
          <cell r="B8053">
            <v>401160</v>
          </cell>
          <cell r="C8053" t="str">
            <v>Cymmer Infants School</v>
          </cell>
          <cell r="D8053" t="str">
            <v>Rhondda, Cynon, Taff</v>
          </cell>
          <cell r="E8053" t="str">
            <v>Welsh Establishment</v>
          </cell>
          <cell r="F8053" t="str">
            <v>Primary</v>
          </cell>
        </row>
        <row r="8054">
          <cell r="A8054">
            <v>6742092</v>
          </cell>
          <cell r="B8054">
            <v>401157</v>
          </cell>
          <cell r="C8054" t="str">
            <v>Cymmer Junior School</v>
          </cell>
          <cell r="D8054" t="str">
            <v>Rhondda, Cynon, Taff</v>
          </cell>
          <cell r="E8054" t="str">
            <v>Welsh Establishment</v>
          </cell>
          <cell r="F8054" t="str">
            <v>Primary</v>
          </cell>
        </row>
        <row r="8055">
          <cell r="A8055">
            <v>6724059</v>
          </cell>
          <cell r="B8055">
            <v>401789</v>
          </cell>
          <cell r="C8055" t="str">
            <v>Cynffig Comprehensive School</v>
          </cell>
          <cell r="D8055" t="str">
            <v>Bridgend</v>
          </cell>
          <cell r="E8055" t="str">
            <v>Welsh Establishment</v>
          </cell>
          <cell r="F8055" t="str">
            <v>Secondary</v>
          </cell>
        </row>
        <row r="8056">
          <cell r="A8056">
            <v>6742139</v>
          </cell>
          <cell r="B8056">
            <v>401182</v>
          </cell>
          <cell r="C8056" t="str">
            <v>Cynon Infants School</v>
          </cell>
          <cell r="D8056" t="str">
            <v>Rhondda, Cynon, Taff</v>
          </cell>
          <cell r="E8056" t="str">
            <v>Welsh Establishment</v>
          </cell>
          <cell r="F8056" t="str">
            <v>Primary</v>
          </cell>
        </row>
        <row r="8057">
          <cell r="A8057">
            <v>3062007</v>
          </cell>
          <cell r="B8057">
            <v>101715</v>
          </cell>
          <cell r="C8057" t="str">
            <v>Cypress Infant School</v>
          </cell>
          <cell r="D8057" t="str">
            <v>Croydon</v>
          </cell>
          <cell r="E8057" t="str">
            <v>Community School</v>
          </cell>
          <cell r="F8057" t="str">
            <v>Primary</v>
          </cell>
        </row>
        <row r="8058">
          <cell r="A8058">
            <v>3062006</v>
          </cell>
          <cell r="B8058">
            <v>101714</v>
          </cell>
          <cell r="C8058" t="str">
            <v>Cypress Junior School</v>
          </cell>
          <cell r="D8058" t="str">
            <v>Croydon</v>
          </cell>
          <cell r="E8058" t="str">
            <v>Community School</v>
          </cell>
          <cell r="F8058" t="str">
            <v>Primary</v>
          </cell>
        </row>
        <row r="8059">
          <cell r="A8059">
            <v>2031018</v>
          </cell>
          <cell r="B8059">
            <v>100101</v>
          </cell>
          <cell r="C8059" t="str">
            <v>Cyril Henry Nursery School</v>
          </cell>
          <cell r="D8059" t="str">
            <v>Greenwich</v>
          </cell>
          <cell r="E8059" t="str">
            <v>LA Nursery School</v>
          </cell>
          <cell r="F8059" t="str">
            <v>Nursery</v>
          </cell>
        </row>
        <row r="8060">
          <cell r="A8060">
            <v>2112147</v>
          </cell>
          <cell r="B8060">
            <v>100900</v>
          </cell>
          <cell r="C8060" t="str">
            <v>Cyril Jackson Primary School</v>
          </cell>
          <cell r="D8060" t="str">
            <v>Tower Hamlets</v>
          </cell>
          <cell r="E8060" t="str">
            <v>Community School</v>
          </cell>
          <cell r="F8060" t="str">
            <v>Primary</v>
          </cell>
        </row>
        <row r="8061">
          <cell r="A8061">
            <v>8936099</v>
          </cell>
          <cell r="B8061">
            <v>131171</v>
          </cell>
          <cell r="C8061" t="str">
            <v>Da Capo School</v>
          </cell>
          <cell r="D8061" t="str">
            <v>Shropshire</v>
          </cell>
          <cell r="E8061" t="str">
            <v>Other Independent Special School</v>
          </cell>
          <cell r="F8061" t="str">
            <v>Not applicable</v>
          </cell>
        </row>
        <row r="8062">
          <cell r="A8062">
            <v>8314608</v>
          </cell>
          <cell r="B8062">
            <v>134724</v>
          </cell>
          <cell r="C8062" t="str">
            <v>da Vinci Community College</v>
          </cell>
          <cell r="D8062" t="str">
            <v>Derby</v>
          </cell>
          <cell r="E8062" t="str">
            <v>Foundation School</v>
          </cell>
          <cell r="F8062" t="str">
            <v>Secondary</v>
          </cell>
        </row>
        <row r="8063">
          <cell r="A8063">
            <v>9191108</v>
          </cell>
          <cell r="B8063">
            <v>131100</v>
          </cell>
          <cell r="C8063" t="str">
            <v>Dacorum Education Support Centre</v>
          </cell>
          <cell r="D8063" t="str">
            <v>Hertfordshire</v>
          </cell>
          <cell r="E8063" t="str">
            <v>Pupil Referral Unit</v>
          </cell>
          <cell r="F8063" t="str">
            <v>PRU</v>
          </cell>
        </row>
        <row r="8064">
          <cell r="A8064">
            <v>8153357</v>
          </cell>
          <cell r="B8064">
            <v>121627</v>
          </cell>
          <cell r="C8064" t="str">
            <v>Dacre Braithwaite Church of England Primary School</v>
          </cell>
          <cell r="D8064" t="str">
            <v>North Yorkshire</v>
          </cell>
          <cell r="E8064" t="str">
            <v>Voluntary Aided School</v>
          </cell>
          <cell r="F8064" t="str">
            <v>Primary</v>
          </cell>
        </row>
        <row r="8065">
          <cell r="A8065">
            <v>6692123</v>
          </cell>
          <cell r="B8065">
            <v>400790</v>
          </cell>
          <cell r="C8065" t="str">
            <v>Dafen Primary School</v>
          </cell>
          <cell r="D8065" t="str">
            <v>Carmarthenshire</v>
          </cell>
          <cell r="E8065" t="str">
            <v>Welsh Establishment</v>
          </cell>
          <cell r="F8065" t="str">
            <v>Primary</v>
          </cell>
        </row>
        <row r="8066">
          <cell r="A8066">
            <v>3014704</v>
          </cell>
          <cell r="B8066">
            <v>136028</v>
          </cell>
          <cell r="C8066" t="str">
            <v>Dagenham Park CofE School</v>
          </cell>
          <cell r="D8066" t="str">
            <v>Barking and Dagenham</v>
          </cell>
          <cell r="E8066" t="str">
            <v>Voluntary Controlled School</v>
          </cell>
          <cell r="F8066" t="str">
            <v>Secondary</v>
          </cell>
        </row>
        <row r="8067">
          <cell r="A8067">
            <v>3014022</v>
          </cell>
          <cell r="B8067">
            <v>101242</v>
          </cell>
          <cell r="C8067" t="str">
            <v>Dagenham Park Community School</v>
          </cell>
          <cell r="D8067" t="str">
            <v>Barking and Dagenham</v>
          </cell>
          <cell r="E8067" t="str">
            <v>Community School</v>
          </cell>
          <cell r="F8067" t="str">
            <v>Secondary</v>
          </cell>
        </row>
        <row r="8068">
          <cell r="A8068">
            <v>8916003</v>
          </cell>
          <cell r="B8068">
            <v>122911</v>
          </cell>
          <cell r="C8068" t="str">
            <v>Dagfa School Nottingham</v>
          </cell>
          <cell r="D8068" t="str">
            <v>Nottinghamshire</v>
          </cell>
          <cell r="E8068" t="str">
            <v>Other Independent School</v>
          </cell>
          <cell r="F8068" t="str">
            <v>Not applicable</v>
          </cell>
        </row>
        <row r="8069">
          <cell r="A8069">
            <v>8252026</v>
          </cell>
          <cell r="B8069">
            <v>110218</v>
          </cell>
          <cell r="C8069" t="str">
            <v>Dagnall School</v>
          </cell>
          <cell r="D8069" t="str">
            <v>Buckinghamshire</v>
          </cell>
          <cell r="E8069" t="str">
            <v>Community School</v>
          </cell>
          <cell r="F8069" t="str">
            <v>Primary</v>
          </cell>
        </row>
        <row r="8070">
          <cell r="A8070">
            <v>8756021</v>
          </cell>
          <cell r="B8070">
            <v>111487</v>
          </cell>
          <cell r="C8070" t="str">
            <v>Daintry Hall Preparatory School</v>
          </cell>
          <cell r="D8070" t="str">
            <v>Pre LGR (2009) Cheshire</v>
          </cell>
          <cell r="E8070" t="str">
            <v>Other Independent School</v>
          </cell>
          <cell r="F8070" t="str">
            <v>Not applicable</v>
          </cell>
        </row>
        <row r="8071">
          <cell r="A8071">
            <v>8256014</v>
          </cell>
          <cell r="B8071">
            <v>110554</v>
          </cell>
          <cell r="C8071" t="str">
            <v>Dair House School</v>
          </cell>
          <cell r="D8071" t="str">
            <v>Buckinghamshire</v>
          </cell>
          <cell r="E8071" t="str">
            <v>Other Independent School</v>
          </cell>
          <cell r="F8071" t="str">
            <v>Not applicable</v>
          </cell>
        </row>
        <row r="8072">
          <cell r="A8072">
            <v>3072159</v>
          </cell>
          <cell r="B8072">
            <v>126873</v>
          </cell>
          <cell r="C8072" t="str">
            <v>Dairy Meadow First and Nursery School</v>
          </cell>
          <cell r="D8072" t="str">
            <v>Ealing</v>
          </cell>
          <cell r="E8072" t="str">
            <v>Community School</v>
          </cell>
          <cell r="F8072" t="str">
            <v>Primary</v>
          </cell>
        </row>
        <row r="8073">
          <cell r="A8073">
            <v>3072160</v>
          </cell>
          <cell r="B8073">
            <v>126874</v>
          </cell>
          <cell r="C8073" t="str">
            <v>Dairy Meadow Middle School</v>
          </cell>
          <cell r="D8073" t="str">
            <v>Ealing</v>
          </cell>
          <cell r="E8073" t="str">
            <v>Community School</v>
          </cell>
          <cell r="F8073" t="str">
            <v>Middle Deemed Primary</v>
          </cell>
        </row>
        <row r="8074">
          <cell r="A8074">
            <v>3072164</v>
          </cell>
          <cell r="B8074">
            <v>101894</v>
          </cell>
          <cell r="C8074" t="str">
            <v>Dairy Meadow Primary School</v>
          </cell>
          <cell r="D8074" t="str">
            <v>Ealing</v>
          </cell>
          <cell r="E8074" t="str">
            <v>Community School</v>
          </cell>
          <cell r="F8074" t="str">
            <v>Primary</v>
          </cell>
        </row>
        <row r="8075">
          <cell r="A8075">
            <v>3804057</v>
          </cell>
          <cell r="B8075">
            <v>107381</v>
          </cell>
          <cell r="C8075" t="str">
            <v>Daisy Hill Middle School</v>
          </cell>
          <cell r="D8075" t="str">
            <v>Bradford</v>
          </cell>
          <cell r="E8075" t="str">
            <v>Community School</v>
          </cell>
          <cell r="F8075" t="str">
            <v>Middle Deemed Secondary</v>
          </cell>
        </row>
        <row r="8076">
          <cell r="A8076">
            <v>8892011</v>
          </cell>
          <cell r="B8076">
            <v>119123</v>
          </cell>
          <cell r="C8076" t="str">
            <v>Daisyfield Primary School</v>
          </cell>
          <cell r="D8076" t="str">
            <v>Blackburn with Darwen</v>
          </cell>
          <cell r="E8076" t="str">
            <v>Community School</v>
          </cell>
          <cell r="F8076" t="str">
            <v>Primary</v>
          </cell>
        </row>
        <row r="8077">
          <cell r="A8077">
            <v>8312409</v>
          </cell>
          <cell r="B8077">
            <v>112720</v>
          </cell>
          <cell r="C8077" t="str">
            <v>Dale Community Primary School</v>
          </cell>
          <cell r="D8077" t="str">
            <v>Derby</v>
          </cell>
          <cell r="E8077" t="str">
            <v>Community School</v>
          </cell>
          <cell r="F8077" t="str">
            <v>Primary</v>
          </cell>
        </row>
        <row r="8078">
          <cell r="A8078">
            <v>9352184</v>
          </cell>
          <cell r="B8078">
            <v>124668</v>
          </cell>
          <cell r="C8078" t="str">
            <v>Dale Hall Community Primary School</v>
          </cell>
          <cell r="D8078" t="str">
            <v>Suffolk</v>
          </cell>
          <cell r="E8078" t="str">
            <v>Community School</v>
          </cell>
          <cell r="F8078" t="str">
            <v>Primary</v>
          </cell>
        </row>
        <row r="8079">
          <cell r="A8079">
            <v>3826022</v>
          </cell>
          <cell r="B8079">
            <v>133425</v>
          </cell>
          <cell r="C8079" t="str">
            <v>Dale House School</v>
          </cell>
          <cell r="D8079" t="str">
            <v>Kirklees</v>
          </cell>
          <cell r="E8079" t="str">
            <v>Other Independent School</v>
          </cell>
          <cell r="F8079" t="str">
            <v>Not applicable</v>
          </cell>
        </row>
        <row r="8080">
          <cell r="A8080">
            <v>9092409</v>
          </cell>
          <cell r="B8080">
            <v>112196</v>
          </cell>
          <cell r="C8080" t="str">
            <v>Dale Street Infant and Nursery School</v>
          </cell>
          <cell r="D8080" t="str">
            <v>Cumbria</v>
          </cell>
          <cell r="E8080" t="str">
            <v>Community School</v>
          </cell>
          <cell r="F8080" t="str">
            <v>Primary</v>
          </cell>
        </row>
        <row r="8081">
          <cell r="A8081">
            <v>3432017</v>
          </cell>
          <cell r="B8081">
            <v>104857</v>
          </cell>
          <cell r="C8081" t="str">
            <v>Daleacre Community Primary School</v>
          </cell>
          <cell r="D8081" t="str">
            <v>Sefton</v>
          </cell>
          <cell r="E8081" t="str">
            <v>Community School</v>
          </cell>
          <cell r="F8081" t="str">
            <v>Primary</v>
          </cell>
        </row>
        <row r="8082">
          <cell r="A8082">
            <v>8602389</v>
          </cell>
          <cell r="B8082">
            <v>124186</v>
          </cell>
          <cell r="C8082" t="str">
            <v>Dales Community Junior School</v>
          </cell>
          <cell r="D8082" t="str">
            <v>Staffordshire</v>
          </cell>
          <cell r="E8082" t="str">
            <v>Community School</v>
          </cell>
          <cell r="F8082" t="str">
            <v>Primary</v>
          </cell>
        </row>
        <row r="8083">
          <cell r="A8083">
            <v>8889900</v>
          </cell>
          <cell r="B8083">
            <v>134162</v>
          </cell>
          <cell r="C8083" t="str">
            <v>Dales House</v>
          </cell>
          <cell r="D8083" t="str">
            <v>Lancashire</v>
          </cell>
          <cell r="E8083" t="str">
            <v>Secure Units</v>
          </cell>
          <cell r="F8083" t="str">
            <v>Not applicable</v>
          </cell>
        </row>
        <row r="8084">
          <cell r="A8084">
            <v>8912167</v>
          </cell>
          <cell r="B8084">
            <v>122490</v>
          </cell>
          <cell r="C8084" t="str">
            <v>Dalestorth Primary and Nursery School</v>
          </cell>
          <cell r="D8084" t="str">
            <v>Nottinghamshire</v>
          </cell>
          <cell r="E8084" t="str">
            <v>Community School</v>
          </cell>
          <cell r="F8084" t="str">
            <v>Primary</v>
          </cell>
        </row>
        <row r="8085">
          <cell r="A8085">
            <v>8772015</v>
          </cell>
          <cell r="B8085">
            <v>110972</v>
          </cell>
          <cell r="C8085" t="str">
            <v>Dallam Community Primary School</v>
          </cell>
          <cell r="D8085" t="str">
            <v>Warrington</v>
          </cell>
          <cell r="E8085" t="str">
            <v>Community School</v>
          </cell>
          <cell r="F8085" t="str">
            <v>Primary</v>
          </cell>
        </row>
        <row r="8086">
          <cell r="A8086">
            <v>9095405</v>
          </cell>
          <cell r="B8086">
            <v>112432</v>
          </cell>
          <cell r="C8086" t="str">
            <v>Dallam School</v>
          </cell>
          <cell r="D8086" t="str">
            <v>Cumbria</v>
          </cell>
          <cell r="E8086" t="str">
            <v>Foundation School</v>
          </cell>
          <cell r="F8086" t="str">
            <v>Secondary</v>
          </cell>
        </row>
        <row r="8087">
          <cell r="A8087">
            <v>9095405</v>
          </cell>
          <cell r="B8087">
            <v>137205</v>
          </cell>
          <cell r="C8087" t="str">
            <v>Dallam School</v>
          </cell>
          <cell r="D8087" t="str">
            <v>Cumbria</v>
          </cell>
          <cell r="E8087" t="str">
            <v>Academy Converters</v>
          </cell>
          <cell r="F8087" t="str">
            <v>Secondary</v>
          </cell>
        </row>
        <row r="8088">
          <cell r="A8088">
            <v>8302310</v>
          </cell>
          <cell r="B8088">
            <v>112675</v>
          </cell>
          <cell r="C8088" t="str">
            <v>Dallimore Primary School</v>
          </cell>
          <cell r="D8088" t="str">
            <v>Derbyshire</v>
          </cell>
          <cell r="E8088" t="str">
            <v>Community School</v>
          </cell>
          <cell r="F8088" t="str">
            <v>Primary</v>
          </cell>
        </row>
        <row r="8089">
          <cell r="A8089">
            <v>8453017</v>
          </cell>
          <cell r="B8089">
            <v>114498</v>
          </cell>
          <cell r="C8089" t="str">
            <v>Dallington Church of England Primary School</v>
          </cell>
          <cell r="D8089" t="str">
            <v>East Sussex</v>
          </cell>
          <cell r="E8089" t="str">
            <v>Voluntary Controlled School</v>
          </cell>
          <cell r="F8089" t="str">
            <v>Primary</v>
          </cell>
        </row>
        <row r="8090">
          <cell r="A8090">
            <v>9287011</v>
          </cell>
          <cell r="B8090">
            <v>129702</v>
          </cell>
          <cell r="C8090" t="str">
            <v>Dallington Park School</v>
          </cell>
          <cell r="D8090" t="str">
            <v>Northamptonshire</v>
          </cell>
          <cell r="E8090" t="str">
            <v>Community Special School</v>
          </cell>
          <cell r="F8090" t="str">
            <v>Special</v>
          </cell>
        </row>
        <row r="8091">
          <cell r="A8091">
            <v>2066299</v>
          </cell>
          <cell r="B8091">
            <v>100462</v>
          </cell>
          <cell r="C8091" t="str">
            <v>Dallington School</v>
          </cell>
          <cell r="D8091" t="str">
            <v>Islington</v>
          </cell>
          <cell r="E8091" t="str">
            <v>Other Independent School</v>
          </cell>
          <cell r="F8091" t="str">
            <v>Not applicable</v>
          </cell>
        </row>
        <row r="8092">
          <cell r="A8092">
            <v>8212228</v>
          </cell>
          <cell r="B8092">
            <v>109537</v>
          </cell>
          <cell r="C8092" t="str">
            <v>Dallow Infant School</v>
          </cell>
          <cell r="D8092" t="str">
            <v>Luton</v>
          </cell>
          <cell r="E8092" t="str">
            <v>Community School</v>
          </cell>
          <cell r="F8092" t="str">
            <v>Primary</v>
          </cell>
        </row>
        <row r="8093">
          <cell r="A8093">
            <v>8212227</v>
          </cell>
          <cell r="B8093">
            <v>109536</v>
          </cell>
          <cell r="C8093" t="str">
            <v>Dallow Primary School</v>
          </cell>
          <cell r="D8093" t="str">
            <v>Luton</v>
          </cell>
          <cell r="E8093" t="str">
            <v>Community School</v>
          </cell>
          <cell r="F8093" t="str">
            <v>Primary</v>
          </cell>
        </row>
        <row r="8094">
          <cell r="A8094">
            <v>2092148</v>
          </cell>
          <cell r="B8094">
            <v>100677</v>
          </cell>
          <cell r="C8094" t="str">
            <v>Dalmain Primary School</v>
          </cell>
          <cell r="D8094" t="str">
            <v>Lewisham</v>
          </cell>
          <cell r="E8094" t="str">
            <v>Community School</v>
          </cell>
          <cell r="F8094" t="str">
            <v>Primary</v>
          </cell>
        </row>
        <row r="8095">
          <cell r="A8095">
            <v>3722088</v>
          </cell>
          <cell r="B8095">
            <v>106889</v>
          </cell>
          <cell r="C8095" t="str">
            <v>Dalton Foljambe Primary School</v>
          </cell>
          <cell r="D8095" t="str">
            <v>Rotherham</v>
          </cell>
          <cell r="E8095" t="str">
            <v>Community School</v>
          </cell>
          <cell r="F8095" t="str">
            <v>Primary</v>
          </cell>
        </row>
        <row r="8096">
          <cell r="A8096">
            <v>3822010</v>
          </cell>
          <cell r="B8096">
            <v>107605</v>
          </cell>
          <cell r="C8096" t="str">
            <v>Dalton Infant and Nursery School</v>
          </cell>
          <cell r="D8096" t="str">
            <v>Kirklees</v>
          </cell>
          <cell r="E8096" t="str">
            <v>Community School</v>
          </cell>
          <cell r="F8096" t="str">
            <v>Primary</v>
          </cell>
        </row>
        <row r="8097">
          <cell r="A8097">
            <v>3822009</v>
          </cell>
          <cell r="B8097">
            <v>107604</v>
          </cell>
          <cell r="C8097" t="str">
            <v>Dalton Junior School</v>
          </cell>
          <cell r="D8097" t="str">
            <v>Kirklees</v>
          </cell>
          <cell r="E8097" t="str">
            <v>Community School</v>
          </cell>
          <cell r="F8097" t="str">
            <v>Primary</v>
          </cell>
        </row>
        <row r="8098">
          <cell r="A8098">
            <v>3722058</v>
          </cell>
          <cell r="B8098">
            <v>106865</v>
          </cell>
          <cell r="C8098" t="str">
            <v>Dalton Listerdale Junior and Infant School</v>
          </cell>
          <cell r="D8098" t="str">
            <v>Rotherham</v>
          </cell>
          <cell r="E8098" t="str">
            <v>Community School</v>
          </cell>
          <cell r="F8098" t="str">
            <v>Primary</v>
          </cell>
        </row>
        <row r="8099">
          <cell r="A8099">
            <v>3822157</v>
          </cell>
          <cell r="B8099">
            <v>131849</v>
          </cell>
          <cell r="C8099" t="str">
            <v>Dalton School</v>
          </cell>
          <cell r="D8099" t="str">
            <v>Kirklees</v>
          </cell>
          <cell r="E8099" t="str">
            <v>Community School</v>
          </cell>
          <cell r="F8099" t="str">
            <v>Primary</v>
          </cell>
        </row>
        <row r="8100">
          <cell r="A8100">
            <v>9095210</v>
          </cell>
          <cell r="B8100">
            <v>112412</v>
          </cell>
          <cell r="C8100" t="str">
            <v>Dalton St Mary's CofE Primary School</v>
          </cell>
          <cell r="D8100" t="str">
            <v>Cumbria</v>
          </cell>
          <cell r="E8100" t="str">
            <v>Voluntary Aided School</v>
          </cell>
          <cell r="F8100" t="str">
            <v>Primary</v>
          </cell>
        </row>
        <row r="8101">
          <cell r="A8101">
            <v>8883448</v>
          </cell>
          <cell r="B8101">
            <v>119493</v>
          </cell>
          <cell r="C8101" t="str">
            <v>Dalton St Michael's Church of England Primary School</v>
          </cell>
          <cell r="D8101" t="str">
            <v>Lancashire</v>
          </cell>
          <cell r="E8101" t="str">
            <v>Voluntary Aided School</v>
          </cell>
          <cell r="F8101" t="str">
            <v>Primary</v>
          </cell>
        </row>
        <row r="8102">
          <cell r="A8102">
            <v>8782016</v>
          </cell>
          <cell r="B8102">
            <v>113072</v>
          </cell>
          <cell r="C8102" t="str">
            <v>Dalwood Primary School</v>
          </cell>
          <cell r="D8102" t="str">
            <v>Devon</v>
          </cell>
          <cell r="E8102" t="str">
            <v>Community School</v>
          </cell>
          <cell r="F8102" t="str">
            <v>Primary</v>
          </cell>
        </row>
        <row r="8103">
          <cell r="A8103">
            <v>9195407</v>
          </cell>
          <cell r="B8103">
            <v>117579</v>
          </cell>
          <cell r="C8103" t="str">
            <v>Dame Alice Owen's School</v>
          </cell>
          <cell r="D8103" t="str">
            <v>Hertfordshire</v>
          </cell>
          <cell r="E8103" t="str">
            <v>Voluntary Aided School</v>
          </cell>
          <cell r="F8103" t="str">
            <v>Secondary</v>
          </cell>
        </row>
        <row r="8104">
          <cell r="A8104">
            <v>9195407</v>
          </cell>
          <cell r="B8104">
            <v>136554</v>
          </cell>
          <cell r="C8104" t="str">
            <v>Dame Alice Owen's School</v>
          </cell>
          <cell r="D8104" t="str">
            <v>Hertfordshire</v>
          </cell>
          <cell r="E8104" t="str">
            <v>Academy Converters</v>
          </cell>
          <cell r="F8104" t="str">
            <v>Secondary</v>
          </cell>
        </row>
        <row r="8105">
          <cell r="A8105">
            <v>3916036</v>
          </cell>
          <cell r="B8105">
            <v>108548</v>
          </cell>
          <cell r="C8105" t="str">
            <v>Dame Allan's Girls' School</v>
          </cell>
          <cell r="D8105" t="str">
            <v>Newcastle upon Tyne</v>
          </cell>
          <cell r="E8105" t="str">
            <v>Other Independent School</v>
          </cell>
          <cell r="F8105" t="str">
            <v>Not applicable</v>
          </cell>
        </row>
        <row r="8106">
          <cell r="A8106">
            <v>3926009</v>
          </cell>
          <cell r="B8106">
            <v>108651</v>
          </cell>
          <cell r="C8106" t="str">
            <v>Dame Allan's Junior School (Forest Hall)</v>
          </cell>
          <cell r="D8106" t="str">
            <v>North Tyneside</v>
          </cell>
          <cell r="E8106" t="str">
            <v>Other Independent School</v>
          </cell>
          <cell r="F8106" t="str">
            <v>Not applicable</v>
          </cell>
        </row>
        <row r="8107">
          <cell r="A8107">
            <v>3914900</v>
          </cell>
          <cell r="B8107">
            <v>132931</v>
          </cell>
          <cell r="C8107" t="str">
            <v>Dame Allan's Schools Centre</v>
          </cell>
          <cell r="D8107" t="str">
            <v>Newcastle upon Tyne</v>
          </cell>
          <cell r="E8107" t="str">
            <v>Sixth Form Centres</v>
          </cell>
          <cell r="F8107" t="str">
            <v>16 Plus</v>
          </cell>
        </row>
        <row r="8108">
          <cell r="A8108">
            <v>3916035</v>
          </cell>
          <cell r="B8108">
            <v>108547</v>
          </cell>
          <cell r="C8108" t="str">
            <v>Dame Allan's Senior School</v>
          </cell>
          <cell r="D8108" t="str">
            <v>Newcastle upon Tyne</v>
          </cell>
          <cell r="E8108" t="str">
            <v>Other Independent School</v>
          </cell>
          <cell r="F8108" t="str">
            <v>Not applicable</v>
          </cell>
        </row>
        <row r="8109">
          <cell r="A8109">
            <v>8816011</v>
          </cell>
          <cell r="B8109">
            <v>115397</v>
          </cell>
          <cell r="C8109" t="str">
            <v>Dame Bradbury's School</v>
          </cell>
          <cell r="D8109" t="str">
            <v>Essex</v>
          </cell>
          <cell r="E8109" t="str">
            <v>Other Independent School</v>
          </cell>
          <cell r="F8109" t="str">
            <v>Not applicable</v>
          </cell>
        </row>
        <row r="8110">
          <cell r="A8110">
            <v>8306020</v>
          </cell>
          <cell r="B8110">
            <v>113023</v>
          </cell>
          <cell r="C8110" t="str">
            <v>Dame Catherine Harpur's School</v>
          </cell>
          <cell r="D8110" t="str">
            <v>Derbyshire</v>
          </cell>
          <cell r="E8110" t="str">
            <v>Other Independent School</v>
          </cell>
          <cell r="F8110" t="str">
            <v>Not applicable</v>
          </cell>
        </row>
        <row r="8111">
          <cell r="A8111">
            <v>3942070</v>
          </cell>
          <cell r="B8111">
            <v>108776</v>
          </cell>
          <cell r="C8111" t="str">
            <v>Dame Dorothy Primary School</v>
          </cell>
          <cell r="D8111" t="str">
            <v>Sunderland</v>
          </cell>
          <cell r="E8111" t="str">
            <v>Community School</v>
          </cell>
          <cell r="F8111" t="str">
            <v>Primary</v>
          </cell>
        </row>
        <row r="8112">
          <cell r="A8112">
            <v>3304129</v>
          </cell>
          <cell r="B8112">
            <v>103494</v>
          </cell>
          <cell r="C8112" t="str">
            <v>Dame Elizabeth Cadbury Technology College</v>
          </cell>
          <cell r="D8112" t="str">
            <v>Birmingham</v>
          </cell>
          <cell r="E8112" t="str">
            <v>Foundation School</v>
          </cell>
          <cell r="F8112" t="str">
            <v>Secondary</v>
          </cell>
        </row>
        <row r="8113">
          <cell r="A8113">
            <v>8897004</v>
          </cell>
          <cell r="B8113">
            <v>119859</v>
          </cell>
          <cell r="C8113" t="str">
            <v>Dame Evelyn Fox Special School</v>
          </cell>
          <cell r="D8113" t="str">
            <v>Blackburn with Darwen</v>
          </cell>
          <cell r="E8113" t="str">
            <v>Community Special School</v>
          </cell>
          <cell r="F8113" t="str">
            <v>Special</v>
          </cell>
        </row>
        <row r="8114">
          <cell r="A8114">
            <v>8787082</v>
          </cell>
          <cell r="B8114">
            <v>113653</v>
          </cell>
          <cell r="C8114" t="str">
            <v>Dame Hannah Rogers School</v>
          </cell>
          <cell r="D8114" t="str">
            <v>Devon</v>
          </cell>
          <cell r="E8114" t="str">
            <v>Non-Maintained Special School</v>
          </cell>
          <cell r="F8114" t="str">
            <v>Special</v>
          </cell>
        </row>
        <row r="8115">
          <cell r="A8115">
            <v>8862339</v>
          </cell>
          <cell r="B8115">
            <v>118413</v>
          </cell>
          <cell r="C8115" t="str">
            <v>Dame Janet Community Infant School</v>
          </cell>
          <cell r="D8115" t="str">
            <v>Kent</v>
          </cell>
          <cell r="E8115" t="str">
            <v>Community School</v>
          </cell>
          <cell r="F8115" t="str">
            <v>Primary</v>
          </cell>
        </row>
        <row r="8116">
          <cell r="A8116">
            <v>8862338</v>
          </cell>
          <cell r="B8116">
            <v>118412</v>
          </cell>
          <cell r="C8116" t="str">
            <v>Dame Janet Community Junior School</v>
          </cell>
          <cell r="D8116" t="str">
            <v>Kent</v>
          </cell>
          <cell r="E8116" t="str">
            <v>Community School</v>
          </cell>
          <cell r="F8116" t="str">
            <v>Primary</v>
          </cell>
        </row>
        <row r="8117">
          <cell r="A8117">
            <v>3113000</v>
          </cell>
          <cell r="B8117">
            <v>102327</v>
          </cell>
          <cell r="C8117" t="str">
            <v>Dame Tipping Church of England Primary School</v>
          </cell>
          <cell r="D8117" t="str">
            <v>Havering</v>
          </cell>
          <cell r="E8117" t="str">
            <v>Voluntary Controlled School</v>
          </cell>
          <cell r="F8117" t="str">
            <v>Primary</v>
          </cell>
        </row>
        <row r="8118">
          <cell r="A8118">
            <v>8352015</v>
          </cell>
          <cell r="B8118">
            <v>113665</v>
          </cell>
          <cell r="C8118" t="str">
            <v>Damers First School</v>
          </cell>
          <cell r="D8118" t="str">
            <v>Dorset</v>
          </cell>
          <cell r="E8118" t="str">
            <v>Community School</v>
          </cell>
          <cell r="F8118" t="str">
            <v>Primary</v>
          </cell>
        </row>
        <row r="8119">
          <cell r="A8119">
            <v>3342029</v>
          </cell>
          <cell r="B8119">
            <v>104055</v>
          </cell>
          <cell r="C8119" t="str">
            <v>Damson Wood Nursery and Infant School</v>
          </cell>
          <cell r="D8119" t="str">
            <v>Solihull</v>
          </cell>
          <cell r="E8119" t="str">
            <v>Community School</v>
          </cell>
          <cell r="F8119" t="str">
            <v>Primary</v>
          </cell>
        </row>
        <row r="8120">
          <cell r="A8120">
            <v>8816049</v>
          </cell>
          <cell r="B8120">
            <v>134671</v>
          </cell>
          <cell r="C8120" t="str">
            <v>Dan01-Essex Bridge Yr 10</v>
          </cell>
          <cell r="D8120" t="str">
            <v>Essex</v>
          </cell>
          <cell r="E8120" t="str">
            <v>Other Independent School</v>
          </cell>
          <cell r="F8120" t="str">
            <v>Not applicable</v>
          </cell>
        </row>
        <row r="8121">
          <cell r="A8121">
            <v>8816051</v>
          </cell>
          <cell r="B8121">
            <v>134487</v>
          </cell>
          <cell r="C8121" t="str">
            <v>Dan02 Bridge Year 10</v>
          </cell>
          <cell r="D8121" t="str">
            <v>Essex</v>
          </cell>
          <cell r="E8121" t="str">
            <v>Other Independent School</v>
          </cell>
          <cell r="F8121" t="str">
            <v>Not applicable</v>
          </cell>
        </row>
        <row r="8122">
          <cell r="A8122">
            <v>8812779</v>
          </cell>
          <cell r="B8122">
            <v>114992</v>
          </cell>
          <cell r="C8122" t="str">
            <v>Danbury Park Community Primary School</v>
          </cell>
          <cell r="D8122" t="str">
            <v>Essex</v>
          </cell>
          <cell r="E8122" t="str">
            <v>Community School</v>
          </cell>
          <cell r="F8122" t="str">
            <v>Primary</v>
          </cell>
        </row>
        <row r="8123">
          <cell r="A8123">
            <v>8153025</v>
          </cell>
          <cell r="B8123">
            <v>121486</v>
          </cell>
          <cell r="C8123" t="str">
            <v>Danby Church of England Voluntary Controlled School</v>
          </cell>
          <cell r="D8123" t="str">
            <v>North Yorkshire</v>
          </cell>
          <cell r="E8123" t="str">
            <v>Voluntary Controlled School</v>
          </cell>
          <cell r="F8123" t="str">
            <v>Primary</v>
          </cell>
        </row>
        <row r="8124">
          <cell r="A8124">
            <v>3572064</v>
          </cell>
          <cell r="B8124">
            <v>106217</v>
          </cell>
          <cell r="C8124" t="str">
            <v>Dane Bank Primary School</v>
          </cell>
          <cell r="D8124" t="str">
            <v>Tameside</v>
          </cell>
          <cell r="E8124" t="str">
            <v>Community School</v>
          </cell>
          <cell r="F8124" t="str">
            <v>Primary</v>
          </cell>
        </row>
        <row r="8125">
          <cell r="A8125">
            <v>8865460</v>
          </cell>
          <cell r="B8125">
            <v>118932</v>
          </cell>
          <cell r="C8125" t="str">
            <v>Dane Court Grammar School</v>
          </cell>
          <cell r="D8125" t="str">
            <v>Kent</v>
          </cell>
          <cell r="E8125" t="str">
            <v>Foundation School</v>
          </cell>
          <cell r="F8125" t="str">
            <v>Secondary</v>
          </cell>
        </row>
        <row r="8126">
          <cell r="A8126">
            <v>8865460</v>
          </cell>
          <cell r="B8126">
            <v>136585</v>
          </cell>
          <cell r="C8126" t="str">
            <v>Dane Court Grammar School</v>
          </cell>
          <cell r="D8126" t="str">
            <v>Kent</v>
          </cell>
          <cell r="E8126" t="str">
            <v>Academy Converters</v>
          </cell>
          <cell r="F8126" t="str">
            <v>Secondary</v>
          </cell>
        </row>
        <row r="8127">
          <cell r="A8127">
            <v>9092521</v>
          </cell>
          <cell r="B8127">
            <v>112213</v>
          </cell>
          <cell r="C8127" t="str">
            <v>Dane Ghyll School</v>
          </cell>
          <cell r="D8127" t="str">
            <v>Cumbria</v>
          </cell>
          <cell r="E8127" t="str">
            <v>Community School</v>
          </cell>
          <cell r="F8127" t="str">
            <v>Primary</v>
          </cell>
        </row>
        <row r="8128">
          <cell r="A8128">
            <v>8956034</v>
          </cell>
          <cell r="B8128">
            <v>131370</v>
          </cell>
          <cell r="C8128" t="str">
            <v>Dane House</v>
          </cell>
          <cell r="D8128" t="str">
            <v>Cheshire East</v>
          </cell>
          <cell r="E8128" t="str">
            <v>Other Independent Special School</v>
          </cell>
          <cell r="F8128" t="str">
            <v>Not applicable</v>
          </cell>
        </row>
        <row r="8129">
          <cell r="A8129">
            <v>8754125</v>
          </cell>
          <cell r="B8129">
            <v>111408</v>
          </cell>
          <cell r="C8129" t="str">
            <v>Dane Valley High School</v>
          </cell>
          <cell r="D8129" t="str">
            <v>Pre LGR (2009) Cheshire</v>
          </cell>
          <cell r="E8129" t="str">
            <v>Community School</v>
          </cell>
          <cell r="F8129" t="str">
            <v>Secondary</v>
          </cell>
        </row>
        <row r="8130">
          <cell r="A8130">
            <v>2122812</v>
          </cell>
          <cell r="B8130">
            <v>126690</v>
          </cell>
          <cell r="C8130" t="str">
            <v>Danebury Primary School</v>
          </cell>
          <cell r="D8130" t="str">
            <v>Wandsworth</v>
          </cell>
          <cell r="E8130" t="str">
            <v>Community School</v>
          </cell>
          <cell r="F8130" t="str">
            <v>Primary</v>
          </cell>
        </row>
        <row r="8131">
          <cell r="A8131">
            <v>8877031</v>
          </cell>
          <cell r="B8131">
            <v>119035</v>
          </cell>
          <cell r="C8131" t="str">
            <v>Danecourt Community School</v>
          </cell>
          <cell r="D8131" t="str">
            <v>Medway</v>
          </cell>
          <cell r="E8131" t="str">
            <v>Community Special School</v>
          </cell>
          <cell r="F8131" t="str">
            <v>Special</v>
          </cell>
        </row>
        <row r="8132">
          <cell r="A8132">
            <v>3022073</v>
          </cell>
          <cell r="B8132">
            <v>101314</v>
          </cell>
          <cell r="C8132" t="str">
            <v>Danegrove Primary School</v>
          </cell>
          <cell r="D8132" t="str">
            <v>Barnet</v>
          </cell>
          <cell r="E8132" t="str">
            <v>Community School</v>
          </cell>
          <cell r="F8132" t="str">
            <v>Primary</v>
          </cell>
        </row>
        <row r="8133">
          <cell r="A8133">
            <v>8453018</v>
          </cell>
          <cell r="B8133">
            <v>114499</v>
          </cell>
          <cell r="C8133" t="str">
            <v>Danehill Church of England Primary School</v>
          </cell>
          <cell r="D8133" t="str">
            <v>East Sussex</v>
          </cell>
          <cell r="E8133" t="str">
            <v>Voluntary Controlled School</v>
          </cell>
          <cell r="F8133" t="str">
            <v>Primary</v>
          </cell>
        </row>
        <row r="8134">
          <cell r="A8134">
            <v>9204462</v>
          </cell>
          <cell r="B8134">
            <v>129295</v>
          </cell>
          <cell r="C8134" t="str">
            <v>Danepark Junior High School</v>
          </cell>
          <cell r="D8134" t="str">
            <v>Pre LGR (1996) Humberside</v>
          </cell>
          <cell r="E8134" t="str">
            <v>Community School</v>
          </cell>
          <cell r="F8134" t="str">
            <v>Secondary</v>
          </cell>
        </row>
        <row r="8135">
          <cell r="A8135">
            <v>8102486</v>
          </cell>
          <cell r="B8135">
            <v>117805</v>
          </cell>
          <cell r="C8135" t="str">
            <v>Danepark Primary School</v>
          </cell>
          <cell r="D8135" t="str">
            <v>Kingston upon Hull City of</v>
          </cell>
          <cell r="E8135" t="str">
            <v>Community School</v>
          </cell>
          <cell r="F8135" t="str">
            <v>Primary</v>
          </cell>
        </row>
        <row r="8136">
          <cell r="A8136">
            <v>9366272</v>
          </cell>
          <cell r="B8136">
            <v>125389</v>
          </cell>
          <cell r="C8136" t="str">
            <v>Danes Hill Preparatory School</v>
          </cell>
          <cell r="D8136" t="str">
            <v>Surrey</v>
          </cell>
          <cell r="E8136" t="str">
            <v>Other Independent School</v>
          </cell>
          <cell r="F8136" t="str">
            <v>Not applicable</v>
          </cell>
        </row>
        <row r="8137">
          <cell r="A8137">
            <v>6812172</v>
          </cell>
          <cell r="B8137">
            <v>401627</v>
          </cell>
          <cell r="C8137" t="str">
            <v>Danescourt Infant School</v>
          </cell>
          <cell r="D8137" t="str">
            <v>Cardiff</v>
          </cell>
          <cell r="E8137" t="str">
            <v>Welsh Establishment</v>
          </cell>
          <cell r="F8137" t="str">
            <v>Primary</v>
          </cell>
        </row>
        <row r="8138">
          <cell r="A8138">
            <v>6812158</v>
          </cell>
          <cell r="B8138">
            <v>401621</v>
          </cell>
          <cell r="C8138" t="str">
            <v>Danescourt Junior School</v>
          </cell>
          <cell r="D8138" t="str">
            <v>Cardiff</v>
          </cell>
          <cell r="E8138" t="str">
            <v>Welsh Establishment</v>
          </cell>
          <cell r="F8138" t="str">
            <v>Primary</v>
          </cell>
        </row>
        <row r="8139">
          <cell r="A8139">
            <v>6812321</v>
          </cell>
          <cell r="B8139">
            <v>402212</v>
          </cell>
          <cell r="C8139" t="str">
            <v>Danescourt Primary School</v>
          </cell>
          <cell r="D8139" t="str">
            <v>Cardiff</v>
          </cell>
          <cell r="E8139" t="str">
            <v>Welsh Establishment</v>
          </cell>
          <cell r="F8139" t="str">
            <v>Primary</v>
          </cell>
        </row>
        <row r="8140">
          <cell r="A8140">
            <v>9334553</v>
          </cell>
          <cell r="B8140">
            <v>123895</v>
          </cell>
          <cell r="C8140" t="str">
            <v>Danesfield Church of England Voluntary Controlled Community Middle School</v>
          </cell>
          <cell r="D8140" t="str">
            <v>Somerset</v>
          </cell>
          <cell r="E8140" t="str">
            <v>Voluntary Controlled School</v>
          </cell>
          <cell r="F8140" t="str">
            <v>Middle Deemed Secondary</v>
          </cell>
        </row>
        <row r="8141">
          <cell r="A8141">
            <v>8255208</v>
          </cell>
          <cell r="B8141">
            <v>110277</v>
          </cell>
          <cell r="C8141" t="str">
            <v>Danesfield School</v>
          </cell>
          <cell r="D8141" t="str">
            <v>Buckinghamshire</v>
          </cell>
          <cell r="E8141" t="str">
            <v>Foundation School</v>
          </cell>
          <cell r="F8141" t="str">
            <v>Primary</v>
          </cell>
        </row>
        <row r="8142">
          <cell r="A8142">
            <v>8161100</v>
          </cell>
          <cell r="B8142">
            <v>121270</v>
          </cell>
          <cell r="C8142" t="str">
            <v>Danesgate Community</v>
          </cell>
          <cell r="D8142" t="str">
            <v>York</v>
          </cell>
          <cell r="E8142" t="str">
            <v>Pupil Referral Unit</v>
          </cell>
          <cell r="F8142" t="str">
            <v>PRU</v>
          </cell>
        </row>
        <row r="8143">
          <cell r="A8143">
            <v>8506024</v>
          </cell>
          <cell r="B8143">
            <v>116550</v>
          </cell>
          <cell r="C8143" t="str">
            <v>Daneshill School</v>
          </cell>
          <cell r="D8143" t="str">
            <v>Hampshire</v>
          </cell>
          <cell r="E8143" t="str">
            <v>Other Independent School</v>
          </cell>
          <cell r="F8143" t="str">
            <v>Not applicable</v>
          </cell>
        </row>
        <row r="8144">
          <cell r="A8144">
            <v>9282146</v>
          </cell>
          <cell r="B8144">
            <v>121903</v>
          </cell>
          <cell r="C8144" t="str">
            <v>Danesholme Infant School</v>
          </cell>
          <cell r="D8144" t="str">
            <v>Northamptonshire</v>
          </cell>
          <cell r="E8144" t="str">
            <v>Community School</v>
          </cell>
          <cell r="F8144" t="str">
            <v>Primary</v>
          </cell>
        </row>
        <row r="8145">
          <cell r="A8145">
            <v>9285202</v>
          </cell>
          <cell r="B8145">
            <v>122104</v>
          </cell>
          <cell r="C8145" t="str">
            <v>Danesholme Junior School</v>
          </cell>
          <cell r="D8145" t="str">
            <v>Northamptonshire</v>
          </cell>
          <cell r="E8145" t="str">
            <v>Foundation School</v>
          </cell>
          <cell r="F8145" t="str">
            <v>Primary</v>
          </cell>
        </row>
        <row r="8146">
          <cell r="A8146">
            <v>8302077</v>
          </cell>
          <cell r="B8146">
            <v>112531</v>
          </cell>
          <cell r="C8146" t="str">
            <v>Danesmoor Infant School</v>
          </cell>
          <cell r="D8146" t="str">
            <v>Derbyshire</v>
          </cell>
          <cell r="E8146" t="str">
            <v>Community School</v>
          </cell>
          <cell r="F8146" t="str">
            <v>Primary</v>
          </cell>
        </row>
        <row r="8147">
          <cell r="A8147">
            <v>3362101</v>
          </cell>
          <cell r="B8147">
            <v>104340</v>
          </cell>
          <cell r="C8147" t="str">
            <v>Danesmore Park Primary School</v>
          </cell>
          <cell r="D8147" t="str">
            <v>Wolverhampton</v>
          </cell>
          <cell r="E8147" t="str">
            <v>Community School</v>
          </cell>
          <cell r="F8147" t="str">
            <v>Primary</v>
          </cell>
        </row>
        <row r="8148">
          <cell r="A8148">
            <v>8912164</v>
          </cell>
          <cell r="B8148">
            <v>122487</v>
          </cell>
          <cell r="C8148" t="str">
            <v>Daneswood Junior School</v>
          </cell>
          <cell r="D8148" t="str">
            <v>Nottinghamshire</v>
          </cell>
          <cell r="E8148" t="str">
            <v>Community School</v>
          </cell>
          <cell r="F8148" t="str">
            <v>Primary</v>
          </cell>
        </row>
        <row r="8149">
          <cell r="A8149">
            <v>9284053</v>
          </cell>
          <cell r="B8149">
            <v>122065</v>
          </cell>
          <cell r="C8149" t="str">
            <v>Danetre School</v>
          </cell>
          <cell r="D8149" t="str">
            <v>Northamptonshire</v>
          </cell>
          <cell r="E8149" t="str">
            <v>Community School</v>
          </cell>
          <cell r="F8149" t="str">
            <v>Secondary</v>
          </cell>
        </row>
        <row r="8150">
          <cell r="A8150">
            <v>9362092</v>
          </cell>
          <cell r="B8150">
            <v>124960</v>
          </cell>
          <cell r="C8150" t="str">
            <v>Danetree Junior School</v>
          </cell>
          <cell r="D8150" t="str">
            <v>Surrey</v>
          </cell>
          <cell r="E8150" t="str">
            <v>Community School</v>
          </cell>
          <cell r="F8150" t="str">
            <v>Primary</v>
          </cell>
        </row>
        <row r="8151">
          <cell r="A8151">
            <v>3732362</v>
          </cell>
          <cell r="B8151">
            <v>107104</v>
          </cell>
          <cell r="C8151" t="str">
            <v>Daniel Hill Primary School</v>
          </cell>
          <cell r="D8151" t="str">
            <v>Sheffield</v>
          </cell>
          <cell r="E8151" t="str">
            <v>Community School</v>
          </cell>
          <cell r="F8151" t="str">
            <v>Primary</v>
          </cell>
        </row>
        <row r="8152">
          <cell r="A8152">
            <v>2041101</v>
          </cell>
          <cell r="B8152">
            <v>100215</v>
          </cell>
          <cell r="C8152" t="str">
            <v>Daniel House Pupil Referral Unit</v>
          </cell>
          <cell r="D8152" t="str">
            <v>Hackney</v>
          </cell>
          <cell r="E8152" t="str">
            <v>Pupil Referral Unit</v>
          </cell>
          <cell r="F8152" t="str">
            <v>PRU</v>
          </cell>
        </row>
        <row r="8153">
          <cell r="A8153">
            <v>6704077</v>
          </cell>
          <cell r="B8153">
            <v>401776</v>
          </cell>
          <cell r="C8153" t="str">
            <v>Daniel James Community School</v>
          </cell>
          <cell r="D8153" t="str">
            <v>Swansea</v>
          </cell>
          <cell r="E8153" t="str">
            <v>Welsh Establishment</v>
          </cell>
          <cell r="F8153" t="str">
            <v>Secondary</v>
          </cell>
        </row>
        <row r="8154">
          <cell r="A8154">
            <v>8864212</v>
          </cell>
          <cell r="B8154">
            <v>118826</v>
          </cell>
          <cell r="C8154" t="str">
            <v>Danley Middle School</v>
          </cell>
          <cell r="D8154" t="str">
            <v>Kent</v>
          </cell>
          <cell r="E8154" t="str">
            <v>Community School</v>
          </cell>
          <cell r="F8154" t="str">
            <v>Middle Deemed Secondary</v>
          </cell>
        </row>
        <row r="8155">
          <cell r="A8155">
            <v>3032002</v>
          </cell>
          <cell r="B8155">
            <v>101403</v>
          </cell>
          <cell r="C8155" t="str">
            <v>Danson Primary School</v>
          </cell>
          <cell r="D8155" t="str">
            <v>Bexley</v>
          </cell>
          <cell r="E8155" t="str">
            <v>Community School</v>
          </cell>
          <cell r="F8155" t="str">
            <v>Primary</v>
          </cell>
        </row>
        <row r="8156">
          <cell r="A8156">
            <v>3714014</v>
          </cell>
          <cell r="B8156">
            <v>106780</v>
          </cell>
          <cell r="C8156" t="str">
            <v>Danum School Technology College</v>
          </cell>
          <cell r="D8156" t="str">
            <v>Doncaster</v>
          </cell>
          <cell r="E8156" t="str">
            <v>Foundation School</v>
          </cell>
          <cell r="F8156" t="str">
            <v>Secondary</v>
          </cell>
        </row>
        <row r="8157">
          <cell r="A8157">
            <v>3714014</v>
          </cell>
          <cell r="B8157">
            <v>137524</v>
          </cell>
          <cell r="C8157" t="str">
            <v>Danum School Technology College</v>
          </cell>
          <cell r="D8157" t="str">
            <v>Doncaster</v>
          </cell>
          <cell r="E8157" t="str">
            <v>Academy Converters</v>
          </cell>
          <cell r="F8157" t="str">
            <v>Secondary</v>
          </cell>
        </row>
        <row r="8158">
          <cell r="A8158">
            <v>6702017</v>
          </cell>
          <cell r="B8158">
            <v>400867</v>
          </cell>
          <cell r="C8158" t="str">
            <v>Danygraig Primary School</v>
          </cell>
          <cell r="D8158" t="str">
            <v>Swansea</v>
          </cell>
          <cell r="E8158" t="str">
            <v>Welsh Establishment</v>
          </cell>
          <cell r="F8158" t="str">
            <v>Primary</v>
          </cell>
        </row>
        <row r="8159">
          <cell r="A8159">
            <v>840941</v>
          </cell>
          <cell r="B8159">
            <v>135430</v>
          </cell>
          <cell r="C8159" t="str">
            <v>Darc Pfs Centre</v>
          </cell>
          <cell r="D8159" t="str">
            <v>Durham</v>
          </cell>
          <cell r="E8159" t="str">
            <v>Playing for Success Centres</v>
          </cell>
          <cell r="F8159" t="str">
            <v>Not applicable</v>
          </cell>
        </row>
        <row r="8160">
          <cell r="A8160">
            <v>3182004</v>
          </cell>
          <cell r="B8160">
            <v>102884</v>
          </cell>
          <cell r="C8160" t="str">
            <v>Darell Primary School</v>
          </cell>
          <cell r="D8160" t="str">
            <v>Richmond upon Thames</v>
          </cell>
          <cell r="E8160" t="str">
            <v>Community School</v>
          </cell>
          <cell r="F8160" t="str">
            <v>Primary</v>
          </cell>
        </row>
        <row r="8161">
          <cell r="A8161">
            <v>6792054</v>
          </cell>
          <cell r="B8161">
            <v>401461</v>
          </cell>
          <cell r="C8161" t="str">
            <v>Darenfelin Junior &amp; Infants School</v>
          </cell>
          <cell r="D8161" t="str">
            <v>Monmouthshire</v>
          </cell>
          <cell r="E8161" t="str">
            <v>Welsh Establishment</v>
          </cell>
          <cell r="F8161" t="str">
            <v>Primary</v>
          </cell>
        </row>
        <row r="8162">
          <cell r="A8162">
            <v>8862062</v>
          </cell>
          <cell r="B8162">
            <v>118245</v>
          </cell>
          <cell r="C8162" t="str">
            <v>Darenth Community Primary School</v>
          </cell>
          <cell r="D8162" t="str">
            <v>Kent</v>
          </cell>
          <cell r="E8162" t="str">
            <v>Community School</v>
          </cell>
          <cell r="F8162" t="str">
            <v>Primary</v>
          </cell>
        </row>
        <row r="8163">
          <cell r="A8163">
            <v>8762109</v>
          </cell>
          <cell r="B8163">
            <v>110994</v>
          </cell>
          <cell r="C8163" t="str">
            <v>Daresbury Primary School</v>
          </cell>
          <cell r="D8163" t="str">
            <v>Halton</v>
          </cell>
          <cell r="E8163" t="str">
            <v>Community School</v>
          </cell>
          <cell r="F8163" t="str">
            <v>Primary</v>
          </cell>
        </row>
        <row r="8164">
          <cell r="A8164">
            <v>3704021</v>
          </cell>
          <cell r="B8164">
            <v>106648</v>
          </cell>
          <cell r="C8164" t="str">
            <v>Darfield Foulstone School of Creative Arts</v>
          </cell>
          <cell r="D8164" t="str">
            <v>Barnsley</v>
          </cell>
          <cell r="E8164" t="str">
            <v>Community School</v>
          </cell>
          <cell r="F8164" t="str">
            <v>Secondary</v>
          </cell>
        </row>
        <row r="8165">
          <cell r="A8165">
            <v>3702101</v>
          </cell>
          <cell r="B8165">
            <v>106600</v>
          </cell>
          <cell r="C8165" t="str">
            <v>Darfield Upperwood Primary School</v>
          </cell>
          <cell r="D8165" t="str">
            <v>Barnsley</v>
          </cell>
          <cell r="E8165" t="str">
            <v>Community School</v>
          </cell>
          <cell r="F8165" t="str">
            <v>Primary</v>
          </cell>
        </row>
        <row r="8166">
          <cell r="A8166">
            <v>3702048</v>
          </cell>
          <cell r="B8166">
            <v>106573</v>
          </cell>
          <cell r="C8166" t="str">
            <v>Darfield Valley Primary School</v>
          </cell>
          <cell r="D8166" t="str">
            <v>Barnsley</v>
          </cell>
          <cell r="E8166" t="str">
            <v>Community School</v>
          </cell>
          <cell r="F8166" t="str">
            <v>Primary</v>
          </cell>
        </row>
        <row r="8167">
          <cell r="A8167">
            <v>3703000</v>
          </cell>
          <cell r="B8167">
            <v>106625</v>
          </cell>
          <cell r="C8167" t="str">
            <v>Darfield, All Saints, Church of England (Voluntary Controlled) Primary School</v>
          </cell>
          <cell r="D8167" t="str">
            <v>Barnsley</v>
          </cell>
          <cell r="E8167" t="str">
            <v>Voluntary Controlled School</v>
          </cell>
          <cell r="F8167" t="str">
            <v>Primary</v>
          </cell>
        </row>
        <row r="8168">
          <cell r="A8168">
            <v>9082716</v>
          </cell>
          <cell r="B8168">
            <v>111962</v>
          </cell>
          <cell r="C8168" t="str">
            <v>Darite Primary School</v>
          </cell>
          <cell r="D8168" t="str">
            <v>Cornwall</v>
          </cell>
          <cell r="E8168" t="str">
            <v>Community School</v>
          </cell>
          <cell r="F8168" t="str">
            <v>Primary</v>
          </cell>
        </row>
        <row r="8169">
          <cell r="A8169">
            <v>6654034</v>
          </cell>
          <cell r="B8169">
            <v>401714</v>
          </cell>
          <cell r="C8169" t="str">
            <v>Darland High School</v>
          </cell>
          <cell r="D8169" t="str">
            <v>Wrexham</v>
          </cell>
          <cell r="E8169" t="str">
            <v>Welsh Establishment</v>
          </cell>
          <cell r="F8169" t="str">
            <v>Secondary</v>
          </cell>
        </row>
        <row r="8170">
          <cell r="A8170">
            <v>3354100</v>
          </cell>
          <cell r="B8170">
            <v>104249</v>
          </cell>
          <cell r="C8170" t="str">
            <v>Darlaston Community Science College</v>
          </cell>
          <cell r="D8170" t="str">
            <v>Walsall</v>
          </cell>
          <cell r="E8170" t="str">
            <v>Community School</v>
          </cell>
          <cell r="F8170" t="str">
            <v>Secondary</v>
          </cell>
        </row>
        <row r="8171">
          <cell r="A8171">
            <v>8303068</v>
          </cell>
          <cell r="B8171">
            <v>112839</v>
          </cell>
          <cell r="C8171" t="str">
            <v>Darley Churchtown CofE Primary School</v>
          </cell>
          <cell r="D8171" t="str">
            <v>Derbyshire</v>
          </cell>
          <cell r="E8171" t="str">
            <v>Voluntary Controlled School</v>
          </cell>
          <cell r="F8171" t="str">
            <v>Primary</v>
          </cell>
        </row>
        <row r="8172">
          <cell r="A8172">
            <v>8152347</v>
          </cell>
          <cell r="B8172">
            <v>121410</v>
          </cell>
          <cell r="C8172" t="str">
            <v>Darley Community Primary School</v>
          </cell>
          <cell r="D8172" t="str">
            <v>North Yorkshire</v>
          </cell>
          <cell r="E8172" t="str">
            <v>Community School</v>
          </cell>
          <cell r="F8172" t="str">
            <v>Primary</v>
          </cell>
        </row>
        <row r="8173">
          <cell r="A8173">
            <v>3706301</v>
          </cell>
          <cell r="B8173">
            <v>135696</v>
          </cell>
          <cell r="C8173" t="str">
            <v>Darley Cottage</v>
          </cell>
          <cell r="D8173" t="str">
            <v>Barnsley</v>
          </cell>
          <cell r="E8173" t="str">
            <v>Other Independent Special School</v>
          </cell>
          <cell r="F8173" t="str">
            <v>Not applicable</v>
          </cell>
        </row>
        <row r="8174">
          <cell r="A8174">
            <v>8302172</v>
          </cell>
          <cell r="B8174">
            <v>112591</v>
          </cell>
          <cell r="C8174" t="str">
            <v>Darley Dale Primary School</v>
          </cell>
          <cell r="D8174" t="str">
            <v>Derbyshire</v>
          </cell>
          <cell r="E8174" t="str">
            <v>Community School</v>
          </cell>
          <cell r="F8174" t="str">
            <v>Primary</v>
          </cell>
        </row>
        <row r="8175">
          <cell r="A8175">
            <v>9362375</v>
          </cell>
          <cell r="B8175">
            <v>125034</v>
          </cell>
          <cell r="C8175" t="str">
            <v>Darley Dene Infant and Nursery School</v>
          </cell>
          <cell r="D8175" t="str">
            <v>Surrey</v>
          </cell>
          <cell r="E8175" t="str">
            <v>Community School</v>
          </cell>
          <cell r="F8175" t="str">
            <v>Primary</v>
          </cell>
        </row>
        <row r="8176">
          <cell r="A8176">
            <v>8822127</v>
          </cell>
          <cell r="B8176">
            <v>114790</v>
          </cell>
          <cell r="C8176" t="str">
            <v>Darlinghurst Primary and Nursery School</v>
          </cell>
          <cell r="D8176" t="str">
            <v>Southend-on-Sea</v>
          </cell>
          <cell r="E8176" t="str">
            <v>Community School</v>
          </cell>
          <cell r="F8176" t="str">
            <v>Primary</v>
          </cell>
        </row>
        <row r="8177">
          <cell r="A8177">
            <v>8411101</v>
          </cell>
          <cell r="B8177">
            <v>133354</v>
          </cell>
          <cell r="C8177" t="str">
            <v>Darlington Alternative Centre for Education</v>
          </cell>
          <cell r="D8177" t="str">
            <v>Darlington</v>
          </cell>
          <cell r="E8177" t="str">
            <v>Pupil Referral Unit</v>
          </cell>
          <cell r="F8177" t="str">
            <v>PRU</v>
          </cell>
        </row>
        <row r="8178">
          <cell r="A8178">
            <v>8418000</v>
          </cell>
          <cell r="B8178">
            <v>130656</v>
          </cell>
          <cell r="C8178" t="str">
            <v>Darlington College</v>
          </cell>
          <cell r="D8178" t="str">
            <v>Darlington</v>
          </cell>
          <cell r="E8178" t="str">
            <v>Further Education</v>
          </cell>
          <cell r="F8178" t="str">
            <v>16 Plus</v>
          </cell>
        </row>
        <row r="8179">
          <cell r="A8179">
            <v>8414286</v>
          </cell>
          <cell r="B8179">
            <v>114321</v>
          </cell>
          <cell r="C8179" t="str">
            <v>Darlington School of Maths &amp; Science</v>
          </cell>
          <cell r="D8179" t="str">
            <v>Darlington</v>
          </cell>
          <cell r="E8179" t="str">
            <v>Community School</v>
          </cell>
          <cell r="F8179" t="str">
            <v>Secondary</v>
          </cell>
        </row>
        <row r="8180">
          <cell r="A8180">
            <v>8414000</v>
          </cell>
          <cell r="B8180">
            <v>137122</v>
          </cell>
          <cell r="C8180" t="str">
            <v>Darlington School of Maths and Science</v>
          </cell>
          <cell r="D8180" t="str">
            <v>Darlington</v>
          </cell>
          <cell r="E8180" t="str">
            <v>Academy Sponsor Led</v>
          </cell>
          <cell r="F8180" t="str">
            <v>Secondary</v>
          </cell>
        </row>
        <row r="8181">
          <cell r="A8181">
            <v>8962311</v>
          </cell>
          <cell r="B8181">
            <v>111133</v>
          </cell>
          <cell r="C8181" t="str">
            <v>Darnhall Primary School</v>
          </cell>
          <cell r="D8181" t="str">
            <v>Cheshire West and Chester</v>
          </cell>
          <cell r="E8181" t="str">
            <v>Community School</v>
          </cell>
          <cell r="F8181" t="str">
            <v>Primary</v>
          </cell>
        </row>
        <row r="8182">
          <cell r="A8182">
            <v>3542050</v>
          </cell>
          <cell r="B8182">
            <v>105793</v>
          </cell>
          <cell r="C8182" t="str">
            <v>Darnhill Community School</v>
          </cell>
          <cell r="D8182" t="str">
            <v>Rochdale</v>
          </cell>
          <cell r="E8182" t="str">
            <v>Community School</v>
          </cell>
          <cell r="F8182" t="str">
            <v>Primary</v>
          </cell>
        </row>
        <row r="8183">
          <cell r="A8183">
            <v>6742112</v>
          </cell>
          <cell r="B8183">
            <v>401168</v>
          </cell>
          <cell r="C8183" t="str">
            <v>Darran Park Primary School</v>
          </cell>
          <cell r="D8183" t="str">
            <v>Rhondda, Cynon, Taff</v>
          </cell>
          <cell r="E8183" t="str">
            <v>Welsh Establishment</v>
          </cell>
          <cell r="F8183" t="str">
            <v>Primary</v>
          </cell>
        </row>
        <row r="8184">
          <cell r="A8184">
            <v>9292526</v>
          </cell>
          <cell r="B8184">
            <v>122265</v>
          </cell>
          <cell r="C8184" t="str">
            <v>Darras Hall First School</v>
          </cell>
          <cell r="D8184" t="str">
            <v>Northumberland</v>
          </cell>
          <cell r="E8184" t="str">
            <v>Community School</v>
          </cell>
          <cell r="F8184" t="str">
            <v>Primary</v>
          </cell>
        </row>
        <row r="8185">
          <cell r="A8185">
            <v>6742144</v>
          </cell>
          <cell r="B8185">
            <v>401185</v>
          </cell>
          <cell r="C8185" t="str">
            <v>Darrenlas Primary School</v>
          </cell>
          <cell r="D8185" t="str">
            <v>Rhondda, Cynon, Taff</v>
          </cell>
          <cell r="E8185" t="str">
            <v>Welsh Establishment</v>
          </cell>
          <cell r="F8185" t="str">
            <v>Primary</v>
          </cell>
        </row>
        <row r="8186">
          <cell r="A8186">
            <v>3052040</v>
          </cell>
          <cell r="B8186">
            <v>101613</v>
          </cell>
          <cell r="C8186" t="str">
            <v>Darrick Wood Infant School</v>
          </cell>
          <cell r="D8186" t="str">
            <v>Bromley</v>
          </cell>
          <cell r="E8186" t="str">
            <v>Community School</v>
          </cell>
          <cell r="F8186" t="str">
            <v>Primary</v>
          </cell>
        </row>
        <row r="8187">
          <cell r="A8187">
            <v>3052040</v>
          </cell>
          <cell r="B8187">
            <v>137032</v>
          </cell>
          <cell r="C8187" t="str">
            <v>Darrick Wood Infant School</v>
          </cell>
          <cell r="D8187" t="str">
            <v>Bromley</v>
          </cell>
          <cell r="E8187" t="str">
            <v>Academy Converters</v>
          </cell>
          <cell r="F8187" t="str">
            <v>Primary</v>
          </cell>
        </row>
        <row r="8188">
          <cell r="A8188">
            <v>3052039</v>
          </cell>
          <cell r="B8188">
            <v>101612</v>
          </cell>
          <cell r="C8188" t="str">
            <v>Darrick Wood Junior School</v>
          </cell>
          <cell r="D8188" t="str">
            <v>Bromley</v>
          </cell>
          <cell r="E8188" t="str">
            <v>Community School</v>
          </cell>
          <cell r="F8188" t="str">
            <v>Primary</v>
          </cell>
        </row>
        <row r="8189">
          <cell r="A8189">
            <v>3055418</v>
          </cell>
          <cell r="B8189">
            <v>101658</v>
          </cell>
          <cell r="C8189" t="str">
            <v>Darrick Wood School</v>
          </cell>
          <cell r="D8189" t="str">
            <v>Bromley</v>
          </cell>
          <cell r="E8189" t="str">
            <v>Foundation School</v>
          </cell>
          <cell r="F8189" t="str">
            <v>Secondary</v>
          </cell>
        </row>
        <row r="8190">
          <cell r="A8190">
            <v>3055418</v>
          </cell>
          <cell r="B8190">
            <v>136355</v>
          </cell>
          <cell r="C8190" t="str">
            <v>Darrick Wood School</v>
          </cell>
          <cell r="D8190" t="str">
            <v>Bromley</v>
          </cell>
          <cell r="E8190" t="str">
            <v>Academy Converters</v>
          </cell>
          <cell r="F8190" t="str">
            <v>Secondary</v>
          </cell>
        </row>
        <row r="8191">
          <cell r="A8191">
            <v>3843003</v>
          </cell>
          <cell r="B8191">
            <v>108243</v>
          </cell>
          <cell r="C8191" t="str">
            <v>Darrington Church of England Voluntary Controlled Junior and Infant School</v>
          </cell>
          <cell r="D8191" t="str">
            <v>Wakefield</v>
          </cell>
          <cell r="E8191" t="str">
            <v>Voluntary Controlled School</v>
          </cell>
          <cell r="F8191" t="str">
            <v>Primary</v>
          </cell>
        </row>
        <row r="8192">
          <cell r="A8192">
            <v>8861126</v>
          </cell>
          <cell r="B8192">
            <v>135464</v>
          </cell>
          <cell r="C8192" t="str">
            <v>Dartford and Gravesham</v>
          </cell>
          <cell r="D8192" t="str">
            <v>Kent</v>
          </cell>
          <cell r="E8192" t="str">
            <v>Pupil Referral Unit</v>
          </cell>
          <cell r="F8192" t="str">
            <v>PRU</v>
          </cell>
        </row>
        <row r="8193">
          <cell r="A8193">
            <v>8863919</v>
          </cell>
          <cell r="B8193">
            <v>135280</v>
          </cell>
          <cell r="C8193" t="str">
            <v>Dartford Bridge Community Primary School</v>
          </cell>
          <cell r="D8193" t="str">
            <v>Kent</v>
          </cell>
          <cell r="E8193" t="str">
            <v>Community School</v>
          </cell>
          <cell r="F8193" t="str">
            <v>Primary</v>
          </cell>
        </row>
        <row r="8194">
          <cell r="A8194">
            <v>8865406</v>
          </cell>
          <cell r="B8194">
            <v>118878</v>
          </cell>
          <cell r="C8194" t="str">
            <v>Dartford Grammar School</v>
          </cell>
          <cell r="D8194" t="str">
            <v>Kent</v>
          </cell>
          <cell r="E8194" t="str">
            <v>Foundation School</v>
          </cell>
          <cell r="F8194" t="str">
            <v>Secondary</v>
          </cell>
        </row>
        <row r="8195">
          <cell r="A8195">
            <v>8865406</v>
          </cell>
          <cell r="B8195">
            <v>136359</v>
          </cell>
          <cell r="C8195" t="str">
            <v>Dartford Grammar School</v>
          </cell>
          <cell r="D8195" t="str">
            <v>Kent</v>
          </cell>
          <cell r="E8195" t="str">
            <v>Academy Converters</v>
          </cell>
          <cell r="F8195" t="str">
            <v>Secondary</v>
          </cell>
        </row>
        <row r="8196">
          <cell r="A8196">
            <v>8865411</v>
          </cell>
          <cell r="B8196">
            <v>118883</v>
          </cell>
          <cell r="C8196" t="str">
            <v>Dartford Grammar School for Girls</v>
          </cell>
          <cell r="D8196" t="str">
            <v>Kent</v>
          </cell>
          <cell r="E8196" t="str">
            <v>Foundation School</v>
          </cell>
          <cell r="F8196" t="str">
            <v>Secondary</v>
          </cell>
        </row>
        <row r="8197">
          <cell r="A8197">
            <v>8864026</v>
          </cell>
          <cell r="B8197">
            <v>118785</v>
          </cell>
          <cell r="C8197" t="str">
            <v>Dartford Technology College</v>
          </cell>
          <cell r="D8197" t="str">
            <v>Kent</v>
          </cell>
          <cell r="E8197" t="str">
            <v>Community School</v>
          </cell>
          <cell r="F8197" t="str">
            <v>Secondary</v>
          </cell>
        </row>
        <row r="8198">
          <cell r="A8198">
            <v>8864025</v>
          </cell>
          <cell r="B8198">
            <v>118784</v>
          </cell>
          <cell r="C8198" t="str">
            <v>Dartford West Boys' School</v>
          </cell>
          <cell r="D8198" t="str">
            <v>Kent</v>
          </cell>
          <cell r="E8198" t="str">
            <v>Community School</v>
          </cell>
          <cell r="F8198" t="str">
            <v>Secondary</v>
          </cell>
        </row>
        <row r="8199">
          <cell r="A8199">
            <v>8783107</v>
          </cell>
          <cell r="B8199">
            <v>113394</v>
          </cell>
          <cell r="C8199" t="str">
            <v>Dartington Church of England Primary School</v>
          </cell>
          <cell r="D8199" t="str">
            <v>Devon</v>
          </cell>
          <cell r="E8199" t="str">
            <v>Voluntary Controlled School</v>
          </cell>
          <cell r="F8199" t="str">
            <v>Primary</v>
          </cell>
        </row>
        <row r="8200">
          <cell r="A8200">
            <v>8788152</v>
          </cell>
          <cell r="B8200">
            <v>133062</v>
          </cell>
          <cell r="C8200" t="str">
            <v>Dartington College of Arts</v>
          </cell>
          <cell r="D8200" t="str">
            <v>Devon</v>
          </cell>
          <cell r="E8200" t="str">
            <v>Miscellaneous</v>
          </cell>
          <cell r="F8200" t="str">
            <v>Not applicable</v>
          </cell>
        </row>
        <row r="8201">
          <cell r="A8201">
            <v>878</v>
          </cell>
          <cell r="B8201">
            <v>133892</v>
          </cell>
          <cell r="C8201" t="str">
            <v>Dartington College of Arts</v>
          </cell>
          <cell r="D8201" t="str">
            <v>Devon</v>
          </cell>
          <cell r="E8201" t="str">
            <v>Higher Education Institutions</v>
          </cell>
          <cell r="F8201" t="str">
            <v>Not applicable</v>
          </cell>
        </row>
        <row r="8202">
          <cell r="A8202">
            <v>8786905</v>
          </cell>
          <cell r="B8202">
            <v>136200</v>
          </cell>
          <cell r="C8202" t="str">
            <v>Dartmouth Academy</v>
          </cell>
          <cell r="D8202" t="str">
            <v>Devon</v>
          </cell>
          <cell r="E8202" t="str">
            <v>Academy Sponsor Led</v>
          </cell>
          <cell r="F8202" t="str">
            <v>Not applicable</v>
          </cell>
        </row>
        <row r="8203">
          <cell r="A8203">
            <v>8784100</v>
          </cell>
          <cell r="B8203">
            <v>113517</v>
          </cell>
          <cell r="C8203" t="str">
            <v>Dartmouth Community College</v>
          </cell>
          <cell r="D8203" t="str">
            <v>Devon</v>
          </cell>
          <cell r="E8203" t="str">
            <v>Community School</v>
          </cell>
          <cell r="F8203" t="str">
            <v>Secondary</v>
          </cell>
        </row>
        <row r="8204">
          <cell r="A8204">
            <v>3334012</v>
          </cell>
          <cell r="B8204">
            <v>104005</v>
          </cell>
          <cell r="C8204" t="str">
            <v>Dartmouth High School</v>
          </cell>
          <cell r="D8204" t="str">
            <v>Sandwell</v>
          </cell>
          <cell r="E8204" t="str">
            <v>Community School</v>
          </cell>
          <cell r="F8204" t="str">
            <v>Secondary</v>
          </cell>
        </row>
        <row r="8205">
          <cell r="A8205">
            <v>8782412</v>
          </cell>
          <cell r="B8205">
            <v>113195</v>
          </cell>
          <cell r="C8205" t="str">
            <v>Dartmouth Primary School and Nursery</v>
          </cell>
          <cell r="D8205" t="str">
            <v>Devon</v>
          </cell>
          <cell r="E8205" t="str">
            <v>Community School</v>
          </cell>
          <cell r="F8205" t="str">
            <v>Primary</v>
          </cell>
        </row>
        <row r="8206">
          <cell r="A8206">
            <v>3317012</v>
          </cell>
          <cell r="B8206">
            <v>103761</v>
          </cell>
          <cell r="C8206" t="str">
            <v>Dartmouth School</v>
          </cell>
          <cell r="D8206" t="str">
            <v>Coventry</v>
          </cell>
          <cell r="E8206" t="str">
            <v>Community Special School</v>
          </cell>
          <cell r="F8206" t="str">
            <v>Special</v>
          </cell>
        </row>
        <row r="8207">
          <cell r="A8207">
            <v>3704025</v>
          </cell>
          <cell r="B8207">
            <v>106651</v>
          </cell>
          <cell r="C8207" t="str">
            <v>Darton College</v>
          </cell>
          <cell r="D8207" t="str">
            <v>Barnsley</v>
          </cell>
          <cell r="E8207" t="str">
            <v>Community School</v>
          </cell>
          <cell r="F8207" t="str">
            <v>Secondary</v>
          </cell>
        </row>
        <row r="8208">
          <cell r="A8208">
            <v>3702051</v>
          </cell>
          <cell r="B8208">
            <v>106574</v>
          </cell>
          <cell r="C8208" t="str">
            <v>Darton Primary School</v>
          </cell>
          <cell r="D8208" t="str">
            <v>Barnsley</v>
          </cell>
          <cell r="E8208" t="str">
            <v>Community School</v>
          </cell>
          <cell r="F8208" t="str">
            <v>Primary</v>
          </cell>
        </row>
        <row r="8209">
          <cell r="A8209">
            <v>8926014</v>
          </cell>
          <cell r="B8209">
            <v>133922</v>
          </cell>
          <cell r="C8209" t="str">
            <v>Darul Amaanah</v>
          </cell>
          <cell r="D8209" t="str">
            <v>Nottingham</v>
          </cell>
          <cell r="E8209" t="str">
            <v>Other Independent School</v>
          </cell>
          <cell r="F8209" t="str">
            <v>Not applicable</v>
          </cell>
        </row>
        <row r="8210">
          <cell r="A8210">
            <v>2116389</v>
          </cell>
          <cell r="B8210">
            <v>131745</v>
          </cell>
          <cell r="C8210" t="str">
            <v>Darul Hadis Latifiah</v>
          </cell>
          <cell r="D8210" t="str">
            <v>Tower Hamlets</v>
          </cell>
          <cell r="E8210" t="str">
            <v>Other Independent School</v>
          </cell>
          <cell r="F8210" t="str">
            <v>Not applicable</v>
          </cell>
        </row>
        <row r="8211">
          <cell r="A8211">
            <v>3516007</v>
          </cell>
          <cell r="B8211">
            <v>105372</v>
          </cell>
          <cell r="C8211" t="str">
            <v>Darul Uloom Al Arabiya Al Islamiya</v>
          </cell>
          <cell r="D8211" t="str">
            <v>Bury</v>
          </cell>
          <cell r="E8211" t="str">
            <v>Other Independent School</v>
          </cell>
          <cell r="F8211" t="str">
            <v>Not applicable</v>
          </cell>
        </row>
        <row r="8212">
          <cell r="A8212">
            <v>3806114</v>
          </cell>
          <cell r="B8212">
            <v>134140</v>
          </cell>
          <cell r="C8212" t="str">
            <v>Darul Uloom Dawatul Imaan</v>
          </cell>
          <cell r="D8212" t="str">
            <v>Bradford</v>
          </cell>
          <cell r="E8212" t="str">
            <v>Other Independent School</v>
          </cell>
          <cell r="F8212" t="str">
            <v>Not applicable</v>
          </cell>
        </row>
        <row r="8213">
          <cell r="A8213">
            <v>3306078</v>
          </cell>
          <cell r="B8213">
            <v>103586</v>
          </cell>
          <cell r="C8213" t="str">
            <v>Darul Uloom Islamic High School</v>
          </cell>
          <cell r="D8213" t="str">
            <v>Birmingham</v>
          </cell>
          <cell r="E8213" t="str">
            <v>Other Independent School</v>
          </cell>
          <cell r="F8213" t="str">
            <v>Not applicable</v>
          </cell>
        </row>
        <row r="8214">
          <cell r="A8214">
            <v>8566004</v>
          </cell>
          <cell r="B8214">
            <v>120345</v>
          </cell>
          <cell r="C8214" t="str">
            <v>Darul Uloom Leicester</v>
          </cell>
          <cell r="D8214" t="str">
            <v>Leicester</v>
          </cell>
          <cell r="E8214" t="str">
            <v>Other Independent School</v>
          </cell>
          <cell r="F8214" t="str">
            <v>Not applicable</v>
          </cell>
        </row>
        <row r="8215">
          <cell r="A8215">
            <v>3056077</v>
          </cell>
          <cell r="B8215">
            <v>101695</v>
          </cell>
          <cell r="C8215" t="str">
            <v>Darul Uloom London</v>
          </cell>
          <cell r="D8215" t="str">
            <v>Bromley</v>
          </cell>
          <cell r="E8215" t="str">
            <v>Other Independent School</v>
          </cell>
          <cell r="F8215" t="str">
            <v>Not applicable</v>
          </cell>
        </row>
        <row r="8216">
          <cell r="A8216">
            <v>8456003</v>
          </cell>
          <cell r="B8216">
            <v>114646</v>
          </cell>
          <cell r="C8216" t="str">
            <v>Darvell School</v>
          </cell>
          <cell r="D8216" t="str">
            <v>East Sussex</v>
          </cell>
          <cell r="E8216" t="str">
            <v>Other Independent School</v>
          </cell>
          <cell r="F8216" t="str">
            <v>Not applicable</v>
          </cell>
        </row>
        <row r="8217">
          <cell r="A8217">
            <v>8896905</v>
          </cell>
          <cell r="B8217">
            <v>135580</v>
          </cell>
          <cell r="C8217" t="str">
            <v>Darwen Aldridge Community Academy</v>
          </cell>
          <cell r="D8217" t="str">
            <v>Blackburn with Darwen</v>
          </cell>
          <cell r="E8217" t="str">
            <v>Academy Sponsor Led</v>
          </cell>
          <cell r="F8217" t="str">
            <v>Secondary</v>
          </cell>
        </row>
        <row r="8218">
          <cell r="A8218">
            <v>8891038</v>
          </cell>
          <cell r="B8218">
            <v>119098</v>
          </cell>
          <cell r="C8218" t="str">
            <v>Darwen Childrens Centre</v>
          </cell>
          <cell r="D8218" t="str">
            <v>Blackburn with Darwen</v>
          </cell>
          <cell r="E8218" t="str">
            <v>LA Nursery School</v>
          </cell>
          <cell r="F8218" t="str">
            <v>Nursery</v>
          </cell>
        </row>
        <row r="8219">
          <cell r="A8219">
            <v>8894189</v>
          </cell>
          <cell r="B8219">
            <v>119754</v>
          </cell>
          <cell r="C8219" t="str">
            <v>Darwen Moorland High School</v>
          </cell>
          <cell r="D8219" t="str">
            <v>Blackburn with Darwen</v>
          </cell>
          <cell r="E8219" t="str">
            <v>Community School</v>
          </cell>
          <cell r="F8219" t="str">
            <v>Secondary</v>
          </cell>
        </row>
        <row r="8220">
          <cell r="A8220">
            <v>8896011</v>
          </cell>
          <cell r="B8220">
            <v>131585</v>
          </cell>
          <cell r="C8220" t="str">
            <v>Darwen School</v>
          </cell>
          <cell r="D8220" t="str">
            <v>Blackburn with Darwen</v>
          </cell>
          <cell r="E8220" t="str">
            <v>Other Independent Special School</v>
          </cell>
          <cell r="F8220" t="str">
            <v>Not applicable</v>
          </cell>
        </row>
        <row r="8221">
          <cell r="A8221">
            <v>8893374</v>
          </cell>
          <cell r="B8221">
            <v>119456</v>
          </cell>
          <cell r="C8221" t="str">
            <v>Darwen St Barnabas Church of England Voluntary Aided Primary School</v>
          </cell>
          <cell r="D8221" t="str">
            <v>Blackburn with Darwen</v>
          </cell>
          <cell r="E8221" t="str">
            <v>Voluntary Aided School</v>
          </cell>
          <cell r="F8221" t="str">
            <v>Primary</v>
          </cell>
        </row>
        <row r="8222">
          <cell r="A8222">
            <v>8893377</v>
          </cell>
          <cell r="B8222">
            <v>119457</v>
          </cell>
          <cell r="C8222" t="str">
            <v>Darwen St James' Church of England Primary School</v>
          </cell>
          <cell r="D8222" t="str">
            <v>Blackburn with Darwen</v>
          </cell>
          <cell r="E8222" t="str">
            <v>Voluntary Aided School</v>
          </cell>
          <cell r="F8222" t="str">
            <v>Primary</v>
          </cell>
        </row>
        <row r="8223">
          <cell r="A8223">
            <v>8893378</v>
          </cell>
          <cell r="B8223">
            <v>119458</v>
          </cell>
          <cell r="C8223" t="str">
            <v>Darwen St Peter's Church of England Primary School</v>
          </cell>
          <cell r="D8223" t="str">
            <v>Blackburn with Darwen</v>
          </cell>
          <cell r="E8223" t="str">
            <v>Voluntary Aided School</v>
          </cell>
          <cell r="F8223" t="str">
            <v>Primary</v>
          </cell>
        </row>
        <row r="8224">
          <cell r="A8224">
            <v>8894310</v>
          </cell>
          <cell r="B8224">
            <v>119763</v>
          </cell>
          <cell r="C8224" t="str">
            <v>Darwen Vale High School</v>
          </cell>
          <cell r="D8224" t="str">
            <v>Blackburn with Darwen</v>
          </cell>
          <cell r="E8224" t="str">
            <v>Community School</v>
          </cell>
          <cell r="F8224" t="str">
            <v>Secondary</v>
          </cell>
        </row>
        <row r="8225">
          <cell r="A8225">
            <v>9104153</v>
          </cell>
          <cell r="B8225">
            <v>128656</v>
          </cell>
          <cell r="C8225" t="str">
            <v>Darwin School</v>
          </cell>
          <cell r="D8225" t="str">
            <v>Pre LGR (1997) Derbyshire</v>
          </cell>
          <cell r="E8225" t="str">
            <v>Community School</v>
          </cell>
          <cell r="F8225" t="str">
            <v>Secondary</v>
          </cell>
        </row>
        <row r="8226">
          <cell r="A8226">
            <v>9312592</v>
          </cell>
          <cell r="B8226">
            <v>123077</v>
          </cell>
          <cell r="C8226" t="str">
            <v>Dashwood School</v>
          </cell>
          <cell r="D8226" t="str">
            <v>Oxfordshire</v>
          </cell>
          <cell r="E8226" t="str">
            <v>Foundation School</v>
          </cell>
          <cell r="F8226" t="str">
            <v>Primary</v>
          </cell>
        </row>
        <row r="8227">
          <cell r="A8227">
            <v>8683350</v>
          </cell>
          <cell r="B8227">
            <v>110034</v>
          </cell>
          <cell r="C8227" t="str">
            <v>Datchet St Mary's CofE Primary School</v>
          </cell>
          <cell r="D8227" t="str">
            <v>Windsor and Maidenhead</v>
          </cell>
          <cell r="E8227" t="str">
            <v>Voluntary Aided School</v>
          </cell>
          <cell r="F8227" t="str">
            <v>Primary</v>
          </cell>
        </row>
        <row r="8228">
          <cell r="A8228">
            <v>3156588</v>
          </cell>
          <cell r="B8228">
            <v>109774</v>
          </cell>
          <cell r="C8228" t="str">
            <v>Date Valley School</v>
          </cell>
          <cell r="D8228" t="str">
            <v>Merton</v>
          </cell>
          <cell r="E8228" t="str">
            <v>Other Independent School</v>
          </cell>
          <cell r="F8228" t="str">
            <v>Not applicable</v>
          </cell>
        </row>
        <row r="8229">
          <cell r="A8229">
            <v>2042152</v>
          </cell>
          <cell r="B8229">
            <v>126595</v>
          </cell>
          <cell r="C8229" t="str">
            <v>Daubeney Infant School</v>
          </cell>
          <cell r="D8229" t="str">
            <v>Hackney</v>
          </cell>
          <cell r="E8229" t="str">
            <v>Community School</v>
          </cell>
          <cell r="F8229" t="str">
            <v>Primary</v>
          </cell>
        </row>
        <row r="8230">
          <cell r="A8230">
            <v>8224098</v>
          </cell>
          <cell r="B8230">
            <v>109679</v>
          </cell>
          <cell r="C8230" t="str">
            <v>Daubeney Middle School</v>
          </cell>
          <cell r="D8230" t="str">
            <v>Bedford</v>
          </cell>
          <cell r="E8230" t="str">
            <v>Foundation School</v>
          </cell>
          <cell r="F8230" t="str">
            <v>Middle Deemed Secondary</v>
          </cell>
        </row>
        <row r="8231">
          <cell r="A8231">
            <v>2042150</v>
          </cell>
          <cell r="B8231">
            <v>100223</v>
          </cell>
          <cell r="C8231" t="str">
            <v>Daubeney Primary School</v>
          </cell>
          <cell r="D8231" t="str">
            <v>Hackney</v>
          </cell>
          <cell r="E8231" t="str">
            <v>Community School</v>
          </cell>
          <cell r="F8231" t="str">
            <v>Primary</v>
          </cell>
        </row>
        <row r="8232">
          <cell r="A8232">
            <v>8653401</v>
          </cell>
          <cell r="B8232">
            <v>126418</v>
          </cell>
          <cell r="C8232" t="str">
            <v>Dauntsey's (Aided) Primary School</v>
          </cell>
          <cell r="D8232" t="str">
            <v>Wiltshire</v>
          </cell>
          <cell r="E8232" t="str">
            <v>Voluntary Aided School</v>
          </cell>
          <cell r="F8232" t="str">
            <v>Primary</v>
          </cell>
        </row>
        <row r="8233">
          <cell r="A8233">
            <v>8656007</v>
          </cell>
          <cell r="B8233">
            <v>126532</v>
          </cell>
          <cell r="C8233" t="str">
            <v>Dauntsey's School</v>
          </cell>
          <cell r="D8233" t="str">
            <v>Wiltshire</v>
          </cell>
          <cell r="E8233" t="str">
            <v>Other Independent School</v>
          </cell>
          <cell r="F8233" t="str">
            <v>Not applicable</v>
          </cell>
        </row>
        <row r="8234">
          <cell r="A8234">
            <v>7072026</v>
          </cell>
          <cell r="B8234">
            <v>134839</v>
          </cell>
          <cell r="C8234" t="str">
            <v>D'Auvergne School</v>
          </cell>
          <cell r="D8234" t="str">
            <v>Jersey Offshore Establishments</v>
          </cell>
          <cell r="E8234" t="str">
            <v>Offshore Schools</v>
          </cell>
          <cell r="F8234" t="str">
            <v>Not applicable</v>
          </cell>
        </row>
        <row r="8235">
          <cell r="A8235">
            <v>9062296</v>
          </cell>
          <cell r="B8235">
            <v>128426</v>
          </cell>
          <cell r="C8235" t="str">
            <v>Daven County Infant School</v>
          </cell>
          <cell r="D8235" t="str">
            <v>Pre LGR (1998) Cheshire</v>
          </cell>
          <cell r="E8235" t="str">
            <v>Community School</v>
          </cell>
          <cell r="F8235" t="str">
            <v>Primary</v>
          </cell>
        </row>
        <row r="8236">
          <cell r="A8236">
            <v>9062172</v>
          </cell>
          <cell r="B8236">
            <v>128403</v>
          </cell>
          <cell r="C8236" t="str">
            <v>Daven County Junior School</v>
          </cell>
          <cell r="D8236" t="str">
            <v>Pre LGR (1998) Cheshire</v>
          </cell>
          <cell r="E8236" t="str">
            <v>Community School</v>
          </cell>
          <cell r="F8236" t="str">
            <v>Primary</v>
          </cell>
        </row>
        <row r="8237">
          <cell r="A8237">
            <v>8952705</v>
          </cell>
          <cell r="B8237">
            <v>111222</v>
          </cell>
          <cell r="C8237" t="str">
            <v>Daven Primary School</v>
          </cell>
          <cell r="D8237" t="str">
            <v>Cheshire East</v>
          </cell>
          <cell r="E8237" t="str">
            <v>Community School</v>
          </cell>
          <cell r="F8237" t="str">
            <v>Primary</v>
          </cell>
        </row>
        <row r="8238">
          <cell r="A8238">
            <v>8815426</v>
          </cell>
          <cell r="B8238">
            <v>115342</v>
          </cell>
          <cell r="C8238" t="str">
            <v>Davenant Foundation School</v>
          </cell>
          <cell r="D8238" t="str">
            <v>Essex</v>
          </cell>
          <cell r="E8238" t="str">
            <v>Voluntary Aided School</v>
          </cell>
          <cell r="F8238" t="str">
            <v>Secondary</v>
          </cell>
        </row>
        <row r="8239">
          <cell r="A8239">
            <v>8815426</v>
          </cell>
          <cell r="B8239">
            <v>136625</v>
          </cell>
          <cell r="C8239" t="str">
            <v>Davenant Foundation School</v>
          </cell>
          <cell r="D8239" t="str">
            <v>Essex</v>
          </cell>
          <cell r="E8239" t="str">
            <v>Academy Converters</v>
          </cell>
          <cell r="F8239" t="str">
            <v>Secondary</v>
          </cell>
        </row>
        <row r="8240">
          <cell r="A8240">
            <v>9063127</v>
          </cell>
          <cell r="B8240">
            <v>128448</v>
          </cell>
          <cell r="C8240" t="str">
            <v>Davenham CofE Controlled Primary School</v>
          </cell>
          <cell r="D8240" t="str">
            <v>Pre LGR (1998) Cheshire</v>
          </cell>
          <cell r="E8240" t="str">
            <v>Voluntary Controlled School</v>
          </cell>
          <cell r="F8240" t="str">
            <v>Primary</v>
          </cell>
        </row>
        <row r="8241">
          <cell r="A8241">
            <v>8963645</v>
          </cell>
          <cell r="B8241">
            <v>111387</v>
          </cell>
          <cell r="C8241" t="str">
            <v>Davenham CofE Primary School</v>
          </cell>
          <cell r="D8241" t="str">
            <v>Cheshire West and Chester</v>
          </cell>
          <cell r="E8241" t="str">
            <v>Voluntary Aided School</v>
          </cell>
          <cell r="F8241" t="str">
            <v>Primary</v>
          </cell>
        </row>
        <row r="8242">
          <cell r="A8242">
            <v>8256004</v>
          </cell>
          <cell r="B8242">
            <v>110537</v>
          </cell>
          <cell r="C8242" t="str">
            <v>Davenies School</v>
          </cell>
          <cell r="D8242" t="str">
            <v>Buckinghamshire</v>
          </cell>
          <cell r="E8242" t="str">
            <v>Other Independent School</v>
          </cell>
          <cell r="F8242" t="str">
            <v>Not applicable</v>
          </cell>
        </row>
        <row r="8243">
          <cell r="A8243">
            <v>3316013</v>
          </cell>
          <cell r="B8243">
            <v>103748</v>
          </cell>
          <cell r="C8243" t="str">
            <v>Davenport Lodge School</v>
          </cell>
          <cell r="D8243" t="str">
            <v>Coventry</v>
          </cell>
          <cell r="E8243" t="str">
            <v>Other Independent School</v>
          </cell>
          <cell r="F8243" t="str">
            <v>Not applicable</v>
          </cell>
        </row>
        <row r="8244">
          <cell r="A8244">
            <v>3947017</v>
          </cell>
          <cell r="B8244">
            <v>108883</v>
          </cell>
          <cell r="C8244" t="str">
            <v>Davenport School</v>
          </cell>
          <cell r="D8244" t="str">
            <v>Sunderland</v>
          </cell>
          <cell r="E8244" t="str">
            <v>Community Special School</v>
          </cell>
          <cell r="F8244" t="str">
            <v>Special</v>
          </cell>
        </row>
        <row r="8245">
          <cell r="A8245">
            <v>3564008</v>
          </cell>
          <cell r="B8245">
            <v>127510</v>
          </cell>
          <cell r="C8245" t="str">
            <v>Davenport School</v>
          </cell>
          <cell r="D8245" t="str">
            <v>Stockport</v>
          </cell>
          <cell r="E8245" t="str">
            <v>Community School</v>
          </cell>
          <cell r="F8245" t="str">
            <v>Secondary</v>
          </cell>
        </row>
        <row r="8246">
          <cell r="A8246">
            <v>9283020</v>
          </cell>
          <cell r="B8246">
            <v>121968</v>
          </cell>
          <cell r="C8246" t="str">
            <v>Daventry Abbey Junior School</v>
          </cell>
          <cell r="D8246" t="str">
            <v>Northamptonshire</v>
          </cell>
          <cell r="E8246" t="str">
            <v>Voluntary Controlled School</v>
          </cell>
          <cell r="F8246" t="str">
            <v>Primary</v>
          </cell>
        </row>
        <row r="8247">
          <cell r="A8247">
            <v>9282133</v>
          </cell>
          <cell r="B8247">
            <v>121894</v>
          </cell>
          <cell r="C8247" t="str">
            <v>Daventry Grange Infant School</v>
          </cell>
          <cell r="D8247" t="str">
            <v>Northamptonshire</v>
          </cell>
          <cell r="E8247" t="str">
            <v>Community School</v>
          </cell>
          <cell r="F8247" t="str">
            <v>Primary</v>
          </cell>
        </row>
        <row r="8248">
          <cell r="A8248">
            <v>9288008</v>
          </cell>
          <cell r="B8248">
            <v>130770</v>
          </cell>
          <cell r="C8248" t="str">
            <v>Daventry Tertiary College</v>
          </cell>
          <cell r="D8248" t="str">
            <v>Northamptonshire</v>
          </cell>
          <cell r="E8248" t="str">
            <v>Further Education</v>
          </cell>
          <cell r="F8248" t="str">
            <v>16 Plus</v>
          </cell>
        </row>
        <row r="8249">
          <cell r="A8249">
            <v>8936100</v>
          </cell>
          <cell r="B8249">
            <v>131208</v>
          </cell>
          <cell r="C8249" t="str">
            <v>David Banks School</v>
          </cell>
          <cell r="D8249" t="str">
            <v>Shropshire</v>
          </cell>
          <cell r="E8249" t="str">
            <v>Other Independent Special School</v>
          </cell>
          <cell r="F8249" t="str">
            <v>Not applicable</v>
          </cell>
        </row>
        <row r="8250">
          <cell r="A8250">
            <v>2076386</v>
          </cell>
          <cell r="B8250">
            <v>100544</v>
          </cell>
          <cell r="C8250" t="str">
            <v>David Game College</v>
          </cell>
          <cell r="D8250" t="str">
            <v>Kensington and Chelsea</v>
          </cell>
          <cell r="E8250" t="str">
            <v>Other Independent School</v>
          </cell>
          <cell r="F8250" t="str">
            <v>Not applicable</v>
          </cell>
        </row>
        <row r="8251">
          <cell r="A8251">
            <v>8957904</v>
          </cell>
          <cell r="B8251">
            <v>131860</v>
          </cell>
          <cell r="C8251" t="str">
            <v>David Lewis College</v>
          </cell>
          <cell r="D8251" t="str">
            <v>Cheshire East</v>
          </cell>
          <cell r="E8251" t="str">
            <v>Special College</v>
          </cell>
          <cell r="F8251" t="str">
            <v>16 Plus</v>
          </cell>
        </row>
        <row r="8252">
          <cell r="A8252">
            <v>8957101</v>
          </cell>
          <cell r="B8252">
            <v>111499</v>
          </cell>
          <cell r="C8252" t="str">
            <v>David Lewis School</v>
          </cell>
          <cell r="D8252" t="str">
            <v>Cheshire East</v>
          </cell>
          <cell r="E8252" t="str">
            <v>Non-Maintained Special School</v>
          </cell>
          <cell r="F8252" t="str">
            <v>Special</v>
          </cell>
        </row>
        <row r="8253">
          <cell r="A8253">
            <v>8104130</v>
          </cell>
          <cell r="B8253">
            <v>118104</v>
          </cell>
          <cell r="C8253" t="str">
            <v>David Lister School</v>
          </cell>
          <cell r="D8253" t="str">
            <v>Kingston upon Hull City of</v>
          </cell>
          <cell r="E8253" t="str">
            <v>Community School</v>
          </cell>
          <cell r="F8253" t="str">
            <v>Secondary</v>
          </cell>
        </row>
        <row r="8254">
          <cell r="A8254">
            <v>3062008</v>
          </cell>
          <cell r="B8254">
            <v>101716</v>
          </cell>
          <cell r="C8254" t="str">
            <v>David Livingstone Primary School</v>
          </cell>
          <cell r="D8254" t="str">
            <v>Croydon</v>
          </cell>
          <cell r="E8254" t="str">
            <v>Community School</v>
          </cell>
          <cell r="F8254" t="str">
            <v>Primary</v>
          </cell>
        </row>
        <row r="8255">
          <cell r="A8255">
            <v>3062008</v>
          </cell>
          <cell r="B8255">
            <v>137195</v>
          </cell>
          <cell r="C8255" t="str">
            <v>David Livingstone Primary School</v>
          </cell>
          <cell r="D8255" t="str">
            <v>Croydon</v>
          </cell>
          <cell r="E8255" t="str">
            <v>Academy Converters</v>
          </cell>
          <cell r="F8255" t="str">
            <v>Primary</v>
          </cell>
        </row>
        <row r="8256">
          <cell r="A8256">
            <v>3836905</v>
          </cell>
          <cell r="B8256">
            <v>131898</v>
          </cell>
          <cell r="C8256" t="str">
            <v>David Young Community Academy</v>
          </cell>
          <cell r="D8256" t="str">
            <v>Leeds</v>
          </cell>
          <cell r="E8256" t="str">
            <v>Academy Sponsor Led</v>
          </cell>
          <cell r="F8256" t="str">
            <v>Secondary</v>
          </cell>
        </row>
        <row r="8257">
          <cell r="A8257">
            <v>3062009</v>
          </cell>
          <cell r="B8257">
            <v>101717</v>
          </cell>
          <cell r="C8257" t="str">
            <v>Davidson Infant School</v>
          </cell>
          <cell r="D8257" t="str">
            <v>Croydon</v>
          </cell>
          <cell r="E8257" t="str">
            <v>Community School</v>
          </cell>
          <cell r="F8257" t="str">
            <v>Primary</v>
          </cell>
        </row>
        <row r="8258">
          <cell r="A8258">
            <v>3062096</v>
          </cell>
          <cell r="B8258">
            <v>101780</v>
          </cell>
          <cell r="C8258" t="str">
            <v>Davidson Junior School</v>
          </cell>
          <cell r="D8258" t="str">
            <v>Croydon</v>
          </cell>
          <cell r="E8258" t="str">
            <v>Community School</v>
          </cell>
          <cell r="F8258" t="str">
            <v>Primary</v>
          </cell>
        </row>
        <row r="8259">
          <cell r="A8259">
            <v>3063414</v>
          </cell>
          <cell r="B8259">
            <v>134449</v>
          </cell>
          <cell r="C8259" t="str">
            <v>Davidson Primary School</v>
          </cell>
          <cell r="D8259" t="str">
            <v>Croydon</v>
          </cell>
          <cell r="E8259" t="str">
            <v>Community School</v>
          </cell>
          <cell r="F8259" t="str">
            <v>Primary</v>
          </cell>
        </row>
        <row r="8260">
          <cell r="A8260">
            <v>2026367</v>
          </cell>
          <cell r="B8260">
            <v>126571</v>
          </cell>
          <cell r="C8260" t="str">
            <v>Davies College</v>
          </cell>
          <cell r="D8260" t="str">
            <v>Camden</v>
          </cell>
          <cell r="E8260" t="str">
            <v>Other Independent School</v>
          </cell>
          <cell r="F8260" t="str">
            <v>Not applicable</v>
          </cell>
        </row>
        <row r="8261">
          <cell r="A8261">
            <v>2136391</v>
          </cell>
          <cell r="B8261">
            <v>100529</v>
          </cell>
          <cell r="C8261" t="str">
            <v>Davies Laing and Dick College</v>
          </cell>
          <cell r="D8261" t="str">
            <v>Westminster</v>
          </cell>
          <cell r="E8261" t="str">
            <v>Other Independent School</v>
          </cell>
          <cell r="F8261" t="str">
            <v>Not applicable</v>
          </cell>
        </row>
        <row r="8262">
          <cell r="A8262">
            <v>3202014</v>
          </cell>
          <cell r="B8262">
            <v>103041</v>
          </cell>
          <cell r="C8262" t="str">
            <v>Davies Lane Junior School</v>
          </cell>
          <cell r="D8262" t="str">
            <v>Waltham Forest</v>
          </cell>
          <cell r="E8262" t="str">
            <v>Community School</v>
          </cell>
          <cell r="F8262" t="str">
            <v>Primary</v>
          </cell>
        </row>
        <row r="8263">
          <cell r="A8263">
            <v>3202015</v>
          </cell>
          <cell r="B8263">
            <v>103042</v>
          </cell>
          <cell r="C8263" t="str">
            <v>Davies Lane Primary School</v>
          </cell>
          <cell r="D8263" t="str">
            <v>Waltham Forest</v>
          </cell>
          <cell r="E8263" t="str">
            <v>Community School</v>
          </cell>
          <cell r="F8263" t="str">
            <v>Primary</v>
          </cell>
        </row>
        <row r="8264">
          <cell r="A8264">
            <v>2026388</v>
          </cell>
          <cell r="B8264">
            <v>100085</v>
          </cell>
          <cell r="C8264" t="str">
            <v>Davies's College</v>
          </cell>
          <cell r="D8264" t="str">
            <v>Camden</v>
          </cell>
          <cell r="E8264" t="str">
            <v>Other Independent School</v>
          </cell>
          <cell r="F8264" t="str">
            <v>Not applicable</v>
          </cell>
        </row>
        <row r="8265">
          <cell r="A8265">
            <v>8462064</v>
          </cell>
          <cell r="B8265">
            <v>114397</v>
          </cell>
          <cell r="C8265" t="str">
            <v>Davigdor Infant School</v>
          </cell>
          <cell r="D8265" t="str">
            <v>Brighton and Hove</v>
          </cell>
          <cell r="E8265" t="str">
            <v>Community School</v>
          </cell>
          <cell r="F8265" t="str">
            <v>Primary</v>
          </cell>
        </row>
        <row r="8266">
          <cell r="A8266">
            <v>8862228</v>
          </cell>
          <cell r="B8266">
            <v>118338</v>
          </cell>
          <cell r="C8266" t="str">
            <v>Davington Primary School</v>
          </cell>
          <cell r="D8266" t="str">
            <v>Kent</v>
          </cell>
          <cell r="E8266" t="str">
            <v>Community School</v>
          </cell>
          <cell r="F8266" t="str">
            <v>Primary</v>
          </cell>
        </row>
        <row r="8267">
          <cell r="A8267">
            <v>9384502</v>
          </cell>
          <cell r="B8267">
            <v>126093</v>
          </cell>
          <cell r="C8267" t="str">
            <v>Davison Church of England High School for Girls, Worthing</v>
          </cell>
          <cell r="D8267" t="str">
            <v>West Sussex</v>
          </cell>
          <cell r="E8267" t="str">
            <v>Voluntary Controlled School</v>
          </cell>
          <cell r="F8267" t="str">
            <v>Secondary</v>
          </cell>
        </row>
        <row r="8268">
          <cell r="A8268">
            <v>3582043</v>
          </cell>
          <cell r="B8268">
            <v>106317</v>
          </cell>
          <cell r="C8268" t="str">
            <v>Davyhulme Infant School</v>
          </cell>
          <cell r="D8268" t="str">
            <v>Trafford</v>
          </cell>
          <cell r="E8268" t="str">
            <v>Community School</v>
          </cell>
          <cell r="F8268" t="str">
            <v>Primary</v>
          </cell>
        </row>
        <row r="8269">
          <cell r="A8269">
            <v>3582042</v>
          </cell>
          <cell r="B8269">
            <v>106316</v>
          </cell>
          <cell r="C8269" t="str">
            <v>Davyhulme Primary School</v>
          </cell>
          <cell r="D8269" t="str">
            <v>Trafford</v>
          </cell>
          <cell r="E8269" t="str">
            <v>Community School</v>
          </cell>
          <cell r="F8269" t="str">
            <v>Primary</v>
          </cell>
        </row>
        <row r="8270">
          <cell r="A8270">
            <v>3357006</v>
          </cell>
          <cell r="B8270">
            <v>104273</v>
          </cell>
          <cell r="C8270" t="str">
            <v>Daw End School</v>
          </cell>
          <cell r="D8270" t="str">
            <v>Walsall</v>
          </cell>
          <cell r="E8270" t="str">
            <v>Community Special School</v>
          </cell>
          <cell r="F8270" t="str">
            <v>Special</v>
          </cell>
        </row>
        <row r="8271">
          <cell r="A8271">
            <v>3322043</v>
          </cell>
          <cell r="B8271">
            <v>103781</v>
          </cell>
          <cell r="C8271" t="str">
            <v>Dawley Brook Primary School</v>
          </cell>
          <cell r="D8271" t="str">
            <v>Dudley</v>
          </cell>
          <cell r="E8271" t="str">
            <v>Community School</v>
          </cell>
          <cell r="F8271" t="str">
            <v>Primary</v>
          </cell>
        </row>
        <row r="8272">
          <cell r="A8272">
            <v>8943317</v>
          </cell>
          <cell r="B8272">
            <v>123544</v>
          </cell>
          <cell r="C8272" t="str">
            <v>Dawley Church of England Primary School with Nursery</v>
          </cell>
          <cell r="D8272" t="str">
            <v>Telford and Wrekin</v>
          </cell>
          <cell r="E8272" t="str">
            <v>Voluntary Aided School</v>
          </cell>
          <cell r="F8272" t="str">
            <v>Primary</v>
          </cell>
        </row>
        <row r="8273">
          <cell r="A8273">
            <v>9116076</v>
          </cell>
          <cell r="B8273">
            <v>128742</v>
          </cell>
          <cell r="C8273" t="str">
            <v>Dawlish College</v>
          </cell>
          <cell r="D8273" t="str">
            <v>Pre LGR (1998) Devon</v>
          </cell>
          <cell r="E8273" t="str">
            <v>Other Independent School</v>
          </cell>
          <cell r="F8273" t="str">
            <v>Not applicable</v>
          </cell>
        </row>
        <row r="8274">
          <cell r="A8274">
            <v>8784101</v>
          </cell>
          <cell r="B8274">
            <v>113518</v>
          </cell>
          <cell r="C8274" t="str">
            <v>Dawlish Community College</v>
          </cell>
          <cell r="D8274" t="str">
            <v>Devon</v>
          </cell>
          <cell r="E8274" t="str">
            <v>Community School</v>
          </cell>
          <cell r="F8274" t="str">
            <v>Secondary</v>
          </cell>
        </row>
        <row r="8275">
          <cell r="A8275">
            <v>9112414</v>
          </cell>
          <cell r="B8275">
            <v>128696</v>
          </cell>
          <cell r="C8275" t="str">
            <v>Dawlish County Infant School</v>
          </cell>
          <cell r="D8275" t="str">
            <v>Pre LGR (1998) Devon</v>
          </cell>
          <cell r="E8275" t="str">
            <v>Community School</v>
          </cell>
          <cell r="F8275" t="str">
            <v>Primary</v>
          </cell>
        </row>
        <row r="8276">
          <cell r="A8276">
            <v>3202067</v>
          </cell>
          <cell r="B8276">
            <v>103073</v>
          </cell>
          <cell r="C8276" t="str">
            <v>Dawlish Primary School</v>
          </cell>
          <cell r="D8276" t="str">
            <v>Waltham Forest</v>
          </cell>
          <cell r="E8276" t="str">
            <v>Community School</v>
          </cell>
          <cell r="F8276" t="str">
            <v>Primary</v>
          </cell>
        </row>
        <row r="8277">
          <cell r="A8277">
            <v>8917022</v>
          </cell>
          <cell r="B8277">
            <v>122956</v>
          </cell>
          <cell r="C8277" t="str">
            <v>Dawn House School</v>
          </cell>
          <cell r="D8277" t="str">
            <v>Nottinghamshire</v>
          </cell>
          <cell r="E8277" t="str">
            <v>Non-Maintained Special School</v>
          </cell>
          <cell r="F8277" t="str">
            <v>Special</v>
          </cell>
        </row>
        <row r="8278">
          <cell r="A8278">
            <v>3921102</v>
          </cell>
          <cell r="B8278">
            <v>108567</v>
          </cell>
          <cell r="C8278" t="str">
            <v>Day Tutorial Unit</v>
          </cell>
          <cell r="D8278" t="str">
            <v>North Tyneside</v>
          </cell>
          <cell r="E8278" t="str">
            <v>Pupil Referral Unit</v>
          </cell>
          <cell r="F8278" t="str">
            <v>PRU</v>
          </cell>
        </row>
        <row r="8279">
          <cell r="A8279">
            <v>3342006</v>
          </cell>
          <cell r="B8279">
            <v>104043</v>
          </cell>
          <cell r="C8279" t="str">
            <v>Daylesford Infant School</v>
          </cell>
          <cell r="D8279" t="str">
            <v>Solihull</v>
          </cell>
          <cell r="E8279" t="str">
            <v>Community School</v>
          </cell>
          <cell r="F8279" t="str">
            <v>Primary</v>
          </cell>
        </row>
        <row r="8280">
          <cell r="A8280">
            <v>8914449</v>
          </cell>
          <cell r="B8280">
            <v>122881</v>
          </cell>
          <cell r="C8280" t="str">
            <v>Dayncourt School Specialist Sports College</v>
          </cell>
          <cell r="D8280" t="str">
            <v>Nottinghamshire</v>
          </cell>
          <cell r="E8280" t="str">
            <v>Foundation School</v>
          </cell>
          <cell r="F8280" t="str">
            <v>Secondary</v>
          </cell>
        </row>
        <row r="8281">
          <cell r="A8281">
            <v>3032047</v>
          </cell>
          <cell r="B8281">
            <v>133246</v>
          </cell>
          <cell r="C8281" t="str">
            <v>Days Lane Infant School</v>
          </cell>
          <cell r="D8281" t="str">
            <v>Bexley</v>
          </cell>
          <cell r="E8281" t="str">
            <v>Community School</v>
          </cell>
          <cell r="F8281" t="str">
            <v>Primary</v>
          </cell>
        </row>
        <row r="8282">
          <cell r="A8282">
            <v>3032046</v>
          </cell>
          <cell r="B8282">
            <v>101428</v>
          </cell>
          <cell r="C8282" t="str">
            <v>Days Lane Primary School</v>
          </cell>
          <cell r="D8282" t="str">
            <v>Bexley</v>
          </cell>
          <cell r="E8282" t="str">
            <v>Community School</v>
          </cell>
          <cell r="F8282" t="str">
            <v>Primary</v>
          </cell>
        </row>
        <row r="8283">
          <cell r="A8283">
            <v>908941</v>
          </cell>
          <cell r="B8283">
            <v>132162</v>
          </cell>
          <cell r="C8283" t="str">
            <v>DAZL Delaware Adventure Zone for Learning</v>
          </cell>
          <cell r="D8283" t="str">
            <v>Cornwall</v>
          </cell>
          <cell r="E8283" t="str">
            <v>Playing for Success Centres</v>
          </cell>
          <cell r="F8283" t="str">
            <v>Not applicable</v>
          </cell>
        </row>
        <row r="8284">
          <cell r="A8284">
            <v>9254514</v>
          </cell>
          <cell r="B8284">
            <v>136491</v>
          </cell>
          <cell r="C8284" t="str">
            <v>De Aston School</v>
          </cell>
          <cell r="D8284" t="str">
            <v>Lincolnshire</v>
          </cell>
          <cell r="E8284" t="str">
            <v>Academy Converters</v>
          </cell>
          <cell r="F8284" t="str">
            <v>Secondary</v>
          </cell>
        </row>
        <row r="8285">
          <cell r="A8285">
            <v>2042154</v>
          </cell>
          <cell r="B8285">
            <v>126597</v>
          </cell>
          <cell r="C8285" t="str">
            <v>De Beauvoir Infant School</v>
          </cell>
          <cell r="D8285" t="str">
            <v>Hackney</v>
          </cell>
          <cell r="E8285" t="str">
            <v>Community School</v>
          </cell>
          <cell r="F8285" t="str">
            <v>Primary</v>
          </cell>
        </row>
        <row r="8286">
          <cell r="A8286">
            <v>2042153</v>
          </cell>
          <cell r="B8286">
            <v>126596</v>
          </cell>
          <cell r="C8286" t="str">
            <v>De Beauvoir Junior School</v>
          </cell>
          <cell r="D8286" t="str">
            <v>Hackney</v>
          </cell>
          <cell r="E8286" t="str">
            <v>Community School</v>
          </cell>
          <cell r="F8286" t="str">
            <v>Primary</v>
          </cell>
        </row>
        <row r="8287">
          <cell r="A8287">
            <v>2042155</v>
          </cell>
          <cell r="B8287">
            <v>100224</v>
          </cell>
          <cell r="C8287" t="str">
            <v>De Beauvoir Primary School</v>
          </cell>
          <cell r="D8287" t="str">
            <v>Hackney</v>
          </cell>
          <cell r="E8287" t="str">
            <v>Community School</v>
          </cell>
          <cell r="F8287" t="str">
            <v>Primary</v>
          </cell>
        </row>
        <row r="8288">
          <cell r="A8288">
            <v>3082021</v>
          </cell>
          <cell r="B8288">
            <v>126887</v>
          </cell>
          <cell r="C8288" t="str">
            <v>De Bohun Infant School</v>
          </cell>
          <cell r="D8288" t="str">
            <v>Enfield</v>
          </cell>
          <cell r="E8288" t="str">
            <v>Community School</v>
          </cell>
          <cell r="F8288" t="str">
            <v>Primary</v>
          </cell>
        </row>
        <row r="8289">
          <cell r="A8289">
            <v>3082020</v>
          </cell>
          <cell r="B8289">
            <v>126886</v>
          </cell>
          <cell r="C8289" t="str">
            <v>De Bohun Junior School</v>
          </cell>
          <cell r="D8289" t="str">
            <v>Enfield</v>
          </cell>
          <cell r="E8289" t="str">
            <v>Community School</v>
          </cell>
          <cell r="F8289" t="str">
            <v>Primary</v>
          </cell>
        </row>
        <row r="8290">
          <cell r="A8290">
            <v>3082082</v>
          </cell>
          <cell r="B8290">
            <v>102022</v>
          </cell>
          <cell r="C8290" t="str">
            <v>De Bohun Primary School</v>
          </cell>
          <cell r="D8290" t="str">
            <v>Enfield</v>
          </cell>
          <cell r="E8290" t="str">
            <v>Community School</v>
          </cell>
          <cell r="F8290" t="str">
            <v>Primary</v>
          </cell>
        </row>
        <row r="8291">
          <cell r="A8291">
            <v>8074129</v>
          </cell>
          <cell r="B8291">
            <v>111744</v>
          </cell>
          <cell r="C8291" t="str">
            <v>De Brus School</v>
          </cell>
          <cell r="D8291" t="str">
            <v>Redcar and Cleveland</v>
          </cell>
          <cell r="E8291" t="str">
            <v>Community School</v>
          </cell>
          <cell r="F8291" t="str">
            <v>Secondary</v>
          </cell>
        </row>
        <row r="8292">
          <cell r="A8292">
            <v>9364150</v>
          </cell>
          <cell r="B8292">
            <v>130101</v>
          </cell>
          <cell r="C8292" t="str">
            <v>De Burgh School</v>
          </cell>
          <cell r="D8292" t="str">
            <v>Surrey</v>
          </cell>
          <cell r="E8292" t="str">
            <v>Community School</v>
          </cell>
          <cell r="F8292" t="str">
            <v>Secondary</v>
          </cell>
        </row>
        <row r="8293">
          <cell r="A8293">
            <v>8604176</v>
          </cell>
          <cell r="B8293">
            <v>124442</v>
          </cell>
          <cell r="C8293" t="str">
            <v>De Ferrers Specialist Technology College</v>
          </cell>
          <cell r="D8293" t="str">
            <v>Staffordshire</v>
          </cell>
          <cell r="E8293" t="str">
            <v>Community School</v>
          </cell>
          <cell r="F8293" t="str">
            <v>Secondary</v>
          </cell>
        </row>
        <row r="8294">
          <cell r="A8294">
            <v>9193982</v>
          </cell>
          <cell r="B8294">
            <v>134716</v>
          </cell>
          <cell r="C8294" t="str">
            <v>De Havilland Primary School</v>
          </cell>
          <cell r="D8294" t="str">
            <v>Hertfordshire</v>
          </cell>
          <cell r="E8294" t="str">
            <v>Community School</v>
          </cell>
          <cell r="F8294" t="str">
            <v>Primary</v>
          </cell>
        </row>
        <row r="8295">
          <cell r="A8295">
            <v>3554617</v>
          </cell>
          <cell r="B8295">
            <v>127486</v>
          </cell>
          <cell r="C8295" t="str">
            <v>De La Salle College</v>
          </cell>
          <cell r="D8295" t="str">
            <v>Salford</v>
          </cell>
          <cell r="E8295" t="str">
            <v>Voluntary Aided School</v>
          </cell>
          <cell r="F8295" t="str">
            <v>Secondary</v>
          </cell>
        </row>
        <row r="8296">
          <cell r="A8296">
            <v>3558602</v>
          </cell>
          <cell r="B8296">
            <v>130511</v>
          </cell>
          <cell r="C8296" t="str">
            <v>De La Salle College</v>
          </cell>
          <cell r="D8296" t="str">
            <v>Salford</v>
          </cell>
          <cell r="E8296" t="str">
            <v>Further Education</v>
          </cell>
          <cell r="F8296" t="str">
            <v>16 Plus</v>
          </cell>
        </row>
        <row r="8297">
          <cell r="A8297">
            <v>7074008</v>
          </cell>
          <cell r="B8297">
            <v>132430</v>
          </cell>
          <cell r="C8297" t="str">
            <v>De La Salle College</v>
          </cell>
          <cell r="D8297" t="str">
            <v>Jersey Offshore Establishments</v>
          </cell>
          <cell r="E8297" t="str">
            <v>Offshore Schools</v>
          </cell>
          <cell r="F8297" t="str">
            <v>Not applicable</v>
          </cell>
        </row>
        <row r="8298">
          <cell r="A8298">
            <v>3414795</v>
          </cell>
          <cell r="B8298">
            <v>104716</v>
          </cell>
          <cell r="C8298" t="str">
            <v>De La Salle Humanities College</v>
          </cell>
          <cell r="D8298" t="str">
            <v>Liverpool</v>
          </cell>
          <cell r="E8298" t="str">
            <v>Voluntary Aided School</v>
          </cell>
          <cell r="F8298" t="str">
            <v>Secondary</v>
          </cell>
        </row>
        <row r="8299">
          <cell r="A8299">
            <v>7076007</v>
          </cell>
          <cell r="B8299">
            <v>134115</v>
          </cell>
          <cell r="C8299" t="str">
            <v>De La Salle Primary School</v>
          </cell>
          <cell r="D8299" t="str">
            <v>Jersey Offshore Establishments</v>
          </cell>
          <cell r="E8299" t="str">
            <v>Service Childrens Education</v>
          </cell>
          <cell r="F8299" t="str">
            <v>Not applicable</v>
          </cell>
        </row>
        <row r="8300">
          <cell r="A8300">
            <v>3424714</v>
          </cell>
          <cell r="B8300">
            <v>104834</v>
          </cell>
          <cell r="C8300" t="str">
            <v>De La Salle School</v>
          </cell>
          <cell r="D8300" t="str">
            <v>St. Helens</v>
          </cell>
          <cell r="E8300" t="str">
            <v>Voluntary Aided School</v>
          </cell>
          <cell r="F8300" t="str">
            <v>Secondary</v>
          </cell>
        </row>
        <row r="8301">
          <cell r="A8301">
            <v>8814680</v>
          </cell>
          <cell r="B8301">
            <v>115237</v>
          </cell>
          <cell r="C8301" t="str">
            <v>De La Salle School and Language College</v>
          </cell>
          <cell r="D8301" t="str">
            <v>Essex</v>
          </cell>
          <cell r="E8301" t="str">
            <v>Voluntary Aided School</v>
          </cell>
          <cell r="F8301" t="str">
            <v>Secondary</v>
          </cell>
        </row>
        <row r="8302">
          <cell r="A8302">
            <v>8554601</v>
          </cell>
          <cell r="B8302">
            <v>120304</v>
          </cell>
          <cell r="C8302" t="str">
            <v>De Lisle Catholic School Loughborough Leicestershire</v>
          </cell>
          <cell r="D8302" t="str">
            <v>Leicestershire</v>
          </cell>
          <cell r="E8302" t="str">
            <v>Voluntary Aided School</v>
          </cell>
          <cell r="F8302" t="str">
            <v>Secondary</v>
          </cell>
        </row>
        <row r="8303">
          <cell r="A8303">
            <v>2032813</v>
          </cell>
          <cell r="B8303">
            <v>100152</v>
          </cell>
          <cell r="C8303" t="str">
            <v>De Lucy Primary School</v>
          </cell>
          <cell r="D8303" t="str">
            <v>Greenwich</v>
          </cell>
          <cell r="E8303" t="str">
            <v>Community School</v>
          </cell>
          <cell r="F8303" t="str">
            <v>Primary</v>
          </cell>
        </row>
        <row r="8304">
          <cell r="A8304">
            <v>856</v>
          </cell>
          <cell r="B8304">
            <v>133833</v>
          </cell>
          <cell r="C8304" t="str">
            <v>De Montfort University</v>
          </cell>
          <cell r="D8304" t="str">
            <v>Leicester</v>
          </cell>
          <cell r="E8304" t="str">
            <v>Higher Education Institutions</v>
          </cell>
          <cell r="F8304" t="str">
            <v>Not applicable</v>
          </cell>
        </row>
        <row r="8305">
          <cell r="A8305">
            <v>9365408</v>
          </cell>
          <cell r="B8305">
            <v>125308</v>
          </cell>
          <cell r="C8305" t="str">
            <v>de Stafford School</v>
          </cell>
          <cell r="D8305" t="str">
            <v>Surrey</v>
          </cell>
          <cell r="E8305" t="str">
            <v>Foundation School</v>
          </cell>
          <cell r="F8305" t="str">
            <v>Secondary</v>
          </cell>
        </row>
        <row r="8306">
          <cell r="A8306">
            <v>8812034</v>
          </cell>
          <cell r="B8306">
            <v>114726</v>
          </cell>
          <cell r="C8306" t="str">
            <v>De Vere Primary School</v>
          </cell>
          <cell r="D8306" t="str">
            <v>Essex</v>
          </cell>
          <cell r="E8306" t="str">
            <v>Community School</v>
          </cell>
          <cell r="F8306" t="str">
            <v>Primary</v>
          </cell>
        </row>
        <row r="8307">
          <cell r="A8307">
            <v>3716906</v>
          </cell>
          <cell r="B8307">
            <v>135942</v>
          </cell>
          <cell r="C8307" t="str">
            <v>De Warenne Academy</v>
          </cell>
          <cell r="D8307" t="str">
            <v>Doncaster</v>
          </cell>
          <cell r="E8307" t="str">
            <v>Academy Sponsor Led</v>
          </cell>
          <cell r="F8307" t="str">
            <v>Secondary</v>
          </cell>
        </row>
        <row r="8308">
          <cell r="A8308">
            <v>8745407</v>
          </cell>
          <cell r="B8308">
            <v>110901</v>
          </cell>
          <cell r="C8308" t="str">
            <v>Deacon's School</v>
          </cell>
          <cell r="D8308" t="str">
            <v>Peterborough</v>
          </cell>
          <cell r="E8308" t="str">
            <v>Foundation School</v>
          </cell>
          <cell r="F8308" t="str">
            <v>Secondary</v>
          </cell>
        </row>
        <row r="8309">
          <cell r="A8309">
            <v>8402516</v>
          </cell>
          <cell r="B8309">
            <v>114144</v>
          </cell>
          <cell r="C8309" t="str">
            <v>Deaf Hill Primary School</v>
          </cell>
          <cell r="D8309" t="str">
            <v>Durham</v>
          </cell>
          <cell r="E8309" t="str">
            <v>Community School</v>
          </cell>
          <cell r="F8309" t="str">
            <v>Primary</v>
          </cell>
        </row>
        <row r="8310">
          <cell r="A8310">
            <v>9223285</v>
          </cell>
          <cell r="B8310">
            <v>129407</v>
          </cell>
          <cell r="C8310" t="str">
            <v>Deal Methodist Junior School</v>
          </cell>
          <cell r="D8310" t="str">
            <v>Pre LGR (1998) Kent</v>
          </cell>
          <cell r="E8310" t="str">
            <v>Voluntary Controlled School</v>
          </cell>
          <cell r="F8310" t="str">
            <v>Primary</v>
          </cell>
        </row>
        <row r="8311">
          <cell r="A8311">
            <v>8863353</v>
          </cell>
          <cell r="B8311">
            <v>118746</v>
          </cell>
          <cell r="C8311" t="str">
            <v>Deal Parochial Church of England Primary School</v>
          </cell>
          <cell r="D8311" t="str">
            <v>Kent</v>
          </cell>
          <cell r="E8311" t="str">
            <v>Voluntary Aided School</v>
          </cell>
          <cell r="F8311" t="str">
            <v>Primary</v>
          </cell>
        </row>
        <row r="8312">
          <cell r="A8312">
            <v>8402385</v>
          </cell>
          <cell r="B8312">
            <v>114086</v>
          </cell>
          <cell r="C8312" t="str">
            <v>Dean Bank Primary and Nursery School</v>
          </cell>
          <cell r="D8312" t="str">
            <v>Durham</v>
          </cell>
          <cell r="E8312" t="str">
            <v>Community School</v>
          </cell>
          <cell r="F8312" t="str">
            <v>Primary</v>
          </cell>
        </row>
        <row r="8313">
          <cell r="A8313">
            <v>9093452</v>
          </cell>
          <cell r="B8313">
            <v>112343</v>
          </cell>
          <cell r="C8313" t="str">
            <v>Dean Barwick School</v>
          </cell>
          <cell r="D8313" t="str">
            <v>Cumbria</v>
          </cell>
          <cell r="E8313" t="str">
            <v>Voluntary Aided School</v>
          </cell>
          <cell r="F8313" t="str">
            <v>Primary</v>
          </cell>
        </row>
        <row r="8314">
          <cell r="A8314">
            <v>9166034</v>
          </cell>
          <cell r="B8314">
            <v>115796</v>
          </cell>
          <cell r="C8314" t="str">
            <v>Dean Close Preparatory School</v>
          </cell>
          <cell r="D8314" t="str">
            <v>Gloucestershire</v>
          </cell>
          <cell r="E8314" t="str">
            <v>Other Independent School</v>
          </cell>
          <cell r="F8314" t="str">
            <v>Not applicable</v>
          </cell>
        </row>
        <row r="8315">
          <cell r="A8315">
            <v>9166035</v>
          </cell>
          <cell r="B8315">
            <v>115797</v>
          </cell>
          <cell r="C8315" t="str">
            <v>Dean Close School</v>
          </cell>
          <cell r="D8315" t="str">
            <v>Gloucestershire</v>
          </cell>
          <cell r="E8315" t="str">
            <v>Other Independent School</v>
          </cell>
          <cell r="F8315" t="str">
            <v>Not applicable</v>
          </cell>
        </row>
        <row r="8316">
          <cell r="A8316">
            <v>9093405</v>
          </cell>
          <cell r="B8316">
            <v>112336</v>
          </cell>
          <cell r="C8316" t="str">
            <v>Dean CofE School</v>
          </cell>
          <cell r="D8316" t="str">
            <v>Cumbria</v>
          </cell>
          <cell r="E8316" t="str">
            <v>Voluntary Aided School</v>
          </cell>
          <cell r="F8316" t="str">
            <v>Primary</v>
          </cell>
        </row>
        <row r="8317">
          <cell r="A8317">
            <v>3812007</v>
          </cell>
          <cell r="B8317">
            <v>107481</v>
          </cell>
          <cell r="C8317" t="str">
            <v>Dean Field Community Primary School</v>
          </cell>
          <cell r="D8317" t="str">
            <v>Calderdale</v>
          </cell>
          <cell r="E8317" t="str">
            <v>Community School</v>
          </cell>
          <cell r="F8317" t="str">
            <v>Primary</v>
          </cell>
        </row>
        <row r="8318">
          <cell r="A8318">
            <v>3812008</v>
          </cell>
          <cell r="B8318">
            <v>127755</v>
          </cell>
          <cell r="C8318" t="str">
            <v>Dean Field Infant School</v>
          </cell>
          <cell r="D8318" t="str">
            <v>Calderdale</v>
          </cell>
          <cell r="E8318" t="str">
            <v>Community School</v>
          </cell>
          <cell r="F8318" t="str">
            <v>Primary</v>
          </cell>
        </row>
        <row r="8319">
          <cell r="A8319">
            <v>9093450</v>
          </cell>
          <cell r="B8319">
            <v>112341</v>
          </cell>
          <cell r="C8319" t="str">
            <v>Dean Gibson Catholic Primary School</v>
          </cell>
          <cell r="D8319" t="str">
            <v>Cumbria</v>
          </cell>
          <cell r="E8319" t="str">
            <v>Voluntary Aided School</v>
          </cell>
          <cell r="F8319" t="str">
            <v>Primary</v>
          </cell>
        </row>
        <row r="8320">
          <cell r="A8320">
            <v>9026020</v>
          </cell>
          <cell r="B8320">
            <v>109722</v>
          </cell>
          <cell r="C8320" t="str">
            <v>Dean Grange Preparatory School</v>
          </cell>
          <cell r="D8320" t="str">
            <v>Pre LGR (1997) Bedfordshire</v>
          </cell>
          <cell r="E8320" t="str">
            <v>Other Independent School</v>
          </cell>
          <cell r="F8320" t="str">
            <v>Not applicable</v>
          </cell>
        </row>
        <row r="8321">
          <cell r="A8321">
            <v>9167009</v>
          </cell>
          <cell r="B8321">
            <v>115815</v>
          </cell>
          <cell r="C8321" t="str">
            <v>Dean Hall School</v>
          </cell>
          <cell r="D8321" t="str">
            <v>Gloucestershire</v>
          </cell>
          <cell r="E8321" t="str">
            <v>Community Special School</v>
          </cell>
          <cell r="F8321" t="str">
            <v>Special</v>
          </cell>
        </row>
        <row r="8322">
          <cell r="A8322">
            <v>8953814</v>
          </cell>
          <cell r="B8322">
            <v>135245</v>
          </cell>
          <cell r="C8322" t="str">
            <v>Dean Oaks Primary School</v>
          </cell>
          <cell r="D8322" t="str">
            <v>Cheshire East</v>
          </cell>
          <cell r="E8322" t="str">
            <v>Community School</v>
          </cell>
          <cell r="F8322" t="str">
            <v>Primary</v>
          </cell>
        </row>
        <row r="8323">
          <cell r="A8323">
            <v>3557015</v>
          </cell>
          <cell r="B8323">
            <v>127491</v>
          </cell>
          <cell r="C8323" t="str">
            <v>Dean Park School</v>
          </cell>
          <cell r="D8323" t="str">
            <v>Salford</v>
          </cell>
          <cell r="E8323" t="str">
            <v>Community Special School</v>
          </cell>
          <cell r="F8323" t="str">
            <v>Special</v>
          </cell>
        </row>
        <row r="8324">
          <cell r="A8324">
            <v>8401036</v>
          </cell>
          <cell r="B8324">
            <v>113987</v>
          </cell>
          <cell r="C8324" t="str">
            <v>Dean Road Nursery School</v>
          </cell>
          <cell r="D8324" t="str">
            <v>Durham</v>
          </cell>
          <cell r="E8324" t="str">
            <v>LA Nursery School</v>
          </cell>
          <cell r="F8324" t="str">
            <v>Nursery</v>
          </cell>
        </row>
        <row r="8325">
          <cell r="A8325">
            <v>8752134</v>
          </cell>
          <cell r="B8325">
            <v>111011</v>
          </cell>
          <cell r="C8325" t="str">
            <v>Dean Row Junior School</v>
          </cell>
          <cell r="D8325" t="str">
            <v>Pre LGR (2009) Cheshire</v>
          </cell>
          <cell r="E8325" t="str">
            <v>Community School</v>
          </cell>
          <cell r="F8325" t="str">
            <v>Primary</v>
          </cell>
        </row>
        <row r="8326">
          <cell r="A8326">
            <v>8952332</v>
          </cell>
          <cell r="B8326">
            <v>111147</v>
          </cell>
          <cell r="C8326" t="str">
            <v>Dean Valley Community Primary School</v>
          </cell>
          <cell r="D8326" t="str">
            <v>Cheshire East</v>
          </cell>
          <cell r="E8326" t="str">
            <v>Community School</v>
          </cell>
          <cell r="F8326" t="str">
            <v>Primary</v>
          </cell>
        </row>
        <row r="8327">
          <cell r="A8327">
            <v>9222550</v>
          </cell>
          <cell r="B8327">
            <v>118510</v>
          </cell>
          <cell r="C8327" t="str">
            <v>Dean Wood County Junior School</v>
          </cell>
          <cell r="D8327" t="str">
            <v>Pre LGR (1998) Kent</v>
          </cell>
          <cell r="E8327" t="str">
            <v>Community School</v>
          </cell>
          <cell r="F8327" t="str">
            <v>Primary</v>
          </cell>
        </row>
        <row r="8328">
          <cell r="A8328">
            <v>9222547</v>
          </cell>
          <cell r="B8328">
            <v>118507</v>
          </cell>
          <cell r="C8328" t="str">
            <v>Dean Wood Infant School</v>
          </cell>
          <cell r="D8328" t="str">
            <v>Pre LGR (1998) Kent</v>
          </cell>
          <cell r="E8328" t="str">
            <v>Community School</v>
          </cell>
          <cell r="F8328" t="str">
            <v>Primary</v>
          </cell>
        </row>
        <row r="8329">
          <cell r="A8329">
            <v>9331117</v>
          </cell>
          <cell r="B8329">
            <v>135094</v>
          </cell>
          <cell r="C8329" t="str">
            <v>Deane Discovery Centre</v>
          </cell>
          <cell r="D8329" t="str">
            <v>Somerset</v>
          </cell>
          <cell r="E8329" t="str">
            <v>Pupil Referral Unit</v>
          </cell>
          <cell r="F8329" t="str">
            <v>PRU</v>
          </cell>
        </row>
        <row r="8330">
          <cell r="A8330">
            <v>3305200</v>
          </cell>
          <cell r="B8330">
            <v>127069</v>
          </cell>
          <cell r="C8330" t="str">
            <v>Deanery CofE Infant School</v>
          </cell>
          <cell r="D8330" t="str">
            <v>Birmingham</v>
          </cell>
          <cell r="E8330" t="str">
            <v>Foundation School</v>
          </cell>
          <cell r="F8330" t="str">
            <v>Primary</v>
          </cell>
        </row>
        <row r="8331">
          <cell r="A8331">
            <v>3122016</v>
          </cell>
          <cell r="B8331">
            <v>102377</v>
          </cell>
          <cell r="C8331" t="str">
            <v>Deanesfield Primary School</v>
          </cell>
          <cell r="D8331" t="str">
            <v>Hillingdon</v>
          </cell>
          <cell r="E8331" t="str">
            <v>Community School</v>
          </cell>
          <cell r="F8331" t="str">
            <v>Primary</v>
          </cell>
        </row>
        <row r="8332">
          <cell r="A8332">
            <v>3022019</v>
          </cell>
          <cell r="B8332">
            <v>101274</v>
          </cell>
          <cell r="C8332" t="str">
            <v>Deansbrook Infant School</v>
          </cell>
          <cell r="D8332" t="str">
            <v>Barnet</v>
          </cell>
          <cell r="E8332" t="str">
            <v>Community School</v>
          </cell>
          <cell r="F8332" t="str">
            <v>Primary</v>
          </cell>
        </row>
        <row r="8333">
          <cell r="A8333">
            <v>3022018</v>
          </cell>
          <cell r="B8333">
            <v>101273</v>
          </cell>
          <cell r="C8333" t="str">
            <v>Deansbrook Junior School</v>
          </cell>
          <cell r="D8333" t="str">
            <v>Barnet</v>
          </cell>
          <cell r="E8333" t="str">
            <v>Community School</v>
          </cell>
          <cell r="F8333" t="str">
            <v>Primary</v>
          </cell>
        </row>
        <row r="8334">
          <cell r="A8334">
            <v>3364115</v>
          </cell>
          <cell r="B8334">
            <v>104387</v>
          </cell>
          <cell r="C8334" t="str">
            <v>Deansfield Community School, Specialists In Media Arts</v>
          </cell>
          <cell r="D8334" t="str">
            <v>Wolverhampton</v>
          </cell>
          <cell r="E8334" t="str">
            <v>Community School</v>
          </cell>
          <cell r="F8334" t="str">
            <v>Secondary</v>
          </cell>
        </row>
        <row r="8335">
          <cell r="A8335">
            <v>2032156</v>
          </cell>
          <cell r="B8335">
            <v>100119</v>
          </cell>
          <cell r="C8335" t="str">
            <v>Deansfield Infant School</v>
          </cell>
          <cell r="D8335" t="str">
            <v>Greenwich</v>
          </cell>
          <cell r="E8335" t="str">
            <v>Community School</v>
          </cell>
          <cell r="F8335" t="str">
            <v>Primary</v>
          </cell>
        </row>
        <row r="8336">
          <cell r="A8336">
            <v>2032155</v>
          </cell>
          <cell r="B8336">
            <v>100118</v>
          </cell>
          <cell r="C8336" t="str">
            <v>Deansfield Junior School</v>
          </cell>
          <cell r="D8336" t="str">
            <v>Greenwich</v>
          </cell>
          <cell r="E8336" t="str">
            <v>Community School</v>
          </cell>
          <cell r="F8336" t="str">
            <v>Primary</v>
          </cell>
        </row>
        <row r="8337">
          <cell r="A8337">
            <v>2032923</v>
          </cell>
          <cell r="B8337">
            <v>132837</v>
          </cell>
          <cell r="C8337" t="str">
            <v>Deansfield Primary School</v>
          </cell>
          <cell r="D8337" t="str">
            <v>Greenwich</v>
          </cell>
          <cell r="E8337" t="str">
            <v>Community School</v>
          </cell>
          <cell r="F8337" t="str">
            <v>Primary</v>
          </cell>
        </row>
        <row r="8338">
          <cell r="A8338">
            <v>9282025</v>
          </cell>
          <cell r="B8338">
            <v>121813</v>
          </cell>
          <cell r="C8338" t="str">
            <v>Deanshanger Primary School</v>
          </cell>
          <cell r="D8338" t="str">
            <v>Northamptonshire</v>
          </cell>
          <cell r="E8338" t="str">
            <v>Community School</v>
          </cell>
          <cell r="F8338" t="str">
            <v>Primary</v>
          </cell>
        </row>
        <row r="8339">
          <cell r="A8339">
            <v>8872684</v>
          </cell>
          <cell r="B8339">
            <v>131391</v>
          </cell>
          <cell r="C8339" t="str">
            <v>Deanwood Primary School</v>
          </cell>
          <cell r="D8339" t="str">
            <v>Medway</v>
          </cell>
          <cell r="E8339" t="str">
            <v>Community School</v>
          </cell>
          <cell r="F8339" t="str">
            <v>Primary</v>
          </cell>
        </row>
        <row r="8340">
          <cell r="A8340">
            <v>9095211</v>
          </cell>
          <cell r="B8340">
            <v>112413</v>
          </cell>
          <cell r="C8340" t="str">
            <v>Dearham Primary School</v>
          </cell>
          <cell r="D8340" t="str">
            <v>Cumbria</v>
          </cell>
          <cell r="E8340" t="str">
            <v>Foundation School</v>
          </cell>
          <cell r="F8340" t="str">
            <v>Primary</v>
          </cell>
        </row>
        <row r="8341">
          <cell r="A8341">
            <v>9095211</v>
          </cell>
          <cell r="B8341">
            <v>137602</v>
          </cell>
          <cell r="C8341" t="str">
            <v>Dearham Primary School</v>
          </cell>
          <cell r="D8341" t="str">
            <v>Cumbria</v>
          </cell>
          <cell r="E8341" t="str">
            <v>Academy Converters</v>
          </cell>
          <cell r="F8341" t="str">
            <v>Primary</v>
          </cell>
        </row>
        <row r="8342">
          <cell r="A8342">
            <v>3702098</v>
          </cell>
          <cell r="B8342">
            <v>106597</v>
          </cell>
          <cell r="C8342" t="str">
            <v>Dearne Carrfield Primary School</v>
          </cell>
          <cell r="D8342" t="str">
            <v>Barnsley</v>
          </cell>
          <cell r="E8342" t="str">
            <v>Community School</v>
          </cell>
          <cell r="F8342" t="str">
            <v>Primary</v>
          </cell>
        </row>
        <row r="8343">
          <cell r="A8343">
            <v>3702059</v>
          </cell>
          <cell r="B8343">
            <v>106580</v>
          </cell>
          <cell r="C8343" t="str">
            <v>Dearne Goldthorpe Primary School</v>
          </cell>
          <cell r="D8343" t="str">
            <v>Barnsley</v>
          </cell>
          <cell r="E8343" t="str">
            <v>Community School</v>
          </cell>
          <cell r="F8343" t="str">
            <v>Primary</v>
          </cell>
        </row>
        <row r="8344">
          <cell r="A8344">
            <v>3702061</v>
          </cell>
          <cell r="B8344">
            <v>106581</v>
          </cell>
          <cell r="C8344" t="str">
            <v>Dearne Highgate Primary School</v>
          </cell>
          <cell r="D8344" t="str">
            <v>Barnsley</v>
          </cell>
          <cell r="E8344" t="str">
            <v>Community School</v>
          </cell>
          <cell r="F8344" t="str">
            <v>Primary</v>
          </cell>
        </row>
        <row r="8345">
          <cell r="A8345">
            <v>3728004</v>
          </cell>
          <cell r="B8345">
            <v>130529</v>
          </cell>
          <cell r="C8345" t="str">
            <v>Dearne Valley College</v>
          </cell>
          <cell r="D8345" t="str">
            <v>Rotherham</v>
          </cell>
          <cell r="E8345" t="str">
            <v>Further Education</v>
          </cell>
          <cell r="F8345" t="str">
            <v>16 Plus</v>
          </cell>
        </row>
        <row r="8346">
          <cell r="A8346">
            <v>3704022</v>
          </cell>
          <cell r="B8346">
            <v>127595</v>
          </cell>
          <cell r="C8346" t="str">
            <v>Dearnside School</v>
          </cell>
          <cell r="D8346" t="str">
            <v>Barnsley</v>
          </cell>
          <cell r="E8346" t="str">
            <v>Community School</v>
          </cell>
          <cell r="F8346" t="str">
            <v>Secondary</v>
          </cell>
        </row>
        <row r="8347">
          <cell r="A8347">
            <v>8813243</v>
          </cell>
          <cell r="B8347">
            <v>115128</v>
          </cell>
          <cell r="C8347" t="str">
            <v>Debden Church of England Voluntary Controlled Primary School</v>
          </cell>
          <cell r="D8347" t="str">
            <v>Essex</v>
          </cell>
          <cell r="E8347" t="str">
            <v>Voluntary Controlled School</v>
          </cell>
          <cell r="F8347" t="str">
            <v>Primary</v>
          </cell>
        </row>
        <row r="8348">
          <cell r="A8348">
            <v>8814001</v>
          </cell>
          <cell r="B8348">
            <v>131876</v>
          </cell>
          <cell r="C8348" t="str">
            <v>Debden Park High School</v>
          </cell>
          <cell r="D8348" t="str">
            <v>Essex</v>
          </cell>
          <cell r="E8348" t="str">
            <v>Foundation School</v>
          </cell>
          <cell r="F8348" t="str">
            <v>Secondary</v>
          </cell>
        </row>
        <row r="8349">
          <cell r="A8349">
            <v>8814001</v>
          </cell>
          <cell r="B8349">
            <v>136555</v>
          </cell>
          <cell r="C8349" t="str">
            <v>Debden Park High School</v>
          </cell>
          <cell r="D8349" t="str">
            <v>Essex</v>
          </cell>
          <cell r="E8349" t="str">
            <v>Academy Converters</v>
          </cell>
          <cell r="F8349" t="str">
            <v>Secondary</v>
          </cell>
        </row>
        <row r="8350">
          <cell r="A8350">
            <v>9354037</v>
          </cell>
          <cell r="B8350">
            <v>124811</v>
          </cell>
          <cell r="C8350" t="str">
            <v>Deben High School</v>
          </cell>
          <cell r="D8350" t="str">
            <v>Suffolk</v>
          </cell>
          <cell r="E8350" t="str">
            <v>Foundation School</v>
          </cell>
          <cell r="F8350" t="str">
            <v>Secondary</v>
          </cell>
        </row>
        <row r="8351">
          <cell r="A8351">
            <v>9354504</v>
          </cell>
          <cell r="B8351">
            <v>124860</v>
          </cell>
          <cell r="C8351" t="str">
            <v>Debenham Church of England Voluntary Controlled High School</v>
          </cell>
          <cell r="D8351" t="str">
            <v>Suffolk</v>
          </cell>
          <cell r="E8351" t="str">
            <v>Voluntary Controlled School</v>
          </cell>
          <cell r="F8351" t="str">
            <v>Secondary</v>
          </cell>
        </row>
        <row r="8352">
          <cell r="A8352">
            <v>9354504</v>
          </cell>
          <cell r="B8352">
            <v>136416</v>
          </cell>
          <cell r="C8352" t="str">
            <v>Debenham High School</v>
          </cell>
          <cell r="D8352" t="str">
            <v>Suffolk</v>
          </cell>
          <cell r="E8352" t="str">
            <v>Academy Converters</v>
          </cell>
          <cell r="F8352" t="str">
            <v>Secondary</v>
          </cell>
        </row>
        <row r="8353">
          <cell r="A8353">
            <v>8782431</v>
          </cell>
          <cell r="B8353">
            <v>113209</v>
          </cell>
          <cell r="C8353" t="str">
            <v>Decoy Primary School</v>
          </cell>
          <cell r="D8353" t="str">
            <v>Devon</v>
          </cell>
          <cell r="E8353" t="str">
            <v>Community School</v>
          </cell>
          <cell r="F8353" t="str">
            <v>Primary</v>
          </cell>
        </row>
        <row r="8354">
          <cell r="A8354">
            <v>9313452</v>
          </cell>
          <cell r="B8354">
            <v>123185</v>
          </cell>
          <cell r="C8354" t="str">
            <v>Deddington Church of England Primary School</v>
          </cell>
          <cell r="D8354" t="str">
            <v>Oxfordshire</v>
          </cell>
          <cell r="E8354" t="str">
            <v>Voluntary Aided School</v>
          </cell>
          <cell r="F8354" t="str">
            <v>Primary</v>
          </cell>
        </row>
        <row r="8355">
          <cell r="A8355">
            <v>8813022</v>
          </cell>
          <cell r="B8355">
            <v>115076</v>
          </cell>
          <cell r="C8355" t="str">
            <v>Dedham Church of England Voluntary Controlled Primary School</v>
          </cell>
          <cell r="D8355" t="str">
            <v>Essex</v>
          </cell>
          <cell r="E8355" t="str">
            <v>Voluntary Controlled School</v>
          </cell>
          <cell r="F8355" t="str">
            <v>Primary</v>
          </cell>
        </row>
        <row r="8356">
          <cell r="A8356">
            <v>9386185</v>
          </cell>
          <cell r="B8356">
            <v>130194</v>
          </cell>
          <cell r="C8356" t="str">
            <v>Dedisham School</v>
          </cell>
          <cell r="D8356" t="str">
            <v>West Sussex</v>
          </cell>
          <cell r="E8356" t="str">
            <v>Other Independent School</v>
          </cell>
          <cell r="F8356" t="str">
            <v>Not applicable</v>
          </cell>
        </row>
        <row r="8357">
          <cell r="A8357">
            <v>8682098</v>
          </cell>
          <cell r="B8357">
            <v>109834</v>
          </cell>
          <cell r="C8357" t="str">
            <v>Dedworth Green First School</v>
          </cell>
          <cell r="D8357" t="str">
            <v>Windsor and Maidenhead</v>
          </cell>
          <cell r="E8357" t="str">
            <v>Community School</v>
          </cell>
          <cell r="F8357" t="str">
            <v>Primary</v>
          </cell>
        </row>
        <row r="8358">
          <cell r="A8358">
            <v>8684063</v>
          </cell>
          <cell r="B8358">
            <v>110072</v>
          </cell>
          <cell r="C8358" t="str">
            <v>Dedworth Middle School</v>
          </cell>
          <cell r="D8358" t="str">
            <v>Windsor and Maidenhead</v>
          </cell>
          <cell r="E8358" t="str">
            <v>Community School</v>
          </cell>
          <cell r="F8358" t="str">
            <v>Middle Deemed Secondary</v>
          </cell>
        </row>
        <row r="8359">
          <cell r="A8359">
            <v>8967000</v>
          </cell>
          <cell r="B8359">
            <v>111494</v>
          </cell>
          <cell r="C8359" t="str">
            <v>Dee Banks School</v>
          </cell>
          <cell r="D8359" t="str">
            <v>Cheshire West and Chester</v>
          </cell>
          <cell r="E8359" t="str">
            <v>Community Special School</v>
          </cell>
          <cell r="F8359" t="str">
            <v>Special</v>
          </cell>
        </row>
        <row r="8360">
          <cell r="A8360">
            <v>9062064</v>
          </cell>
          <cell r="B8360">
            <v>128395</v>
          </cell>
          <cell r="C8360" t="str">
            <v>Dee Point County Infant School</v>
          </cell>
          <cell r="D8360" t="str">
            <v>Pre LGR (1998) Cheshire</v>
          </cell>
          <cell r="E8360" t="str">
            <v>Community School</v>
          </cell>
          <cell r="F8360" t="str">
            <v>Primary</v>
          </cell>
        </row>
        <row r="8361">
          <cell r="A8361">
            <v>9062063</v>
          </cell>
          <cell r="B8361">
            <v>128394</v>
          </cell>
          <cell r="C8361" t="str">
            <v>Dee Point County Junior School</v>
          </cell>
          <cell r="D8361" t="str">
            <v>Pre LGR (1998) Cheshire</v>
          </cell>
          <cell r="E8361" t="str">
            <v>Community School</v>
          </cell>
          <cell r="F8361" t="str">
            <v>Primary</v>
          </cell>
        </row>
        <row r="8362">
          <cell r="A8362">
            <v>8962701</v>
          </cell>
          <cell r="B8362">
            <v>111218</v>
          </cell>
          <cell r="C8362" t="str">
            <v>Dee Point Primary School</v>
          </cell>
          <cell r="D8362" t="str">
            <v>Cheshire West and Chester</v>
          </cell>
          <cell r="E8362" t="str">
            <v>Community School</v>
          </cell>
          <cell r="F8362" t="str">
            <v>Primary</v>
          </cell>
        </row>
        <row r="8363">
          <cell r="A8363">
            <v>6642009</v>
          </cell>
          <cell r="B8363">
            <v>400319</v>
          </cell>
          <cell r="C8363" t="str">
            <v>Dee Road Infants School</v>
          </cell>
          <cell r="D8363" t="str">
            <v>Flintshire</v>
          </cell>
          <cell r="E8363" t="str">
            <v>Welsh Establishment</v>
          </cell>
          <cell r="F8363" t="str">
            <v>Primary</v>
          </cell>
        </row>
        <row r="8364">
          <cell r="A8364">
            <v>3317008</v>
          </cell>
          <cell r="B8364">
            <v>103759</v>
          </cell>
          <cell r="C8364" t="str">
            <v>Deedmore School</v>
          </cell>
          <cell r="D8364" t="str">
            <v>Coventry</v>
          </cell>
          <cell r="E8364" t="str">
            <v>Community Special School</v>
          </cell>
          <cell r="F8364" t="str">
            <v>Special</v>
          </cell>
        </row>
        <row r="8365">
          <cell r="A8365">
            <v>3733422</v>
          </cell>
          <cell r="B8365">
            <v>107117</v>
          </cell>
          <cell r="C8365" t="str">
            <v>Deepcar St John's Church of England Junior School</v>
          </cell>
          <cell r="D8365" t="str">
            <v>Sheffield</v>
          </cell>
          <cell r="E8365" t="str">
            <v>Voluntary Aided School</v>
          </cell>
          <cell r="F8365" t="str">
            <v>Primary</v>
          </cell>
        </row>
        <row r="8366">
          <cell r="A8366">
            <v>8882187</v>
          </cell>
          <cell r="B8366">
            <v>119228</v>
          </cell>
          <cell r="C8366" t="str">
            <v>Deepdale Infants' School</v>
          </cell>
          <cell r="D8366" t="str">
            <v>Lancashire</v>
          </cell>
          <cell r="E8366" t="str">
            <v>Community School</v>
          </cell>
          <cell r="F8366" t="str">
            <v>Primary</v>
          </cell>
        </row>
        <row r="8367">
          <cell r="A8367">
            <v>8882186</v>
          </cell>
          <cell r="B8367">
            <v>119227</v>
          </cell>
          <cell r="C8367" t="str">
            <v>Deepdale Junior School</v>
          </cell>
          <cell r="D8367" t="str">
            <v>Lancashire</v>
          </cell>
          <cell r="E8367" t="str">
            <v>Community School</v>
          </cell>
          <cell r="F8367" t="str">
            <v>Primary</v>
          </cell>
        </row>
        <row r="8368">
          <cell r="A8368">
            <v>8466007</v>
          </cell>
          <cell r="B8368">
            <v>114641</v>
          </cell>
          <cell r="C8368" t="str">
            <v>Deepdene School</v>
          </cell>
          <cell r="D8368" t="str">
            <v>Brighton and Hove</v>
          </cell>
          <cell r="E8368" t="str">
            <v>Other Independent School</v>
          </cell>
          <cell r="F8368" t="str">
            <v>Not applicable</v>
          </cell>
        </row>
        <row r="8369">
          <cell r="A8369">
            <v>9252062</v>
          </cell>
          <cell r="B8369">
            <v>120396</v>
          </cell>
          <cell r="C8369" t="str">
            <v>Deeping St James Community Primary School</v>
          </cell>
          <cell r="D8369" t="str">
            <v>Lincolnshire</v>
          </cell>
          <cell r="E8369" t="str">
            <v>Community School</v>
          </cell>
          <cell r="F8369" t="str">
            <v>Primary</v>
          </cell>
        </row>
        <row r="8370">
          <cell r="A8370">
            <v>9252085</v>
          </cell>
          <cell r="B8370">
            <v>120407</v>
          </cell>
          <cell r="C8370" t="str">
            <v>Deeping St Nicholas Primary School</v>
          </cell>
          <cell r="D8370" t="str">
            <v>Lincolnshire</v>
          </cell>
          <cell r="E8370" t="str">
            <v>Community School</v>
          </cell>
          <cell r="F8370" t="str">
            <v>Primary</v>
          </cell>
        </row>
        <row r="8371">
          <cell r="A8371">
            <v>3542004</v>
          </cell>
          <cell r="B8371">
            <v>105767</v>
          </cell>
          <cell r="C8371" t="str">
            <v>Deeplish Community Primary School</v>
          </cell>
          <cell r="D8371" t="str">
            <v>Rochdale</v>
          </cell>
          <cell r="E8371" t="str">
            <v>Community School</v>
          </cell>
          <cell r="F8371" t="str">
            <v>Primary</v>
          </cell>
        </row>
        <row r="8372">
          <cell r="A8372">
            <v>8302274</v>
          </cell>
          <cell r="B8372">
            <v>112651</v>
          </cell>
          <cell r="C8372" t="str">
            <v>Deer Park Primary School</v>
          </cell>
          <cell r="D8372" t="str">
            <v>Derbyshire</v>
          </cell>
          <cell r="E8372" t="str">
            <v>Community School</v>
          </cell>
          <cell r="F8372" t="str">
            <v>Primary</v>
          </cell>
        </row>
        <row r="8373">
          <cell r="A8373">
            <v>9163030</v>
          </cell>
          <cell r="B8373">
            <v>115619</v>
          </cell>
          <cell r="C8373" t="str">
            <v>Deerhurst and Apperley Church of England Primary School</v>
          </cell>
          <cell r="D8373" t="str">
            <v>Gloucestershire</v>
          </cell>
          <cell r="E8373" t="str">
            <v>Voluntary Controlled School</v>
          </cell>
          <cell r="F8373" t="str">
            <v>Primary</v>
          </cell>
        </row>
        <row r="8374">
          <cell r="A8374">
            <v>3737025</v>
          </cell>
          <cell r="B8374">
            <v>107179</v>
          </cell>
          <cell r="C8374" t="str">
            <v>Deerlands School</v>
          </cell>
          <cell r="D8374" t="str">
            <v>Sheffield</v>
          </cell>
          <cell r="E8374" t="str">
            <v>Community Special School</v>
          </cell>
          <cell r="F8374" t="str">
            <v>Special</v>
          </cell>
        </row>
        <row r="8375">
          <cell r="A8375">
            <v>8032197</v>
          </cell>
          <cell r="B8375">
            <v>109032</v>
          </cell>
          <cell r="C8375" t="str">
            <v>Deer's Wood School</v>
          </cell>
          <cell r="D8375" t="str">
            <v>South Gloucestershire</v>
          </cell>
          <cell r="E8375" t="str">
            <v>Community School</v>
          </cell>
          <cell r="F8375" t="str">
            <v>Primary</v>
          </cell>
        </row>
        <row r="8376">
          <cell r="A8376">
            <v>9067114</v>
          </cell>
          <cell r="B8376">
            <v>111509</v>
          </cell>
          <cell r="C8376" t="str">
            <v>Deeside School</v>
          </cell>
          <cell r="D8376" t="str">
            <v>Pre LGR (1998) Cheshire</v>
          </cell>
          <cell r="E8376" t="str">
            <v>Community Special School</v>
          </cell>
          <cell r="F8376" t="str">
            <v>Special</v>
          </cell>
        </row>
        <row r="8377">
          <cell r="A8377">
            <v>8853029</v>
          </cell>
          <cell r="B8377">
            <v>116802</v>
          </cell>
          <cell r="C8377" t="str">
            <v>Defford-Cum-Besford CofE School</v>
          </cell>
          <cell r="D8377" t="str">
            <v>Worcestershire</v>
          </cell>
          <cell r="E8377" t="str">
            <v>Voluntary Controlled School</v>
          </cell>
          <cell r="F8377" t="str">
            <v>Primary</v>
          </cell>
        </row>
        <row r="8378">
          <cell r="A8378">
            <v>3832360</v>
          </cell>
          <cell r="B8378">
            <v>127902</v>
          </cell>
          <cell r="C8378" t="str">
            <v>Deighton Gates Infant School</v>
          </cell>
          <cell r="D8378" t="str">
            <v>Leeds</v>
          </cell>
          <cell r="E8378" t="str">
            <v>Community School</v>
          </cell>
          <cell r="F8378" t="str">
            <v>Primary</v>
          </cell>
        </row>
        <row r="8379">
          <cell r="A8379">
            <v>3832350</v>
          </cell>
          <cell r="B8379">
            <v>127899</v>
          </cell>
          <cell r="C8379" t="str">
            <v>Deighton Gates Junior School</v>
          </cell>
          <cell r="D8379" t="str">
            <v>Leeds</v>
          </cell>
          <cell r="E8379" t="str">
            <v>Community School</v>
          </cell>
          <cell r="F8379" t="str">
            <v>Primary</v>
          </cell>
        </row>
        <row r="8380">
          <cell r="A8380">
            <v>3832400</v>
          </cell>
          <cell r="B8380">
            <v>107876</v>
          </cell>
          <cell r="C8380" t="str">
            <v>Deighton Gates Primary School</v>
          </cell>
          <cell r="D8380" t="str">
            <v>Leeds</v>
          </cell>
          <cell r="E8380" t="str">
            <v>Community School</v>
          </cell>
          <cell r="F8380" t="str">
            <v>Primary</v>
          </cell>
        </row>
        <row r="8381">
          <cell r="A8381">
            <v>3824011</v>
          </cell>
          <cell r="B8381">
            <v>127793</v>
          </cell>
          <cell r="C8381" t="str">
            <v>Deighton High School</v>
          </cell>
          <cell r="D8381" t="str">
            <v>Kirklees</v>
          </cell>
          <cell r="E8381" t="str">
            <v>Community School</v>
          </cell>
          <cell r="F8381" t="str">
            <v>Secondary</v>
          </cell>
        </row>
        <row r="8382">
          <cell r="A8382">
            <v>6772072</v>
          </cell>
          <cell r="B8382">
            <v>401389</v>
          </cell>
          <cell r="C8382" t="str">
            <v>Deighton Junior and Infants</v>
          </cell>
          <cell r="D8382" t="str">
            <v>Blaenau Gwent</v>
          </cell>
          <cell r="E8382" t="str">
            <v>Welsh Establishment</v>
          </cell>
          <cell r="F8382" t="str">
            <v>Primary</v>
          </cell>
        </row>
        <row r="8383">
          <cell r="A8383">
            <v>3822011</v>
          </cell>
          <cell r="B8383">
            <v>107606</v>
          </cell>
          <cell r="C8383" t="str">
            <v>Deighton Junior School</v>
          </cell>
          <cell r="D8383" t="str">
            <v>Kirklees</v>
          </cell>
          <cell r="E8383" t="str">
            <v>Community School</v>
          </cell>
          <cell r="F8383" t="str">
            <v>Primary</v>
          </cell>
        </row>
        <row r="8384">
          <cell r="A8384">
            <v>8304060</v>
          </cell>
          <cell r="B8384">
            <v>112937</v>
          </cell>
          <cell r="C8384" t="str">
            <v>Deincourt Community School</v>
          </cell>
          <cell r="D8384" t="str">
            <v>Derbyshire</v>
          </cell>
          <cell r="E8384" t="str">
            <v>Community School</v>
          </cell>
          <cell r="F8384" t="str">
            <v>Secondary</v>
          </cell>
        </row>
        <row r="8385">
          <cell r="A8385">
            <v>8301101</v>
          </cell>
          <cell r="B8385">
            <v>112491</v>
          </cell>
          <cell r="C8385" t="str">
            <v>Deincourt Support Centre</v>
          </cell>
          <cell r="D8385" t="str">
            <v>Derbyshire</v>
          </cell>
          <cell r="E8385" t="str">
            <v>Pupil Referral Unit</v>
          </cell>
          <cell r="F8385" t="str">
            <v>PRU</v>
          </cell>
        </row>
        <row r="8386">
          <cell r="A8386">
            <v>6652204</v>
          </cell>
          <cell r="B8386">
            <v>400428</v>
          </cell>
          <cell r="C8386" t="str">
            <v>Deiniol C.P. School</v>
          </cell>
          <cell r="D8386" t="str">
            <v>Wrexham</v>
          </cell>
          <cell r="E8386" t="str">
            <v>Welsh Establishment</v>
          </cell>
          <cell r="F8386" t="str">
            <v>Primary</v>
          </cell>
        </row>
        <row r="8387">
          <cell r="A8387">
            <v>9082622</v>
          </cell>
          <cell r="B8387">
            <v>111938</v>
          </cell>
          <cell r="C8387" t="str">
            <v>Delabole Community Primary School</v>
          </cell>
          <cell r="D8387" t="str">
            <v>Cornwall</v>
          </cell>
          <cell r="E8387" t="str">
            <v>Community School</v>
          </cell>
          <cell r="F8387" t="str">
            <v>Primary</v>
          </cell>
        </row>
        <row r="8388">
          <cell r="A8388">
            <v>8963128</v>
          </cell>
          <cell r="B8388">
            <v>136553</v>
          </cell>
          <cell r="C8388" t="str">
            <v>Delamere CofE Primary Academy</v>
          </cell>
          <cell r="D8388" t="str">
            <v>Cheshire West and Chester</v>
          </cell>
          <cell r="E8388" t="str">
            <v>Academy Converters</v>
          </cell>
          <cell r="F8388" t="str">
            <v>Primary</v>
          </cell>
        </row>
        <row r="8389">
          <cell r="A8389">
            <v>8963128</v>
          </cell>
          <cell r="B8389">
            <v>111259</v>
          </cell>
          <cell r="C8389" t="str">
            <v>Delamere CofE Primary School</v>
          </cell>
          <cell r="D8389" t="str">
            <v>Cheshire West and Chester</v>
          </cell>
          <cell r="E8389" t="str">
            <v>Voluntary Controlled School</v>
          </cell>
          <cell r="F8389" t="str">
            <v>Primary</v>
          </cell>
        </row>
        <row r="8390">
          <cell r="A8390">
            <v>3557102</v>
          </cell>
          <cell r="B8390">
            <v>111500</v>
          </cell>
          <cell r="C8390" t="str">
            <v>Delamere Forest School</v>
          </cell>
          <cell r="D8390" t="str">
            <v>Salford</v>
          </cell>
          <cell r="E8390" t="str">
            <v>Non-Maintained Special School</v>
          </cell>
          <cell r="F8390" t="str">
            <v>Special</v>
          </cell>
        </row>
        <row r="8391">
          <cell r="A8391">
            <v>3587005</v>
          </cell>
          <cell r="B8391">
            <v>106394</v>
          </cell>
          <cell r="C8391" t="str">
            <v>Delamere School</v>
          </cell>
          <cell r="D8391" t="str">
            <v>Trafford</v>
          </cell>
          <cell r="E8391" t="str">
            <v>Community Special School</v>
          </cell>
          <cell r="F8391" t="str">
            <v>Special</v>
          </cell>
        </row>
        <row r="8392">
          <cell r="A8392">
            <v>9282014</v>
          </cell>
          <cell r="B8392">
            <v>122069</v>
          </cell>
          <cell r="C8392" t="str">
            <v>Delapre Primary School</v>
          </cell>
          <cell r="D8392" t="str">
            <v>Northamptonshire</v>
          </cell>
          <cell r="E8392" t="str">
            <v>Community School</v>
          </cell>
          <cell r="F8392" t="str">
            <v>Primary</v>
          </cell>
        </row>
        <row r="8393">
          <cell r="A8393">
            <v>9294012</v>
          </cell>
          <cell r="B8393">
            <v>122318</v>
          </cell>
          <cell r="C8393" t="str">
            <v>Delaval Community Middle School</v>
          </cell>
          <cell r="D8393" t="str">
            <v>Northumberland</v>
          </cell>
          <cell r="E8393" t="str">
            <v>Community School</v>
          </cell>
          <cell r="F8393" t="str">
            <v>Middle Deemed Secondary</v>
          </cell>
        </row>
        <row r="8394">
          <cell r="A8394">
            <v>3912211</v>
          </cell>
          <cell r="B8394">
            <v>128119</v>
          </cell>
          <cell r="C8394" t="str">
            <v>Delaval Infant and Nursery School</v>
          </cell>
          <cell r="D8394" t="str">
            <v>Newcastle upon Tyne</v>
          </cell>
          <cell r="E8394" t="str">
            <v>Community School</v>
          </cell>
          <cell r="F8394" t="str">
            <v>Primary</v>
          </cell>
        </row>
        <row r="8395">
          <cell r="A8395">
            <v>9082731</v>
          </cell>
          <cell r="B8395">
            <v>111973</v>
          </cell>
          <cell r="C8395" t="str">
            <v>Delaware Community Primary School</v>
          </cell>
          <cell r="D8395" t="str">
            <v>Cornwall</v>
          </cell>
          <cell r="E8395" t="str">
            <v>Community School</v>
          </cell>
          <cell r="F8395" t="str">
            <v>Primary</v>
          </cell>
        </row>
        <row r="8396">
          <cell r="A8396">
            <v>8872216</v>
          </cell>
          <cell r="B8396">
            <v>118330</v>
          </cell>
          <cell r="C8396" t="str">
            <v>Delce Infant School</v>
          </cell>
          <cell r="D8396" t="str">
            <v>Medway</v>
          </cell>
          <cell r="E8396" t="str">
            <v>Community School</v>
          </cell>
          <cell r="F8396" t="str">
            <v>Primary</v>
          </cell>
        </row>
        <row r="8397">
          <cell r="A8397">
            <v>8872413</v>
          </cell>
          <cell r="B8397">
            <v>118432</v>
          </cell>
          <cell r="C8397" t="str">
            <v>Delce Junior School</v>
          </cell>
          <cell r="D8397" t="str">
            <v>Medway</v>
          </cell>
          <cell r="E8397" t="str">
            <v>Community School</v>
          </cell>
          <cell r="F8397" t="str">
            <v>Primary</v>
          </cell>
        </row>
        <row r="8398">
          <cell r="A8398">
            <v>3804050</v>
          </cell>
          <cell r="B8398">
            <v>107374</v>
          </cell>
          <cell r="C8398" t="str">
            <v>Delf Hill Middle School</v>
          </cell>
          <cell r="D8398" t="str">
            <v>Bradford</v>
          </cell>
          <cell r="E8398" t="str">
            <v>Community School</v>
          </cell>
          <cell r="F8398" t="str">
            <v>Middle Deemed Secondary</v>
          </cell>
        </row>
        <row r="8399">
          <cell r="A8399">
            <v>3807035</v>
          </cell>
          <cell r="B8399">
            <v>135235</v>
          </cell>
          <cell r="C8399" t="str">
            <v>Delius Special School</v>
          </cell>
          <cell r="D8399" t="str">
            <v>Bradford</v>
          </cell>
          <cell r="E8399" t="str">
            <v>Community Special School</v>
          </cell>
          <cell r="F8399" t="str">
            <v>Special</v>
          </cell>
        </row>
        <row r="8400">
          <cell r="A8400">
            <v>9352146</v>
          </cell>
          <cell r="B8400">
            <v>124638</v>
          </cell>
          <cell r="C8400" t="str">
            <v>Dell Primary School</v>
          </cell>
          <cell r="D8400" t="str">
            <v>Suffolk</v>
          </cell>
          <cell r="E8400" t="str">
            <v>Community School</v>
          </cell>
          <cell r="F8400" t="str">
            <v>Primary</v>
          </cell>
        </row>
        <row r="8401">
          <cell r="A8401">
            <v>3532079</v>
          </cell>
          <cell r="B8401">
            <v>105669</v>
          </cell>
          <cell r="C8401" t="str">
            <v>Delph Primary School</v>
          </cell>
          <cell r="D8401" t="str">
            <v>Oldham</v>
          </cell>
          <cell r="E8401" t="str">
            <v>Community School</v>
          </cell>
          <cell r="F8401" t="str">
            <v>Primary</v>
          </cell>
        </row>
        <row r="8402">
          <cell r="A8402">
            <v>8882552</v>
          </cell>
          <cell r="B8402">
            <v>119304</v>
          </cell>
          <cell r="C8402" t="str">
            <v>Delph Side Community Primary School</v>
          </cell>
          <cell r="D8402" t="str">
            <v>Lancashire</v>
          </cell>
          <cell r="E8402" t="str">
            <v>Community School</v>
          </cell>
          <cell r="F8402" t="str">
            <v>Primary</v>
          </cell>
        </row>
        <row r="8403">
          <cell r="A8403">
            <v>3352012</v>
          </cell>
          <cell r="B8403">
            <v>104150</v>
          </cell>
          <cell r="C8403" t="str">
            <v>Delves Infant School</v>
          </cell>
          <cell r="D8403" t="str">
            <v>Walsall</v>
          </cell>
          <cell r="E8403" t="str">
            <v>Community School</v>
          </cell>
          <cell r="F8403" t="str">
            <v>Primary</v>
          </cell>
        </row>
        <row r="8404">
          <cell r="A8404">
            <v>3352043</v>
          </cell>
          <cell r="B8404">
            <v>104170</v>
          </cell>
          <cell r="C8404" t="str">
            <v>Delves Junior School</v>
          </cell>
          <cell r="D8404" t="str">
            <v>Walsall</v>
          </cell>
          <cell r="E8404" t="str">
            <v>Community School</v>
          </cell>
          <cell r="F8404" t="str">
            <v>Primary</v>
          </cell>
        </row>
        <row r="8405">
          <cell r="A8405">
            <v>8402275</v>
          </cell>
          <cell r="B8405">
            <v>114049</v>
          </cell>
          <cell r="C8405" t="str">
            <v>Delves Lane Infant School</v>
          </cell>
          <cell r="D8405" t="str">
            <v>Durham</v>
          </cell>
          <cell r="E8405" t="str">
            <v>Community School</v>
          </cell>
          <cell r="F8405" t="str">
            <v>Primary</v>
          </cell>
        </row>
        <row r="8406">
          <cell r="A8406">
            <v>8402272</v>
          </cell>
          <cell r="B8406">
            <v>114047</v>
          </cell>
          <cell r="C8406" t="str">
            <v>Delves Lane Junior School</v>
          </cell>
          <cell r="D8406" t="str">
            <v>Durham</v>
          </cell>
          <cell r="E8406" t="str">
            <v>Community School</v>
          </cell>
          <cell r="F8406" t="str">
            <v>Primary</v>
          </cell>
        </row>
        <row r="8407">
          <cell r="A8407">
            <v>8136005</v>
          </cell>
          <cell r="B8407">
            <v>135247</v>
          </cell>
          <cell r="C8407" t="str">
            <v>Demeter House</v>
          </cell>
          <cell r="D8407" t="str">
            <v>North Lincolnshire</v>
          </cell>
          <cell r="E8407" t="str">
            <v>Other Independent Special School</v>
          </cell>
          <cell r="F8407" t="str">
            <v>Not applicable</v>
          </cell>
        </row>
        <row r="8408">
          <cell r="A8408">
            <v>3562026</v>
          </cell>
          <cell r="B8408">
            <v>106042</v>
          </cell>
          <cell r="C8408" t="str">
            <v>Demmings Infant School</v>
          </cell>
          <cell r="D8408" t="str">
            <v>Stockport</v>
          </cell>
          <cell r="E8408" t="str">
            <v>Community School</v>
          </cell>
          <cell r="F8408" t="str">
            <v>Primary</v>
          </cell>
        </row>
        <row r="8409">
          <cell r="A8409">
            <v>3542046</v>
          </cell>
          <cell r="B8409">
            <v>127436</v>
          </cell>
          <cell r="C8409" t="str">
            <v>Demsene County Primary School</v>
          </cell>
          <cell r="D8409" t="str">
            <v>Rochdale</v>
          </cell>
          <cell r="E8409" t="str">
            <v>Community School</v>
          </cell>
          <cell r="F8409" t="str">
            <v>Primary</v>
          </cell>
        </row>
        <row r="8410">
          <cell r="A8410">
            <v>3712140</v>
          </cell>
          <cell r="B8410">
            <v>106712</v>
          </cell>
          <cell r="C8410" t="str">
            <v>Denaby Main Infants' School</v>
          </cell>
          <cell r="D8410" t="str">
            <v>Doncaster</v>
          </cell>
          <cell r="E8410" t="str">
            <v>Community School</v>
          </cell>
          <cell r="F8410" t="str">
            <v>Primary</v>
          </cell>
        </row>
        <row r="8411">
          <cell r="A8411">
            <v>3712070</v>
          </cell>
          <cell r="B8411">
            <v>106678</v>
          </cell>
          <cell r="C8411" t="str">
            <v>Denaby Main Junior School</v>
          </cell>
          <cell r="D8411" t="str">
            <v>Doncaster</v>
          </cell>
          <cell r="E8411" t="str">
            <v>Community School</v>
          </cell>
          <cell r="F8411" t="str">
            <v>Primary</v>
          </cell>
        </row>
        <row r="8412">
          <cell r="A8412">
            <v>3712202</v>
          </cell>
          <cell r="B8412">
            <v>130923</v>
          </cell>
          <cell r="C8412" t="str">
            <v>Denaby Main Primary School</v>
          </cell>
          <cell r="D8412" t="str">
            <v>Doncaster</v>
          </cell>
          <cell r="E8412" t="str">
            <v>Community School</v>
          </cell>
          <cell r="F8412" t="str">
            <v>Primary</v>
          </cell>
        </row>
        <row r="8413">
          <cell r="A8413">
            <v>3922082</v>
          </cell>
          <cell r="B8413">
            <v>108608</v>
          </cell>
          <cell r="C8413" t="str">
            <v>Denbigh Community Primary School</v>
          </cell>
          <cell r="D8413" t="str">
            <v>North Tyneside</v>
          </cell>
          <cell r="E8413" t="str">
            <v>Community School</v>
          </cell>
          <cell r="F8413" t="str">
            <v>Primary</v>
          </cell>
        </row>
        <row r="8414">
          <cell r="A8414">
            <v>8214104</v>
          </cell>
          <cell r="B8414">
            <v>109683</v>
          </cell>
          <cell r="C8414" t="str">
            <v>Denbigh High School</v>
          </cell>
          <cell r="D8414" t="str">
            <v>Luton</v>
          </cell>
          <cell r="E8414" t="str">
            <v>Foundation School</v>
          </cell>
          <cell r="F8414" t="str">
            <v>Secondary</v>
          </cell>
        </row>
        <row r="8415">
          <cell r="A8415">
            <v>8214104</v>
          </cell>
          <cell r="B8415">
            <v>136319</v>
          </cell>
          <cell r="C8415" t="str">
            <v>Denbigh High School</v>
          </cell>
          <cell r="D8415" t="str">
            <v>Luton</v>
          </cell>
          <cell r="E8415" t="str">
            <v>Academy Converters</v>
          </cell>
          <cell r="F8415" t="str">
            <v>Secondary</v>
          </cell>
        </row>
        <row r="8416">
          <cell r="A8416">
            <v>6634026</v>
          </cell>
          <cell r="B8416">
            <v>401694</v>
          </cell>
          <cell r="C8416" t="str">
            <v>Denbigh High School</v>
          </cell>
          <cell r="D8416" t="str">
            <v>Denbighshire</v>
          </cell>
          <cell r="E8416" t="str">
            <v>Welsh Establishment</v>
          </cell>
          <cell r="F8416" t="str">
            <v>Secondary</v>
          </cell>
        </row>
        <row r="8417">
          <cell r="A8417">
            <v>8212226</v>
          </cell>
          <cell r="B8417">
            <v>109535</v>
          </cell>
          <cell r="C8417" t="str">
            <v>Denbigh Infant School</v>
          </cell>
          <cell r="D8417" t="str">
            <v>Luton</v>
          </cell>
          <cell r="E8417" t="str">
            <v>Community School</v>
          </cell>
          <cell r="F8417" t="str">
            <v>Primary</v>
          </cell>
        </row>
        <row r="8418">
          <cell r="A8418">
            <v>8212225</v>
          </cell>
          <cell r="B8418">
            <v>109534</v>
          </cell>
          <cell r="C8418" t="str">
            <v>Denbigh Primary School</v>
          </cell>
          <cell r="D8418" t="str">
            <v>Luton</v>
          </cell>
          <cell r="E8418" t="str">
            <v>Community School</v>
          </cell>
          <cell r="F8418" t="str">
            <v>Primary</v>
          </cell>
        </row>
        <row r="8419">
          <cell r="A8419">
            <v>6631106</v>
          </cell>
          <cell r="B8419">
            <v>402184</v>
          </cell>
          <cell r="C8419" t="str">
            <v>Denbigh Pupil Support Centre</v>
          </cell>
          <cell r="D8419" t="str">
            <v>Denbighshire</v>
          </cell>
          <cell r="E8419" t="str">
            <v>Welsh Establishment</v>
          </cell>
          <cell r="F8419" t="str">
            <v>Not applicable</v>
          </cell>
        </row>
        <row r="8420">
          <cell r="A8420">
            <v>8265410</v>
          </cell>
          <cell r="B8420">
            <v>110498</v>
          </cell>
          <cell r="C8420" t="str">
            <v>Denbigh School</v>
          </cell>
          <cell r="D8420" t="str">
            <v>Milton Keynes</v>
          </cell>
          <cell r="E8420" t="str">
            <v>Foundation School</v>
          </cell>
          <cell r="F8420" t="str">
            <v>Secondary</v>
          </cell>
        </row>
        <row r="8421">
          <cell r="A8421">
            <v>8265410</v>
          </cell>
          <cell r="B8421">
            <v>136468</v>
          </cell>
          <cell r="C8421" t="str">
            <v>Denbigh School</v>
          </cell>
          <cell r="D8421" t="str">
            <v>Milton Keynes</v>
          </cell>
          <cell r="E8421" t="str">
            <v>Academy Converters</v>
          </cell>
          <cell r="F8421" t="str">
            <v>Secondary</v>
          </cell>
        </row>
        <row r="8422">
          <cell r="A8422">
            <v>6631100</v>
          </cell>
          <cell r="B8422">
            <v>401940</v>
          </cell>
          <cell r="C8422" t="str">
            <v>Denbighshire PRU's</v>
          </cell>
          <cell r="D8422" t="str">
            <v>Denbighshire</v>
          </cell>
          <cell r="E8422" t="str">
            <v>Welsh Establishment</v>
          </cell>
          <cell r="F8422" t="str">
            <v>Not applicable</v>
          </cell>
        </row>
        <row r="8423">
          <cell r="A8423">
            <v>8782416</v>
          </cell>
          <cell r="B8423">
            <v>113197</v>
          </cell>
          <cell r="C8423" t="str">
            <v>Denbury Primary School</v>
          </cell>
          <cell r="D8423" t="str">
            <v>Devon</v>
          </cell>
          <cell r="E8423" t="str">
            <v>Community School</v>
          </cell>
          <cell r="F8423" t="str">
            <v>Primary</v>
          </cell>
        </row>
        <row r="8424">
          <cell r="A8424">
            <v>3823326</v>
          </cell>
          <cell r="B8424">
            <v>107742</v>
          </cell>
          <cell r="C8424" t="str">
            <v>Denby Church of England Voluntary Aided First School</v>
          </cell>
          <cell r="D8424" t="str">
            <v>Kirklees</v>
          </cell>
          <cell r="E8424" t="str">
            <v>Voluntary Aided School</v>
          </cell>
          <cell r="F8424" t="str">
            <v>Primary</v>
          </cell>
        </row>
        <row r="8425">
          <cell r="A8425">
            <v>3821010</v>
          </cell>
          <cell r="B8425">
            <v>107594</v>
          </cell>
          <cell r="C8425" t="str">
            <v>Denby Dale Nursery School</v>
          </cell>
          <cell r="D8425" t="str">
            <v>Kirklees</v>
          </cell>
          <cell r="E8425" t="str">
            <v>LA Nursery School</v>
          </cell>
          <cell r="F8425" t="str">
            <v>Nursery</v>
          </cell>
        </row>
        <row r="8426">
          <cell r="A8426">
            <v>8303315</v>
          </cell>
          <cell r="B8426">
            <v>112881</v>
          </cell>
          <cell r="C8426" t="str">
            <v>Denby Free CofE VA Primary School</v>
          </cell>
          <cell r="D8426" t="str">
            <v>Derbyshire</v>
          </cell>
          <cell r="E8426" t="str">
            <v>Voluntary Aided School</v>
          </cell>
          <cell r="F8426" t="str">
            <v>Primary</v>
          </cell>
        </row>
        <row r="8427">
          <cell r="A8427">
            <v>3846120</v>
          </cell>
          <cell r="B8427">
            <v>131136</v>
          </cell>
          <cell r="C8427" t="str">
            <v>Denby Grange School</v>
          </cell>
          <cell r="D8427" t="str">
            <v>Wakefield</v>
          </cell>
          <cell r="E8427" t="str">
            <v>Other Independent Special School</v>
          </cell>
          <cell r="F8427" t="str">
            <v>Not applicable</v>
          </cell>
        </row>
        <row r="8428">
          <cell r="A8428">
            <v>3731001</v>
          </cell>
          <cell r="B8428">
            <v>106974</v>
          </cell>
          <cell r="C8428" t="str">
            <v>Denby Street Nursery School</v>
          </cell>
          <cell r="D8428" t="str">
            <v>Sheffield</v>
          </cell>
          <cell r="E8428" t="str">
            <v>LA Nursery School</v>
          </cell>
          <cell r="F8428" t="str">
            <v>Nursery</v>
          </cell>
        </row>
        <row r="8429">
          <cell r="A8429">
            <v>9093120</v>
          </cell>
          <cell r="B8429">
            <v>128593</v>
          </cell>
          <cell r="C8429" t="str">
            <v>Dendron CofE School</v>
          </cell>
          <cell r="D8429" t="str">
            <v>Cumbria</v>
          </cell>
          <cell r="E8429" t="str">
            <v>Voluntary Controlled School</v>
          </cell>
          <cell r="F8429" t="str">
            <v>Primary</v>
          </cell>
        </row>
        <row r="8430">
          <cell r="A8430">
            <v>8404214</v>
          </cell>
          <cell r="B8430">
            <v>114313</v>
          </cell>
          <cell r="C8430" t="str">
            <v>Dene Community School of Technology</v>
          </cell>
          <cell r="D8430" t="str">
            <v>Durham</v>
          </cell>
          <cell r="E8430" t="str">
            <v>Community School</v>
          </cell>
          <cell r="F8430" t="str">
            <v>Secondary</v>
          </cell>
        </row>
        <row r="8431">
          <cell r="A8431">
            <v>8402736</v>
          </cell>
          <cell r="B8431">
            <v>114200</v>
          </cell>
          <cell r="C8431" t="str">
            <v>Dene House Primary School</v>
          </cell>
          <cell r="D8431" t="str">
            <v>Durham</v>
          </cell>
          <cell r="E8431" t="str">
            <v>Community School</v>
          </cell>
          <cell r="F8431" t="str">
            <v>Primary</v>
          </cell>
        </row>
        <row r="8432">
          <cell r="A8432">
            <v>3917005</v>
          </cell>
          <cell r="B8432">
            <v>128139</v>
          </cell>
          <cell r="C8432" t="str">
            <v>Dene House School</v>
          </cell>
          <cell r="D8432" t="str">
            <v>Newcastle upon Tyne</v>
          </cell>
          <cell r="E8432" t="str">
            <v>Community Special School</v>
          </cell>
          <cell r="F8432" t="str">
            <v>Special</v>
          </cell>
        </row>
        <row r="8433">
          <cell r="A8433">
            <v>9165422</v>
          </cell>
          <cell r="B8433">
            <v>115773</v>
          </cell>
          <cell r="C8433" t="str">
            <v>Dene Magna School</v>
          </cell>
          <cell r="D8433" t="str">
            <v>Gloucestershire</v>
          </cell>
          <cell r="E8433" t="str">
            <v>Foundation School</v>
          </cell>
          <cell r="F8433" t="str">
            <v>Secondary</v>
          </cell>
        </row>
        <row r="8434">
          <cell r="A8434">
            <v>9165422</v>
          </cell>
          <cell r="B8434">
            <v>137387</v>
          </cell>
          <cell r="C8434" t="str">
            <v>Dene Magna School</v>
          </cell>
          <cell r="D8434" t="str">
            <v>Gloucestershire</v>
          </cell>
          <cell r="E8434" t="str">
            <v>Academy Converters</v>
          </cell>
          <cell r="F8434" t="str">
            <v>Secondary</v>
          </cell>
        </row>
        <row r="8435">
          <cell r="A8435">
            <v>9361007</v>
          </cell>
          <cell r="B8435">
            <v>124914</v>
          </cell>
          <cell r="C8435" t="str">
            <v>Dene Nursery School</v>
          </cell>
          <cell r="D8435" t="str">
            <v>Surrey</v>
          </cell>
          <cell r="E8435" t="str">
            <v>LA Nursery School</v>
          </cell>
          <cell r="F8435" t="str">
            <v>Nursery</v>
          </cell>
        </row>
        <row r="8436">
          <cell r="A8436">
            <v>8402421</v>
          </cell>
          <cell r="B8436">
            <v>114105</v>
          </cell>
          <cell r="C8436" t="str">
            <v>Dene Valley Primary School</v>
          </cell>
          <cell r="D8436" t="str">
            <v>Durham</v>
          </cell>
          <cell r="E8436" t="str">
            <v>Community School</v>
          </cell>
          <cell r="F8436" t="str">
            <v>Primary</v>
          </cell>
        </row>
        <row r="8437">
          <cell r="A8437">
            <v>8695404</v>
          </cell>
          <cell r="B8437">
            <v>110100</v>
          </cell>
          <cell r="C8437" t="str">
            <v>Denefield School</v>
          </cell>
          <cell r="D8437" t="str">
            <v>West Berkshire</v>
          </cell>
          <cell r="E8437" t="str">
            <v>Foundation School</v>
          </cell>
          <cell r="F8437" t="str">
            <v>Secondary</v>
          </cell>
        </row>
        <row r="8438">
          <cell r="A8438">
            <v>8832462</v>
          </cell>
          <cell r="B8438">
            <v>114858</v>
          </cell>
          <cell r="C8438" t="str">
            <v>Deneholm Primary School</v>
          </cell>
          <cell r="D8438" t="str">
            <v>Thurrock</v>
          </cell>
          <cell r="E8438" t="str">
            <v>Community School</v>
          </cell>
          <cell r="F8438" t="str">
            <v>Primary</v>
          </cell>
        </row>
        <row r="8439">
          <cell r="A8439">
            <v>8402007</v>
          </cell>
          <cell r="B8439">
            <v>113995</v>
          </cell>
          <cell r="C8439" t="str">
            <v>Deneside Infant School</v>
          </cell>
          <cell r="D8439" t="str">
            <v>Durham</v>
          </cell>
          <cell r="E8439" t="str">
            <v>Community School</v>
          </cell>
          <cell r="F8439" t="str">
            <v>Primary</v>
          </cell>
        </row>
        <row r="8440">
          <cell r="A8440">
            <v>8402006</v>
          </cell>
          <cell r="B8440">
            <v>113994</v>
          </cell>
          <cell r="C8440" t="str">
            <v>Deneside Junior School</v>
          </cell>
          <cell r="D8440" t="str">
            <v>Durham</v>
          </cell>
          <cell r="E8440" t="str">
            <v>Community School</v>
          </cell>
          <cell r="F8440" t="str">
            <v>Primary</v>
          </cell>
        </row>
        <row r="8441">
          <cell r="A8441">
            <v>3911101</v>
          </cell>
          <cell r="B8441">
            <v>108435</v>
          </cell>
          <cell r="C8441" t="str">
            <v>Denewood Pupil Referral Unit</v>
          </cell>
          <cell r="D8441" t="str">
            <v>Newcastle upon Tyne</v>
          </cell>
          <cell r="E8441" t="str">
            <v>Pupil Referral Unit</v>
          </cell>
          <cell r="F8441" t="str">
            <v>PRU</v>
          </cell>
        </row>
        <row r="8442">
          <cell r="A8442">
            <v>8921104</v>
          </cell>
          <cell r="B8442">
            <v>122401</v>
          </cell>
          <cell r="C8442" t="str">
            <v>Denewood Pupil Referral Unit</v>
          </cell>
          <cell r="D8442" t="str">
            <v>Nottingham</v>
          </cell>
          <cell r="E8442" t="str">
            <v>Pupil Referral Unit</v>
          </cell>
          <cell r="F8442" t="str">
            <v>PRU</v>
          </cell>
        </row>
        <row r="8443">
          <cell r="A8443">
            <v>9282206</v>
          </cell>
          <cell r="B8443">
            <v>121942</v>
          </cell>
          <cell r="C8443" t="str">
            <v>Denfield Park Primary School</v>
          </cell>
          <cell r="D8443" t="str">
            <v>Northamptonshire</v>
          </cell>
          <cell r="E8443" t="str">
            <v>Community School</v>
          </cell>
          <cell r="F8443" t="str">
            <v>Primary</v>
          </cell>
        </row>
        <row r="8444">
          <cell r="A8444">
            <v>8252027</v>
          </cell>
          <cell r="B8444">
            <v>110219</v>
          </cell>
          <cell r="C8444" t="str">
            <v>Denham Village Infant School</v>
          </cell>
          <cell r="D8444" t="str">
            <v>Buckinghamshire</v>
          </cell>
          <cell r="E8444" t="str">
            <v>Community School</v>
          </cell>
          <cell r="F8444" t="str">
            <v>Primary</v>
          </cell>
        </row>
        <row r="8445">
          <cell r="A8445">
            <v>3802167</v>
          </cell>
          <cell r="B8445">
            <v>107282</v>
          </cell>
          <cell r="C8445" t="str">
            <v>Denholme Primary School</v>
          </cell>
          <cell r="D8445" t="str">
            <v>Bradford</v>
          </cell>
          <cell r="E8445" t="str">
            <v>Community School</v>
          </cell>
          <cell r="F8445" t="str">
            <v>Primary</v>
          </cell>
        </row>
        <row r="8446">
          <cell r="A8446">
            <v>8502054</v>
          </cell>
          <cell r="B8446">
            <v>115882</v>
          </cell>
          <cell r="C8446" t="str">
            <v>Denmead Infant School</v>
          </cell>
          <cell r="D8446" t="str">
            <v>Hampshire</v>
          </cell>
          <cell r="E8446" t="str">
            <v>Community School</v>
          </cell>
          <cell r="F8446" t="str">
            <v>Primary</v>
          </cell>
        </row>
        <row r="8447">
          <cell r="A8447">
            <v>8502323</v>
          </cell>
          <cell r="B8447">
            <v>116043</v>
          </cell>
          <cell r="C8447" t="str">
            <v>Denmead Junior School</v>
          </cell>
          <cell r="D8447" t="str">
            <v>Hampshire</v>
          </cell>
          <cell r="E8447" t="str">
            <v>Community School</v>
          </cell>
          <cell r="F8447" t="str">
            <v>Primary</v>
          </cell>
        </row>
        <row r="8448">
          <cell r="A8448">
            <v>3186000</v>
          </cell>
          <cell r="B8448">
            <v>102930</v>
          </cell>
          <cell r="C8448" t="str">
            <v>Denmead School</v>
          </cell>
          <cell r="D8448" t="str">
            <v>Richmond upon Thames</v>
          </cell>
          <cell r="E8448" t="str">
            <v>Other Independent School</v>
          </cell>
          <cell r="F8448" t="str">
            <v>Not applicable</v>
          </cell>
        </row>
        <row r="8449">
          <cell r="A8449">
            <v>9353084</v>
          </cell>
          <cell r="B8449">
            <v>124728</v>
          </cell>
          <cell r="C8449" t="str">
            <v>Dennington Church of England Voluntary Controlled Primary School</v>
          </cell>
          <cell r="D8449" t="str">
            <v>Suffolk</v>
          </cell>
          <cell r="E8449" t="str">
            <v>Voluntary Controlled School</v>
          </cell>
          <cell r="F8449" t="str">
            <v>Primary</v>
          </cell>
        </row>
        <row r="8450">
          <cell r="A8450">
            <v>8606003</v>
          </cell>
          <cell r="B8450">
            <v>124473</v>
          </cell>
          <cell r="C8450" t="str">
            <v>Denstone College</v>
          </cell>
          <cell r="D8450" t="str">
            <v>Staffordshire</v>
          </cell>
          <cell r="E8450" t="str">
            <v>Other Independent School</v>
          </cell>
          <cell r="F8450" t="str">
            <v>Not applicable</v>
          </cell>
        </row>
        <row r="8451">
          <cell r="A8451">
            <v>9093381</v>
          </cell>
          <cell r="B8451">
            <v>112331</v>
          </cell>
          <cell r="C8451" t="str">
            <v>Dent CofE Voluntary Aided Primary School</v>
          </cell>
          <cell r="D8451" t="str">
            <v>Cumbria</v>
          </cell>
          <cell r="E8451" t="str">
            <v>Voluntary Aided School</v>
          </cell>
          <cell r="F8451" t="str">
            <v>Primary</v>
          </cell>
        </row>
        <row r="8452">
          <cell r="A8452">
            <v>3572041</v>
          </cell>
          <cell r="B8452">
            <v>106205</v>
          </cell>
          <cell r="C8452" t="str">
            <v>Denton Central Primary School and ASD Resource Base</v>
          </cell>
          <cell r="D8452" t="str">
            <v>Tameside</v>
          </cell>
          <cell r="E8452" t="str">
            <v>Community School</v>
          </cell>
          <cell r="F8452" t="str">
            <v>Primary</v>
          </cell>
        </row>
        <row r="8453">
          <cell r="A8453">
            <v>9253017</v>
          </cell>
          <cell r="B8453">
            <v>120518</v>
          </cell>
          <cell r="C8453" t="str">
            <v>Denton CofE School</v>
          </cell>
          <cell r="D8453" t="str">
            <v>Lincolnshire</v>
          </cell>
          <cell r="E8453" t="str">
            <v>Voluntary Controlled School</v>
          </cell>
          <cell r="F8453" t="str">
            <v>Primary</v>
          </cell>
        </row>
        <row r="8454">
          <cell r="A8454">
            <v>3574028</v>
          </cell>
          <cell r="B8454">
            <v>135122</v>
          </cell>
          <cell r="C8454" t="str">
            <v>Denton Community College</v>
          </cell>
          <cell r="D8454" t="str">
            <v>Tameside</v>
          </cell>
          <cell r="E8454" t="str">
            <v>Community School</v>
          </cell>
          <cell r="F8454" t="str">
            <v>Secondary</v>
          </cell>
        </row>
        <row r="8455">
          <cell r="A8455">
            <v>8452103</v>
          </cell>
          <cell r="B8455">
            <v>114433</v>
          </cell>
          <cell r="C8455" t="str">
            <v>Denton Community Primary School</v>
          </cell>
          <cell r="D8455" t="str">
            <v>East Sussex</v>
          </cell>
          <cell r="E8455" t="str">
            <v>Community School</v>
          </cell>
          <cell r="F8455" t="str">
            <v>Primary</v>
          </cell>
        </row>
        <row r="8456">
          <cell r="A8456">
            <v>3914492</v>
          </cell>
          <cell r="B8456">
            <v>108529</v>
          </cell>
          <cell r="C8456" t="str">
            <v>Denton Park Middle School</v>
          </cell>
          <cell r="D8456" t="str">
            <v>Newcastle upon Tyne</v>
          </cell>
          <cell r="E8456" t="str">
            <v>Community School</v>
          </cell>
          <cell r="F8456" t="str">
            <v>Middle Deemed Secondary</v>
          </cell>
        </row>
        <row r="8457">
          <cell r="A8457">
            <v>9282026</v>
          </cell>
          <cell r="B8457">
            <v>121814</v>
          </cell>
          <cell r="C8457" t="str">
            <v>Denton Primary School</v>
          </cell>
          <cell r="D8457" t="str">
            <v>Northamptonshire</v>
          </cell>
          <cell r="E8457" t="str">
            <v>Community School</v>
          </cell>
          <cell r="F8457" t="str">
            <v>Primary</v>
          </cell>
        </row>
        <row r="8458">
          <cell r="A8458">
            <v>3912221</v>
          </cell>
          <cell r="B8458">
            <v>128120</v>
          </cell>
          <cell r="C8458" t="str">
            <v>Denton Road Infant School</v>
          </cell>
          <cell r="D8458" t="str">
            <v>Newcastle upon Tyne</v>
          </cell>
          <cell r="E8458" t="str">
            <v>Community School</v>
          </cell>
          <cell r="F8458" t="str">
            <v>Primary</v>
          </cell>
        </row>
        <row r="8459">
          <cell r="A8459">
            <v>3912220</v>
          </cell>
          <cell r="B8459">
            <v>108467</v>
          </cell>
          <cell r="C8459" t="str">
            <v>Denton Road Primary School</v>
          </cell>
          <cell r="D8459" t="str">
            <v>Newcastle upon Tyne</v>
          </cell>
          <cell r="E8459" t="str">
            <v>Community School</v>
          </cell>
          <cell r="F8459" t="str">
            <v>Primary</v>
          </cell>
        </row>
        <row r="8460">
          <cell r="A8460">
            <v>3572061</v>
          </cell>
          <cell r="B8460">
            <v>106215</v>
          </cell>
          <cell r="C8460" t="str">
            <v>Denton West End Primary School</v>
          </cell>
          <cell r="D8460" t="str">
            <v>Tameside</v>
          </cell>
          <cell r="E8460" t="str">
            <v>Community School</v>
          </cell>
          <cell r="F8460" t="str">
            <v>Primary</v>
          </cell>
        </row>
        <row r="8461">
          <cell r="A8461">
            <v>9263100</v>
          </cell>
          <cell r="B8461">
            <v>121069</v>
          </cell>
          <cell r="C8461" t="str">
            <v>Denver Voluntary Controlled Primary School</v>
          </cell>
          <cell r="D8461" t="str">
            <v>Norfolk</v>
          </cell>
          <cell r="E8461" t="str">
            <v>Voluntary Controlled School</v>
          </cell>
          <cell r="F8461" t="str">
            <v>Primary</v>
          </cell>
        </row>
        <row r="8462">
          <cell r="A8462">
            <v>2094047</v>
          </cell>
          <cell r="B8462">
            <v>100740</v>
          </cell>
          <cell r="C8462" t="str">
            <v>Deptford Green School</v>
          </cell>
          <cell r="D8462" t="str">
            <v>Lewisham</v>
          </cell>
          <cell r="E8462" t="str">
            <v>Community School</v>
          </cell>
          <cell r="F8462" t="str">
            <v>Secondary</v>
          </cell>
        </row>
        <row r="8463">
          <cell r="A8463">
            <v>2092158</v>
          </cell>
          <cell r="B8463">
            <v>100678</v>
          </cell>
          <cell r="C8463" t="str">
            <v>Deptford Park Primary School</v>
          </cell>
          <cell r="D8463" t="str">
            <v>Lewisham</v>
          </cell>
          <cell r="E8463" t="str">
            <v>Community School</v>
          </cell>
          <cell r="F8463" t="str">
            <v>Primary</v>
          </cell>
        </row>
        <row r="8464">
          <cell r="A8464">
            <v>8318012</v>
          </cell>
          <cell r="B8464">
            <v>133585</v>
          </cell>
          <cell r="C8464" t="str">
            <v>Derby College</v>
          </cell>
          <cell r="D8464" t="str">
            <v>Derby</v>
          </cell>
          <cell r="E8464" t="str">
            <v>Further Education</v>
          </cell>
          <cell r="F8464" t="str">
            <v>16 Plus</v>
          </cell>
        </row>
        <row r="8465">
          <cell r="A8465">
            <v>8316004</v>
          </cell>
          <cell r="B8465">
            <v>113028</v>
          </cell>
          <cell r="C8465" t="str">
            <v>Derby Grammar School</v>
          </cell>
          <cell r="D8465" t="str">
            <v>Derby</v>
          </cell>
          <cell r="E8465" t="str">
            <v>Other Independent School</v>
          </cell>
          <cell r="F8465" t="str">
            <v>Not applicable</v>
          </cell>
        </row>
        <row r="8466">
          <cell r="A8466">
            <v>8316001</v>
          </cell>
          <cell r="B8466">
            <v>113017</v>
          </cell>
          <cell r="C8466" t="str">
            <v>Derby High School</v>
          </cell>
          <cell r="D8466" t="str">
            <v>Derby</v>
          </cell>
          <cell r="E8466" t="str">
            <v>Other Independent School</v>
          </cell>
          <cell r="F8466" t="str">
            <v>Not applicable</v>
          </cell>
        </row>
        <row r="8467">
          <cell r="A8467">
            <v>9105500</v>
          </cell>
          <cell r="B8467">
            <v>128671</v>
          </cell>
          <cell r="C8467" t="str">
            <v>Derby Language Centre</v>
          </cell>
          <cell r="D8467" t="str">
            <v>Pre LGR (1997) Derbyshire</v>
          </cell>
          <cell r="E8467" t="str">
            <v>Legacy types</v>
          </cell>
          <cell r="F8467" t="str">
            <v>Not applicable</v>
          </cell>
        </row>
        <row r="8468">
          <cell r="A8468">
            <v>7023004</v>
          </cell>
          <cell r="B8468">
            <v>132383</v>
          </cell>
          <cell r="C8468" t="str">
            <v>Derby Middle School</v>
          </cell>
          <cell r="D8468" t="str">
            <v>BFPO Overseas Establishments</v>
          </cell>
          <cell r="E8468" t="str">
            <v>Service Childrens Education</v>
          </cell>
          <cell r="F8468" t="str">
            <v>Not applicable</v>
          </cell>
        </row>
        <row r="8469">
          <cell r="A8469">
            <v>8316011</v>
          </cell>
          <cell r="B8469">
            <v>137580</v>
          </cell>
          <cell r="C8469" t="str">
            <v>Derby Montessori School</v>
          </cell>
          <cell r="D8469" t="str">
            <v>Derby</v>
          </cell>
          <cell r="E8469" t="str">
            <v>Other Independent School</v>
          </cell>
          <cell r="F8469" t="str">
            <v>Not applicable</v>
          </cell>
        </row>
        <row r="8470">
          <cell r="A8470">
            <v>8314178</v>
          </cell>
          <cell r="B8470">
            <v>112952</v>
          </cell>
          <cell r="C8470" t="str">
            <v>Derby Moor Community Sports College</v>
          </cell>
          <cell r="D8470" t="str">
            <v>Derby</v>
          </cell>
          <cell r="E8470" t="str">
            <v>Foundation School</v>
          </cell>
          <cell r="F8470" t="str">
            <v>Secondary</v>
          </cell>
        </row>
        <row r="8471">
          <cell r="A8471">
            <v>9104150</v>
          </cell>
          <cell r="B8471">
            <v>128654</v>
          </cell>
          <cell r="C8471" t="str">
            <v>Derby School</v>
          </cell>
          <cell r="D8471" t="str">
            <v>Pre LGR (1997) Derbyshire</v>
          </cell>
          <cell r="E8471" t="str">
            <v>Community School</v>
          </cell>
          <cell r="F8471" t="str">
            <v>Secondary</v>
          </cell>
        </row>
        <row r="8472">
          <cell r="A8472">
            <v>9237030</v>
          </cell>
          <cell r="B8472">
            <v>129514</v>
          </cell>
          <cell r="C8472" t="str">
            <v>Derby School</v>
          </cell>
          <cell r="D8472" t="str">
            <v>Pre LGR (1998) Lancashire</v>
          </cell>
          <cell r="E8472" t="str">
            <v>Community Special School</v>
          </cell>
          <cell r="F8472" t="str">
            <v>Special</v>
          </cell>
        </row>
        <row r="8473">
          <cell r="A8473">
            <v>8313158</v>
          </cell>
          <cell r="B8473">
            <v>112873</v>
          </cell>
          <cell r="C8473" t="str">
            <v>Derby St Chad's CofE (VC) Nursery and Infant School</v>
          </cell>
          <cell r="D8473" t="str">
            <v>Derby</v>
          </cell>
          <cell r="E8473" t="str">
            <v>Voluntary Controlled School</v>
          </cell>
          <cell r="F8473" t="str">
            <v>Primary</v>
          </cell>
        </row>
        <row r="8474">
          <cell r="A8474">
            <v>3541006</v>
          </cell>
          <cell r="B8474">
            <v>105761</v>
          </cell>
          <cell r="C8474" t="str">
            <v>Derby Street Nursery Unit</v>
          </cell>
          <cell r="D8474" t="str">
            <v>Rochdale</v>
          </cell>
          <cell r="E8474" t="str">
            <v>LA Nursery School</v>
          </cell>
          <cell r="F8474" t="str">
            <v>Nursery</v>
          </cell>
        </row>
        <row r="8475">
          <cell r="A8475">
            <v>8318010</v>
          </cell>
          <cell r="B8475">
            <v>130642</v>
          </cell>
          <cell r="C8475" t="str">
            <v>Derby Tertiary College, Wilmorton</v>
          </cell>
          <cell r="D8475" t="str">
            <v>Derby</v>
          </cell>
          <cell r="E8475" t="str">
            <v>Further Education</v>
          </cell>
          <cell r="F8475" t="str">
            <v>16 Plus</v>
          </cell>
        </row>
        <row r="8476">
          <cell r="A8476">
            <v>3422018</v>
          </cell>
          <cell r="B8476">
            <v>104768</v>
          </cell>
          <cell r="C8476" t="str">
            <v>Derbyshire Hill Community Primary School</v>
          </cell>
          <cell r="D8476" t="str">
            <v>St. Helens</v>
          </cell>
          <cell r="E8476" t="str">
            <v>Community School</v>
          </cell>
          <cell r="F8476" t="str">
            <v>Primary</v>
          </cell>
        </row>
        <row r="8477">
          <cell r="A8477">
            <v>8301113</v>
          </cell>
          <cell r="B8477">
            <v>136190</v>
          </cell>
          <cell r="C8477" t="str">
            <v>Derbyshire Support Centre (Alternative Provision)</v>
          </cell>
          <cell r="D8477" t="str">
            <v>Derbyshire</v>
          </cell>
          <cell r="E8477" t="str">
            <v>Pupil Referral Unit</v>
          </cell>
          <cell r="F8477" t="str">
            <v>PRU</v>
          </cell>
        </row>
        <row r="8478">
          <cell r="A8478">
            <v>9265205</v>
          </cell>
          <cell r="B8478">
            <v>121195</v>
          </cell>
          <cell r="C8478" t="str">
            <v>Dereham Church of England Infant School and Nursery</v>
          </cell>
          <cell r="D8478" t="str">
            <v>Norfolk</v>
          </cell>
          <cell r="E8478" t="str">
            <v>Voluntary Aided School</v>
          </cell>
          <cell r="F8478" t="str">
            <v>Primary</v>
          </cell>
        </row>
        <row r="8479">
          <cell r="A8479">
            <v>9264085</v>
          </cell>
          <cell r="B8479">
            <v>121182</v>
          </cell>
          <cell r="C8479" t="str">
            <v>Dereham Neatherd High School</v>
          </cell>
          <cell r="D8479" t="str">
            <v>Norfolk</v>
          </cell>
          <cell r="E8479" t="str">
            <v>Community School</v>
          </cell>
          <cell r="F8479" t="str">
            <v>Secondary</v>
          </cell>
        </row>
        <row r="8480">
          <cell r="A8480">
            <v>9264900</v>
          </cell>
          <cell r="B8480">
            <v>132908</v>
          </cell>
          <cell r="C8480" t="str">
            <v>Dereham Sixth Form College</v>
          </cell>
          <cell r="D8480" t="str">
            <v>Norfolk</v>
          </cell>
          <cell r="E8480" t="str">
            <v>Sixth Form Centres</v>
          </cell>
          <cell r="F8480" t="str">
            <v>16 Plus</v>
          </cell>
        </row>
        <row r="8481">
          <cell r="A8481">
            <v>9263316</v>
          </cell>
          <cell r="B8481">
            <v>121115</v>
          </cell>
          <cell r="C8481" t="str">
            <v>Dereham, St Nicholas Junior School</v>
          </cell>
          <cell r="D8481" t="str">
            <v>Norfolk</v>
          </cell>
          <cell r="E8481" t="str">
            <v>Voluntary Aided School</v>
          </cell>
          <cell r="F8481" t="str">
            <v>Primary</v>
          </cell>
        </row>
        <row r="8482">
          <cell r="A8482">
            <v>9262367</v>
          </cell>
          <cell r="B8482">
            <v>120987</v>
          </cell>
          <cell r="C8482" t="str">
            <v>Dereham, Toftwood Community Junior School</v>
          </cell>
          <cell r="D8482" t="str">
            <v>Norfolk</v>
          </cell>
          <cell r="E8482" t="str">
            <v>Community School</v>
          </cell>
          <cell r="F8482" t="str">
            <v>Primary</v>
          </cell>
        </row>
        <row r="8483">
          <cell r="A8483">
            <v>6762089</v>
          </cell>
          <cell r="B8483">
            <v>401309</v>
          </cell>
          <cell r="C8483" t="str">
            <v>Deri Primary School</v>
          </cell>
          <cell r="D8483" t="str">
            <v>Caerphilly</v>
          </cell>
          <cell r="E8483" t="str">
            <v>Welsh Establishment</v>
          </cell>
          <cell r="F8483" t="str">
            <v>Primary</v>
          </cell>
        </row>
        <row r="8484">
          <cell r="A8484">
            <v>6792320</v>
          </cell>
          <cell r="B8484">
            <v>402093</v>
          </cell>
          <cell r="C8484" t="str">
            <v>Deri View Primary</v>
          </cell>
          <cell r="D8484" t="str">
            <v>Monmouthshire</v>
          </cell>
          <cell r="E8484" t="str">
            <v>Welsh Establishment</v>
          </cell>
          <cell r="F8484" t="str">
            <v>Primary</v>
          </cell>
        </row>
        <row r="8485">
          <cell r="A8485">
            <v>8107009</v>
          </cell>
          <cell r="B8485">
            <v>118142</v>
          </cell>
          <cell r="C8485" t="str">
            <v>Derringham School</v>
          </cell>
          <cell r="D8485" t="str">
            <v>Kingston upon Hull City of</v>
          </cell>
          <cell r="E8485" t="str">
            <v>Community Special School</v>
          </cell>
          <cell r="F8485" t="str">
            <v>Special</v>
          </cell>
        </row>
        <row r="8486">
          <cell r="A8486">
            <v>8653330</v>
          </cell>
          <cell r="B8486">
            <v>126400</v>
          </cell>
          <cell r="C8486" t="str">
            <v>Derry Hill Church of England Voluntary Aided Primary School</v>
          </cell>
          <cell r="D8486" t="str">
            <v>Wiltshire</v>
          </cell>
          <cell r="E8486" t="str">
            <v>Voluntary Aided School</v>
          </cell>
          <cell r="F8486" t="str">
            <v>Primary</v>
          </cell>
        </row>
        <row r="8487">
          <cell r="A8487">
            <v>8917012</v>
          </cell>
          <cell r="B8487">
            <v>122949</v>
          </cell>
          <cell r="C8487" t="str">
            <v>Derrymount School</v>
          </cell>
          <cell r="D8487" t="str">
            <v>Nottinghamshire</v>
          </cell>
          <cell r="E8487" t="str">
            <v>Community Special School</v>
          </cell>
          <cell r="F8487" t="str">
            <v>Special</v>
          </cell>
        </row>
        <row r="8488">
          <cell r="A8488">
            <v>9265214</v>
          </cell>
          <cell r="B8488">
            <v>121204</v>
          </cell>
          <cell r="C8488" t="str">
            <v>Dersingham Infant and Nursery School</v>
          </cell>
          <cell r="D8488" t="str">
            <v>Norfolk</v>
          </cell>
          <cell r="E8488" t="str">
            <v>Community School</v>
          </cell>
          <cell r="F8488" t="str">
            <v>Primary</v>
          </cell>
        </row>
        <row r="8489">
          <cell r="A8489">
            <v>3162015</v>
          </cell>
          <cell r="B8489">
            <v>102716</v>
          </cell>
          <cell r="C8489" t="str">
            <v>Dersingham Primary School</v>
          </cell>
          <cell r="D8489" t="str">
            <v>Newham</v>
          </cell>
          <cell r="E8489" t="str">
            <v>Community School</v>
          </cell>
          <cell r="F8489" t="str">
            <v>Primary</v>
          </cell>
        </row>
        <row r="8490">
          <cell r="A8490">
            <v>9265211</v>
          </cell>
          <cell r="B8490">
            <v>121201</v>
          </cell>
          <cell r="C8490" t="str">
            <v>Dersingham St George's CofE Junior School</v>
          </cell>
          <cell r="D8490" t="str">
            <v>Norfolk</v>
          </cell>
          <cell r="E8490" t="str">
            <v>Foundation School</v>
          </cell>
          <cell r="F8490" t="str">
            <v>Primary</v>
          </cell>
        </row>
        <row r="8491">
          <cell r="A8491">
            <v>8937906</v>
          </cell>
          <cell r="B8491">
            <v>133173</v>
          </cell>
          <cell r="C8491" t="str">
            <v>Derwen College</v>
          </cell>
          <cell r="D8491" t="str">
            <v>Shropshire</v>
          </cell>
          <cell r="E8491" t="str">
            <v>Special College</v>
          </cell>
          <cell r="F8491" t="str">
            <v>16 Plus</v>
          </cell>
        </row>
        <row r="8492">
          <cell r="A8492">
            <v>6762097</v>
          </cell>
          <cell r="B8492">
            <v>401313</v>
          </cell>
          <cell r="C8492" t="str">
            <v>Derwendeg Primary School</v>
          </cell>
          <cell r="D8492" t="str">
            <v>Caerphilly</v>
          </cell>
          <cell r="E8492" t="str">
            <v>Welsh Establishment</v>
          </cell>
          <cell r="F8492" t="str">
            <v>Primary</v>
          </cell>
        </row>
        <row r="8493">
          <cell r="A8493">
            <v>8312619</v>
          </cell>
          <cell r="B8493">
            <v>112782</v>
          </cell>
          <cell r="C8493" t="str">
            <v>Derwent Community School</v>
          </cell>
          <cell r="D8493" t="str">
            <v>Derby</v>
          </cell>
          <cell r="E8493" t="str">
            <v>Community School</v>
          </cell>
          <cell r="F8493" t="str">
            <v>Primary</v>
          </cell>
        </row>
        <row r="8494">
          <cell r="A8494">
            <v>8896008</v>
          </cell>
          <cell r="B8494">
            <v>133567</v>
          </cell>
          <cell r="C8494" t="str">
            <v>Derwent House School</v>
          </cell>
          <cell r="D8494" t="str">
            <v>Blackburn with Darwen</v>
          </cell>
          <cell r="E8494" t="str">
            <v>Other Independent Special School</v>
          </cell>
          <cell r="F8494" t="str">
            <v>Not applicable</v>
          </cell>
        </row>
        <row r="8495">
          <cell r="A8495">
            <v>3902043</v>
          </cell>
          <cell r="B8495">
            <v>108328</v>
          </cell>
          <cell r="C8495" t="str">
            <v>Derwent Infant School</v>
          </cell>
          <cell r="D8495" t="str">
            <v>Gateshead</v>
          </cell>
          <cell r="E8495" t="str">
            <v>Community School</v>
          </cell>
          <cell r="F8495" t="str">
            <v>Primary</v>
          </cell>
        </row>
        <row r="8496">
          <cell r="A8496">
            <v>8162006</v>
          </cell>
          <cell r="B8496">
            <v>121275</v>
          </cell>
          <cell r="C8496" t="str">
            <v>Derwent Infant School</v>
          </cell>
          <cell r="D8496" t="str">
            <v>York</v>
          </cell>
          <cell r="E8496" t="str">
            <v>Community School</v>
          </cell>
          <cell r="F8496" t="str">
            <v>Primary</v>
          </cell>
        </row>
        <row r="8497">
          <cell r="A8497">
            <v>8162005</v>
          </cell>
          <cell r="B8497">
            <v>121274</v>
          </cell>
          <cell r="C8497" t="str">
            <v>Derwent Junior School</v>
          </cell>
          <cell r="D8497" t="str">
            <v>York</v>
          </cell>
          <cell r="E8497" t="str">
            <v>Community School</v>
          </cell>
          <cell r="F8497" t="str">
            <v>Primary</v>
          </cell>
        </row>
        <row r="8498">
          <cell r="A8498">
            <v>8866042</v>
          </cell>
          <cell r="B8498">
            <v>118988</v>
          </cell>
          <cell r="C8498" t="str">
            <v>Derwent Lodge School</v>
          </cell>
          <cell r="D8498" t="str">
            <v>Kent</v>
          </cell>
          <cell r="E8498" t="str">
            <v>Other Independent School</v>
          </cell>
          <cell r="F8498" t="str">
            <v>Not applicable</v>
          </cell>
        </row>
        <row r="8499">
          <cell r="A8499">
            <v>8232056</v>
          </cell>
          <cell r="B8499">
            <v>109457</v>
          </cell>
          <cell r="C8499" t="str">
            <v>Derwent Lower School</v>
          </cell>
          <cell r="D8499" t="str">
            <v>Central Bedfordshire</v>
          </cell>
          <cell r="E8499" t="str">
            <v>Foundation School</v>
          </cell>
          <cell r="F8499" t="str">
            <v>Primary</v>
          </cell>
        </row>
        <row r="8500">
          <cell r="A8500">
            <v>9092707</v>
          </cell>
          <cell r="B8500">
            <v>112239</v>
          </cell>
          <cell r="C8500" t="str">
            <v>Derwent Vale Primary School and Nursery</v>
          </cell>
          <cell r="D8500" t="str">
            <v>Cumbria</v>
          </cell>
          <cell r="E8500" t="str">
            <v>Community School</v>
          </cell>
          <cell r="F8500" t="str">
            <v>Primary</v>
          </cell>
        </row>
        <row r="8501">
          <cell r="A8501">
            <v>8408003</v>
          </cell>
          <cell r="B8501">
            <v>130658</v>
          </cell>
          <cell r="C8501" t="str">
            <v>Derwentside College</v>
          </cell>
          <cell r="D8501" t="str">
            <v>Durham</v>
          </cell>
          <cell r="E8501" t="str">
            <v>Further Education</v>
          </cell>
          <cell r="F8501" t="str">
            <v>16 Plus</v>
          </cell>
        </row>
        <row r="8502">
          <cell r="A8502">
            <v>3072089</v>
          </cell>
          <cell r="B8502">
            <v>126835</v>
          </cell>
          <cell r="C8502" t="str">
            <v>Derwentwater First School</v>
          </cell>
          <cell r="D8502" t="str">
            <v>Ealing</v>
          </cell>
          <cell r="E8502" t="str">
            <v>Community School</v>
          </cell>
          <cell r="F8502" t="str">
            <v>Primary</v>
          </cell>
        </row>
        <row r="8503">
          <cell r="A8503">
            <v>3072090</v>
          </cell>
          <cell r="B8503">
            <v>126836</v>
          </cell>
          <cell r="C8503" t="str">
            <v>Derwentwater Middle School</v>
          </cell>
          <cell r="D8503" t="str">
            <v>Ealing</v>
          </cell>
          <cell r="E8503" t="str">
            <v>Community School</v>
          </cell>
          <cell r="F8503" t="str">
            <v>Middle Deemed Primary</v>
          </cell>
        </row>
        <row r="8504">
          <cell r="A8504">
            <v>3072165</v>
          </cell>
          <cell r="B8504">
            <v>101895</v>
          </cell>
          <cell r="C8504" t="str">
            <v>Derwentwater Primary School</v>
          </cell>
          <cell r="D8504" t="str">
            <v>Ealing</v>
          </cell>
          <cell r="E8504" t="str">
            <v>Community School</v>
          </cell>
          <cell r="F8504" t="str">
            <v>Primary</v>
          </cell>
        </row>
        <row r="8505">
          <cell r="A8505">
            <v>8685403</v>
          </cell>
          <cell r="B8505">
            <v>110099</v>
          </cell>
          <cell r="C8505" t="str">
            <v>Desborough School</v>
          </cell>
          <cell r="D8505" t="str">
            <v>Windsor and Maidenhead</v>
          </cell>
          <cell r="E8505" t="str">
            <v>Community School</v>
          </cell>
          <cell r="F8505" t="str">
            <v>Secondary</v>
          </cell>
        </row>
        <row r="8506">
          <cell r="A8506">
            <v>8552032</v>
          </cell>
          <cell r="B8506">
            <v>119921</v>
          </cell>
          <cell r="C8506" t="str">
            <v>Desford Community Primary School</v>
          </cell>
          <cell r="D8506" t="str">
            <v>Leicestershire</v>
          </cell>
          <cell r="E8506" t="str">
            <v>Community School</v>
          </cell>
          <cell r="F8506" t="str">
            <v>Primary</v>
          </cell>
        </row>
        <row r="8507">
          <cell r="A8507">
            <v>9382145</v>
          </cell>
          <cell r="B8507">
            <v>130179</v>
          </cell>
          <cell r="C8507" t="str">
            <v>Desmond Anderson County First School</v>
          </cell>
          <cell r="D8507" t="str">
            <v>West Sussex</v>
          </cell>
          <cell r="E8507" t="str">
            <v>Community School</v>
          </cell>
          <cell r="F8507" t="str">
            <v>Primary</v>
          </cell>
        </row>
        <row r="8508">
          <cell r="A8508">
            <v>9382156</v>
          </cell>
          <cell r="B8508">
            <v>130180</v>
          </cell>
          <cell r="C8508" t="str">
            <v>Desmond Anderson Middle School</v>
          </cell>
          <cell r="D8508" t="str">
            <v>West Sussex</v>
          </cell>
          <cell r="E8508" t="str">
            <v>Community School</v>
          </cell>
          <cell r="F8508" t="str">
            <v>Middle Deemed Primary</v>
          </cell>
        </row>
        <row r="8509">
          <cell r="A8509">
            <v>9382244</v>
          </cell>
          <cell r="B8509">
            <v>125966</v>
          </cell>
          <cell r="C8509" t="str">
            <v>Desmond Anderson Primary School</v>
          </cell>
          <cell r="D8509" t="str">
            <v>West Sussex</v>
          </cell>
          <cell r="E8509" t="str">
            <v>Community School</v>
          </cell>
          <cell r="F8509" t="str">
            <v>Primary</v>
          </cell>
        </row>
        <row r="8510">
          <cell r="A8510">
            <v>8863063</v>
          </cell>
          <cell r="B8510">
            <v>118621</v>
          </cell>
          <cell r="C8510" t="str">
            <v>Detling Church of England Primary School</v>
          </cell>
          <cell r="D8510" t="str">
            <v>Kent</v>
          </cell>
          <cell r="E8510" t="str">
            <v>Voluntary Controlled School</v>
          </cell>
          <cell r="F8510" t="str">
            <v>Primary</v>
          </cell>
        </row>
        <row r="8511">
          <cell r="A8511">
            <v>8886003</v>
          </cell>
          <cell r="B8511">
            <v>119821</v>
          </cell>
          <cell r="C8511" t="str">
            <v>Devereux Preparatory School</v>
          </cell>
          <cell r="D8511" t="str">
            <v>Lancashire</v>
          </cell>
          <cell r="E8511" t="str">
            <v>Other Independent School</v>
          </cell>
          <cell r="F8511" t="str">
            <v>Not applicable</v>
          </cell>
        </row>
        <row r="8512">
          <cell r="A8512">
            <v>8656021</v>
          </cell>
          <cell r="B8512">
            <v>131051</v>
          </cell>
          <cell r="C8512" t="str">
            <v>Devizes Christian School</v>
          </cell>
          <cell r="D8512" t="str">
            <v>Wiltshire</v>
          </cell>
          <cell r="E8512" t="str">
            <v>Other Independent School</v>
          </cell>
          <cell r="F8512" t="str">
            <v>Not applicable</v>
          </cell>
        </row>
        <row r="8513">
          <cell r="A8513">
            <v>8655411</v>
          </cell>
          <cell r="B8513">
            <v>126506</v>
          </cell>
          <cell r="C8513" t="str">
            <v>Devizes School</v>
          </cell>
          <cell r="D8513" t="str">
            <v>Wiltshire</v>
          </cell>
          <cell r="E8513" t="str">
            <v>Foundation School</v>
          </cell>
          <cell r="F8513" t="str">
            <v>Secondary</v>
          </cell>
        </row>
        <row r="8514">
          <cell r="A8514">
            <v>8781110</v>
          </cell>
          <cell r="B8514">
            <v>134859</v>
          </cell>
          <cell r="C8514" t="str">
            <v>Devon Hospitals' Short Stay School</v>
          </cell>
          <cell r="D8514" t="str">
            <v>Devon</v>
          </cell>
          <cell r="E8514" t="str">
            <v>Pupil Referral Unit</v>
          </cell>
          <cell r="F8514" t="str">
            <v>PRU</v>
          </cell>
        </row>
        <row r="8515">
          <cell r="A8515">
            <v>8795406</v>
          </cell>
          <cell r="B8515">
            <v>113530</v>
          </cell>
          <cell r="C8515" t="str">
            <v>Devonport High School for Boys</v>
          </cell>
          <cell r="D8515" t="str">
            <v>Plymouth</v>
          </cell>
          <cell r="E8515" t="str">
            <v>Foundation School</v>
          </cell>
          <cell r="F8515" t="str">
            <v>Secondary</v>
          </cell>
        </row>
        <row r="8516">
          <cell r="A8516">
            <v>8795406</v>
          </cell>
          <cell r="B8516">
            <v>136496</v>
          </cell>
          <cell r="C8516" t="str">
            <v>Devonport High School for Boys</v>
          </cell>
          <cell r="D8516" t="str">
            <v>Plymouth</v>
          </cell>
          <cell r="E8516" t="str">
            <v>Academy Converters</v>
          </cell>
          <cell r="F8516" t="str">
            <v>Secondary</v>
          </cell>
        </row>
        <row r="8517">
          <cell r="A8517">
            <v>8794152</v>
          </cell>
          <cell r="B8517">
            <v>113531</v>
          </cell>
          <cell r="C8517" t="str">
            <v>Devonport High School for Girls</v>
          </cell>
          <cell r="D8517" t="str">
            <v>Plymouth</v>
          </cell>
          <cell r="E8517" t="str">
            <v>Community School</v>
          </cell>
          <cell r="F8517" t="str">
            <v>Secondary</v>
          </cell>
        </row>
        <row r="8518">
          <cell r="A8518">
            <v>8794152</v>
          </cell>
          <cell r="B8518">
            <v>136588</v>
          </cell>
          <cell r="C8518" t="str">
            <v>Devonport High School for Girls</v>
          </cell>
          <cell r="D8518" t="str">
            <v>Plymouth</v>
          </cell>
          <cell r="E8518" t="str">
            <v>Academy Converters</v>
          </cell>
          <cell r="F8518" t="str">
            <v>Secondary</v>
          </cell>
        </row>
        <row r="8519">
          <cell r="A8519">
            <v>9114177</v>
          </cell>
          <cell r="B8519">
            <v>128728</v>
          </cell>
          <cell r="C8519" t="str">
            <v>Devonport Secondary School</v>
          </cell>
          <cell r="D8519" t="str">
            <v>Pre LGR (1998) Devon</v>
          </cell>
          <cell r="E8519" t="str">
            <v>Community School</v>
          </cell>
          <cell r="F8519" t="str">
            <v>Secondary</v>
          </cell>
        </row>
        <row r="8520">
          <cell r="A8520">
            <v>3092015</v>
          </cell>
          <cell r="B8520">
            <v>102087</v>
          </cell>
          <cell r="C8520" t="str">
            <v>Devonshire Hill Primary School</v>
          </cell>
          <cell r="D8520" t="str">
            <v>Haringey</v>
          </cell>
          <cell r="E8520" t="str">
            <v>Community School</v>
          </cell>
          <cell r="F8520" t="str">
            <v>Primary</v>
          </cell>
        </row>
        <row r="8521">
          <cell r="A8521">
            <v>2026380</v>
          </cell>
          <cell r="B8521">
            <v>100080</v>
          </cell>
          <cell r="C8521" t="str">
            <v>Devonshire House Preparatory School</v>
          </cell>
          <cell r="D8521" t="str">
            <v>Camden</v>
          </cell>
          <cell r="E8521" t="str">
            <v>Other Independent School</v>
          </cell>
          <cell r="F8521" t="str">
            <v>Not applicable</v>
          </cell>
        </row>
        <row r="8522">
          <cell r="A8522">
            <v>3332125</v>
          </cell>
          <cell r="B8522">
            <v>103943</v>
          </cell>
          <cell r="C8522" t="str">
            <v>Devonshire Infant School</v>
          </cell>
          <cell r="D8522" t="str">
            <v>Sandwell</v>
          </cell>
          <cell r="E8522" t="str">
            <v>Community School</v>
          </cell>
          <cell r="F8522" t="str">
            <v>Primary</v>
          </cell>
        </row>
        <row r="8523">
          <cell r="A8523">
            <v>8512648</v>
          </cell>
          <cell r="B8523">
            <v>116187</v>
          </cell>
          <cell r="C8523" t="str">
            <v>Devonshire Infant School</v>
          </cell>
          <cell r="D8523" t="str">
            <v>Portsmouth</v>
          </cell>
          <cell r="E8523" t="str">
            <v>Community School</v>
          </cell>
          <cell r="F8523" t="str">
            <v>Primary</v>
          </cell>
        </row>
        <row r="8524">
          <cell r="A8524">
            <v>8902204</v>
          </cell>
          <cell r="B8524">
            <v>119242</v>
          </cell>
          <cell r="C8524" t="str">
            <v>Devonshire Infant School</v>
          </cell>
          <cell r="D8524" t="str">
            <v>Blackpool</v>
          </cell>
          <cell r="E8524" t="str">
            <v>Community School</v>
          </cell>
          <cell r="F8524" t="str">
            <v>Primary</v>
          </cell>
        </row>
        <row r="8525">
          <cell r="A8525">
            <v>3332124</v>
          </cell>
          <cell r="B8525">
            <v>103942</v>
          </cell>
          <cell r="C8525" t="str">
            <v>Devonshire Junior School</v>
          </cell>
          <cell r="D8525" t="str">
            <v>Sandwell</v>
          </cell>
          <cell r="E8525" t="str">
            <v>Community School</v>
          </cell>
          <cell r="F8525" t="str">
            <v>Primary</v>
          </cell>
        </row>
        <row r="8526">
          <cell r="A8526">
            <v>8902203</v>
          </cell>
          <cell r="B8526">
            <v>119241</v>
          </cell>
          <cell r="C8526" t="str">
            <v>Devonshire Junior School</v>
          </cell>
          <cell r="D8526" t="str">
            <v>Blackpool</v>
          </cell>
          <cell r="E8526" t="str">
            <v>Community School</v>
          </cell>
          <cell r="F8526" t="str">
            <v>Primary</v>
          </cell>
        </row>
        <row r="8527">
          <cell r="A8527">
            <v>3442048</v>
          </cell>
          <cell r="B8527">
            <v>104991</v>
          </cell>
          <cell r="C8527" t="str">
            <v>Devonshire Park Primary School</v>
          </cell>
          <cell r="D8527" t="str">
            <v>Wirral</v>
          </cell>
          <cell r="E8527" t="str">
            <v>Community School</v>
          </cell>
          <cell r="F8527" t="str">
            <v>Primary</v>
          </cell>
        </row>
        <row r="8528">
          <cell r="A8528">
            <v>3192023</v>
          </cell>
          <cell r="B8528">
            <v>102975</v>
          </cell>
          <cell r="C8528" t="str">
            <v>Devonshire Primary School</v>
          </cell>
          <cell r="D8528" t="str">
            <v>Sutton</v>
          </cell>
          <cell r="E8528" t="str">
            <v>Community School</v>
          </cell>
          <cell r="F8528" t="str">
            <v>Primary</v>
          </cell>
        </row>
        <row r="8529">
          <cell r="A8529">
            <v>8903814</v>
          </cell>
          <cell r="B8529">
            <v>134743</v>
          </cell>
          <cell r="C8529" t="str">
            <v>Devonshire Primary School</v>
          </cell>
          <cell r="D8529" t="str">
            <v>Blackpool</v>
          </cell>
          <cell r="E8529" t="str">
            <v>Community School</v>
          </cell>
          <cell r="F8529" t="str">
            <v>Primary</v>
          </cell>
        </row>
        <row r="8530">
          <cell r="A8530">
            <v>3502013</v>
          </cell>
          <cell r="B8530">
            <v>105154</v>
          </cell>
          <cell r="C8530" t="str">
            <v>Devonshire Road Primary School</v>
          </cell>
          <cell r="D8530" t="str">
            <v>Bolton</v>
          </cell>
          <cell r="E8530" t="str">
            <v>Community School</v>
          </cell>
          <cell r="F8530" t="str">
            <v>Primary</v>
          </cell>
        </row>
        <row r="8531">
          <cell r="A8531">
            <v>9082318</v>
          </cell>
          <cell r="B8531">
            <v>111872</v>
          </cell>
          <cell r="C8531" t="str">
            <v>Devoran School</v>
          </cell>
          <cell r="D8531" t="str">
            <v>Cornwall</v>
          </cell>
          <cell r="E8531" t="str">
            <v>Community School</v>
          </cell>
          <cell r="F8531" t="str">
            <v>Primary</v>
          </cell>
        </row>
        <row r="8532">
          <cell r="A8532">
            <v>9193053</v>
          </cell>
          <cell r="B8532">
            <v>117415</v>
          </cell>
          <cell r="C8532" t="str">
            <v>Dewhurst St Mary CofE Primary School</v>
          </cell>
          <cell r="D8532" t="str">
            <v>Hertfordshire</v>
          </cell>
          <cell r="E8532" t="str">
            <v>Voluntary Controlled School</v>
          </cell>
          <cell r="F8532" t="str">
            <v>Primary</v>
          </cell>
        </row>
        <row r="8533">
          <cell r="A8533">
            <v>6692371</v>
          </cell>
          <cell r="B8533">
            <v>400832</v>
          </cell>
          <cell r="C8533" t="str">
            <v>Dewi Sant C.P.</v>
          </cell>
          <cell r="D8533" t="str">
            <v>Carmarthenshire</v>
          </cell>
          <cell r="E8533" t="str">
            <v>Welsh Establishment</v>
          </cell>
          <cell r="F8533" t="str">
            <v>Primary</v>
          </cell>
        </row>
        <row r="8534">
          <cell r="A8534">
            <v>6631105</v>
          </cell>
          <cell r="B8534">
            <v>402185</v>
          </cell>
          <cell r="C8534" t="str">
            <v>Dewi Sant Unit</v>
          </cell>
          <cell r="D8534" t="str">
            <v>Denbighshire</v>
          </cell>
          <cell r="E8534" t="str">
            <v>Welsh Establishment</v>
          </cell>
          <cell r="F8534" t="str">
            <v>Not applicable</v>
          </cell>
        </row>
        <row r="8535">
          <cell r="A8535">
            <v>9126123</v>
          </cell>
          <cell r="B8535">
            <v>128797</v>
          </cell>
          <cell r="C8535" t="str">
            <v>Dewlish House School</v>
          </cell>
          <cell r="D8535" t="str">
            <v>Pre LGR (1997) Dorset</v>
          </cell>
          <cell r="E8535" t="str">
            <v>Other Independent School</v>
          </cell>
          <cell r="F8535" t="str">
            <v>Not applicable</v>
          </cell>
        </row>
        <row r="8536">
          <cell r="A8536">
            <v>3828000</v>
          </cell>
          <cell r="B8536">
            <v>130536</v>
          </cell>
          <cell r="C8536" t="str">
            <v>Dewsbury College</v>
          </cell>
          <cell r="D8536" t="str">
            <v>Kirklees</v>
          </cell>
          <cell r="E8536" t="str">
            <v>Further Education</v>
          </cell>
          <cell r="F8536" t="str">
            <v>16 Plus</v>
          </cell>
        </row>
        <row r="8537">
          <cell r="A8537">
            <v>3821008</v>
          </cell>
          <cell r="B8537">
            <v>127774</v>
          </cell>
          <cell r="C8537" t="str">
            <v>Dewsbury Moor Nursery School</v>
          </cell>
          <cell r="D8537" t="str">
            <v>Kirklees</v>
          </cell>
          <cell r="E8537" t="str">
            <v>LA Nursery School</v>
          </cell>
          <cell r="F8537" t="str">
            <v>Nursery</v>
          </cell>
        </row>
        <row r="8538">
          <cell r="A8538">
            <v>382942</v>
          </cell>
          <cell r="B8538">
            <v>134948</v>
          </cell>
          <cell r="C8538" t="str">
            <v>Dewsbury Rams Study Centre</v>
          </cell>
          <cell r="D8538" t="str">
            <v>Kirklees</v>
          </cell>
          <cell r="E8538" t="str">
            <v>Playing for Success Centres</v>
          </cell>
          <cell r="F8538" t="str">
            <v>Not applicable</v>
          </cell>
        </row>
        <row r="8539">
          <cell r="A8539">
            <v>3434100</v>
          </cell>
          <cell r="B8539">
            <v>104948</v>
          </cell>
          <cell r="C8539" t="str">
            <v>Deyes High School</v>
          </cell>
          <cell r="D8539" t="str">
            <v>Sefton</v>
          </cell>
          <cell r="E8539" t="str">
            <v>Community School</v>
          </cell>
          <cell r="F8539" t="str">
            <v>Secondary</v>
          </cell>
        </row>
        <row r="8540">
          <cell r="A8540">
            <v>3434100</v>
          </cell>
          <cell r="B8540">
            <v>137533</v>
          </cell>
          <cell r="C8540" t="str">
            <v>Deyes High School</v>
          </cell>
          <cell r="D8540" t="str">
            <v>Sefton</v>
          </cell>
          <cell r="E8540" t="str">
            <v>Academy Converters</v>
          </cell>
          <cell r="F8540" t="str">
            <v>Secondary</v>
          </cell>
        </row>
        <row r="8541">
          <cell r="A8541">
            <v>3302284</v>
          </cell>
          <cell r="B8541">
            <v>103313</v>
          </cell>
          <cell r="C8541" t="str">
            <v>Deykin Avenue Junior and Infant School</v>
          </cell>
          <cell r="D8541" t="str">
            <v>Birmingham</v>
          </cell>
          <cell r="E8541" t="str">
            <v>Community School</v>
          </cell>
          <cell r="F8541" t="str">
            <v>Primary</v>
          </cell>
        </row>
        <row r="8542">
          <cell r="A8542">
            <v>3362057</v>
          </cell>
          <cell r="B8542">
            <v>104319</v>
          </cell>
          <cell r="C8542" t="str">
            <v>Deyncourt Primary School</v>
          </cell>
          <cell r="D8542" t="str">
            <v>Wolverhampton</v>
          </cell>
          <cell r="E8542" t="str">
            <v>Community School</v>
          </cell>
          <cell r="F8542" t="str">
            <v>Primary</v>
          </cell>
        </row>
        <row r="8543">
          <cell r="A8543">
            <v>8466005</v>
          </cell>
          <cell r="B8543">
            <v>114673</v>
          </cell>
          <cell r="C8543" t="str">
            <v>Dharma School</v>
          </cell>
          <cell r="D8543" t="str">
            <v>Brighton and Hove</v>
          </cell>
          <cell r="E8543" t="str">
            <v>Other Independent School</v>
          </cell>
          <cell r="F8543" t="str">
            <v>Not applicable</v>
          </cell>
        </row>
        <row r="8544">
          <cell r="A8544">
            <v>7071100</v>
          </cell>
          <cell r="B8544">
            <v>132545</v>
          </cell>
          <cell r="C8544" t="str">
            <v>d'Hautree House School</v>
          </cell>
          <cell r="D8544" t="str">
            <v>Jersey Offshore Establishments</v>
          </cell>
          <cell r="E8544" t="str">
            <v>Offshore Schools</v>
          </cell>
          <cell r="F8544" t="str">
            <v>Not applicable</v>
          </cell>
        </row>
        <row r="8545">
          <cell r="A8545">
            <v>7022074</v>
          </cell>
          <cell r="B8545">
            <v>132417</v>
          </cell>
          <cell r="C8545" t="str">
            <v>Dhekelia Primary School</v>
          </cell>
          <cell r="D8545" t="str">
            <v>BFPO Overseas Establishments</v>
          </cell>
          <cell r="E8545" t="str">
            <v>Service Childrens Education</v>
          </cell>
          <cell r="F8545" t="str">
            <v>Not applicable</v>
          </cell>
        </row>
        <row r="8546">
          <cell r="A8546">
            <v>7052026</v>
          </cell>
          <cell r="B8546">
            <v>132442</v>
          </cell>
          <cell r="C8546" t="str">
            <v>Dhoon Primary School</v>
          </cell>
          <cell r="D8546" t="str">
            <v>Isle of Man Offshore Establishments</v>
          </cell>
          <cell r="E8546" t="str">
            <v>Offshore Schools</v>
          </cell>
          <cell r="F8546" t="str">
            <v>Not applicable</v>
          </cell>
        </row>
        <row r="8547">
          <cell r="A8547">
            <v>3562027</v>
          </cell>
          <cell r="B8547">
            <v>106043</v>
          </cell>
          <cell r="C8547" t="str">
            <v>Dial Park Primary School</v>
          </cell>
          <cell r="D8547" t="str">
            <v>Stockport</v>
          </cell>
          <cell r="E8547" t="str">
            <v>Community School</v>
          </cell>
          <cell r="F8547" t="str">
            <v>Primary</v>
          </cell>
        </row>
        <row r="8548">
          <cell r="A8548">
            <v>3306108</v>
          </cell>
          <cell r="B8548">
            <v>134391</v>
          </cell>
          <cell r="C8548" t="str">
            <v>Diamond Academy</v>
          </cell>
          <cell r="D8548" t="str">
            <v>Birmingham</v>
          </cell>
          <cell r="E8548" t="str">
            <v>Other Independent School</v>
          </cell>
          <cell r="F8548" t="str">
            <v>Not applicable</v>
          </cell>
        </row>
        <row r="8549">
          <cell r="A8549">
            <v>3942016</v>
          </cell>
          <cell r="B8549">
            <v>108760</v>
          </cell>
          <cell r="C8549" t="str">
            <v>Diamond Hall Infant School</v>
          </cell>
          <cell r="D8549" t="str">
            <v>Sunderland</v>
          </cell>
          <cell r="E8549" t="str">
            <v>Community School</v>
          </cell>
          <cell r="F8549" t="str">
            <v>Primary</v>
          </cell>
        </row>
        <row r="8550">
          <cell r="A8550">
            <v>3942015</v>
          </cell>
          <cell r="B8550">
            <v>108759</v>
          </cell>
          <cell r="C8550" t="str">
            <v>Diamond Hall Junior School</v>
          </cell>
          <cell r="D8550" t="str">
            <v>Sunderland</v>
          </cell>
          <cell r="E8550" t="str">
            <v>Community School</v>
          </cell>
          <cell r="F8550" t="str">
            <v>Primary</v>
          </cell>
        </row>
        <row r="8551">
          <cell r="A8551">
            <v>928943</v>
          </cell>
          <cell r="B8551">
            <v>134104</v>
          </cell>
          <cell r="C8551" t="str">
            <v>Diamonds Study Centre</v>
          </cell>
          <cell r="D8551" t="str">
            <v>Northamptonshire</v>
          </cell>
          <cell r="E8551" t="str">
            <v>Playing for Success Centres</v>
          </cell>
          <cell r="F8551" t="str">
            <v>Not applicable</v>
          </cell>
        </row>
        <row r="8552">
          <cell r="A8552">
            <v>2084258</v>
          </cell>
          <cell r="B8552">
            <v>126652</v>
          </cell>
          <cell r="C8552" t="str">
            <v>Dick Sheppard School</v>
          </cell>
          <cell r="D8552" t="str">
            <v>Lambeth</v>
          </cell>
          <cell r="E8552" t="str">
            <v>Community School</v>
          </cell>
          <cell r="F8552" t="str">
            <v>Secondary</v>
          </cell>
        </row>
        <row r="8553">
          <cell r="A8553">
            <v>3342098</v>
          </cell>
          <cell r="B8553">
            <v>133720</v>
          </cell>
          <cell r="C8553" t="str">
            <v>Dickens Heath Community Primary School</v>
          </cell>
          <cell r="D8553" t="str">
            <v>Solihull</v>
          </cell>
          <cell r="E8553" t="str">
            <v>Community School</v>
          </cell>
          <cell r="F8553" t="str">
            <v>Primary</v>
          </cell>
        </row>
        <row r="8554">
          <cell r="A8554">
            <v>9263125</v>
          </cell>
          <cell r="B8554">
            <v>121085</v>
          </cell>
          <cell r="C8554" t="str">
            <v>Dickleburgh Voluntary Controlled Primary School</v>
          </cell>
          <cell r="D8554" t="str">
            <v>Norfolk</v>
          </cell>
          <cell r="E8554" t="str">
            <v>Voluntary Controlled School</v>
          </cell>
          <cell r="F8554" t="str">
            <v>Primary</v>
          </cell>
        </row>
        <row r="8555">
          <cell r="A8555">
            <v>9162087</v>
          </cell>
          <cell r="B8555">
            <v>115537</v>
          </cell>
          <cell r="C8555" t="str">
            <v>Didbrook Primary School</v>
          </cell>
          <cell r="D8555" t="str">
            <v>Gloucestershire</v>
          </cell>
          <cell r="E8555" t="str">
            <v>Community School</v>
          </cell>
          <cell r="F8555" t="str">
            <v>Primary</v>
          </cell>
        </row>
        <row r="8556">
          <cell r="A8556">
            <v>9314139</v>
          </cell>
          <cell r="B8556">
            <v>123260</v>
          </cell>
          <cell r="C8556" t="str">
            <v>Didcot Girls' School</v>
          </cell>
          <cell r="D8556" t="str">
            <v>Oxfordshire</v>
          </cell>
          <cell r="E8556" t="str">
            <v>Community School</v>
          </cell>
          <cell r="F8556" t="str">
            <v>Secondary</v>
          </cell>
        </row>
        <row r="8557">
          <cell r="A8557">
            <v>9314900</v>
          </cell>
          <cell r="B8557">
            <v>132916</v>
          </cell>
          <cell r="C8557" t="str">
            <v>Didcot Sixth Form College</v>
          </cell>
          <cell r="D8557" t="str">
            <v>Oxfordshire</v>
          </cell>
          <cell r="E8557" t="str">
            <v>Sixth Form Centres</v>
          </cell>
          <cell r="F8557" t="str">
            <v>16 Plus</v>
          </cell>
        </row>
        <row r="8558">
          <cell r="A8558">
            <v>3523305</v>
          </cell>
          <cell r="B8558">
            <v>105506</v>
          </cell>
          <cell r="C8558" t="str">
            <v>Didsbury CofE Primary School</v>
          </cell>
          <cell r="D8558" t="str">
            <v>Manchester</v>
          </cell>
          <cell r="E8558" t="str">
            <v>Voluntary Aided School</v>
          </cell>
          <cell r="F8558" t="str">
            <v>Primary</v>
          </cell>
        </row>
        <row r="8559">
          <cell r="A8559">
            <v>3562028</v>
          </cell>
          <cell r="B8559">
            <v>127497</v>
          </cell>
          <cell r="C8559" t="str">
            <v>Didsbury Road Junior School</v>
          </cell>
          <cell r="D8559" t="str">
            <v>Stockport</v>
          </cell>
          <cell r="E8559" t="str">
            <v>Community School</v>
          </cell>
          <cell r="F8559" t="str">
            <v>Primary</v>
          </cell>
        </row>
        <row r="8560">
          <cell r="A8560">
            <v>3562112</v>
          </cell>
          <cell r="B8560">
            <v>106098</v>
          </cell>
          <cell r="C8560" t="str">
            <v>Didsbury Road Primary School</v>
          </cell>
          <cell r="D8560" t="str">
            <v>Stockport</v>
          </cell>
          <cell r="E8560" t="str">
            <v>Community School</v>
          </cell>
          <cell r="F8560" t="str">
            <v>Primary</v>
          </cell>
        </row>
        <row r="8561">
          <cell r="A8561">
            <v>9253018</v>
          </cell>
          <cell r="B8561">
            <v>120519</v>
          </cell>
          <cell r="C8561" t="str">
            <v>Digby Church of England School</v>
          </cell>
          <cell r="D8561" t="str">
            <v>Lincolnshire</v>
          </cell>
          <cell r="E8561" t="str">
            <v>Voluntary Controlled School</v>
          </cell>
          <cell r="F8561" t="str">
            <v>Primary</v>
          </cell>
        </row>
        <row r="8562">
          <cell r="A8562">
            <v>9252017</v>
          </cell>
          <cell r="B8562">
            <v>120375</v>
          </cell>
          <cell r="C8562" t="str">
            <v>Digby the Tedder Primary School</v>
          </cell>
          <cell r="D8562" t="str">
            <v>Lincolnshire</v>
          </cell>
          <cell r="E8562" t="str">
            <v>Community School</v>
          </cell>
          <cell r="F8562" t="str">
            <v>Primary</v>
          </cell>
        </row>
        <row r="8563">
          <cell r="A8563">
            <v>3532075</v>
          </cell>
          <cell r="B8563">
            <v>105665</v>
          </cell>
          <cell r="C8563" t="str">
            <v>Diggle School</v>
          </cell>
          <cell r="D8563" t="str">
            <v>Oldham</v>
          </cell>
          <cell r="E8563" t="str">
            <v>Community School</v>
          </cell>
          <cell r="F8563" t="str">
            <v>Primary</v>
          </cell>
        </row>
        <row r="8564">
          <cell r="A8564">
            <v>8603436</v>
          </cell>
          <cell r="B8564">
            <v>124336</v>
          </cell>
          <cell r="C8564" t="str">
            <v>Dilhorne Endowed CofE (VA) Primary School</v>
          </cell>
          <cell r="D8564" t="str">
            <v>Staffordshire</v>
          </cell>
          <cell r="E8564" t="str">
            <v>Voluntary Aided School</v>
          </cell>
          <cell r="F8564" t="str">
            <v>Primary</v>
          </cell>
        </row>
        <row r="8565">
          <cell r="A8565">
            <v>8832622</v>
          </cell>
          <cell r="B8565">
            <v>114920</v>
          </cell>
          <cell r="C8565" t="str">
            <v>Dilkes Primary School</v>
          </cell>
          <cell r="D8565" t="str">
            <v>Thurrock</v>
          </cell>
          <cell r="E8565" t="str">
            <v>Community School</v>
          </cell>
          <cell r="F8565" t="str">
            <v>Primary</v>
          </cell>
        </row>
        <row r="8566">
          <cell r="A8566">
            <v>9338290</v>
          </cell>
          <cell r="B8566">
            <v>133172</v>
          </cell>
          <cell r="C8566" t="str">
            <v>Dillington House</v>
          </cell>
          <cell r="D8566" t="str">
            <v>Somerset</v>
          </cell>
          <cell r="E8566" t="str">
            <v>Miscellaneous</v>
          </cell>
          <cell r="F8566" t="str">
            <v>Not applicable</v>
          </cell>
        </row>
        <row r="8567">
          <cell r="A8567">
            <v>9297904</v>
          </cell>
          <cell r="B8567">
            <v>131868</v>
          </cell>
          <cell r="C8567" t="str">
            <v>Dilston College of Further Education</v>
          </cell>
          <cell r="D8567" t="str">
            <v>Northumberland</v>
          </cell>
          <cell r="E8567" t="str">
            <v>Special College</v>
          </cell>
          <cell r="F8567" t="str">
            <v>16 Plus</v>
          </cell>
        </row>
        <row r="8568">
          <cell r="A8568">
            <v>8653207</v>
          </cell>
          <cell r="B8568">
            <v>126375</v>
          </cell>
          <cell r="C8568" t="str">
            <v>Dilton Marsh CofE Primary School</v>
          </cell>
          <cell r="D8568" t="str">
            <v>Wiltshire</v>
          </cell>
          <cell r="E8568" t="str">
            <v>Voluntary Controlled School</v>
          </cell>
          <cell r="F8568" t="str">
            <v>Primary</v>
          </cell>
        </row>
        <row r="8569">
          <cell r="A8569">
            <v>8843030</v>
          </cell>
          <cell r="B8569">
            <v>116803</v>
          </cell>
          <cell r="C8569" t="str">
            <v>Dilwyn CofE Primary School</v>
          </cell>
          <cell r="D8569" t="str">
            <v>Herefordshire</v>
          </cell>
          <cell r="E8569" t="str">
            <v>Voluntary Controlled School</v>
          </cell>
          <cell r="F8569" t="str">
            <v>Primary</v>
          </cell>
        </row>
        <row r="8570">
          <cell r="A8570">
            <v>3842091</v>
          </cell>
          <cell r="B8570">
            <v>108171</v>
          </cell>
          <cell r="C8570" t="str">
            <v>Dimple Well Infant School and Nursery</v>
          </cell>
          <cell r="D8570" t="str">
            <v>Wakefield</v>
          </cell>
          <cell r="E8570" t="str">
            <v>Foundation School</v>
          </cell>
          <cell r="F8570" t="str">
            <v>Primary</v>
          </cell>
        </row>
        <row r="8571">
          <cell r="A8571">
            <v>6742099</v>
          </cell>
          <cell r="B8571">
            <v>401162</v>
          </cell>
          <cell r="C8571" t="str">
            <v>Dinas  Junior School</v>
          </cell>
          <cell r="D8571" t="str">
            <v>Rhondda, Cynon, Taff</v>
          </cell>
          <cell r="E8571" t="str">
            <v>Welsh Establishment</v>
          </cell>
          <cell r="F8571" t="str">
            <v>Primary</v>
          </cell>
        </row>
        <row r="8572">
          <cell r="A8572">
            <v>6732116</v>
          </cell>
          <cell r="B8572">
            <v>401090</v>
          </cell>
          <cell r="C8572" t="str">
            <v>Dinas Powys  Infants</v>
          </cell>
          <cell r="D8572" t="str">
            <v>The Vale of Glamorgan</v>
          </cell>
          <cell r="E8572" t="str">
            <v>Welsh Establishment</v>
          </cell>
          <cell r="F8572" t="str">
            <v>Primary</v>
          </cell>
        </row>
        <row r="8573">
          <cell r="A8573">
            <v>8852163</v>
          </cell>
          <cell r="B8573">
            <v>116751</v>
          </cell>
          <cell r="C8573" t="str">
            <v>Dines Green Primary School</v>
          </cell>
          <cell r="D8573" t="str">
            <v>Worcestershire</v>
          </cell>
          <cell r="E8573" t="str">
            <v>Community School</v>
          </cell>
          <cell r="F8573" t="str">
            <v>Primary</v>
          </cell>
        </row>
        <row r="8574">
          <cell r="A8574">
            <v>3322152</v>
          </cell>
          <cell r="B8574">
            <v>103829</v>
          </cell>
          <cell r="C8574" t="str">
            <v>Dingle Community Primary School</v>
          </cell>
          <cell r="D8574" t="str">
            <v>Dudley</v>
          </cell>
          <cell r="E8574" t="str">
            <v>Community School</v>
          </cell>
          <cell r="F8574" t="str">
            <v>Primary</v>
          </cell>
        </row>
        <row r="8575">
          <cell r="A8575">
            <v>9162034</v>
          </cell>
          <cell r="B8575">
            <v>115499</v>
          </cell>
          <cell r="C8575" t="str">
            <v>Dinglewell Infant School</v>
          </cell>
          <cell r="D8575" t="str">
            <v>Gloucestershire</v>
          </cell>
          <cell r="E8575" t="str">
            <v>Community School</v>
          </cell>
          <cell r="F8575" t="str">
            <v>Primary</v>
          </cell>
        </row>
        <row r="8576">
          <cell r="A8576">
            <v>9162030</v>
          </cell>
          <cell r="B8576">
            <v>115495</v>
          </cell>
          <cell r="C8576" t="str">
            <v>Dinglewell Junior School</v>
          </cell>
          <cell r="D8576" t="str">
            <v>Gloucestershire</v>
          </cell>
          <cell r="E8576" t="str">
            <v>Community School</v>
          </cell>
          <cell r="F8576" t="str">
            <v>Primary</v>
          </cell>
        </row>
        <row r="8577">
          <cell r="A8577">
            <v>3722060</v>
          </cell>
          <cell r="B8577">
            <v>106867</v>
          </cell>
          <cell r="C8577" t="str">
            <v>Dinnington Community Primary School</v>
          </cell>
          <cell r="D8577" t="str">
            <v>Rotherham</v>
          </cell>
          <cell r="E8577" t="str">
            <v>Community School</v>
          </cell>
          <cell r="F8577" t="str">
            <v>Primary</v>
          </cell>
        </row>
        <row r="8578">
          <cell r="A8578">
            <v>3724022</v>
          </cell>
          <cell r="B8578">
            <v>106958</v>
          </cell>
          <cell r="C8578" t="str">
            <v>Dinnington Comprehensive Specialising in Science and Engineering</v>
          </cell>
          <cell r="D8578" t="str">
            <v>Rotherham</v>
          </cell>
          <cell r="E8578" t="str">
            <v>Community School</v>
          </cell>
          <cell r="F8578" t="str">
            <v>Secondary</v>
          </cell>
        </row>
        <row r="8579">
          <cell r="A8579">
            <v>3912000</v>
          </cell>
          <cell r="B8579">
            <v>108437</v>
          </cell>
          <cell r="C8579" t="str">
            <v>Dinnington First School</v>
          </cell>
          <cell r="D8579" t="str">
            <v>Newcastle upon Tyne</v>
          </cell>
          <cell r="E8579" t="str">
            <v>Community School</v>
          </cell>
          <cell r="F8579" t="str">
            <v>Primary</v>
          </cell>
        </row>
        <row r="8580">
          <cell r="A8580">
            <v>3722059</v>
          </cell>
          <cell r="B8580">
            <v>106866</v>
          </cell>
          <cell r="C8580" t="str">
            <v>Dinnington Junior School</v>
          </cell>
          <cell r="D8580" t="str">
            <v>Rotherham</v>
          </cell>
          <cell r="E8580" t="str">
            <v>Community School</v>
          </cell>
          <cell r="F8580" t="str">
            <v>Primary</v>
          </cell>
        </row>
        <row r="8581">
          <cell r="A8581">
            <v>8303319</v>
          </cell>
          <cell r="B8581">
            <v>112884</v>
          </cell>
          <cell r="C8581" t="str">
            <v>Dinting Church of England Voluntary Aided Primary School</v>
          </cell>
          <cell r="D8581" t="str">
            <v>Derbyshire</v>
          </cell>
          <cell r="E8581" t="str">
            <v>Voluntary Aided School</v>
          </cell>
          <cell r="F8581" t="str">
            <v>Primary</v>
          </cell>
        </row>
        <row r="8582">
          <cell r="A8582">
            <v>8653230</v>
          </cell>
          <cell r="B8582">
            <v>126383</v>
          </cell>
          <cell r="C8582" t="str">
            <v>Dinton CofE Primary School</v>
          </cell>
          <cell r="D8582" t="str">
            <v>Wiltshire</v>
          </cell>
          <cell r="E8582" t="str">
            <v>Voluntary Controlled School</v>
          </cell>
          <cell r="F8582" t="str">
            <v>Primary</v>
          </cell>
        </row>
        <row r="8583">
          <cell r="A8583">
            <v>8253310</v>
          </cell>
          <cell r="B8583">
            <v>110453</v>
          </cell>
          <cell r="C8583" t="str">
            <v>Dinton CofE School</v>
          </cell>
          <cell r="D8583" t="str">
            <v>Buckinghamshire</v>
          </cell>
          <cell r="E8583" t="str">
            <v>Voluntary Aided School</v>
          </cell>
          <cell r="F8583" t="str">
            <v>Primary</v>
          </cell>
        </row>
        <row r="8584">
          <cell r="A8584">
            <v>8863748</v>
          </cell>
          <cell r="B8584">
            <v>118776</v>
          </cell>
          <cell r="C8584" t="str">
            <v>Diocesan and Payne Smith Church of England Primary School</v>
          </cell>
          <cell r="D8584" t="str">
            <v>Kent</v>
          </cell>
          <cell r="E8584" t="str">
            <v>Voluntary Aided School</v>
          </cell>
          <cell r="F8584" t="str">
            <v>Primary</v>
          </cell>
        </row>
        <row r="8585">
          <cell r="A8585">
            <v>8783108</v>
          </cell>
          <cell r="B8585">
            <v>113395</v>
          </cell>
          <cell r="C8585" t="str">
            <v>Diptford Parochial Church of England Primary School</v>
          </cell>
          <cell r="D8585" t="str">
            <v>Devon</v>
          </cell>
          <cell r="E8585" t="str">
            <v>Voluntary Controlled School</v>
          </cell>
          <cell r="F8585" t="str">
            <v>Primary</v>
          </cell>
        </row>
        <row r="8586">
          <cell r="A8586">
            <v>8611109</v>
          </cell>
          <cell r="B8586">
            <v>132999</v>
          </cell>
          <cell r="C8586" t="str">
            <v>Disaffected Pupils Project</v>
          </cell>
          <cell r="D8586" t="str">
            <v>Stoke-on-Trent</v>
          </cell>
          <cell r="E8586" t="str">
            <v>Pupil Referral Unit</v>
          </cell>
          <cell r="F8586" t="str">
            <v>PRU</v>
          </cell>
        </row>
        <row r="8587">
          <cell r="A8587">
            <v>8614714</v>
          </cell>
          <cell r="B8587">
            <v>136681</v>
          </cell>
          <cell r="C8587" t="str">
            <v>Discovery Academy</v>
          </cell>
          <cell r="D8587" t="str">
            <v>Stoke-on-Trent</v>
          </cell>
          <cell r="E8587" t="str">
            <v>Academy Sponsor Led</v>
          </cell>
          <cell r="F8587" t="str">
            <v>Secondary</v>
          </cell>
        </row>
        <row r="8588">
          <cell r="A8588">
            <v>3021103</v>
          </cell>
          <cell r="B8588">
            <v>134676</v>
          </cell>
          <cell r="C8588" t="str">
            <v>Discovery Bay Classroom at Barnet General Hospital Co Specialist Team, Standards and Inclusion</v>
          </cell>
          <cell r="D8588" t="str">
            <v>Barnet</v>
          </cell>
          <cell r="E8588" t="str">
            <v>Pupil Referral Unit</v>
          </cell>
          <cell r="F8588" t="str">
            <v>PRU</v>
          </cell>
        </row>
        <row r="8589">
          <cell r="A8589">
            <v>9382002</v>
          </cell>
          <cell r="B8589">
            <v>137326</v>
          </cell>
          <cell r="C8589" t="str">
            <v>Discovery New School</v>
          </cell>
          <cell r="D8589" t="str">
            <v>West Sussex</v>
          </cell>
          <cell r="E8589" t="str">
            <v>Academy Free Schools</v>
          </cell>
          <cell r="F8589" t="str">
            <v>Primary</v>
          </cell>
        </row>
        <row r="8590">
          <cell r="A8590">
            <v>2033670</v>
          </cell>
          <cell r="B8590">
            <v>131109</v>
          </cell>
          <cell r="C8590" t="str">
            <v>Discovery Primary School</v>
          </cell>
          <cell r="D8590" t="str">
            <v>Greenwich</v>
          </cell>
          <cell r="E8590" t="str">
            <v>Community School</v>
          </cell>
          <cell r="F8590" t="str">
            <v>Primary</v>
          </cell>
        </row>
        <row r="8591">
          <cell r="A8591">
            <v>8743385</v>
          </cell>
          <cell r="B8591">
            <v>135196</v>
          </cell>
          <cell r="C8591" t="str">
            <v>Discovery Primary School</v>
          </cell>
          <cell r="D8591" t="str">
            <v>Peterborough</v>
          </cell>
          <cell r="E8591" t="str">
            <v>Community School</v>
          </cell>
          <cell r="F8591" t="str">
            <v>Primary</v>
          </cell>
        </row>
        <row r="8592">
          <cell r="A8592">
            <v>8553029</v>
          </cell>
          <cell r="B8592">
            <v>120127</v>
          </cell>
          <cell r="C8592" t="str">
            <v>Diseworth Church of England Primary School</v>
          </cell>
          <cell r="D8592" t="str">
            <v>Leicestershire</v>
          </cell>
          <cell r="E8592" t="str">
            <v>Voluntary Controlled School</v>
          </cell>
          <cell r="F8592" t="str">
            <v>Primary</v>
          </cell>
        </row>
        <row r="8593">
          <cell r="A8593">
            <v>8152165</v>
          </cell>
          <cell r="B8593">
            <v>121332</v>
          </cell>
          <cell r="C8593" t="str">
            <v>Dishforth Airfield Community Primary School</v>
          </cell>
          <cell r="D8593" t="str">
            <v>North Yorkshire</v>
          </cell>
          <cell r="E8593" t="str">
            <v>Community School</v>
          </cell>
          <cell r="F8593" t="str">
            <v>Primary</v>
          </cell>
        </row>
        <row r="8594">
          <cell r="A8594">
            <v>8153027</v>
          </cell>
          <cell r="B8594">
            <v>121487</v>
          </cell>
          <cell r="C8594" t="str">
            <v>Dishforth Church of England Voluntary Controlled Primary School</v>
          </cell>
          <cell r="D8594" t="str">
            <v>North Yorkshire</v>
          </cell>
          <cell r="E8594" t="str">
            <v>Voluntary Controlled School</v>
          </cell>
          <cell r="F8594" t="str">
            <v>Primary</v>
          </cell>
        </row>
        <row r="8595">
          <cell r="A8595">
            <v>8952139</v>
          </cell>
          <cell r="B8595">
            <v>111015</v>
          </cell>
          <cell r="C8595" t="str">
            <v>Disley Primary School</v>
          </cell>
          <cell r="D8595" t="str">
            <v>Cheshire East</v>
          </cell>
          <cell r="E8595" t="str">
            <v>Community School</v>
          </cell>
          <cell r="F8595" t="str">
            <v>Primary</v>
          </cell>
        </row>
        <row r="8596">
          <cell r="A8596">
            <v>9263021</v>
          </cell>
          <cell r="B8596">
            <v>121032</v>
          </cell>
          <cell r="C8596" t="str">
            <v>Diss Church Junior School</v>
          </cell>
          <cell r="D8596" t="str">
            <v>Norfolk</v>
          </cell>
          <cell r="E8596" t="str">
            <v>Voluntary Controlled School</v>
          </cell>
          <cell r="F8596" t="str">
            <v>Primary</v>
          </cell>
        </row>
        <row r="8597">
          <cell r="A8597">
            <v>9264089</v>
          </cell>
          <cell r="B8597">
            <v>121184</v>
          </cell>
          <cell r="C8597" t="str">
            <v>Diss High School</v>
          </cell>
          <cell r="D8597" t="str">
            <v>Norfolk</v>
          </cell>
          <cell r="E8597" t="str">
            <v>Community School</v>
          </cell>
          <cell r="F8597" t="str">
            <v>Secondary</v>
          </cell>
        </row>
        <row r="8598">
          <cell r="A8598">
            <v>9264089</v>
          </cell>
          <cell r="B8598">
            <v>137092</v>
          </cell>
          <cell r="C8598" t="str">
            <v>Diss High School</v>
          </cell>
          <cell r="D8598" t="str">
            <v>Norfolk</v>
          </cell>
          <cell r="E8598" t="str">
            <v>Academy Converters</v>
          </cell>
          <cell r="F8598" t="str">
            <v>Secondary</v>
          </cell>
        </row>
        <row r="8599">
          <cell r="A8599">
            <v>9262049</v>
          </cell>
          <cell r="B8599">
            <v>120803</v>
          </cell>
          <cell r="C8599" t="str">
            <v>Diss Infant and Nursery School with Children's Centre</v>
          </cell>
          <cell r="D8599" t="str">
            <v>Norfolk</v>
          </cell>
          <cell r="E8599" t="str">
            <v>Community School</v>
          </cell>
          <cell r="F8599" t="str">
            <v>Primary</v>
          </cell>
        </row>
        <row r="8600">
          <cell r="A8600">
            <v>9092718</v>
          </cell>
          <cell r="B8600">
            <v>133264</v>
          </cell>
          <cell r="C8600" t="str">
            <v>Distington Community School</v>
          </cell>
          <cell r="D8600" t="str">
            <v>Cumbria</v>
          </cell>
          <cell r="E8600" t="str">
            <v>Community School</v>
          </cell>
          <cell r="F8600" t="str">
            <v>Primary</v>
          </cell>
        </row>
        <row r="8601">
          <cell r="A8601">
            <v>9092204</v>
          </cell>
          <cell r="B8601">
            <v>112153</v>
          </cell>
          <cell r="C8601" t="str">
            <v>Distington Infant School</v>
          </cell>
          <cell r="D8601" t="str">
            <v>Cumbria</v>
          </cell>
          <cell r="E8601" t="str">
            <v>Community School</v>
          </cell>
          <cell r="F8601" t="str">
            <v>Primary</v>
          </cell>
        </row>
        <row r="8602">
          <cell r="A8602">
            <v>9092203</v>
          </cell>
          <cell r="B8602">
            <v>112152</v>
          </cell>
          <cell r="C8602" t="str">
            <v>Distington Junior School</v>
          </cell>
          <cell r="D8602" t="str">
            <v>Cumbria</v>
          </cell>
          <cell r="E8602" t="str">
            <v>Community School</v>
          </cell>
          <cell r="F8602" t="str">
            <v>Primary</v>
          </cell>
        </row>
        <row r="8603">
          <cell r="A8603">
            <v>3423102</v>
          </cell>
          <cell r="B8603">
            <v>127342</v>
          </cell>
          <cell r="C8603" t="str">
            <v>District CofE Infant School</v>
          </cell>
          <cell r="D8603" t="str">
            <v>St. Helens</v>
          </cell>
          <cell r="E8603" t="str">
            <v>Voluntary Controlled School</v>
          </cell>
          <cell r="F8603" t="str">
            <v>Primary</v>
          </cell>
        </row>
        <row r="8604">
          <cell r="A8604">
            <v>8506049</v>
          </cell>
          <cell r="B8604">
            <v>116575</v>
          </cell>
          <cell r="C8604" t="str">
            <v>Ditcham Park School</v>
          </cell>
          <cell r="D8604" t="str">
            <v>Hampshire</v>
          </cell>
          <cell r="E8604" t="str">
            <v>Other Independent School</v>
          </cell>
          <cell r="F8604" t="str">
            <v>Not applicable</v>
          </cell>
        </row>
        <row r="8605">
          <cell r="A8605">
            <v>9332020</v>
          </cell>
          <cell r="B8605">
            <v>123642</v>
          </cell>
          <cell r="C8605" t="str">
            <v>Ditcheat Primary School</v>
          </cell>
          <cell r="D8605" t="str">
            <v>Somerset</v>
          </cell>
          <cell r="E8605" t="str">
            <v>Community School</v>
          </cell>
          <cell r="F8605" t="str">
            <v>Primary</v>
          </cell>
        </row>
        <row r="8606">
          <cell r="A8606">
            <v>9263022</v>
          </cell>
          <cell r="B8606">
            <v>121033</v>
          </cell>
          <cell r="C8606" t="str">
            <v>Ditchingham Church of England Primary School</v>
          </cell>
          <cell r="D8606" t="str">
            <v>Norfolk</v>
          </cell>
          <cell r="E8606" t="str">
            <v>Voluntary Controlled School</v>
          </cell>
          <cell r="F8606" t="str">
            <v>Primary</v>
          </cell>
        </row>
        <row r="8607">
          <cell r="A8607">
            <v>8453019</v>
          </cell>
          <cell r="B8607">
            <v>114500</v>
          </cell>
          <cell r="C8607" t="str">
            <v>Ditchling (St Margaret's) Church of England Primary School</v>
          </cell>
          <cell r="D8607" t="str">
            <v>East Sussex</v>
          </cell>
          <cell r="E8607" t="str">
            <v>Voluntary Controlled School</v>
          </cell>
          <cell r="F8607" t="str">
            <v>Primary</v>
          </cell>
        </row>
        <row r="8608">
          <cell r="A8608">
            <v>8865208</v>
          </cell>
          <cell r="B8608">
            <v>118854</v>
          </cell>
          <cell r="C8608" t="str">
            <v>Ditton Church of England Junior School</v>
          </cell>
          <cell r="D8608" t="str">
            <v>Kent</v>
          </cell>
          <cell r="E8608" t="str">
            <v>Voluntary Aided School</v>
          </cell>
          <cell r="F8608" t="str">
            <v>Primary</v>
          </cell>
        </row>
        <row r="8609">
          <cell r="A8609">
            <v>9063604</v>
          </cell>
          <cell r="B8609">
            <v>128454</v>
          </cell>
          <cell r="C8609" t="str">
            <v>Ditton CofE Primary School</v>
          </cell>
          <cell r="D8609" t="str">
            <v>Pre LGR (1998) Cheshire</v>
          </cell>
          <cell r="E8609" t="str">
            <v>Voluntary Aided School</v>
          </cell>
          <cell r="F8609" t="str">
            <v>Primary</v>
          </cell>
        </row>
        <row r="8610">
          <cell r="A8610">
            <v>8865212</v>
          </cell>
          <cell r="B8610">
            <v>118858</v>
          </cell>
          <cell r="C8610" t="str">
            <v>Ditton Infant School</v>
          </cell>
          <cell r="D8610" t="str">
            <v>Kent</v>
          </cell>
          <cell r="E8610" t="str">
            <v>Foundation School</v>
          </cell>
          <cell r="F8610" t="str">
            <v>Primary</v>
          </cell>
        </row>
        <row r="8611">
          <cell r="A8611">
            <v>8732057</v>
          </cell>
          <cell r="B8611">
            <v>110624</v>
          </cell>
          <cell r="C8611" t="str">
            <v>Ditton Lodge Community Primary School</v>
          </cell>
          <cell r="D8611" t="str">
            <v>Cambridgeshire</v>
          </cell>
          <cell r="E8611" t="str">
            <v>Community School</v>
          </cell>
          <cell r="F8611" t="str">
            <v>Primary</v>
          </cell>
        </row>
        <row r="8612">
          <cell r="A8612">
            <v>8761005</v>
          </cell>
          <cell r="B8612">
            <v>110957</v>
          </cell>
          <cell r="C8612" t="str">
            <v>Ditton Nursery School</v>
          </cell>
          <cell r="D8612" t="str">
            <v>Halton</v>
          </cell>
          <cell r="E8612" t="str">
            <v>LA Nursery School</v>
          </cell>
          <cell r="F8612" t="str">
            <v>Nursery</v>
          </cell>
        </row>
        <row r="8613">
          <cell r="A8613">
            <v>8762406</v>
          </cell>
          <cell r="B8613">
            <v>111183</v>
          </cell>
          <cell r="C8613" t="str">
            <v>Ditton Primary School</v>
          </cell>
          <cell r="D8613" t="str">
            <v>Halton</v>
          </cell>
          <cell r="E8613" t="str">
            <v>Community School</v>
          </cell>
          <cell r="F8613" t="str">
            <v>Primary</v>
          </cell>
        </row>
        <row r="8614">
          <cell r="A8614">
            <v>9323034</v>
          </cell>
          <cell r="B8614">
            <v>129796</v>
          </cell>
          <cell r="C8614" t="str">
            <v>Ditton Priors CofE Primary School</v>
          </cell>
          <cell r="D8614" t="str">
            <v>Pre LGR (1998) Shropshire</v>
          </cell>
          <cell r="E8614" t="str">
            <v>Voluntary Controlled School</v>
          </cell>
          <cell r="F8614" t="str">
            <v>Primary</v>
          </cell>
        </row>
        <row r="8615">
          <cell r="A8615">
            <v>9193410</v>
          </cell>
          <cell r="B8615">
            <v>117485</v>
          </cell>
          <cell r="C8615" t="str">
            <v>Divine Saviour Roman Catholic Primary School</v>
          </cell>
          <cell r="D8615" t="str">
            <v>Hertfordshire</v>
          </cell>
          <cell r="E8615" t="str">
            <v>Voluntary Aided School</v>
          </cell>
          <cell r="F8615" t="str">
            <v>Primary</v>
          </cell>
        </row>
        <row r="8616">
          <cell r="A8616">
            <v>8556004</v>
          </cell>
          <cell r="B8616">
            <v>120339</v>
          </cell>
          <cell r="C8616" t="str">
            <v>Dixie Grammar School</v>
          </cell>
          <cell r="D8616" t="str">
            <v>Leicestershire</v>
          </cell>
          <cell r="E8616" t="str">
            <v>Other Independent School</v>
          </cell>
          <cell r="F8616" t="str">
            <v>Not applicable</v>
          </cell>
        </row>
        <row r="8617">
          <cell r="A8617">
            <v>3806908</v>
          </cell>
          <cell r="B8617">
            <v>135866</v>
          </cell>
          <cell r="C8617" t="str">
            <v>Dixons Allerton Academy</v>
          </cell>
          <cell r="D8617" t="str">
            <v>Bradford</v>
          </cell>
          <cell r="E8617" t="str">
            <v>Academy Sponsor Led</v>
          </cell>
          <cell r="F8617" t="str">
            <v>Secondary</v>
          </cell>
        </row>
        <row r="8618">
          <cell r="A8618">
            <v>3806905</v>
          </cell>
          <cell r="B8618">
            <v>130909</v>
          </cell>
          <cell r="C8618" t="str">
            <v>Dixons City Academy</v>
          </cell>
          <cell r="D8618" t="str">
            <v>Bradford</v>
          </cell>
          <cell r="E8618" t="str">
            <v>Academy Sponsor Led</v>
          </cell>
          <cell r="F8618" t="str">
            <v>Secondary</v>
          </cell>
        </row>
        <row r="8619">
          <cell r="A8619">
            <v>3806900</v>
          </cell>
          <cell r="B8619">
            <v>107462</v>
          </cell>
          <cell r="C8619" t="str">
            <v>Dixons City Technology College</v>
          </cell>
          <cell r="D8619" t="str">
            <v>Bradford</v>
          </cell>
          <cell r="E8619" t="str">
            <v>City Technology College</v>
          </cell>
          <cell r="F8619" t="str">
            <v>Not applicable</v>
          </cell>
        </row>
        <row r="8620">
          <cell r="A8620">
            <v>8926905</v>
          </cell>
          <cell r="B8620">
            <v>134253</v>
          </cell>
          <cell r="C8620" t="str">
            <v>Djanogly City Academy Nottingham</v>
          </cell>
          <cell r="D8620" t="str">
            <v>Nottingham</v>
          </cell>
          <cell r="E8620" t="str">
            <v>Academy Sponsor Led</v>
          </cell>
          <cell r="F8620" t="str">
            <v>Secondary</v>
          </cell>
        </row>
        <row r="8621">
          <cell r="A8621">
            <v>8926900</v>
          </cell>
          <cell r="B8621">
            <v>122946</v>
          </cell>
          <cell r="C8621" t="str">
            <v>Djanogly City Technology College</v>
          </cell>
          <cell r="D8621" t="str">
            <v>Nottingham</v>
          </cell>
          <cell r="E8621" t="str">
            <v>City Technology College</v>
          </cell>
          <cell r="F8621" t="str">
            <v>Not applicable</v>
          </cell>
        </row>
        <row r="8622">
          <cell r="A8622">
            <v>3732283</v>
          </cell>
          <cell r="B8622">
            <v>107048</v>
          </cell>
          <cell r="C8622" t="str">
            <v>Dobcroft Infant School</v>
          </cell>
          <cell r="D8622" t="str">
            <v>Sheffield</v>
          </cell>
          <cell r="E8622" t="str">
            <v>Community School</v>
          </cell>
          <cell r="F8622" t="str">
            <v>Primary</v>
          </cell>
        </row>
        <row r="8623">
          <cell r="A8623">
            <v>3732239</v>
          </cell>
          <cell r="B8623">
            <v>107035</v>
          </cell>
          <cell r="C8623" t="str">
            <v>Dobcroft Junior School</v>
          </cell>
          <cell r="D8623" t="str">
            <v>Sheffield</v>
          </cell>
          <cell r="E8623" t="str">
            <v>Community School</v>
          </cell>
          <cell r="F8623" t="str">
            <v>Primary</v>
          </cell>
        </row>
        <row r="8624">
          <cell r="A8624">
            <v>9082710</v>
          </cell>
          <cell r="B8624">
            <v>111957</v>
          </cell>
          <cell r="C8624" t="str">
            <v>Dobwalls Community Primary School</v>
          </cell>
          <cell r="D8624" t="str">
            <v>Cornwall</v>
          </cell>
          <cell r="E8624" t="str">
            <v>Community School</v>
          </cell>
          <cell r="F8624" t="str">
            <v>Primary</v>
          </cell>
        </row>
        <row r="8625">
          <cell r="A8625">
            <v>9265217</v>
          </cell>
          <cell r="B8625">
            <v>121207</v>
          </cell>
          <cell r="C8625" t="str">
            <v>Docking Primary School</v>
          </cell>
          <cell r="D8625" t="str">
            <v>Norfolk</v>
          </cell>
          <cell r="E8625" t="str">
            <v>Foundation School</v>
          </cell>
          <cell r="F8625" t="str">
            <v>Primary</v>
          </cell>
        </row>
        <row r="8626">
          <cell r="A8626">
            <v>2116002</v>
          </cell>
          <cell r="B8626">
            <v>137508</v>
          </cell>
          <cell r="C8626" t="str">
            <v>Docklands Pre-Preparatory School</v>
          </cell>
          <cell r="D8626" t="str">
            <v>Tower Hamlets</v>
          </cell>
          <cell r="E8626" t="str">
            <v>Other Independent School</v>
          </cell>
          <cell r="F8626" t="str">
            <v>Not applicable</v>
          </cell>
        </row>
        <row r="8627">
          <cell r="A8627">
            <v>8856016</v>
          </cell>
          <cell r="B8627">
            <v>117022</v>
          </cell>
          <cell r="C8627" t="str">
            <v>Dodderhill School</v>
          </cell>
          <cell r="D8627" t="str">
            <v>Worcestershire</v>
          </cell>
          <cell r="E8627" t="str">
            <v>Other Independent School</v>
          </cell>
          <cell r="F8627" t="str">
            <v>Not applicable</v>
          </cell>
        </row>
        <row r="8628">
          <cell r="A8628">
            <v>8813237</v>
          </cell>
          <cell r="B8628">
            <v>115124</v>
          </cell>
          <cell r="C8628" t="str">
            <v>Doddinghurst Church of England Voluntary Controlled Junior School</v>
          </cell>
          <cell r="D8628" t="str">
            <v>Essex</v>
          </cell>
          <cell r="E8628" t="str">
            <v>Voluntary Controlled School</v>
          </cell>
          <cell r="F8628" t="str">
            <v>Primary</v>
          </cell>
        </row>
        <row r="8629">
          <cell r="A8629">
            <v>8812729</v>
          </cell>
          <cell r="B8629">
            <v>114969</v>
          </cell>
          <cell r="C8629" t="str">
            <v>Doddinghurst Infant School</v>
          </cell>
          <cell r="D8629" t="str">
            <v>Essex</v>
          </cell>
          <cell r="E8629" t="str">
            <v>Community School</v>
          </cell>
          <cell r="F8629" t="str">
            <v>Primary</v>
          </cell>
        </row>
        <row r="8630">
          <cell r="A8630">
            <v>8862224</v>
          </cell>
          <cell r="B8630">
            <v>118334</v>
          </cell>
          <cell r="C8630" t="str">
            <v>Doddington Primary School</v>
          </cell>
          <cell r="D8630" t="str">
            <v>Kent</v>
          </cell>
          <cell r="E8630" t="str">
            <v>Community School</v>
          </cell>
          <cell r="F8630" t="str">
            <v>Primary</v>
          </cell>
        </row>
        <row r="8631">
          <cell r="A8631">
            <v>8782417</v>
          </cell>
          <cell r="B8631">
            <v>113198</v>
          </cell>
          <cell r="C8631" t="str">
            <v>Doddiscombsleigh Community School</v>
          </cell>
          <cell r="D8631" t="str">
            <v>Devon</v>
          </cell>
          <cell r="E8631" t="str">
            <v>Community School</v>
          </cell>
          <cell r="F8631" t="str">
            <v>Primary</v>
          </cell>
        </row>
        <row r="8632">
          <cell r="A8632">
            <v>8852034</v>
          </cell>
          <cell r="B8632">
            <v>116670</v>
          </cell>
          <cell r="C8632" t="str">
            <v>Dodford First School</v>
          </cell>
          <cell r="D8632" t="str">
            <v>Worcestershire</v>
          </cell>
          <cell r="E8632" t="str">
            <v>Community School</v>
          </cell>
          <cell r="F8632" t="str">
            <v>Primary</v>
          </cell>
        </row>
        <row r="8633">
          <cell r="A8633">
            <v>8963151</v>
          </cell>
          <cell r="B8633">
            <v>111272</v>
          </cell>
          <cell r="C8633" t="str">
            <v>Dodleston CofE Primary School</v>
          </cell>
          <cell r="D8633" t="str">
            <v>Cheshire West and Chester</v>
          </cell>
          <cell r="E8633" t="str">
            <v>Voluntary Controlled School</v>
          </cell>
          <cell r="F8633" t="str">
            <v>Primary</v>
          </cell>
        </row>
        <row r="8634">
          <cell r="A8634">
            <v>8412653</v>
          </cell>
          <cell r="B8634">
            <v>114170</v>
          </cell>
          <cell r="C8634" t="str">
            <v>Dodmire Infants' School</v>
          </cell>
          <cell r="D8634" t="str">
            <v>Darlington</v>
          </cell>
          <cell r="E8634" t="str">
            <v>Community School</v>
          </cell>
          <cell r="F8634" t="str">
            <v>Primary</v>
          </cell>
        </row>
        <row r="8635">
          <cell r="A8635">
            <v>8412652</v>
          </cell>
          <cell r="B8635">
            <v>114169</v>
          </cell>
          <cell r="C8635" t="str">
            <v>Dodmire Junior School</v>
          </cell>
          <cell r="D8635" t="str">
            <v>Darlington</v>
          </cell>
          <cell r="E8635" t="str">
            <v>Community School</v>
          </cell>
          <cell r="F8635" t="str">
            <v>Primary</v>
          </cell>
        </row>
        <row r="8636">
          <cell r="A8636">
            <v>8412004</v>
          </cell>
          <cell r="B8636">
            <v>135741</v>
          </cell>
          <cell r="C8636" t="str">
            <v>Dodmire School</v>
          </cell>
          <cell r="D8636" t="str">
            <v>Darlington</v>
          </cell>
          <cell r="E8636" t="str">
            <v>Community School</v>
          </cell>
          <cell r="F8636" t="str">
            <v>Primary</v>
          </cell>
        </row>
        <row r="8637">
          <cell r="A8637">
            <v>3703310</v>
          </cell>
          <cell r="B8637">
            <v>106634</v>
          </cell>
          <cell r="C8637" t="str">
            <v>Dodworth Church of England Voluntary Aided Infant School</v>
          </cell>
          <cell r="D8637" t="str">
            <v>Barnsley</v>
          </cell>
          <cell r="E8637" t="str">
            <v>Voluntary Aided School</v>
          </cell>
          <cell r="F8637" t="str">
            <v>Primary</v>
          </cell>
        </row>
        <row r="8638">
          <cell r="A8638">
            <v>3702103</v>
          </cell>
          <cell r="B8638">
            <v>106601</v>
          </cell>
          <cell r="C8638" t="str">
            <v>Dodworth Junior School</v>
          </cell>
          <cell r="D8638" t="str">
            <v>Barnsley</v>
          </cell>
          <cell r="E8638" t="str">
            <v>Community School</v>
          </cell>
          <cell r="F8638" t="str">
            <v>Primary</v>
          </cell>
        </row>
        <row r="8639">
          <cell r="A8639">
            <v>3702145</v>
          </cell>
          <cell r="B8639">
            <v>132753</v>
          </cell>
          <cell r="C8639" t="str">
            <v>Dodworth St John the Baptist CofE (VA) Primary School</v>
          </cell>
          <cell r="D8639" t="str">
            <v>Barnsley</v>
          </cell>
          <cell r="E8639" t="str">
            <v>Voluntary Aided School</v>
          </cell>
          <cell r="F8639" t="str">
            <v>Primary</v>
          </cell>
        </row>
        <row r="8640">
          <cell r="A8640">
            <v>3352223</v>
          </cell>
          <cell r="B8640">
            <v>127195</v>
          </cell>
          <cell r="C8640" t="str">
            <v>Doe Bank Junior Mixed and Infant School</v>
          </cell>
          <cell r="D8640" t="str">
            <v>Walsall</v>
          </cell>
          <cell r="E8640" t="str">
            <v>Community School</v>
          </cell>
          <cell r="F8640" t="str">
            <v>Primary</v>
          </cell>
        </row>
        <row r="8641">
          <cell r="A8641">
            <v>2102161</v>
          </cell>
          <cell r="B8641">
            <v>100786</v>
          </cell>
          <cell r="C8641" t="str">
            <v>Dog Kennel Hill School</v>
          </cell>
          <cell r="D8641" t="str">
            <v>Southwark</v>
          </cell>
          <cell r="E8641" t="str">
            <v>Community School</v>
          </cell>
          <cell r="F8641" t="str">
            <v>Primary</v>
          </cell>
        </row>
        <row r="8642">
          <cell r="A8642">
            <v>8503321</v>
          </cell>
          <cell r="B8642">
            <v>116355</v>
          </cell>
          <cell r="C8642" t="str">
            <v>Dogmersfield Church of England Primary School</v>
          </cell>
          <cell r="D8642" t="str">
            <v>Hampshire</v>
          </cell>
          <cell r="E8642" t="str">
            <v>Voluntary Aided School</v>
          </cell>
          <cell r="F8642" t="str">
            <v>Primary</v>
          </cell>
        </row>
        <row r="8643">
          <cell r="A8643">
            <v>8742264</v>
          </cell>
          <cell r="B8643">
            <v>110719</v>
          </cell>
          <cell r="C8643" t="str">
            <v>Dogsthorpe Infant School</v>
          </cell>
          <cell r="D8643" t="str">
            <v>Peterborough</v>
          </cell>
          <cell r="E8643" t="str">
            <v>Community School</v>
          </cell>
          <cell r="F8643" t="str">
            <v>Primary</v>
          </cell>
        </row>
        <row r="8644">
          <cell r="A8644">
            <v>8742263</v>
          </cell>
          <cell r="B8644">
            <v>110718</v>
          </cell>
          <cell r="C8644" t="str">
            <v>Dogsthorpe Junior School</v>
          </cell>
          <cell r="D8644" t="str">
            <v>Peterborough</v>
          </cell>
          <cell r="E8644" t="str">
            <v>Community School</v>
          </cell>
          <cell r="F8644" t="str">
            <v>Primary</v>
          </cell>
        </row>
        <row r="8645">
          <cell r="A8645">
            <v>6742083</v>
          </cell>
          <cell r="B8645">
            <v>401152</v>
          </cell>
          <cell r="C8645" t="str">
            <v>Dolau Primary</v>
          </cell>
          <cell r="D8645" t="str">
            <v>Rhondda, Cynon, Taff</v>
          </cell>
          <cell r="E8645" t="str">
            <v>Welsh Establishment</v>
          </cell>
          <cell r="F8645" t="str">
            <v>Primary</v>
          </cell>
        </row>
        <row r="8646">
          <cell r="A8646">
            <v>6662016</v>
          </cell>
          <cell r="B8646">
            <v>400471</v>
          </cell>
          <cell r="C8646" t="str">
            <v>Dolfor C.P. School</v>
          </cell>
          <cell r="D8646" t="str">
            <v>Powys</v>
          </cell>
          <cell r="E8646" t="str">
            <v>Welsh Establishment</v>
          </cell>
          <cell r="F8646" t="str">
            <v>Primary</v>
          </cell>
        </row>
        <row r="8647">
          <cell r="A8647">
            <v>3022021</v>
          </cell>
          <cell r="B8647">
            <v>101275</v>
          </cell>
          <cell r="C8647" t="str">
            <v>Dollis Infant School</v>
          </cell>
          <cell r="D8647" t="str">
            <v>Barnet</v>
          </cell>
          <cell r="E8647" t="str">
            <v>Community School</v>
          </cell>
          <cell r="F8647" t="str">
            <v>Primary</v>
          </cell>
        </row>
        <row r="8648">
          <cell r="A8648">
            <v>3025200</v>
          </cell>
          <cell r="B8648">
            <v>101355</v>
          </cell>
          <cell r="C8648" t="str">
            <v>Dollis Junior School</v>
          </cell>
          <cell r="D8648" t="str">
            <v>Barnet</v>
          </cell>
          <cell r="E8648" t="str">
            <v>Foundation School</v>
          </cell>
          <cell r="F8648" t="str">
            <v>Primary</v>
          </cell>
        </row>
        <row r="8649">
          <cell r="A8649">
            <v>8726010</v>
          </cell>
          <cell r="B8649">
            <v>110163</v>
          </cell>
          <cell r="C8649" t="str">
            <v>Dolphin School</v>
          </cell>
          <cell r="D8649" t="str">
            <v>Wokingham</v>
          </cell>
          <cell r="E8649" t="str">
            <v>Other Independent School</v>
          </cell>
          <cell r="F8649" t="str">
            <v>Not applicable</v>
          </cell>
        </row>
        <row r="8650">
          <cell r="A8650">
            <v>2076361</v>
          </cell>
          <cell r="B8650">
            <v>126646</v>
          </cell>
          <cell r="C8650" t="str">
            <v>Dolphin School</v>
          </cell>
          <cell r="D8650" t="str">
            <v>Kensington and Chelsea</v>
          </cell>
          <cell r="E8650" t="str">
            <v>Other Independent School</v>
          </cell>
          <cell r="F8650" t="str">
            <v>Not applicable</v>
          </cell>
        </row>
        <row r="8651">
          <cell r="A8651">
            <v>2126387</v>
          </cell>
          <cell r="B8651">
            <v>101084</v>
          </cell>
          <cell r="C8651" t="str">
            <v>Dolphin School (Incorporating Noahs Ark Nursery Schools)</v>
          </cell>
          <cell r="D8651" t="str">
            <v>Wandsworth</v>
          </cell>
          <cell r="E8651" t="str">
            <v>Other Independent School</v>
          </cell>
          <cell r="F8651" t="str">
            <v>Not applicable</v>
          </cell>
        </row>
        <row r="8652">
          <cell r="A8652">
            <v>2086391</v>
          </cell>
          <cell r="B8652">
            <v>131264</v>
          </cell>
          <cell r="C8652" t="str">
            <v>Dolphin School 2</v>
          </cell>
          <cell r="D8652" t="str">
            <v>Lambeth</v>
          </cell>
          <cell r="E8652" t="str">
            <v>Other Independent School</v>
          </cell>
          <cell r="F8652" t="str">
            <v>Not applicable</v>
          </cell>
        </row>
        <row r="8653">
          <cell r="A8653">
            <v>8883524</v>
          </cell>
          <cell r="B8653">
            <v>119526</v>
          </cell>
          <cell r="C8653" t="str">
            <v>Dolphinholme Church of England Primary School</v>
          </cell>
          <cell r="D8653" t="str">
            <v>Lancashire</v>
          </cell>
          <cell r="E8653" t="str">
            <v>Voluntary Aided School</v>
          </cell>
          <cell r="F8653" t="str">
            <v>Primary</v>
          </cell>
        </row>
        <row r="8654">
          <cell r="A8654">
            <v>8701111</v>
          </cell>
          <cell r="B8654">
            <v>134920</v>
          </cell>
          <cell r="C8654" t="str">
            <v>Dolphins</v>
          </cell>
          <cell r="D8654" t="str">
            <v>Reading</v>
          </cell>
          <cell r="E8654" t="str">
            <v>Pupil Referral Unit</v>
          </cell>
          <cell r="F8654" t="str">
            <v>PRU</v>
          </cell>
        </row>
        <row r="8655">
          <cell r="A8655">
            <v>8783454</v>
          </cell>
          <cell r="B8655">
            <v>113450</v>
          </cell>
          <cell r="C8655" t="str">
            <v>Dolton Church of England Primary School</v>
          </cell>
          <cell r="D8655" t="str">
            <v>Devon</v>
          </cell>
          <cell r="E8655" t="str">
            <v>Voluntary Aided School</v>
          </cell>
          <cell r="F8655" t="str">
            <v>Primary</v>
          </cell>
        </row>
        <row r="8656">
          <cell r="A8656">
            <v>6801018</v>
          </cell>
          <cell r="B8656">
            <v>400034</v>
          </cell>
          <cell r="C8656" t="str">
            <v>Don Close Nursery</v>
          </cell>
          <cell r="D8656" t="str">
            <v>Newport</v>
          </cell>
          <cell r="E8656" t="str">
            <v>Welsh Establishment</v>
          </cell>
          <cell r="F8656" t="str">
            <v>Nursery</v>
          </cell>
        </row>
        <row r="8657">
          <cell r="A8657">
            <v>3714029</v>
          </cell>
          <cell r="B8657">
            <v>106786</v>
          </cell>
          <cell r="C8657" t="str">
            <v>Don Valley School and Performing Arts College</v>
          </cell>
          <cell r="D8657" t="str">
            <v>Doncaster</v>
          </cell>
          <cell r="E8657" t="str">
            <v>Foundation School</v>
          </cell>
          <cell r="F8657" t="str">
            <v>Secondary</v>
          </cell>
        </row>
        <row r="8658">
          <cell r="A8658">
            <v>3714029</v>
          </cell>
          <cell r="B8658">
            <v>137472</v>
          </cell>
          <cell r="C8658" t="str">
            <v>Don Valley School and Performing Arts College</v>
          </cell>
          <cell r="D8658" t="str">
            <v>Doncaster</v>
          </cell>
          <cell r="E8658" t="str">
            <v>Academy Converters</v>
          </cell>
          <cell r="F8658" t="str">
            <v>Secondary</v>
          </cell>
        </row>
        <row r="8659">
          <cell r="A8659">
            <v>3718000</v>
          </cell>
          <cell r="B8659">
            <v>130526</v>
          </cell>
          <cell r="C8659" t="str">
            <v>Doncaster College</v>
          </cell>
          <cell r="D8659" t="str">
            <v>Doncaster</v>
          </cell>
          <cell r="E8659" t="str">
            <v>Further Education</v>
          </cell>
          <cell r="F8659" t="str">
            <v>16 Plus</v>
          </cell>
        </row>
        <row r="8660">
          <cell r="A8660">
            <v>3717904</v>
          </cell>
          <cell r="B8660">
            <v>131869</v>
          </cell>
          <cell r="C8660" t="str">
            <v>Doncaster College for the Deaf</v>
          </cell>
          <cell r="D8660" t="str">
            <v>Doncaster</v>
          </cell>
          <cell r="E8660" t="str">
            <v>Special College</v>
          </cell>
          <cell r="F8660" t="str">
            <v>16 Plus</v>
          </cell>
        </row>
        <row r="8661">
          <cell r="A8661">
            <v>9012027</v>
          </cell>
          <cell r="B8661">
            <v>128218</v>
          </cell>
          <cell r="C8661" t="str">
            <v>Doncaster Road Infants' School</v>
          </cell>
          <cell r="D8661" t="str">
            <v>Pre LGR (1996) Avon</v>
          </cell>
          <cell r="E8661" t="str">
            <v>Community School</v>
          </cell>
          <cell r="F8661" t="str">
            <v>Primary</v>
          </cell>
        </row>
        <row r="8662">
          <cell r="A8662">
            <v>9012026</v>
          </cell>
          <cell r="B8662">
            <v>128217</v>
          </cell>
          <cell r="C8662" t="str">
            <v>Doncaster Road Junior School</v>
          </cell>
          <cell r="D8662" t="str">
            <v>Pre LGR (1996) Avon</v>
          </cell>
          <cell r="E8662" t="str">
            <v>Community School</v>
          </cell>
          <cell r="F8662" t="str">
            <v>Primary</v>
          </cell>
        </row>
        <row r="8663">
          <cell r="A8663">
            <v>3702011</v>
          </cell>
          <cell r="B8663">
            <v>106558</v>
          </cell>
          <cell r="C8663" t="str">
            <v>Doncaster Road Primary School</v>
          </cell>
          <cell r="D8663" t="str">
            <v>Barnsley</v>
          </cell>
          <cell r="E8663" t="str">
            <v>Community School</v>
          </cell>
          <cell r="F8663" t="str">
            <v>Primary</v>
          </cell>
        </row>
        <row r="8664">
          <cell r="A8664">
            <v>3717002</v>
          </cell>
          <cell r="B8664">
            <v>106818</v>
          </cell>
          <cell r="C8664" t="str">
            <v>Doncaster School for the Deaf</v>
          </cell>
          <cell r="D8664" t="str">
            <v>Doncaster</v>
          </cell>
          <cell r="E8664" t="str">
            <v>Non-Maintained Special School</v>
          </cell>
          <cell r="F8664" t="str">
            <v>Special</v>
          </cell>
        </row>
        <row r="8665">
          <cell r="A8665">
            <v>3713321</v>
          </cell>
          <cell r="B8665">
            <v>106776</v>
          </cell>
          <cell r="C8665" t="str">
            <v>Doncaster St Aidan's CofE Primary and Nursery School</v>
          </cell>
          <cell r="D8665" t="str">
            <v>Doncaster</v>
          </cell>
          <cell r="E8665" t="str">
            <v>Voluntary Aided School</v>
          </cell>
          <cell r="F8665" t="str">
            <v>Primary</v>
          </cell>
        </row>
        <row r="8666">
          <cell r="A8666">
            <v>3156004</v>
          </cell>
          <cell r="B8666">
            <v>102687</v>
          </cell>
          <cell r="C8666" t="str">
            <v>Donhead Preparatory School</v>
          </cell>
          <cell r="D8666" t="str">
            <v>Merton</v>
          </cell>
          <cell r="E8666" t="str">
            <v>Other Independent School</v>
          </cell>
          <cell r="F8666" t="str">
            <v>Not applicable</v>
          </cell>
        </row>
        <row r="8667">
          <cell r="A8667">
            <v>8552082</v>
          </cell>
          <cell r="B8667">
            <v>119944</v>
          </cell>
          <cell r="C8667" t="str">
            <v>Donisthorpe Primary School</v>
          </cell>
          <cell r="D8667" t="str">
            <v>Leicestershire</v>
          </cell>
          <cell r="E8667" t="str">
            <v>Community School</v>
          </cell>
          <cell r="F8667" t="str">
            <v>Primary</v>
          </cell>
        </row>
        <row r="8668">
          <cell r="A8668">
            <v>9314123</v>
          </cell>
          <cell r="B8668">
            <v>123254</v>
          </cell>
          <cell r="C8668" t="str">
            <v>Donnington Middle School</v>
          </cell>
          <cell r="D8668" t="str">
            <v>Oxfordshire</v>
          </cell>
          <cell r="E8668" t="str">
            <v>Community School</v>
          </cell>
          <cell r="F8668" t="str">
            <v>Middle Deemed Secondary</v>
          </cell>
        </row>
        <row r="8669">
          <cell r="A8669">
            <v>3042056</v>
          </cell>
          <cell r="B8669">
            <v>101520</v>
          </cell>
          <cell r="C8669" t="str">
            <v>Donnington Primary School</v>
          </cell>
          <cell r="D8669" t="str">
            <v>Brent</v>
          </cell>
          <cell r="E8669" t="str">
            <v>Community School</v>
          </cell>
          <cell r="F8669" t="str">
            <v>Primary</v>
          </cell>
        </row>
        <row r="8670">
          <cell r="A8670">
            <v>8943035</v>
          </cell>
          <cell r="B8670">
            <v>123473</v>
          </cell>
          <cell r="C8670" t="str">
            <v>Donnington Wood CofE Voluntary Controlled Junior School</v>
          </cell>
          <cell r="D8670" t="str">
            <v>Telford and Wrekin</v>
          </cell>
          <cell r="E8670" t="str">
            <v>Voluntary Controlled School</v>
          </cell>
          <cell r="F8670" t="str">
            <v>Primary</v>
          </cell>
        </row>
        <row r="8671">
          <cell r="A8671">
            <v>8942041</v>
          </cell>
          <cell r="B8671">
            <v>123364</v>
          </cell>
          <cell r="C8671" t="str">
            <v>Donnington Wood Infant School and Nursery Centre</v>
          </cell>
          <cell r="D8671" t="str">
            <v>Telford and Wrekin</v>
          </cell>
          <cell r="E8671" t="str">
            <v>Community School</v>
          </cell>
          <cell r="F8671" t="str">
            <v>Primary</v>
          </cell>
        </row>
        <row r="8672">
          <cell r="A8672">
            <v>3942137</v>
          </cell>
          <cell r="B8672">
            <v>108808</v>
          </cell>
          <cell r="C8672" t="str">
            <v>Donwell Primary School</v>
          </cell>
          <cell r="D8672" t="str">
            <v>Sunderland</v>
          </cell>
          <cell r="E8672" t="str">
            <v>Community School</v>
          </cell>
          <cell r="F8672" t="str">
            <v>Primary</v>
          </cell>
        </row>
        <row r="8673">
          <cell r="A8673">
            <v>8816044</v>
          </cell>
          <cell r="B8673">
            <v>115439</v>
          </cell>
          <cell r="C8673" t="str">
            <v>Donyland Lodge</v>
          </cell>
          <cell r="D8673" t="str">
            <v>Essex</v>
          </cell>
          <cell r="E8673" t="str">
            <v>Other Independent Special School</v>
          </cell>
          <cell r="F8673" t="str">
            <v>Not applicable</v>
          </cell>
        </row>
        <row r="8674">
          <cell r="A8674">
            <v>9156237</v>
          </cell>
          <cell r="B8674">
            <v>128923</v>
          </cell>
          <cell r="C8674" t="str">
            <v>Donylands Lodge Education Unit</v>
          </cell>
          <cell r="D8674" t="str">
            <v>Pre LGR (1998) Essex</v>
          </cell>
          <cell r="E8674" t="str">
            <v>Other Independent School</v>
          </cell>
          <cell r="F8674" t="str">
            <v>Not applicable</v>
          </cell>
        </row>
        <row r="8675">
          <cell r="A8675">
            <v>3562029</v>
          </cell>
          <cell r="B8675">
            <v>106044</v>
          </cell>
          <cell r="C8675" t="str">
            <v>Doodfield Primary School</v>
          </cell>
          <cell r="D8675" t="str">
            <v>Stockport</v>
          </cell>
          <cell r="E8675" t="str">
            <v>Community School</v>
          </cell>
          <cell r="F8675" t="str">
            <v>Primary</v>
          </cell>
        </row>
        <row r="8676">
          <cell r="A8676">
            <v>9366512</v>
          </cell>
          <cell r="B8676">
            <v>125415</v>
          </cell>
          <cell r="C8676" t="str">
            <v>Doods Brow School</v>
          </cell>
          <cell r="D8676" t="str">
            <v>Surrey</v>
          </cell>
          <cell r="E8676" t="str">
            <v>Other Independent School</v>
          </cell>
          <cell r="F8676" t="str">
            <v>Not applicable</v>
          </cell>
        </row>
        <row r="8677">
          <cell r="A8677">
            <v>8356036</v>
          </cell>
          <cell r="B8677">
            <v>134447</v>
          </cell>
          <cell r="C8677" t="str">
            <v>Dor01 Student Suport Project</v>
          </cell>
          <cell r="D8677" t="str">
            <v>Dorset</v>
          </cell>
          <cell r="E8677" t="str">
            <v>Other Independent School</v>
          </cell>
          <cell r="F8677" t="str">
            <v>Not applicable</v>
          </cell>
        </row>
        <row r="8678">
          <cell r="A8678">
            <v>8664060</v>
          </cell>
          <cell r="B8678">
            <v>126450</v>
          </cell>
          <cell r="C8678" t="str">
            <v>Dorcan Technology College</v>
          </cell>
          <cell r="D8678" t="str">
            <v>Swindon</v>
          </cell>
          <cell r="E8678" t="str">
            <v>Foundation School</v>
          </cell>
          <cell r="F8678" t="str">
            <v>Secondary</v>
          </cell>
        </row>
        <row r="8679">
          <cell r="A8679">
            <v>8664060</v>
          </cell>
          <cell r="B8679">
            <v>137684</v>
          </cell>
          <cell r="C8679" t="str">
            <v>Dorcan Technology College</v>
          </cell>
          <cell r="D8679" t="str">
            <v>Swindon</v>
          </cell>
          <cell r="E8679" t="str">
            <v>Academy Converters</v>
          </cell>
          <cell r="F8679" t="str">
            <v>Secondary</v>
          </cell>
        </row>
        <row r="8680">
          <cell r="A8680">
            <v>9204484</v>
          </cell>
          <cell r="B8680">
            <v>129313</v>
          </cell>
          <cell r="C8680" t="str">
            <v>Dorchester Junior High School</v>
          </cell>
          <cell r="D8680" t="str">
            <v>Pre LGR (1996) Humberside</v>
          </cell>
          <cell r="E8680" t="str">
            <v>Community School</v>
          </cell>
          <cell r="F8680" t="str">
            <v>Secondary</v>
          </cell>
        </row>
        <row r="8681">
          <cell r="A8681">
            <v>8351101</v>
          </cell>
          <cell r="B8681">
            <v>130316</v>
          </cell>
          <cell r="C8681" t="str">
            <v>Dorchester Learning Centre</v>
          </cell>
          <cell r="D8681" t="str">
            <v>Dorset</v>
          </cell>
          <cell r="E8681" t="str">
            <v>Pupil Referral Unit</v>
          </cell>
          <cell r="F8681" t="str">
            <v>PRU</v>
          </cell>
        </row>
        <row r="8682">
          <cell r="A8682">
            <v>8354031</v>
          </cell>
          <cell r="B8682">
            <v>113860</v>
          </cell>
          <cell r="C8682" t="str">
            <v>Dorchester Middle School</v>
          </cell>
          <cell r="D8682" t="str">
            <v>Dorset</v>
          </cell>
          <cell r="E8682" t="str">
            <v>Community School</v>
          </cell>
          <cell r="F8682" t="str">
            <v>Middle Deemed Secondary</v>
          </cell>
        </row>
        <row r="8683">
          <cell r="A8683">
            <v>8356027</v>
          </cell>
          <cell r="B8683">
            <v>113926</v>
          </cell>
          <cell r="C8683" t="str">
            <v>Dorchester Preparatory School</v>
          </cell>
          <cell r="D8683" t="str">
            <v>Dorset</v>
          </cell>
          <cell r="E8683" t="str">
            <v>Other Independent School</v>
          </cell>
          <cell r="F8683" t="str">
            <v>Not applicable</v>
          </cell>
        </row>
        <row r="8684">
          <cell r="A8684">
            <v>3192038</v>
          </cell>
          <cell r="B8684">
            <v>102982</v>
          </cell>
          <cell r="C8684" t="str">
            <v>Dorchester Primary School</v>
          </cell>
          <cell r="D8684" t="str">
            <v>Sutton</v>
          </cell>
          <cell r="E8684" t="str">
            <v>Community School</v>
          </cell>
          <cell r="F8684" t="str">
            <v>Primary</v>
          </cell>
        </row>
        <row r="8685">
          <cell r="A8685">
            <v>8102863</v>
          </cell>
          <cell r="B8685">
            <v>117902</v>
          </cell>
          <cell r="C8685" t="str">
            <v>Dorchester Primary School</v>
          </cell>
          <cell r="D8685" t="str">
            <v>Kingston upon Hull City of</v>
          </cell>
          <cell r="E8685" t="str">
            <v>Community School</v>
          </cell>
          <cell r="F8685" t="str">
            <v>Primary</v>
          </cell>
        </row>
        <row r="8686">
          <cell r="A8686">
            <v>9313186</v>
          </cell>
          <cell r="B8686">
            <v>123129</v>
          </cell>
          <cell r="C8686" t="str">
            <v>Dorchester St Birinus Church of England School</v>
          </cell>
          <cell r="D8686" t="str">
            <v>Oxfordshire</v>
          </cell>
          <cell r="E8686" t="str">
            <v>Voluntary Controlled School</v>
          </cell>
          <cell r="F8686" t="str">
            <v>Primary</v>
          </cell>
        </row>
        <row r="8687">
          <cell r="A8687">
            <v>9372018</v>
          </cell>
          <cell r="B8687">
            <v>125508</v>
          </cell>
          <cell r="C8687" t="str">
            <v>Dordon Community Primary School</v>
          </cell>
          <cell r="D8687" t="str">
            <v>Warwickshire</v>
          </cell>
          <cell r="E8687" t="str">
            <v>Community School</v>
          </cell>
          <cell r="F8687" t="str">
            <v>Primary</v>
          </cell>
        </row>
        <row r="8688">
          <cell r="A8688">
            <v>3732227</v>
          </cell>
          <cell r="B8688">
            <v>107031</v>
          </cell>
          <cell r="C8688" t="str">
            <v>Dore Infant School</v>
          </cell>
          <cell r="D8688" t="str">
            <v>Sheffield</v>
          </cell>
          <cell r="E8688" t="str">
            <v>Community School</v>
          </cell>
          <cell r="F8688" t="str">
            <v>Primary</v>
          </cell>
        </row>
        <row r="8689">
          <cell r="A8689">
            <v>3732226</v>
          </cell>
          <cell r="B8689">
            <v>107030</v>
          </cell>
          <cell r="C8689" t="str">
            <v>Dore Junior School</v>
          </cell>
          <cell r="D8689" t="str">
            <v>Sheffield</v>
          </cell>
          <cell r="E8689" t="str">
            <v>Community School</v>
          </cell>
          <cell r="F8689" t="str">
            <v>Primary</v>
          </cell>
        </row>
        <row r="8690">
          <cell r="A8690">
            <v>3732364</v>
          </cell>
          <cell r="B8690">
            <v>132152</v>
          </cell>
          <cell r="C8690" t="str">
            <v>Dore Primary School</v>
          </cell>
          <cell r="D8690" t="str">
            <v>Sheffield</v>
          </cell>
          <cell r="E8690" t="str">
            <v>Community School</v>
          </cell>
          <cell r="F8690" t="str">
            <v>Primary</v>
          </cell>
        </row>
        <row r="8691">
          <cell r="A8691">
            <v>8967118</v>
          </cell>
          <cell r="B8691">
            <v>111511</v>
          </cell>
          <cell r="C8691" t="str">
            <v>Dorin Park School &amp; Specialist SEN College</v>
          </cell>
          <cell r="D8691" t="str">
            <v>Cheshire West and Chester</v>
          </cell>
          <cell r="E8691" t="str">
            <v>Community Special School</v>
          </cell>
          <cell r="F8691" t="str">
            <v>Special</v>
          </cell>
        </row>
        <row r="8692">
          <cell r="A8692">
            <v>9361004</v>
          </cell>
          <cell r="B8692">
            <v>124912</v>
          </cell>
          <cell r="C8692" t="str">
            <v>Dorking Nursery School</v>
          </cell>
          <cell r="D8692" t="str">
            <v>Surrey</v>
          </cell>
          <cell r="E8692" t="str">
            <v>LA Nursery School</v>
          </cell>
          <cell r="F8692" t="str">
            <v>Nursery</v>
          </cell>
        </row>
        <row r="8693">
          <cell r="A8693">
            <v>9362156</v>
          </cell>
          <cell r="B8693">
            <v>124986</v>
          </cell>
          <cell r="C8693" t="str">
            <v>Dormansland Primary School</v>
          </cell>
          <cell r="D8693" t="str">
            <v>Surrey</v>
          </cell>
          <cell r="E8693" t="str">
            <v>Community School</v>
          </cell>
          <cell r="F8693" t="str">
            <v>Primary</v>
          </cell>
        </row>
        <row r="8694">
          <cell r="A8694">
            <v>8072337</v>
          </cell>
          <cell r="B8694">
            <v>111636</v>
          </cell>
          <cell r="C8694" t="str">
            <v>Dormanstown Primary School</v>
          </cell>
          <cell r="D8694" t="str">
            <v>Redcar and Cleveland</v>
          </cell>
          <cell r="E8694" t="str">
            <v>Community School</v>
          </cell>
          <cell r="F8694" t="str">
            <v>Primary</v>
          </cell>
        </row>
        <row r="8695">
          <cell r="A8695">
            <v>9166047</v>
          </cell>
          <cell r="B8695">
            <v>115803</v>
          </cell>
          <cell r="C8695" t="str">
            <v>Dormer House School</v>
          </cell>
          <cell r="D8695" t="str">
            <v>Gloucestershire</v>
          </cell>
          <cell r="E8695" t="str">
            <v>Other Independent School</v>
          </cell>
          <cell r="F8695" t="str">
            <v>Not applicable</v>
          </cell>
        </row>
        <row r="8696">
          <cell r="A8696">
            <v>3074030</v>
          </cell>
          <cell r="B8696">
            <v>101930</v>
          </cell>
          <cell r="C8696" t="str">
            <v>Dormers Wells High School</v>
          </cell>
          <cell r="D8696" t="str">
            <v>Ealing</v>
          </cell>
          <cell r="E8696" t="str">
            <v>Community School</v>
          </cell>
          <cell r="F8696" t="str">
            <v>Secondary</v>
          </cell>
        </row>
        <row r="8697">
          <cell r="A8697">
            <v>3075203</v>
          </cell>
          <cell r="B8697">
            <v>101938</v>
          </cell>
          <cell r="C8697" t="str">
            <v>Dormers Wells Infant School</v>
          </cell>
          <cell r="D8697" t="str">
            <v>Ealing</v>
          </cell>
          <cell r="E8697" t="str">
            <v>Foundation School</v>
          </cell>
          <cell r="F8697" t="str">
            <v>Primary</v>
          </cell>
        </row>
        <row r="8698">
          <cell r="A8698">
            <v>3075202</v>
          </cell>
          <cell r="B8698">
            <v>101937</v>
          </cell>
          <cell r="C8698" t="str">
            <v>Dormers Wells Junior School</v>
          </cell>
          <cell r="D8698" t="str">
            <v>Ealing</v>
          </cell>
          <cell r="E8698" t="str">
            <v>Foundation School</v>
          </cell>
          <cell r="F8698" t="str">
            <v>Primary</v>
          </cell>
        </row>
        <row r="8699">
          <cell r="A8699">
            <v>3446017</v>
          </cell>
          <cell r="B8699">
            <v>127390</v>
          </cell>
          <cell r="C8699" t="str">
            <v>Dormie House School</v>
          </cell>
          <cell r="D8699" t="str">
            <v>Wirral</v>
          </cell>
          <cell r="E8699" t="str">
            <v>Other Independent School</v>
          </cell>
          <cell r="F8699" t="str">
            <v>Not applicable</v>
          </cell>
        </row>
        <row r="8700">
          <cell r="A8700">
            <v>8252028</v>
          </cell>
          <cell r="B8700">
            <v>110220</v>
          </cell>
          <cell r="C8700" t="str">
            <v>Dorney School</v>
          </cell>
          <cell r="D8700" t="str">
            <v>Buckinghamshire</v>
          </cell>
          <cell r="E8700" t="str">
            <v>Community School</v>
          </cell>
          <cell r="F8700" t="str">
            <v>Primary</v>
          </cell>
        </row>
        <row r="8701">
          <cell r="A8701">
            <v>3551010</v>
          </cell>
          <cell r="B8701">
            <v>105872</v>
          </cell>
          <cell r="C8701" t="str">
            <v>Dorning Street Nursery School</v>
          </cell>
          <cell r="D8701" t="str">
            <v>Salford</v>
          </cell>
          <cell r="E8701" t="str">
            <v>LA Nursery School</v>
          </cell>
          <cell r="F8701" t="str">
            <v>Nursery</v>
          </cell>
        </row>
        <row r="8702">
          <cell r="A8702">
            <v>3012005</v>
          </cell>
          <cell r="B8702">
            <v>101188</v>
          </cell>
          <cell r="C8702" t="str">
            <v>Dorothy Barley Infants' School</v>
          </cell>
          <cell r="D8702" t="str">
            <v>Barking and Dagenham</v>
          </cell>
          <cell r="E8702" t="str">
            <v>Community School</v>
          </cell>
          <cell r="F8702" t="str">
            <v>Primary</v>
          </cell>
        </row>
        <row r="8703">
          <cell r="A8703">
            <v>3012004</v>
          </cell>
          <cell r="B8703">
            <v>101187</v>
          </cell>
          <cell r="C8703" t="str">
            <v>Dorothy Barley Junior School and Special Needs Base (MLD)</v>
          </cell>
          <cell r="D8703" t="str">
            <v>Barking and Dagenham</v>
          </cell>
          <cell r="E8703" t="str">
            <v>Community School</v>
          </cell>
          <cell r="F8703" t="str">
            <v>Primary</v>
          </cell>
        </row>
        <row r="8704">
          <cell r="A8704">
            <v>2131046</v>
          </cell>
          <cell r="B8704">
            <v>101105</v>
          </cell>
          <cell r="C8704" t="str">
            <v>Dorothy Gardner Centre</v>
          </cell>
          <cell r="D8704" t="str">
            <v>Westminster</v>
          </cell>
          <cell r="E8704" t="str">
            <v>LA Nursery School</v>
          </cell>
          <cell r="F8704" t="str">
            <v>Nursery</v>
          </cell>
        </row>
        <row r="8705">
          <cell r="A8705">
            <v>8557007</v>
          </cell>
          <cell r="B8705">
            <v>120353</v>
          </cell>
          <cell r="C8705" t="str">
            <v>Dorothy Goodman School</v>
          </cell>
          <cell r="D8705" t="str">
            <v>Leicestershire</v>
          </cell>
          <cell r="E8705" t="str">
            <v>Community Special School</v>
          </cell>
          <cell r="F8705" t="str">
            <v>Special</v>
          </cell>
        </row>
        <row r="8706">
          <cell r="A8706">
            <v>8557216</v>
          </cell>
          <cell r="B8706">
            <v>132154</v>
          </cell>
          <cell r="C8706" t="str">
            <v>Dorothy Goodman School Hinckley</v>
          </cell>
          <cell r="D8706" t="str">
            <v>Leicestershire</v>
          </cell>
          <cell r="E8706" t="str">
            <v>Community Special School</v>
          </cell>
          <cell r="F8706" t="str">
            <v>Special</v>
          </cell>
        </row>
        <row r="8707">
          <cell r="A8707">
            <v>3352044</v>
          </cell>
          <cell r="B8707">
            <v>104171</v>
          </cell>
          <cell r="C8707" t="str">
            <v>Dorothy Purcell Junior School</v>
          </cell>
          <cell r="D8707" t="str">
            <v>Walsall</v>
          </cell>
          <cell r="E8707" t="str">
            <v>Community School</v>
          </cell>
          <cell r="F8707" t="str">
            <v>Primary</v>
          </cell>
        </row>
        <row r="8708">
          <cell r="A8708">
            <v>8464016</v>
          </cell>
          <cell r="B8708">
            <v>114580</v>
          </cell>
          <cell r="C8708" t="str">
            <v>Dorothy Stringer High School</v>
          </cell>
          <cell r="D8708" t="str">
            <v>Brighton and Hove</v>
          </cell>
          <cell r="E8708" t="str">
            <v>Community School</v>
          </cell>
          <cell r="F8708" t="str">
            <v>Secondary</v>
          </cell>
        </row>
        <row r="8709">
          <cell r="A8709">
            <v>3342007</v>
          </cell>
          <cell r="B8709">
            <v>104044</v>
          </cell>
          <cell r="C8709" t="str">
            <v>Dorridge Junior School</v>
          </cell>
          <cell r="D8709" t="str">
            <v>Solihull</v>
          </cell>
          <cell r="E8709" t="str">
            <v>Community School</v>
          </cell>
          <cell r="F8709" t="str">
            <v>Primary</v>
          </cell>
        </row>
        <row r="8710">
          <cell r="A8710">
            <v>3342008</v>
          </cell>
          <cell r="B8710">
            <v>104045</v>
          </cell>
          <cell r="C8710" t="str">
            <v>Dorridge Nursery and Infant School</v>
          </cell>
          <cell r="D8710" t="str">
            <v>Solihull</v>
          </cell>
          <cell r="E8710" t="str">
            <v>Community School</v>
          </cell>
          <cell r="F8710" t="str">
            <v>Primary</v>
          </cell>
        </row>
        <row r="8711">
          <cell r="A8711">
            <v>8933319</v>
          </cell>
          <cell r="B8711">
            <v>123545</v>
          </cell>
          <cell r="C8711" t="str">
            <v>Dorrington CofE (Aided) Primary School</v>
          </cell>
          <cell r="D8711" t="str">
            <v>Shropshire</v>
          </cell>
          <cell r="E8711" t="str">
            <v>Voluntary Aided School</v>
          </cell>
          <cell r="F8711" t="str">
            <v>Primary</v>
          </cell>
        </row>
        <row r="8712">
          <cell r="A8712">
            <v>3302065</v>
          </cell>
          <cell r="B8712">
            <v>103195</v>
          </cell>
          <cell r="C8712" t="str">
            <v>Dorrington Primary School</v>
          </cell>
          <cell r="D8712" t="str">
            <v>Birmingham</v>
          </cell>
          <cell r="E8712" t="str">
            <v>Community School</v>
          </cell>
          <cell r="F8712" t="str">
            <v>Primary</v>
          </cell>
        </row>
        <row r="8713">
          <cell r="A8713">
            <v>3832258</v>
          </cell>
          <cell r="B8713">
            <v>127878</v>
          </cell>
          <cell r="C8713" t="str">
            <v>Dorset First School</v>
          </cell>
          <cell r="D8713" t="str">
            <v>Leeds</v>
          </cell>
          <cell r="E8713" t="str">
            <v>Community School</v>
          </cell>
          <cell r="F8713" t="str">
            <v>Primary</v>
          </cell>
        </row>
        <row r="8714">
          <cell r="A8714">
            <v>3106077</v>
          </cell>
          <cell r="B8714">
            <v>102258</v>
          </cell>
          <cell r="C8714" t="str">
            <v>Dorset House School</v>
          </cell>
          <cell r="D8714" t="str">
            <v>Harrow</v>
          </cell>
          <cell r="E8714" t="str">
            <v>Other Independent School</v>
          </cell>
          <cell r="F8714" t="str">
            <v>Not applicable</v>
          </cell>
        </row>
        <row r="8715">
          <cell r="A8715">
            <v>9386015</v>
          </cell>
          <cell r="B8715">
            <v>126109</v>
          </cell>
          <cell r="C8715" t="str">
            <v>Dorset House School</v>
          </cell>
          <cell r="D8715" t="str">
            <v>West Sussex</v>
          </cell>
          <cell r="E8715" t="str">
            <v>Other Independent School</v>
          </cell>
          <cell r="F8715" t="str">
            <v>Not applicable</v>
          </cell>
        </row>
        <row r="8716">
          <cell r="A8716">
            <v>3052030</v>
          </cell>
          <cell r="B8716">
            <v>101607</v>
          </cell>
          <cell r="C8716" t="str">
            <v>Dorset Road Infant School</v>
          </cell>
          <cell r="D8716" t="str">
            <v>Bromley</v>
          </cell>
          <cell r="E8716" t="str">
            <v>Community School</v>
          </cell>
          <cell r="F8716" t="str">
            <v>Primary</v>
          </cell>
        </row>
        <row r="8717">
          <cell r="A8717">
            <v>8867905</v>
          </cell>
          <cell r="B8717">
            <v>133001</v>
          </cell>
          <cell r="C8717" t="str">
            <v>Dorton College</v>
          </cell>
          <cell r="D8717" t="str">
            <v>Kent</v>
          </cell>
          <cell r="E8717" t="str">
            <v>Special College</v>
          </cell>
          <cell r="F8717" t="str">
            <v>16 Plus</v>
          </cell>
        </row>
        <row r="8718">
          <cell r="A8718">
            <v>8867035</v>
          </cell>
          <cell r="B8718">
            <v>119039</v>
          </cell>
          <cell r="C8718" t="str">
            <v>Dorton House School</v>
          </cell>
          <cell r="D8718" t="str">
            <v>Kent</v>
          </cell>
          <cell r="E8718" t="str">
            <v>Non-Maintained Special School</v>
          </cell>
          <cell r="F8718" t="str">
            <v>Special</v>
          </cell>
        </row>
        <row r="8719">
          <cell r="A8719">
            <v>8602331</v>
          </cell>
          <cell r="B8719">
            <v>124154</v>
          </cell>
          <cell r="C8719" t="str">
            <v>Dosthill Primary School</v>
          </cell>
          <cell r="D8719" t="str">
            <v>Staffordshire</v>
          </cell>
          <cell r="E8719" t="str">
            <v>Community School</v>
          </cell>
          <cell r="F8719" t="str">
            <v>Primary</v>
          </cell>
        </row>
        <row r="8720">
          <cell r="A8720">
            <v>8942125</v>
          </cell>
          <cell r="B8720">
            <v>123413</v>
          </cell>
          <cell r="C8720" t="str">
            <v>Dothill Infant School</v>
          </cell>
          <cell r="D8720" t="str">
            <v>Telford and Wrekin</v>
          </cell>
          <cell r="E8720" t="str">
            <v>Community School</v>
          </cell>
          <cell r="F8720" t="str">
            <v>Primary</v>
          </cell>
        </row>
        <row r="8721">
          <cell r="A8721">
            <v>8942126</v>
          </cell>
          <cell r="B8721">
            <v>123414</v>
          </cell>
          <cell r="C8721" t="str">
            <v>Dothill Junior School</v>
          </cell>
          <cell r="D8721" t="str">
            <v>Telford and Wrekin</v>
          </cell>
          <cell r="E8721" t="str">
            <v>Community School</v>
          </cell>
          <cell r="F8721" t="str">
            <v>Primary</v>
          </cell>
        </row>
        <row r="8722">
          <cell r="A8722">
            <v>8943368</v>
          </cell>
          <cell r="B8722">
            <v>135496</v>
          </cell>
          <cell r="C8722" t="str">
            <v>Dothill Primary School</v>
          </cell>
          <cell r="D8722" t="str">
            <v>Telford and Wrekin</v>
          </cell>
          <cell r="E8722" t="str">
            <v>Community School</v>
          </cell>
          <cell r="F8722" t="str">
            <v>Primary</v>
          </cell>
        </row>
        <row r="8723">
          <cell r="A8723">
            <v>8696006</v>
          </cell>
          <cell r="B8723">
            <v>110139</v>
          </cell>
          <cell r="C8723" t="str">
            <v>Douai School</v>
          </cell>
          <cell r="D8723" t="str">
            <v>West Berkshire</v>
          </cell>
          <cell r="E8723" t="str">
            <v>Other Independent School</v>
          </cell>
          <cell r="F8723" t="str">
            <v>Not applicable</v>
          </cell>
        </row>
        <row r="8724">
          <cell r="A8724">
            <v>9087003</v>
          </cell>
          <cell r="B8724">
            <v>112085</v>
          </cell>
          <cell r="C8724" t="str">
            <v>Doubletrees School</v>
          </cell>
          <cell r="D8724" t="str">
            <v>Cornwall</v>
          </cell>
          <cell r="E8724" t="str">
            <v>Community Special School</v>
          </cell>
          <cell r="F8724" t="str">
            <v>Special</v>
          </cell>
        </row>
        <row r="8725">
          <cell r="A8725">
            <v>8816032</v>
          </cell>
          <cell r="B8725">
            <v>115426</v>
          </cell>
          <cell r="C8725" t="str">
            <v>Doucecroft School</v>
          </cell>
          <cell r="D8725" t="str">
            <v>Essex</v>
          </cell>
          <cell r="E8725" t="str">
            <v>Other Independent Special School</v>
          </cell>
          <cell r="F8725" t="str">
            <v>Not applicable</v>
          </cell>
        </row>
        <row r="8726">
          <cell r="A8726">
            <v>9261102</v>
          </cell>
          <cell r="B8726">
            <v>120770</v>
          </cell>
          <cell r="C8726" t="str">
            <v>Douglas Bader Centre</v>
          </cell>
          <cell r="D8726" t="str">
            <v>Norfolk</v>
          </cell>
          <cell r="E8726" t="str">
            <v>Pupil Referral Unit</v>
          </cell>
          <cell r="F8726" t="str">
            <v>PRU</v>
          </cell>
        </row>
        <row r="8727">
          <cell r="A8727">
            <v>8922059</v>
          </cell>
          <cell r="B8727">
            <v>122415</v>
          </cell>
          <cell r="C8727" t="str">
            <v>Douglas Primary and Nursery School</v>
          </cell>
          <cell r="D8727" t="str">
            <v>Nottingham</v>
          </cell>
          <cell r="E8727" t="str">
            <v>Community School</v>
          </cell>
          <cell r="F8727" t="str">
            <v>Primary</v>
          </cell>
        </row>
        <row r="8728">
          <cell r="A8728">
            <v>3591003</v>
          </cell>
          <cell r="B8728">
            <v>106398</v>
          </cell>
          <cell r="C8728" t="str">
            <v>Douglas Valley Children's Centre</v>
          </cell>
          <cell r="D8728" t="str">
            <v>Wigan</v>
          </cell>
          <cell r="E8728" t="str">
            <v>LA Nursery School</v>
          </cell>
          <cell r="F8728" t="str">
            <v>Nursery</v>
          </cell>
        </row>
        <row r="8729">
          <cell r="A8729">
            <v>3846124</v>
          </cell>
          <cell r="B8729">
            <v>135377</v>
          </cell>
          <cell r="C8729" t="str">
            <v>Dove Adolescent Services</v>
          </cell>
          <cell r="D8729" t="str">
            <v>Wakefield</v>
          </cell>
          <cell r="E8729" t="str">
            <v>Other Independent Special School</v>
          </cell>
          <cell r="F8729" t="str">
            <v>Not applicable</v>
          </cell>
        </row>
        <row r="8730">
          <cell r="A8730">
            <v>8552334</v>
          </cell>
          <cell r="B8730">
            <v>120061</v>
          </cell>
          <cell r="C8730" t="str">
            <v>Dove Bank Primary School</v>
          </cell>
          <cell r="D8730" t="str">
            <v>Leicestershire</v>
          </cell>
          <cell r="E8730" t="str">
            <v>Community School</v>
          </cell>
          <cell r="F8730" t="str">
            <v>Primary</v>
          </cell>
        </row>
        <row r="8731">
          <cell r="A8731">
            <v>8602218</v>
          </cell>
          <cell r="B8731">
            <v>124089</v>
          </cell>
          <cell r="C8731" t="str">
            <v>Dove Bank Primary School</v>
          </cell>
          <cell r="D8731" t="str">
            <v>Staffordshire</v>
          </cell>
          <cell r="E8731" t="str">
            <v>Community School</v>
          </cell>
          <cell r="F8731" t="str">
            <v>Primary</v>
          </cell>
        </row>
        <row r="8732">
          <cell r="A8732">
            <v>8602266</v>
          </cell>
          <cell r="B8732">
            <v>124121</v>
          </cell>
          <cell r="C8732" t="str">
            <v>Dove First School</v>
          </cell>
          <cell r="D8732" t="str">
            <v>Staffordshire</v>
          </cell>
          <cell r="E8732" t="str">
            <v>Community School</v>
          </cell>
          <cell r="F8732" t="str">
            <v>Primary</v>
          </cell>
        </row>
        <row r="8733">
          <cell r="A8733">
            <v>8303024</v>
          </cell>
          <cell r="B8733">
            <v>112809</v>
          </cell>
          <cell r="C8733" t="str">
            <v>Dove Holes CofE Primary School</v>
          </cell>
          <cell r="D8733" t="str">
            <v>Derbyshire</v>
          </cell>
          <cell r="E8733" t="str">
            <v>Voluntary Controlled School</v>
          </cell>
          <cell r="F8733" t="str">
            <v>Primary</v>
          </cell>
        </row>
        <row r="8734">
          <cell r="A8734">
            <v>8507043</v>
          </cell>
          <cell r="B8734">
            <v>116626</v>
          </cell>
          <cell r="C8734" t="str">
            <v>Dove House School</v>
          </cell>
          <cell r="D8734" t="str">
            <v>Hampshire</v>
          </cell>
          <cell r="E8734" t="str">
            <v>Community Special School</v>
          </cell>
          <cell r="F8734" t="str">
            <v>Special</v>
          </cell>
        </row>
        <row r="8735">
          <cell r="A8735">
            <v>8507043</v>
          </cell>
          <cell r="B8735">
            <v>137605</v>
          </cell>
          <cell r="C8735" t="str">
            <v>Dove House School</v>
          </cell>
          <cell r="D8735" t="str">
            <v>Hampshire</v>
          </cell>
          <cell r="E8735" t="str">
            <v>Academy Converters</v>
          </cell>
          <cell r="F8735" t="str">
            <v>Not applicable</v>
          </cell>
        </row>
        <row r="8736">
          <cell r="A8736">
            <v>3706005</v>
          </cell>
          <cell r="B8736">
            <v>135376</v>
          </cell>
          <cell r="C8736" t="str">
            <v>Dove School</v>
          </cell>
          <cell r="D8736" t="str">
            <v>Barnsley</v>
          </cell>
          <cell r="E8736" t="str">
            <v>Other Independent Special School</v>
          </cell>
          <cell r="F8736" t="str">
            <v>Not applicable</v>
          </cell>
        </row>
        <row r="8737">
          <cell r="A8737">
            <v>3412201</v>
          </cell>
          <cell r="B8737">
            <v>104602</v>
          </cell>
          <cell r="C8737" t="str">
            <v>Dove Street Infant School</v>
          </cell>
          <cell r="D8737" t="str">
            <v>Liverpool</v>
          </cell>
          <cell r="E8737" t="str">
            <v>Community School</v>
          </cell>
          <cell r="F8737" t="str">
            <v>Primary</v>
          </cell>
        </row>
        <row r="8738">
          <cell r="A8738">
            <v>3414424</v>
          </cell>
          <cell r="B8738">
            <v>127326</v>
          </cell>
          <cell r="C8738" t="str">
            <v>Dovecot Comprehensive School</v>
          </cell>
          <cell r="D8738" t="str">
            <v>Liverpool</v>
          </cell>
          <cell r="E8738" t="str">
            <v>Community School</v>
          </cell>
          <cell r="F8738" t="str">
            <v>Secondary</v>
          </cell>
        </row>
        <row r="8739">
          <cell r="A8739">
            <v>3412045</v>
          </cell>
          <cell r="B8739">
            <v>104532</v>
          </cell>
          <cell r="C8739" t="str">
            <v>Dovecot Infants' School</v>
          </cell>
          <cell r="D8739" t="str">
            <v>Liverpool</v>
          </cell>
          <cell r="E8739" t="str">
            <v>Community School</v>
          </cell>
          <cell r="F8739" t="str">
            <v>Primary</v>
          </cell>
        </row>
        <row r="8740">
          <cell r="A8740">
            <v>3412043</v>
          </cell>
          <cell r="B8740">
            <v>104531</v>
          </cell>
          <cell r="C8740" t="str">
            <v>Dovecot Junior School</v>
          </cell>
          <cell r="D8740" t="str">
            <v>Liverpool</v>
          </cell>
          <cell r="E8740" t="str">
            <v>Community School</v>
          </cell>
          <cell r="F8740" t="str">
            <v>Primary</v>
          </cell>
        </row>
        <row r="8741">
          <cell r="A8741">
            <v>3412218</v>
          </cell>
          <cell r="B8741">
            <v>130296</v>
          </cell>
          <cell r="C8741" t="str">
            <v>Dovecot Primary School</v>
          </cell>
          <cell r="D8741" t="str">
            <v>Liverpool</v>
          </cell>
          <cell r="E8741" t="str">
            <v>Community School</v>
          </cell>
          <cell r="F8741" t="str">
            <v>Primary</v>
          </cell>
        </row>
        <row r="8742">
          <cell r="A8742">
            <v>8923323</v>
          </cell>
          <cell r="B8742">
            <v>134841</v>
          </cell>
          <cell r="C8742" t="str">
            <v>Dovecote Primary and Nursery School</v>
          </cell>
          <cell r="D8742" t="str">
            <v>Nottingham</v>
          </cell>
          <cell r="E8742" t="str">
            <v>Community School</v>
          </cell>
          <cell r="F8742" t="str">
            <v>Primary</v>
          </cell>
        </row>
        <row r="8743">
          <cell r="A8743">
            <v>3362093</v>
          </cell>
          <cell r="B8743">
            <v>127227</v>
          </cell>
          <cell r="C8743" t="str">
            <v>Dovecotes Infant School</v>
          </cell>
          <cell r="D8743" t="str">
            <v>Wolverhampton</v>
          </cell>
          <cell r="E8743" t="str">
            <v>Community School</v>
          </cell>
          <cell r="F8743" t="str">
            <v>Primary</v>
          </cell>
        </row>
        <row r="8744">
          <cell r="A8744">
            <v>3362092</v>
          </cell>
          <cell r="B8744">
            <v>127226</v>
          </cell>
          <cell r="C8744" t="str">
            <v>Dovecotes Junior School</v>
          </cell>
          <cell r="D8744" t="str">
            <v>Wolverhampton</v>
          </cell>
          <cell r="E8744" t="str">
            <v>Community School</v>
          </cell>
          <cell r="F8744" t="str">
            <v>Primary</v>
          </cell>
        </row>
        <row r="8745">
          <cell r="A8745">
            <v>3362111</v>
          </cell>
          <cell r="B8745">
            <v>104350</v>
          </cell>
          <cell r="C8745" t="str">
            <v>Dovecotes Primary School</v>
          </cell>
          <cell r="D8745" t="str">
            <v>Wolverhampton</v>
          </cell>
          <cell r="E8745" t="str">
            <v>Community School</v>
          </cell>
          <cell r="F8745" t="str">
            <v>Primary</v>
          </cell>
        </row>
        <row r="8746">
          <cell r="A8746">
            <v>3412047</v>
          </cell>
          <cell r="B8746">
            <v>104534</v>
          </cell>
          <cell r="C8746" t="str">
            <v>Dovedale Infant School</v>
          </cell>
          <cell r="D8746" t="str">
            <v>Liverpool</v>
          </cell>
          <cell r="E8746" t="str">
            <v>Community School</v>
          </cell>
          <cell r="F8746" t="str">
            <v>Primary</v>
          </cell>
        </row>
        <row r="8747">
          <cell r="A8747">
            <v>3412046</v>
          </cell>
          <cell r="B8747">
            <v>104533</v>
          </cell>
          <cell r="C8747" t="str">
            <v>Dovedale Junior School</v>
          </cell>
          <cell r="D8747" t="str">
            <v>Liverpool</v>
          </cell>
          <cell r="E8747" t="str">
            <v>Community School</v>
          </cell>
          <cell r="F8747" t="str">
            <v>Primary</v>
          </cell>
        </row>
        <row r="8748">
          <cell r="A8748">
            <v>8302363</v>
          </cell>
          <cell r="B8748">
            <v>112700</v>
          </cell>
          <cell r="C8748" t="str">
            <v>Dovedale Primary School</v>
          </cell>
          <cell r="D8748" t="str">
            <v>Derbyshire</v>
          </cell>
          <cell r="E8748" t="str">
            <v>Community School</v>
          </cell>
          <cell r="F8748" t="str">
            <v>Primary</v>
          </cell>
        </row>
        <row r="8749">
          <cell r="A8749">
            <v>9242234</v>
          </cell>
          <cell r="B8749">
            <v>120010</v>
          </cell>
          <cell r="C8749" t="str">
            <v>Dovelands Infant School</v>
          </cell>
          <cell r="D8749" t="str">
            <v>Pre LGR (1997) Leicestershire</v>
          </cell>
          <cell r="E8749" t="str">
            <v>Community School</v>
          </cell>
          <cell r="F8749" t="str">
            <v>Primary</v>
          </cell>
        </row>
        <row r="8750">
          <cell r="A8750">
            <v>9242235</v>
          </cell>
          <cell r="B8750">
            <v>120011</v>
          </cell>
          <cell r="C8750" t="str">
            <v>Dovelands Junior School C.O. Glebelands Primary School</v>
          </cell>
          <cell r="D8750" t="str">
            <v>Pre LGR (1997) Leicestershire</v>
          </cell>
          <cell r="E8750" t="str">
            <v>Community School</v>
          </cell>
          <cell r="F8750" t="str">
            <v>Primary</v>
          </cell>
        </row>
        <row r="8751">
          <cell r="A8751">
            <v>8562387</v>
          </cell>
          <cell r="B8751">
            <v>130927</v>
          </cell>
          <cell r="C8751" t="str">
            <v>Dovelands Primary School</v>
          </cell>
          <cell r="D8751" t="str">
            <v>Leicester</v>
          </cell>
          <cell r="E8751" t="str">
            <v>Community School</v>
          </cell>
          <cell r="F8751" t="str">
            <v>Primary</v>
          </cell>
        </row>
        <row r="8752">
          <cell r="A8752">
            <v>8866917</v>
          </cell>
          <cell r="B8752">
            <v>136175</v>
          </cell>
          <cell r="C8752" t="str">
            <v>Dover Christ Church Academy</v>
          </cell>
          <cell r="D8752" t="str">
            <v>Kent</v>
          </cell>
          <cell r="E8752" t="str">
            <v>Academy Sponsor Led</v>
          </cell>
          <cell r="F8752" t="str">
            <v>Secondary</v>
          </cell>
        </row>
        <row r="8753">
          <cell r="A8753">
            <v>8866003</v>
          </cell>
          <cell r="B8753">
            <v>118940</v>
          </cell>
          <cell r="C8753" t="str">
            <v>Dover College</v>
          </cell>
          <cell r="D8753" t="str">
            <v>Kent</v>
          </cell>
          <cell r="E8753" t="str">
            <v>Other Independent School</v>
          </cell>
          <cell r="F8753" t="str">
            <v>Not applicable</v>
          </cell>
        </row>
        <row r="8754">
          <cell r="A8754">
            <v>8866087</v>
          </cell>
          <cell r="B8754">
            <v>132116</v>
          </cell>
          <cell r="C8754" t="str">
            <v>Dover College International Study Centre</v>
          </cell>
          <cell r="D8754" t="str">
            <v>Kent</v>
          </cell>
          <cell r="E8754" t="str">
            <v>Other Independent School</v>
          </cell>
          <cell r="F8754" t="str">
            <v>Not applicable</v>
          </cell>
        </row>
        <row r="8755">
          <cell r="A8755">
            <v>8865459</v>
          </cell>
          <cell r="B8755">
            <v>118931</v>
          </cell>
          <cell r="C8755" t="str">
            <v>Dover Grammar School for Boys</v>
          </cell>
          <cell r="D8755" t="str">
            <v>Kent</v>
          </cell>
          <cell r="E8755" t="str">
            <v>Foundation School</v>
          </cell>
          <cell r="F8755" t="str">
            <v>Secondary</v>
          </cell>
        </row>
        <row r="8756">
          <cell r="A8756">
            <v>8864109</v>
          </cell>
          <cell r="B8756">
            <v>118806</v>
          </cell>
          <cell r="C8756" t="str">
            <v>Dover Grammar School for Girls</v>
          </cell>
          <cell r="D8756" t="str">
            <v>Kent</v>
          </cell>
          <cell r="E8756" t="str">
            <v>Community School</v>
          </cell>
          <cell r="F8756" t="str">
            <v>Secondary</v>
          </cell>
        </row>
        <row r="8757">
          <cell r="A8757">
            <v>9212042</v>
          </cell>
          <cell r="B8757">
            <v>118179</v>
          </cell>
          <cell r="C8757" t="str">
            <v>Dover Park Primary School</v>
          </cell>
          <cell r="D8757" t="str">
            <v>Isle of Wight</v>
          </cell>
          <cell r="E8757" t="str">
            <v>Community School</v>
          </cell>
          <cell r="F8757" t="str">
            <v>Primary</v>
          </cell>
        </row>
        <row r="8758">
          <cell r="A8758">
            <v>8862670</v>
          </cell>
          <cell r="B8758">
            <v>118581</v>
          </cell>
          <cell r="C8758" t="str">
            <v>Dover Road Community Primary School</v>
          </cell>
          <cell r="D8758" t="str">
            <v>Kent</v>
          </cell>
          <cell r="E8758" t="str">
            <v>Community School</v>
          </cell>
          <cell r="F8758" t="str">
            <v>Primary</v>
          </cell>
        </row>
        <row r="8759">
          <cell r="A8759">
            <v>9222115</v>
          </cell>
          <cell r="B8759">
            <v>129354</v>
          </cell>
          <cell r="C8759" t="str">
            <v>Dover Road County Infant School</v>
          </cell>
          <cell r="D8759" t="str">
            <v>Pre LGR (1998) Kent</v>
          </cell>
          <cell r="E8759" t="str">
            <v>Community School</v>
          </cell>
          <cell r="F8759" t="str">
            <v>Primary</v>
          </cell>
        </row>
        <row r="8760">
          <cell r="A8760">
            <v>9222113</v>
          </cell>
          <cell r="B8760">
            <v>129353</v>
          </cell>
          <cell r="C8760" t="str">
            <v>Dover Road County Junior School</v>
          </cell>
          <cell r="D8760" t="str">
            <v>Pre LGR (1998) Kent</v>
          </cell>
          <cell r="E8760" t="str">
            <v>Community School</v>
          </cell>
          <cell r="F8760" t="str">
            <v>Primary</v>
          </cell>
        </row>
        <row r="8761">
          <cell r="A8761">
            <v>8863356</v>
          </cell>
          <cell r="B8761">
            <v>118748</v>
          </cell>
          <cell r="C8761" t="str">
            <v>Dover, St Mary's Church of England Primary School</v>
          </cell>
          <cell r="D8761" t="str">
            <v>Kent</v>
          </cell>
          <cell r="E8761" t="str">
            <v>Voluntary Aided School</v>
          </cell>
          <cell r="F8761" t="str">
            <v>Primary</v>
          </cell>
        </row>
        <row r="8762">
          <cell r="A8762">
            <v>9316104</v>
          </cell>
          <cell r="B8762">
            <v>123318</v>
          </cell>
          <cell r="C8762" t="str">
            <v>d'Overbroeck's College</v>
          </cell>
          <cell r="D8762" t="str">
            <v>Oxfordshire</v>
          </cell>
          <cell r="E8762" t="str">
            <v>Other Independent School</v>
          </cell>
          <cell r="F8762" t="str">
            <v>Not applicable</v>
          </cell>
        </row>
        <row r="8763">
          <cell r="A8763">
            <v>8302085</v>
          </cell>
          <cell r="B8763">
            <v>112537</v>
          </cell>
          <cell r="C8763" t="str">
            <v>Doveridge Primary School</v>
          </cell>
          <cell r="D8763" t="str">
            <v>Derbyshire</v>
          </cell>
          <cell r="E8763" t="str">
            <v>Community School</v>
          </cell>
          <cell r="F8763" t="str">
            <v>Primary</v>
          </cell>
        </row>
        <row r="8764">
          <cell r="A8764">
            <v>9362316</v>
          </cell>
          <cell r="B8764">
            <v>125015</v>
          </cell>
          <cell r="C8764" t="str">
            <v>Dovers Green School</v>
          </cell>
          <cell r="D8764" t="str">
            <v>Surrey</v>
          </cell>
          <cell r="E8764" t="str">
            <v>Community School</v>
          </cell>
          <cell r="F8764" t="str">
            <v>Primary</v>
          </cell>
        </row>
        <row r="8765">
          <cell r="A8765">
            <v>8232189</v>
          </cell>
          <cell r="B8765">
            <v>109516</v>
          </cell>
          <cell r="C8765" t="str">
            <v>Dovery Down Lower School</v>
          </cell>
          <cell r="D8765" t="str">
            <v>Central Bedfordshire</v>
          </cell>
          <cell r="E8765" t="str">
            <v>Community School</v>
          </cell>
          <cell r="F8765" t="str">
            <v>Primary</v>
          </cell>
        </row>
        <row r="8766">
          <cell r="A8766">
            <v>9094150</v>
          </cell>
          <cell r="B8766">
            <v>112383</v>
          </cell>
          <cell r="C8766" t="str">
            <v>Dowdales School</v>
          </cell>
          <cell r="D8766" t="str">
            <v>Cumbria</v>
          </cell>
          <cell r="E8766" t="str">
            <v>Community School</v>
          </cell>
          <cell r="F8766" t="str">
            <v>Secondary</v>
          </cell>
        </row>
        <row r="8767">
          <cell r="A8767">
            <v>6752008</v>
          </cell>
          <cell r="B8767">
            <v>401273</v>
          </cell>
          <cell r="C8767" t="str">
            <v>Dowlais Infants School</v>
          </cell>
          <cell r="D8767" t="str">
            <v>Merthyr Tydfil</v>
          </cell>
          <cell r="E8767" t="str">
            <v>Welsh Establishment</v>
          </cell>
          <cell r="F8767" t="str">
            <v>Primary</v>
          </cell>
        </row>
        <row r="8768">
          <cell r="A8768">
            <v>9163087</v>
          </cell>
          <cell r="B8768">
            <v>115664</v>
          </cell>
          <cell r="C8768" t="str">
            <v>Down Ampney Church of England Primary School</v>
          </cell>
          <cell r="D8768" t="str">
            <v>Gloucestershire</v>
          </cell>
          <cell r="E8768" t="str">
            <v>Voluntary Controlled School</v>
          </cell>
          <cell r="F8768" t="str">
            <v>Primary</v>
          </cell>
        </row>
        <row r="8769">
          <cell r="A8769">
            <v>8452052</v>
          </cell>
          <cell r="B8769">
            <v>114387</v>
          </cell>
          <cell r="C8769" t="str">
            <v>Down County Infant School</v>
          </cell>
          <cell r="D8769" t="str">
            <v>East Sussex</v>
          </cell>
          <cell r="E8769" t="str">
            <v>Community School</v>
          </cell>
          <cell r="F8769" t="str">
            <v>Primary</v>
          </cell>
        </row>
        <row r="8770">
          <cell r="A8770">
            <v>8812656</v>
          </cell>
          <cell r="B8770">
            <v>114936</v>
          </cell>
          <cell r="C8770" t="str">
            <v>Down Hall Primary School</v>
          </cell>
          <cell r="D8770" t="str">
            <v>Essex</v>
          </cell>
          <cell r="E8770" t="str">
            <v>Community School</v>
          </cell>
          <cell r="F8770" t="str">
            <v>Primary</v>
          </cell>
        </row>
        <row r="8771">
          <cell r="A8771">
            <v>3092019</v>
          </cell>
          <cell r="B8771">
            <v>102090</v>
          </cell>
          <cell r="C8771" t="str">
            <v>Down Lane Junior School</v>
          </cell>
          <cell r="D8771" t="str">
            <v>Haringey</v>
          </cell>
          <cell r="E8771" t="str">
            <v>Community School</v>
          </cell>
          <cell r="F8771" t="str">
            <v>Primary</v>
          </cell>
        </row>
        <row r="8772">
          <cell r="A8772">
            <v>2092163</v>
          </cell>
          <cell r="B8772">
            <v>100679</v>
          </cell>
          <cell r="C8772" t="str">
            <v>Downderry Primary School</v>
          </cell>
          <cell r="D8772" t="str">
            <v>Lewisham</v>
          </cell>
          <cell r="E8772" t="str">
            <v>Community School</v>
          </cell>
          <cell r="F8772" t="str">
            <v>Primary</v>
          </cell>
        </row>
        <row r="8773">
          <cell r="A8773">
            <v>8696002</v>
          </cell>
          <cell r="B8773">
            <v>110123</v>
          </cell>
          <cell r="C8773" t="str">
            <v>Downe House</v>
          </cell>
          <cell r="D8773" t="str">
            <v>West Berkshire</v>
          </cell>
          <cell r="E8773" t="str">
            <v>Other Independent School</v>
          </cell>
          <cell r="F8773" t="str">
            <v>Not applicable</v>
          </cell>
        </row>
        <row r="8774">
          <cell r="A8774">
            <v>3072092</v>
          </cell>
          <cell r="B8774">
            <v>101880</v>
          </cell>
          <cell r="C8774" t="str">
            <v>Downe Manor Primary School</v>
          </cell>
          <cell r="D8774" t="str">
            <v>Ealing</v>
          </cell>
          <cell r="E8774" t="str">
            <v>Community School</v>
          </cell>
          <cell r="F8774" t="str">
            <v>Primary</v>
          </cell>
        </row>
        <row r="8775">
          <cell r="A8775">
            <v>3052041</v>
          </cell>
          <cell r="B8775">
            <v>101614</v>
          </cell>
          <cell r="C8775" t="str">
            <v>Downe Primary School</v>
          </cell>
          <cell r="D8775" t="str">
            <v>Bromley</v>
          </cell>
          <cell r="E8775" t="str">
            <v>Community School</v>
          </cell>
          <cell r="F8775" t="str">
            <v>Primary</v>
          </cell>
        </row>
        <row r="8776">
          <cell r="A8776">
            <v>8034148</v>
          </cell>
          <cell r="B8776">
            <v>109321</v>
          </cell>
          <cell r="C8776" t="str">
            <v>Downend Comprehensive School</v>
          </cell>
          <cell r="D8776" t="str">
            <v>South Gloucestershire</v>
          </cell>
          <cell r="E8776" t="str">
            <v>Community School</v>
          </cell>
          <cell r="F8776" t="str">
            <v>Secondary</v>
          </cell>
        </row>
        <row r="8777">
          <cell r="A8777">
            <v>9012223</v>
          </cell>
          <cell r="B8777">
            <v>128225</v>
          </cell>
          <cell r="C8777" t="str">
            <v>Downend Infant School</v>
          </cell>
          <cell r="D8777" t="str">
            <v>Pre LGR (1996) Avon</v>
          </cell>
          <cell r="E8777" t="str">
            <v>Community School</v>
          </cell>
          <cell r="F8777" t="str">
            <v>Primary</v>
          </cell>
        </row>
        <row r="8778">
          <cell r="A8778">
            <v>9012178</v>
          </cell>
          <cell r="B8778">
            <v>128224</v>
          </cell>
          <cell r="C8778" t="str">
            <v>Downend Junior School</v>
          </cell>
          <cell r="D8778" t="str">
            <v>Pre LGR (1996) Avon</v>
          </cell>
          <cell r="E8778" t="str">
            <v>Community School</v>
          </cell>
          <cell r="F8778" t="str">
            <v>Primary</v>
          </cell>
        </row>
        <row r="8779">
          <cell r="A8779">
            <v>9192289</v>
          </cell>
          <cell r="B8779">
            <v>117255</v>
          </cell>
          <cell r="C8779" t="str">
            <v>Downfield Primary School</v>
          </cell>
          <cell r="D8779" t="str">
            <v>Hertfordshire</v>
          </cell>
          <cell r="E8779" t="str">
            <v>Community School</v>
          </cell>
          <cell r="F8779" t="str">
            <v>Primary</v>
          </cell>
        </row>
        <row r="8780">
          <cell r="A8780">
            <v>8813224</v>
          </cell>
          <cell r="B8780">
            <v>115119</v>
          </cell>
          <cell r="C8780" t="str">
            <v>Downham Church of England Voluntary Controlled Primary School</v>
          </cell>
          <cell r="D8780" t="str">
            <v>Essex</v>
          </cell>
          <cell r="E8780" t="str">
            <v>Voluntary Controlled School</v>
          </cell>
          <cell r="F8780" t="str">
            <v>Primary</v>
          </cell>
        </row>
        <row r="8781">
          <cell r="A8781">
            <v>8733044</v>
          </cell>
          <cell r="B8781">
            <v>110799</v>
          </cell>
          <cell r="C8781" t="str">
            <v>Downham Feoffees Primary School</v>
          </cell>
          <cell r="D8781" t="str">
            <v>Cambridgeshire</v>
          </cell>
          <cell r="E8781" t="str">
            <v>Voluntary Controlled School</v>
          </cell>
          <cell r="F8781" t="str">
            <v>Primary</v>
          </cell>
        </row>
        <row r="8782">
          <cell r="A8782">
            <v>8736026</v>
          </cell>
          <cell r="B8782">
            <v>131398</v>
          </cell>
          <cell r="C8782" t="str">
            <v>Downham Lodge School</v>
          </cell>
          <cell r="D8782" t="str">
            <v>Cambridgeshire</v>
          </cell>
          <cell r="E8782" t="str">
            <v>Other Independent Special School</v>
          </cell>
          <cell r="F8782" t="str">
            <v>Not applicable</v>
          </cell>
        </row>
        <row r="8783">
          <cell r="A8783">
            <v>9265402</v>
          </cell>
          <cell r="B8783">
            <v>121210</v>
          </cell>
          <cell r="C8783" t="str">
            <v>Downham Market High School - Technology College</v>
          </cell>
          <cell r="D8783" t="str">
            <v>Norfolk</v>
          </cell>
          <cell r="E8783" t="str">
            <v>Foundation School</v>
          </cell>
          <cell r="F8783" t="str">
            <v>Secondary</v>
          </cell>
        </row>
        <row r="8784">
          <cell r="A8784">
            <v>9262411</v>
          </cell>
          <cell r="B8784">
            <v>121013</v>
          </cell>
          <cell r="C8784" t="str">
            <v>Downham Market, Hillcrest Primary School</v>
          </cell>
          <cell r="D8784" t="str">
            <v>Norfolk</v>
          </cell>
          <cell r="E8784" t="str">
            <v>Community School</v>
          </cell>
          <cell r="F8784" t="str">
            <v>Primary</v>
          </cell>
        </row>
        <row r="8785">
          <cell r="A8785">
            <v>9266143</v>
          </cell>
          <cell r="B8785">
            <v>121251</v>
          </cell>
          <cell r="C8785" t="str">
            <v>Downham Preparatory School and Montessori Nursery</v>
          </cell>
          <cell r="D8785" t="str">
            <v>Norfolk</v>
          </cell>
          <cell r="E8785" t="str">
            <v>Other Independent School</v>
          </cell>
          <cell r="F8785" t="str">
            <v>Not applicable</v>
          </cell>
        </row>
        <row r="8786">
          <cell r="A8786">
            <v>8797063</v>
          </cell>
          <cell r="B8786">
            <v>113645</v>
          </cell>
          <cell r="C8786" t="str">
            <v>Downham Special School</v>
          </cell>
          <cell r="D8786" t="str">
            <v>Plymouth</v>
          </cell>
          <cell r="E8786" t="str">
            <v>Community Special School</v>
          </cell>
          <cell r="F8786" t="str">
            <v>Special</v>
          </cell>
        </row>
        <row r="8787">
          <cell r="A8787">
            <v>3932007</v>
          </cell>
          <cell r="B8787">
            <v>108670</v>
          </cell>
          <cell r="C8787" t="str">
            <v>Downhill Infants' and Nursery School</v>
          </cell>
          <cell r="D8787" t="str">
            <v>South Tyneside</v>
          </cell>
          <cell r="E8787" t="str">
            <v>Community School</v>
          </cell>
          <cell r="F8787" t="str">
            <v>Primary</v>
          </cell>
        </row>
        <row r="8788">
          <cell r="A8788">
            <v>3931002</v>
          </cell>
          <cell r="B8788">
            <v>108660</v>
          </cell>
          <cell r="C8788" t="str">
            <v>Downhill Nursery School</v>
          </cell>
          <cell r="D8788" t="str">
            <v>South Tyneside</v>
          </cell>
          <cell r="E8788" t="str">
            <v>LA Nursery School</v>
          </cell>
          <cell r="F8788" t="str">
            <v>Nursery</v>
          </cell>
        </row>
        <row r="8789">
          <cell r="A8789">
            <v>3942087</v>
          </cell>
          <cell r="B8789">
            <v>108782</v>
          </cell>
          <cell r="C8789" t="str">
            <v>Downhill Primary School</v>
          </cell>
          <cell r="D8789" t="str">
            <v>Sunderland</v>
          </cell>
          <cell r="E8789" t="str">
            <v>Community School</v>
          </cell>
          <cell r="F8789" t="str">
            <v>Primary</v>
          </cell>
        </row>
        <row r="8790">
          <cell r="A8790">
            <v>3092018</v>
          </cell>
          <cell r="B8790">
            <v>102089</v>
          </cell>
          <cell r="C8790" t="str">
            <v>Downhills Infant School</v>
          </cell>
          <cell r="D8790" t="str">
            <v>Haringey</v>
          </cell>
          <cell r="E8790" t="str">
            <v>Community School</v>
          </cell>
          <cell r="F8790" t="str">
            <v>Primary</v>
          </cell>
        </row>
        <row r="8791">
          <cell r="A8791">
            <v>3092017</v>
          </cell>
          <cell r="B8791">
            <v>102088</v>
          </cell>
          <cell r="C8791" t="str">
            <v>Downhills Junior School</v>
          </cell>
          <cell r="D8791" t="str">
            <v>Haringey</v>
          </cell>
          <cell r="E8791" t="str">
            <v>Community School</v>
          </cell>
          <cell r="F8791" t="str">
            <v>Primary</v>
          </cell>
        </row>
        <row r="8792">
          <cell r="A8792">
            <v>3092087</v>
          </cell>
          <cell r="B8792">
            <v>132252</v>
          </cell>
          <cell r="C8792" t="str">
            <v>Downhills Primary School</v>
          </cell>
          <cell r="D8792" t="str">
            <v>Haringey</v>
          </cell>
          <cell r="E8792" t="str">
            <v>Community School</v>
          </cell>
          <cell r="F8792" t="str">
            <v>Primary</v>
          </cell>
        </row>
        <row r="8793">
          <cell r="A8793">
            <v>8883419</v>
          </cell>
          <cell r="B8793">
            <v>119479</v>
          </cell>
          <cell r="C8793" t="str">
            <v>Downholland-Haskayne Voluntary Aided Church of England Primary School</v>
          </cell>
          <cell r="D8793" t="str">
            <v>Lancashire</v>
          </cell>
          <cell r="E8793" t="str">
            <v>Voluntary Aided School</v>
          </cell>
          <cell r="F8793" t="str">
            <v>Primary</v>
          </cell>
        </row>
        <row r="8794">
          <cell r="A8794">
            <v>8657007</v>
          </cell>
          <cell r="B8794">
            <v>126550</v>
          </cell>
          <cell r="C8794" t="str">
            <v>Downland School</v>
          </cell>
          <cell r="D8794" t="str">
            <v>Wiltshire</v>
          </cell>
          <cell r="E8794" t="str">
            <v>Community Special School</v>
          </cell>
          <cell r="F8794" t="str">
            <v>Special</v>
          </cell>
        </row>
        <row r="8795">
          <cell r="A8795">
            <v>8352002</v>
          </cell>
          <cell r="B8795">
            <v>113659</v>
          </cell>
          <cell r="C8795" t="str">
            <v>Downlands Community School</v>
          </cell>
          <cell r="D8795" t="str">
            <v>Dorset</v>
          </cell>
          <cell r="E8795" t="str">
            <v>Community School</v>
          </cell>
          <cell r="F8795" t="str">
            <v>Primary</v>
          </cell>
        </row>
        <row r="8796">
          <cell r="A8796">
            <v>9384105</v>
          </cell>
          <cell r="B8796">
            <v>126087</v>
          </cell>
          <cell r="C8796" t="str">
            <v>Downlands Community School</v>
          </cell>
          <cell r="D8796" t="str">
            <v>West Sussex</v>
          </cell>
          <cell r="E8796" t="str">
            <v>Community School</v>
          </cell>
          <cell r="F8796" t="str">
            <v>Secondary</v>
          </cell>
        </row>
        <row r="8797">
          <cell r="A8797">
            <v>8252029</v>
          </cell>
          <cell r="B8797">
            <v>110221</v>
          </cell>
          <cell r="C8797" t="str">
            <v>Downley County Middle School</v>
          </cell>
          <cell r="D8797" t="str">
            <v>Buckinghamshire</v>
          </cell>
          <cell r="E8797" t="str">
            <v>Community School</v>
          </cell>
          <cell r="F8797" t="str">
            <v>Middle Deemed Primary</v>
          </cell>
        </row>
        <row r="8798">
          <cell r="A8798">
            <v>8262313</v>
          </cell>
          <cell r="B8798">
            <v>110372</v>
          </cell>
          <cell r="C8798" t="str">
            <v>Downs Barn School</v>
          </cell>
          <cell r="D8798" t="str">
            <v>Milton Keynes</v>
          </cell>
          <cell r="E8798" t="str">
            <v>Community School</v>
          </cell>
          <cell r="F8798" t="str">
            <v>Primary</v>
          </cell>
        </row>
        <row r="8799">
          <cell r="A8799">
            <v>8462010</v>
          </cell>
          <cell r="B8799">
            <v>114367</v>
          </cell>
          <cell r="C8799" t="str">
            <v>Downs Infant School</v>
          </cell>
          <cell r="D8799" t="str">
            <v>Brighton and Hove</v>
          </cell>
          <cell r="E8799" t="str">
            <v>Community School</v>
          </cell>
          <cell r="F8799" t="str">
            <v>Primary</v>
          </cell>
        </row>
        <row r="8800">
          <cell r="A8800">
            <v>8462009</v>
          </cell>
          <cell r="B8800">
            <v>114366</v>
          </cell>
          <cell r="C8800" t="str">
            <v>Downs Junior School</v>
          </cell>
          <cell r="D8800" t="str">
            <v>Brighton and Hove</v>
          </cell>
          <cell r="E8800" t="str">
            <v>Community School</v>
          </cell>
          <cell r="F8800" t="str">
            <v>Primary</v>
          </cell>
        </row>
        <row r="8801">
          <cell r="A8801">
            <v>8467016</v>
          </cell>
          <cell r="B8801">
            <v>114685</v>
          </cell>
          <cell r="C8801" t="str">
            <v>Downs Park School</v>
          </cell>
          <cell r="D8801" t="str">
            <v>Brighton and Hove</v>
          </cell>
          <cell r="E8801" t="str">
            <v>Community Special School</v>
          </cell>
          <cell r="F8801" t="str">
            <v>Special</v>
          </cell>
        </row>
        <row r="8802">
          <cell r="A8802">
            <v>8862574</v>
          </cell>
          <cell r="B8802">
            <v>118523</v>
          </cell>
          <cell r="C8802" t="str">
            <v>Downs View Infant School</v>
          </cell>
          <cell r="D8802" t="str">
            <v>Kent</v>
          </cell>
          <cell r="E8802" t="str">
            <v>Community School</v>
          </cell>
          <cell r="F8802" t="str">
            <v>Primary</v>
          </cell>
        </row>
        <row r="8803">
          <cell r="A8803">
            <v>8467006</v>
          </cell>
          <cell r="B8803">
            <v>114680</v>
          </cell>
          <cell r="C8803" t="str">
            <v>Downs View Special School</v>
          </cell>
          <cell r="D8803" t="str">
            <v>Brighton and Hove</v>
          </cell>
          <cell r="E8803" t="str">
            <v>Community Special School</v>
          </cell>
          <cell r="F8803" t="str">
            <v>Special</v>
          </cell>
        </row>
        <row r="8804">
          <cell r="A8804">
            <v>9362399</v>
          </cell>
          <cell r="B8804">
            <v>125043</v>
          </cell>
          <cell r="C8804" t="str">
            <v>Downs Way School</v>
          </cell>
          <cell r="D8804" t="str">
            <v>Surrey</v>
          </cell>
          <cell r="E8804" t="str">
            <v>Community School</v>
          </cell>
          <cell r="F8804" t="str">
            <v>Primary</v>
          </cell>
        </row>
        <row r="8805">
          <cell r="A8805">
            <v>9382140</v>
          </cell>
          <cell r="B8805">
            <v>125894</v>
          </cell>
          <cell r="C8805" t="str">
            <v>Downsbrook Middle School</v>
          </cell>
          <cell r="D8805" t="str">
            <v>West Sussex</v>
          </cell>
          <cell r="E8805" t="str">
            <v>Community School</v>
          </cell>
          <cell r="F8805" t="str">
            <v>Middle Deemed Primary</v>
          </cell>
        </row>
        <row r="8806">
          <cell r="A8806">
            <v>3202016</v>
          </cell>
          <cell r="B8806">
            <v>103043</v>
          </cell>
          <cell r="C8806" t="str">
            <v>Downsell Junior School</v>
          </cell>
          <cell r="D8806" t="str">
            <v>Waltham Forest</v>
          </cell>
          <cell r="E8806" t="str">
            <v>Community School</v>
          </cell>
          <cell r="F8806" t="str">
            <v>Primary</v>
          </cell>
        </row>
        <row r="8807">
          <cell r="A8807">
            <v>3202017</v>
          </cell>
          <cell r="B8807">
            <v>103044</v>
          </cell>
          <cell r="C8807" t="str">
            <v>Downsell Primary School</v>
          </cell>
          <cell r="D8807" t="str">
            <v>Waltham Forest</v>
          </cell>
          <cell r="E8807" t="str">
            <v>Community School</v>
          </cell>
          <cell r="F8807" t="str">
            <v>Primary</v>
          </cell>
        </row>
        <row r="8808">
          <cell r="A8808">
            <v>9366065</v>
          </cell>
          <cell r="B8808">
            <v>125351</v>
          </cell>
          <cell r="C8808" t="str">
            <v>Downsend School</v>
          </cell>
          <cell r="D8808" t="str">
            <v>Surrey</v>
          </cell>
          <cell r="E8808" t="str">
            <v>Other Independent School</v>
          </cell>
          <cell r="F8808" t="str">
            <v>Not applicable</v>
          </cell>
        </row>
        <row r="8809">
          <cell r="A8809">
            <v>9366199</v>
          </cell>
          <cell r="B8809">
            <v>125378</v>
          </cell>
          <cell r="C8809" t="str">
            <v>Downsend School - Epsom Lodge</v>
          </cell>
          <cell r="D8809" t="str">
            <v>Surrey</v>
          </cell>
          <cell r="E8809" t="str">
            <v>Other Independent School</v>
          </cell>
          <cell r="F8809" t="str">
            <v>Not applicable</v>
          </cell>
        </row>
        <row r="8810">
          <cell r="A8810">
            <v>9366548</v>
          </cell>
          <cell r="B8810">
            <v>125432</v>
          </cell>
          <cell r="C8810" t="str">
            <v>Downsend School Ashtead Lodge</v>
          </cell>
          <cell r="D8810" t="str">
            <v>Surrey</v>
          </cell>
          <cell r="E8810" t="str">
            <v>Other Independent School</v>
          </cell>
          <cell r="F8810" t="str">
            <v>Not applicable</v>
          </cell>
        </row>
        <row r="8811">
          <cell r="A8811">
            <v>9366247</v>
          </cell>
          <cell r="B8811">
            <v>125384</v>
          </cell>
          <cell r="C8811" t="str">
            <v>Downsend School, Leatherhead Lodge</v>
          </cell>
          <cell r="D8811" t="str">
            <v>Surrey</v>
          </cell>
          <cell r="E8811" t="str">
            <v>Other Independent School</v>
          </cell>
          <cell r="F8811" t="str">
            <v>Not applicable</v>
          </cell>
        </row>
        <row r="8812">
          <cell r="A8812">
            <v>9366435</v>
          </cell>
          <cell r="B8812">
            <v>125405</v>
          </cell>
          <cell r="C8812" t="str">
            <v>Downsend School, Leatherhead Lodge</v>
          </cell>
          <cell r="D8812" t="str">
            <v>Surrey</v>
          </cell>
          <cell r="E8812" t="str">
            <v>Other Independent School</v>
          </cell>
          <cell r="F8812" t="str">
            <v>Not applicable</v>
          </cell>
        </row>
        <row r="8813">
          <cell r="A8813">
            <v>3172015</v>
          </cell>
          <cell r="B8813">
            <v>102800</v>
          </cell>
          <cell r="C8813" t="str">
            <v>Downshall Primary School</v>
          </cell>
          <cell r="D8813" t="str">
            <v>Redbridge</v>
          </cell>
          <cell r="E8813" t="str">
            <v>Community School</v>
          </cell>
          <cell r="F8813" t="str">
            <v>Primary</v>
          </cell>
        </row>
        <row r="8814">
          <cell r="A8814">
            <v>8456012</v>
          </cell>
          <cell r="B8814">
            <v>114662</v>
          </cell>
          <cell r="C8814" t="str">
            <v>Downshead School</v>
          </cell>
          <cell r="D8814" t="str">
            <v>East Sussex</v>
          </cell>
          <cell r="E8814" t="str">
            <v>Other Independent Special School</v>
          </cell>
          <cell r="F8814" t="str">
            <v>Not applicable</v>
          </cell>
        </row>
        <row r="8815">
          <cell r="A8815">
            <v>9172686</v>
          </cell>
          <cell r="B8815">
            <v>129017</v>
          </cell>
          <cell r="C8815" t="str">
            <v>Downside First School</v>
          </cell>
          <cell r="D8815" t="str">
            <v>Pre LGR (1997) Hampshire</v>
          </cell>
          <cell r="E8815" t="str">
            <v>Community School</v>
          </cell>
          <cell r="F8815" t="str">
            <v>Primary</v>
          </cell>
        </row>
        <row r="8816">
          <cell r="A8816">
            <v>8212258</v>
          </cell>
          <cell r="B8816">
            <v>109566</v>
          </cell>
          <cell r="C8816" t="str">
            <v>Downside Junior School</v>
          </cell>
          <cell r="D8816" t="str">
            <v>Luton</v>
          </cell>
          <cell r="E8816" t="str">
            <v>Community School</v>
          </cell>
          <cell r="F8816" t="str">
            <v>Primary</v>
          </cell>
        </row>
        <row r="8817">
          <cell r="A8817">
            <v>3066054</v>
          </cell>
          <cell r="B8817">
            <v>132845</v>
          </cell>
          <cell r="C8817" t="str">
            <v>Downside Lodge Preparatory School</v>
          </cell>
          <cell r="D8817" t="str">
            <v>Croydon</v>
          </cell>
          <cell r="E8817" t="str">
            <v>Other Independent School</v>
          </cell>
          <cell r="F8817" t="str">
            <v>Not applicable</v>
          </cell>
        </row>
        <row r="8818">
          <cell r="A8818">
            <v>8232285</v>
          </cell>
          <cell r="B8818">
            <v>109589</v>
          </cell>
          <cell r="C8818" t="str">
            <v>Downside Lower School</v>
          </cell>
          <cell r="D8818" t="str">
            <v>Central Bedfordshire</v>
          </cell>
          <cell r="E8818" t="str">
            <v>Community School</v>
          </cell>
          <cell r="F8818" t="str">
            <v>Primary</v>
          </cell>
        </row>
        <row r="8819">
          <cell r="A8819">
            <v>9214016</v>
          </cell>
          <cell r="B8819">
            <v>118206</v>
          </cell>
          <cell r="C8819" t="str">
            <v>Downside Middle School</v>
          </cell>
          <cell r="D8819" t="str">
            <v>Isle of Wight</v>
          </cell>
          <cell r="E8819" t="str">
            <v>Community School</v>
          </cell>
          <cell r="F8819" t="str">
            <v>Middle Deemed Secondary</v>
          </cell>
        </row>
        <row r="8820">
          <cell r="A8820">
            <v>8212259</v>
          </cell>
          <cell r="B8820">
            <v>109567</v>
          </cell>
          <cell r="C8820" t="str">
            <v>Downside Primary School</v>
          </cell>
          <cell r="D8820" t="str">
            <v>Luton</v>
          </cell>
          <cell r="E8820" t="str">
            <v>Community School</v>
          </cell>
          <cell r="F8820" t="str">
            <v>Primary</v>
          </cell>
        </row>
        <row r="8821">
          <cell r="A8821">
            <v>3066004</v>
          </cell>
          <cell r="B8821">
            <v>101830</v>
          </cell>
          <cell r="C8821" t="str">
            <v>Downside School</v>
          </cell>
          <cell r="D8821" t="str">
            <v>Croydon</v>
          </cell>
          <cell r="E8821" t="str">
            <v>Other Independent School</v>
          </cell>
          <cell r="F8821" t="str">
            <v>Not applicable</v>
          </cell>
        </row>
        <row r="8822">
          <cell r="A8822">
            <v>9336021</v>
          </cell>
          <cell r="B8822">
            <v>123910</v>
          </cell>
          <cell r="C8822" t="str">
            <v>Downside School</v>
          </cell>
          <cell r="D8822" t="str">
            <v>Somerset</v>
          </cell>
          <cell r="E8822" t="str">
            <v>Other Independent School</v>
          </cell>
          <cell r="F8822" t="str">
            <v>Not applicable</v>
          </cell>
        </row>
        <row r="8823">
          <cell r="A8823">
            <v>8863896</v>
          </cell>
          <cell r="B8823">
            <v>134515</v>
          </cell>
          <cell r="C8823" t="str">
            <v>Downsview Community Primary School</v>
          </cell>
          <cell r="D8823" t="str">
            <v>Kent</v>
          </cell>
          <cell r="E8823" t="str">
            <v>Community School</v>
          </cell>
          <cell r="F8823" t="str">
            <v>Primary</v>
          </cell>
        </row>
        <row r="8824">
          <cell r="A8824">
            <v>8862477</v>
          </cell>
          <cell r="B8824">
            <v>118463</v>
          </cell>
          <cell r="C8824" t="str">
            <v>Downsview Infant School</v>
          </cell>
          <cell r="D8824" t="str">
            <v>Kent</v>
          </cell>
          <cell r="E8824" t="str">
            <v>Community School</v>
          </cell>
          <cell r="F8824" t="str">
            <v>Primary</v>
          </cell>
        </row>
        <row r="8825">
          <cell r="A8825">
            <v>8862443</v>
          </cell>
          <cell r="B8825">
            <v>118443</v>
          </cell>
          <cell r="C8825" t="str">
            <v>Downsview Junior School</v>
          </cell>
          <cell r="D8825" t="str">
            <v>Kent</v>
          </cell>
          <cell r="E8825" t="str">
            <v>Community School</v>
          </cell>
          <cell r="F8825" t="str">
            <v>Primary</v>
          </cell>
        </row>
        <row r="8826">
          <cell r="A8826">
            <v>3062093</v>
          </cell>
          <cell r="B8826">
            <v>101778</v>
          </cell>
          <cell r="C8826" t="str">
            <v>Downsview Primary and Nursery School</v>
          </cell>
          <cell r="D8826" t="str">
            <v>Croydon</v>
          </cell>
          <cell r="E8826" t="str">
            <v>Community School</v>
          </cell>
          <cell r="F8826" t="str">
            <v>Primary</v>
          </cell>
        </row>
        <row r="8827">
          <cell r="A8827">
            <v>2047144</v>
          </cell>
          <cell r="B8827">
            <v>100308</v>
          </cell>
          <cell r="C8827" t="str">
            <v>Downsview School</v>
          </cell>
          <cell r="D8827" t="str">
            <v>Hackney</v>
          </cell>
          <cell r="E8827" t="str">
            <v>Community Special School</v>
          </cell>
          <cell r="F8827" t="str">
            <v>Special</v>
          </cell>
        </row>
        <row r="8828">
          <cell r="A8828">
            <v>8692174</v>
          </cell>
          <cell r="B8828">
            <v>109896</v>
          </cell>
          <cell r="C8828" t="str">
            <v>Downsway Primary School</v>
          </cell>
          <cell r="D8828" t="str">
            <v>West Berkshire</v>
          </cell>
          <cell r="E8828" t="str">
            <v>Community School</v>
          </cell>
          <cell r="F8828" t="str">
            <v>Primary</v>
          </cell>
        </row>
        <row r="8829">
          <cell r="A8829">
            <v>8655201</v>
          </cell>
          <cell r="B8829">
            <v>126475</v>
          </cell>
          <cell r="C8829" t="str">
            <v>Downton CofE VA Primary School</v>
          </cell>
          <cell r="D8829" t="str">
            <v>Wiltshire</v>
          </cell>
          <cell r="E8829" t="str">
            <v>Voluntary Aided School</v>
          </cell>
          <cell r="F8829" t="str">
            <v>Primary</v>
          </cell>
        </row>
        <row r="8830">
          <cell r="A8830">
            <v>9382188</v>
          </cell>
          <cell r="B8830">
            <v>125924</v>
          </cell>
          <cell r="C8830" t="str">
            <v>Downview Primary School</v>
          </cell>
          <cell r="D8830" t="str">
            <v>West Sussex</v>
          </cell>
          <cell r="E8830" t="str">
            <v>Community School</v>
          </cell>
          <cell r="F8830" t="str">
            <v>Primary</v>
          </cell>
        </row>
        <row r="8831">
          <cell r="A8831">
            <v>9262331</v>
          </cell>
          <cell r="B8831">
            <v>120966</v>
          </cell>
          <cell r="C8831" t="str">
            <v>Dowson First School</v>
          </cell>
          <cell r="D8831" t="str">
            <v>Norfolk</v>
          </cell>
          <cell r="E8831" t="str">
            <v>Community School</v>
          </cell>
          <cell r="F8831" t="str">
            <v>Primary</v>
          </cell>
        </row>
        <row r="8832">
          <cell r="A8832">
            <v>3572033</v>
          </cell>
          <cell r="B8832">
            <v>106198</v>
          </cell>
          <cell r="C8832" t="str">
            <v>Dowson Primary School</v>
          </cell>
          <cell r="D8832" t="str">
            <v>Tameside</v>
          </cell>
          <cell r="E8832" t="str">
            <v>Community School</v>
          </cell>
          <cell r="F8832" t="str">
            <v>Primary</v>
          </cell>
        </row>
        <row r="8833">
          <cell r="A8833">
            <v>9342290</v>
          </cell>
          <cell r="B8833">
            <v>129893</v>
          </cell>
          <cell r="C8833" t="str">
            <v>Doxey First School</v>
          </cell>
          <cell r="D8833" t="str">
            <v>Pre LGR (1997) Staffordshire</v>
          </cell>
          <cell r="E8833" t="str">
            <v>Community School</v>
          </cell>
          <cell r="F8833" t="str">
            <v>Primary</v>
          </cell>
        </row>
        <row r="8834">
          <cell r="A8834">
            <v>8602404</v>
          </cell>
          <cell r="B8834">
            <v>124200</v>
          </cell>
          <cell r="C8834" t="str">
            <v>Doxey Primary and Nursery School</v>
          </cell>
          <cell r="D8834" t="str">
            <v>Staffordshire</v>
          </cell>
          <cell r="E8834" t="str">
            <v>Community School</v>
          </cell>
          <cell r="F8834" t="str">
            <v>Primary</v>
          </cell>
        </row>
        <row r="8835">
          <cell r="A8835">
            <v>8013300</v>
          </cell>
          <cell r="B8835">
            <v>109232</v>
          </cell>
          <cell r="C8835" t="str">
            <v>Dr Bells and St Matthia's CofE VA Junior School</v>
          </cell>
          <cell r="D8835" t="str">
            <v>Bristol City of</v>
          </cell>
          <cell r="E8835" t="str">
            <v>Voluntary Aided School</v>
          </cell>
          <cell r="F8835" t="str">
            <v>Primary</v>
          </cell>
        </row>
        <row r="8836">
          <cell r="A8836">
            <v>8254504</v>
          </cell>
          <cell r="B8836">
            <v>110514</v>
          </cell>
          <cell r="C8836" t="str">
            <v>Dr Challoner's Grammar School</v>
          </cell>
          <cell r="D8836" t="str">
            <v>Buckinghamshire</v>
          </cell>
          <cell r="E8836" t="str">
            <v>Foundation School</v>
          </cell>
          <cell r="F8836" t="str">
            <v>Secondary</v>
          </cell>
        </row>
        <row r="8837">
          <cell r="A8837">
            <v>9044000</v>
          </cell>
          <cell r="B8837">
            <v>128343</v>
          </cell>
          <cell r="C8837" t="str">
            <v>Dr Challoner's Grammar School</v>
          </cell>
          <cell r="D8837" t="str">
            <v>Pre LGR (1997) Buckinghamshire</v>
          </cell>
          <cell r="E8837" t="str">
            <v>Community School</v>
          </cell>
          <cell r="F8837" t="str">
            <v>Secondary</v>
          </cell>
        </row>
        <row r="8838">
          <cell r="A8838">
            <v>8254504</v>
          </cell>
          <cell r="B8838">
            <v>136419</v>
          </cell>
          <cell r="C8838" t="str">
            <v>Dr Challoner's Grammar School</v>
          </cell>
          <cell r="D8838" t="str">
            <v>Buckinghamshire</v>
          </cell>
          <cell r="E8838" t="str">
            <v>Academy Converters</v>
          </cell>
          <cell r="F8838" t="str">
            <v>Secondary</v>
          </cell>
        </row>
        <row r="8839">
          <cell r="A8839">
            <v>8254061</v>
          </cell>
          <cell r="B8839">
            <v>110495</v>
          </cell>
          <cell r="C8839" t="str">
            <v>Dr Challoner's High School</v>
          </cell>
          <cell r="D8839" t="str">
            <v>Buckinghamshire</v>
          </cell>
          <cell r="E8839" t="str">
            <v>Voluntary Controlled School</v>
          </cell>
          <cell r="F8839" t="str">
            <v>Secondary</v>
          </cell>
        </row>
        <row r="8840">
          <cell r="A8840">
            <v>8254061</v>
          </cell>
          <cell r="B8840">
            <v>137219</v>
          </cell>
          <cell r="C8840" t="str">
            <v>Dr Challoner's High School</v>
          </cell>
          <cell r="D8840" t="str">
            <v>Buckinghamshire</v>
          </cell>
          <cell r="E8840" t="str">
            <v>Academy Converters</v>
          </cell>
          <cell r="F8840" t="str">
            <v>Secondary</v>
          </cell>
        </row>
        <row r="8841">
          <cell r="A8841">
            <v>3735205</v>
          </cell>
          <cell r="B8841">
            <v>107155</v>
          </cell>
          <cell r="C8841" t="str">
            <v>Dr John Bingham Primary School</v>
          </cell>
          <cell r="D8841" t="str">
            <v>Sheffield</v>
          </cell>
          <cell r="E8841" t="str">
            <v>Foundation School</v>
          </cell>
          <cell r="F8841" t="str">
            <v>Primary</v>
          </cell>
        </row>
        <row r="8842">
          <cell r="A8842">
            <v>3737028</v>
          </cell>
          <cell r="B8842">
            <v>107181</v>
          </cell>
          <cell r="C8842" t="str">
            <v>Dr John Worrall School</v>
          </cell>
          <cell r="D8842" t="str">
            <v>Sheffield</v>
          </cell>
          <cell r="E8842" t="str">
            <v>Community Special School</v>
          </cell>
          <cell r="F8842" t="str">
            <v>Special</v>
          </cell>
        </row>
        <row r="8843">
          <cell r="A8843">
            <v>9313828</v>
          </cell>
          <cell r="B8843">
            <v>123210</v>
          </cell>
          <cell r="C8843" t="str">
            <v>Dr Radcliffe's Church of England School</v>
          </cell>
          <cell r="D8843" t="str">
            <v>Oxfordshire</v>
          </cell>
          <cell r="E8843" t="str">
            <v>Voluntary Aided School</v>
          </cell>
          <cell r="F8843" t="str">
            <v>Primary</v>
          </cell>
        </row>
        <row r="8844">
          <cell r="A8844">
            <v>9313655</v>
          </cell>
          <cell r="B8844">
            <v>123195</v>
          </cell>
          <cell r="C8844" t="str">
            <v>Dr South's Church of England Voluntary Aided Primary School</v>
          </cell>
          <cell r="D8844" t="str">
            <v>Oxfordshire</v>
          </cell>
          <cell r="E8844" t="str">
            <v>Voluntary Aided School</v>
          </cell>
          <cell r="F8844" t="str">
            <v>Primary</v>
          </cell>
        </row>
        <row r="8845">
          <cell r="A8845">
            <v>9294802</v>
          </cell>
          <cell r="B8845">
            <v>122371</v>
          </cell>
          <cell r="C8845" t="str">
            <v>Dr Thomlinson Church of England Middle School</v>
          </cell>
          <cell r="D8845" t="str">
            <v>Northumberland</v>
          </cell>
          <cell r="E8845" t="str">
            <v>Voluntary Aided School</v>
          </cell>
          <cell r="F8845" t="str">
            <v>Middle Deemed Secondary</v>
          </cell>
        </row>
        <row r="8846">
          <cell r="A8846">
            <v>3123307</v>
          </cell>
          <cell r="B8846">
            <v>102420</v>
          </cell>
          <cell r="C8846" t="str">
            <v>Dr Triplett's CofE Primary School</v>
          </cell>
          <cell r="D8846" t="str">
            <v>Hillingdon</v>
          </cell>
          <cell r="E8846" t="str">
            <v>Voluntary Aided School</v>
          </cell>
          <cell r="F8846" t="str">
            <v>Primary</v>
          </cell>
        </row>
        <row r="8847">
          <cell r="A8847">
            <v>8813238</v>
          </cell>
          <cell r="B8847">
            <v>115125</v>
          </cell>
          <cell r="C8847" t="str">
            <v>Dr Walker's Church of England Voluntary Controlled Primary School, Fyfield</v>
          </cell>
          <cell r="D8847" t="str">
            <v>Essex</v>
          </cell>
          <cell r="E8847" t="str">
            <v>Voluntary Controlled School</v>
          </cell>
          <cell r="F8847" t="str">
            <v>Primary</v>
          </cell>
        </row>
        <row r="8848">
          <cell r="A8848">
            <v>9316062</v>
          </cell>
          <cell r="B8848">
            <v>123288</v>
          </cell>
          <cell r="C8848" t="str">
            <v>Dragon School</v>
          </cell>
          <cell r="D8848" t="str">
            <v>Oxfordshire</v>
          </cell>
          <cell r="E8848" t="str">
            <v>Other Independent School</v>
          </cell>
          <cell r="F8848" t="str">
            <v>Not applicable</v>
          </cell>
        </row>
        <row r="8849">
          <cell r="A8849">
            <v>8601027</v>
          </cell>
          <cell r="B8849">
            <v>123966</v>
          </cell>
          <cell r="C8849" t="str">
            <v>Dragon Square Nursery School</v>
          </cell>
          <cell r="D8849" t="str">
            <v>Staffordshire</v>
          </cell>
          <cell r="E8849" t="str">
            <v>LA Nursery School</v>
          </cell>
          <cell r="F8849" t="str">
            <v>Nursery</v>
          </cell>
        </row>
        <row r="8850">
          <cell r="A8850">
            <v>9262377</v>
          </cell>
          <cell r="B8850">
            <v>120995</v>
          </cell>
          <cell r="C8850" t="str">
            <v>Drake Infant School and Nursery</v>
          </cell>
          <cell r="D8850" t="str">
            <v>Norfolk</v>
          </cell>
          <cell r="E8850" t="str">
            <v>Community School</v>
          </cell>
          <cell r="F8850" t="str">
            <v>Primary</v>
          </cell>
        </row>
        <row r="8851">
          <cell r="A8851">
            <v>9022005</v>
          </cell>
          <cell r="B8851">
            <v>109431</v>
          </cell>
          <cell r="C8851" t="str">
            <v>Drake Lower School</v>
          </cell>
          <cell r="D8851" t="str">
            <v>Pre LGR (1997) Bedfordshire</v>
          </cell>
          <cell r="E8851" t="str">
            <v>Community School</v>
          </cell>
          <cell r="F8851" t="str">
            <v>Primary</v>
          </cell>
        </row>
        <row r="8852">
          <cell r="A8852">
            <v>8792665</v>
          </cell>
          <cell r="B8852">
            <v>113292</v>
          </cell>
          <cell r="C8852" t="str">
            <v>Drake Primary School</v>
          </cell>
          <cell r="D8852" t="str">
            <v>Plymouth</v>
          </cell>
          <cell r="E8852" t="str">
            <v>Community School</v>
          </cell>
          <cell r="F8852" t="str">
            <v>Primary</v>
          </cell>
        </row>
        <row r="8853">
          <cell r="A8853">
            <v>8853208</v>
          </cell>
          <cell r="B8853">
            <v>116862</v>
          </cell>
          <cell r="C8853" t="str">
            <v>Drakes' Broughton St Barnabas CofE First and Middle School</v>
          </cell>
          <cell r="D8853" t="str">
            <v>Worcestershire</v>
          </cell>
          <cell r="E8853" t="str">
            <v>Voluntary Controlled School</v>
          </cell>
          <cell r="F8853" t="str">
            <v>Middle Deemed Primary</v>
          </cell>
        </row>
        <row r="8854">
          <cell r="A8854">
            <v>8783308</v>
          </cell>
          <cell r="B8854">
            <v>113429</v>
          </cell>
          <cell r="C8854" t="str">
            <v>Drake's Church of England Primary School</v>
          </cell>
          <cell r="D8854" t="str">
            <v>Devon</v>
          </cell>
          <cell r="E8854" t="str">
            <v>Voluntary Aided School</v>
          </cell>
          <cell r="F8854" t="str">
            <v>Primary</v>
          </cell>
        </row>
        <row r="8855">
          <cell r="A8855">
            <v>3116905</v>
          </cell>
          <cell r="B8855">
            <v>136090</v>
          </cell>
          <cell r="C8855" t="str">
            <v>Drapers' Academy</v>
          </cell>
          <cell r="D8855" t="str">
            <v>Havering</v>
          </cell>
          <cell r="E8855" t="str">
            <v>Academy Sponsor Led</v>
          </cell>
          <cell r="F8855" t="str">
            <v>Secondary</v>
          </cell>
        </row>
        <row r="8856">
          <cell r="A8856">
            <v>8862331</v>
          </cell>
          <cell r="B8856">
            <v>118407</v>
          </cell>
          <cell r="C8856" t="str">
            <v>Drapers Mills Primary School</v>
          </cell>
          <cell r="D8856" t="str">
            <v>Kent</v>
          </cell>
          <cell r="E8856" t="str">
            <v>Community School</v>
          </cell>
          <cell r="F8856" t="str">
            <v>Primary</v>
          </cell>
        </row>
        <row r="8857">
          <cell r="A8857">
            <v>8152318</v>
          </cell>
          <cell r="B8857">
            <v>121389</v>
          </cell>
          <cell r="C8857" t="str">
            <v>Drax Community Primary School</v>
          </cell>
          <cell r="D8857" t="str">
            <v>North Yorkshire</v>
          </cell>
          <cell r="E8857" t="str">
            <v>Community School</v>
          </cell>
          <cell r="F8857" t="str">
            <v>Primary</v>
          </cell>
        </row>
        <row r="8858">
          <cell r="A8858">
            <v>9333317</v>
          </cell>
          <cell r="B8858">
            <v>123832</v>
          </cell>
          <cell r="C8858" t="str">
            <v>Draycott and Rodney Stoke Church of England First School</v>
          </cell>
          <cell r="D8858" t="str">
            <v>Somerset</v>
          </cell>
          <cell r="E8858" t="str">
            <v>Voluntary Aided School</v>
          </cell>
          <cell r="F8858" t="str">
            <v>Primary</v>
          </cell>
        </row>
        <row r="8859">
          <cell r="A8859">
            <v>8302086</v>
          </cell>
          <cell r="B8859">
            <v>112538</v>
          </cell>
          <cell r="C8859" t="str">
            <v>Draycott Community Primary School</v>
          </cell>
          <cell r="D8859" t="str">
            <v>Derbyshire</v>
          </cell>
          <cell r="E8859" t="str">
            <v>Community School</v>
          </cell>
          <cell r="F8859" t="str">
            <v>Primary</v>
          </cell>
        </row>
        <row r="8860">
          <cell r="A8860">
            <v>8602197</v>
          </cell>
          <cell r="B8860">
            <v>124078</v>
          </cell>
          <cell r="C8860" t="str">
            <v>Draycott Manor Primary School</v>
          </cell>
          <cell r="D8860" t="str">
            <v>Staffordshire</v>
          </cell>
          <cell r="E8860" t="str">
            <v>Community School</v>
          </cell>
          <cell r="F8860" t="str">
            <v>Primary</v>
          </cell>
        </row>
        <row r="8861">
          <cell r="A8861">
            <v>8606026</v>
          </cell>
          <cell r="B8861">
            <v>133989</v>
          </cell>
          <cell r="C8861" t="str">
            <v>Draycott Moor College</v>
          </cell>
          <cell r="D8861" t="str">
            <v>Staffordshire</v>
          </cell>
          <cell r="E8861" t="str">
            <v>Other Independent Special School</v>
          </cell>
          <cell r="F8861" t="str">
            <v>Not applicable</v>
          </cell>
        </row>
        <row r="8862">
          <cell r="A8862">
            <v>9263152</v>
          </cell>
          <cell r="B8862">
            <v>131287</v>
          </cell>
          <cell r="C8862" t="str">
            <v>Drayton CofE Junior School</v>
          </cell>
          <cell r="D8862" t="str">
            <v>Norfolk</v>
          </cell>
          <cell r="E8862" t="str">
            <v>Voluntary Controlled School</v>
          </cell>
          <cell r="F8862" t="str">
            <v>Primary</v>
          </cell>
        </row>
        <row r="8863">
          <cell r="A8863">
            <v>9262424</v>
          </cell>
          <cell r="B8863">
            <v>131278</v>
          </cell>
          <cell r="C8863" t="str">
            <v>Drayton Community Infant School</v>
          </cell>
          <cell r="D8863" t="str">
            <v>Norfolk</v>
          </cell>
          <cell r="E8863" t="str">
            <v>Community School</v>
          </cell>
          <cell r="F8863" t="str">
            <v>Primary</v>
          </cell>
        </row>
        <row r="8864">
          <cell r="A8864">
            <v>9312560</v>
          </cell>
          <cell r="B8864">
            <v>123059</v>
          </cell>
          <cell r="C8864" t="str">
            <v>Drayton Community Primary School</v>
          </cell>
          <cell r="D8864" t="str">
            <v>Oxfordshire</v>
          </cell>
          <cell r="E8864" t="str">
            <v>Community School</v>
          </cell>
          <cell r="F8864" t="str">
            <v>Primary</v>
          </cell>
        </row>
        <row r="8865">
          <cell r="A8865">
            <v>9263151</v>
          </cell>
          <cell r="B8865">
            <v>121107</v>
          </cell>
          <cell r="C8865" t="str">
            <v>Drayton First and Middle School</v>
          </cell>
          <cell r="D8865" t="str">
            <v>Norfolk</v>
          </cell>
          <cell r="E8865" t="str">
            <v>Voluntary Controlled School</v>
          </cell>
          <cell r="F8865" t="str">
            <v>Primary</v>
          </cell>
        </row>
        <row r="8866">
          <cell r="A8866">
            <v>3072094</v>
          </cell>
          <cell r="B8866">
            <v>101881</v>
          </cell>
          <cell r="C8866" t="str">
            <v>Drayton Green Primary School</v>
          </cell>
          <cell r="D8866" t="str">
            <v>Ealing</v>
          </cell>
          <cell r="E8866" t="str">
            <v>Community School</v>
          </cell>
          <cell r="F8866" t="str">
            <v>Primary</v>
          </cell>
        </row>
        <row r="8867">
          <cell r="A8867">
            <v>9366224</v>
          </cell>
          <cell r="B8867">
            <v>125381</v>
          </cell>
          <cell r="C8867" t="str">
            <v>Drayton House School</v>
          </cell>
          <cell r="D8867" t="str">
            <v>Surrey</v>
          </cell>
          <cell r="E8867" t="str">
            <v>Other Independent School</v>
          </cell>
          <cell r="F8867" t="str">
            <v>Not applicable</v>
          </cell>
        </row>
        <row r="8868">
          <cell r="A8868">
            <v>3075403</v>
          </cell>
          <cell r="B8868">
            <v>101942</v>
          </cell>
          <cell r="C8868" t="str">
            <v>Drayton Manor High School</v>
          </cell>
          <cell r="D8868" t="str">
            <v>Ealing</v>
          </cell>
          <cell r="E8868" t="str">
            <v>Foundation School</v>
          </cell>
          <cell r="F8868" t="str">
            <v>Secondary</v>
          </cell>
        </row>
        <row r="8869">
          <cell r="A8869">
            <v>3075403</v>
          </cell>
          <cell r="B8869">
            <v>137221</v>
          </cell>
          <cell r="C8869" t="str">
            <v>Drayton Manor High School</v>
          </cell>
          <cell r="D8869" t="str">
            <v>Ealing</v>
          </cell>
          <cell r="E8869" t="str">
            <v>Academy Converters</v>
          </cell>
          <cell r="F8869" t="str">
            <v>Secondary</v>
          </cell>
        </row>
        <row r="8870">
          <cell r="A8870">
            <v>9176250</v>
          </cell>
          <cell r="B8870">
            <v>129058</v>
          </cell>
          <cell r="C8870" t="str">
            <v>Drayton Manor School</v>
          </cell>
          <cell r="D8870" t="str">
            <v>Pre LGR (1997) Hampshire</v>
          </cell>
          <cell r="E8870" t="str">
            <v>Other Independent School</v>
          </cell>
          <cell r="F8870" t="str">
            <v>Not applicable</v>
          </cell>
        </row>
        <row r="8871">
          <cell r="A8871">
            <v>2062166</v>
          </cell>
          <cell r="B8871">
            <v>100402</v>
          </cell>
          <cell r="C8871" t="str">
            <v>Drayton Park Primary School</v>
          </cell>
          <cell r="D8871" t="str">
            <v>Islington</v>
          </cell>
          <cell r="E8871" t="str">
            <v>Community School</v>
          </cell>
          <cell r="F8871" t="str">
            <v>Primary</v>
          </cell>
        </row>
        <row r="8872">
          <cell r="A8872">
            <v>8262351</v>
          </cell>
          <cell r="B8872">
            <v>130254</v>
          </cell>
          <cell r="C8872" t="str">
            <v>Drayton Park School</v>
          </cell>
          <cell r="D8872" t="str">
            <v>Milton Keynes</v>
          </cell>
          <cell r="E8872" t="str">
            <v>Community School</v>
          </cell>
          <cell r="F8872" t="str">
            <v>Primary</v>
          </cell>
        </row>
        <row r="8873">
          <cell r="A8873">
            <v>8252030</v>
          </cell>
          <cell r="B8873">
            <v>110222</v>
          </cell>
          <cell r="C8873" t="str">
            <v>Drayton Parslow Village School</v>
          </cell>
          <cell r="D8873" t="str">
            <v>Buckinghamshire</v>
          </cell>
          <cell r="E8873" t="str">
            <v>Community School</v>
          </cell>
          <cell r="F8873" t="str">
            <v>Primary</v>
          </cell>
        </row>
        <row r="8874">
          <cell r="A8874">
            <v>9314005</v>
          </cell>
          <cell r="B8874">
            <v>123229</v>
          </cell>
          <cell r="C8874" t="str">
            <v>Drayton School</v>
          </cell>
          <cell r="D8874" t="str">
            <v>Oxfordshire</v>
          </cell>
          <cell r="E8874" t="str">
            <v>Community School</v>
          </cell>
          <cell r="F8874" t="str">
            <v>Secondary</v>
          </cell>
        </row>
        <row r="8875">
          <cell r="A8875">
            <v>8613014</v>
          </cell>
          <cell r="B8875">
            <v>124226</v>
          </cell>
          <cell r="C8875" t="str">
            <v>Dresden CofE (C) Primary School</v>
          </cell>
          <cell r="D8875" t="str">
            <v>Stoke-on-Trent</v>
          </cell>
          <cell r="E8875" t="str">
            <v>Voluntary Controlled School</v>
          </cell>
          <cell r="F8875" t="str">
            <v>Primary</v>
          </cell>
        </row>
        <row r="8876">
          <cell r="A8876">
            <v>3162016</v>
          </cell>
          <cell r="B8876">
            <v>102717</v>
          </cell>
          <cell r="C8876" t="str">
            <v>Drew Primary School</v>
          </cell>
          <cell r="D8876" t="str">
            <v>Newham</v>
          </cell>
          <cell r="E8876" t="str">
            <v>Community School</v>
          </cell>
          <cell r="F8876" t="str">
            <v>Primary</v>
          </cell>
        </row>
        <row r="8877">
          <cell r="A8877">
            <v>8113019</v>
          </cell>
          <cell r="B8877">
            <v>117974</v>
          </cell>
          <cell r="C8877" t="str">
            <v>Driffield Church of England Voluntary Controlled Infant School</v>
          </cell>
          <cell r="D8877" t="str">
            <v>East Riding of Yorkshire</v>
          </cell>
          <cell r="E8877" t="str">
            <v>Voluntary Controlled School</v>
          </cell>
          <cell r="F8877" t="str">
            <v>Primary</v>
          </cell>
        </row>
        <row r="8878">
          <cell r="A8878">
            <v>8112719</v>
          </cell>
          <cell r="B8878">
            <v>117840</v>
          </cell>
          <cell r="C8878" t="str">
            <v>Driffield Junior School</v>
          </cell>
          <cell r="D8878" t="str">
            <v>East Riding of Yorkshire</v>
          </cell>
          <cell r="E8878" t="str">
            <v>Community School</v>
          </cell>
          <cell r="F8878" t="str">
            <v>Primary</v>
          </cell>
        </row>
        <row r="8879">
          <cell r="A8879">
            <v>8114057</v>
          </cell>
          <cell r="B8879">
            <v>118078</v>
          </cell>
          <cell r="C8879" t="str">
            <v>Driffield School</v>
          </cell>
          <cell r="D8879" t="str">
            <v>East Riding of Yorkshire</v>
          </cell>
          <cell r="E8879" t="str">
            <v>Community School</v>
          </cell>
          <cell r="F8879" t="str">
            <v>Secondary</v>
          </cell>
        </row>
        <row r="8880">
          <cell r="A8880">
            <v>3832353</v>
          </cell>
          <cell r="B8880">
            <v>107857</v>
          </cell>
          <cell r="C8880" t="str">
            <v>Drighlington Infant School</v>
          </cell>
          <cell r="D8880" t="str">
            <v>Leeds</v>
          </cell>
          <cell r="E8880" t="str">
            <v>Community School</v>
          </cell>
          <cell r="F8880" t="str">
            <v>Primary</v>
          </cell>
        </row>
        <row r="8881">
          <cell r="A8881">
            <v>3832288</v>
          </cell>
          <cell r="B8881">
            <v>107822</v>
          </cell>
          <cell r="C8881" t="str">
            <v>Drighlington Junior School</v>
          </cell>
          <cell r="D8881" t="str">
            <v>Leeds</v>
          </cell>
          <cell r="E8881" t="str">
            <v>Community School</v>
          </cell>
          <cell r="F8881" t="str">
            <v>Primary</v>
          </cell>
        </row>
        <row r="8882">
          <cell r="A8882">
            <v>3833921</v>
          </cell>
          <cell r="B8882">
            <v>134407</v>
          </cell>
          <cell r="C8882" t="str">
            <v>Drighlington Primary School</v>
          </cell>
          <cell r="D8882" t="str">
            <v>Leeds</v>
          </cell>
          <cell r="E8882" t="str">
            <v>Community School</v>
          </cell>
          <cell r="F8882" t="str">
            <v>Primary</v>
          </cell>
        </row>
        <row r="8883">
          <cell r="A8883">
            <v>8162007</v>
          </cell>
          <cell r="B8883">
            <v>121276</v>
          </cell>
          <cell r="C8883" t="str">
            <v>Dringhouses Primary School</v>
          </cell>
          <cell r="D8883" t="str">
            <v>York</v>
          </cell>
          <cell r="E8883" t="str">
            <v>Community School</v>
          </cell>
          <cell r="F8883" t="str">
            <v>Primary</v>
          </cell>
        </row>
        <row r="8884">
          <cell r="A8884">
            <v>8466020</v>
          </cell>
          <cell r="B8884">
            <v>131127</v>
          </cell>
          <cell r="C8884" t="str">
            <v>Drive Preparatory School</v>
          </cell>
          <cell r="D8884" t="str">
            <v>Brighton and Hove</v>
          </cell>
          <cell r="E8884" t="str">
            <v>Other Independent School</v>
          </cell>
          <cell r="F8884" t="str">
            <v>Not applicable</v>
          </cell>
        </row>
        <row r="8885">
          <cell r="A8885">
            <v>8854005</v>
          </cell>
          <cell r="B8885">
            <v>116931</v>
          </cell>
          <cell r="C8885" t="str">
            <v>Droitwich Spa High School</v>
          </cell>
          <cell r="D8885" t="str">
            <v>Worcestershire</v>
          </cell>
          <cell r="E8885" t="str">
            <v>Community School</v>
          </cell>
          <cell r="F8885" t="str">
            <v>Secondary</v>
          </cell>
        </row>
        <row r="8886">
          <cell r="A8886">
            <v>8854005</v>
          </cell>
          <cell r="B8886">
            <v>136927</v>
          </cell>
          <cell r="C8886" t="str">
            <v>Droitwich Spa High School and Sixth Form College</v>
          </cell>
          <cell r="D8886" t="str">
            <v>Worcestershire</v>
          </cell>
          <cell r="E8886" t="str">
            <v>Academy Converters</v>
          </cell>
          <cell r="F8886" t="str">
            <v>Secondary</v>
          </cell>
        </row>
        <row r="8887">
          <cell r="A8887">
            <v>2107089</v>
          </cell>
          <cell r="B8887">
            <v>100877</v>
          </cell>
          <cell r="C8887" t="str">
            <v>Dromenagh School</v>
          </cell>
          <cell r="D8887" t="str">
            <v>Southwark</v>
          </cell>
          <cell r="E8887" t="str">
            <v>Community Special School</v>
          </cell>
          <cell r="F8887" t="str">
            <v>Special</v>
          </cell>
        </row>
        <row r="8888">
          <cell r="A8888">
            <v>8721106</v>
          </cell>
          <cell r="B8888">
            <v>109772</v>
          </cell>
          <cell r="C8888" t="str">
            <v>Dromore Adjustment Centre</v>
          </cell>
          <cell r="D8888" t="str">
            <v>Wokingham</v>
          </cell>
          <cell r="E8888" t="str">
            <v>Pupil Referral Unit</v>
          </cell>
          <cell r="F8888" t="str">
            <v>PRU</v>
          </cell>
        </row>
        <row r="8889">
          <cell r="A8889">
            <v>8304509</v>
          </cell>
          <cell r="B8889">
            <v>112969</v>
          </cell>
          <cell r="C8889" t="str">
            <v>Dronfield Henry Fanshawe School</v>
          </cell>
          <cell r="D8889" t="str">
            <v>Derbyshire</v>
          </cell>
          <cell r="E8889" t="str">
            <v>Voluntary Controlled School</v>
          </cell>
          <cell r="F8889" t="str">
            <v>Secondary</v>
          </cell>
        </row>
        <row r="8890">
          <cell r="A8890">
            <v>8302091</v>
          </cell>
          <cell r="B8890">
            <v>112540</v>
          </cell>
          <cell r="C8890" t="str">
            <v>Dronfield Infant School</v>
          </cell>
          <cell r="D8890" t="str">
            <v>Derbyshire</v>
          </cell>
          <cell r="E8890" t="str">
            <v>Community School</v>
          </cell>
          <cell r="F8890" t="str">
            <v>Primary</v>
          </cell>
        </row>
        <row r="8891">
          <cell r="A8891">
            <v>8302089</v>
          </cell>
          <cell r="B8891">
            <v>112539</v>
          </cell>
          <cell r="C8891" t="str">
            <v>Dronfield Junior School</v>
          </cell>
          <cell r="D8891" t="str">
            <v>Derbyshire</v>
          </cell>
          <cell r="E8891" t="str">
            <v>Community School</v>
          </cell>
          <cell r="F8891" t="str">
            <v>Primary</v>
          </cell>
        </row>
        <row r="8892">
          <cell r="A8892">
            <v>8302361</v>
          </cell>
          <cell r="B8892">
            <v>112698</v>
          </cell>
          <cell r="C8892" t="str">
            <v>Dronfield Stonelow Junior School</v>
          </cell>
          <cell r="D8892" t="str">
            <v>Derbyshire</v>
          </cell>
          <cell r="E8892" t="str">
            <v>Community School</v>
          </cell>
          <cell r="F8892" t="str">
            <v>Primary</v>
          </cell>
        </row>
        <row r="8893">
          <cell r="A8893">
            <v>8252031</v>
          </cell>
          <cell r="B8893">
            <v>110223</v>
          </cell>
          <cell r="C8893" t="str">
            <v>Dropmore Infant School</v>
          </cell>
          <cell r="D8893" t="str">
            <v>Buckinghamshire</v>
          </cell>
          <cell r="E8893" t="str">
            <v>Community School</v>
          </cell>
          <cell r="F8893" t="str">
            <v>Primary</v>
          </cell>
        </row>
        <row r="8894">
          <cell r="A8894">
            <v>8662102</v>
          </cell>
          <cell r="B8894">
            <v>126212</v>
          </cell>
          <cell r="C8894" t="str">
            <v>Drove Infants' School</v>
          </cell>
          <cell r="D8894" t="str">
            <v>Swindon</v>
          </cell>
          <cell r="E8894" t="str">
            <v>Community School</v>
          </cell>
          <cell r="F8894" t="str">
            <v>Primary</v>
          </cell>
        </row>
        <row r="8895">
          <cell r="A8895">
            <v>8662002</v>
          </cell>
          <cell r="B8895">
            <v>131566</v>
          </cell>
          <cell r="C8895" t="str">
            <v>Drove Primary School</v>
          </cell>
          <cell r="D8895" t="str">
            <v>Swindon</v>
          </cell>
          <cell r="E8895" t="str">
            <v>Community School</v>
          </cell>
          <cell r="F8895" t="str">
            <v>Primary</v>
          </cell>
        </row>
        <row r="8896">
          <cell r="A8896">
            <v>8502053</v>
          </cell>
          <cell r="B8896">
            <v>115881</v>
          </cell>
          <cell r="C8896" t="str">
            <v>Droxford Junior School</v>
          </cell>
          <cell r="D8896" t="str">
            <v>Hampshire</v>
          </cell>
          <cell r="E8896" t="str">
            <v>Community School</v>
          </cell>
          <cell r="F8896" t="str">
            <v>Primary</v>
          </cell>
        </row>
        <row r="8897">
          <cell r="A8897">
            <v>3576906</v>
          </cell>
          <cell r="B8897">
            <v>135864</v>
          </cell>
          <cell r="C8897" t="str">
            <v>Droylsden Academy</v>
          </cell>
          <cell r="D8897" t="str">
            <v>Tameside</v>
          </cell>
          <cell r="E8897" t="str">
            <v>Academy Sponsor Led</v>
          </cell>
          <cell r="F8897" t="str">
            <v>Secondary</v>
          </cell>
        </row>
        <row r="8898">
          <cell r="A8898">
            <v>357941</v>
          </cell>
          <cell r="B8898">
            <v>135708</v>
          </cell>
          <cell r="C8898" t="str">
            <v>Droylsden Football Club</v>
          </cell>
          <cell r="D8898" t="str">
            <v>Tameside</v>
          </cell>
          <cell r="E8898" t="str">
            <v>Playing for Success Centres</v>
          </cell>
          <cell r="F8898" t="str">
            <v>Not applicable</v>
          </cell>
        </row>
        <row r="8899">
          <cell r="A8899">
            <v>3574013</v>
          </cell>
          <cell r="B8899">
            <v>106261</v>
          </cell>
          <cell r="C8899" t="str">
            <v>Droylsden School Mathematics and Computing College for Girls</v>
          </cell>
          <cell r="D8899" t="str">
            <v>Tameside</v>
          </cell>
          <cell r="E8899" t="str">
            <v>Community School</v>
          </cell>
          <cell r="F8899" t="str">
            <v>Secondary</v>
          </cell>
        </row>
        <row r="8900">
          <cell r="A8900">
            <v>3805504</v>
          </cell>
          <cell r="B8900">
            <v>127745</v>
          </cell>
          <cell r="C8900" t="str">
            <v>Drummond Language Centre School</v>
          </cell>
          <cell r="D8900" t="str">
            <v>Bradford</v>
          </cell>
          <cell r="E8900" t="str">
            <v>Legacy types</v>
          </cell>
          <cell r="F8900" t="str">
            <v>Not applicable</v>
          </cell>
        </row>
        <row r="8901">
          <cell r="A8901">
            <v>3804042</v>
          </cell>
          <cell r="B8901">
            <v>107369</v>
          </cell>
          <cell r="C8901" t="str">
            <v>Drummond Middle School</v>
          </cell>
          <cell r="D8901" t="str">
            <v>Bradford</v>
          </cell>
          <cell r="E8901" t="str">
            <v>Community School</v>
          </cell>
          <cell r="F8901" t="str">
            <v>Middle Deemed Secondary</v>
          </cell>
        </row>
        <row r="8902">
          <cell r="A8902">
            <v>6642089</v>
          </cell>
          <cell r="B8902">
            <v>400364</v>
          </cell>
          <cell r="C8902" t="str">
            <v>Drury C.P. School</v>
          </cell>
          <cell r="D8902" t="str">
            <v>Flintshire</v>
          </cell>
          <cell r="E8902" t="str">
            <v>Welsh Establishment</v>
          </cell>
          <cell r="F8902" t="str">
            <v>Primary</v>
          </cell>
        </row>
        <row r="8903">
          <cell r="A8903">
            <v>8733012</v>
          </cell>
          <cell r="B8903">
            <v>110787</v>
          </cell>
          <cell r="C8903" t="str">
            <v>Dry Drayton CofE (C) Primary School</v>
          </cell>
          <cell r="D8903" t="str">
            <v>Cambridgeshire</v>
          </cell>
          <cell r="E8903" t="str">
            <v>Voluntary Controlled School</v>
          </cell>
          <cell r="F8903" t="str">
            <v>Primary</v>
          </cell>
        </row>
        <row r="8904">
          <cell r="A8904">
            <v>9312565</v>
          </cell>
          <cell r="B8904">
            <v>123063</v>
          </cell>
          <cell r="C8904" t="str">
            <v>Dry Sandford Primary School</v>
          </cell>
          <cell r="D8904" t="str">
            <v>Oxfordshire</v>
          </cell>
          <cell r="E8904" t="str">
            <v>Community School</v>
          </cell>
          <cell r="F8904" t="str">
            <v>Primary</v>
          </cell>
        </row>
        <row r="8905">
          <cell r="A8905">
            <v>9162062</v>
          </cell>
          <cell r="B8905">
            <v>115518</v>
          </cell>
          <cell r="C8905" t="str">
            <v>Drybrook Primary School</v>
          </cell>
          <cell r="D8905" t="str">
            <v>Gloucestershire</v>
          </cell>
          <cell r="E8905" t="str">
            <v>Community School</v>
          </cell>
          <cell r="F8905" t="str">
            <v>Primary</v>
          </cell>
        </row>
        <row r="8906">
          <cell r="A8906">
            <v>3823047</v>
          </cell>
          <cell r="B8906">
            <v>107729</v>
          </cell>
          <cell r="C8906" t="str">
            <v>Dryclough Church of England Voluntary Controlled Infant School</v>
          </cell>
          <cell r="D8906" t="str">
            <v>Kirklees</v>
          </cell>
          <cell r="E8906" t="str">
            <v>Voluntary Controlled School</v>
          </cell>
          <cell r="F8906" t="str">
            <v>Primary</v>
          </cell>
        </row>
        <row r="8907">
          <cell r="A8907">
            <v>9117007</v>
          </cell>
          <cell r="B8907">
            <v>128765</v>
          </cell>
          <cell r="C8907" t="str">
            <v>Dryden School</v>
          </cell>
          <cell r="D8907" t="str">
            <v>Pre LGR (1998) Devon</v>
          </cell>
          <cell r="E8907" t="str">
            <v>Community Special School</v>
          </cell>
          <cell r="F8907" t="str">
            <v>Special</v>
          </cell>
        </row>
        <row r="8908">
          <cell r="A8908">
            <v>3907009</v>
          </cell>
          <cell r="B8908">
            <v>131200</v>
          </cell>
          <cell r="C8908" t="str">
            <v>Dryden School</v>
          </cell>
          <cell r="D8908" t="str">
            <v>Gateshead</v>
          </cell>
          <cell r="E8908" t="str">
            <v>Community Special School</v>
          </cell>
          <cell r="F8908" t="str">
            <v>Special</v>
          </cell>
        </row>
        <row r="8909">
          <cell r="A8909">
            <v>3942128</v>
          </cell>
          <cell r="B8909">
            <v>108805</v>
          </cell>
          <cell r="C8909" t="str">
            <v>Dubmire Infant School</v>
          </cell>
          <cell r="D8909" t="str">
            <v>Sunderland</v>
          </cell>
          <cell r="E8909" t="str">
            <v>Community School</v>
          </cell>
          <cell r="F8909" t="str">
            <v>Primary</v>
          </cell>
        </row>
        <row r="8910">
          <cell r="A8910">
            <v>3942127</v>
          </cell>
          <cell r="B8910">
            <v>108804</v>
          </cell>
          <cell r="C8910" t="str">
            <v>Dubmire Junior School</v>
          </cell>
          <cell r="D8910" t="str">
            <v>Sunderland</v>
          </cell>
          <cell r="E8910" t="str">
            <v>Community School</v>
          </cell>
          <cell r="F8910" t="str">
            <v>Primary</v>
          </cell>
        </row>
        <row r="8911">
          <cell r="A8911">
            <v>3942340</v>
          </cell>
          <cell r="B8911">
            <v>133558</v>
          </cell>
          <cell r="C8911" t="str">
            <v>Dubmire Primary</v>
          </cell>
          <cell r="D8911" t="str">
            <v>Sunderland</v>
          </cell>
          <cell r="E8911" t="str">
            <v>Community School</v>
          </cell>
          <cell r="F8911" t="str">
            <v>Primary</v>
          </cell>
        </row>
        <row r="8912">
          <cell r="A8912">
            <v>9086082</v>
          </cell>
          <cell r="B8912">
            <v>112079</v>
          </cell>
          <cell r="C8912" t="str">
            <v>Duchy Grammar School</v>
          </cell>
          <cell r="D8912" t="str">
            <v>Cornwall</v>
          </cell>
          <cell r="E8912" t="str">
            <v>Other Independent School</v>
          </cell>
          <cell r="F8912" t="str">
            <v>Not applicable</v>
          </cell>
        </row>
        <row r="8913">
          <cell r="A8913">
            <v>8654068</v>
          </cell>
          <cell r="B8913">
            <v>126456</v>
          </cell>
          <cell r="C8913" t="str">
            <v>Duchy Manor Middle School</v>
          </cell>
          <cell r="D8913" t="str">
            <v>Wiltshire</v>
          </cell>
          <cell r="E8913" t="str">
            <v>Community School</v>
          </cell>
          <cell r="F8913" t="str">
            <v>Middle Deemed Secondary</v>
          </cell>
        </row>
        <row r="8914">
          <cell r="A8914">
            <v>9263054</v>
          </cell>
          <cell r="B8914">
            <v>121046</v>
          </cell>
          <cell r="C8914" t="str">
            <v>Duchy of Lancaster Methwold CofE Primary School</v>
          </cell>
          <cell r="D8914" t="str">
            <v>Norfolk</v>
          </cell>
          <cell r="E8914" t="str">
            <v>Voluntary Controlled School</v>
          </cell>
          <cell r="F8914" t="str">
            <v>Primary</v>
          </cell>
        </row>
        <row r="8915">
          <cell r="A8915">
            <v>3524279</v>
          </cell>
          <cell r="B8915">
            <v>105567</v>
          </cell>
          <cell r="C8915" t="str">
            <v>Ducie High School</v>
          </cell>
          <cell r="D8915" t="str">
            <v>Manchester</v>
          </cell>
          <cell r="E8915" t="str">
            <v>Community School</v>
          </cell>
          <cell r="F8915" t="str">
            <v>Secondary</v>
          </cell>
        </row>
        <row r="8916">
          <cell r="A8916">
            <v>9313122</v>
          </cell>
          <cell r="B8916">
            <v>123107</v>
          </cell>
          <cell r="C8916" t="str">
            <v>Ducklington Primary School</v>
          </cell>
          <cell r="D8916" t="str">
            <v>Oxfordshire</v>
          </cell>
          <cell r="E8916" t="str">
            <v>Voluntary Controlled School</v>
          </cell>
          <cell r="F8916" t="str">
            <v>Primary</v>
          </cell>
        </row>
        <row r="8917">
          <cell r="A8917">
            <v>8302243</v>
          </cell>
          <cell r="B8917">
            <v>112630</v>
          </cell>
          <cell r="C8917" t="str">
            <v>Duckmanton Primary School</v>
          </cell>
          <cell r="D8917" t="str">
            <v>Derbyshire</v>
          </cell>
          <cell r="E8917" t="str">
            <v>Community School</v>
          </cell>
          <cell r="F8917" t="str">
            <v>Primary</v>
          </cell>
        </row>
        <row r="8918">
          <cell r="A8918">
            <v>3304211</v>
          </cell>
          <cell r="B8918">
            <v>127060</v>
          </cell>
          <cell r="C8918" t="str">
            <v>Duddeston Manor Community School</v>
          </cell>
          <cell r="D8918" t="str">
            <v>Birmingham</v>
          </cell>
          <cell r="E8918" t="str">
            <v>Community School</v>
          </cell>
          <cell r="F8918" t="str">
            <v>Secondary</v>
          </cell>
        </row>
        <row r="8919">
          <cell r="A8919">
            <v>8963163</v>
          </cell>
          <cell r="B8919">
            <v>111281</v>
          </cell>
          <cell r="C8919" t="str">
            <v>Duddon St Peter's CofE Primary School</v>
          </cell>
          <cell r="D8919" t="str">
            <v>Cheshire West and Chester</v>
          </cell>
          <cell r="E8919" t="str">
            <v>Voluntary Controlled School</v>
          </cell>
          <cell r="F8919" t="str">
            <v>Primary</v>
          </cell>
        </row>
        <row r="8920">
          <cell r="A8920">
            <v>3328000</v>
          </cell>
          <cell r="B8920">
            <v>130475</v>
          </cell>
          <cell r="C8920" t="str">
            <v>Dudley College of Technology</v>
          </cell>
          <cell r="D8920" t="str">
            <v>Dudley</v>
          </cell>
          <cell r="E8920" t="str">
            <v>Further Education</v>
          </cell>
          <cell r="F8920" t="str">
            <v>16 Plus</v>
          </cell>
        </row>
        <row r="8921">
          <cell r="A8921">
            <v>3922038</v>
          </cell>
          <cell r="B8921">
            <v>128154</v>
          </cell>
          <cell r="C8921" t="str">
            <v>Dudley First School</v>
          </cell>
          <cell r="D8921" t="str">
            <v>North Tyneside</v>
          </cell>
          <cell r="E8921" t="str">
            <v>Community School</v>
          </cell>
          <cell r="F8921" t="str">
            <v>Primary</v>
          </cell>
        </row>
        <row r="8922">
          <cell r="A8922">
            <v>3802019</v>
          </cell>
          <cell r="B8922">
            <v>107201</v>
          </cell>
          <cell r="C8922" t="str">
            <v>Dudley Hill First School</v>
          </cell>
          <cell r="D8922" t="str">
            <v>Bradford</v>
          </cell>
          <cell r="E8922" t="str">
            <v>Community School</v>
          </cell>
          <cell r="F8922" t="str">
            <v>Primary</v>
          </cell>
        </row>
        <row r="8923">
          <cell r="A8923">
            <v>9256016</v>
          </cell>
          <cell r="B8923">
            <v>120728</v>
          </cell>
          <cell r="C8923" t="str">
            <v>Dudley House School</v>
          </cell>
          <cell r="D8923" t="str">
            <v>Lincolnshire</v>
          </cell>
          <cell r="E8923" t="str">
            <v>Other Independent School</v>
          </cell>
          <cell r="F8923" t="str">
            <v>Not applicable</v>
          </cell>
        </row>
        <row r="8924">
          <cell r="A8924">
            <v>8452128</v>
          </cell>
          <cell r="B8924">
            <v>114455</v>
          </cell>
          <cell r="C8924" t="str">
            <v>Dudley Infant School</v>
          </cell>
          <cell r="D8924" t="str">
            <v>East Sussex</v>
          </cell>
          <cell r="E8924" t="str">
            <v>Community School</v>
          </cell>
          <cell r="F8924" t="str">
            <v>Primary</v>
          </cell>
        </row>
        <row r="8925">
          <cell r="A8925">
            <v>3924024</v>
          </cell>
          <cell r="B8925">
            <v>128166</v>
          </cell>
          <cell r="C8925" t="str">
            <v>Dudley Middle School</v>
          </cell>
          <cell r="D8925" t="str">
            <v>North Tyneside</v>
          </cell>
          <cell r="E8925" t="str">
            <v>Community School</v>
          </cell>
          <cell r="F8925" t="str">
            <v>Middle Deemed Secondary</v>
          </cell>
        </row>
        <row r="8926">
          <cell r="A8926">
            <v>3322005</v>
          </cell>
          <cell r="B8926">
            <v>103773</v>
          </cell>
          <cell r="C8926" t="str">
            <v>Dudley Wood Primary School</v>
          </cell>
          <cell r="D8926" t="str">
            <v>Dudley</v>
          </cell>
          <cell r="E8926" t="str">
            <v>Community School</v>
          </cell>
          <cell r="F8926" t="str">
            <v>Primary</v>
          </cell>
        </row>
        <row r="8927">
          <cell r="A8927">
            <v>9066073</v>
          </cell>
          <cell r="B8927">
            <v>128484</v>
          </cell>
          <cell r="C8927" t="str">
            <v>Duence College</v>
          </cell>
          <cell r="D8927" t="str">
            <v>Pre LGR (1998) Cheshire</v>
          </cell>
          <cell r="E8927" t="str">
            <v>Other Independent School</v>
          </cell>
          <cell r="F8927" t="str">
            <v>Not applicable</v>
          </cell>
        </row>
        <row r="8928">
          <cell r="A8928">
            <v>2076262</v>
          </cell>
          <cell r="B8928">
            <v>100526</v>
          </cell>
          <cell r="C8928" t="str">
            <v>Duff Miller College</v>
          </cell>
          <cell r="D8928" t="str">
            <v>Kensington and Chelsea</v>
          </cell>
          <cell r="E8928" t="str">
            <v>Other Independent School</v>
          </cell>
          <cell r="F8928" t="str">
            <v>Not applicable</v>
          </cell>
        </row>
        <row r="8929">
          <cell r="A8929">
            <v>8302344</v>
          </cell>
          <cell r="B8929">
            <v>112690</v>
          </cell>
          <cell r="C8929" t="str">
            <v>Duffield the Meadows Primary School</v>
          </cell>
          <cell r="D8929" t="str">
            <v>Derbyshire</v>
          </cell>
          <cell r="E8929" t="str">
            <v>Community School</v>
          </cell>
          <cell r="F8929" t="str">
            <v>Primary</v>
          </cell>
        </row>
        <row r="8930">
          <cell r="A8930">
            <v>6712141</v>
          </cell>
          <cell r="B8930">
            <v>400975</v>
          </cell>
          <cell r="C8930" t="str">
            <v>Duffryn Afan Primary School</v>
          </cell>
          <cell r="D8930" t="str">
            <v>Neath Port Talbot</v>
          </cell>
          <cell r="E8930" t="str">
            <v>Welsh Establishment</v>
          </cell>
          <cell r="F8930" t="str">
            <v>Primary</v>
          </cell>
        </row>
        <row r="8931">
          <cell r="A8931">
            <v>6804020</v>
          </cell>
          <cell r="B8931">
            <v>401865</v>
          </cell>
          <cell r="C8931" t="str">
            <v>Duffryn High School</v>
          </cell>
          <cell r="D8931" t="str">
            <v>Newport</v>
          </cell>
          <cell r="E8931" t="str">
            <v>Welsh Establishment</v>
          </cell>
          <cell r="F8931" t="str">
            <v>Secondary</v>
          </cell>
        </row>
        <row r="8932">
          <cell r="A8932">
            <v>6802293</v>
          </cell>
          <cell r="B8932">
            <v>401542</v>
          </cell>
          <cell r="C8932" t="str">
            <v>Duffryn Infant School</v>
          </cell>
          <cell r="D8932" t="str">
            <v>Newport</v>
          </cell>
          <cell r="E8932" t="str">
            <v>Welsh Establishment</v>
          </cell>
          <cell r="F8932" t="str">
            <v>Primary</v>
          </cell>
        </row>
        <row r="8933">
          <cell r="A8933">
            <v>6802288</v>
          </cell>
          <cell r="B8933">
            <v>401541</v>
          </cell>
          <cell r="C8933" t="str">
            <v>Duffryn Junior School</v>
          </cell>
          <cell r="D8933" t="str">
            <v>Newport</v>
          </cell>
          <cell r="E8933" t="str">
            <v>Welsh Establishment</v>
          </cell>
          <cell r="F8933" t="str">
            <v>Primary</v>
          </cell>
        </row>
        <row r="8934">
          <cell r="A8934">
            <v>9366036</v>
          </cell>
          <cell r="B8934">
            <v>125336</v>
          </cell>
          <cell r="C8934" t="str">
            <v>Duke of Kent School</v>
          </cell>
          <cell r="D8934" t="str">
            <v>Surrey</v>
          </cell>
          <cell r="E8934" t="str">
            <v>Other Independent School</v>
          </cell>
          <cell r="F8934" t="str">
            <v>Not applicable</v>
          </cell>
        </row>
        <row r="8935">
          <cell r="A8935">
            <v>8303107</v>
          </cell>
          <cell r="B8935">
            <v>112868</v>
          </cell>
          <cell r="C8935" t="str">
            <v>Duke of Norfolk CofE Primary School</v>
          </cell>
          <cell r="D8935" t="str">
            <v>Derbyshire</v>
          </cell>
          <cell r="E8935" t="str">
            <v>Voluntary Controlled School</v>
          </cell>
          <cell r="F8935" t="str">
            <v>Primary</v>
          </cell>
        </row>
        <row r="8936">
          <cell r="A8936">
            <v>8866056</v>
          </cell>
          <cell r="B8936">
            <v>119004</v>
          </cell>
          <cell r="C8936" t="str">
            <v>Duke of York's Royal Military School</v>
          </cell>
          <cell r="D8936" t="str">
            <v>Kent</v>
          </cell>
          <cell r="E8936" t="str">
            <v>Other Independent School</v>
          </cell>
          <cell r="F8936" t="str">
            <v>Not applicable</v>
          </cell>
        </row>
        <row r="8937">
          <cell r="A8937">
            <v>8866918</v>
          </cell>
          <cell r="B8937">
            <v>136177</v>
          </cell>
          <cell r="C8937" t="str">
            <v>Duke of York's Royal Military School</v>
          </cell>
          <cell r="D8937" t="str">
            <v>Kent</v>
          </cell>
          <cell r="E8937" t="str">
            <v>Academy Sponsor Led</v>
          </cell>
          <cell r="F8937" t="str">
            <v>Secondary</v>
          </cell>
        </row>
        <row r="8938">
          <cell r="A8938">
            <v>9232144</v>
          </cell>
          <cell r="B8938">
            <v>132899</v>
          </cell>
          <cell r="C8938" t="str">
            <v>Duke Street Infant School</v>
          </cell>
          <cell r="D8938" t="str">
            <v>Pre LGR (1998) Lancashire</v>
          </cell>
          <cell r="E8938" t="str">
            <v>Community School</v>
          </cell>
          <cell r="F8938" t="str">
            <v>Primary</v>
          </cell>
        </row>
        <row r="8939">
          <cell r="A8939">
            <v>9232143</v>
          </cell>
          <cell r="B8939">
            <v>132900</v>
          </cell>
          <cell r="C8939" t="str">
            <v>Duke Street Junior School</v>
          </cell>
          <cell r="D8939" t="str">
            <v>Pre LGR (1998) Lancashire</v>
          </cell>
          <cell r="E8939" t="str">
            <v>Community School</v>
          </cell>
          <cell r="F8939" t="str">
            <v>Primary</v>
          </cell>
        </row>
        <row r="8940">
          <cell r="A8940">
            <v>8881002</v>
          </cell>
          <cell r="B8940">
            <v>119066</v>
          </cell>
          <cell r="C8940" t="str">
            <v>Duke Street Nursery School</v>
          </cell>
          <cell r="D8940" t="str">
            <v>Lancashire</v>
          </cell>
          <cell r="E8940" t="str">
            <v>LA Nursery School</v>
          </cell>
          <cell r="F8940" t="str">
            <v>Nursery</v>
          </cell>
        </row>
        <row r="8941">
          <cell r="A8941">
            <v>8882835</v>
          </cell>
          <cell r="B8941">
            <v>119352</v>
          </cell>
          <cell r="C8941" t="str">
            <v>Duke Street Primary School</v>
          </cell>
          <cell r="D8941" t="str">
            <v>Lancashire</v>
          </cell>
          <cell r="E8941" t="str">
            <v>Community School</v>
          </cell>
          <cell r="F8941" t="str">
            <v>Primary</v>
          </cell>
        </row>
        <row r="8942">
          <cell r="A8942">
            <v>9176337</v>
          </cell>
          <cell r="B8942">
            <v>129064</v>
          </cell>
          <cell r="C8942" t="str">
            <v>Dukes Field Cottage School</v>
          </cell>
          <cell r="D8942" t="str">
            <v>Pre LGR (1997) Hampshire</v>
          </cell>
          <cell r="E8942" t="str">
            <v>Other Independent School</v>
          </cell>
          <cell r="F8942" t="str">
            <v>Not applicable</v>
          </cell>
        </row>
        <row r="8943">
          <cell r="A8943">
            <v>3552086</v>
          </cell>
          <cell r="B8943">
            <v>105920</v>
          </cell>
          <cell r="C8943" t="str">
            <v>Dukesgate Primary School</v>
          </cell>
          <cell r="D8943" t="str">
            <v>Salford</v>
          </cell>
          <cell r="E8943" t="str">
            <v>Community School</v>
          </cell>
          <cell r="F8943" t="str">
            <v>Primary</v>
          </cell>
        </row>
        <row r="8944">
          <cell r="A8944">
            <v>9052008</v>
          </cell>
          <cell r="B8944">
            <v>128357</v>
          </cell>
          <cell r="C8944" t="str">
            <v>Dullingham County Primary School</v>
          </cell>
          <cell r="D8944" t="str">
            <v>Pre LGR (1998) Cambridgeshire</v>
          </cell>
          <cell r="E8944" t="str">
            <v>Community School</v>
          </cell>
          <cell r="F8944" t="str">
            <v>Primary</v>
          </cell>
        </row>
        <row r="8945">
          <cell r="A8945">
            <v>9083875</v>
          </cell>
          <cell r="B8945">
            <v>112024</v>
          </cell>
          <cell r="C8945" t="str">
            <v>Duloe CofE VA Junior and Infant School</v>
          </cell>
          <cell r="D8945" t="str">
            <v>Cornwall</v>
          </cell>
          <cell r="E8945" t="str">
            <v>Voluntary Aided School</v>
          </cell>
          <cell r="F8945" t="str">
            <v>Primary</v>
          </cell>
        </row>
        <row r="8946">
          <cell r="A8946">
            <v>9204463</v>
          </cell>
          <cell r="B8946">
            <v>129296</v>
          </cell>
          <cell r="C8946" t="str">
            <v>Dulverton Junior High School</v>
          </cell>
          <cell r="D8946" t="str">
            <v>Pre LGR (1996) Humberside</v>
          </cell>
          <cell r="E8946" t="str">
            <v>Community School</v>
          </cell>
          <cell r="F8946" t="str">
            <v>Secondary</v>
          </cell>
        </row>
        <row r="8947">
          <cell r="A8947">
            <v>9334277</v>
          </cell>
          <cell r="B8947">
            <v>123871</v>
          </cell>
          <cell r="C8947" t="str">
            <v>Dulverton Middle and Community School</v>
          </cell>
          <cell r="D8947" t="str">
            <v>Somerset</v>
          </cell>
          <cell r="E8947" t="str">
            <v>Community School</v>
          </cell>
          <cell r="F8947" t="str">
            <v>Middle Deemed Secondary</v>
          </cell>
        </row>
        <row r="8948">
          <cell r="A8948">
            <v>3032056</v>
          </cell>
          <cell r="B8948">
            <v>101434</v>
          </cell>
          <cell r="C8948" t="str">
            <v>Dulverton Primary School</v>
          </cell>
          <cell r="D8948" t="str">
            <v>Bexley</v>
          </cell>
          <cell r="E8948" t="str">
            <v>Community School</v>
          </cell>
          <cell r="F8948" t="str">
            <v>Primary</v>
          </cell>
        </row>
        <row r="8949">
          <cell r="A8949">
            <v>9202817</v>
          </cell>
          <cell r="B8949">
            <v>129247</v>
          </cell>
          <cell r="C8949" t="str">
            <v>Dulverton Primary School</v>
          </cell>
          <cell r="D8949" t="str">
            <v>Pre LGR (1996) Humberside</v>
          </cell>
          <cell r="E8949" t="str">
            <v>Community School</v>
          </cell>
          <cell r="F8949" t="str">
            <v>Primary</v>
          </cell>
        </row>
        <row r="8950">
          <cell r="A8950">
            <v>2106000</v>
          </cell>
          <cell r="B8950">
            <v>100861</v>
          </cell>
          <cell r="C8950" t="str">
            <v>Dulwich College</v>
          </cell>
          <cell r="D8950" t="str">
            <v>Southwark</v>
          </cell>
          <cell r="E8950" t="str">
            <v>Other Independent School</v>
          </cell>
          <cell r="F8950" t="str">
            <v>Not applicable</v>
          </cell>
        </row>
        <row r="8951">
          <cell r="A8951">
            <v>2106389</v>
          </cell>
          <cell r="B8951">
            <v>131779</v>
          </cell>
          <cell r="C8951" t="str">
            <v>Dulwich College (Ducks) Kindergarten and Infant School</v>
          </cell>
          <cell r="D8951" t="str">
            <v>Southwark</v>
          </cell>
          <cell r="E8951" t="str">
            <v>Other Independent School</v>
          </cell>
          <cell r="F8951" t="str">
            <v>Not applicable</v>
          </cell>
        </row>
        <row r="8952">
          <cell r="A8952">
            <v>2106001</v>
          </cell>
          <cell r="B8952">
            <v>100862</v>
          </cell>
          <cell r="C8952" t="str">
            <v>Dulwich College Preparatory School</v>
          </cell>
          <cell r="D8952" t="str">
            <v>Southwark</v>
          </cell>
          <cell r="E8952" t="str">
            <v>Other Independent School</v>
          </cell>
          <cell r="F8952" t="str">
            <v>Not applicable</v>
          </cell>
        </row>
        <row r="8953">
          <cell r="A8953">
            <v>2102169</v>
          </cell>
          <cell r="B8953">
            <v>100787</v>
          </cell>
          <cell r="C8953" t="str">
            <v>Dulwich Hamlet Junior School</v>
          </cell>
          <cell r="D8953" t="str">
            <v>Southwark</v>
          </cell>
          <cell r="E8953" t="str">
            <v>Community School</v>
          </cell>
          <cell r="F8953" t="str">
            <v>Primary</v>
          </cell>
        </row>
        <row r="8954">
          <cell r="A8954">
            <v>2102169</v>
          </cell>
          <cell r="B8954">
            <v>136665</v>
          </cell>
          <cell r="C8954" t="str">
            <v>Dulwich Hamlet Junior School</v>
          </cell>
          <cell r="D8954" t="str">
            <v>Southwark</v>
          </cell>
          <cell r="E8954" t="str">
            <v>Academy Converters</v>
          </cell>
          <cell r="F8954" t="str">
            <v>Primary</v>
          </cell>
        </row>
        <row r="8955">
          <cell r="A8955">
            <v>2104281</v>
          </cell>
          <cell r="B8955">
            <v>100845</v>
          </cell>
          <cell r="C8955" t="str">
            <v>Dulwich High School for Boys</v>
          </cell>
          <cell r="D8955" t="str">
            <v>Southwark</v>
          </cell>
          <cell r="E8955" t="str">
            <v>Community School</v>
          </cell>
          <cell r="F8955" t="str">
            <v>Secondary</v>
          </cell>
        </row>
        <row r="8956">
          <cell r="A8956">
            <v>8866043</v>
          </cell>
          <cell r="B8956">
            <v>118990</v>
          </cell>
          <cell r="C8956" t="str">
            <v>Dulwich Preparatory School</v>
          </cell>
          <cell r="D8956" t="str">
            <v>Kent</v>
          </cell>
          <cell r="E8956" t="str">
            <v>Other Independent School</v>
          </cell>
          <cell r="F8956" t="str">
            <v>Not applicable</v>
          </cell>
        </row>
        <row r="8957">
          <cell r="A8957">
            <v>2103337</v>
          </cell>
          <cell r="B8957">
            <v>100823</v>
          </cell>
          <cell r="C8957" t="str">
            <v>Dulwich Village Church of England Infants' School</v>
          </cell>
          <cell r="D8957" t="str">
            <v>Southwark</v>
          </cell>
          <cell r="E8957" t="str">
            <v>Voluntary Aided School</v>
          </cell>
          <cell r="F8957" t="str">
            <v>Primary</v>
          </cell>
        </row>
        <row r="8958">
          <cell r="A8958">
            <v>2101035</v>
          </cell>
          <cell r="B8958">
            <v>100769</v>
          </cell>
          <cell r="C8958" t="str">
            <v>Dulwich Wood Nursery School</v>
          </cell>
          <cell r="D8958" t="str">
            <v>Southwark</v>
          </cell>
          <cell r="E8958" t="str">
            <v>LA Nursery School</v>
          </cell>
          <cell r="F8958" t="str">
            <v>Nursery</v>
          </cell>
        </row>
        <row r="8959">
          <cell r="A8959">
            <v>8356002</v>
          </cell>
          <cell r="B8959">
            <v>113923</v>
          </cell>
          <cell r="C8959" t="str">
            <v>Dumpton School</v>
          </cell>
          <cell r="D8959" t="str">
            <v>Dorset</v>
          </cell>
          <cell r="E8959" t="str">
            <v>Other Independent School</v>
          </cell>
          <cell r="F8959" t="str">
            <v>Not applicable</v>
          </cell>
        </row>
        <row r="8960">
          <cell r="A8960">
            <v>9162147</v>
          </cell>
          <cell r="B8960">
            <v>115582</v>
          </cell>
          <cell r="C8960" t="str">
            <v>Dunalley Primary School</v>
          </cell>
          <cell r="D8960" t="str">
            <v>Gloucestershire</v>
          </cell>
          <cell r="E8960" t="str">
            <v>Community School</v>
          </cell>
          <cell r="F8960" t="str">
            <v>Primary</v>
          </cell>
        </row>
        <row r="8961">
          <cell r="A8961">
            <v>9224187</v>
          </cell>
          <cell r="B8961">
            <v>129429</v>
          </cell>
          <cell r="C8961" t="str">
            <v>Duncan Bowen High School</v>
          </cell>
          <cell r="D8961" t="str">
            <v>Pre LGR (1998) Kent</v>
          </cell>
          <cell r="E8961" t="str">
            <v>Community School</v>
          </cell>
          <cell r="F8961" t="str">
            <v>Secondary</v>
          </cell>
        </row>
        <row r="8962">
          <cell r="A8962">
            <v>9373391</v>
          </cell>
          <cell r="B8962">
            <v>125703</v>
          </cell>
          <cell r="C8962" t="str">
            <v>Dunchurch Boughton CofE (Voluntary Aided) Junior School</v>
          </cell>
          <cell r="D8962" t="str">
            <v>Warwickshire</v>
          </cell>
          <cell r="E8962" t="str">
            <v>Voluntary Aided School</v>
          </cell>
          <cell r="F8962" t="str">
            <v>Primary</v>
          </cell>
        </row>
        <row r="8963">
          <cell r="A8963">
            <v>9375204</v>
          </cell>
          <cell r="B8963">
            <v>125763</v>
          </cell>
          <cell r="C8963" t="str">
            <v>Dunchurch Infant School</v>
          </cell>
          <cell r="D8963" t="str">
            <v>Warwickshire</v>
          </cell>
          <cell r="E8963" t="str">
            <v>Foundation School</v>
          </cell>
          <cell r="F8963" t="str">
            <v>Primary</v>
          </cell>
        </row>
        <row r="8964">
          <cell r="A8964">
            <v>9376003</v>
          </cell>
          <cell r="B8964">
            <v>130168</v>
          </cell>
          <cell r="C8964" t="str">
            <v>Dunchurch-Winton Hall</v>
          </cell>
          <cell r="D8964" t="str">
            <v>Warwickshire</v>
          </cell>
          <cell r="E8964" t="str">
            <v>Other Independent School</v>
          </cell>
          <cell r="F8964" t="str">
            <v>Not applicable</v>
          </cell>
        </row>
        <row r="8965">
          <cell r="A8965">
            <v>2062170</v>
          </cell>
          <cell r="B8965">
            <v>100403</v>
          </cell>
          <cell r="C8965" t="str">
            <v>Duncombe Primary School</v>
          </cell>
          <cell r="D8965" t="str">
            <v>Islington</v>
          </cell>
          <cell r="E8965" t="str">
            <v>Community School</v>
          </cell>
          <cell r="F8965" t="str">
            <v>Primary</v>
          </cell>
        </row>
        <row r="8966">
          <cell r="A8966">
            <v>9196098</v>
          </cell>
          <cell r="B8966">
            <v>117628</v>
          </cell>
          <cell r="C8966" t="str">
            <v>Duncombe School</v>
          </cell>
          <cell r="D8966" t="str">
            <v>Hertfordshire</v>
          </cell>
          <cell r="E8966" t="str">
            <v>Other Independent School</v>
          </cell>
          <cell r="F8966" t="str">
            <v>Not applicable</v>
          </cell>
        </row>
        <row r="8967">
          <cell r="A8967">
            <v>9383013</v>
          </cell>
          <cell r="B8967">
            <v>125980</v>
          </cell>
          <cell r="C8967" t="str">
            <v>Duncton CofE Junior School</v>
          </cell>
          <cell r="D8967" t="str">
            <v>West Sussex</v>
          </cell>
          <cell r="E8967" t="str">
            <v>Voluntary Controlled School</v>
          </cell>
          <cell r="F8967" t="str">
            <v>Primary</v>
          </cell>
        </row>
        <row r="8968">
          <cell r="A8968">
            <v>9192366</v>
          </cell>
          <cell r="B8968">
            <v>129135</v>
          </cell>
          <cell r="C8968" t="str">
            <v>Dundale Infant School</v>
          </cell>
          <cell r="D8968" t="str">
            <v>Hertfordshire</v>
          </cell>
          <cell r="E8968" t="str">
            <v>Community School</v>
          </cell>
          <cell r="F8968" t="str">
            <v>Primary</v>
          </cell>
        </row>
        <row r="8969">
          <cell r="A8969">
            <v>9192343</v>
          </cell>
          <cell r="B8969">
            <v>117286</v>
          </cell>
          <cell r="C8969" t="str">
            <v>Dundale Primary School and Nursery</v>
          </cell>
          <cell r="D8969" t="str">
            <v>Hertfordshire</v>
          </cell>
          <cell r="E8969" t="str">
            <v>Community School</v>
          </cell>
          <cell r="F8969" t="str">
            <v>Primary</v>
          </cell>
        </row>
        <row r="8970">
          <cell r="A8970">
            <v>3152055</v>
          </cell>
          <cell r="B8970">
            <v>102628</v>
          </cell>
          <cell r="C8970" t="str">
            <v>Dundonald Primary School</v>
          </cell>
          <cell r="D8970" t="str">
            <v>Merton</v>
          </cell>
          <cell r="E8970" t="str">
            <v>Community School</v>
          </cell>
          <cell r="F8970" t="str">
            <v>Primary</v>
          </cell>
        </row>
        <row r="8971">
          <cell r="A8971">
            <v>8023085</v>
          </cell>
          <cell r="B8971">
            <v>109189</v>
          </cell>
          <cell r="C8971" t="str">
            <v>Dundry Church of England Primary School</v>
          </cell>
          <cell r="D8971" t="str">
            <v>North Somerset</v>
          </cell>
          <cell r="E8971" t="str">
            <v>Voluntary Controlled School</v>
          </cell>
          <cell r="F8971" t="str">
            <v>Primary</v>
          </cell>
        </row>
        <row r="8972">
          <cell r="A8972">
            <v>9356069</v>
          </cell>
          <cell r="B8972">
            <v>130003</v>
          </cell>
          <cell r="C8972" t="str">
            <v>Dunelm Independent School</v>
          </cell>
          <cell r="D8972" t="str">
            <v>Suffolk</v>
          </cell>
          <cell r="E8972" t="str">
            <v>Other Independent School</v>
          </cell>
          <cell r="F8972" t="str">
            <v>Not applicable</v>
          </cell>
        </row>
        <row r="8973">
          <cell r="A8973">
            <v>8752310</v>
          </cell>
          <cell r="B8973">
            <v>111132</v>
          </cell>
          <cell r="C8973" t="str">
            <v>Dunham Hill Primary School</v>
          </cell>
          <cell r="D8973" t="str">
            <v>Pre LGR (2009) Cheshire</v>
          </cell>
          <cell r="E8973" t="str">
            <v>Community School</v>
          </cell>
          <cell r="F8973" t="str">
            <v>Primary</v>
          </cell>
        </row>
        <row r="8974">
          <cell r="A8974">
            <v>8913088</v>
          </cell>
          <cell r="B8974">
            <v>122758</v>
          </cell>
          <cell r="C8974" t="str">
            <v>Dunham-on-Trent CofE Primary School</v>
          </cell>
          <cell r="D8974" t="str">
            <v>Nottinghamshire</v>
          </cell>
          <cell r="E8974" t="str">
            <v>Voluntary Controlled School</v>
          </cell>
          <cell r="F8974" t="str">
            <v>Primary</v>
          </cell>
        </row>
        <row r="8975">
          <cell r="A8975">
            <v>9137016</v>
          </cell>
          <cell r="B8975">
            <v>128830</v>
          </cell>
          <cell r="C8975" t="str">
            <v>Dunholme School</v>
          </cell>
          <cell r="D8975" t="str">
            <v>Pre LGR (1997) Durham</v>
          </cell>
          <cell r="E8975" t="str">
            <v>Community Special School</v>
          </cell>
          <cell r="F8975" t="str">
            <v>Special</v>
          </cell>
        </row>
        <row r="8976">
          <cell r="A8976">
            <v>9253121</v>
          </cell>
          <cell r="B8976">
            <v>120569</v>
          </cell>
          <cell r="C8976" t="str">
            <v>Dunholme St Chad's Church of England Primary School</v>
          </cell>
          <cell r="D8976" t="str">
            <v>Lincolnshire</v>
          </cell>
          <cell r="E8976" t="str">
            <v>Voluntary Controlled School</v>
          </cell>
          <cell r="F8976" t="str">
            <v>Primary</v>
          </cell>
        </row>
        <row r="8977">
          <cell r="A8977">
            <v>8922061</v>
          </cell>
          <cell r="B8977">
            <v>122416</v>
          </cell>
          <cell r="C8977" t="str">
            <v>Dunkirk Primary and Nursery School</v>
          </cell>
          <cell r="D8977" t="str">
            <v>Nottingham</v>
          </cell>
          <cell r="E8977" t="str">
            <v>Community School</v>
          </cell>
          <cell r="F8977" t="str">
            <v>Primary</v>
          </cell>
        </row>
        <row r="8978">
          <cell r="A8978">
            <v>8862225</v>
          </cell>
          <cell r="B8978">
            <v>118335</v>
          </cell>
          <cell r="C8978" t="str">
            <v>Dunkirk Village School</v>
          </cell>
          <cell r="D8978" t="str">
            <v>Kent</v>
          </cell>
          <cell r="E8978" t="str">
            <v>Community School</v>
          </cell>
          <cell r="F8978" t="str">
            <v>Primary</v>
          </cell>
        </row>
        <row r="8979">
          <cell r="A8979">
            <v>8012102</v>
          </cell>
          <cell r="B8979">
            <v>108977</v>
          </cell>
          <cell r="C8979" t="str">
            <v>Dunmail Primary School</v>
          </cell>
          <cell r="D8979" t="str">
            <v>Bristol City of</v>
          </cell>
          <cell r="E8979" t="str">
            <v>Community School</v>
          </cell>
          <cell r="F8979" t="str">
            <v>Primary</v>
          </cell>
        </row>
        <row r="8980">
          <cell r="A8980">
            <v>9312553</v>
          </cell>
          <cell r="B8980">
            <v>123055</v>
          </cell>
          <cell r="C8980" t="str">
            <v>Dunmore Infants' School</v>
          </cell>
          <cell r="D8980" t="str">
            <v>Oxfordshire</v>
          </cell>
          <cell r="E8980" t="str">
            <v>Community School</v>
          </cell>
          <cell r="F8980" t="str">
            <v>Primary</v>
          </cell>
        </row>
        <row r="8981">
          <cell r="A8981">
            <v>9312552</v>
          </cell>
          <cell r="B8981">
            <v>123054</v>
          </cell>
          <cell r="C8981" t="str">
            <v>Dunmore Junior School</v>
          </cell>
          <cell r="D8981" t="str">
            <v>Oxfordshire</v>
          </cell>
          <cell r="E8981" t="str">
            <v>Community School</v>
          </cell>
          <cell r="F8981" t="str">
            <v>Primary</v>
          </cell>
        </row>
        <row r="8982">
          <cell r="A8982">
            <v>9313861</v>
          </cell>
          <cell r="B8982">
            <v>135265</v>
          </cell>
          <cell r="C8982" t="str">
            <v>Dunmore Primary School</v>
          </cell>
          <cell r="D8982" t="str">
            <v>Oxfordshire</v>
          </cell>
          <cell r="E8982" t="str">
            <v>Community School</v>
          </cell>
          <cell r="F8982" t="str">
            <v>Primary</v>
          </cell>
        </row>
        <row r="8983">
          <cell r="A8983">
            <v>8815259</v>
          </cell>
          <cell r="B8983">
            <v>115299</v>
          </cell>
          <cell r="C8983" t="str">
            <v>Dunmow St Mary's Primary School</v>
          </cell>
          <cell r="D8983" t="str">
            <v>Essex</v>
          </cell>
          <cell r="E8983" t="str">
            <v>Foundation School</v>
          </cell>
          <cell r="F8983" t="str">
            <v>Primary</v>
          </cell>
        </row>
        <row r="8984">
          <cell r="A8984">
            <v>3931012</v>
          </cell>
          <cell r="B8984">
            <v>108662</v>
          </cell>
          <cell r="C8984" t="str">
            <v>Dunn Street Nursery School</v>
          </cell>
          <cell r="D8984" t="str">
            <v>South Tyneside</v>
          </cell>
          <cell r="E8984" t="str">
            <v>LA Nursery School</v>
          </cell>
          <cell r="F8984" t="str">
            <v>Nursery</v>
          </cell>
        </row>
        <row r="8985">
          <cell r="A8985">
            <v>3932063</v>
          </cell>
          <cell r="B8985">
            <v>108695</v>
          </cell>
          <cell r="C8985" t="str">
            <v>Dunn Street Primary School</v>
          </cell>
          <cell r="D8985" t="str">
            <v>South Tyneside</v>
          </cell>
          <cell r="E8985" t="str">
            <v>Community School</v>
          </cell>
          <cell r="F8985" t="str">
            <v>Primary</v>
          </cell>
        </row>
        <row r="8986">
          <cell r="A8986">
            <v>3112088</v>
          </cell>
          <cell r="B8986">
            <v>102323</v>
          </cell>
          <cell r="C8986" t="str">
            <v>Dunningford Primary School</v>
          </cell>
          <cell r="D8986" t="str">
            <v>Havering</v>
          </cell>
          <cell r="E8986" t="str">
            <v>Community School</v>
          </cell>
          <cell r="F8986" t="str">
            <v>Primary</v>
          </cell>
        </row>
        <row r="8987">
          <cell r="A8987">
            <v>8163151</v>
          </cell>
          <cell r="B8987">
            <v>121530</v>
          </cell>
          <cell r="C8987" t="str">
            <v>Dunnington Church of England Voluntary Controlled Primary School</v>
          </cell>
          <cell r="D8987" t="str">
            <v>York</v>
          </cell>
          <cell r="E8987" t="str">
            <v>Voluntary Controlled School</v>
          </cell>
          <cell r="F8987" t="str">
            <v>Primary</v>
          </cell>
        </row>
        <row r="8988">
          <cell r="A8988">
            <v>9375203</v>
          </cell>
          <cell r="B8988">
            <v>125762</v>
          </cell>
          <cell r="C8988" t="str">
            <v>Dunnington CofE Primary School</v>
          </cell>
          <cell r="D8988" t="str">
            <v>Warwickshire</v>
          </cell>
          <cell r="E8988" t="str">
            <v>Voluntary Aided School</v>
          </cell>
          <cell r="F8988" t="str">
            <v>Primary</v>
          </cell>
        </row>
        <row r="8989">
          <cell r="A8989">
            <v>9366078</v>
          </cell>
          <cell r="B8989">
            <v>125356</v>
          </cell>
          <cell r="C8989" t="str">
            <v>Dunottar Day School for Girls</v>
          </cell>
          <cell r="D8989" t="str">
            <v>Surrey</v>
          </cell>
          <cell r="E8989" t="str">
            <v>Other Independent School</v>
          </cell>
          <cell r="F8989" t="str">
            <v>Not applicable</v>
          </cell>
        </row>
        <row r="8990">
          <cell r="A8990">
            <v>2085402</v>
          </cell>
          <cell r="B8990">
            <v>100639</v>
          </cell>
          <cell r="C8990" t="str">
            <v>Dunraven School</v>
          </cell>
          <cell r="D8990" t="str">
            <v>Lambeth</v>
          </cell>
          <cell r="E8990" t="str">
            <v>Foundation School</v>
          </cell>
          <cell r="F8990" t="str">
            <v>Secondary</v>
          </cell>
        </row>
        <row r="8991">
          <cell r="A8991">
            <v>2085402</v>
          </cell>
          <cell r="B8991">
            <v>137093</v>
          </cell>
          <cell r="C8991" t="str">
            <v>Dunraven School</v>
          </cell>
          <cell r="D8991" t="str">
            <v>Lambeth</v>
          </cell>
          <cell r="E8991" t="str">
            <v>Academy Converters</v>
          </cell>
          <cell r="F8991" t="str">
            <v>Secondary</v>
          </cell>
        </row>
        <row r="8992">
          <cell r="A8992">
            <v>3714605</v>
          </cell>
          <cell r="B8992">
            <v>106809</v>
          </cell>
          <cell r="C8992" t="str">
            <v>Dunscroft Abbey CofE Middle School</v>
          </cell>
          <cell r="D8992" t="str">
            <v>Doncaster</v>
          </cell>
          <cell r="E8992" t="str">
            <v>Voluntary Aided School</v>
          </cell>
          <cell r="F8992" t="str">
            <v>Middle Deemed Secondary</v>
          </cell>
        </row>
        <row r="8993">
          <cell r="A8993">
            <v>9363018</v>
          </cell>
          <cell r="B8993">
            <v>130070</v>
          </cell>
          <cell r="C8993" t="str">
            <v>Dunsfold CofE First School</v>
          </cell>
          <cell r="D8993" t="str">
            <v>Surrey</v>
          </cell>
          <cell r="E8993" t="str">
            <v>Voluntary Controlled School</v>
          </cell>
          <cell r="F8993" t="str">
            <v>Primary</v>
          </cell>
        </row>
        <row r="8994">
          <cell r="A8994">
            <v>8782418</v>
          </cell>
          <cell r="B8994">
            <v>113199</v>
          </cell>
          <cell r="C8994" t="str">
            <v>Dunsford Community Primary School</v>
          </cell>
          <cell r="D8994" t="str">
            <v>Devon</v>
          </cell>
          <cell r="E8994" t="str">
            <v>Community School</v>
          </cell>
          <cell r="F8994" t="str">
            <v>Primary</v>
          </cell>
        </row>
        <row r="8995">
          <cell r="A8995">
            <v>8232038</v>
          </cell>
          <cell r="B8995">
            <v>109444</v>
          </cell>
          <cell r="C8995" t="str">
            <v>Dunstable Icknield Lower School</v>
          </cell>
          <cell r="D8995" t="str">
            <v>Central Bedfordshire</v>
          </cell>
          <cell r="E8995" t="str">
            <v>Community School</v>
          </cell>
          <cell r="F8995" t="str">
            <v>Primary</v>
          </cell>
        </row>
        <row r="8996">
          <cell r="A8996">
            <v>3362090</v>
          </cell>
          <cell r="B8996">
            <v>104335</v>
          </cell>
          <cell r="C8996" t="str">
            <v>Dunstall Hill Primary School</v>
          </cell>
          <cell r="D8996" t="str">
            <v>Wolverhampton</v>
          </cell>
          <cell r="E8996" t="str">
            <v>Community School</v>
          </cell>
          <cell r="F8996" t="str">
            <v>Primary</v>
          </cell>
        </row>
        <row r="8997">
          <cell r="A8997">
            <v>9332022</v>
          </cell>
          <cell r="B8997">
            <v>123643</v>
          </cell>
          <cell r="C8997" t="str">
            <v>Dunster First School</v>
          </cell>
          <cell r="D8997" t="str">
            <v>Somerset</v>
          </cell>
          <cell r="E8997" t="str">
            <v>Community School</v>
          </cell>
          <cell r="F8997" t="str">
            <v>Primary</v>
          </cell>
        </row>
        <row r="8998">
          <cell r="A8998">
            <v>3902164</v>
          </cell>
          <cell r="B8998">
            <v>108338</v>
          </cell>
          <cell r="C8998" t="str">
            <v>Dunston Hill Community Primary School</v>
          </cell>
          <cell r="D8998" t="str">
            <v>Gateshead</v>
          </cell>
          <cell r="E8998" t="str">
            <v>Community School</v>
          </cell>
          <cell r="F8998" t="str">
            <v>Primary</v>
          </cell>
        </row>
        <row r="8999">
          <cell r="A8999">
            <v>3902165</v>
          </cell>
          <cell r="B8999">
            <v>128101</v>
          </cell>
          <cell r="C8999" t="str">
            <v>Dunston Hill Infant School</v>
          </cell>
          <cell r="D8999" t="str">
            <v>Gateshead</v>
          </cell>
          <cell r="E8999" t="str">
            <v>Community School</v>
          </cell>
          <cell r="F8999" t="str">
            <v>Primary</v>
          </cell>
        </row>
        <row r="9000">
          <cell r="A9000">
            <v>8692124</v>
          </cell>
          <cell r="B9000">
            <v>109857</v>
          </cell>
          <cell r="C9000" t="str">
            <v>Dunston Park Infant School</v>
          </cell>
          <cell r="D9000" t="str">
            <v>West Berkshire</v>
          </cell>
          <cell r="E9000" t="str">
            <v>Community School</v>
          </cell>
          <cell r="F9000" t="str">
            <v>Primary</v>
          </cell>
        </row>
        <row r="9001">
          <cell r="A9001">
            <v>8302517</v>
          </cell>
          <cell r="B9001">
            <v>112777</v>
          </cell>
          <cell r="C9001" t="str">
            <v>Dunston Primary School</v>
          </cell>
          <cell r="D9001" t="str">
            <v>Derbyshire</v>
          </cell>
          <cell r="E9001" t="str">
            <v>Community School</v>
          </cell>
          <cell r="F9001" t="str">
            <v>Primary</v>
          </cell>
        </row>
        <row r="9002">
          <cell r="A9002">
            <v>3902220</v>
          </cell>
          <cell r="B9002">
            <v>108367</v>
          </cell>
          <cell r="C9002" t="str">
            <v>Dunston Riverside Community Primary School</v>
          </cell>
          <cell r="D9002" t="str">
            <v>Gateshead</v>
          </cell>
          <cell r="E9002" t="str">
            <v>Community School</v>
          </cell>
          <cell r="F9002" t="str">
            <v>Primary</v>
          </cell>
        </row>
        <row r="9003">
          <cell r="A9003">
            <v>3904032</v>
          </cell>
          <cell r="B9003">
            <v>128114</v>
          </cell>
          <cell r="C9003" t="str">
            <v>Dunston School</v>
          </cell>
          <cell r="D9003" t="str">
            <v>Gateshead</v>
          </cell>
          <cell r="E9003" t="str">
            <v>Community School</v>
          </cell>
          <cell r="F9003" t="str">
            <v>Secondary</v>
          </cell>
        </row>
        <row r="9004">
          <cell r="A9004">
            <v>9253021</v>
          </cell>
          <cell r="B9004">
            <v>120520</v>
          </cell>
          <cell r="C9004" t="str">
            <v>Dunston St Peter's Church of England Primary School</v>
          </cell>
          <cell r="D9004" t="str">
            <v>Lincolnshire</v>
          </cell>
          <cell r="E9004" t="str">
            <v>Voluntary Controlled School</v>
          </cell>
          <cell r="F9004" t="str">
            <v>Primary</v>
          </cell>
        </row>
        <row r="9005">
          <cell r="A9005">
            <v>8792688</v>
          </cell>
          <cell r="B9005">
            <v>113312</v>
          </cell>
          <cell r="C9005" t="str">
            <v>Dunstone Community Primary School</v>
          </cell>
          <cell r="D9005" t="str">
            <v>Plymouth</v>
          </cell>
          <cell r="E9005" t="str">
            <v>Community School</v>
          </cell>
          <cell r="F9005" t="str">
            <v>Primary</v>
          </cell>
        </row>
        <row r="9006">
          <cell r="A9006">
            <v>3712076</v>
          </cell>
          <cell r="B9006">
            <v>106680</v>
          </cell>
          <cell r="C9006" t="str">
            <v>Dunsville Primary School</v>
          </cell>
          <cell r="D9006" t="str">
            <v>Doncaster</v>
          </cell>
          <cell r="E9006" t="str">
            <v>Foundation School</v>
          </cell>
          <cell r="F9006" t="str">
            <v>Primary</v>
          </cell>
        </row>
        <row r="9007">
          <cell r="A9007">
            <v>8112728</v>
          </cell>
          <cell r="B9007">
            <v>117848</v>
          </cell>
          <cell r="C9007" t="str">
            <v>Dunswell Primary School</v>
          </cell>
          <cell r="D9007" t="str">
            <v>East Riding of Yorkshire</v>
          </cell>
          <cell r="E9007" t="str">
            <v>Community School</v>
          </cell>
          <cell r="F9007" t="str">
            <v>Primary</v>
          </cell>
        </row>
        <row r="9008">
          <cell r="A9008">
            <v>8552034</v>
          </cell>
          <cell r="B9008">
            <v>119922</v>
          </cell>
          <cell r="C9008" t="str">
            <v>Dunton Bassett Primary School</v>
          </cell>
          <cell r="D9008" t="str">
            <v>Leicestershire</v>
          </cell>
          <cell r="E9008" t="str">
            <v>Community School</v>
          </cell>
          <cell r="F9008" t="str">
            <v>Primary</v>
          </cell>
        </row>
        <row r="9009">
          <cell r="A9009">
            <v>8862130</v>
          </cell>
          <cell r="B9009">
            <v>118272</v>
          </cell>
          <cell r="C9009" t="str">
            <v>Dunton Green Primary School</v>
          </cell>
          <cell r="D9009" t="str">
            <v>Kent</v>
          </cell>
          <cell r="E9009" t="str">
            <v>Community School</v>
          </cell>
          <cell r="F9009" t="str">
            <v>Primary</v>
          </cell>
        </row>
        <row r="9010">
          <cell r="A9010">
            <v>8233006</v>
          </cell>
          <cell r="B9010">
            <v>109599</v>
          </cell>
          <cell r="C9010" t="str">
            <v>Dunton VC Lower School</v>
          </cell>
          <cell r="D9010" t="str">
            <v>Central Bedfordshire</v>
          </cell>
          <cell r="E9010" t="str">
            <v>Voluntary Controlled School</v>
          </cell>
          <cell r="F9010" t="str">
            <v>Primary</v>
          </cell>
        </row>
        <row r="9011">
          <cell r="A9011">
            <v>6702088</v>
          </cell>
          <cell r="B9011">
            <v>400902</v>
          </cell>
          <cell r="C9011" t="str">
            <v>Dunvant Infant School</v>
          </cell>
          <cell r="D9011" t="str">
            <v>Swansea</v>
          </cell>
          <cell r="E9011" t="str">
            <v>Welsh Establishment</v>
          </cell>
          <cell r="F9011" t="str">
            <v>Primary</v>
          </cell>
        </row>
        <row r="9012">
          <cell r="A9012">
            <v>6702018</v>
          </cell>
          <cell r="B9012">
            <v>400868</v>
          </cell>
          <cell r="C9012" t="str">
            <v>Dunvant Junior School</v>
          </cell>
          <cell r="D9012" t="str">
            <v>Swansea</v>
          </cell>
          <cell r="E9012" t="str">
            <v>Welsh Establishment</v>
          </cell>
          <cell r="F9012" t="str">
            <v>Primary</v>
          </cell>
        </row>
        <row r="9013">
          <cell r="A9013">
            <v>6702237</v>
          </cell>
          <cell r="B9013">
            <v>402087</v>
          </cell>
          <cell r="C9013" t="str">
            <v>Dunvant Primary</v>
          </cell>
          <cell r="D9013" t="str">
            <v>Swansea</v>
          </cell>
          <cell r="E9013" t="str">
            <v>Welsh Establishment</v>
          </cell>
          <cell r="F9013" t="str">
            <v>Primary</v>
          </cell>
        </row>
        <row r="9014">
          <cell r="A9014">
            <v>3062010</v>
          </cell>
          <cell r="B9014">
            <v>101718</v>
          </cell>
          <cell r="C9014" t="str">
            <v>Duppas Junior School</v>
          </cell>
          <cell r="D9014" t="str">
            <v>Croydon</v>
          </cell>
          <cell r="E9014" t="str">
            <v>Community School</v>
          </cell>
          <cell r="F9014" t="str">
            <v>Primary</v>
          </cell>
        </row>
        <row r="9015">
          <cell r="A9015">
            <v>8406008</v>
          </cell>
          <cell r="B9015">
            <v>134546</v>
          </cell>
          <cell r="C9015" t="str">
            <v>Dur02 - Durham Bridge Year 11</v>
          </cell>
          <cell r="D9015" t="str">
            <v>Durham</v>
          </cell>
          <cell r="E9015" t="str">
            <v>Other Independent School</v>
          </cell>
          <cell r="F9015" t="str">
            <v>Not applicable</v>
          </cell>
        </row>
        <row r="9016">
          <cell r="A9016">
            <v>2085207</v>
          </cell>
          <cell r="B9016">
            <v>136288</v>
          </cell>
          <cell r="C9016" t="str">
            <v>Durand Academy</v>
          </cell>
          <cell r="D9016" t="str">
            <v>Lambeth</v>
          </cell>
          <cell r="E9016" t="str">
            <v>Academy Converters</v>
          </cell>
          <cell r="F9016" t="str">
            <v>Primary</v>
          </cell>
        </row>
        <row r="9017">
          <cell r="A9017">
            <v>2085207</v>
          </cell>
          <cell r="B9017">
            <v>100635</v>
          </cell>
          <cell r="C9017" t="str">
            <v>Durand Primary School</v>
          </cell>
          <cell r="D9017" t="str">
            <v>Lambeth</v>
          </cell>
          <cell r="E9017" t="str">
            <v>Foundation School</v>
          </cell>
          <cell r="F9017" t="str">
            <v>Primary</v>
          </cell>
        </row>
        <row r="9018">
          <cell r="A9018">
            <v>6792261</v>
          </cell>
          <cell r="B9018">
            <v>401481</v>
          </cell>
          <cell r="C9018" t="str">
            <v>Durand Primary School</v>
          </cell>
          <cell r="D9018" t="str">
            <v>Monmouthshire</v>
          </cell>
          <cell r="E9018" t="str">
            <v>Welsh Establishment</v>
          </cell>
          <cell r="F9018" t="str">
            <v>Primary</v>
          </cell>
        </row>
        <row r="9019">
          <cell r="A9019">
            <v>3087000</v>
          </cell>
          <cell r="B9019">
            <v>102066</v>
          </cell>
          <cell r="C9019" t="str">
            <v>Durants School</v>
          </cell>
          <cell r="D9019" t="str">
            <v>Enfield</v>
          </cell>
          <cell r="E9019" t="str">
            <v>Community Special School</v>
          </cell>
          <cell r="F9019" t="str">
            <v>Special</v>
          </cell>
        </row>
        <row r="9020">
          <cell r="A9020">
            <v>3072142</v>
          </cell>
          <cell r="B9020">
            <v>126863</v>
          </cell>
          <cell r="C9020" t="str">
            <v>Durdans Park First School</v>
          </cell>
          <cell r="D9020" t="str">
            <v>Ealing</v>
          </cell>
          <cell r="E9020" t="str">
            <v>Community School</v>
          </cell>
          <cell r="F9020" t="str">
            <v>Primary</v>
          </cell>
        </row>
        <row r="9021">
          <cell r="A9021">
            <v>3072143</v>
          </cell>
          <cell r="B9021">
            <v>126864</v>
          </cell>
          <cell r="C9021" t="str">
            <v>Durdans Park Middle School</v>
          </cell>
          <cell r="D9021" t="str">
            <v>Ealing</v>
          </cell>
          <cell r="E9021" t="str">
            <v>Community School</v>
          </cell>
          <cell r="F9021" t="str">
            <v>Middle Deemed Primary</v>
          </cell>
        </row>
        <row r="9022">
          <cell r="A9022">
            <v>3072166</v>
          </cell>
          <cell r="B9022">
            <v>101896</v>
          </cell>
          <cell r="C9022" t="str">
            <v>Durdans Park Primary School</v>
          </cell>
          <cell r="D9022" t="str">
            <v>Ealing</v>
          </cell>
          <cell r="E9022" t="str">
            <v>Community School</v>
          </cell>
          <cell r="F9022" t="str">
            <v>Primary</v>
          </cell>
        </row>
        <row r="9023">
          <cell r="A9023">
            <v>840940</v>
          </cell>
          <cell r="B9023">
            <v>133549</v>
          </cell>
          <cell r="C9023" t="str">
            <v>Durham CCC</v>
          </cell>
          <cell r="D9023" t="str">
            <v>Durham</v>
          </cell>
          <cell r="E9023" t="str">
            <v>Playing for Success Centres</v>
          </cell>
          <cell r="F9023" t="str">
            <v>Not applicable</v>
          </cell>
        </row>
        <row r="9024">
          <cell r="A9024">
            <v>8408300</v>
          </cell>
          <cell r="B9024">
            <v>130661</v>
          </cell>
          <cell r="C9024" t="str">
            <v>Durham College of Agriculture and Horticulture</v>
          </cell>
          <cell r="D9024" t="str">
            <v>Durham</v>
          </cell>
          <cell r="E9024" t="str">
            <v>Further Education</v>
          </cell>
          <cell r="F9024" t="str">
            <v>16 Plus</v>
          </cell>
        </row>
        <row r="9025">
          <cell r="A9025">
            <v>8404192</v>
          </cell>
          <cell r="B9025">
            <v>114311</v>
          </cell>
          <cell r="C9025" t="str">
            <v>Durham Community Business College for Technology and Enterprise</v>
          </cell>
          <cell r="D9025" t="str">
            <v>Durham</v>
          </cell>
          <cell r="E9025" t="str">
            <v>Community School</v>
          </cell>
          <cell r="F9025" t="str">
            <v>Secondary</v>
          </cell>
        </row>
        <row r="9026">
          <cell r="A9026">
            <v>9132467</v>
          </cell>
          <cell r="B9026">
            <v>132887</v>
          </cell>
          <cell r="C9026" t="str">
            <v>Durham Gilesgate Infant School</v>
          </cell>
          <cell r="D9026" t="str">
            <v>Pre LGR (1997) Durham</v>
          </cell>
          <cell r="E9026" t="str">
            <v>Community School</v>
          </cell>
          <cell r="F9026" t="str">
            <v>Primary</v>
          </cell>
        </row>
        <row r="9027">
          <cell r="A9027">
            <v>8402747</v>
          </cell>
          <cell r="B9027">
            <v>114211</v>
          </cell>
          <cell r="C9027" t="str">
            <v>Durham Gilesgate Primary School</v>
          </cell>
          <cell r="D9027" t="str">
            <v>Durham</v>
          </cell>
          <cell r="E9027" t="str">
            <v>Community School</v>
          </cell>
          <cell r="F9027" t="str">
            <v>Primary</v>
          </cell>
        </row>
        <row r="9028">
          <cell r="A9028">
            <v>8404191</v>
          </cell>
          <cell r="B9028">
            <v>114310</v>
          </cell>
          <cell r="C9028" t="str">
            <v>Durham Gilesgate Sports College and Sixth Form Centre</v>
          </cell>
          <cell r="D9028" t="str">
            <v>Durham</v>
          </cell>
          <cell r="E9028" t="str">
            <v>Community School</v>
          </cell>
          <cell r="F9028" t="str">
            <v>Secondary</v>
          </cell>
        </row>
        <row r="9029">
          <cell r="A9029">
            <v>8406004</v>
          </cell>
          <cell r="B9029">
            <v>114330</v>
          </cell>
          <cell r="C9029" t="str">
            <v>Durham High School for Girls</v>
          </cell>
          <cell r="D9029" t="str">
            <v>Durham</v>
          </cell>
          <cell r="E9029" t="str">
            <v>Other Independent School</v>
          </cell>
          <cell r="F9029" t="str">
            <v>Not applicable</v>
          </cell>
        </row>
        <row r="9030">
          <cell r="A9030">
            <v>8404200</v>
          </cell>
          <cell r="B9030">
            <v>114312</v>
          </cell>
          <cell r="C9030" t="str">
            <v>Durham Johnston Comprehensive School</v>
          </cell>
          <cell r="D9030" t="str">
            <v>Durham</v>
          </cell>
          <cell r="E9030" t="str">
            <v>Community School</v>
          </cell>
          <cell r="F9030" t="str">
            <v>Secondary</v>
          </cell>
        </row>
        <row r="9031">
          <cell r="A9031">
            <v>8082080</v>
          </cell>
          <cell r="B9031">
            <v>111562</v>
          </cell>
          <cell r="C9031" t="str">
            <v>Durham Lane Primary School</v>
          </cell>
          <cell r="D9031" t="str">
            <v>Stockton-on-Tees</v>
          </cell>
          <cell r="E9031" t="str">
            <v>Community School</v>
          </cell>
          <cell r="F9031" t="str">
            <v>Primary</v>
          </cell>
        </row>
        <row r="9032">
          <cell r="A9032">
            <v>8402488</v>
          </cell>
          <cell r="B9032">
            <v>114134</v>
          </cell>
          <cell r="C9032" t="str">
            <v>Durham Newton Hall Infants' School</v>
          </cell>
          <cell r="D9032" t="str">
            <v>Durham</v>
          </cell>
          <cell r="E9032" t="str">
            <v>Community School</v>
          </cell>
          <cell r="F9032" t="str">
            <v>Primary</v>
          </cell>
        </row>
        <row r="9033">
          <cell r="A9033">
            <v>6802008</v>
          </cell>
          <cell r="B9033">
            <v>401506</v>
          </cell>
          <cell r="C9033" t="str">
            <v>Durham Road Infant School</v>
          </cell>
          <cell r="D9033" t="str">
            <v>Newport</v>
          </cell>
          <cell r="E9033" t="str">
            <v>Welsh Establishment</v>
          </cell>
          <cell r="F9033" t="str">
            <v>Primary</v>
          </cell>
        </row>
        <row r="9034">
          <cell r="A9034">
            <v>6802006</v>
          </cell>
          <cell r="B9034">
            <v>401505</v>
          </cell>
          <cell r="C9034" t="str">
            <v>Durham Road Junior School</v>
          </cell>
          <cell r="D9034" t="str">
            <v>Newport</v>
          </cell>
          <cell r="E9034" t="str">
            <v>Welsh Establishment</v>
          </cell>
          <cell r="F9034" t="str">
            <v>Primary</v>
          </cell>
        </row>
        <row r="9035">
          <cell r="A9035">
            <v>8406000</v>
          </cell>
          <cell r="B9035">
            <v>114331</v>
          </cell>
          <cell r="C9035" t="str">
            <v>Durham School</v>
          </cell>
          <cell r="D9035" t="str">
            <v>Durham</v>
          </cell>
          <cell r="E9035" t="str">
            <v>Other Independent School</v>
          </cell>
          <cell r="F9035" t="str">
            <v>Not applicable</v>
          </cell>
        </row>
        <row r="9036">
          <cell r="A9036">
            <v>8407032</v>
          </cell>
          <cell r="B9036">
            <v>114349</v>
          </cell>
          <cell r="C9036" t="str">
            <v>Durham Trinity School &amp; Sports College</v>
          </cell>
          <cell r="D9036" t="str">
            <v>Durham</v>
          </cell>
          <cell r="E9036" t="str">
            <v>Community Special School</v>
          </cell>
          <cell r="F9036" t="str">
            <v>Special</v>
          </cell>
        </row>
        <row r="9037">
          <cell r="A9037">
            <v>8503040</v>
          </cell>
          <cell r="B9037">
            <v>116283</v>
          </cell>
          <cell r="C9037" t="str">
            <v>Durley Church of England Controlled Primary School</v>
          </cell>
          <cell r="D9037" t="str">
            <v>Hampshire</v>
          </cell>
          <cell r="E9037" t="str">
            <v>Voluntary Controlled School</v>
          </cell>
          <cell r="F9037" t="str">
            <v>Primary</v>
          </cell>
        </row>
        <row r="9038">
          <cell r="A9038">
            <v>8506056</v>
          </cell>
          <cell r="B9038">
            <v>116522</v>
          </cell>
          <cell r="C9038" t="str">
            <v>Durlston Court School</v>
          </cell>
          <cell r="D9038" t="str">
            <v>Hampshire</v>
          </cell>
          <cell r="E9038" t="str">
            <v>Other Independent School</v>
          </cell>
          <cell r="F9038" t="str">
            <v>Not applicable</v>
          </cell>
        </row>
        <row r="9039">
          <cell r="A9039">
            <v>3544070</v>
          </cell>
          <cell r="B9039">
            <v>127449</v>
          </cell>
          <cell r="C9039" t="str">
            <v>Durnford High School</v>
          </cell>
          <cell r="D9039" t="str">
            <v>Rochdale</v>
          </cell>
          <cell r="E9039" t="str">
            <v>Community School</v>
          </cell>
          <cell r="F9039" t="str">
            <v>Secondary</v>
          </cell>
        </row>
        <row r="9040">
          <cell r="A9040">
            <v>9194042</v>
          </cell>
          <cell r="B9040">
            <v>129154</v>
          </cell>
          <cell r="C9040" t="str">
            <v>Durrants School</v>
          </cell>
          <cell r="D9040" t="str">
            <v>Hertfordshire</v>
          </cell>
          <cell r="E9040" t="str">
            <v>Community School</v>
          </cell>
          <cell r="F9040" t="str">
            <v>Secondary</v>
          </cell>
        </row>
        <row r="9041">
          <cell r="A9041">
            <v>8653061</v>
          </cell>
          <cell r="B9041">
            <v>126323</v>
          </cell>
          <cell r="C9041" t="str">
            <v>Durrington All Saints Church of England Voluntary Controlled Infants' School</v>
          </cell>
          <cell r="D9041" t="str">
            <v>Wiltshire</v>
          </cell>
          <cell r="E9041" t="str">
            <v>Voluntary Controlled School</v>
          </cell>
          <cell r="F9041" t="str">
            <v>Primary</v>
          </cell>
        </row>
        <row r="9042">
          <cell r="A9042">
            <v>8653063</v>
          </cell>
          <cell r="B9042">
            <v>126324</v>
          </cell>
          <cell r="C9042" t="str">
            <v>Durrington Church of England Controlled Junior School</v>
          </cell>
          <cell r="D9042" t="str">
            <v>Wiltshire</v>
          </cell>
          <cell r="E9042" t="str">
            <v>Voluntary Controlled School</v>
          </cell>
          <cell r="F9042" t="str">
            <v>Primary</v>
          </cell>
        </row>
        <row r="9043">
          <cell r="A9043">
            <v>9382076</v>
          </cell>
          <cell r="B9043">
            <v>125862</v>
          </cell>
          <cell r="C9043" t="str">
            <v>Durrington First School</v>
          </cell>
          <cell r="D9043" t="str">
            <v>West Sussex</v>
          </cell>
          <cell r="E9043" t="str">
            <v>Community School</v>
          </cell>
          <cell r="F9043" t="str">
            <v>Primary</v>
          </cell>
        </row>
        <row r="9044">
          <cell r="A9044">
            <v>9384065</v>
          </cell>
          <cell r="B9044">
            <v>126083</v>
          </cell>
          <cell r="C9044" t="str">
            <v>Durrington High School</v>
          </cell>
          <cell r="D9044" t="str">
            <v>West Sussex</v>
          </cell>
          <cell r="E9044" t="str">
            <v>Community School</v>
          </cell>
          <cell r="F9044" t="str">
            <v>Secondary</v>
          </cell>
        </row>
        <row r="9045">
          <cell r="A9045">
            <v>9382229</v>
          </cell>
          <cell r="B9045">
            <v>125952</v>
          </cell>
          <cell r="C9045" t="str">
            <v>Durrington Middle School</v>
          </cell>
          <cell r="D9045" t="str">
            <v>West Sussex</v>
          </cell>
          <cell r="E9045" t="str">
            <v>Community School</v>
          </cell>
          <cell r="F9045" t="str">
            <v>Middle Deemed Primary</v>
          </cell>
        </row>
        <row r="9046">
          <cell r="A9046">
            <v>9163032</v>
          </cell>
          <cell r="B9046">
            <v>115620</v>
          </cell>
          <cell r="C9046" t="str">
            <v>Dursley Church of England Primary School</v>
          </cell>
          <cell r="D9046" t="str">
            <v>Gloucestershire</v>
          </cell>
          <cell r="E9046" t="str">
            <v>Voluntary Controlled School</v>
          </cell>
          <cell r="F9046" t="str">
            <v>Primary</v>
          </cell>
        </row>
        <row r="9047">
          <cell r="A9047">
            <v>3076000</v>
          </cell>
          <cell r="B9047">
            <v>101944</v>
          </cell>
          <cell r="C9047" t="str">
            <v>Durston House School</v>
          </cell>
          <cell r="D9047" t="str">
            <v>Ealing</v>
          </cell>
          <cell r="E9047" t="str">
            <v>Other Independent School</v>
          </cell>
          <cell r="F9047" t="str">
            <v>Not applicable</v>
          </cell>
        </row>
        <row r="9048">
          <cell r="A9048">
            <v>8353319</v>
          </cell>
          <cell r="B9048">
            <v>113798</v>
          </cell>
          <cell r="C9048" t="str">
            <v>Durweston CofE VA Primary School</v>
          </cell>
          <cell r="D9048" t="str">
            <v>Dorset</v>
          </cell>
          <cell r="E9048" t="str">
            <v>Voluntary Aided School</v>
          </cell>
          <cell r="F9048" t="str">
            <v>Primary</v>
          </cell>
        </row>
        <row r="9049">
          <cell r="A9049">
            <v>3114005</v>
          </cell>
          <cell r="B9049">
            <v>126924</v>
          </cell>
          <cell r="C9049" t="str">
            <v>Dury Falls School</v>
          </cell>
          <cell r="D9049" t="str">
            <v>Havering</v>
          </cell>
          <cell r="E9049" t="str">
            <v>Community School</v>
          </cell>
          <cell r="F9049" t="str">
            <v>Secondary</v>
          </cell>
        </row>
        <row r="9050">
          <cell r="A9050">
            <v>7022103</v>
          </cell>
          <cell r="B9050">
            <v>133014</v>
          </cell>
          <cell r="C9050" t="str">
            <v>Dusseldorf Primary School</v>
          </cell>
          <cell r="D9050" t="str">
            <v>BFPO Overseas Establishments</v>
          </cell>
          <cell r="E9050" t="str">
            <v>Service Childrens Education</v>
          </cell>
          <cell r="F9050" t="str">
            <v>Not applicable</v>
          </cell>
        </row>
        <row r="9051">
          <cell r="A9051">
            <v>9263430</v>
          </cell>
          <cell r="B9051">
            <v>128067</v>
          </cell>
          <cell r="C9051" t="str">
            <v>Dussindale Primary School</v>
          </cell>
          <cell r="D9051" t="str">
            <v>Norfolk</v>
          </cell>
          <cell r="E9051" t="str">
            <v>Community School</v>
          </cell>
          <cell r="F9051" t="str">
            <v>Primary</v>
          </cell>
        </row>
        <row r="9052">
          <cell r="A9052">
            <v>9282210</v>
          </cell>
          <cell r="B9052">
            <v>121945</v>
          </cell>
          <cell r="C9052" t="str">
            <v>Duston Eldean Primary School</v>
          </cell>
          <cell r="D9052" t="str">
            <v>Northamptonshire</v>
          </cell>
          <cell r="E9052" t="str">
            <v>Community School</v>
          </cell>
          <cell r="F9052" t="str">
            <v>Primary</v>
          </cell>
        </row>
        <row r="9053">
          <cell r="A9053">
            <v>8733041</v>
          </cell>
          <cell r="B9053">
            <v>110798</v>
          </cell>
          <cell r="C9053" t="str">
            <v>Duxford Church of England Community Primary School</v>
          </cell>
          <cell r="D9053" t="str">
            <v>Cambridgeshire</v>
          </cell>
          <cell r="E9053" t="str">
            <v>Voluntary Controlled School</v>
          </cell>
          <cell r="F9053" t="str">
            <v>Primary</v>
          </cell>
        </row>
        <row r="9054">
          <cell r="A9054">
            <v>6714067</v>
          </cell>
          <cell r="B9054">
            <v>401786</v>
          </cell>
          <cell r="C9054" t="str">
            <v>Dwr-Y-Felin Comprehensive School</v>
          </cell>
          <cell r="D9054" t="str">
            <v>Neath Port Talbot</v>
          </cell>
          <cell r="E9054" t="str">
            <v>Welsh Establishment</v>
          </cell>
          <cell r="F9054" t="str">
            <v>Secondary</v>
          </cell>
        </row>
        <row r="9055">
          <cell r="A9055">
            <v>3117002</v>
          </cell>
          <cell r="B9055">
            <v>102363</v>
          </cell>
          <cell r="C9055" t="str">
            <v>Dycorts School</v>
          </cell>
          <cell r="D9055" t="str">
            <v>Havering</v>
          </cell>
          <cell r="E9055" t="str">
            <v>Community Special School</v>
          </cell>
          <cell r="F9055" t="str">
            <v>Special</v>
          </cell>
        </row>
        <row r="9056">
          <cell r="A9056">
            <v>6714059</v>
          </cell>
          <cell r="B9056">
            <v>401781</v>
          </cell>
          <cell r="C9056" t="str">
            <v>Dyffryn School</v>
          </cell>
          <cell r="D9056" t="str">
            <v>Neath Port Talbot</v>
          </cell>
          <cell r="E9056" t="str">
            <v>Welsh Establishment</v>
          </cell>
          <cell r="F9056" t="str">
            <v>Secondary</v>
          </cell>
        </row>
        <row r="9057">
          <cell r="A9057">
            <v>8054131</v>
          </cell>
          <cell r="B9057">
            <v>111746</v>
          </cell>
          <cell r="C9057" t="str">
            <v>Dyke House Sports and Technology College</v>
          </cell>
          <cell r="D9057" t="str">
            <v>Hartlepool</v>
          </cell>
          <cell r="E9057" t="str">
            <v>Foundation School</v>
          </cell>
          <cell r="F9057" t="str">
            <v>Secondary</v>
          </cell>
        </row>
        <row r="9058">
          <cell r="A9058">
            <v>6704076</v>
          </cell>
          <cell r="B9058">
            <v>401775</v>
          </cell>
          <cell r="C9058" t="str">
            <v>Dylan Thomas Community School</v>
          </cell>
          <cell r="D9058" t="str">
            <v>Swansea</v>
          </cell>
          <cell r="E9058" t="str">
            <v>Welsh Establishment</v>
          </cell>
          <cell r="F9058" t="str">
            <v>Secondary</v>
          </cell>
        </row>
        <row r="9059">
          <cell r="A9059">
            <v>8862650</v>
          </cell>
          <cell r="B9059">
            <v>118565</v>
          </cell>
          <cell r="C9059" t="str">
            <v>Dymchurch Primary School</v>
          </cell>
          <cell r="D9059" t="str">
            <v>Kent</v>
          </cell>
          <cell r="E9059" t="str">
            <v>Community School</v>
          </cell>
          <cell r="F9059" t="str">
            <v>Primary</v>
          </cell>
        </row>
        <row r="9060">
          <cell r="A9060">
            <v>3147002</v>
          </cell>
          <cell r="B9060">
            <v>102623</v>
          </cell>
          <cell r="C9060" t="str">
            <v>Dysart School</v>
          </cell>
          <cell r="D9060" t="str">
            <v>Kingston upon Thames</v>
          </cell>
          <cell r="E9060" t="str">
            <v>Community Special School</v>
          </cell>
          <cell r="F9060" t="str">
            <v>Special</v>
          </cell>
        </row>
        <row r="9061">
          <cell r="A9061">
            <v>341611</v>
          </cell>
          <cell r="B9061">
            <v>133123</v>
          </cell>
          <cell r="C9061" t="str">
            <v>Dyson Hall/Gladstone House</v>
          </cell>
          <cell r="D9061" t="str">
            <v>Liverpool</v>
          </cell>
          <cell r="E9061" t="str">
            <v>Secure Units</v>
          </cell>
          <cell r="F9061" t="str">
            <v>Not applicable</v>
          </cell>
        </row>
        <row r="9062">
          <cell r="A9062">
            <v>8854801</v>
          </cell>
          <cell r="B9062">
            <v>116995</v>
          </cell>
          <cell r="C9062" t="str">
            <v>Dyson Perrins CofE Sports College</v>
          </cell>
          <cell r="D9062" t="str">
            <v>Worcestershire</v>
          </cell>
          <cell r="E9062" t="str">
            <v>Voluntary Aided School</v>
          </cell>
          <cell r="F9062" t="str">
            <v>Secondary</v>
          </cell>
        </row>
        <row r="9063">
          <cell r="A9063">
            <v>8854801</v>
          </cell>
          <cell r="B9063">
            <v>137186</v>
          </cell>
          <cell r="C9063" t="str">
            <v>Dyson Perrins CofE Sports College</v>
          </cell>
          <cell r="D9063" t="str">
            <v>Worcestershire</v>
          </cell>
          <cell r="E9063" t="str">
            <v>Academy Converters</v>
          </cell>
          <cell r="F9063" t="str">
            <v>Secondary</v>
          </cell>
        </row>
        <row r="9064">
          <cell r="A9064">
            <v>8702006</v>
          </cell>
          <cell r="B9064">
            <v>109780</v>
          </cell>
          <cell r="C9064" t="str">
            <v>E P Collier Primary School</v>
          </cell>
          <cell r="D9064" t="str">
            <v>Reading</v>
          </cell>
          <cell r="E9064" t="str">
            <v>Community School</v>
          </cell>
          <cell r="F9064" t="str">
            <v>Primary</v>
          </cell>
        </row>
        <row r="9065">
          <cell r="A9065">
            <v>8866109</v>
          </cell>
          <cell r="B9065">
            <v>137276</v>
          </cell>
          <cell r="C9065" t="str">
            <v>E.C.L</v>
          </cell>
          <cell r="D9065" t="str">
            <v>Kent</v>
          </cell>
          <cell r="E9065" t="str">
            <v>Other Independent Special School</v>
          </cell>
          <cell r="F9065" t="str">
            <v>Not applicable</v>
          </cell>
        </row>
        <row r="9066">
          <cell r="A9066">
            <v>3834000</v>
          </cell>
          <cell r="B9066">
            <v>136826</v>
          </cell>
          <cell r="C9066" t="str">
            <v>E-ACT Leeds East Academy</v>
          </cell>
          <cell r="D9066" t="str">
            <v>Leeds</v>
          </cell>
          <cell r="E9066" t="str">
            <v>Academy Sponsor Led</v>
          </cell>
          <cell r="F9066" t="str">
            <v>Secondary</v>
          </cell>
        </row>
        <row r="9067">
          <cell r="A9067">
            <v>9252019</v>
          </cell>
          <cell r="B9067">
            <v>120376</v>
          </cell>
          <cell r="C9067" t="str">
            <v>Eagle Community Primary School</v>
          </cell>
          <cell r="D9067" t="str">
            <v>Lincolnshire</v>
          </cell>
          <cell r="E9067" t="str">
            <v>Community School</v>
          </cell>
          <cell r="F9067" t="str">
            <v>Primary</v>
          </cell>
        </row>
        <row r="9068">
          <cell r="A9068">
            <v>8676002</v>
          </cell>
          <cell r="B9068">
            <v>110133</v>
          </cell>
          <cell r="C9068" t="str">
            <v>Eagle House School</v>
          </cell>
          <cell r="D9068" t="str">
            <v>Bracknell Forest</v>
          </cell>
          <cell r="E9068" t="str">
            <v>Other Independent School</v>
          </cell>
          <cell r="F9068" t="str">
            <v>Not applicable</v>
          </cell>
        </row>
        <row r="9069">
          <cell r="A9069">
            <v>8366005</v>
          </cell>
          <cell r="B9069">
            <v>113947</v>
          </cell>
          <cell r="C9069" t="str">
            <v>Eagle House School</v>
          </cell>
          <cell r="D9069" t="str">
            <v>Poole</v>
          </cell>
          <cell r="E9069" t="str">
            <v>Other Independent School</v>
          </cell>
          <cell r="F9069" t="str">
            <v>Not applicable</v>
          </cell>
        </row>
        <row r="9070">
          <cell r="A9070">
            <v>3156081</v>
          </cell>
          <cell r="B9070">
            <v>134594</v>
          </cell>
          <cell r="C9070" t="str">
            <v>Eagle House School</v>
          </cell>
          <cell r="D9070" t="str">
            <v>Merton</v>
          </cell>
          <cell r="E9070" t="str">
            <v>Other Independent Special School</v>
          </cell>
          <cell r="F9070" t="str">
            <v>Not applicable</v>
          </cell>
        </row>
        <row r="9071">
          <cell r="A9071">
            <v>3196074</v>
          </cell>
          <cell r="B9071">
            <v>135801</v>
          </cell>
          <cell r="C9071" t="str">
            <v>Eagle House School Sutton</v>
          </cell>
          <cell r="D9071" t="str">
            <v>Sutton</v>
          </cell>
          <cell r="E9071" t="str">
            <v>Other Independent Special School</v>
          </cell>
          <cell r="F9071" t="str">
            <v>Not applicable</v>
          </cell>
        </row>
        <row r="9072">
          <cell r="A9072">
            <v>9095209</v>
          </cell>
          <cell r="B9072">
            <v>112411</v>
          </cell>
          <cell r="C9072" t="str">
            <v>Eaglesfield Paddle CofE VA Primary School</v>
          </cell>
          <cell r="D9072" t="str">
            <v>Cumbria</v>
          </cell>
          <cell r="E9072" t="str">
            <v>Voluntary Aided School</v>
          </cell>
          <cell r="F9072" t="str">
            <v>Primary</v>
          </cell>
        </row>
        <row r="9073">
          <cell r="A9073">
            <v>9095209</v>
          </cell>
          <cell r="B9073">
            <v>136784</v>
          </cell>
          <cell r="C9073" t="str">
            <v>Eaglesfield Paddle CofE VA Primary School</v>
          </cell>
          <cell r="D9073" t="str">
            <v>Cumbria</v>
          </cell>
          <cell r="E9073" t="str">
            <v>Academy Converters</v>
          </cell>
          <cell r="F9073" t="str">
            <v>Primary</v>
          </cell>
        </row>
        <row r="9074">
          <cell r="A9074">
            <v>2034190</v>
          </cell>
          <cell r="B9074">
            <v>100184</v>
          </cell>
          <cell r="C9074" t="str">
            <v>Eaglesfield School</v>
          </cell>
          <cell r="D9074" t="str">
            <v>Greenwich</v>
          </cell>
          <cell r="E9074" t="str">
            <v>Community School</v>
          </cell>
          <cell r="F9074" t="str">
            <v>Secondary</v>
          </cell>
        </row>
        <row r="9075">
          <cell r="A9075">
            <v>6732180</v>
          </cell>
          <cell r="B9075">
            <v>401118</v>
          </cell>
          <cell r="C9075" t="str">
            <v>Eagleswell Primary</v>
          </cell>
          <cell r="D9075" t="str">
            <v>The Vale of Glamorgan</v>
          </cell>
          <cell r="E9075" t="str">
            <v>Welsh Establishment</v>
          </cell>
          <cell r="F9075" t="str">
            <v>Primary</v>
          </cell>
        </row>
        <row r="9076">
          <cell r="A9076">
            <v>3502050</v>
          </cell>
          <cell r="B9076">
            <v>105177</v>
          </cell>
          <cell r="C9076" t="str">
            <v>Eagley Infant School</v>
          </cell>
          <cell r="D9076" t="str">
            <v>Bolton</v>
          </cell>
          <cell r="E9076" t="str">
            <v>Community School</v>
          </cell>
          <cell r="F9076" t="str">
            <v>Primary</v>
          </cell>
        </row>
        <row r="9077">
          <cell r="A9077">
            <v>3502064</v>
          </cell>
          <cell r="B9077">
            <v>105188</v>
          </cell>
          <cell r="C9077" t="str">
            <v>Eagley Junior School</v>
          </cell>
          <cell r="D9077" t="str">
            <v>Bolton</v>
          </cell>
          <cell r="E9077" t="str">
            <v>Community School</v>
          </cell>
          <cell r="F9077" t="str">
            <v>Primary</v>
          </cell>
        </row>
        <row r="9078">
          <cell r="A9078">
            <v>2032174</v>
          </cell>
          <cell r="B9078">
            <v>100120</v>
          </cell>
          <cell r="C9078" t="str">
            <v>Ealdham Primary School</v>
          </cell>
          <cell r="D9078" t="str">
            <v>Greenwich</v>
          </cell>
          <cell r="E9078" t="str">
            <v>Community School</v>
          </cell>
          <cell r="F9078" t="str">
            <v>Primary</v>
          </cell>
        </row>
        <row r="9079">
          <cell r="A9079">
            <v>3076071</v>
          </cell>
          <cell r="B9079">
            <v>126879</v>
          </cell>
          <cell r="C9079" t="str">
            <v>Ealing and Hanwell Preparatory Education Trust</v>
          </cell>
          <cell r="D9079" t="str">
            <v>Ealing</v>
          </cell>
          <cell r="E9079" t="str">
            <v>Other Independent School</v>
          </cell>
          <cell r="F9079" t="str">
            <v>Not applicable</v>
          </cell>
        </row>
        <row r="9080">
          <cell r="A9080">
            <v>3076055</v>
          </cell>
          <cell r="B9080">
            <v>101950</v>
          </cell>
          <cell r="C9080" t="str">
            <v>Ealing College Upper School</v>
          </cell>
          <cell r="D9080" t="str">
            <v>Ealing</v>
          </cell>
          <cell r="E9080" t="str">
            <v>Other Independent School</v>
          </cell>
          <cell r="F9080" t="str">
            <v>Not applicable</v>
          </cell>
        </row>
        <row r="9081">
          <cell r="A9081">
            <v>3074005</v>
          </cell>
          <cell r="B9081">
            <v>126877</v>
          </cell>
          <cell r="C9081" t="str">
            <v>Ealing Green High School</v>
          </cell>
          <cell r="D9081" t="str">
            <v>Ealing</v>
          </cell>
          <cell r="E9081" t="str">
            <v>Community School</v>
          </cell>
          <cell r="F9081" t="str">
            <v>Secondary</v>
          </cell>
        </row>
        <row r="9082">
          <cell r="A9082">
            <v>3076082</v>
          </cell>
          <cell r="B9082">
            <v>133444</v>
          </cell>
          <cell r="C9082" t="str">
            <v>Ealing Independent College</v>
          </cell>
          <cell r="D9082" t="str">
            <v>Ealing</v>
          </cell>
          <cell r="E9082" t="str">
            <v>Other Independent School</v>
          </cell>
          <cell r="F9082" t="str">
            <v>Not applicable</v>
          </cell>
        </row>
        <row r="9083">
          <cell r="A9083">
            <v>3071104</v>
          </cell>
          <cell r="B9083">
            <v>134597</v>
          </cell>
          <cell r="C9083" t="str">
            <v>Ealing Primary Centre</v>
          </cell>
          <cell r="D9083" t="str">
            <v>Ealing</v>
          </cell>
          <cell r="E9083" t="str">
            <v>Pupil Referral Unit</v>
          </cell>
          <cell r="F9083" t="str">
            <v>PRU</v>
          </cell>
        </row>
        <row r="9084">
          <cell r="A9084">
            <v>3078004</v>
          </cell>
          <cell r="B9084">
            <v>130435</v>
          </cell>
          <cell r="C9084" t="str">
            <v>Ealing Tertiary College</v>
          </cell>
          <cell r="D9084" t="str">
            <v>Ealing</v>
          </cell>
          <cell r="E9084" t="str">
            <v>Further Education</v>
          </cell>
          <cell r="F9084" t="str">
            <v>16 Plus</v>
          </cell>
        </row>
        <row r="9085">
          <cell r="A9085">
            <v>2058009</v>
          </cell>
          <cell r="B9085">
            <v>130408</v>
          </cell>
          <cell r="C9085" t="str">
            <v>Ealing, Hammersmith and West London College</v>
          </cell>
          <cell r="D9085" t="str">
            <v>Hammersmith and Fulham</v>
          </cell>
          <cell r="E9085" t="str">
            <v>Further Education</v>
          </cell>
          <cell r="F9085" t="str">
            <v>16 Plus</v>
          </cell>
        </row>
        <row r="9086">
          <cell r="A9086">
            <v>8882215</v>
          </cell>
          <cell r="B9086">
            <v>119251</v>
          </cell>
          <cell r="C9086" t="str">
            <v>Earby Springfield Primary School</v>
          </cell>
          <cell r="D9086" t="str">
            <v>Lancashire</v>
          </cell>
          <cell r="E9086" t="str">
            <v>Community School</v>
          </cell>
          <cell r="F9086" t="str">
            <v>Primary</v>
          </cell>
        </row>
        <row r="9087">
          <cell r="A9087">
            <v>8843035</v>
          </cell>
          <cell r="B9087">
            <v>116804</v>
          </cell>
          <cell r="C9087" t="str">
            <v>Eardisley CofE Primary School</v>
          </cell>
          <cell r="D9087" t="str">
            <v>Herefordshire</v>
          </cell>
          <cell r="E9087" t="str">
            <v>Voluntary Controlled School</v>
          </cell>
          <cell r="F9087" t="str">
            <v>Primary</v>
          </cell>
        </row>
        <row r="9088">
          <cell r="A9088">
            <v>2122177</v>
          </cell>
          <cell r="B9088">
            <v>126680</v>
          </cell>
          <cell r="C9088" t="str">
            <v>Eardley Infant School</v>
          </cell>
          <cell r="D9088" t="str">
            <v>Wandsworth</v>
          </cell>
          <cell r="E9088" t="str">
            <v>Community School</v>
          </cell>
          <cell r="F9088" t="str">
            <v>Primary</v>
          </cell>
        </row>
        <row r="9089">
          <cell r="A9089">
            <v>2125202</v>
          </cell>
          <cell r="B9089">
            <v>101004</v>
          </cell>
          <cell r="C9089" t="str">
            <v>Eardley School</v>
          </cell>
          <cell r="D9089" t="str">
            <v>Wandsworth</v>
          </cell>
          <cell r="E9089" t="str">
            <v>Foundation School</v>
          </cell>
          <cell r="F9089" t="str">
            <v>Primary</v>
          </cell>
        </row>
        <row r="9090">
          <cell r="A9090">
            <v>8732299</v>
          </cell>
          <cell r="B9090">
            <v>110737</v>
          </cell>
          <cell r="C9090" t="str">
            <v>Earith Primary School</v>
          </cell>
          <cell r="D9090" t="str">
            <v>Cambridgeshire</v>
          </cell>
          <cell r="E9090" t="str">
            <v>Community School</v>
          </cell>
          <cell r="F9090" t="str">
            <v>Primary</v>
          </cell>
        </row>
        <row r="9091">
          <cell r="A9091">
            <v>3834004</v>
          </cell>
          <cell r="B9091">
            <v>127951</v>
          </cell>
          <cell r="C9091" t="str">
            <v>Earl Cowper Middle School</v>
          </cell>
          <cell r="D9091" t="str">
            <v>Leeds</v>
          </cell>
          <cell r="E9091" t="str">
            <v>Community School</v>
          </cell>
          <cell r="F9091" t="str">
            <v>Middle Deemed Secondary</v>
          </cell>
        </row>
        <row r="9092">
          <cell r="A9092">
            <v>9393055</v>
          </cell>
          <cell r="B9092">
            <v>130215</v>
          </cell>
          <cell r="C9092" t="str">
            <v>Earl Danby's CofE Primary School</v>
          </cell>
          <cell r="D9092" t="str">
            <v>Pre LGR (1997) Wiltshire</v>
          </cell>
          <cell r="E9092" t="str">
            <v>Voluntary Controlled School</v>
          </cell>
          <cell r="F9092" t="str">
            <v>Primary</v>
          </cell>
        </row>
        <row r="9093">
          <cell r="A9093">
            <v>3734212</v>
          </cell>
          <cell r="B9093">
            <v>107123</v>
          </cell>
          <cell r="C9093" t="str">
            <v>Earl Marshal School</v>
          </cell>
          <cell r="D9093" t="str">
            <v>Sheffield</v>
          </cell>
          <cell r="E9093" t="str">
            <v>Community School</v>
          </cell>
          <cell r="F9093" t="str">
            <v>Secondary</v>
          </cell>
        </row>
        <row r="9094">
          <cell r="A9094">
            <v>8844027</v>
          </cell>
          <cell r="B9094">
            <v>116941</v>
          </cell>
          <cell r="C9094" t="str">
            <v>Earl Mortimer College and Sixth Form Centre</v>
          </cell>
          <cell r="D9094" t="str">
            <v>Herefordshire</v>
          </cell>
          <cell r="E9094" t="str">
            <v>Community School</v>
          </cell>
          <cell r="F9094" t="str">
            <v>Secondary</v>
          </cell>
        </row>
        <row r="9095">
          <cell r="A9095">
            <v>9243031</v>
          </cell>
          <cell r="B9095">
            <v>129533</v>
          </cell>
          <cell r="C9095" t="str">
            <v>Earl Shilto CofE Infant School</v>
          </cell>
          <cell r="D9095" t="str">
            <v>Pre LGR (1997) Leicestershire</v>
          </cell>
          <cell r="E9095" t="str">
            <v>Voluntary Controlled School</v>
          </cell>
          <cell r="F9095" t="str">
            <v>Primary</v>
          </cell>
        </row>
        <row r="9096">
          <cell r="A9096">
            <v>9352072</v>
          </cell>
          <cell r="B9096">
            <v>124578</v>
          </cell>
          <cell r="C9096" t="str">
            <v>Earl Soham Community Primary School</v>
          </cell>
          <cell r="D9096" t="str">
            <v>Suffolk</v>
          </cell>
          <cell r="E9096" t="str">
            <v>Community School</v>
          </cell>
          <cell r="F9096" t="str">
            <v>Primary</v>
          </cell>
        </row>
        <row r="9097">
          <cell r="A9097">
            <v>9282160</v>
          </cell>
          <cell r="B9097">
            <v>121912</v>
          </cell>
          <cell r="C9097" t="str">
            <v>Earl Spencer Primary School</v>
          </cell>
          <cell r="D9097" t="str">
            <v>Northamptonshire</v>
          </cell>
          <cell r="E9097" t="str">
            <v>Community School</v>
          </cell>
          <cell r="F9097" t="str">
            <v>Primary</v>
          </cell>
        </row>
        <row r="9098">
          <cell r="A9098">
            <v>8303039</v>
          </cell>
          <cell r="B9098">
            <v>112821</v>
          </cell>
          <cell r="C9098" t="str">
            <v>Earl Sterndale CofE Primary School</v>
          </cell>
          <cell r="D9098" t="str">
            <v>Derbyshire</v>
          </cell>
          <cell r="E9098" t="str">
            <v>Voluntary Controlled School</v>
          </cell>
          <cell r="F9098" t="str">
            <v>Primary</v>
          </cell>
        </row>
        <row r="9099">
          <cell r="A9099">
            <v>3412193</v>
          </cell>
          <cell r="B9099">
            <v>127279</v>
          </cell>
          <cell r="C9099" t="str">
            <v>Earle County Infant School</v>
          </cell>
          <cell r="D9099" t="str">
            <v>Liverpool</v>
          </cell>
          <cell r="E9099" t="str">
            <v>Community School</v>
          </cell>
          <cell r="F9099" t="str">
            <v>Primary</v>
          </cell>
        </row>
        <row r="9100">
          <cell r="A9100">
            <v>3412048</v>
          </cell>
          <cell r="B9100">
            <v>104535</v>
          </cell>
          <cell r="C9100" t="str">
            <v>Earle Primary School</v>
          </cell>
          <cell r="D9100" t="str">
            <v>Liverpool</v>
          </cell>
          <cell r="E9100" t="str">
            <v>Community School</v>
          </cell>
          <cell r="F9100" t="str">
            <v>Primary</v>
          </cell>
        </row>
        <row r="9101">
          <cell r="A9101">
            <v>3423101</v>
          </cell>
          <cell r="B9101">
            <v>127341</v>
          </cell>
          <cell r="C9101" t="str">
            <v>Earlestown District CofE Junior School</v>
          </cell>
          <cell r="D9101" t="str">
            <v>St. Helens</v>
          </cell>
          <cell r="E9101" t="str">
            <v>Voluntary Controlled School</v>
          </cell>
          <cell r="F9101" t="str">
            <v>Primary</v>
          </cell>
        </row>
        <row r="9102">
          <cell r="A9102">
            <v>8723312</v>
          </cell>
          <cell r="B9102">
            <v>110009</v>
          </cell>
          <cell r="C9102" t="str">
            <v>Earley St Peter's Church of England Voluntary Aided Primary School</v>
          </cell>
          <cell r="D9102" t="str">
            <v>Wokingham</v>
          </cell>
          <cell r="E9102" t="str">
            <v>Voluntary Aided School</v>
          </cell>
          <cell r="F9102" t="str">
            <v>Primary</v>
          </cell>
        </row>
        <row r="9103">
          <cell r="A9103">
            <v>9264068</v>
          </cell>
          <cell r="B9103">
            <v>121175</v>
          </cell>
          <cell r="C9103" t="str">
            <v>Earlham High School</v>
          </cell>
          <cell r="D9103" t="str">
            <v>Norfolk</v>
          </cell>
          <cell r="E9103" t="str">
            <v>Community School</v>
          </cell>
          <cell r="F9103" t="str">
            <v>Secondary</v>
          </cell>
        </row>
        <row r="9104">
          <cell r="A9104">
            <v>3092053</v>
          </cell>
          <cell r="B9104">
            <v>102117</v>
          </cell>
          <cell r="C9104" t="str">
            <v>Earlham Infant School</v>
          </cell>
          <cell r="D9104" t="str">
            <v>Haringey</v>
          </cell>
          <cell r="E9104" t="str">
            <v>Community School</v>
          </cell>
          <cell r="F9104" t="str">
            <v>Primary</v>
          </cell>
        </row>
        <row r="9105">
          <cell r="A9105">
            <v>3092052</v>
          </cell>
          <cell r="B9105">
            <v>102116</v>
          </cell>
          <cell r="C9105" t="str">
            <v>Earlham Junior School</v>
          </cell>
          <cell r="D9105" t="str">
            <v>Haringey</v>
          </cell>
          <cell r="E9105" t="str">
            <v>Community School</v>
          </cell>
          <cell r="F9105" t="str">
            <v>Primary</v>
          </cell>
        </row>
        <row r="9106">
          <cell r="A9106">
            <v>9261005</v>
          </cell>
          <cell r="B9106">
            <v>120767</v>
          </cell>
          <cell r="C9106" t="str">
            <v>Earlham Nursery School</v>
          </cell>
          <cell r="D9106" t="str">
            <v>Norfolk</v>
          </cell>
          <cell r="E9106" t="str">
            <v>LA Nursery School</v>
          </cell>
          <cell r="F9106" t="str">
            <v>Nursery</v>
          </cell>
        </row>
        <row r="9107">
          <cell r="A9107">
            <v>3162017</v>
          </cell>
          <cell r="B9107">
            <v>102718</v>
          </cell>
          <cell r="C9107" t="str">
            <v>Earlham Primary School</v>
          </cell>
          <cell r="D9107" t="str">
            <v>Newham</v>
          </cell>
          <cell r="E9107" t="str">
            <v>Community School</v>
          </cell>
          <cell r="F9107" t="str">
            <v>Primary</v>
          </cell>
        </row>
        <row r="9108">
          <cell r="A9108">
            <v>3092080</v>
          </cell>
          <cell r="B9108">
            <v>131478</v>
          </cell>
          <cell r="C9108" t="str">
            <v>Earlham Primary School</v>
          </cell>
          <cell r="D9108" t="str">
            <v>Haringey</v>
          </cell>
          <cell r="E9108" t="str">
            <v>Community School</v>
          </cell>
          <cell r="F9108" t="str">
            <v>Primary</v>
          </cell>
        </row>
        <row r="9109">
          <cell r="A9109">
            <v>9282145</v>
          </cell>
          <cell r="B9109">
            <v>121902</v>
          </cell>
          <cell r="C9109" t="str">
            <v>Earls Barton Infant School</v>
          </cell>
          <cell r="D9109" t="str">
            <v>Northamptonshire</v>
          </cell>
          <cell r="E9109" t="str">
            <v>Community School</v>
          </cell>
          <cell r="F9109" t="str">
            <v>Primary</v>
          </cell>
        </row>
        <row r="9110">
          <cell r="A9110">
            <v>9282032</v>
          </cell>
          <cell r="B9110">
            <v>121817</v>
          </cell>
          <cell r="C9110" t="str">
            <v>Earls Barton Junior School</v>
          </cell>
          <cell r="D9110" t="str">
            <v>Northamptonshire</v>
          </cell>
          <cell r="E9110" t="str">
            <v>Community School</v>
          </cell>
          <cell r="F9110" t="str">
            <v>Primary</v>
          </cell>
        </row>
        <row r="9111">
          <cell r="A9111">
            <v>8815272</v>
          </cell>
          <cell r="B9111">
            <v>115312</v>
          </cell>
          <cell r="C9111" t="str">
            <v>Earls Colne Primary School and Nursery</v>
          </cell>
          <cell r="D9111" t="str">
            <v>Essex</v>
          </cell>
          <cell r="E9111" t="str">
            <v>Foundation School</v>
          </cell>
          <cell r="F9111" t="str">
            <v>Primary</v>
          </cell>
        </row>
        <row r="9112">
          <cell r="A9112">
            <v>8822031</v>
          </cell>
          <cell r="B9112">
            <v>114725</v>
          </cell>
          <cell r="C9112" t="str">
            <v>Earls Hall Infant School</v>
          </cell>
          <cell r="D9112" t="str">
            <v>Southend-on-Sea</v>
          </cell>
          <cell r="E9112" t="str">
            <v>Community School</v>
          </cell>
          <cell r="F9112" t="str">
            <v>Primary</v>
          </cell>
        </row>
        <row r="9113">
          <cell r="A9113">
            <v>8822023</v>
          </cell>
          <cell r="B9113">
            <v>114720</v>
          </cell>
          <cell r="C9113" t="str">
            <v>Earls Hall Junior School</v>
          </cell>
          <cell r="D9113" t="str">
            <v>Southend-on-Sea</v>
          </cell>
          <cell r="E9113" t="str">
            <v>Community School</v>
          </cell>
          <cell r="F9113" t="str">
            <v>Primary</v>
          </cell>
        </row>
        <row r="9114">
          <cell r="A9114">
            <v>3312013</v>
          </cell>
          <cell r="B9114">
            <v>103641</v>
          </cell>
          <cell r="C9114" t="str">
            <v>Earlsdon Primary School</v>
          </cell>
          <cell r="D9114" t="str">
            <v>Coventry</v>
          </cell>
          <cell r="E9114" t="str">
            <v>Community School</v>
          </cell>
          <cell r="F9114" t="str">
            <v>Primary</v>
          </cell>
        </row>
        <row r="9115">
          <cell r="A9115">
            <v>2122625</v>
          </cell>
          <cell r="B9115">
            <v>126687</v>
          </cell>
          <cell r="C9115" t="str">
            <v>Earlsfield Infant School</v>
          </cell>
          <cell r="D9115" t="str">
            <v>Wandsworth</v>
          </cell>
          <cell r="E9115" t="str">
            <v>Community School</v>
          </cell>
          <cell r="F9115" t="str">
            <v>Primary</v>
          </cell>
        </row>
        <row r="9116">
          <cell r="A9116">
            <v>2122180</v>
          </cell>
          <cell r="B9116">
            <v>101005</v>
          </cell>
          <cell r="C9116" t="str">
            <v>Earlsfield Primary School</v>
          </cell>
          <cell r="D9116" t="str">
            <v>Wandsworth</v>
          </cell>
          <cell r="E9116" t="str">
            <v>Community School</v>
          </cell>
          <cell r="F9116" t="str">
            <v>Primary</v>
          </cell>
        </row>
        <row r="9117">
          <cell r="A9117">
            <v>3822013</v>
          </cell>
          <cell r="B9117">
            <v>107607</v>
          </cell>
          <cell r="C9117" t="str">
            <v>Earlsheaton Infant School</v>
          </cell>
          <cell r="D9117" t="str">
            <v>Kirklees</v>
          </cell>
          <cell r="E9117" t="str">
            <v>Community School</v>
          </cell>
          <cell r="F9117" t="str">
            <v>Primary</v>
          </cell>
        </row>
        <row r="9118">
          <cell r="A9118">
            <v>3824058</v>
          </cell>
          <cell r="B9118">
            <v>107776</v>
          </cell>
          <cell r="C9118" t="str">
            <v>Earlsheaton Technology College</v>
          </cell>
          <cell r="D9118" t="str">
            <v>Kirklees</v>
          </cell>
          <cell r="E9118" t="str">
            <v>Community School</v>
          </cell>
          <cell r="F9118" t="str">
            <v>Secondary</v>
          </cell>
        </row>
        <row r="9119">
          <cell r="A9119">
            <v>3092020</v>
          </cell>
          <cell r="B9119">
            <v>102091</v>
          </cell>
          <cell r="C9119" t="str">
            <v>Earlsmead Primary School</v>
          </cell>
          <cell r="D9119" t="str">
            <v>Haringey</v>
          </cell>
          <cell r="E9119" t="str">
            <v>Community School</v>
          </cell>
          <cell r="F9119" t="str">
            <v>Primary</v>
          </cell>
        </row>
        <row r="9120">
          <cell r="A9120">
            <v>3102092</v>
          </cell>
          <cell r="B9120">
            <v>102219</v>
          </cell>
          <cell r="C9120" t="str">
            <v>Earlsmead Primary School</v>
          </cell>
          <cell r="D9120" t="str">
            <v>Harrow</v>
          </cell>
          <cell r="E9120" t="str">
            <v>Community School</v>
          </cell>
          <cell r="F9120" t="str">
            <v>Primary</v>
          </cell>
        </row>
        <row r="9121">
          <cell r="A9121">
            <v>9362209</v>
          </cell>
          <cell r="B9121">
            <v>124987</v>
          </cell>
          <cell r="C9121" t="str">
            <v>Earlswood Infant and Nursery School</v>
          </cell>
          <cell r="D9121" t="str">
            <v>Surrey</v>
          </cell>
          <cell r="E9121" t="str">
            <v>Community School</v>
          </cell>
          <cell r="F9121" t="str">
            <v>Primary</v>
          </cell>
        </row>
        <row r="9122">
          <cell r="A9122">
            <v>3179900</v>
          </cell>
          <cell r="B9122">
            <v>133216</v>
          </cell>
          <cell r="C9122" t="str">
            <v>Early Years Assessment Service and Centre Co Manford Primary School</v>
          </cell>
          <cell r="D9122" t="str">
            <v>Redbridge</v>
          </cell>
          <cell r="E9122" t="str">
            <v>Miscellaneous</v>
          </cell>
          <cell r="F9122" t="str">
            <v>Not applicable</v>
          </cell>
        </row>
        <row r="9123">
          <cell r="A9123">
            <v>8882149</v>
          </cell>
          <cell r="B9123">
            <v>119207</v>
          </cell>
          <cell r="C9123" t="str">
            <v>Earnshaw Bridge Infant School</v>
          </cell>
          <cell r="D9123" t="str">
            <v>Lancashire</v>
          </cell>
          <cell r="E9123" t="str">
            <v>Community School</v>
          </cell>
          <cell r="F9123" t="str">
            <v>Primary</v>
          </cell>
        </row>
        <row r="9124">
          <cell r="A9124">
            <v>9263315</v>
          </cell>
          <cell r="B9124">
            <v>121114</v>
          </cell>
          <cell r="C9124" t="str">
            <v>Earsham Church of England Voluntary Aided First School</v>
          </cell>
          <cell r="D9124" t="str">
            <v>Norfolk</v>
          </cell>
          <cell r="E9124" t="str">
            <v>Voluntary Aided School</v>
          </cell>
          <cell r="F9124" t="str">
            <v>Primary</v>
          </cell>
        </row>
        <row r="9125">
          <cell r="A9125">
            <v>9383043</v>
          </cell>
          <cell r="B9125">
            <v>126003</v>
          </cell>
          <cell r="C9125" t="str">
            <v>Easebourne CofE Primary School</v>
          </cell>
          <cell r="D9125" t="str">
            <v>West Sussex</v>
          </cell>
          <cell r="E9125" t="str">
            <v>Voluntary Controlled School</v>
          </cell>
          <cell r="F9125" t="str">
            <v>Primary</v>
          </cell>
        </row>
        <row r="9126">
          <cell r="A9126">
            <v>8113020</v>
          </cell>
          <cell r="B9126">
            <v>117975</v>
          </cell>
          <cell r="C9126" t="str">
            <v>Easington Church of England Voluntary Controlled Primary School</v>
          </cell>
          <cell r="D9126" t="str">
            <v>East Riding of Yorkshire</v>
          </cell>
          <cell r="E9126" t="str">
            <v>Voluntary Controlled School</v>
          </cell>
          <cell r="F9126" t="str">
            <v>Primary</v>
          </cell>
        </row>
        <row r="9127">
          <cell r="A9127">
            <v>8403182</v>
          </cell>
          <cell r="B9127">
            <v>114231</v>
          </cell>
          <cell r="C9127" t="str">
            <v>Easington CofE Primary School</v>
          </cell>
          <cell r="D9127" t="str">
            <v>Durham</v>
          </cell>
          <cell r="E9127" t="str">
            <v>Voluntary Controlled School</v>
          </cell>
          <cell r="F9127" t="str">
            <v>Primary</v>
          </cell>
        </row>
        <row r="9128">
          <cell r="A9128">
            <v>9132514</v>
          </cell>
          <cell r="B9128">
            <v>128816</v>
          </cell>
          <cell r="C9128" t="str">
            <v>Easington Colliery Infant School</v>
          </cell>
          <cell r="D9128" t="str">
            <v>Pre LGR (1997) Durham</v>
          </cell>
          <cell r="E9128" t="str">
            <v>Community School</v>
          </cell>
          <cell r="F9128" t="str">
            <v>Primary</v>
          </cell>
        </row>
        <row r="9129">
          <cell r="A9129">
            <v>9132512</v>
          </cell>
          <cell r="B9129">
            <v>128815</v>
          </cell>
          <cell r="C9129" t="str">
            <v>Easington Colliery Junior School</v>
          </cell>
          <cell r="D9129" t="str">
            <v>Pre LGR (1997) Durham</v>
          </cell>
          <cell r="E9129" t="str">
            <v>Community School</v>
          </cell>
          <cell r="F9129" t="str">
            <v>Primary</v>
          </cell>
        </row>
        <row r="9130">
          <cell r="A9130">
            <v>8402746</v>
          </cell>
          <cell r="B9130">
            <v>114210</v>
          </cell>
          <cell r="C9130" t="str">
            <v>Easington Colliery Primary School</v>
          </cell>
          <cell r="D9130" t="str">
            <v>Durham</v>
          </cell>
          <cell r="E9130" t="str">
            <v>Community School</v>
          </cell>
          <cell r="F9130" t="str">
            <v>Primary</v>
          </cell>
        </row>
        <row r="9131">
          <cell r="A9131">
            <v>8404280</v>
          </cell>
          <cell r="B9131">
            <v>114318</v>
          </cell>
          <cell r="C9131" t="str">
            <v>Easington Community Science College</v>
          </cell>
          <cell r="D9131" t="str">
            <v>Durham</v>
          </cell>
          <cell r="E9131" t="str">
            <v>Community School</v>
          </cell>
          <cell r="F9131" t="str">
            <v>Secondary</v>
          </cell>
        </row>
        <row r="9132">
          <cell r="A9132">
            <v>3942105</v>
          </cell>
          <cell r="B9132">
            <v>108795</v>
          </cell>
          <cell r="C9132" t="str">
            <v>Easington Lane Primary School</v>
          </cell>
          <cell r="D9132" t="str">
            <v>Sunderland</v>
          </cell>
          <cell r="E9132" t="str">
            <v>Community School</v>
          </cell>
          <cell r="F9132" t="str">
            <v>Primary</v>
          </cell>
        </row>
        <row r="9133">
          <cell r="A9133">
            <v>8152164</v>
          </cell>
          <cell r="B9133">
            <v>121331</v>
          </cell>
          <cell r="C9133" t="str">
            <v>Easingwold Community Primary School</v>
          </cell>
          <cell r="D9133" t="str">
            <v>North Yorkshire</v>
          </cell>
          <cell r="E9133" t="str">
            <v>Community School</v>
          </cell>
          <cell r="F9133" t="str">
            <v>Primary</v>
          </cell>
        </row>
        <row r="9134">
          <cell r="A9134">
            <v>8154005</v>
          </cell>
          <cell r="B9134">
            <v>121664</v>
          </cell>
          <cell r="C9134" t="str">
            <v>Easingwold School</v>
          </cell>
          <cell r="D9134" t="str">
            <v>North Yorkshire</v>
          </cell>
          <cell r="E9134" t="str">
            <v>Community School</v>
          </cell>
          <cell r="F9134" t="str">
            <v>Secondary</v>
          </cell>
        </row>
        <row r="9135">
          <cell r="A9135">
            <v>3072022</v>
          </cell>
          <cell r="B9135">
            <v>101868</v>
          </cell>
          <cell r="C9135" t="str">
            <v>East Acton Primary School</v>
          </cell>
          <cell r="D9135" t="str">
            <v>Ealing</v>
          </cell>
          <cell r="E9135" t="str">
            <v>Community School</v>
          </cell>
          <cell r="F9135" t="str">
            <v>Primary</v>
          </cell>
        </row>
        <row r="9136">
          <cell r="A9136">
            <v>8782419</v>
          </cell>
          <cell r="B9136">
            <v>113200</v>
          </cell>
          <cell r="C9136" t="str">
            <v>East Allington Primary School</v>
          </cell>
          <cell r="D9136" t="str">
            <v>Devon</v>
          </cell>
          <cell r="E9136" t="str">
            <v>Community School</v>
          </cell>
          <cell r="F9136" t="str">
            <v>Primary</v>
          </cell>
        </row>
        <row r="9137">
          <cell r="A9137">
            <v>8782223</v>
          </cell>
          <cell r="B9137">
            <v>113146</v>
          </cell>
          <cell r="C9137" t="str">
            <v>East Anstey Primary School</v>
          </cell>
          <cell r="D9137" t="str">
            <v>Devon</v>
          </cell>
          <cell r="E9137" t="str">
            <v>Community School</v>
          </cell>
          <cell r="F9137" t="str">
            <v>Primary</v>
          </cell>
        </row>
        <row r="9138">
          <cell r="A9138">
            <v>3832289</v>
          </cell>
          <cell r="B9138">
            <v>127884</v>
          </cell>
          <cell r="C9138" t="str">
            <v>East Ardsley Junior School</v>
          </cell>
          <cell r="D9138" t="str">
            <v>Leeds</v>
          </cell>
          <cell r="E9138" t="str">
            <v>Community School</v>
          </cell>
          <cell r="F9138" t="str">
            <v>Primary</v>
          </cell>
        </row>
        <row r="9139">
          <cell r="A9139">
            <v>3831002</v>
          </cell>
          <cell r="B9139">
            <v>127804</v>
          </cell>
          <cell r="C9139" t="str">
            <v>East Ardsley Nursery School</v>
          </cell>
          <cell r="D9139" t="str">
            <v>Leeds</v>
          </cell>
          <cell r="E9139" t="str">
            <v>LA Nursery School</v>
          </cell>
          <cell r="F9139" t="str">
            <v>Nursery</v>
          </cell>
        </row>
        <row r="9140">
          <cell r="A9140">
            <v>3832504</v>
          </cell>
          <cell r="B9140">
            <v>107980</v>
          </cell>
          <cell r="C9140" t="str">
            <v>East Ardsley Primary School</v>
          </cell>
          <cell r="D9140" t="str">
            <v>Leeds</v>
          </cell>
          <cell r="E9140" t="str">
            <v>Community School</v>
          </cell>
          <cell r="F9140" t="str">
            <v>Primary</v>
          </cell>
        </row>
        <row r="9141">
          <cell r="A9141">
            <v>8152257</v>
          </cell>
          <cell r="B9141">
            <v>121377</v>
          </cell>
          <cell r="C9141" t="str">
            <v>East Ayton Community Primary School</v>
          </cell>
          <cell r="D9141" t="str">
            <v>North Yorkshire</v>
          </cell>
          <cell r="E9141" t="str">
            <v>Community School</v>
          </cell>
          <cell r="F9141" t="str">
            <v>Primary</v>
          </cell>
        </row>
        <row r="9142">
          <cell r="A9142">
            <v>9253351</v>
          </cell>
          <cell r="B9142">
            <v>129586</v>
          </cell>
          <cell r="C9142" t="str">
            <v>East Barkwith CofE Primary School</v>
          </cell>
          <cell r="D9142" t="str">
            <v>Lincolnshire</v>
          </cell>
          <cell r="E9142" t="str">
            <v>Voluntary Aided School</v>
          </cell>
          <cell r="F9142" t="str">
            <v>Primary</v>
          </cell>
        </row>
        <row r="9143">
          <cell r="A9143">
            <v>3024212</v>
          </cell>
          <cell r="B9143">
            <v>101351</v>
          </cell>
          <cell r="C9143" t="str">
            <v>East Barnet School</v>
          </cell>
          <cell r="D9143" t="str">
            <v>Barnet</v>
          </cell>
          <cell r="E9143" t="str">
            <v>Community School</v>
          </cell>
          <cell r="F9143" t="str">
            <v>Secondary</v>
          </cell>
        </row>
        <row r="9144">
          <cell r="A9144">
            <v>3024212</v>
          </cell>
          <cell r="B9144">
            <v>136658</v>
          </cell>
          <cell r="C9144" t="str">
            <v>East Barnet School</v>
          </cell>
          <cell r="D9144" t="str">
            <v>Barnet</v>
          </cell>
          <cell r="E9144" t="str">
            <v>Academy Converters</v>
          </cell>
          <cell r="F9144" t="str">
            <v>Secondary</v>
          </cell>
        </row>
        <row r="9145">
          <cell r="A9145">
            <v>9353085</v>
          </cell>
          <cell r="B9145">
            <v>124729</v>
          </cell>
          <cell r="C9145" t="str">
            <v>East Bergholt Church of England Voluntary Controlled Primary School</v>
          </cell>
          <cell r="D9145" t="str">
            <v>Suffolk</v>
          </cell>
          <cell r="E9145" t="str">
            <v>Voluntary Controlled School</v>
          </cell>
          <cell r="F9145" t="str">
            <v>Primary</v>
          </cell>
        </row>
        <row r="9146">
          <cell r="A9146">
            <v>9354097</v>
          </cell>
          <cell r="B9146">
            <v>124847</v>
          </cell>
          <cell r="C9146" t="str">
            <v>East Bergholt High School</v>
          </cell>
          <cell r="D9146" t="str">
            <v>Suffolk</v>
          </cell>
          <cell r="E9146" t="str">
            <v>Foundation School</v>
          </cell>
          <cell r="F9146" t="str">
            <v>Secondary</v>
          </cell>
        </row>
        <row r="9147">
          <cell r="A9147">
            <v>9354097</v>
          </cell>
          <cell r="B9147">
            <v>137218</v>
          </cell>
          <cell r="C9147" t="str">
            <v>East Bergholt High School</v>
          </cell>
          <cell r="D9147" t="str">
            <v>Suffolk</v>
          </cell>
          <cell r="E9147" t="str">
            <v>Academy Converters</v>
          </cell>
          <cell r="F9147" t="str">
            <v>Secondary</v>
          </cell>
        </row>
        <row r="9148">
          <cell r="A9148">
            <v>8718008</v>
          </cell>
          <cell r="B9148">
            <v>130604</v>
          </cell>
          <cell r="C9148" t="str">
            <v>East Berkshire College</v>
          </cell>
          <cell r="D9148" t="str">
            <v>Slough</v>
          </cell>
          <cell r="E9148" t="str">
            <v>Further Education</v>
          </cell>
          <cell r="F9148" t="str">
            <v>16 Plus</v>
          </cell>
        </row>
        <row r="9149">
          <cell r="A9149">
            <v>3823032</v>
          </cell>
          <cell r="B9149">
            <v>107719</v>
          </cell>
          <cell r="C9149" t="str">
            <v>East Bierley Church of England Voluntary Controlled First School</v>
          </cell>
          <cell r="D9149" t="str">
            <v>Kirklees</v>
          </cell>
          <cell r="E9149" t="str">
            <v>Voluntary Controlled School</v>
          </cell>
          <cell r="F9149" t="str">
            <v>Primary</v>
          </cell>
        </row>
        <row r="9150">
          <cell r="A9150">
            <v>3308011</v>
          </cell>
          <cell r="B9150">
            <v>130462</v>
          </cell>
          <cell r="C9150" t="str">
            <v>East Birmingham College</v>
          </cell>
          <cell r="D9150" t="str">
            <v>Birmingham</v>
          </cell>
          <cell r="E9150" t="str">
            <v>Further Education</v>
          </cell>
          <cell r="F9150" t="str">
            <v>16 Plus</v>
          </cell>
        </row>
        <row r="9151">
          <cell r="A9151">
            <v>3932043</v>
          </cell>
          <cell r="B9151">
            <v>108688</v>
          </cell>
          <cell r="C9151" t="str">
            <v>East Boldon Infants' School</v>
          </cell>
          <cell r="D9151" t="str">
            <v>South Tyneside</v>
          </cell>
          <cell r="E9151" t="str">
            <v>Community School</v>
          </cell>
          <cell r="F9151" t="str">
            <v>Primary</v>
          </cell>
        </row>
        <row r="9152">
          <cell r="A9152">
            <v>3932050</v>
          </cell>
          <cell r="B9152">
            <v>108692</v>
          </cell>
          <cell r="C9152" t="str">
            <v>East Boldon Junior School</v>
          </cell>
          <cell r="D9152" t="str">
            <v>South Tyneside</v>
          </cell>
          <cell r="E9152" t="str">
            <v>Community School</v>
          </cell>
          <cell r="F9152" t="str">
            <v>Primary</v>
          </cell>
        </row>
        <row r="9153">
          <cell r="A9153">
            <v>8862172</v>
          </cell>
          <cell r="B9153">
            <v>118298</v>
          </cell>
          <cell r="C9153" t="str">
            <v>East Borough Primary School</v>
          </cell>
          <cell r="D9153" t="str">
            <v>Kent</v>
          </cell>
          <cell r="E9153" t="str">
            <v>Community School</v>
          </cell>
          <cell r="F9153" t="str">
            <v>Primary</v>
          </cell>
        </row>
        <row r="9154">
          <cell r="A9154">
            <v>9333232</v>
          </cell>
          <cell r="B9154">
            <v>123809</v>
          </cell>
          <cell r="C9154" t="str">
            <v>East Brent Church of England First School</v>
          </cell>
          <cell r="D9154" t="str">
            <v>Somerset</v>
          </cell>
          <cell r="E9154" t="str">
            <v>Voluntary Controlled School</v>
          </cell>
          <cell r="F9154" t="str">
            <v>Primary</v>
          </cell>
        </row>
        <row r="9155">
          <cell r="A9155">
            <v>9334307</v>
          </cell>
          <cell r="B9155">
            <v>123880</v>
          </cell>
          <cell r="C9155" t="str">
            <v>East Bridgwater Community School</v>
          </cell>
          <cell r="D9155" t="str">
            <v>Somerset</v>
          </cell>
          <cell r="E9155" t="str">
            <v>Foundation School</v>
          </cell>
          <cell r="F9155" t="str">
            <v>Secondary</v>
          </cell>
        </row>
        <row r="9156">
          <cell r="A9156">
            <v>8464000</v>
          </cell>
          <cell r="B9156">
            <v>131777</v>
          </cell>
          <cell r="C9156" t="str">
            <v>East Brighton College of Media Arts</v>
          </cell>
          <cell r="D9156" t="str">
            <v>Brighton and Hove</v>
          </cell>
          <cell r="E9156" t="str">
            <v>Community School</v>
          </cell>
          <cell r="F9156" t="str">
            <v>Secondary</v>
          </cell>
        </row>
        <row r="9157">
          <cell r="A9157">
            <v>8252032</v>
          </cell>
          <cell r="B9157">
            <v>110224</v>
          </cell>
          <cell r="C9157" t="str">
            <v>East Claydon School</v>
          </cell>
          <cell r="D9157" t="str">
            <v>Buckinghamshire</v>
          </cell>
          <cell r="E9157" t="str">
            <v>Community School</v>
          </cell>
          <cell r="F9157" t="str">
            <v>Primary</v>
          </cell>
        </row>
        <row r="9158">
          <cell r="A9158">
            <v>9077014</v>
          </cell>
          <cell r="B9158">
            <v>128531</v>
          </cell>
          <cell r="C9158" t="str">
            <v>East Cleveland School</v>
          </cell>
          <cell r="D9158" t="str">
            <v>Pre LGR (1996) Cleveland</v>
          </cell>
          <cell r="E9158" t="str">
            <v>Community Special School</v>
          </cell>
          <cell r="F9158" t="str">
            <v>Special</v>
          </cell>
        </row>
        <row r="9159">
          <cell r="A9159">
            <v>9332302</v>
          </cell>
          <cell r="B9159">
            <v>123719</v>
          </cell>
          <cell r="C9159" t="str">
            <v>East Coker Community Primary School</v>
          </cell>
          <cell r="D9159" t="str">
            <v>Somerset</v>
          </cell>
          <cell r="E9159" t="str">
            <v>Community School</v>
          </cell>
          <cell r="F9159" t="str">
            <v>Primary</v>
          </cell>
        </row>
        <row r="9160">
          <cell r="A9160">
            <v>8866055</v>
          </cell>
          <cell r="B9160">
            <v>119003</v>
          </cell>
          <cell r="C9160" t="str">
            <v>East Court School</v>
          </cell>
          <cell r="D9160" t="str">
            <v>Kent</v>
          </cell>
          <cell r="E9160" t="str">
            <v>Other Independent Special School</v>
          </cell>
          <cell r="F9160" t="str">
            <v>Not applicable</v>
          </cell>
        </row>
        <row r="9161">
          <cell r="A9161">
            <v>9212004</v>
          </cell>
          <cell r="B9161">
            <v>118157</v>
          </cell>
          <cell r="C9161" t="str">
            <v>East Cowes Grange Primary School</v>
          </cell>
          <cell r="D9161" t="str">
            <v>Isle of Wight</v>
          </cell>
          <cell r="E9161" t="str">
            <v>Community School</v>
          </cell>
          <cell r="F9161" t="str">
            <v>Primary</v>
          </cell>
        </row>
        <row r="9162">
          <cell r="A9162">
            <v>8153030</v>
          </cell>
          <cell r="B9162">
            <v>121488</v>
          </cell>
          <cell r="C9162" t="str">
            <v>East Cowton Church of England Primary School</v>
          </cell>
          <cell r="D9162" t="str">
            <v>North Yorkshire</v>
          </cell>
          <cell r="E9162" t="str">
            <v>Voluntary Controlled School</v>
          </cell>
          <cell r="F9162" t="str">
            <v>Primary</v>
          </cell>
        </row>
        <row r="9163">
          <cell r="A9163">
            <v>3533355</v>
          </cell>
          <cell r="B9163">
            <v>105717</v>
          </cell>
          <cell r="C9163" t="str">
            <v>East Crompton St George's CofE School</v>
          </cell>
          <cell r="D9163" t="str">
            <v>Oldham</v>
          </cell>
          <cell r="E9163" t="str">
            <v>Voluntary Aided School</v>
          </cell>
          <cell r="F9163" t="str">
            <v>Primary</v>
          </cell>
        </row>
        <row r="9164">
          <cell r="A9164">
            <v>3533345</v>
          </cell>
          <cell r="B9164">
            <v>105710</v>
          </cell>
          <cell r="C9164" t="str">
            <v>East Crompton St James CofE Primary School</v>
          </cell>
          <cell r="D9164" t="str">
            <v>Oldham</v>
          </cell>
          <cell r="E9164" t="str">
            <v>Voluntary Aided School</v>
          </cell>
          <cell r="F9164" t="str">
            <v>Primary</v>
          </cell>
        </row>
        <row r="9165">
          <cell r="A9165">
            <v>3722010</v>
          </cell>
          <cell r="B9165">
            <v>106838</v>
          </cell>
          <cell r="C9165" t="str">
            <v>East Dene Primary School</v>
          </cell>
          <cell r="D9165" t="str">
            <v>Rotherham</v>
          </cell>
          <cell r="E9165" t="str">
            <v>Community School</v>
          </cell>
          <cell r="F9165" t="str">
            <v>Primary</v>
          </cell>
        </row>
        <row r="9166">
          <cell r="A9166">
            <v>8788002</v>
          </cell>
          <cell r="B9166">
            <v>130647</v>
          </cell>
          <cell r="C9166" t="str">
            <v>East Devon College</v>
          </cell>
          <cell r="D9166" t="str">
            <v>Devon</v>
          </cell>
          <cell r="E9166" t="str">
            <v>Further Education</v>
          </cell>
          <cell r="F9166" t="str">
            <v>16 Plus</v>
          </cell>
        </row>
        <row r="9167">
          <cell r="A9167">
            <v>8408008</v>
          </cell>
          <cell r="B9167">
            <v>131859</v>
          </cell>
          <cell r="C9167" t="str">
            <v>East Durham College</v>
          </cell>
          <cell r="D9167" t="str">
            <v>Durham</v>
          </cell>
          <cell r="E9167" t="str">
            <v>Further Education</v>
          </cell>
          <cell r="F9167" t="str">
            <v>16 Plus</v>
          </cell>
        </row>
        <row r="9168">
          <cell r="A9168">
            <v>8408007</v>
          </cell>
          <cell r="B9168">
            <v>130660</v>
          </cell>
          <cell r="C9168" t="str">
            <v>East Durham Community College</v>
          </cell>
          <cell r="D9168" t="str">
            <v>Durham</v>
          </cell>
          <cell r="E9168" t="str">
            <v>Further Education</v>
          </cell>
          <cell r="F9168" t="str">
            <v>16 Plus</v>
          </cell>
        </row>
        <row r="9169">
          <cell r="A9169">
            <v>3837001</v>
          </cell>
          <cell r="B9169">
            <v>128044</v>
          </cell>
          <cell r="C9169" t="str">
            <v>East End Park School</v>
          </cell>
          <cell r="D9169" t="str">
            <v>Leeds</v>
          </cell>
          <cell r="E9169" t="str">
            <v>Community Special School</v>
          </cell>
          <cell r="F9169" t="str">
            <v>Special</v>
          </cell>
        </row>
        <row r="9170">
          <cell r="A9170">
            <v>8862163</v>
          </cell>
          <cell r="B9170">
            <v>118289</v>
          </cell>
          <cell r="C9170" t="str">
            <v>East Farleigh Primary School</v>
          </cell>
          <cell r="D9170" t="str">
            <v>Kent</v>
          </cell>
          <cell r="E9170" t="str">
            <v>Community School</v>
          </cell>
          <cell r="F9170" t="str">
            <v>Primary</v>
          </cell>
        </row>
        <row r="9171">
          <cell r="A9171">
            <v>3832280</v>
          </cell>
          <cell r="B9171">
            <v>127883</v>
          </cell>
          <cell r="C9171" t="str">
            <v>East Garforth Infant School</v>
          </cell>
          <cell r="D9171" t="str">
            <v>Leeds</v>
          </cell>
          <cell r="E9171" t="str">
            <v>Community School</v>
          </cell>
          <cell r="F9171" t="str">
            <v>Primary</v>
          </cell>
        </row>
        <row r="9172">
          <cell r="A9172">
            <v>3832361</v>
          </cell>
          <cell r="B9172">
            <v>127903</v>
          </cell>
          <cell r="C9172" t="str">
            <v>East Garforth Junior School</v>
          </cell>
          <cell r="D9172" t="str">
            <v>Leeds</v>
          </cell>
          <cell r="E9172" t="str">
            <v>Community School</v>
          </cell>
          <cell r="F9172" t="str">
            <v>Primary</v>
          </cell>
        </row>
        <row r="9173">
          <cell r="A9173">
            <v>3832395</v>
          </cell>
          <cell r="B9173">
            <v>107871</v>
          </cell>
          <cell r="C9173" t="str">
            <v>East Garforth Primary School</v>
          </cell>
          <cell r="D9173" t="str">
            <v>Leeds</v>
          </cell>
          <cell r="E9173" t="str">
            <v>Foundation School</v>
          </cell>
          <cell r="F9173" t="str">
            <v>Primary</v>
          </cell>
        </row>
        <row r="9174">
          <cell r="A9174">
            <v>9283026</v>
          </cell>
          <cell r="B9174">
            <v>121969</v>
          </cell>
          <cell r="C9174" t="str">
            <v>East Haddon Church of England Primary School</v>
          </cell>
          <cell r="D9174" t="str">
            <v>Northamptonshire</v>
          </cell>
          <cell r="E9174" t="str">
            <v>Voluntary Controlled School</v>
          </cell>
          <cell r="F9174" t="str">
            <v>Primary</v>
          </cell>
        </row>
        <row r="9175">
          <cell r="A9175">
            <v>8132116</v>
          </cell>
          <cell r="B9175">
            <v>117736</v>
          </cell>
          <cell r="C9175" t="str">
            <v>East Halton Primary School</v>
          </cell>
          <cell r="D9175" t="str">
            <v>North Lincolnshire</v>
          </cell>
          <cell r="E9175" t="str">
            <v>Community School</v>
          </cell>
          <cell r="F9175" t="str">
            <v>Primary</v>
          </cell>
        </row>
        <row r="9176">
          <cell r="A9176">
            <v>8813215</v>
          </cell>
          <cell r="B9176">
            <v>115113</v>
          </cell>
          <cell r="C9176" t="str">
            <v>East Hanningfield Church of England Primary School</v>
          </cell>
          <cell r="D9176" t="str">
            <v>Essex</v>
          </cell>
          <cell r="E9176" t="str">
            <v>Voluntary Controlled School</v>
          </cell>
          <cell r="F9176" t="str">
            <v>Primary</v>
          </cell>
        </row>
        <row r="9177">
          <cell r="A9177">
            <v>9262417</v>
          </cell>
          <cell r="B9177">
            <v>121019</v>
          </cell>
          <cell r="C9177" t="str">
            <v>East Harling Primary School and Nursery</v>
          </cell>
          <cell r="D9177" t="str">
            <v>Norfolk</v>
          </cell>
          <cell r="E9177" t="str">
            <v>Community School</v>
          </cell>
          <cell r="F9177" t="str">
            <v>Primary</v>
          </cell>
        </row>
        <row r="9178">
          <cell r="A9178">
            <v>8003086</v>
          </cell>
          <cell r="B9178">
            <v>109190</v>
          </cell>
          <cell r="C9178" t="str">
            <v>East Harptree Church of England VC Primary School</v>
          </cell>
          <cell r="D9178" t="str">
            <v>Bath and North East Somerset</v>
          </cell>
          <cell r="E9178" t="str">
            <v>Voluntary Controlled School</v>
          </cell>
          <cell r="F9178" t="str">
            <v>Primary</v>
          </cell>
        </row>
        <row r="9179">
          <cell r="A9179">
            <v>3942091</v>
          </cell>
          <cell r="B9179">
            <v>108785</v>
          </cell>
          <cell r="C9179" t="str">
            <v>East Herrington Primary School</v>
          </cell>
          <cell r="D9179" t="str">
            <v>Sunderland</v>
          </cell>
          <cell r="E9179" t="str">
            <v>Community School</v>
          </cell>
          <cell r="F9179" t="str">
            <v>Primary</v>
          </cell>
        </row>
        <row r="9180">
          <cell r="A9180">
            <v>3737015</v>
          </cell>
          <cell r="B9180">
            <v>107173</v>
          </cell>
          <cell r="C9180" t="str">
            <v>East Hill Primary School</v>
          </cell>
          <cell r="D9180" t="str">
            <v>Sheffield</v>
          </cell>
          <cell r="E9180" t="str">
            <v>Community Special School</v>
          </cell>
          <cell r="F9180" t="str">
            <v>Special</v>
          </cell>
        </row>
        <row r="9181">
          <cell r="A9181">
            <v>3737014</v>
          </cell>
          <cell r="B9181">
            <v>107172</v>
          </cell>
          <cell r="C9181" t="str">
            <v>East Hill Secondary School</v>
          </cell>
          <cell r="D9181" t="str">
            <v>Sheffield</v>
          </cell>
          <cell r="E9181" t="str">
            <v>Community Special School</v>
          </cell>
          <cell r="F9181" t="str">
            <v>Special</v>
          </cell>
        </row>
        <row r="9182">
          <cell r="A9182">
            <v>8453022</v>
          </cell>
          <cell r="B9182">
            <v>114501</v>
          </cell>
          <cell r="C9182" t="str">
            <v>East Hoathly CofE Primary School</v>
          </cell>
          <cell r="D9182" t="str">
            <v>East Sussex</v>
          </cell>
          <cell r="E9182" t="str">
            <v>Voluntary Controlled School</v>
          </cell>
          <cell r="F9182" t="str">
            <v>Primary</v>
          </cell>
        </row>
        <row r="9183">
          <cell r="A9183">
            <v>8351104</v>
          </cell>
          <cell r="B9183">
            <v>130313</v>
          </cell>
          <cell r="C9183" t="str">
            <v>East Howe Pupil Referral Unit</v>
          </cell>
          <cell r="D9183" t="str">
            <v>Dorset</v>
          </cell>
          <cell r="E9183" t="str">
            <v>Pupil Referral Unit</v>
          </cell>
          <cell r="F9183" t="str">
            <v>PRU</v>
          </cell>
        </row>
        <row r="9184">
          <cell r="A9184">
            <v>9282219</v>
          </cell>
          <cell r="B9184">
            <v>121953</v>
          </cell>
          <cell r="C9184" t="str">
            <v>East Hunsbury Primary School</v>
          </cell>
          <cell r="D9184" t="str">
            <v>Northamptonshire</v>
          </cell>
          <cell r="E9184" t="str">
            <v>Community School</v>
          </cell>
          <cell r="F9184" t="str">
            <v>Primary</v>
          </cell>
        </row>
        <row r="9185">
          <cell r="A9185">
            <v>9332169</v>
          </cell>
          <cell r="B9185">
            <v>123685</v>
          </cell>
          <cell r="C9185" t="str">
            <v>East Huntspill School</v>
          </cell>
          <cell r="D9185" t="str">
            <v>Somerset</v>
          </cell>
          <cell r="E9185" t="str">
            <v>Community School</v>
          </cell>
          <cell r="F9185" t="str">
            <v>Primary</v>
          </cell>
        </row>
        <row r="9186">
          <cell r="A9186">
            <v>9393347</v>
          </cell>
          <cell r="B9186">
            <v>130223</v>
          </cell>
          <cell r="C9186" t="str">
            <v>East Kennett CofE School</v>
          </cell>
          <cell r="D9186" t="str">
            <v>Pre LGR (1997) Wiltshire</v>
          </cell>
          <cell r="E9186" t="str">
            <v>Voluntary Aided School</v>
          </cell>
          <cell r="F9186" t="str">
            <v>Primary</v>
          </cell>
        </row>
        <row r="9187">
          <cell r="A9187">
            <v>9393337</v>
          </cell>
          <cell r="B9187">
            <v>133185</v>
          </cell>
          <cell r="C9187" t="str">
            <v>East Kennett CofE School</v>
          </cell>
          <cell r="D9187" t="str">
            <v>Pre LGR (1997) Wiltshire</v>
          </cell>
          <cell r="E9187" t="str">
            <v>Miscellaneous</v>
          </cell>
          <cell r="F9187" t="str">
            <v>Not applicable</v>
          </cell>
        </row>
        <row r="9188">
          <cell r="A9188">
            <v>3833034</v>
          </cell>
          <cell r="B9188">
            <v>127918</v>
          </cell>
          <cell r="C9188" t="str">
            <v>East Keswick CofE Junior and Infant School</v>
          </cell>
          <cell r="D9188" t="str">
            <v>Leeds</v>
          </cell>
          <cell r="E9188" t="str">
            <v>Voluntary Controlled School</v>
          </cell>
          <cell r="F9188" t="str">
            <v>Primary</v>
          </cell>
        </row>
        <row r="9189">
          <cell r="A9189">
            <v>3834043</v>
          </cell>
          <cell r="B9189">
            <v>108061</v>
          </cell>
          <cell r="C9189" t="str">
            <v>East Leeds High School</v>
          </cell>
          <cell r="D9189" t="str">
            <v>Leeds</v>
          </cell>
          <cell r="E9189" t="str">
            <v>Community School</v>
          </cell>
          <cell r="F9189" t="str">
            <v>Secondary</v>
          </cell>
        </row>
        <row r="9190">
          <cell r="A9190">
            <v>3831103</v>
          </cell>
          <cell r="B9190">
            <v>130333</v>
          </cell>
          <cell r="C9190" t="str">
            <v>East Leeds Pupil Referral Unit</v>
          </cell>
          <cell r="D9190" t="str">
            <v>Leeds</v>
          </cell>
          <cell r="E9190" t="str">
            <v>Pupil Referral Unit</v>
          </cell>
          <cell r="F9190" t="str">
            <v>PRU</v>
          </cell>
        </row>
        <row r="9191">
          <cell r="A9191">
            <v>8206008</v>
          </cell>
          <cell r="B9191">
            <v>109731</v>
          </cell>
          <cell r="C9191" t="str">
            <v>East Lodge School</v>
          </cell>
          <cell r="D9191" t="str">
            <v>Pre LGR (2009) Bedfordshire</v>
          </cell>
          <cell r="E9191" t="str">
            <v>Other Independent School</v>
          </cell>
          <cell r="F9191" t="str">
            <v>Not applicable</v>
          </cell>
        </row>
        <row r="9192">
          <cell r="A9192">
            <v>2046414</v>
          </cell>
          <cell r="B9192">
            <v>134370</v>
          </cell>
          <cell r="C9192" t="str">
            <v>East London Christian Choir School</v>
          </cell>
          <cell r="D9192" t="str">
            <v>Hackney</v>
          </cell>
          <cell r="E9192" t="str">
            <v>Other Independent School</v>
          </cell>
          <cell r="F9192" t="str">
            <v>Not applicable</v>
          </cell>
        </row>
        <row r="9193">
          <cell r="A9193">
            <v>3166072</v>
          </cell>
          <cell r="B9193">
            <v>136052</v>
          </cell>
          <cell r="C9193" t="str">
            <v>East London Independent Special School</v>
          </cell>
          <cell r="D9193" t="str">
            <v>Newham</v>
          </cell>
          <cell r="E9193" t="str">
            <v>Other Independent Special School</v>
          </cell>
          <cell r="F9193" t="str">
            <v>Not applicable</v>
          </cell>
        </row>
        <row r="9194">
          <cell r="A9194">
            <v>8912734</v>
          </cell>
          <cell r="B9194">
            <v>122638</v>
          </cell>
          <cell r="C9194" t="str">
            <v>East Markham Primary School</v>
          </cell>
          <cell r="D9194" t="str">
            <v>Nottinghamshire</v>
          </cell>
          <cell r="E9194" t="str">
            <v>Community School</v>
          </cell>
          <cell r="F9194" t="str">
            <v>Primary</v>
          </cell>
        </row>
        <row r="9195">
          <cell r="A9195">
            <v>8503046</v>
          </cell>
          <cell r="B9195">
            <v>116284</v>
          </cell>
          <cell r="C9195" t="str">
            <v>East Meon Church of England Controlled Primary School</v>
          </cell>
          <cell r="D9195" t="str">
            <v>Hampshire</v>
          </cell>
          <cell r="E9195" t="str">
            <v>Voluntary Controlled School</v>
          </cell>
          <cell r="F9195" t="str">
            <v>Primary</v>
          </cell>
        </row>
        <row r="9196">
          <cell r="A9196">
            <v>383611</v>
          </cell>
          <cell r="B9196">
            <v>133058</v>
          </cell>
          <cell r="C9196" t="str">
            <v>East Moor Secure Children's Unit</v>
          </cell>
          <cell r="D9196" t="str">
            <v>Leeds</v>
          </cell>
          <cell r="E9196" t="str">
            <v>Secure Units</v>
          </cell>
          <cell r="F9196" t="str">
            <v>Not applicable</v>
          </cell>
        </row>
        <row r="9197">
          <cell r="A9197">
            <v>3803028</v>
          </cell>
          <cell r="B9197">
            <v>107311</v>
          </cell>
          <cell r="C9197" t="str">
            <v>East Morton CofE Primary School</v>
          </cell>
          <cell r="D9197" t="str">
            <v>Bradford</v>
          </cell>
          <cell r="E9197" t="str">
            <v>Voluntary Controlled School</v>
          </cell>
          <cell r="F9197" t="str">
            <v>Primary</v>
          </cell>
        </row>
        <row r="9198">
          <cell r="A9198">
            <v>9204143</v>
          </cell>
          <cell r="B9198">
            <v>129279</v>
          </cell>
          <cell r="C9198" t="str">
            <v>East Mount Junior High School</v>
          </cell>
          <cell r="D9198" t="str">
            <v>Pre LGR (1996) Humberside</v>
          </cell>
          <cell r="E9198" t="str">
            <v>Community School</v>
          </cell>
          <cell r="F9198" t="str">
            <v>Secondary</v>
          </cell>
        </row>
        <row r="9199">
          <cell r="A9199">
            <v>9264094</v>
          </cell>
          <cell r="B9199">
            <v>129628</v>
          </cell>
          <cell r="C9199" t="str">
            <v>East Norfolk Sixth Form College</v>
          </cell>
          <cell r="D9199" t="str">
            <v>Norfolk</v>
          </cell>
          <cell r="E9199" t="str">
            <v>Community School</v>
          </cell>
          <cell r="F9199" t="str">
            <v>Secondary</v>
          </cell>
        </row>
        <row r="9200">
          <cell r="A9200">
            <v>9268600</v>
          </cell>
          <cell r="B9200">
            <v>130767</v>
          </cell>
          <cell r="C9200" t="str">
            <v>East Norfolk Sixth Form College</v>
          </cell>
          <cell r="D9200" t="str">
            <v>Norfolk</v>
          </cell>
          <cell r="E9200" t="str">
            <v>Further Education</v>
          </cell>
          <cell r="F9200" t="str">
            <v>16 Plus</v>
          </cell>
        </row>
        <row r="9201">
          <cell r="A9201">
            <v>9312525</v>
          </cell>
          <cell r="B9201">
            <v>123046</v>
          </cell>
          <cell r="C9201" t="str">
            <v>East Oxford Primary School</v>
          </cell>
          <cell r="D9201" t="str">
            <v>Oxfordshire</v>
          </cell>
          <cell r="E9201" t="str">
            <v>Community School</v>
          </cell>
          <cell r="F9201" t="str">
            <v>Primary</v>
          </cell>
        </row>
        <row r="9202">
          <cell r="A9202">
            <v>3362036</v>
          </cell>
          <cell r="B9202">
            <v>104306</v>
          </cell>
          <cell r="C9202" t="str">
            <v>East Park Junior School</v>
          </cell>
          <cell r="D9202" t="str">
            <v>Wolverhampton</v>
          </cell>
          <cell r="E9202" t="str">
            <v>Community School</v>
          </cell>
          <cell r="F9202" t="str">
            <v>Primary</v>
          </cell>
        </row>
        <row r="9203">
          <cell r="A9203">
            <v>3362039</v>
          </cell>
          <cell r="B9203">
            <v>104308</v>
          </cell>
          <cell r="C9203" t="str">
            <v>East Park Primary School</v>
          </cell>
          <cell r="D9203" t="str">
            <v>Wolverhampton</v>
          </cell>
          <cell r="E9203" t="str">
            <v>Community School</v>
          </cell>
          <cell r="F9203" t="str">
            <v>Primary</v>
          </cell>
        </row>
        <row r="9204">
          <cell r="A9204">
            <v>8862164</v>
          </cell>
          <cell r="B9204">
            <v>118290</v>
          </cell>
          <cell r="C9204" t="str">
            <v>East Peckham Primary School</v>
          </cell>
          <cell r="D9204" t="str">
            <v>Kent</v>
          </cell>
          <cell r="E9204" t="str">
            <v>Community School</v>
          </cell>
          <cell r="F9204" t="str">
            <v>Primary</v>
          </cell>
        </row>
        <row r="9205">
          <cell r="A9205">
            <v>9354002</v>
          </cell>
          <cell r="B9205">
            <v>137134</v>
          </cell>
          <cell r="C9205" t="str">
            <v>East Point Academy</v>
          </cell>
          <cell r="D9205" t="str">
            <v>Suffolk</v>
          </cell>
          <cell r="E9205" t="str">
            <v>Academy Sponsor Led</v>
          </cell>
          <cell r="F9205" t="str">
            <v>Secondary</v>
          </cell>
        </row>
        <row r="9206">
          <cell r="A9206">
            <v>3411002</v>
          </cell>
          <cell r="B9206">
            <v>104504</v>
          </cell>
          <cell r="C9206" t="str">
            <v>East Prescot Road Nursery School</v>
          </cell>
          <cell r="D9206" t="str">
            <v>Liverpool</v>
          </cell>
          <cell r="E9206" t="str">
            <v>LA Nursery School</v>
          </cell>
          <cell r="F9206" t="str">
            <v>Nursery</v>
          </cell>
        </row>
        <row r="9207">
          <cell r="A9207">
            <v>9382183</v>
          </cell>
          <cell r="B9207">
            <v>125919</v>
          </cell>
          <cell r="C9207" t="str">
            <v>East Preston Infant School</v>
          </cell>
          <cell r="D9207" t="str">
            <v>West Sussex</v>
          </cell>
          <cell r="E9207" t="str">
            <v>Community School</v>
          </cell>
          <cell r="F9207" t="str">
            <v>Primary</v>
          </cell>
        </row>
        <row r="9208">
          <cell r="A9208">
            <v>9382024</v>
          </cell>
          <cell r="B9208">
            <v>125828</v>
          </cell>
          <cell r="C9208" t="str">
            <v>East Preston Junior School</v>
          </cell>
          <cell r="D9208" t="str">
            <v>West Sussex</v>
          </cell>
          <cell r="E9208" t="str">
            <v>Community School</v>
          </cell>
          <cell r="F9208" t="str">
            <v>Primary</v>
          </cell>
        </row>
        <row r="9209">
          <cell r="A9209">
            <v>9147034</v>
          </cell>
          <cell r="B9209">
            <v>132965</v>
          </cell>
          <cell r="C9209" t="str">
            <v>East Quinton School</v>
          </cell>
          <cell r="D9209" t="str">
            <v>Pre LGR (1997) East Sussex</v>
          </cell>
          <cell r="E9209" t="str">
            <v>Community Special School</v>
          </cell>
          <cell r="F9209" t="str">
            <v>Special</v>
          </cell>
        </row>
        <row r="9210">
          <cell r="A9210">
            <v>3942104</v>
          </cell>
          <cell r="B9210">
            <v>108794</v>
          </cell>
          <cell r="C9210" t="str">
            <v>East Rainton Primary School</v>
          </cell>
          <cell r="D9210" t="str">
            <v>Sunderland</v>
          </cell>
          <cell r="E9210" t="str">
            <v>Community School</v>
          </cell>
          <cell r="F9210" t="str">
            <v>Primary</v>
          </cell>
        </row>
        <row r="9211">
          <cell r="A9211">
            <v>8123060</v>
          </cell>
          <cell r="B9211">
            <v>118009</v>
          </cell>
          <cell r="C9211" t="str">
            <v>East Ravendale CofE Primary School</v>
          </cell>
          <cell r="D9211" t="str">
            <v>North East Lincolnshire</v>
          </cell>
          <cell r="E9211" t="str">
            <v>Voluntary Controlled School</v>
          </cell>
          <cell r="F9211" t="str">
            <v>Primary</v>
          </cell>
        </row>
        <row r="9212">
          <cell r="A9212">
            <v>9303027</v>
          </cell>
          <cell r="B9212">
            <v>129722</v>
          </cell>
          <cell r="C9212" t="str">
            <v>East Retford CofE Infant School</v>
          </cell>
          <cell r="D9212" t="str">
            <v>Pre LGR (1998) Nottinghamshire</v>
          </cell>
          <cell r="E9212" t="str">
            <v>Voluntary Controlled School</v>
          </cell>
          <cell r="F9212" t="str">
            <v>Primary</v>
          </cell>
        </row>
        <row r="9213">
          <cell r="A9213">
            <v>8118006</v>
          </cell>
          <cell r="B9213">
            <v>130582</v>
          </cell>
          <cell r="C9213" t="str">
            <v>East Riding College</v>
          </cell>
          <cell r="D9213" t="str">
            <v>East Riding of Yorkshire</v>
          </cell>
          <cell r="E9213" t="str">
            <v>Further Education</v>
          </cell>
          <cell r="F9213" t="str">
            <v>16 Plus</v>
          </cell>
        </row>
        <row r="9214">
          <cell r="A9214">
            <v>9262414</v>
          </cell>
          <cell r="B9214">
            <v>121016</v>
          </cell>
          <cell r="C9214" t="str">
            <v>East Ruston Area Infant School</v>
          </cell>
          <cell r="D9214" t="str">
            <v>Norfolk</v>
          </cell>
          <cell r="E9214" t="str">
            <v>Community School</v>
          </cell>
          <cell r="F9214" t="str">
            <v>Primary</v>
          </cell>
        </row>
        <row r="9215">
          <cell r="A9215">
            <v>3182006</v>
          </cell>
          <cell r="B9215">
            <v>102885</v>
          </cell>
          <cell r="C9215" t="str">
            <v>East Sheen Primary School</v>
          </cell>
          <cell r="D9215" t="str">
            <v>Richmond upon Thames</v>
          </cell>
          <cell r="E9215" t="str">
            <v>Community School</v>
          </cell>
          <cell r="F9215" t="str">
            <v>Primary</v>
          </cell>
        </row>
        <row r="9216">
          <cell r="A9216">
            <v>8517050</v>
          </cell>
          <cell r="B9216">
            <v>116632</v>
          </cell>
          <cell r="C9216" t="str">
            <v>East Shore School</v>
          </cell>
          <cell r="D9216" t="str">
            <v>Portsmouth</v>
          </cell>
          <cell r="E9216" t="str">
            <v>Community Special School</v>
          </cell>
          <cell r="F9216" t="str">
            <v>Special</v>
          </cell>
        </row>
        <row r="9217">
          <cell r="A9217">
            <v>8402217</v>
          </cell>
          <cell r="B9217">
            <v>114026</v>
          </cell>
          <cell r="C9217" t="str">
            <v>East Stanley School</v>
          </cell>
          <cell r="D9217" t="str">
            <v>Durham</v>
          </cell>
          <cell r="E9217" t="str">
            <v>Community School</v>
          </cell>
          <cell r="F9217" t="str">
            <v>Primary</v>
          </cell>
        </row>
        <row r="9218">
          <cell r="A9218">
            <v>8862272</v>
          </cell>
          <cell r="B9218">
            <v>118367</v>
          </cell>
          <cell r="C9218" t="str">
            <v>East Stour Primary School</v>
          </cell>
          <cell r="D9218" t="str">
            <v>Kent</v>
          </cell>
          <cell r="E9218" t="str">
            <v>Community School</v>
          </cell>
          <cell r="F9218" t="str">
            <v>Primary</v>
          </cell>
        </row>
        <row r="9219">
          <cell r="A9219">
            <v>9368005</v>
          </cell>
          <cell r="B9219">
            <v>130824</v>
          </cell>
          <cell r="C9219" t="str">
            <v>East Surrey College</v>
          </cell>
          <cell r="D9219" t="str">
            <v>Surrey</v>
          </cell>
          <cell r="E9219" t="str">
            <v>Further Education</v>
          </cell>
          <cell r="F9219" t="str">
            <v>16 Plus</v>
          </cell>
        </row>
        <row r="9220">
          <cell r="A9220">
            <v>8832824</v>
          </cell>
          <cell r="B9220">
            <v>115014</v>
          </cell>
          <cell r="C9220" t="str">
            <v>East Tilbury Infant School</v>
          </cell>
          <cell r="D9220" t="str">
            <v>Thurrock</v>
          </cell>
          <cell r="E9220" t="str">
            <v>Foundation School</v>
          </cell>
          <cell r="F9220" t="str">
            <v>Primary</v>
          </cell>
        </row>
        <row r="9221">
          <cell r="A9221">
            <v>8832814</v>
          </cell>
          <cell r="B9221">
            <v>115010</v>
          </cell>
          <cell r="C9221" t="str">
            <v>East Tilbury Junior School</v>
          </cell>
          <cell r="D9221" t="str">
            <v>Thurrock</v>
          </cell>
          <cell r="E9221" t="str">
            <v>Foundation School</v>
          </cell>
          <cell r="F9221" t="str">
            <v>Primary</v>
          </cell>
        </row>
        <row r="9222">
          <cell r="A9222">
            <v>8652041</v>
          </cell>
          <cell r="B9222">
            <v>126193</v>
          </cell>
          <cell r="C9222" t="str">
            <v>East Tytherton Maud Heath Primary School</v>
          </cell>
          <cell r="D9222" t="str">
            <v>Wiltshire</v>
          </cell>
          <cell r="E9222" t="str">
            <v>Community School</v>
          </cell>
          <cell r="F9222" t="str">
            <v>Primary</v>
          </cell>
        </row>
        <row r="9223">
          <cell r="A9223">
            <v>3512047</v>
          </cell>
          <cell r="B9223">
            <v>105315</v>
          </cell>
          <cell r="C9223" t="str">
            <v>East Ward Community Primary School</v>
          </cell>
          <cell r="D9223" t="str">
            <v>Bury</v>
          </cell>
          <cell r="E9223" t="str">
            <v>Community School</v>
          </cell>
          <cell r="F9223" t="str">
            <v>Primary</v>
          </cell>
        </row>
        <row r="9224">
          <cell r="A9224">
            <v>8662012</v>
          </cell>
          <cell r="B9224">
            <v>136068</v>
          </cell>
          <cell r="C9224" t="str">
            <v>East Wichel Primary School</v>
          </cell>
          <cell r="D9224" t="str">
            <v>Swindon</v>
          </cell>
          <cell r="E9224" t="str">
            <v>Community School</v>
          </cell>
          <cell r="F9224" t="str">
            <v>Primary</v>
          </cell>
        </row>
        <row r="9225">
          <cell r="A9225">
            <v>3032005</v>
          </cell>
          <cell r="B9225">
            <v>101406</v>
          </cell>
          <cell r="C9225" t="str">
            <v>East Wickham Infant School</v>
          </cell>
          <cell r="D9225" t="str">
            <v>Bexley</v>
          </cell>
          <cell r="E9225" t="str">
            <v>Community School</v>
          </cell>
          <cell r="F9225" t="str">
            <v>Primary</v>
          </cell>
        </row>
        <row r="9226">
          <cell r="A9226">
            <v>3032005</v>
          </cell>
          <cell r="B9226">
            <v>136599</v>
          </cell>
          <cell r="C9226" t="str">
            <v>East Wickham Infant School</v>
          </cell>
          <cell r="D9226" t="str">
            <v>Bexley</v>
          </cell>
          <cell r="E9226" t="str">
            <v>Academy Converters</v>
          </cell>
          <cell r="F9226" t="str">
            <v>Primary</v>
          </cell>
        </row>
        <row r="9227">
          <cell r="A9227">
            <v>3032004</v>
          </cell>
          <cell r="B9227">
            <v>101405</v>
          </cell>
          <cell r="C9227" t="str">
            <v>East Wickham Junior School</v>
          </cell>
          <cell r="D9227" t="str">
            <v>Bexley</v>
          </cell>
          <cell r="E9227" t="str">
            <v>Community School</v>
          </cell>
          <cell r="F9227" t="str">
            <v>Primary</v>
          </cell>
        </row>
        <row r="9228">
          <cell r="A9228">
            <v>9263379</v>
          </cell>
          <cell r="B9228">
            <v>121132</v>
          </cell>
          <cell r="C9228" t="str">
            <v>East Winch Church of England Voluntary Aided Primary School</v>
          </cell>
          <cell r="D9228" t="str">
            <v>Norfolk</v>
          </cell>
          <cell r="E9228" t="str">
            <v>Voluntary Aided School</v>
          </cell>
          <cell r="F9228" t="str">
            <v>Primary</v>
          </cell>
        </row>
        <row r="9229">
          <cell r="A9229">
            <v>9382025</v>
          </cell>
          <cell r="B9229">
            <v>125829</v>
          </cell>
          <cell r="C9229" t="str">
            <v>East Wittering Community Primary School</v>
          </cell>
          <cell r="D9229" t="str">
            <v>West Sussex</v>
          </cell>
          <cell r="E9229" t="str">
            <v>Community School</v>
          </cell>
          <cell r="F9229" t="str">
            <v>Primary</v>
          </cell>
        </row>
        <row r="9230">
          <cell r="A9230">
            <v>9253168</v>
          </cell>
          <cell r="B9230">
            <v>120597</v>
          </cell>
          <cell r="C9230" t="str">
            <v>East Wold Church of England Primary School</v>
          </cell>
          <cell r="D9230" t="str">
            <v>Lincolnshire</v>
          </cell>
          <cell r="E9230" t="str">
            <v>Voluntary Controlled School</v>
          </cell>
          <cell r="F9230" t="str">
            <v>Primary</v>
          </cell>
        </row>
        <row r="9231">
          <cell r="A9231">
            <v>8782224</v>
          </cell>
          <cell r="B9231">
            <v>113147</v>
          </cell>
          <cell r="C9231" t="str">
            <v>East Worlington Primary School</v>
          </cell>
          <cell r="D9231" t="str">
            <v>Devon</v>
          </cell>
          <cell r="E9231" t="str">
            <v>Community School</v>
          </cell>
          <cell r="F9231" t="str">
            <v>Primary</v>
          </cell>
        </row>
        <row r="9232">
          <cell r="A9232">
            <v>8782224</v>
          </cell>
          <cell r="B9232">
            <v>137025</v>
          </cell>
          <cell r="C9232" t="str">
            <v>East Worlington Primary School</v>
          </cell>
          <cell r="D9232" t="str">
            <v>Devon</v>
          </cell>
          <cell r="E9232" t="str">
            <v>Academy Converters</v>
          </cell>
          <cell r="F9232" t="str">
            <v>Primary</v>
          </cell>
        </row>
        <row r="9233">
          <cell r="A9233">
            <v>8118007</v>
          </cell>
          <cell r="B9233">
            <v>130583</v>
          </cell>
          <cell r="C9233" t="str">
            <v>East Yorkshire College of Further Education</v>
          </cell>
          <cell r="D9233" t="str">
            <v>East Riding of Yorkshire</v>
          </cell>
          <cell r="E9233" t="str">
            <v>Further Education</v>
          </cell>
          <cell r="F9233" t="str">
            <v>16 Plus</v>
          </cell>
        </row>
        <row r="9234">
          <cell r="A9234">
            <v>3822007</v>
          </cell>
          <cell r="B9234">
            <v>107602</v>
          </cell>
          <cell r="C9234" t="str">
            <v>Eastborough Junior Infant and Nursery School</v>
          </cell>
          <cell r="D9234" t="str">
            <v>Kirklees</v>
          </cell>
          <cell r="E9234" t="str">
            <v>Community School</v>
          </cell>
          <cell r="F9234" t="str">
            <v>Primary</v>
          </cell>
        </row>
        <row r="9235">
          <cell r="A9235">
            <v>8456014</v>
          </cell>
          <cell r="B9235">
            <v>114650</v>
          </cell>
          <cell r="C9235" t="str">
            <v>Eastbourne College</v>
          </cell>
          <cell r="D9235" t="str">
            <v>East Sussex</v>
          </cell>
          <cell r="E9235" t="str">
            <v>Other Independent School</v>
          </cell>
          <cell r="F9235" t="str">
            <v>Not applicable</v>
          </cell>
        </row>
        <row r="9236">
          <cell r="A9236">
            <v>8458008</v>
          </cell>
          <cell r="B9236">
            <v>130666</v>
          </cell>
          <cell r="C9236" t="str">
            <v>Eastbourne College of Arts and Technology</v>
          </cell>
          <cell r="D9236" t="str">
            <v>East Sussex</v>
          </cell>
          <cell r="E9236" t="str">
            <v>Further Education</v>
          </cell>
          <cell r="F9236" t="str">
            <v>16 Plus</v>
          </cell>
        </row>
        <row r="9237">
          <cell r="A9237">
            <v>8414283</v>
          </cell>
          <cell r="B9237">
            <v>114319</v>
          </cell>
          <cell r="C9237" t="str">
            <v>Eastbourne Comprehensive School</v>
          </cell>
          <cell r="D9237" t="str">
            <v>Darlington</v>
          </cell>
          <cell r="E9237" t="str">
            <v>Community School</v>
          </cell>
          <cell r="F9237" t="str">
            <v>Secondary</v>
          </cell>
        </row>
        <row r="9238">
          <cell r="A9238">
            <v>3306022</v>
          </cell>
          <cell r="B9238">
            <v>103570</v>
          </cell>
          <cell r="C9238" t="str">
            <v>Eastbourne House School</v>
          </cell>
          <cell r="D9238" t="str">
            <v>Birmingham</v>
          </cell>
          <cell r="E9238" t="str">
            <v>Other Independent School</v>
          </cell>
          <cell r="F9238" t="str">
            <v>Not applicable</v>
          </cell>
        </row>
        <row r="9239">
          <cell r="A9239">
            <v>8411028</v>
          </cell>
          <cell r="B9239">
            <v>113980</v>
          </cell>
          <cell r="C9239" t="str">
            <v>Eastbourne Nursery School</v>
          </cell>
          <cell r="D9239" t="str">
            <v>Darlington</v>
          </cell>
          <cell r="E9239" t="str">
            <v>LA Nursery School</v>
          </cell>
          <cell r="F9239" t="str">
            <v>Nursery</v>
          </cell>
        </row>
        <row r="9240">
          <cell r="A9240">
            <v>9144069</v>
          </cell>
          <cell r="B9240">
            <v>128848</v>
          </cell>
          <cell r="C9240" t="str">
            <v>Eastbourne Sixth Form College</v>
          </cell>
          <cell r="D9240" t="str">
            <v>Pre LGR (1997) East Sussex</v>
          </cell>
          <cell r="E9240" t="str">
            <v>Community School</v>
          </cell>
          <cell r="F9240" t="str">
            <v>Secondary</v>
          </cell>
        </row>
        <row r="9241">
          <cell r="A9241">
            <v>8454062</v>
          </cell>
          <cell r="B9241">
            <v>114603</v>
          </cell>
          <cell r="C9241" t="str">
            <v>Eastbourne Technology College</v>
          </cell>
          <cell r="D9241" t="str">
            <v>East Sussex</v>
          </cell>
          <cell r="E9241" t="str">
            <v>Community School</v>
          </cell>
          <cell r="F9241" t="str">
            <v>Secondary</v>
          </cell>
        </row>
        <row r="9242">
          <cell r="A9242">
            <v>8451104</v>
          </cell>
          <cell r="B9242">
            <v>114356</v>
          </cell>
          <cell r="C9242" t="str">
            <v>Eastbourne Tutorial Unit</v>
          </cell>
          <cell r="D9242" t="str">
            <v>East Sussex</v>
          </cell>
          <cell r="E9242" t="str">
            <v>Pupil Referral Unit</v>
          </cell>
          <cell r="F9242" t="str">
            <v>PRU</v>
          </cell>
        </row>
        <row r="9243">
          <cell r="A9243">
            <v>9166078</v>
          </cell>
          <cell r="B9243">
            <v>134463</v>
          </cell>
          <cell r="C9243" t="str">
            <v>Eastbrook College</v>
          </cell>
          <cell r="D9243" t="str">
            <v>Gloucestershire</v>
          </cell>
          <cell r="E9243" t="str">
            <v>Other Independent School</v>
          </cell>
          <cell r="F9243" t="str">
            <v>Not applicable</v>
          </cell>
        </row>
        <row r="9244">
          <cell r="A9244">
            <v>3014023</v>
          </cell>
          <cell r="B9244">
            <v>101243</v>
          </cell>
          <cell r="C9244" t="str">
            <v>Eastbrook Comprehensive School</v>
          </cell>
          <cell r="D9244" t="str">
            <v>Barking and Dagenham</v>
          </cell>
          <cell r="E9244" t="str">
            <v>Community School</v>
          </cell>
          <cell r="F9244" t="str">
            <v>Secondary</v>
          </cell>
        </row>
        <row r="9245">
          <cell r="A9245">
            <v>9169900</v>
          </cell>
          <cell r="B9245">
            <v>133201</v>
          </cell>
          <cell r="C9245" t="str">
            <v>Eastbrook Education Trust</v>
          </cell>
          <cell r="D9245" t="str">
            <v>Gloucestershire</v>
          </cell>
          <cell r="E9245" t="str">
            <v>Miscellaneous</v>
          </cell>
          <cell r="F9245" t="str">
            <v>Not applicable</v>
          </cell>
        </row>
        <row r="9246">
          <cell r="A9246">
            <v>8509903</v>
          </cell>
          <cell r="B9246">
            <v>133235</v>
          </cell>
          <cell r="C9246" t="str">
            <v>Eastbrook Education Trust</v>
          </cell>
          <cell r="D9246" t="str">
            <v>Hampshire</v>
          </cell>
          <cell r="E9246" t="str">
            <v>Miscellaneous</v>
          </cell>
          <cell r="F9246" t="str">
            <v>Not applicable</v>
          </cell>
        </row>
        <row r="9247">
          <cell r="A9247">
            <v>9192413</v>
          </cell>
          <cell r="B9247">
            <v>129142</v>
          </cell>
          <cell r="C9247" t="str">
            <v>Eastbrook Infant and Nursery School</v>
          </cell>
          <cell r="D9247" t="str">
            <v>Hertfordshire</v>
          </cell>
          <cell r="E9247" t="str">
            <v>Community School</v>
          </cell>
          <cell r="F9247" t="str">
            <v>Primary</v>
          </cell>
        </row>
        <row r="9248">
          <cell r="A9248">
            <v>9192402</v>
          </cell>
          <cell r="B9248">
            <v>129140</v>
          </cell>
          <cell r="C9248" t="str">
            <v>Eastbrook Junior School</v>
          </cell>
          <cell r="D9248" t="str">
            <v>Hertfordshire</v>
          </cell>
          <cell r="E9248" t="str">
            <v>Community School</v>
          </cell>
          <cell r="F9248" t="str">
            <v>Primary</v>
          </cell>
        </row>
        <row r="9249">
          <cell r="A9249">
            <v>9192458</v>
          </cell>
          <cell r="B9249">
            <v>117359</v>
          </cell>
          <cell r="C9249" t="str">
            <v>Eastbrook Primary School</v>
          </cell>
          <cell r="D9249" t="str">
            <v>Hertfordshire</v>
          </cell>
          <cell r="E9249" t="str">
            <v>Community School</v>
          </cell>
          <cell r="F9249" t="str">
            <v>Primary</v>
          </cell>
        </row>
        <row r="9250">
          <cell r="A9250">
            <v>9383371</v>
          </cell>
          <cell r="B9250">
            <v>135304</v>
          </cell>
          <cell r="C9250" t="str">
            <v>Eastbrook Primary School</v>
          </cell>
          <cell r="D9250" t="str">
            <v>West Sussex</v>
          </cell>
          <cell r="E9250" t="str">
            <v>Community School</v>
          </cell>
          <cell r="F9250" t="str">
            <v>Primary</v>
          </cell>
        </row>
        <row r="9251">
          <cell r="A9251">
            <v>3802147</v>
          </cell>
          <cell r="B9251">
            <v>107274</v>
          </cell>
          <cell r="C9251" t="str">
            <v>Eastburn Junior and Infant School</v>
          </cell>
          <cell r="D9251" t="str">
            <v>Bradford</v>
          </cell>
          <cell r="E9251" t="str">
            <v>Community School</v>
          </cell>
          <cell r="F9251" t="str">
            <v>Primary</v>
          </cell>
        </row>
        <row r="9252">
          <cell r="A9252">
            <v>3014024</v>
          </cell>
          <cell r="B9252">
            <v>101244</v>
          </cell>
          <cell r="C9252" t="str">
            <v>Eastbury Comprehensive School</v>
          </cell>
          <cell r="D9252" t="str">
            <v>Barking and Dagenham</v>
          </cell>
          <cell r="E9252" t="str">
            <v>Community School</v>
          </cell>
          <cell r="F9252" t="str">
            <v>Secondary</v>
          </cell>
        </row>
        <row r="9253">
          <cell r="A9253">
            <v>9192266</v>
          </cell>
          <cell r="B9253">
            <v>117245</v>
          </cell>
          <cell r="C9253" t="str">
            <v>Eastbury Farm Primary School</v>
          </cell>
          <cell r="D9253" t="str">
            <v>Hertfordshire</v>
          </cell>
          <cell r="E9253" t="str">
            <v>Community School</v>
          </cell>
          <cell r="F9253" t="str">
            <v>Primary</v>
          </cell>
        </row>
        <row r="9254">
          <cell r="A9254">
            <v>3012006</v>
          </cell>
          <cell r="B9254">
            <v>101189</v>
          </cell>
          <cell r="C9254" t="str">
            <v>Eastbury Primary School</v>
          </cell>
          <cell r="D9254" t="str">
            <v>Barking and Dagenham</v>
          </cell>
          <cell r="E9254" t="str">
            <v>Community School</v>
          </cell>
          <cell r="F9254" t="str">
            <v>Primary</v>
          </cell>
        </row>
        <row r="9255">
          <cell r="A9255">
            <v>8863106</v>
          </cell>
          <cell r="B9255">
            <v>118644</v>
          </cell>
          <cell r="C9255" t="str">
            <v>Eastchurch Church of England Primary School</v>
          </cell>
          <cell r="D9255" t="str">
            <v>Kent</v>
          </cell>
          <cell r="E9255" t="str">
            <v>Voluntary Controlled School</v>
          </cell>
          <cell r="F9255" t="str">
            <v>Primary</v>
          </cell>
        </row>
        <row r="9256">
          <cell r="A9256">
            <v>3916033</v>
          </cell>
          <cell r="B9256">
            <v>108545</v>
          </cell>
          <cell r="C9256" t="str">
            <v>Eastcliffe School</v>
          </cell>
          <cell r="D9256" t="str">
            <v>Newcastle upon Tyne</v>
          </cell>
          <cell r="E9256" t="str">
            <v>Other Independent School</v>
          </cell>
          <cell r="F9256" t="str">
            <v>Not applicable</v>
          </cell>
        </row>
        <row r="9257">
          <cell r="A9257">
            <v>9162044</v>
          </cell>
          <cell r="B9257">
            <v>115504</v>
          </cell>
          <cell r="C9257" t="str">
            <v>Eastcombe Primary School</v>
          </cell>
          <cell r="D9257" t="str">
            <v>Gloucestershire</v>
          </cell>
          <cell r="E9257" t="str">
            <v>Community School</v>
          </cell>
          <cell r="F9257" t="str">
            <v>Primary</v>
          </cell>
        </row>
        <row r="9258">
          <cell r="A9258">
            <v>3032003</v>
          </cell>
          <cell r="B9258">
            <v>101404</v>
          </cell>
          <cell r="C9258" t="str">
            <v>Eastcote Primary School</v>
          </cell>
          <cell r="D9258" t="str">
            <v>Bexley</v>
          </cell>
          <cell r="E9258" t="str">
            <v>Community School</v>
          </cell>
          <cell r="F9258" t="str">
            <v>Primary</v>
          </cell>
        </row>
        <row r="9259">
          <cell r="A9259">
            <v>3176055</v>
          </cell>
          <cell r="B9259">
            <v>102869</v>
          </cell>
          <cell r="C9259" t="str">
            <v>Eastcourt Independent School</v>
          </cell>
          <cell r="D9259" t="str">
            <v>Redbridge</v>
          </cell>
          <cell r="E9259" t="str">
            <v>Other Independent School</v>
          </cell>
          <cell r="F9259" t="str">
            <v>Not applicable</v>
          </cell>
        </row>
        <row r="9260">
          <cell r="A9260">
            <v>3402051</v>
          </cell>
          <cell r="B9260">
            <v>104447</v>
          </cell>
          <cell r="C9260" t="str">
            <v>Eastcroft Park School</v>
          </cell>
          <cell r="D9260" t="str">
            <v>Knowsley</v>
          </cell>
          <cell r="E9260" t="str">
            <v>Community School</v>
          </cell>
          <cell r="F9260" t="str">
            <v>Primary</v>
          </cell>
        </row>
        <row r="9261">
          <cell r="A9261">
            <v>9383014</v>
          </cell>
          <cell r="B9261">
            <v>125981</v>
          </cell>
          <cell r="C9261" t="str">
            <v>Eastergate CofE Primary School</v>
          </cell>
          <cell r="D9261" t="str">
            <v>West Sussex</v>
          </cell>
          <cell r="E9261" t="str">
            <v>Voluntary Controlled School</v>
          </cell>
          <cell r="F9261" t="str">
            <v>Primary</v>
          </cell>
        </row>
        <row r="9262">
          <cell r="A9262">
            <v>9371102</v>
          </cell>
          <cell r="B9262">
            <v>125494</v>
          </cell>
          <cell r="C9262" t="str">
            <v>Eastern Area Pupil Referral Unit</v>
          </cell>
          <cell r="D9262" t="str">
            <v>Warwickshire</v>
          </cell>
          <cell r="E9262" t="str">
            <v>Pupil Referral Unit</v>
          </cell>
          <cell r="F9262" t="str">
            <v>PRU</v>
          </cell>
        </row>
        <row r="9263">
          <cell r="A9263">
            <v>3312095</v>
          </cell>
          <cell r="B9263">
            <v>103665</v>
          </cell>
          <cell r="C9263" t="str">
            <v>Eastern Green Junior School</v>
          </cell>
          <cell r="D9263" t="str">
            <v>Coventry</v>
          </cell>
          <cell r="E9263" t="str">
            <v>Community School</v>
          </cell>
          <cell r="F9263" t="str">
            <v>Primary</v>
          </cell>
        </row>
        <row r="9264">
          <cell r="A9264">
            <v>6712142</v>
          </cell>
          <cell r="B9264">
            <v>400976</v>
          </cell>
          <cell r="C9264" t="str">
            <v>Eastern Primary School</v>
          </cell>
          <cell r="D9264" t="str">
            <v>Neath Port Talbot</v>
          </cell>
          <cell r="E9264" t="str">
            <v>Welsh Establishment</v>
          </cell>
          <cell r="F9264" t="str">
            <v>Primary</v>
          </cell>
        </row>
        <row r="9265">
          <cell r="A9265">
            <v>8062318</v>
          </cell>
          <cell r="B9265">
            <v>111622</v>
          </cell>
          <cell r="C9265" t="str">
            <v>Easterside Primary School</v>
          </cell>
          <cell r="D9265" t="str">
            <v>Middlesbrough</v>
          </cell>
          <cell r="E9265" t="str">
            <v>Community School</v>
          </cell>
          <cell r="F9265" t="str">
            <v>Primary</v>
          </cell>
        </row>
        <row r="9266">
          <cell r="A9266">
            <v>8732246</v>
          </cell>
          <cell r="B9266">
            <v>110707</v>
          </cell>
          <cell r="C9266" t="str">
            <v>Eastfield Infant and Nursery School</v>
          </cell>
          <cell r="D9266" t="str">
            <v>Cambridgeshire</v>
          </cell>
          <cell r="E9266" t="str">
            <v>Community School</v>
          </cell>
          <cell r="F9266" t="str">
            <v>Primary</v>
          </cell>
        </row>
        <row r="9267">
          <cell r="A9267">
            <v>8122179</v>
          </cell>
          <cell r="B9267">
            <v>117786</v>
          </cell>
          <cell r="C9267" t="str">
            <v>Eastfield Infants' School</v>
          </cell>
          <cell r="D9267" t="str">
            <v>North East Lincolnshire</v>
          </cell>
          <cell r="E9267" t="str">
            <v>Community School</v>
          </cell>
          <cell r="F9267" t="str">
            <v>Primary</v>
          </cell>
        </row>
        <row r="9268">
          <cell r="A9268">
            <v>9204140</v>
          </cell>
          <cell r="B9268">
            <v>129277</v>
          </cell>
          <cell r="C9268" t="str">
            <v>Eastfield Junior High School</v>
          </cell>
          <cell r="D9268" t="str">
            <v>Pre LGR (1996) Humberside</v>
          </cell>
          <cell r="E9268" t="str">
            <v>Community School</v>
          </cell>
          <cell r="F9268" t="str">
            <v>Secondary</v>
          </cell>
        </row>
        <row r="9269">
          <cell r="A9269">
            <v>8122178</v>
          </cell>
          <cell r="B9269">
            <v>117785</v>
          </cell>
          <cell r="C9269" t="str">
            <v>Eastfield Junior School</v>
          </cell>
          <cell r="D9269" t="str">
            <v>North East Lincolnshire</v>
          </cell>
          <cell r="E9269" t="str">
            <v>Community School</v>
          </cell>
          <cell r="F9269" t="str">
            <v>Primary</v>
          </cell>
        </row>
        <row r="9270">
          <cell r="A9270">
            <v>3361004</v>
          </cell>
          <cell r="B9270">
            <v>104280</v>
          </cell>
          <cell r="C9270" t="str">
            <v>Eastfield Nursery School</v>
          </cell>
          <cell r="D9270" t="str">
            <v>Wolverhampton</v>
          </cell>
          <cell r="E9270" t="str">
            <v>LA Nursery School</v>
          </cell>
          <cell r="F9270" t="str">
            <v>Nursery</v>
          </cell>
        </row>
        <row r="9271">
          <cell r="A9271">
            <v>9287022</v>
          </cell>
          <cell r="B9271">
            <v>122165</v>
          </cell>
          <cell r="C9271" t="str">
            <v>Eastfield Park School</v>
          </cell>
          <cell r="D9271" t="str">
            <v>Northamptonshire</v>
          </cell>
          <cell r="E9271" t="str">
            <v>Community Special School</v>
          </cell>
          <cell r="F9271" t="str">
            <v>Special</v>
          </cell>
        </row>
        <row r="9272">
          <cell r="A9272">
            <v>3082077</v>
          </cell>
          <cell r="B9272">
            <v>102017</v>
          </cell>
          <cell r="C9272" t="str">
            <v>Eastfield Primary School</v>
          </cell>
          <cell r="D9272" t="str">
            <v>Enfield</v>
          </cell>
          <cell r="E9272" t="str">
            <v>Community School</v>
          </cell>
          <cell r="F9272" t="str">
            <v>Primary</v>
          </cell>
        </row>
        <row r="9273">
          <cell r="A9273">
            <v>3362103</v>
          </cell>
          <cell r="B9273">
            <v>104342</v>
          </cell>
          <cell r="C9273" t="str">
            <v>Eastfield Primary School</v>
          </cell>
          <cell r="D9273" t="str">
            <v>Wolverhampton</v>
          </cell>
          <cell r="E9273" t="str">
            <v>Community School</v>
          </cell>
          <cell r="F9273" t="str">
            <v>Primary</v>
          </cell>
        </row>
        <row r="9274">
          <cell r="A9274">
            <v>8102160</v>
          </cell>
          <cell r="B9274">
            <v>117772</v>
          </cell>
          <cell r="C9274" t="str">
            <v>Eastfield Primary School</v>
          </cell>
          <cell r="D9274" t="str">
            <v>Kingston upon Hull City of</v>
          </cell>
          <cell r="E9274" t="str">
            <v>Community School</v>
          </cell>
          <cell r="F9274" t="str">
            <v>Primary</v>
          </cell>
        </row>
        <row r="9275">
          <cell r="A9275">
            <v>8552157</v>
          </cell>
          <cell r="B9275">
            <v>119968</v>
          </cell>
          <cell r="C9275" t="str">
            <v>Eastfield Primary School</v>
          </cell>
          <cell r="D9275" t="str">
            <v>Leicestershire</v>
          </cell>
          <cell r="E9275" t="str">
            <v>Community School</v>
          </cell>
          <cell r="F9275" t="str">
            <v>Primary</v>
          </cell>
        </row>
        <row r="9276">
          <cell r="A9276">
            <v>9282175</v>
          </cell>
          <cell r="B9276">
            <v>121921</v>
          </cell>
          <cell r="C9276" t="str">
            <v>Eastfield Primary School</v>
          </cell>
          <cell r="D9276" t="str">
            <v>Northamptonshire</v>
          </cell>
          <cell r="E9276" t="str">
            <v>Community School</v>
          </cell>
          <cell r="F9276" t="str">
            <v>Primary</v>
          </cell>
        </row>
        <row r="9277">
          <cell r="A9277">
            <v>8123517</v>
          </cell>
          <cell r="B9277">
            <v>131224</v>
          </cell>
          <cell r="C9277" t="str">
            <v>Eastfield Primary School</v>
          </cell>
          <cell r="D9277" t="str">
            <v>North East Lincolnshire</v>
          </cell>
          <cell r="E9277" t="str">
            <v>Community School</v>
          </cell>
          <cell r="F9277" t="str">
            <v>Primary</v>
          </cell>
        </row>
        <row r="9278">
          <cell r="A9278">
            <v>3837059</v>
          </cell>
          <cell r="B9278">
            <v>128064</v>
          </cell>
          <cell r="C9278" t="str">
            <v>Eastfield School</v>
          </cell>
          <cell r="D9278" t="str">
            <v>Leeds</v>
          </cell>
          <cell r="E9278" t="str">
            <v>Community Special School</v>
          </cell>
          <cell r="F9278" t="str">
            <v>Special</v>
          </cell>
        </row>
        <row r="9279">
          <cell r="A9279">
            <v>3154055</v>
          </cell>
          <cell r="B9279">
            <v>102676</v>
          </cell>
          <cell r="C9279" t="str">
            <v>Eastfields High School</v>
          </cell>
          <cell r="D9279" t="str">
            <v>Merton</v>
          </cell>
          <cell r="E9279" t="str">
            <v>Community School</v>
          </cell>
          <cell r="F9279" t="str">
            <v>Secondary</v>
          </cell>
        </row>
        <row r="9280">
          <cell r="A9280">
            <v>9262418</v>
          </cell>
          <cell r="B9280">
            <v>121020</v>
          </cell>
          <cell r="C9280" t="str">
            <v>Eastgate Community Primary School</v>
          </cell>
          <cell r="D9280" t="str">
            <v>Norfolk</v>
          </cell>
          <cell r="E9280" t="str">
            <v>Community School</v>
          </cell>
          <cell r="F9280" t="str">
            <v>Primary</v>
          </cell>
        </row>
        <row r="9281">
          <cell r="A9281">
            <v>3712095</v>
          </cell>
          <cell r="B9281">
            <v>127611</v>
          </cell>
          <cell r="C9281" t="str">
            <v>Eastgate First School</v>
          </cell>
          <cell r="D9281" t="str">
            <v>Doncaster</v>
          </cell>
          <cell r="E9281" t="str">
            <v>Community School</v>
          </cell>
          <cell r="F9281" t="str">
            <v>Primary</v>
          </cell>
        </row>
        <row r="9282">
          <cell r="A9282">
            <v>8946008</v>
          </cell>
          <cell r="B9282">
            <v>135173</v>
          </cell>
          <cell r="C9282" t="str">
            <v>Eastgate House</v>
          </cell>
          <cell r="D9282" t="str">
            <v>Telford and Wrekin</v>
          </cell>
          <cell r="E9282" t="str">
            <v>Other Independent Special School</v>
          </cell>
          <cell r="F9282" t="str">
            <v>Not applicable</v>
          </cell>
        </row>
        <row r="9283">
          <cell r="A9283">
            <v>9353069</v>
          </cell>
          <cell r="B9283">
            <v>129983</v>
          </cell>
          <cell r="C9283" t="str">
            <v>Eastgate Primary School</v>
          </cell>
          <cell r="D9283" t="str">
            <v>Suffolk</v>
          </cell>
          <cell r="E9283" t="str">
            <v>Voluntary Controlled School</v>
          </cell>
          <cell r="F9283" t="str">
            <v>Primary</v>
          </cell>
        </row>
        <row r="9284">
          <cell r="A9284">
            <v>9302877</v>
          </cell>
          <cell r="B9284">
            <v>122687</v>
          </cell>
          <cell r="C9284" t="str">
            <v>Eastglade Junior School</v>
          </cell>
          <cell r="D9284" t="str">
            <v>Pre LGR (1998) Nottinghamshire</v>
          </cell>
          <cell r="E9284" t="str">
            <v>Community School</v>
          </cell>
          <cell r="F9284" t="str">
            <v>Primary</v>
          </cell>
        </row>
        <row r="9285">
          <cell r="A9285">
            <v>8922938</v>
          </cell>
          <cell r="B9285">
            <v>131088</v>
          </cell>
          <cell r="C9285" t="str">
            <v>Eastglade Primary and Nursery School</v>
          </cell>
          <cell r="D9285" t="str">
            <v>Nottingham</v>
          </cell>
          <cell r="E9285" t="str">
            <v>Community School</v>
          </cell>
          <cell r="F9285" t="str">
            <v>Primary</v>
          </cell>
        </row>
        <row r="9286">
          <cell r="A9286">
            <v>9302189</v>
          </cell>
          <cell r="B9286">
            <v>122507</v>
          </cell>
          <cell r="C9286" t="str">
            <v>Eastglade School</v>
          </cell>
          <cell r="D9286" t="str">
            <v>Pre LGR (1998) Nottinghamshire</v>
          </cell>
          <cell r="E9286" t="str">
            <v>Community School</v>
          </cell>
          <cell r="F9286" t="str">
            <v>Primary</v>
          </cell>
        </row>
        <row r="9287">
          <cell r="A9287">
            <v>8674061</v>
          </cell>
          <cell r="B9287">
            <v>110071</v>
          </cell>
          <cell r="C9287" t="str">
            <v>Easthampstead Park Community School</v>
          </cell>
          <cell r="D9287" t="str">
            <v>Bracknell Forest</v>
          </cell>
          <cell r="E9287" t="str">
            <v>Community School</v>
          </cell>
          <cell r="F9287" t="str">
            <v>Secondary</v>
          </cell>
        </row>
        <row r="9288">
          <cell r="A9288">
            <v>9162068</v>
          </cell>
          <cell r="B9288">
            <v>115523</v>
          </cell>
          <cell r="C9288" t="str">
            <v>Eastington Primary School</v>
          </cell>
          <cell r="D9288" t="str">
            <v>Gloucestershire</v>
          </cell>
          <cell r="E9288" t="str">
            <v>Community School</v>
          </cell>
          <cell r="F9288" t="str">
            <v>Primary</v>
          </cell>
        </row>
        <row r="9289">
          <cell r="A9289">
            <v>8912175</v>
          </cell>
          <cell r="B9289">
            <v>122497</v>
          </cell>
          <cell r="C9289" t="str">
            <v>Eastlands Junior School</v>
          </cell>
          <cell r="D9289" t="str">
            <v>Nottinghamshire</v>
          </cell>
          <cell r="E9289" t="str">
            <v>Community School</v>
          </cell>
          <cell r="F9289" t="str">
            <v>Primary</v>
          </cell>
        </row>
        <row r="9290">
          <cell r="A9290">
            <v>9372415</v>
          </cell>
          <cell r="B9290">
            <v>125575</v>
          </cell>
          <cell r="C9290" t="str">
            <v>Eastlands Primary School</v>
          </cell>
          <cell r="D9290" t="str">
            <v>Warwickshire</v>
          </cell>
          <cell r="E9290" t="str">
            <v>Community School</v>
          </cell>
          <cell r="F9290" t="str">
            <v>Primary</v>
          </cell>
        </row>
        <row r="9291">
          <cell r="A9291">
            <v>3164034</v>
          </cell>
          <cell r="B9291">
            <v>102784</v>
          </cell>
          <cell r="C9291" t="str">
            <v>Eastlea Community School</v>
          </cell>
          <cell r="D9291" t="str">
            <v>Newham</v>
          </cell>
          <cell r="E9291" t="str">
            <v>Community School</v>
          </cell>
          <cell r="F9291" t="str">
            <v>Secondary</v>
          </cell>
        </row>
        <row r="9292">
          <cell r="A9292">
            <v>8508005</v>
          </cell>
          <cell r="B9292">
            <v>130692</v>
          </cell>
          <cell r="C9292" t="str">
            <v>Eastleigh College</v>
          </cell>
          <cell r="D9292" t="str">
            <v>Hampshire</v>
          </cell>
          <cell r="E9292" t="str">
            <v>Further Education</v>
          </cell>
          <cell r="F9292" t="str">
            <v>16 Plus</v>
          </cell>
        </row>
        <row r="9293">
          <cell r="A9293">
            <v>8862226</v>
          </cell>
          <cell r="B9293">
            <v>118336</v>
          </cell>
          <cell r="C9293" t="str">
            <v>Eastling Primary School</v>
          </cell>
          <cell r="D9293" t="str">
            <v>Kent</v>
          </cell>
          <cell r="E9293" t="str">
            <v>Community School</v>
          </cell>
          <cell r="F9293" t="str">
            <v>Primary</v>
          </cell>
        </row>
        <row r="9294">
          <cell r="A9294">
            <v>8843037</v>
          </cell>
          <cell r="B9294">
            <v>116805</v>
          </cell>
          <cell r="C9294" t="str">
            <v>Eastnor Parochial Primary School</v>
          </cell>
          <cell r="D9294" t="str">
            <v>Herefordshire</v>
          </cell>
          <cell r="E9294" t="str">
            <v>Voluntary Controlled School</v>
          </cell>
          <cell r="F9294" t="str">
            <v>Primary</v>
          </cell>
        </row>
        <row r="9295">
          <cell r="A9295">
            <v>8133330</v>
          </cell>
          <cell r="B9295">
            <v>118043</v>
          </cell>
          <cell r="C9295" t="str">
            <v>Eastoft Church of England Primary School</v>
          </cell>
          <cell r="D9295" t="str">
            <v>North Lincolnshire</v>
          </cell>
          <cell r="E9295" t="str">
            <v>Voluntary Aided School</v>
          </cell>
          <cell r="F9295" t="str">
            <v>Primary</v>
          </cell>
        </row>
        <row r="9296">
          <cell r="A9296">
            <v>8013301</v>
          </cell>
          <cell r="B9296">
            <v>131525</v>
          </cell>
          <cell r="C9296" t="str">
            <v>Easton Church of England Primary School</v>
          </cell>
          <cell r="D9296" t="str">
            <v>Bristol City of</v>
          </cell>
          <cell r="E9296" t="str">
            <v>Voluntary Aided School</v>
          </cell>
          <cell r="F9296" t="str">
            <v>Primary</v>
          </cell>
        </row>
        <row r="9297">
          <cell r="A9297">
            <v>8013306</v>
          </cell>
          <cell r="B9297">
            <v>109235</v>
          </cell>
          <cell r="C9297" t="str">
            <v>Easton CofE VA Infant School</v>
          </cell>
          <cell r="D9297" t="str">
            <v>Bristol City of</v>
          </cell>
          <cell r="E9297" t="str">
            <v>Voluntary Aided School</v>
          </cell>
          <cell r="F9297" t="str">
            <v>Primary</v>
          </cell>
        </row>
        <row r="9298">
          <cell r="A9298">
            <v>8013305</v>
          </cell>
          <cell r="B9298">
            <v>109234</v>
          </cell>
          <cell r="C9298" t="str">
            <v>Easton CofE VA Junior School</v>
          </cell>
          <cell r="D9298" t="str">
            <v>Bristol City of</v>
          </cell>
          <cell r="E9298" t="str">
            <v>Voluntary Aided School</v>
          </cell>
          <cell r="F9298" t="str">
            <v>Primary</v>
          </cell>
        </row>
        <row r="9299">
          <cell r="A9299">
            <v>9268300</v>
          </cell>
          <cell r="B9299">
            <v>130766</v>
          </cell>
          <cell r="C9299" t="str">
            <v>Easton College</v>
          </cell>
          <cell r="D9299" t="str">
            <v>Norfolk</v>
          </cell>
          <cell r="E9299" t="str">
            <v>Further Education</v>
          </cell>
          <cell r="F9299" t="str">
            <v>16 Plus</v>
          </cell>
        </row>
        <row r="9300">
          <cell r="A9300">
            <v>9352073</v>
          </cell>
          <cell r="B9300">
            <v>124579</v>
          </cell>
          <cell r="C9300" t="str">
            <v>Easton Community Primary School</v>
          </cell>
          <cell r="D9300" t="str">
            <v>Suffolk</v>
          </cell>
          <cell r="E9300" t="str">
            <v>Community School</v>
          </cell>
          <cell r="F9300" t="str">
            <v>Primary</v>
          </cell>
        </row>
        <row r="9301">
          <cell r="A9301">
            <v>9283313</v>
          </cell>
          <cell r="B9301">
            <v>122020</v>
          </cell>
          <cell r="C9301" t="str">
            <v>Easton Garford Endowed CofE School</v>
          </cell>
          <cell r="D9301" t="str">
            <v>Northamptonshire</v>
          </cell>
          <cell r="E9301" t="str">
            <v>Voluntary Aided School</v>
          </cell>
          <cell r="F9301" t="str">
            <v>Primary</v>
          </cell>
        </row>
        <row r="9302">
          <cell r="A9302">
            <v>8652040</v>
          </cell>
          <cell r="B9302">
            <v>126192</v>
          </cell>
          <cell r="C9302" t="str">
            <v>Easton Royal Primary School</v>
          </cell>
          <cell r="D9302" t="str">
            <v>Wiltshire</v>
          </cell>
          <cell r="E9302" t="str">
            <v>Community School</v>
          </cell>
          <cell r="F9302" t="str">
            <v>Primary</v>
          </cell>
        </row>
        <row r="9303">
          <cell r="A9303">
            <v>9332152</v>
          </cell>
          <cell r="B9303">
            <v>123679</v>
          </cell>
          <cell r="C9303" t="str">
            <v>Eastover Community Primary School</v>
          </cell>
          <cell r="D9303" t="str">
            <v>Somerset</v>
          </cell>
          <cell r="E9303" t="str">
            <v>Community School</v>
          </cell>
          <cell r="F9303" t="str">
            <v>Primary</v>
          </cell>
        </row>
        <row r="9304">
          <cell r="A9304">
            <v>8112720</v>
          </cell>
          <cell r="B9304">
            <v>117841</v>
          </cell>
          <cell r="C9304" t="str">
            <v>Eastrington Primary School</v>
          </cell>
          <cell r="D9304" t="str">
            <v>East Riding of Yorkshire</v>
          </cell>
          <cell r="E9304" t="str">
            <v>Community School</v>
          </cell>
          <cell r="F9304" t="str">
            <v>Primary</v>
          </cell>
        </row>
        <row r="9305">
          <cell r="A9305">
            <v>8662200</v>
          </cell>
          <cell r="B9305">
            <v>126272</v>
          </cell>
          <cell r="C9305" t="str">
            <v>Eastrop Infant School</v>
          </cell>
          <cell r="D9305" t="str">
            <v>Swindon</v>
          </cell>
          <cell r="E9305" t="str">
            <v>Community School</v>
          </cell>
          <cell r="F9305" t="str">
            <v>Primary</v>
          </cell>
        </row>
        <row r="9306">
          <cell r="A9306">
            <v>8662200</v>
          </cell>
          <cell r="B9306">
            <v>137365</v>
          </cell>
          <cell r="C9306" t="str">
            <v>Eastrop Infant School</v>
          </cell>
          <cell r="D9306" t="str">
            <v>Swindon</v>
          </cell>
          <cell r="E9306" t="str">
            <v>Academy Converters</v>
          </cell>
          <cell r="F9306" t="str">
            <v>Primary</v>
          </cell>
        </row>
        <row r="9307">
          <cell r="A9307">
            <v>8863167</v>
          </cell>
          <cell r="B9307">
            <v>118685</v>
          </cell>
          <cell r="C9307" t="str">
            <v>Eastry Church of England Primary School</v>
          </cell>
          <cell r="D9307" t="str">
            <v>Kent</v>
          </cell>
          <cell r="E9307" t="str">
            <v>Voluntary Controlled School</v>
          </cell>
          <cell r="F9307" t="str">
            <v>Primary</v>
          </cell>
        </row>
        <row r="9308">
          <cell r="A9308">
            <v>8782207</v>
          </cell>
          <cell r="B9308">
            <v>113130</v>
          </cell>
          <cell r="C9308" t="str">
            <v>East-the-Water Community Primary School</v>
          </cell>
          <cell r="D9308" t="str">
            <v>Devon</v>
          </cell>
          <cell r="E9308" t="str">
            <v>Community School</v>
          </cell>
          <cell r="F9308" t="str">
            <v>Primary</v>
          </cell>
        </row>
        <row r="9309">
          <cell r="A9309">
            <v>3917010</v>
          </cell>
          <cell r="B9309">
            <v>128142</v>
          </cell>
          <cell r="C9309" t="str">
            <v>Eastview School</v>
          </cell>
          <cell r="D9309" t="str">
            <v>Newcastle upon Tyne</v>
          </cell>
          <cell r="E9309" t="str">
            <v>Community Special School</v>
          </cell>
          <cell r="F9309" t="str">
            <v>Special</v>
          </cell>
        </row>
        <row r="9310">
          <cell r="A9310">
            <v>3442112</v>
          </cell>
          <cell r="B9310">
            <v>105001</v>
          </cell>
          <cell r="C9310" t="str">
            <v>Eastway Primary School</v>
          </cell>
          <cell r="D9310" t="str">
            <v>Wirral</v>
          </cell>
          <cell r="E9310" t="str">
            <v>Community School</v>
          </cell>
          <cell r="F9310" t="str">
            <v>Primary</v>
          </cell>
        </row>
        <row r="9311">
          <cell r="A9311">
            <v>9362401</v>
          </cell>
          <cell r="B9311">
            <v>125045</v>
          </cell>
          <cell r="C9311" t="str">
            <v>Eastwick Infant School</v>
          </cell>
          <cell r="D9311" t="str">
            <v>Surrey</v>
          </cell>
          <cell r="E9311" t="str">
            <v>Community School</v>
          </cell>
          <cell r="F9311" t="str">
            <v>Primary</v>
          </cell>
        </row>
        <row r="9312">
          <cell r="A9312">
            <v>9362313</v>
          </cell>
          <cell r="B9312">
            <v>125013</v>
          </cell>
          <cell r="C9312" t="str">
            <v>Eastwick Junior School</v>
          </cell>
          <cell r="D9312" t="str">
            <v>Surrey</v>
          </cell>
          <cell r="E9312" t="str">
            <v>Community School</v>
          </cell>
          <cell r="F9312" t="str">
            <v>Primary</v>
          </cell>
        </row>
        <row r="9313">
          <cell r="A9313">
            <v>8914201</v>
          </cell>
          <cell r="B9313">
            <v>122855</v>
          </cell>
          <cell r="C9313" t="str">
            <v>Eastwood Comprehensive School</v>
          </cell>
          <cell r="D9313" t="str">
            <v>Nottinghamshire</v>
          </cell>
          <cell r="E9313" t="str">
            <v>Community School</v>
          </cell>
          <cell r="F9313" t="str">
            <v>Secondary</v>
          </cell>
        </row>
        <row r="9314">
          <cell r="A9314">
            <v>8306013</v>
          </cell>
          <cell r="B9314">
            <v>113026</v>
          </cell>
          <cell r="C9314" t="str">
            <v>Eastwood Grange School</v>
          </cell>
          <cell r="D9314" t="str">
            <v>Derbyshire</v>
          </cell>
          <cell r="E9314" t="str">
            <v>Other Independent Special School</v>
          </cell>
          <cell r="F9314" t="str">
            <v>Not applicable</v>
          </cell>
        </row>
        <row r="9315">
          <cell r="A9315">
            <v>8825230</v>
          </cell>
          <cell r="B9315">
            <v>115270</v>
          </cell>
          <cell r="C9315" t="str">
            <v>Eastwood Infant and Nursery Foundation School</v>
          </cell>
          <cell r="D9315" t="str">
            <v>Southend-on-Sea</v>
          </cell>
          <cell r="E9315" t="str">
            <v>Foundation School</v>
          </cell>
          <cell r="F9315" t="str">
            <v>Primary</v>
          </cell>
        </row>
        <row r="9316">
          <cell r="A9316">
            <v>8912405</v>
          </cell>
          <cell r="B9316">
            <v>122570</v>
          </cell>
          <cell r="C9316" t="str">
            <v>Eastwood Infant and Nursery School</v>
          </cell>
          <cell r="D9316" t="str">
            <v>Nottinghamshire</v>
          </cell>
          <cell r="E9316" t="str">
            <v>Community School</v>
          </cell>
          <cell r="F9316" t="str">
            <v>Primary</v>
          </cell>
        </row>
        <row r="9317">
          <cell r="A9317">
            <v>8825231</v>
          </cell>
          <cell r="B9317">
            <v>115271</v>
          </cell>
          <cell r="C9317" t="str">
            <v>Eastwood Junior School</v>
          </cell>
          <cell r="D9317" t="str">
            <v>Southend-on-Sea</v>
          </cell>
          <cell r="E9317" t="str">
            <v>Foundation School</v>
          </cell>
          <cell r="F9317" t="str">
            <v>Primary</v>
          </cell>
        </row>
        <row r="9318">
          <cell r="A9318">
            <v>8912404</v>
          </cell>
          <cell r="B9318">
            <v>122569</v>
          </cell>
          <cell r="C9318" t="str">
            <v>Eastwood Junior School</v>
          </cell>
          <cell r="D9318" t="str">
            <v>Nottinghamshire</v>
          </cell>
          <cell r="E9318" t="str">
            <v>Community School</v>
          </cell>
          <cell r="F9318" t="str">
            <v>Primary</v>
          </cell>
        </row>
        <row r="9319">
          <cell r="A9319">
            <v>2121036</v>
          </cell>
          <cell r="B9319">
            <v>100991</v>
          </cell>
          <cell r="C9319" t="str">
            <v>Eastwood Nursery School</v>
          </cell>
          <cell r="D9319" t="str">
            <v>Wandsworth</v>
          </cell>
          <cell r="E9319" t="str">
            <v>LA Nursery School</v>
          </cell>
          <cell r="F9319" t="str">
            <v>Nursery</v>
          </cell>
        </row>
        <row r="9320">
          <cell r="A9320">
            <v>9307015</v>
          </cell>
          <cell r="B9320">
            <v>129740</v>
          </cell>
          <cell r="C9320" t="str">
            <v>Eastwood Parkside School</v>
          </cell>
          <cell r="D9320" t="str">
            <v>Pre LGR (1998) Nottinghamshire</v>
          </cell>
          <cell r="E9320" t="str">
            <v>Community Special School</v>
          </cell>
          <cell r="F9320" t="str">
            <v>Special</v>
          </cell>
        </row>
        <row r="9321">
          <cell r="A9321">
            <v>3802120</v>
          </cell>
          <cell r="B9321">
            <v>107259</v>
          </cell>
          <cell r="C9321" t="str">
            <v>Eastwood Primary School</v>
          </cell>
          <cell r="D9321" t="str">
            <v>Bradford</v>
          </cell>
          <cell r="E9321" t="str">
            <v>Community School</v>
          </cell>
          <cell r="F9321" t="str">
            <v>Primary</v>
          </cell>
        </row>
        <row r="9322">
          <cell r="A9322">
            <v>8823825</v>
          </cell>
          <cell r="B9322">
            <v>134860</v>
          </cell>
          <cell r="C9322" t="str">
            <v>Eastwood Primary School</v>
          </cell>
          <cell r="D9322" t="str">
            <v>Southend-on-Sea</v>
          </cell>
          <cell r="E9322" t="str">
            <v>Foundation School</v>
          </cell>
          <cell r="F9322" t="str">
            <v>Primary</v>
          </cell>
        </row>
        <row r="9323">
          <cell r="A9323">
            <v>3502083</v>
          </cell>
          <cell r="B9323">
            <v>105202</v>
          </cell>
          <cell r="C9323" t="str">
            <v>Eatock Primary School</v>
          </cell>
          <cell r="D9323" t="str">
            <v>Bolton</v>
          </cell>
          <cell r="E9323" t="str">
            <v>Community School</v>
          </cell>
          <cell r="F9323" t="str">
            <v>Primary</v>
          </cell>
        </row>
        <row r="9324">
          <cell r="A9324">
            <v>2136332</v>
          </cell>
          <cell r="B9324">
            <v>126710</v>
          </cell>
          <cell r="C9324" t="str">
            <v>Eaton and Wallis School</v>
          </cell>
          <cell r="D9324" t="str">
            <v>Westminster</v>
          </cell>
          <cell r="E9324" t="str">
            <v>Other Independent School</v>
          </cell>
          <cell r="F9324" t="str">
            <v>Not applicable</v>
          </cell>
        </row>
        <row r="9325">
          <cell r="A9325">
            <v>8954227</v>
          </cell>
          <cell r="B9325">
            <v>132747</v>
          </cell>
          <cell r="C9325" t="str">
            <v>Eaton Bank School</v>
          </cell>
          <cell r="D9325" t="str">
            <v>Cheshire East</v>
          </cell>
          <cell r="E9325" t="str">
            <v>Community School</v>
          </cell>
          <cell r="F9325" t="str">
            <v>Secondary</v>
          </cell>
        </row>
        <row r="9326">
          <cell r="A9326">
            <v>8232042</v>
          </cell>
          <cell r="B9326">
            <v>136539</v>
          </cell>
          <cell r="C9326" t="str">
            <v>Eaton Bray Academy</v>
          </cell>
          <cell r="D9326" t="str">
            <v>Central Bedfordshire</v>
          </cell>
          <cell r="E9326" t="str">
            <v>Academy Converters</v>
          </cell>
          <cell r="F9326" t="str">
            <v>Primary</v>
          </cell>
        </row>
        <row r="9327">
          <cell r="A9327">
            <v>8232042</v>
          </cell>
          <cell r="B9327">
            <v>109447</v>
          </cell>
          <cell r="C9327" t="str">
            <v>Eaton Bray Lower School</v>
          </cell>
          <cell r="D9327" t="str">
            <v>Central Bedfordshire</v>
          </cell>
          <cell r="E9327" t="str">
            <v>Community School</v>
          </cell>
          <cell r="F9327" t="str">
            <v>Primary</v>
          </cell>
        </row>
        <row r="9328">
          <cell r="A9328">
            <v>9267015</v>
          </cell>
          <cell r="B9328">
            <v>121263</v>
          </cell>
          <cell r="C9328" t="str">
            <v>Eaton Hall School, Norwich</v>
          </cell>
          <cell r="D9328" t="str">
            <v>Norfolk</v>
          </cell>
          <cell r="E9328" t="str">
            <v>Community Special School</v>
          </cell>
          <cell r="F9328" t="str">
            <v>Special</v>
          </cell>
        </row>
        <row r="9329">
          <cell r="A9329">
            <v>2076241</v>
          </cell>
          <cell r="B9329">
            <v>100524</v>
          </cell>
          <cell r="C9329" t="str">
            <v>Eaton House - the Vale School</v>
          </cell>
          <cell r="D9329" t="str">
            <v>Kensington and Chelsea</v>
          </cell>
          <cell r="E9329" t="str">
            <v>Other Independent School</v>
          </cell>
          <cell r="F9329" t="str">
            <v>Not applicable</v>
          </cell>
        </row>
        <row r="9330">
          <cell r="A9330">
            <v>2136045</v>
          </cell>
          <cell r="B9330">
            <v>101160</v>
          </cell>
          <cell r="C9330" t="str">
            <v>Eaton House School</v>
          </cell>
          <cell r="D9330" t="str">
            <v>Westminster</v>
          </cell>
          <cell r="E9330" t="str">
            <v>Other Independent School</v>
          </cell>
          <cell r="F9330" t="str">
            <v>Not applicable</v>
          </cell>
        </row>
        <row r="9331">
          <cell r="A9331">
            <v>2126394</v>
          </cell>
          <cell r="B9331">
            <v>101088</v>
          </cell>
          <cell r="C9331" t="str">
            <v>Eaton House the Manor School</v>
          </cell>
          <cell r="D9331" t="str">
            <v>Wandsworth</v>
          </cell>
          <cell r="E9331" t="str">
            <v>Other Independent School</v>
          </cell>
          <cell r="F9331" t="str">
            <v>Not applicable</v>
          </cell>
        </row>
        <row r="9332">
          <cell r="A9332">
            <v>8262133</v>
          </cell>
          <cell r="B9332">
            <v>110262</v>
          </cell>
          <cell r="C9332" t="str">
            <v>Eaton Mill Primary School</v>
          </cell>
          <cell r="D9332" t="str">
            <v>Milton Keynes</v>
          </cell>
          <cell r="E9332" t="str">
            <v>Foundation School</v>
          </cell>
          <cell r="F9332" t="str">
            <v>Primary</v>
          </cell>
        </row>
        <row r="9333">
          <cell r="A9333">
            <v>8612106</v>
          </cell>
          <cell r="B9333">
            <v>124022</v>
          </cell>
          <cell r="C9333" t="str">
            <v>Eaton Park Primary School</v>
          </cell>
          <cell r="D9333" t="str">
            <v>Stoke-on-Trent</v>
          </cell>
          <cell r="E9333" t="str">
            <v>Community School</v>
          </cell>
          <cell r="F9333" t="str">
            <v>Primary</v>
          </cell>
        </row>
        <row r="9334">
          <cell r="A9334">
            <v>8962178</v>
          </cell>
          <cell r="B9334">
            <v>111047</v>
          </cell>
          <cell r="C9334" t="str">
            <v>Eaton Primary School</v>
          </cell>
          <cell r="D9334" t="str">
            <v>Cheshire West and Chester</v>
          </cell>
          <cell r="E9334" t="str">
            <v>Community School</v>
          </cell>
          <cell r="F9334" t="str">
            <v>Primary</v>
          </cell>
        </row>
        <row r="9335">
          <cell r="A9335">
            <v>9263426</v>
          </cell>
          <cell r="B9335">
            <v>134962</v>
          </cell>
          <cell r="C9335" t="str">
            <v>Eaton Primary School</v>
          </cell>
          <cell r="D9335" t="str">
            <v>Norfolk</v>
          </cell>
          <cell r="E9335" t="str">
            <v>Community School</v>
          </cell>
          <cell r="F9335" t="str">
            <v>Primary</v>
          </cell>
        </row>
        <row r="9336">
          <cell r="A9336">
            <v>2136370</v>
          </cell>
          <cell r="B9336">
            <v>101178</v>
          </cell>
          <cell r="C9336" t="str">
            <v>Eaton Square School</v>
          </cell>
          <cell r="D9336" t="str">
            <v>Westminster</v>
          </cell>
          <cell r="E9336" t="str">
            <v>Other Independent School</v>
          </cell>
          <cell r="F9336" t="str">
            <v>Not applicable</v>
          </cell>
        </row>
        <row r="9337">
          <cell r="A9337">
            <v>3332072</v>
          </cell>
          <cell r="B9337">
            <v>103923</v>
          </cell>
          <cell r="C9337" t="str">
            <v>Eaton Valley Primary School</v>
          </cell>
          <cell r="D9337" t="str">
            <v>Sandwell</v>
          </cell>
          <cell r="E9337" t="str">
            <v>Community School</v>
          </cell>
          <cell r="F9337" t="str">
            <v>Primary</v>
          </cell>
        </row>
        <row r="9338">
          <cell r="A9338">
            <v>3422020</v>
          </cell>
          <cell r="B9338">
            <v>104770</v>
          </cell>
          <cell r="C9338" t="str">
            <v>Eaves Primary School</v>
          </cell>
          <cell r="D9338" t="str">
            <v>St. Helens</v>
          </cell>
          <cell r="E9338" t="str">
            <v>Community School</v>
          </cell>
          <cell r="F9338" t="str">
            <v>Primary</v>
          </cell>
        </row>
        <row r="9339">
          <cell r="A9339">
            <v>6774067</v>
          </cell>
          <cell r="B9339">
            <v>401848</v>
          </cell>
          <cell r="C9339" t="str">
            <v>Ebbw Vale Comprehensive School</v>
          </cell>
          <cell r="D9339" t="str">
            <v>Blaenau Gwent</v>
          </cell>
          <cell r="E9339" t="str">
            <v>Welsh Establishment</v>
          </cell>
          <cell r="F9339" t="str">
            <v>Secondary</v>
          </cell>
        </row>
        <row r="9340">
          <cell r="A9340">
            <v>8403063</v>
          </cell>
          <cell r="B9340">
            <v>114214</v>
          </cell>
          <cell r="C9340" t="str">
            <v>Ebchester CofE Primary School</v>
          </cell>
          <cell r="D9340" t="str">
            <v>Durham</v>
          </cell>
          <cell r="E9340" t="str">
            <v>Voluntary Controlled School</v>
          </cell>
          <cell r="F9340" t="str">
            <v>Primary</v>
          </cell>
        </row>
        <row r="9341">
          <cell r="A9341">
            <v>8866128</v>
          </cell>
          <cell r="B9341">
            <v>135549</v>
          </cell>
          <cell r="C9341" t="str">
            <v>Ebenezer House</v>
          </cell>
          <cell r="D9341" t="str">
            <v>Kent</v>
          </cell>
          <cell r="E9341" t="str">
            <v>Other Independent School</v>
          </cell>
          <cell r="F9341" t="str">
            <v>Not applicable</v>
          </cell>
        </row>
        <row r="9342">
          <cell r="A9342">
            <v>9166084</v>
          </cell>
          <cell r="B9342">
            <v>135570</v>
          </cell>
          <cell r="C9342" t="str">
            <v>Ebley House School</v>
          </cell>
          <cell r="D9342" t="str">
            <v>Gloucestershire</v>
          </cell>
          <cell r="E9342" t="str">
            <v>Other Independent School</v>
          </cell>
          <cell r="F9342" t="str">
            <v>Not applicable</v>
          </cell>
        </row>
        <row r="9343">
          <cell r="A9343">
            <v>3832075</v>
          </cell>
          <cell r="B9343">
            <v>127823</v>
          </cell>
          <cell r="C9343" t="str">
            <v>Ebor Gardens First School</v>
          </cell>
          <cell r="D9343" t="str">
            <v>Leeds</v>
          </cell>
          <cell r="E9343" t="str">
            <v>Community School</v>
          </cell>
          <cell r="F9343" t="str">
            <v>Primary</v>
          </cell>
        </row>
        <row r="9344">
          <cell r="A9344">
            <v>3832446</v>
          </cell>
          <cell r="B9344">
            <v>107922</v>
          </cell>
          <cell r="C9344" t="str">
            <v>Ebor Gardens Primary School</v>
          </cell>
          <cell r="D9344" t="str">
            <v>Leeds</v>
          </cell>
          <cell r="E9344" t="str">
            <v>Community School</v>
          </cell>
          <cell r="F9344" t="str">
            <v>Primary</v>
          </cell>
        </row>
        <row r="9345">
          <cell r="A9345">
            <v>2116398</v>
          </cell>
          <cell r="B9345">
            <v>136129</v>
          </cell>
          <cell r="C9345" t="str">
            <v>Ebrahim Academy</v>
          </cell>
          <cell r="D9345" t="str">
            <v>Tower Hamlets</v>
          </cell>
          <cell r="E9345" t="str">
            <v>Other Independent School</v>
          </cell>
          <cell r="F9345" t="str">
            <v>Not applicable</v>
          </cell>
        </row>
        <row r="9346">
          <cell r="A9346">
            <v>3312066</v>
          </cell>
          <cell r="B9346">
            <v>103654</v>
          </cell>
          <cell r="C9346" t="str">
            <v>Eburne Primary School</v>
          </cell>
          <cell r="D9346" t="str">
            <v>Coventry</v>
          </cell>
          <cell r="E9346" t="str">
            <v>Community School</v>
          </cell>
          <cell r="F9346" t="str">
            <v>Primary</v>
          </cell>
        </row>
        <row r="9347">
          <cell r="A9347">
            <v>8503050</v>
          </cell>
          <cell r="B9347">
            <v>116285</v>
          </cell>
          <cell r="C9347" t="str">
            <v>Ecchinswell and Sydmonton Church of England Primary School</v>
          </cell>
          <cell r="D9347" t="str">
            <v>Hampshire</v>
          </cell>
          <cell r="E9347" t="str">
            <v>Voluntary Controlled School</v>
          </cell>
          <cell r="F9347" t="str">
            <v>Primary</v>
          </cell>
        </row>
        <row r="9348">
          <cell r="A9348">
            <v>3551102</v>
          </cell>
          <cell r="B9348">
            <v>132742</v>
          </cell>
          <cell r="C9348" t="str">
            <v>Eccles and Irlam Pupil Referral Unit</v>
          </cell>
          <cell r="D9348" t="str">
            <v>Salford</v>
          </cell>
          <cell r="E9348" t="str">
            <v>Pupil Referral Unit</v>
          </cell>
          <cell r="F9348" t="str">
            <v>PRU</v>
          </cell>
        </row>
        <row r="9349">
          <cell r="A9349">
            <v>3554045</v>
          </cell>
          <cell r="B9349">
            <v>127485</v>
          </cell>
          <cell r="C9349" t="str">
            <v>Eccles College</v>
          </cell>
          <cell r="D9349" t="str">
            <v>Salford</v>
          </cell>
          <cell r="E9349" t="str">
            <v>Community School</v>
          </cell>
          <cell r="F9349" t="str">
            <v>Secondary</v>
          </cell>
        </row>
        <row r="9350">
          <cell r="A9350">
            <v>3558601</v>
          </cell>
          <cell r="B9350">
            <v>130510</v>
          </cell>
          <cell r="C9350" t="str">
            <v>Eccles College</v>
          </cell>
          <cell r="D9350" t="str">
            <v>Salford</v>
          </cell>
          <cell r="E9350" t="str">
            <v>Further Education</v>
          </cell>
          <cell r="F9350" t="str">
            <v>16 Plus</v>
          </cell>
        </row>
        <row r="9351">
          <cell r="A9351">
            <v>9263320</v>
          </cell>
          <cell r="B9351">
            <v>121116</v>
          </cell>
          <cell r="C9351" t="str">
            <v>Eccles, Hargham and Wilby CofE Primary School</v>
          </cell>
          <cell r="D9351" t="str">
            <v>Norfolk</v>
          </cell>
          <cell r="E9351" t="str">
            <v>Voluntary Aided School</v>
          </cell>
          <cell r="F9351" t="str">
            <v>Primary</v>
          </cell>
        </row>
        <row r="9352">
          <cell r="A9352">
            <v>3733008</v>
          </cell>
          <cell r="B9352">
            <v>107105</v>
          </cell>
          <cell r="C9352" t="str">
            <v>Ecclesall Church of England Junior School</v>
          </cell>
          <cell r="D9352" t="str">
            <v>Sheffield</v>
          </cell>
          <cell r="E9352" t="str">
            <v>Voluntary Controlled School</v>
          </cell>
          <cell r="F9352" t="str">
            <v>Primary</v>
          </cell>
        </row>
        <row r="9353">
          <cell r="A9353">
            <v>3732206</v>
          </cell>
          <cell r="B9353">
            <v>107025</v>
          </cell>
          <cell r="C9353" t="str">
            <v>Ecclesall Infant School</v>
          </cell>
          <cell r="D9353" t="str">
            <v>Sheffield</v>
          </cell>
          <cell r="E9353" t="str">
            <v>Community School</v>
          </cell>
          <cell r="F9353" t="str">
            <v>Primary</v>
          </cell>
        </row>
        <row r="9354">
          <cell r="A9354">
            <v>2061102</v>
          </cell>
          <cell r="B9354">
            <v>100389</v>
          </cell>
          <cell r="C9354" t="str">
            <v>Ecclesbourne Class Base (East)</v>
          </cell>
          <cell r="D9354" t="str">
            <v>Islington</v>
          </cell>
          <cell r="E9354" t="str">
            <v>Pupil Referral Unit</v>
          </cell>
          <cell r="F9354" t="str">
            <v>PRU</v>
          </cell>
        </row>
        <row r="9355">
          <cell r="A9355">
            <v>3062011</v>
          </cell>
          <cell r="B9355">
            <v>101719</v>
          </cell>
          <cell r="C9355" t="str">
            <v>Ecclesbourne Infant School</v>
          </cell>
          <cell r="D9355" t="str">
            <v>Croydon</v>
          </cell>
          <cell r="E9355" t="str">
            <v>Community School</v>
          </cell>
          <cell r="F9355" t="str">
            <v>Primary</v>
          </cell>
        </row>
        <row r="9356">
          <cell r="A9356">
            <v>3062092</v>
          </cell>
          <cell r="B9356">
            <v>101777</v>
          </cell>
          <cell r="C9356" t="str">
            <v>Ecclesbourne Junior School</v>
          </cell>
          <cell r="D9356" t="str">
            <v>Croydon</v>
          </cell>
          <cell r="E9356" t="str">
            <v>Community School</v>
          </cell>
          <cell r="F9356" t="str">
            <v>Primary</v>
          </cell>
        </row>
        <row r="9357">
          <cell r="A9357">
            <v>2062182</v>
          </cell>
          <cell r="B9357">
            <v>100404</v>
          </cell>
          <cell r="C9357" t="str">
            <v>Ecclesbourne Primary School</v>
          </cell>
          <cell r="D9357" t="str">
            <v>Islington</v>
          </cell>
          <cell r="E9357" t="str">
            <v>Community School</v>
          </cell>
          <cell r="F9357" t="str">
            <v>Primary</v>
          </cell>
        </row>
        <row r="9358">
          <cell r="A9358">
            <v>3063419</v>
          </cell>
          <cell r="B9358">
            <v>135811</v>
          </cell>
          <cell r="C9358" t="str">
            <v>Ecclesbourne Primary School</v>
          </cell>
          <cell r="D9358" t="str">
            <v>Croydon</v>
          </cell>
          <cell r="E9358" t="str">
            <v>Community School</v>
          </cell>
          <cell r="F9358" t="str">
            <v>Primary</v>
          </cell>
        </row>
        <row r="9359">
          <cell r="A9359">
            <v>3063419</v>
          </cell>
          <cell r="B9359">
            <v>136566</v>
          </cell>
          <cell r="C9359" t="str">
            <v>Ecclesbourne Primary School</v>
          </cell>
          <cell r="D9359" t="str">
            <v>Croydon</v>
          </cell>
          <cell r="E9359" t="str">
            <v>Academy Converters</v>
          </cell>
          <cell r="F9359" t="str">
            <v>Primary</v>
          </cell>
        </row>
        <row r="9360">
          <cell r="A9360">
            <v>3732080</v>
          </cell>
          <cell r="B9360">
            <v>107001</v>
          </cell>
          <cell r="C9360" t="str">
            <v>Ecclesfield Primary School</v>
          </cell>
          <cell r="D9360" t="str">
            <v>Sheffield</v>
          </cell>
          <cell r="E9360" t="str">
            <v>Community School</v>
          </cell>
          <cell r="F9360" t="str">
            <v>Primary</v>
          </cell>
        </row>
        <row r="9361">
          <cell r="A9361">
            <v>3734270</v>
          </cell>
          <cell r="B9361">
            <v>107142</v>
          </cell>
          <cell r="C9361" t="str">
            <v>Ecclesfield School</v>
          </cell>
          <cell r="D9361" t="str">
            <v>Sheffield</v>
          </cell>
          <cell r="E9361" t="str">
            <v>Community School</v>
          </cell>
          <cell r="F9361" t="str">
            <v>Secondary</v>
          </cell>
        </row>
        <row r="9362">
          <cell r="A9362">
            <v>3732300</v>
          </cell>
          <cell r="B9362">
            <v>127705</v>
          </cell>
          <cell r="C9362" t="str">
            <v>Ecclesfield Town Infant School</v>
          </cell>
          <cell r="D9362" t="str">
            <v>Sheffield</v>
          </cell>
          <cell r="E9362" t="str">
            <v>Community School</v>
          </cell>
          <cell r="F9362" t="str">
            <v>Primary</v>
          </cell>
        </row>
        <row r="9363">
          <cell r="A9363">
            <v>3732307</v>
          </cell>
          <cell r="B9363">
            <v>127708</v>
          </cell>
          <cell r="C9363" t="str">
            <v>Ecclesfield Town Junior School</v>
          </cell>
          <cell r="D9363" t="str">
            <v>Sheffield</v>
          </cell>
          <cell r="E9363" t="str">
            <v>Community School</v>
          </cell>
          <cell r="F9363" t="str">
            <v>Primary</v>
          </cell>
        </row>
        <row r="9364">
          <cell r="A9364">
            <v>9344504</v>
          </cell>
          <cell r="B9364">
            <v>129950</v>
          </cell>
          <cell r="C9364" t="str">
            <v>Eccleshall CofE Middle School</v>
          </cell>
          <cell r="D9364" t="str">
            <v>Pre LGR (1997) Staffordshire</v>
          </cell>
          <cell r="E9364" t="str">
            <v>Voluntary Controlled School</v>
          </cell>
          <cell r="F9364" t="str">
            <v>Middle Deemed Secondary</v>
          </cell>
        </row>
        <row r="9365">
          <cell r="A9365">
            <v>3804051</v>
          </cell>
          <cell r="B9365">
            <v>107375</v>
          </cell>
          <cell r="C9365" t="str">
            <v>Eccleshill North Middle School</v>
          </cell>
          <cell r="D9365" t="str">
            <v>Bradford</v>
          </cell>
          <cell r="E9365" t="str">
            <v>Community School</v>
          </cell>
          <cell r="F9365" t="str">
            <v>Middle Deemed Secondary</v>
          </cell>
        </row>
        <row r="9366">
          <cell r="A9366">
            <v>3804031</v>
          </cell>
          <cell r="B9366">
            <v>107362</v>
          </cell>
          <cell r="C9366" t="str">
            <v>Eccleshill Upper School</v>
          </cell>
          <cell r="D9366" t="str">
            <v>Bradford</v>
          </cell>
          <cell r="E9366" t="str">
            <v>Community School</v>
          </cell>
          <cell r="F9366" t="str">
            <v>Secondary</v>
          </cell>
        </row>
        <row r="9367">
          <cell r="A9367">
            <v>8963550</v>
          </cell>
          <cell r="B9367">
            <v>111349</v>
          </cell>
          <cell r="C9367" t="str">
            <v>Eccleston CofE Primary School</v>
          </cell>
          <cell r="D9367" t="str">
            <v>Cheshire West and Chester</v>
          </cell>
          <cell r="E9367" t="str">
            <v>Voluntary Aided School</v>
          </cell>
          <cell r="F9367" t="str">
            <v>Primary</v>
          </cell>
        </row>
        <row r="9368">
          <cell r="A9368">
            <v>3423109</v>
          </cell>
          <cell r="B9368">
            <v>104788</v>
          </cell>
          <cell r="C9368" t="str">
            <v>Eccleston Lane Ends Primary School</v>
          </cell>
          <cell r="D9368" t="str">
            <v>St. Helens</v>
          </cell>
          <cell r="E9368" t="str">
            <v>Voluntary Controlled School</v>
          </cell>
          <cell r="F9368" t="str">
            <v>Primary</v>
          </cell>
        </row>
        <row r="9369">
          <cell r="A9369">
            <v>3422066</v>
          </cell>
          <cell r="B9369">
            <v>104783</v>
          </cell>
          <cell r="C9369" t="str">
            <v>Eccleston Mere Primary School</v>
          </cell>
          <cell r="D9369" t="str">
            <v>St. Helens</v>
          </cell>
          <cell r="E9369" t="str">
            <v>Community School</v>
          </cell>
          <cell r="F9369" t="str">
            <v>Primary</v>
          </cell>
        </row>
        <row r="9370">
          <cell r="A9370">
            <v>8882574</v>
          </cell>
          <cell r="B9370">
            <v>119310</v>
          </cell>
          <cell r="C9370" t="str">
            <v>Eccleston Primary School</v>
          </cell>
          <cell r="D9370" t="str">
            <v>Lancashire</v>
          </cell>
          <cell r="E9370" t="str">
            <v>Community School</v>
          </cell>
          <cell r="F9370" t="str">
            <v>Primary</v>
          </cell>
        </row>
        <row r="9371">
          <cell r="A9371">
            <v>3306023</v>
          </cell>
          <cell r="B9371">
            <v>103571</v>
          </cell>
          <cell r="C9371" t="str">
            <v>Eccleston School</v>
          </cell>
          <cell r="D9371" t="str">
            <v>Birmingham</v>
          </cell>
          <cell r="E9371" t="str">
            <v>Other Independent School</v>
          </cell>
          <cell r="F9371" t="str">
            <v>Not applicable</v>
          </cell>
        </row>
        <row r="9372">
          <cell r="A9372">
            <v>8883406</v>
          </cell>
          <cell r="B9372">
            <v>119472</v>
          </cell>
          <cell r="C9372" t="str">
            <v>Eccleston St Mary's Church of England Primary School</v>
          </cell>
          <cell r="D9372" t="str">
            <v>Lancashire</v>
          </cell>
          <cell r="E9372" t="str">
            <v>Voluntary Aided School</v>
          </cell>
          <cell r="F9372" t="str">
            <v>Primary</v>
          </cell>
        </row>
        <row r="9373">
          <cell r="A9373">
            <v>8853038</v>
          </cell>
          <cell r="B9373">
            <v>116806</v>
          </cell>
          <cell r="C9373" t="str">
            <v>Eckington CofE First School</v>
          </cell>
          <cell r="D9373" t="str">
            <v>Worcestershire</v>
          </cell>
          <cell r="E9373" t="str">
            <v>Voluntary Controlled School</v>
          </cell>
          <cell r="F9373" t="str">
            <v>Primary</v>
          </cell>
        </row>
        <row r="9374">
          <cell r="A9374">
            <v>8302093</v>
          </cell>
          <cell r="B9374">
            <v>112542</v>
          </cell>
          <cell r="C9374" t="str">
            <v>Eckington Junior School</v>
          </cell>
          <cell r="D9374" t="str">
            <v>Derbyshire</v>
          </cell>
          <cell r="E9374" t="str">
            <v>Community School</v>
          </cell>
          <cell r="F9374" t="str">
            <v>Primary</v>
          </cell>
        </row>
        <row r="9375">
          <cell r="A9375">
            <v>8304126</v>
          </cell>
          <cell r="B9375">
            <v>112943</v>
          </cell>
          <cell r="C9375" t="str">
            <v>Eckington School</v>
          </cell>
          <cell r="D9375" t="str">
            <v>Derbyshire</v>
          </cell>
          <cell r="E9375" t="str">
            <v>Community School</v>
          </cell>
          <cell r="F9375" t="str">
            <v>Secondary</v>
          </cell>
        </row>
        <row r="9376">
          <cell r="A9376">
            <v>2086409</v>
          </cell>
          <cell r="B9376">
            <v>134812</v>
          </cell>
          <cell r="C9376" t="str">
            <v>Ecole Du Parc</v>
          </cell>
          <cell r="D9376" t="str">
            <v>Lambeth</v>
          </cell>
          <cell r="E9376" t="str">
            <v>Other Independent School</v>
          </cell>
          <cell r="F9376" t="str">
            <v>Not applicable</v>
          </cell>
        </row>
        <row r="9377">
          <cell r="A9377">
            <v>2056359</v>
          </cell>
          <cell r="B9377">
            <v>100371</v>
          </cell>
          <cell r="C9377" t="str">
            <v>Ecole Francaise Jacques Prevert</v>
          </cell>
          <cell r="D9377" t="str">
            <v>Hammersmith and Fulham</v>
          </cell>
          <cell r="E9377" t="str">
            <v>Other Independent School</v>
          </cell>
          <cell r="F9377" t="str">
            <v>Not applicable</v>
          </cell>
        </row>
        <row r="9378">
          <cell r="A9378">
            <v>7046007</v>
          </cell>
          <cell r="B9378">
            <v>133022</v>
          </cell>
          <cell r="C9378" t="str">
            <v>Ecole Sitatunga</v>
          </cell>
          <cell r="D9378" t="str">
            <v>Fieldwork Overseas Establishments</v>
          </cell>
          <cell r="E9378" t="str">
            <v>Service Childrens Education</v>
          </cell>
          <cell r="F9378" t="str">
            <v>Not applicable</v>
          </cell>
        </row>
        <row r="9379">
          <cell r="A9379">
            <v>7046008</v>
          </cell>
          <cell r="B9379">
            <v>132573</v>
          </cell>
          <cell r="C9379" t="str">
            <v>Ecole Yenzi</v>
          </cell>
          <cell r="D9379" t="str">
            <v>Fieldwork Overseas Establishments</v>
          </cell>
          <cell r="E9379" t="str">
            <v>Service Childrens Education</v>
          </cell>
          <cell r="F9379" t="str">
            <v>Not applicable</v>
          </cell>
        </row>
        <row r="9380">
          <cell r="A9380">
            <v>9284096</v>
          </cell>
          <cell r="B9380">
            <v>122091</v>
          </cell>
          <cell r="C9380" t="str">
            <v>Ecton Brook Middle School</v>
          </cell>
          <cell r="D9380" t="str">
            <v>Northamptonshire</v>
          </cell>
          <cell r="E9380" t="str">
            <v>Community School</v>
          </cell>
          <cell r="F9380" t="str">
            <v>Middle Deemed Secondary</v>
          </cell>
        </row>
        <row r="9381">
          <cell r="A9381">
            <v>9282209</v>
          </cell>
          <cell r="B9381">
            <v>121944</v>
          </cell>
          <cell r="C9381" t="str">
            <v>Ecton Brook Primary School</v>
          </cell>
          <cell r="D9381" t="str">
            <v>Northamptonshire</v>
          </cell>
          <cell r="E9381" t="str">
            <v>Community School</v>
          </cell>
          <cell r="F9381" t="str">
            <v>Primary</v>
          </cell>
        </row>
        <row r="9382">
          <cell r="A9382">
            <v>9282035</v>
          </cell>
          <cell r="B9382">
            <v>121818</v>
          </cell>
          <cell r="C9382" t="str">
            <v>Ecton Village Primary School</v>
          </cell>
          <cell r="D9382" t="str">
            <v>Northamptonshire</v>
          </cell>
          <cell r="E9382" t="str">
            <v>Community School</v>
          </cell>
          <cell r="F9382" t="str">
            <v>Primary</v>
          </cell>
        </row>
        <row r="9383">
          <cell r="A9383">
            <v>8303030</v>
          </cell>
          <cell r="B9383">
            <v>112813</v>
          </cell>
          <cell r="C9383" t="str">
            <v>Edale CofE Primary School</v>
          </cell>
          <cell r="D9383" t="str">
            <v>Derbyshire</v>
          </cell>
          <cell r="E9383" t="str">
            <v>Voluntary Controlled School</v>
          </cell>
          <cell r="F9383" t="str">
            <v>Primary</v>
          </cell>
        </row>
        <row r="9384">
          <cell r="A9384">
            <v>8922099</v>
          </cell>
          <cell r="B9384">
            <v>122446</v>
          </cell>
          <cell r="C9384" t="str">
            <v>Edale Rise Primary &amp; Nursery School</v>
          </cell>
          <cell r="D9384" t="str">
            <v>Nottingham</v>
          </cell>
          <cell r="E9384" t="str">
            <v>Community School</v>
          </cell>
          <cell r="F9384" t="str">
            <v>Primary</v>
          </cell>
        </row>
        <row r="9385">
          <cell r="A9385">
            <v>9096010</v>
          </cell>
          <cell r="B9385">
            <v>112447</v>
          </cell>
          <cell r="C9385" t="str">
            <v>Eden Grove School</v>
          </cell>
          <cell r="D9385" t="str">
            <v>Cumbria</v>
          </cell>
          <cell r="E9385" t="str">
            <v>Other Independent Special School</v>
          </cell>
          <cell r="F9385" t="str">
            <v>Not applicable</v>
          </cell>
        </row>
        <row r="9386">
          <cell r="A9386">
            <v>8402502</v>
          </cell>
          <cell r="B9386">
            <v>114142</v>
          </cell>
          <cell r="C9386" t="str">
            <v>Eden Hall Infant School</v>
          </cell>
          <cell r="D9386" t="str">
            <v>Durham</v>
          </cell>
          <cell r="E9386" t="str">
            <v>Community School</v>
          </cell>
          <cell r="F9386" t="str">
            <v>Primary</v>
          </cell>
        </row>
        <row r="9387">
          <cell r="A9387">
            <v>8402501</v>
          </cell>
          <cell r="B9387">
            <v>114141</v>
          </cell>
          <cell r="C9387" t="str">
            <v>Eden Hall Junior School</v>
          </cell>
          <cell r="D9387" t="str">
            <v>Durham</v>
          </cell>
          <cell r="E9387" t="str">
            <v>Community School</v>
          </cell>
          <cell r="F9387" t="str">
            <v>Primary</v>
          </cell>
        </row>
        <row r="9388">
          <cell r="A9388">
            <v>3076084</v>
          </cell>
          <cell r="B9388">
            <v>101964</v>
          </cell>
          <cell r="C9388" t="str">
            <v>Eden Independent School</v>
          </cell>
          <cell r="D9388" t="str">
            <v>Ealing</v>
          </cell>
          <cell r="E9388" t="str">
            <v>Other Independent School</v>
          </cell>
          <cell r="F9388" t="str">
            <v>Not applicable</v>
          </cell>
        </row>
        <row r="9389">
          <cell r="A9389">
            <v>3056056</v>
          </cell>
          <cell r="B9389">
            <v>101688</v>
          </cell>
          <cell r="C9389" t="str">
            <v>Eden Park and Elmhurst Schools</v>
          </cell>
          <cell r="D9389" t="str">
            <v>Bromley</v>
          </cell>
          <cell r="E9389" t="str">
            <v>Other Independent School</v>
          </cell>
          <cell r="F9389" t="str">
            <v>Not applicable</v>
          </cell>
        </row>
        <row r="9390">
          <cell r="A9390">
            <v>8802405</v>
          </cell>
          <cell r="B9390">
            <v>113188</v>
          </cell>
          <cell r="C9390" t="str">
            <v>Eden Park Infants' and Nursery School</v>
          </cell>
          <cell r="D9390" t="str">
            <v>Torbay</v>
          </cell>
          <cell r="E9390" t="str">
            <v>Community School</v>
          </cell>
          <cell r="F9390" t="str">
            <v>Primary</v>
          </cell>
        </row>
        <row r="9391">
          <cell r="A9391">
            <v>8802406</v>
          </cell>
          <cell r="B9391">
            <v>113189</v>
          </cell>
          <cell r="C9391" t="str">
            <v>Eden Park Junior School</v>
          </cell>
          <cell r="D9391" t="str">
            <v>Torbay</v>
          </cell>
          <cell r="E9391" t="str">
            <v>Community School</v>
          </cell>
          <cell r="F9391" t="str">
            <v>Primary</v>
          </cell>
        </row>
        <row r="9392">
          <cell r="A9392">
            <v>8803751</v>
          </cell>
          <cell r="B9392">
            <v>134775</v>
          </cell>
          <cell r="C9392" t="str">
            <v>Eden Park Primary School</v>
          </cell>
          <cell r="D9392" t="str">
            <v>Torbay</v>
          </cell>
          <cell r="E9392" t="str">
            <v>Community School</v>
          </cell>
          <cell r="F9392" t="str">
            <v>Primary</v>
          </cell>
        </row>
        <row r="9393">
          <cell r="A9393">
            <v>8803751</v>
          </cell>
          <cell r="B9393">
            <v>136892</v>
          </cell>
          <cell r="C9393" t="str">
            <v>Eden Park Primary School Academy</v>
          </cell>
          <cell r="D9393" t="str">
            <v>Torbay</v>
          </cell>
          <cell r="E9393" t="str">
            <v>Academy Converters</v>
          </cell>
          <cell r="F9393" t="str">
            <v>Primary</v>
          </cell>
        </row>
        <row r="9394">
          <cell r="A9394">
            <v>3092011</v>
          </cell>
          <cell r="B9394">
            <v>136808</v>
          </cell>
          <cell r="C9394" t="str">
            <v>Eden Primary</v>
          </cell>
          <cell r="D9394" t="str">
            <v>Haringey</v>
          </cell>
          <cell r="E9394" t="str">
            <v>Academy Free Schools</v>
          </cell>
          <cell r="F9394" t="str">
            <v>Primary</v>
          </cell>
        </row>
        <row r="9395">
          <cell r="A9395">
            <v>9094004</v>
          </cell>
          <cell r="B9395">
            <v>128602</v>
          </cell>
          <cell r="C9395" t="str">
            <v>Eden School</v>
          </cell>
          <cell r="D9395" t="str">
            <v>Cumbria</v>
          </cell>
          <cell r="E9395" t="str">
            <v>Community School</v>
          </cell>
          <cell r="F9395" t="str">
            <v>Secondary</v>
          </cell>
        </row>
        <row r="9396">
          <cell r="A9396">
            <v>9224241</v>
          </cell>
          <cell r="B9396">
            <v>129439</v>
          </cell>
          <cell r="C9396" t="str">
            <v>Edenbridge Middle School</v>
          </cell>
          <cell r="D9396" t="str">
            <v>Pre LGR (1998) Kent</v>
          </cell>
          <cell r="E9396" t="str">
            <v>Community School</v>
          </cell>
          <cell r="F9396" t="str">
            <v>Middle Deemed Secondary</v>
          </cell>
        </row>
        <row r="9397">
          <cell r="A9397">
            <v>8862636</v>
          </cell>
          <cell r="B9397">
            <v>118554</v>
          </cell>
          <cell r="C9397" t="str">
            <v>Edenbridge Primary School</v>
          </cell>
          <cell r="D9397" t="str">
            <v>Kent</v>
          </cell>
          <cell r="E9397" t="str">
            <v>Community School</v>
          </cell>
          <cell r="F9397" t="str">
            <v>Primary</v>
          </cell>
        </row>
        <row r="9398">
          <cell r="A9398">
            <v>8883099</v>
          </cell>
          <cell r="B9398">
            <v>119385</v>
          </cell>
          <cell r="C9398" t="str">
            <v>Edenfield Church of England Primary School</v>
          </cell>
          <cell r="D9398" t="str">
            <v>Lancashire</v>
          </cell>
          <cell r="E9398" t="str">
            <v>Voluntary Controlled School</v>
          </cell>
          <cell r="F9398" t="str">
            <v>Primary</v>
          </cell>
        </row>
        <row r="9399">
          <cell r="A9399">
            <v>3065401</v>
          </cell>
          <cell r="B9399">
            <v>101819</v>
          </cell>
          <cell r="C9399" t="str">
            <v>Edenham High School</v>
          </cell>
          <cell r="D9399" t="str">
            <v>Croydon</v>
          </cell>
          <cell r="E9399" t="str">
            <v>Foundation School</v>
          </cell>
          <cell r="F9399" t="str">
            <v>Secondary</v>
          </cell>
        </row>
        <row r="9400">
          <cell r="A9400">
            <v>8606018</v>
          </cell>
          <cell r="B9400">
            <v>124481</v>
          </cell>
          <cell r="C9400" t="str">
            <v>Edenhurst Preparatory School</v>
          </cell>
          <cell r="D9400" t="str">
            <v>Staffordshire</v>
          </cell>
          <cell r="E9400" t="str">
            <v>Other Independent School</v>
          </cell>
          <cell r="F9400" t="str">
            <v>Not applicable</v>
          </cell>
        </row>
        <row r="9401">
          <cell r="A9401">
            <v>8614023</v>
          </cell>
          <cell r="B9401">
            <v>124382</v>
          </cell>
          <cell r="C9401" t="str">
            <v>Edensor Technology College</v>
          </cell>
          <cell r="D9401" t="str">
            <v>Stoke-on-Trent</v>
          </cell>
          <cell r="E9401" t="str">
            <v>Community School</v>
          </cell>
          <cell r="F9401" t="str">
            <v>Secondary</v>
          </cell>
        </row>
        <row r="9402">
          <cell r="A9402">
            <v>3712062</v>
          </cell>
          <cell r="B9402">
            <v>106675</v>
          </cell>
          <cell r="C9402" t="str">
            <v>Edenthorpe Hall Primary School</v>
          </cell>
          <cell r="D9402" t="str">
            <v>Doncaster</v>
          </cell>
          <cell r="E9402" t="str">
            <v>Community School</v>
          </cell>
          <cell r="F9402" t="str">
            <v>Primary</v>
          </cell>
        </row>
        <row r="9403">
          <cell r="A9403">
            <v>9352080</v>
          </cell>
          <cell r="B9403">
            <v>124585</v>
          </cell>
          <cell r="C9403" t="str">
            <v>Edgar Sewter Community Primary School</v>
          </cell>
          <cell r="D9403" t="str">
            <v>Suffolk</v>
          </cell>
          <cell r="E9403" t="str">
            <v>Community School</v>
          </cell>
          <cell r="F9403" t="str">
            <v>Primary</v>
          </cell>
        </row>
        <row r="9404">
          <cell r="A9404">
            <v>3352014</v>
          </cell>
          <cell r="B9404">
            <v>104152</v>
          </cell>
          <cell r="C9404" t="str">
            <v>Edgar Stammers Infant School</v>
          </cell>
          <cell r="D9404" t="str">
            <v>Walsall</v>
          </cell>
          <cell r="E9404" t="str">
            <v>Community School</v>
          </cell>
          <cell r="F9404" t="str">
            <v>Primary</v>
          </cell>
        </row>
        <row r="9405">
          <cell r="A9405">
            <v>3352013</v>
          </cell>
          <cell r="B9405">
            <v>104151</v>
          </cell>
          <cell r="C9405" t="str">
            <v>Edgar Stammers Junior School</v>
          </cell>
          <cell r="D9405" t="str">
            <v>Walsall</v>
          </cell>
          <cell r="E9405" t="str">
            <v>Community School</v>
          </cell>
          <cell r="F9405" t="str">
            <v>Primary</v>
          </cell>
        </row>
        <row r="9406">
          <cell r="A9406">
            <v>3353805</v>
          </cell>
          <cell r="B9406">
            <v>130153</v>
          </cell>
          <cell r="C9406" t="str">
            <v>Edgar Stammers Primary School</v>
          </cell>
          <cell r="D9406" t="str">
            <v>Walsall</v>
          </cell>
          <cell r="E9406" t="str">
            <v>Community School</v>
          </cell>
          <cell r="F9406" t="str">
            <v>Primary</v>
          </cell>
        </row>
        <row r="9407">
          <cell r="A9407">
            <v>8674032</v>
          </cell>
          <cell r="B9407">
            <v>110049</v>
          </cell>
          <cell r="C9407" t="str">
            <v>Edgbarrow School</v>
          </cell>
          <cell r="D9407" t="str">
            <v>Bracknell Forest</v>
          </cell>
          <cell r="E9407" t="str">
            <v>Community School</v>
          </cell>
          <cell r="F9407" t="str">
            <v>Secondary</v>
          </cell>
        </row>
        <row r="9408">
          <cell r="A9408">
            <v>3306001</v>
          </cell>
          <cell r="B9408">
            <v>103565</v>
          </cell>
          <cell r="C9408" t="str">
            <v>Edgbaston College</v>
          </cell>
          <cell r="D9408" t="str">
            <v>Birmingham</v>
          </cell>
          <cell r="E9408" t="str">
            <v>Other Independent School</v>
          </cell>
          <cell r="F9408" t="str">
            <v>Not applicable</v>
          </cell>
        </row>
        <row r="9409">
          <cell r="A9409">
            <v>3306096</v>
          </cell>
          <cell r="B9409">
            <v>131616</v>
          </cell>
          <cell r="C9409" t="str">
            <v>Edgbaston College Preparatory School</v>
          </cell>
          <cell r="D9409" t="str">
            <v>Birmingham</v>
          </cell>
          <cell r="E9409" t="str">
            <v>Other Independent School</v>
          </cell>
          <cell r="F9409" t="str">
            <v>Not applicable</v>
          </cell>
        </row>
        <row r="9410">
          <cell r="A9410">
            <v>3306091</v>
          </cell>
          <cell r="B9410">
            <v>132935</v>
          </cell>
          <cell r="C9410" t="str">
            <v>Edgbaston College Preparatory School</v>
          </cell>
          <cell r="D9410" t="str">
            <v>Birmingham</v>
          </cell>
          <cell r="E9410" t="str">
            <v>Other Independent School</v>
          </cell>
          <cell r="F9410" t="str">
            <v>Not applicable</v>
          </cell>
        </row>
        <row r="9411">
          <cell r="A9411">
            <v>3306003</v>
          </cell>
          <cell r="B9411">
            <v>103567</v>
          </cell>
          <cell r="C9411" t="str">
            <v>Edgbaston High School for Girls</v>
          </cell>
          <cell r="D9411" t="str">
            <v>Birmingham</v>
          </cell>
          <cell r="E9411" t="str">
            <v>Other Independent School</v>
          </cell>
          <cell r="F9411" t="str">
            <v>Not applicable</v>
          </cell>
        </row>
        <row r="9412">
          <cell r="A9412">
            <v>3306093</v>
          </cell>
          <cell r="B9412">
            <v>127072</v>
          </cell>
          <cell r="C9412" t="str">
            <v>Edgbaston High School Prep Department</v>
          </cell>
          <cell r="D9412" t="str">
            <v>Birmingham</v>
          </cell>
          <cell r="E9412" t="str">
            <v>Other Independent School</v>
          </cell>
          <cell r="F9412" t="str">
            <v>Not applicable</v>
          </cell>
        </row>
        <row r="9413">
          <cell r="A9413">
            <v>3306090</v>
          </cell>
          <cell r="B9413">
            <v>103597</v>
          </cell>
          <cell r="C9413" t="str">
            <v>Edgbaston School of Technology</v>
          </cell>
          <cell r="D9413" t="str">
            <v>Birmingham</v>
          </cell>
          <cell r="E9413" t="str">
            <v>Other Independent School</v>
          </cell>
          <cell r="F9413" t="str">
            <v>Not applicable</v>
          </cell>
        </row>
        <row r="9414">
          <cell r="A9414">
            <v>9196002</v>
          </cell>
          <cell r="B9414">
            <v>117601</v>
          </cell>
          <cell r="C9414" t="str">
            <v>Edge Grove School</v>
          </cell>
          <cell r="D9414" t="str">
            <v>Hertfordshire</v>
          </cell>
          <cell r="E9414" t="str">
            <v>Other Independent School</v>
          </cell>
          <cell r="F9414" t="str">
            <v>Not applicable</v>
          </cell>
        </row>
        <row r="9415">
          <cell r="A9415">
            <v>8602138</v>
          </cell>
          <cell r="B9415">
            <v>124045</v>
          </cell>
          <cell r="C9415" t="str">
            <v>Edge Hill Junior School</v>
          </cell>
          <cell r="D9415" t="str">
            <v>Staffordshire</v>
          </cell>
          <cell r="E9415" t="str">
            <v>Community School</v>
          </cell>
          <cell r="F9415" t="str">
            <v>Primary</v>
          </cell>
        </row>
        <row r="9416">
          <cell r="A9416">
            <v>888</v>
          </cell>
          <cell r="B9416">
            <v>133828</v>
          </cell>
          <cell r="C9416" t="str">
            <v>Edge Hill University</v>
          </cell>
          <cell r="D9416" t="str">
            <v>Lancashire</v>
          </cell>
          <cell r="E9416" t="str">
            <v>Higher Education Institutions</v>
          </cell>
          <cell r="F9416" t="str">
            <v>Not applicable</v>
          </cell>
        </row>
        <row r="9417">
          <cell r="A9417">
            <v>9366037</v>
          </cell>
          <cell r="B9417">
            <v>125337</v>
          </cell>
          <cell r="C9417" t="str">
            <v>Edgeborough School</v>
          </cell>
          <cell r="D9417" t="str">
            <v>Surrey</v>
          </cell>
          <cell r="E9417" t="str">
            <v>Other Independent School</v>
          </cell>
          <cell r="F9417" t="str">
            <v>Not applicable</v>
          </cell>
        </row>
        <row r="9418">
          <cell r="A9418">
            <v>3052069</v>
          </cell>
          <cell r="B9418">
            <v>101635</v>
          </cell>
          <cell r="C9418" t="str">
            <v>Edgebury Primary School</v>
          </cell>
          <cell r="D9418" t="str">
            <v>Bromley</v>
          </cell>
          <cell r="E9418" t="str">
            <v>Community School</v>
          </cell>
          <cell r="F9418" t="str">
            <v>Primary</v>
          </cell>
        </row>
        <row r="9419">
          <cell r="A9419">
            <v>8604083</v>
          </cell>
          <cell r="B9419">
            <v>124404</v>
          </cell>
          <cell r="C9419" t="str">
            <v>Edgecliff High School</v>
          </cell>
          <cell r="D9419" t="str">
            <v>Staffordshire</v>
          </cell>
          <cell r="E9419" t="str">
            <v>Community School</v>
          </cell>
          <cell r="F9419" t="str">
            <v>Secondary</v>
          </cell>
        </row>
        <row r="9420">
          <cell r="A9420">
            <v>8916012</v>
          </cell>
          <cell r="B9420">
            <v>122930</v>
          </cell>
          <cell r="C9420" t="str">
            <v>Edgehill School</v>
          </cell>
          <cell r="D9420" t="str">
            <v>Nottinghamshire</v>
          </cell>
          <cell r="E9420" t="str">
            <v>Other Independent School</v>
          </cell>
          <cell r="F9420" t="str">
            <v>Not applicable</v>
          </cell>
        </row>
        <row r="9421">
          <cell r="A9421">
            <v>356940</v>
          </cell>
          <cell r="B9421">
            <v>132706</v>
          </cell>
          <cell r="C9421" t="str">
            <v>Edgeley Park Study Centre</v>
          </cell>
          <cell r="D9421" t="str">
            <v>Stockport</v>
          </cell>
          <cell r="E9421" t="str">
            <v>Playing for Success Centres</v>
          </cell>
          <cell r="F9421" t="str">
            <v>Not applicable</v>
          </cell>
        </row>
        <row r="9422">
          <cell r="A9422">
            <v>3826025</v>
          </cell>
          <cell r="B9422">
            <v>131714</v>
          </cell>
          <cell r="C9422" t="str">
            <v>Edgerton College</v>
          </cell>
          <cell r="D9422" t="str">
            <v>Kirklees</v>
          </cell>
          <cell r="E9422" t="str">
            <v>Other Independent School</v>
          </cell>
          <cell r="F9422" t="str">
            <v>Not applicable</v>
          </cell>
        </row>
        <row r="9423">
          <cell r="A9423">
            <v>3312015</v>
          </cell>
          <cell r="B9423">
            <v>103642</v>
          </cell>
          <cell r="C9423" t="str">
            <v>Edgewick Community Primary School</v>
          </cell>
          <cell r="D9423" t="str">
            <v>Coventry</v>
          </cell>
          <cell r="E9423" t="str">
            <v>Community School</v>
          </cell>
          <cell r="F9423" t="str">
            <v>Primary</v>
          </cell>
        </row>
        <row r="9424">
          <cell r="A9424">
            <v>8912471</v>
          </cell>
          <cell r="B9424">
            <v>122587</v>
          </cell>
          <cell r="C9424" t="str">
            <v>Edgewood Primary and Nursery School</v>
          </cell>
          <cell r="D9424" t="str">
            <v>Nottinghamshire</v>
          </cell>
          <cell r="E9424" t="str">
            <v>Community School</v>
          </cell>
          <cell r="F9424" t="str">
            <v>Primary</v>
          </cell>
        </row>
        <row r="9425">
          <cell r="A9425">
            <v>3026060</v>
          </cell>
          <cell r="B9425">
            <v>126731</v>
          </cell>
          <cell r="C9425" t="str">
            <v>Edgware Hasmonean Preparatory School</v>
          </cell>
          <cell r="D9425" t="str">
            <v>Barnet</v>
          </cell>
          <cell r="E9425" t="str">
            <v>Other Independent School</v>
          </cell>
          <cell r="F9425" t="str">
            <v>Not applicable</v>
          </cell>
        </row>
        <row r="9426">
          <cell r="A9426">
            <v>3022023</v>
          </cell>
          <cell r="B9426">
            <v>101277</v>
          </cell>
          <cell r="C9426" t="str">
            <v>Edgware Infant School</v>
          </cell>
          <cell r="D9426" t="str">
            <v>Barnet</v>
          </cell>
          <cell r="E9426" t="str">
            <v>Community School</v>
          </cell>
          <cell r="F9426" t="str">
            <v>Primary</v>
          </cell>
        </row>
        <row r="9427">
          <cell r="A9427">
            <v>3026122</v>
          </cell>
          <cell r="B9427">
            <v>136014</v>
          </cell>
          <cell r="C9427" t="str">
            <v>Edgware Jewish Girls - Beis Chinuch</v>
          </cell>
          <cell r="D9427" t="str">
            <v>Barnet</v>
          </cell>
          <cell r="E9427" t="str">
            <v>Other Independent School</v>
          </cell>
          <cell r="F9427" t="str">
            <v>Not applicable</v>
          </cell>
        </row>
        <row r="9428">
          <cell r="A9428">
            <v>3026120</v>
          </cell>
          <cell r="B9428">
            <v>135181</v>
          </cell>
          <cell r="C9428" t="str">
            <v>Edgware Jewish Primary School</v>
          </cell>
          <cell r="D9428" t="str">
            <v>Barnet</v>
          </cell>
          <cell r="E9428" t="str">
            <v>Other Independent School</v>
          </cell>
          <cell r="F9428" t="str">
            <v>Not applicable</v>
          </cell>
        </row>
        <row r="9429">
          <cell r="A9429">
            <v>3023524</v>
          </cell>
          <cell r="B9429">
            <v>136402</v>
          </cell>
          <cell r="C9429" t="str">
            <v>Edgware Jewish Primary School</v>
          </cell>
          <cell r="D9429" t="str">
            <v>Barnet</v>
          </cell>
          <cell r="E9429" t="str">
            <v>Voluntary Aided School</v>
          </cell>
          <cell r="F9429" t="str">
            <v>Primary</v>
          </cell>
        </row>
        <row r="9430">
          <cell r="A9430">
            <v>3022022</v>
          </cell>
          <cell r="B9430">
            <v>101276</v>
          </cell>
          <cell r="C9430" t="str">
            <v>Edgware Junior School</v>
          </cell>
          <cell r="D9430" t="str">
            <v>Barnet</v>
          </cell>
          <cell r="E9430" t="str">
            <v>Community School</v>
          </cell>
          <cell r="F9430" t="str">
            <v>Primary</v>
          </cell>
        </row>
        <row r="9431">
          <cell r="A9431">
            <v>3202030</v>
          </cell>
          <cell r="B9431">
            <v>103053</v>
          </cell>
          <cell r="C9431" t="str">
            <v>Edinburgh Primary School</v>
          </cell>
          <cell r="D9431" t="str">
            <v>Waltham Forest</v>
          </cell>
          <cell r="E9431" t="str">
            <v>Community School</v>
          </cell>
          <cell r="F9431" t="str">
            <v>Primary</v>
          </cell>
        </row>
        <row r="9432">
          <cell r="A9432">
            <v>9392042</v>
          </cell>
          <cell r="B9432">
            <v>126194</v>
          </cell>
          <cell r="C9432" t="str">
            <v>Edington School</v>
          </cell>
          <cell r="D9432" t="str">
            <v>Pre LGR (1997) Wiltshire</v>
          </cell>
          <cell r="E9432" t="str">
            <v>Community School</v>
          </cell>
          <cell r="F9432" t="str">
            <v>Primary</v>
          </cell>
        </row>
        <row r="9433">
          <cell r="A9433">
            <v>9336183</v>
          </cell>
          <cell r="B9433">
            <v>129860</v>
          </cell>
          <cell r="C9433" t="str">
            <v>Edington School</v>
          </cell>
          <cell r="D9433" t="str">
            <v>Somerset</v>
          </cell>
          <cell r="E9433" t="str">
            <v>Other Independent School</v>
          </cell>
          <cell r="F9433" t="str">
            <v>Not applicable</v>
          </cell>
        </row>
        <row r="9434">
          <cell r="A9434">
            <v>8882391</v>
          </cell>
          <cell r="B9434">
            <v>119275</v>
          </cell>
          <cell r="C9434" t="str">
            <v>Edisford Primary School</v>
          </cell>
          <cell r="D9434" t="str">
            <v>Lancashire</v>
          </cell>
          <cell r="E9434" t="str">
            <v>Community School</v>
          </cell>
          <cell r="F9434" t="str">
            <v>Primary</v>
          </cell>
        </row>
        <row r="9435">
          <cell r="A9435">
            <v>3301802</v>
          </cell>
          <cell r="B9435">
            <v>103150</v>
          </cell>
          <cell r="C9435" t="str">
            <v>Edith Cadbury Nursery School</v>
          </cell>
          <cell r="D9435" t="str">
            <v>Birmingham</v>
          </cell>
          <cell r="E9435" t="str">
            <v>Miscellaneous</v>
          </cell>
          <cell r="F9435" t="str">
            <v>Nursery</v>
          </cell>
        </row>
        <row r="9436">
          <cell r="A9436">
            <v>8222007</v>
          </cell>
          <cell r="B9436">
            <v>109433</v>
          </cell>
          <cell r="C9436" t="str">
            <v>Edith Cavell Lower School</v>
          </cell>
          <cell r="D9436" t="str">
            <v>Bedford</v>
          </cell>
          <cell r="E9436" t="str">
            <v>Foundation School</v>
          </cell>
          <cell r="F9436" t="str">
            <v>Primary</v>
          </cell>
        </row>
        <row r="9437">
          <cell r="A9437">
            <v>3161000</v>
          </cell>
          <cell r="B9437">
            <v>102700</v>
          </cell>
          <cell r="C9437" t="str">
            <v>Edith Kerrison Nursery School</v>
          </cell>
          <cell r="D9437" t="str">
            <v>Newham</v>
          </cell>
          <cell r="E9437" t="str">
            <v>LA Nursery School</v>
          </cell>
          <cell r="F9437" t="str">
            <v>Nursery</v>
          </cell>
        </row>
        <row r="9438">
          <cell r="A9438">
            <v>9311021</v>
          </cell>
          <cell r="B9438">
            <v>122976</v>
          </cell>
          <cell r="C9438" t="str">
            <v>Edith Moorhouse Nursery School</v>
          </cell>
          <cell r="D9438" t="str">
            <v>Oxfordshire</v>
          </cell>
          <cell r="E9438" t="str">
            <v>LA Nursery School</v>
          </cell>
          <cell r="F9438" t="str">
            <v>Nursery</v>
          </cell>
        </row>
        <row r="9439">
          <cell r="A9439">
            <v>9312255</v>
          </cell>
          <cell r="B9439">
            <v>123017</v>
          </cell>
          <cell r="C9439" t="str">
            <v>Edith Moorhouse Primary School</v>
          </cell>
          <cell r="D9439" t="str">
            <v>Oxfordshire</v>
          </cell>
          <cell r="E9439" t="str">
            <v>Community School</v>
          </cell>
          <cell r="F9439" t="str">
            <v>Primary</v>
          </cell>
        </row>
        <row r="9440">
          <cell r="A9440">
            <v>2022184</v>
          </cell>
          <cell r="B9440">
            <v>100013</v>
          </cell>
          <cell r="C9440" t="str">
            <v>Edith Neville Primary School</v>
          </cell>
          <cell r="D9440" t="str">
            <v>Camden</v>
          </cell>
          <cell r="E9440" t="str">
            <v>Community School</v>
          </cell>
          <cell r="F9440" t="str">
            <v>Primary</v>
          </cell>
        </row>
        <row r="9441">
          <cell r="A9441">
            <v>3331002</v>
          </cell>
          <cell r="B9441">
            <v>103885</v>
          </cell>
          <cell r="C9441" t="str">
            <v>Edith Sands Nursery School</v>
          </cell>
          <cell r="D9441" t="str">
            <v>Sandwell</v>
          </cell>
          <cell r="E9441" t="str">
            <v>LA Nursery School</v>
          </cell>
          <cell r="F9441" t="str">
            <v>Nursery</v>
          </cell>
        </row>
        <row r="9442">
          <cell r="A9442">
            <v>8572312</v>
          </cell>
          <cell r="B9442">
            <v>120042</v>
          </cell>
          <cell r="C9442" t="str">
            <v>Edith Weston Primary School</v>
          </cell>
          <cell r="D9442" t="str">
            <v>Rutland</v>
          </cell>
          <cell r="E9442" t="str">
            <v>Community School</v>
          </cell>
          <cell r="F9442" t="str">
            <v>Primary</v>
          </cell>
        </row>
        <row r="9443">
          <cell r="A9443">
            <v>8252033</v>
          </cell>
          <cell r="B9443">
            <v>110225</v>
          </cell>
          <cell r="C9443" t="str">
            <v>Edlesborough School</v>
          </cell>
          <cell r="D9443" t="str">
            <v>Buckinghamshire</v>
          </cell>
          <cell r="E9443" t="str">
            <v>Community School</v>
          </cell>
          <cell r="F9443" t="str">
            <v>Primary</v>
          </cell>
        </row>
        <row r="9444">
          <cell r="A9444">
            <v>8952377</v>
          </cell>
          <cell r="B9444">
            <v>111170</v>
          </cell>
          <cell r="C9444" t="str">
            <v>Edleston Primary School</v>
          </cell>
          <cell r="D9444" t="str">
            <v>Cheshire East</v>
          </cell>
          <cell r="E9444" t="str">
            <v>Community School</v>
          </cell>
          <cell r="F9444" t="str">
            <v>Primary</v>
          </cell>
        </row>
        <row r="9445">
          <cell r="A9445">
            <v>3712073</v>
          </cell>
          <cell r="B9445">
            <v>106679</v>
          </cell>
          <cell r="C9445" t="str">
            <v>Edlington Hill Top Infant School</v>
          </cell>
          <cell r="D9445" t="str">
            <v>Doncaster</v>
          </cell>
          <cell r="E9445" t="str">
            <v>Community School</v>
          </cell>
          <cell r="F9445" t="str">
            <v>Primary</v>
          </cell>
        </row>
        <row r="9446">
          <cell r="A9446">
            <v>3712133</v>
          </cell>
          <cell r="B9446">
            <v>106710</v>
          </cell>
          <cell r="C9446" t="str">
            <v>Edlington Hill Top Junior School</v>
          </cell>
          <cell r="D9446" t="str">
            <v>Doncaster</v>
          </cell>
          <cell r="E9446" t="str">
            <v>Community School</v>
          </cell>
          <cell r="F9446" t="str">
            <v>Primary</v>
          </cell>
        </row>
        <row r="9447">
          <cell r="A9447">
            <v>3712074</v>
          </cell>
          <cell r="B9447">
            <v>127608</v>
          </cell>
          <cell r="C9447" t="str">
            <v>Edlington Victoria Middle School</v>
          </cell>
          <cell r="D9447" t="str">
            <v>Doncaster</v>
          </cell>
          <cell r="E9447" t="str">
            <v>Community School</v>
          </cell>
          <cell r="F9447" t="str">
            <v>Middle Deemed Primary</v>
          </cell>
        </row>
        <row r="9448">
          <cell r="A9448">
            <v>3712197</v>
          </cell>
          <cell r="B9448">
            <v>106758</v>
          </cell>
          <cell r="C9448" t="str">
            <v>Edlington Victoria Primary School</v>
          </cell>
          <cell r="D9448" t="str">
            <v>Doncaster</v>
          </cell>
          <cell r="E9448" t="str">
            <v>Community School</v>
          </cell>
          <cell r="F9448" t="str">
            <v>Primary</v>
          </cell>
        </row>
        <row r="9449">
          <cell r="A9449">
            <v>8402105</v>
          </cell>
          <cell r="B9449">
            <v>114001</v>
          </cell>
          <cell r="C9449" t="str">
            <v>Edmondsley Primary School</v>
          </cell>
          <cell r="D9449" t="str">
            <v>Durham</v>
          </cell>
          <cell r="E9449" t="str">
            <v>Community School</v>
          </cell>
          <cell r="F9449" t="str">
            <v>Primary</v>
          </cell>
        </row>
        <row r="9450">
          <cell r="A9450">
            <v>3084007</v>
          </cell>
          <cell r="B9450">
            <v>102043</v>
          </cell>
          <cell r="C9450" t="str">
            <v>Edmonton County School</v>
          </cell>
          <cell r="D9450" t="str">
            <v>Enfield</v>
          </cell>
          <cell r="E9450" t="str">
            <v>Community School</v>
          </cell>
          <cell r="F9450" t="str">
            <v>Secondary</v>
          </cell>
        </row>
        <row r="9451">
          <cell r="A9451">
            <v>9263030</v>
          </cell>
          <cell r="B9451">
            <v>121037</v>
          </cell>
          <cell r="C9451" t="str">
            <v>Edmund de Moundeford VC Primary School, Feltwell</v>
          </cell>
          <cell r="D9451" t="str">
            <v>Norfolk</v>
          </cell>
          <cell r="E9451" t="str">
            <v>Voluntary Controlled School</v>
          </cell>
          <cell r="F9451" t="str">
            <v>Primary</v>
          </cell>
        </row>
        <row r="9452">
          <cell r="A9452">
            <v>2092187</v>
          </cell>
          <cell r="B9452">
            <v>100680</v>
          </cell>
          <cell r="C9452" t="str">
            <v>Edmund Waller Primary School</v>
          </cell>
          <cell r="D9452" t="str">
            <v>Lewisham</v>
          </cell>
          <cell r="E9452" t="str">
            <v>Community School</v>
          </cell>
          <cell r="F9452" t="str">
            <v>Primary</v>
          </cell>
        </row>
        <row r="9453">
          <cell r="A9453">
            <v>8922074</v>
          </cell>
          <cell r="B9453">
            <v>122423</v>
          </cell>
          <cell r="C9453" t="str">
            <v>Edna G Olds Primary and Nursery School</v>
          </cell>
          <cell r="D9453" t="str">
            <v>Nottingham</v>
          </cell>
          <cell r="E9453" t="str">
            <v>Community School</v>
          </cell>
          <cell r="F9453" t="str">
            <v>Primary</v>
          </cell>
        </row>
        <row r="9454">
          <cell r="A9454">
            <v>8922074</v>
          </cell>
          <cell r="B9454">
            <v>137525</v>
          </cell>
          <cell r="C9454" t="str">
            <v>Edna G Olds Primary and Nursery School</v>
          </cell>
          <cell r="D9454" t="str">
            <v>Nottingham</v>
          </cell>
          <cell r="E9454" t="str">
            <v>Academy Converters</v>
          </cell>
          <cell r="F9454" t="str">
            <v>Primary</v>
          </cell>
        </row>
        <row r="9455">
          <cell r="A9455">
            <v>3526003</v>
          </cell>
          <cell r="B9455">
            <v>137275</v>
          </cell>
          <cell r="C9455" t="str">
            <v>Edstart</v>
          </cell>
          <cell r="D9455" t="str">
            <v>Manchester</v>
          </cell>
          <cell r="E9455" t="str">
            <v>Other Independent School</v>
          </cell>
          <cell r="F9455" t="str">
            <v>Not applicable</v>
          </cell>
        </row>
        <row r="9456">
          <cell r="A9456">
            <v>8611101</v>
          </cell>
          <cell r="B9456">
            <v>134157</v>
          </cell>
          <cell r="C9456" t="str">
            <v>Ed-Start</v>
          </cell>
          <cell r="D9456" t="str">
            <v>Stoke-on-Trent</v>
          </cell>
          <cell r="E9456" t="str">
            <v>Pupil Referral Unit</v>
          </cell>
          <cell r="F9456" t="str">
            <v>PRU</v>
          </cell>
        </row>
        <row r="9457">
          <cell r="A9457">
            <v>3146070</v>
          </cell>
          <cell r="B9457">
            <v>131351</v>
          </cell>
          <cell r="C9457" t="str">
            <v>Educare Small School</v>
          </cell>
          <cell r="D9457" t="str">
            <v>Kingston upon Thames</v>
          </cell>
          <cell r="E9457" t="str">
            <v>Other Independent School</v>
          </cell>
          <cell r="F9457" t="str">
            <v>Not applicable</v>
          </cell>
        </row>
        <row r="9458">
          <cell r="A9458">
            <v>9286070</v>
          </cell>
          <cell r="B9458">
            <v>135754</v>
          </cell>
          <cell r="C9458" t="str">
            <v>Education &amp; Youth Services Ltd</v>
          </cell>
          <cell r="D9458" t="str">
            <v>Northamptonshire</v>
          </cell>
          <cell r="E9458" t="str">
            <v>Other Independent Special School</v>
          </cell>
          <cell r="F9458" t="str">
            <v>Not applicable</v>
          </cell>
        </row>
        <row r="9459">
          <cell r="A9459">
            <v>8787904</v>
          </cell>
          <cell r="B9459">
            <v>131870</v>
          </cell>
          <cell r="C9459" t="str">
            <v>Education and Care (Devon) Ltd At 7-9 Oak Park Villas</v>
          </cell>
          <cell r="D9459" t="str">
            <v>Devon</v>
          </cell>
          <cell r="E9459" t="str">
            <v>Special College</v>
          </cell>
          <cell r="F9459" t="str">
            <v>16 Plus</v>
          </cell>
        </row>
        <row r="9460">
          <cell r="A9460">
            <v>3947904</v>
          </cell>
          <cell r="B9460">
            <v>131872</v>
          </cell>
          <cell r="C9460" t="str">
            <v>Education and Services for People with Autism</v>
          </cell>
          <cell r="D9460" t="str">
            <v>Sunderland</v>
          </cell>
          <cell r="E9460" t="str">
            <v>Special College</v>
          </cell>
          <cell r="F9460" t="str">
            <v>16 Plus</v>
          </cell>
        </row>
        <row r="9461">
          <cell r="A9461">
            <v>9196258</v>
          </cell>
          <cell r="B9461">
            <v>135402</v>
          </cell>
          <cell r="C9461" t="str">
            <v>Education and Youth Services (Herts)</v>
          </cell>
          <cell r="D9461" t="str">
            <v>Hertfordshire</v>
          </cell>
          <cell r="E9461" t="str">
            <v>Other Independent Special School</v>
          </cell>
          <cell r="F9461" t="str">
            <v>Not applicable</v>
          </cell>
        </row>
        <row r="9462">
          <cell r="A9462">
            <v>8256040</v>
          </cell>
          <cell r="B9462">
            <v>135604</v>
          </cell>
          <cell r="C9462" t="str">
            <v>Education and Youth Services Ltd (4)</v>
          </cell>
          <cell r="D9462" t="str">
            <v>Buckinghamshire</v>
          </cell>
          <cell r="E9462" t="str">
            <v>Other Independent Special School</v>
          </cell>
          <cell r="F9462" t="str">
            <v>Not applicable</v>
          </cell>
        </row>
        <row r="9463">
          <cell r="A9463">
            <v>9096097</v>
          </cell>
          <cell r="B9463">
            <v>135555</v>
          </cell>
          <cell r="C9463" t="str">
            <v>Education and Youth Services Ltd, Carlisle</v>
          </cell>
          <cell r="D9463" t="str">
            <v>Cumbria</v>
          </cell>
          <cell r="E9463" t="str">
            <v>Other Independent Special School</v>
          </cell>
          <cell r="F9463" t="str">
            <v>Not applicable</v>
          </cell>
        </row>
        <row r="9464">
          <cell r="A9464">
            <v>3321101</v>
          </cell>
          <cell r="B9464">
            <v>103768</v>
          </cell>
          <cell r="C9464" t="str">
            <v>Education Counselling Group</v>
          </cell>
          <cell r="D9464" t="str">
            <v>Dudley</v>
          </cell>
          <cell r="E9464" t="str">
            <v>Pupil Referral Unit</v>
          </cell>
          <cell r="F9464" t="str">
            <v>PRU</v>
          </cell>
        </row>
        <row r="9465">
          <cell r="A9465">
            <v>3801106</v>
          </cell>
          <cell r="B9465">
            <v>133753</v>
          </cell>
          <cell r="C9465" t="str">
            <v>Education in Hospital 1 (Airedale) C/O Learning Support Service, Education Bradford</v>
          </cell>
          <cell r="D9465" t="str">
            <v>Bradford</v>
          </cell>
          <cell r="E9465" t="str">
            <v>Pupil Referral Unit</v>
          </cell>
          <cell r="F9465" t="str">
            <v>PRU</v>
          </cell>
        </row>
        <row r="9466">
          <cell r="A9466">
            <v>3801105</v>
          </cell>
          <cell r="B9466">
            <v>133752</v>
          </cell>
          <cell r="C9466" t="str">
            <v>Education In Hospital 2 (BRI)</v>
          </cell>
          <cell r="D9466" t="str">
            <v>Bradford</v>
          </cell>
          <cell r="E9466" t="str">
            <v>Pupil Referral Unit</v>
          </cell>
          <cell r="F9466" t="str">
            <v>PRU</v>
          </cell>
        </row>
        <row r="9467">
          <cell r="A9467">
            <v>3166071</v>
          </cell>
          <cell r="B9467">
            <v>136031</v>
          </cell>
          <cell r="C9467" t="str">
            <v>Education Links</v>
          </cell>
          <cell r="D9467" t="str">
            <v>Newham</v>
          </cell>
          <cell r="E9467" t="str">
            <v>Other Independent Special School</v>
          </cell>
          <cell r="F9467" t="str">
            <v>Not applicable</v>
          </cell>
        </row>
        <row r="9468">
          <cell r="A9468">
            <v>2131102</v>
          </cell>
          <cell r="B9468">
            <v>134613</v>
          </cell>
          <cell r="C9468" t="str">
            <v>Education Otherwise, City of Westminster</v>
          </cell>
          <cell r="D9468" t="str">
            <v>Westminster</v>
          </cell>
          <cell r="E9468" t="str">
            <v>Pupil Referral Unit</v>
          </cell>
          <cell r="F9468" t="str">
            <v>PRU</v>
          </cell>
        </row>
        <row r="9469">
          <cell r="A9469">
            <v>9089900</v>
          </cell>
          <cell r="B9469">
            <v>133221</v>
          </cell>
          <cell r="C9469" t="str">
            <v>Education Out of School/Carrick</v>
          </cell>
          <cell r="D9469" t="str">
            <v>Cornwall</v>
          </cell>
          <cell r="E9469" t="str">
            <v>Miscellaneous</v>
          </cell>
          <cell r="F9469" t="str">
            <v>Not applicable</v>
          </cell>
        </row>
        <row r="9470">
          <cell r="A9470">
            <v>3526000</v>
          </cell>
          <cell r="B9470">
            <v>136939</v>
          </cell>
          <cell r="C9470" t="str">
            <v>Education Youth Services</v>
          </cell>
          <cell r="D9470" t="str">
            <v>Manchester</v>
          </cell>
          <cell r="E9470" t="str">
            <v>Other Independent Special School</v>
          </cell>
          <cell r="F9470" t="str">
            <v>Not applicable</v>
          </cell>
        </row>
        <row r="9471">
          <cell r="A9471">
            <v>8901100</v>
          </cell>
          <cell r="B9471">
            <v>131772</v>
          </cell>
          <cell r="C9471" t="str">
            <v>Educational Diversity</v>
          </cell>
          <cell r="D9471" t="str">
            <v>Blackpool</v>
          </cell>
          <cell r="E9471" t="str">
            <v>Pupil Referral Unit</v>
          </cell>
          <cell r="F9471" t="str">
            <v>PRU</v>
          </cell>
        </row>
        <row r="9472">
          <cell r="A9472">
            <v>3066010</v>
          </cell>
          <cell r="B9472">
            <v>137671</v>
          </cell>
          <cell r="C9472" t="str">
            <v>Educational Excellence</v>
          </cell>
          <cell r="D9472" t="str">
            <v>Croydon</v>
          </cell>
          <cell r="E9472" t="str">
            <v>Other Independent School</v>
          </cell>
          <cell r="F9472" t="str">
            <v>Not applicable</v>
          </cell>
        </row>
        <row r="9473">
          <cell r="A9473">
            <v>8912585</v>
          </cell>
          <cell r="B9473">
            <v>122601</v>
          </cell>
          <cell r="C9473" t="str">
            <v>Edwalton Primary School</v>
          </cell>
          <cell r="D9473" t="str">
            <v>Nottinghamshire</v>
          </cell>
          <cell r="E9473" t="str">
            <v>Community School</v>
          </cell>
          <cell r="F9473" t="str">
            <v>Primary</v>
          </cell>
        </row>
        <row r="9474">
          <cell r="A9474">
            <v>3073510</v>
          </cell>
          <cell r="B9474">
            <v>101927</v>
          </cell>
          <cell r="C9474" t="str">
            <v>Edward Betham Church of England Primary School</v>
          </cell>
          <cell r="D9474" t="str">
            <v>Ealing</v>
          </cell>
          <cell r="E9474" t="str">
            <v>Voluntary Aided School</v>
          </cell>
          <cell r="F9474" t="str">
            <v>Primary</v>
          </cell>
        </row>
        <row r="9475">
          <cell r="A9475">
            <v>9382007</v>
          </cell>
          <cell r="B9475">
            <v>125817</v>
          </cell>
          <cell r="C9475" t="str">
            <v>Edward Bryant Primary School</v>
          </cell>
          <cell r="D9475" t="str">
            <v>West Sussex</v>
          </cell>
          <cell r="E9475" t="str">
            <v>Community School</v>
          </cell>
          <cell r="F9475" t="str">
            <v>Primary</v>
          </cell>
        </row>
        <row r="9476">
          <cell r="A9476">
            <v>3316020</v>
          </cell>
          <cell r="B9476">
            <v>127128</v>
          </cell>
          <cell r="C9476" t="str">
            <v>Edward Clements School</v>
          </cell>
          <cell r="D9476" t="str">
            <v>Coventry</v>
          </cell>
          <cell r="E9476" t="str">
            <v>Other Independent School</v>
          </cell>
          <cell r="F9476" t="str">
            <v>Not applicable</v>
          </cell>
        </row>
        <row r="9477">
          <cell r="A9477">
            <v>9311022</v>
          </cell>
          <cell r="B9477">
            <v>122977</v>
          </cell>
          <cell r="C9477" t="str">
            <v>Edward Feild Nursery School</v>
          </cell>
          <cell r="D9477" t="str">
            <v>Oxfordshire</v>
          </cell>
          <cell r="E9477" t="str">
            <v>LA Nursery School</v>
          </cell>
          <cell r="F9477" t="str">
            <v>Nursery</v>
          </cell>
        </row>
        <row r="9478">
          <cell r="A9478">
            <v>9312590</v>
          </cell>
          <cell r="B9478">
            <v>123075</v>
          </cell>
          <cell r="C9478" t="str">
            <v>Edward Feild Primary School</v>
          </cell>
          <cell r="D9478" t="str">
            <v>Oxfordshire</v>
          </cell>
          <cell r="E9478" t="str">
            <v>Community School</v>
          </cell>
          <cell r="F9478" t="str">
            <v>Primary</v>
          </cell>
        </row>
        <row r="9479">
          <cell r="A9479">
            <v>9202302</v>
          </cell>
          <cell r="B9479">
            <v>129199</v>
          </cell>
          <cell r="C9479" t="str">
            <v>Edward First School</v>
          </cell>
          <cell r="D9479" t="str">
            <v>Pre LGR (1996) Humberside</v>
          </cell>
          <cell r="E9479" t="str">
            <v>Community School</v>
          </cell>
          <cell r="F9479" t="str">
            <v>Primary</v>
          </cell>
        </row>
        <row r="9480">
          <cell r="A9480">
            <v>8812871</v>
          </cell>
          <cell r="B9480">
            <v>115025</v>
          </cell>
          <cell r="C9480" t="str">
            <v>Edward Francis Community Infant School</v>
          </cell>
          <cell r="D9480" t="str">
            <v>Essex</v>
          </cell>
          <cell r="E9480" t="str">
            <v>Community School</v>
          </cell>
          <cell r="F9480" t="str">
            <v>Primary</v>
          </cell>
        </row>
        <row r="9481">
          <cell r="A9481">
            <v>8812821</v>
          </cell>
          <cell r="B9481">
            <v>115012</v>
          </cell>
          <cell r="C9481" t="str">
            <v>Edward Francis Community Junior School</v>
          </cell>
          <cell r="D9481" t="str">
            <v>Essex</v>
          </cell>
          <cell r="E9481" t="str">
            <v>Community School</v>
          </cell>
          <cell r="F9481" t="str">
            <v>Primary</v>
          </cell>
        </row>
        <row r="9482">
          <cell r="A9482">
            <v>9316110</v>
          </cell>
          <cell r="B9482">
            <v>123323</v>
          </cell>
          <cell r="C9482" t="str">
            <v>Edward Greenes Tutorial Establishment</v>
          </cell>
          <cell r="D9482" t="str">
            <v>Oxfordshire</v>
          </cell>
          <cell r="E9482" t="str">
            <v>Other Independent School</v>
          </cell>
          <cell r="F9482" t="str">
            <v>Not applicable</v>
          </cell>
        </row>
        <row r="9483">
          <cell r="A9483">
            <v>9316108</v>
          </cell>
          <cell r="B9483">
            <v>129782</v>
          </cell>
          <cell r="C9483" t="str">
            <v>Edward Greenes Tutorial Establishment</v>
          </cell>
          <cell r="D9483" t="str">
            <v>Oxfordshire</v>
          </cell>
          <cell r="E9483" t="str">
            <v>Other Independent School</v>
          </cell>
          <cell r="F9483" t="str">
            <v>Not applicable</v>
          </cell>
        </row>
        <row r="9484">
          <cell r="A9484">
            <v>8122895</v>
          </cell>
          <cell r="B9484">
            <v>117922</v>
          </cell>
          <cell r="C9484" t="str">
            <v>Edward Heneage Primary School</v>
          </cell>
          <cell r="D9484" t="str">
            <v>North East Lincolnshire</v>
          </cell>
          <cell r="E9484" t="str">
            <v>Community School</v>
          </cell>
          <cell r="F9484" t="str">
            <v>Primary</v>
          </cell>
        </row>
        <row r="9485">
          <cell r="A9485">
            <v>9202301</v>
          </cell>
          <cell r="B9485">
            <v>129198</v>
          </cell>
          <cell r="C9485" t="str">
            <v>Edward Middle School</v>
          </cell>
          <cell r="D9485" t="str">
            <v>Pre LGR (1996) Humberside</v>
          </cell>
          <cell r="E9485" t="str">
            <v>Community School</v>
          </cell>
          <cell r="F9485" t="str">
            <v>Middle Deemed Primary</v>
          </cell>
        </row>
        <row r="9486">
          <cell r="A9486">
            <v>3132063</v>
          </cell>
          <cell r="B9486">
            <v>102514</v>
          </cell>
          <cell r="C9486" t="str">
            <v>Edward Pauling Primary School</v>
          </cell>
          <cell r="D9486" t="str">
            <v>Hounslow</v>
          </cell>
          <cell r="E9486" t="str">
            <v>Community School</v>
          </cell>
          <cell r="F9486" t="str">
            <v>Primary</v>
          </cell>
        </row>
        <row r="9487">
          <cell r="A9487">
            <v>8234502</v>
          </cell>
          <cell r="B9487">
            <v>109694</v>
          </cell>
          <cell r="C9487" t="str">
            <v>Edward Peake CofE VC Middle School</v>
          </cell>
          <cell r="D9487" t="str">
            <v>Central Bedfordshire</v>
          </cell>
          <cell r="E9487" t="str">
            <v>Voluntary Controlled School</v>
          </cell>
          <cell r="F9487" t="str">
            <v>Middle Deemed Secondary</v>
          </cell>
        </row>
        <row r="9488">
          <cell r="A9488">
            <v>3202056</v>
          </cell>
          <cell r="B9488">
            <v>103065</v>
          </cell>
          <cell r="C9488" t="str">
            <v>Edward Redhead Infant and Nursery School</v>
          </cell>
          <cell r="D9488" t="str">
            <v>Waltham Forest</v>
          </cell>
          <cell r="E9488" t="str">
            <v>Community School</v>
          </cell>
          <cell r="F9488" t="str">
            <v>Primary</v>
          </cell>
        </row>
        <row r="9489">
          <cell r="A9489">
            <v>3202057</v>
          </cell>
          <cell r="B9489">
            <v>103066</v>
          </cell>
          <cell r="C9489" t="str">
            <v>Edward Redhead Junior School</v>
          </cell>
          <cell r="D9489" t="str">
            <v>Waltham Forest</v>
          </cell>
          <cell r="E9489" t="str">
            <v>Community School</v>
          </cell>
          <cell r="F9489" t="str">
            <v>Primary</v>
          </cell>
        </row>
        <row r="9490">
          <cell r="A9490">
            <v>9103084</v>
          </cell>
          <cell r="B9490">
            <v>112852</v>
          </cell>
          <cell r="C9490" t="str">
            <v>Edward Revell Primary School</v>
          </cell>
          <cell r="D9490" t="str">
            <v>Pre LGR (1997) Derbyshire</v>
          </cell>
          <cell r="E9490" t="str">
            <v>Voluntary Controlled School</v>
          </cell>
          <cell r="F9490" t="str">
            <v>Primary</v>
          </cell>
        </row>
        <row r="9491">
          <cell r="A9491">
            <v>3704001</v>
          </cell>
          <cell r="B9491">
            <v>106645</v>
          </cell>
          <cell r="C9491" t="str">
            <v>Edward Sheerien School</v>
          </cell>
          <cell r="D9491" t="str">
            <v>Barnsley</v>
          </cell>
          <cell r="E9491" t="str">
            <v>Community School</v>
          </cell>
          <cell r="F9491" t="str">
            <v>Secondary</v>
          </cell>
        </row>
        <row r="9492">
          <cell r="A9492">
            <v>3363318</v>
          </cell>
          <cell r="B9492">
            <v>135318</v>
          </cell>
          <cell r="C9492" t="str">
            <v>Edward the Elder Primary School</v>
          </cell>
          <cell r="D9492" t="str">
            <v>Wolverhampton</v>
          </cell>
          <cell r="E9492" t="str">
            <v>Community School</v>
          </cell>
          <cell r="F9492" t="str">
            <v>Primary</v>
          </cell>
        </row>
        <row r="9493">
          <cell r="A9493">
            <v>2132189</v>
          </cell>
          <cell r="B9493">
            <v>101110</v>
          </cell>
          <cell r="C9493" t="str">
            <v>Edward Wilson Primary School</v>
          </cell>
          <cell r="D9493" t="str">
            <v>Westminster</v>
          </cell>
          <cell r="E9493" t="str">
            <v>Community School</v>
          </cell>
          <cell r="F9493" t="str">
            <v>Primary</v>
          </cell>
        </row>
        <row r="9494">
          <cell r="A9494">
            <v>9262350</v>
          </cell>
          <cell r="B9494">
            <v>120977</v>
          </cell>
          <cell r="C9494" t="str">
            <v>Edward Worlledge Community Junior School</v>
          </cell>
          <cell r="D9494" t="str">
            <v>Norfolk</v>
          </cell>
          <cell r="E9494" t="str">
            <v>Community School</v>
          </cell>
          <cell r="F9494" t="str">
            <v>Primary</v>
          </cell>
        </row>
        <row r="9495">
          <cell r="A9495">
            <v>8822115</v>
          </cell>
          <cell r="B9495">
            <v>114782</v>
          </cell>
          <cell r="C9495" t="str">
            <v>Edwards Hall Infant School</v>
          </cell>
          <cell r="D9495" t="str">
            <v>Southend-on-Sea</v>
          </cell>
          <cell r="E9495" t="str">
            <v>Community School</v>
          </cell>
          <cell r="F9495" t="str">
            <v>Primary</v>
          </cell>
        </row>
        <row r="9496">
          <cell r="A9496">
            <v>8822111</v>
          </cell>
          <cell r="B9496">
            <v>114781</v>
          </cell>
          <cell r="C9496" t="str">
            <v>Edwards Hall Junior School</v>
          </cell>
          <cell r="D9496" t="str">
            <v>Southend-on-Sea</v>
          </cell>
          <cell r="E9496" t="str">
            <v>Community School</v>
          </cell>
          <cell r="F9496" t="str">
            <v>Primary</v>
          </cell>
        </row>
        <row r="9497">
          <cell r="A9497">
            <v>8823826</v>
          </cell>
          <cell r="B9497">
            <v>134861</v>
          </cell>
          <cell r="C9497" t="str">
            <v>Edwards Hall Primary School</v>
          </cell>
          <cell r="D9497" t="str">
            <v>Southend-on-Sea</v>
          </cell>
          <cell r="E9497" t="str">
            <v>Community School</v>
          </cell>
          <cell r="F9497" t="str">
            <v>Primary</v>
          </cell>
        </row>
        <row r="9498">
          <cell r="A9498">
            <v>9156234</v>
          </cell>
          <cell r="B9498">
            <v>128920</v>
          </cell>
          <cell r="C9498" t="str">
            <v>Edwardstone House School</v>
          </cell>
          <cell r="D9498" t="str">
            <v>Pre LGR (1998) Essex</v>
          </cell>
          <cell r="E9498" t="str">
            <v>Other Independent School</v>
          </cell>
          <cell r="F9498" t="str">
            <v>Not applicable</v>
          </cell>
        </row>
        <row r="9499">
          <cell r="A9499">
            <v>6752350</v>
          </cell>
          <cell r="B9499">
            <v>401294</v>
          </cell>
          <cell r="C9499" t="str">
            <v>Edwardsville Infant School</v>
          </cell>
          <cell r="D9499" t="str">
            <v>Merthyr Tydfil</v>
          </cell>
          <cell r="E9499" t="str">
            <v>Welsh Establishment</v>
          </cell>
          <cell r="F9499" t="str">
            <v>Primary</v>
          </cell>
        </row>
        <row r="9500">
          <cell r="A9500">
            <v>6752040</v>
          </cell>
          <cell r="B9500">
            <v>401288</v>
          </cell>
          <cell r="C9500" t="str">
            <v>Edwardsville Junior School</v>
          </cell>
          <cell r="D9500" t="str">
            <v>Merthyr Tydfil</v>
          </cell>
          <cell r="E9500" t="str">
            <v>Welsh Establishment</v>
          </cell>
          <cell r="F9500" t="str">
            <v>Primary</v>
          </cell>
        </row>
        <row r="9501">
          <cell r="A9501">
            <v>6752353</v>
          </cell>
          <cell r="B9501">
            <v>402074</v>
          </cell>
          <cell r="C9501" t="str">
            <v>Edwardsville Primary School</v>
          </cell>
          <cell r="D9501" t="str">
            <v>Merthyr Tydfil</v>
          </cell>
          <cell r="E9501" t="str">
            <v>Welsh Establishment</v>
          </cell>
          <cell r="F9501" t="str">
            <v>Primary</v>
          </cell>
        </row>
        <row r="9502">
          <cell r="A9502">
            <v>9104109</v>
          </cell>
          <cell r="B9502">
            <v>128643</v>
          </cell>
          <cell r="C9502" t="str">
            <v>Edwin Swale School</v>
          </cell>
          <cell r="D9502" t="str">
            <v>Pre LGR (1997) Derbyshire</v>
          </cell>
          <cell r="E9502" t="str">
            <v>Community School</v>
          </cell>
          <cell r="F9502" t="str">
            <v>Secondary</v>
          </cell>
        </row>
        <row r="9503">
          <cell r="A9503">
            <v>8913534</v>
          </cell>
          <cell r="B9503">
            <v>122798</v>
          </cell>
          <cell r="C9503" t="str">
            <v>Edwinstowe CofE Primary School</v>
          </cell>
          <cell r="D9503" t="str">
            <v>Nottinghamshire</v>
          </cell>
          <cell r="E9503" t="str">
            <v>Voluntary Aided School</v>
          </cell>
          <cell r="F9503" t="str">
            <v>Primary</v>
          </cell>
        </row>
        <row r="9504">
          <cell r="A9504">
            <v>9194506</v>
          </cell>
          <cell r="B9504">
            <v>117554</v>
          </cell>
          <cell r="C9504" t="str">
            <v>Edwinstree Church of England Middle School</v>
          </cell>
          <cell r="D9504" t="str">
            <v>Hertfordshire</v>
          </cell>
          <cell r="E9504" t="str">
            <v>Voluntary Controlled School</v>
          </cell>
          <cell r="F9504" t="str">
            <v>Middle Deemed Secondary</v>
          </cell>
        </row>
        <row r="9505">
          <cell r="A9505">
            <v>8806006</v>
          </cell>
          <cell r="B9505">
            <v>136738</v>
          </cell>
          <cell r="C9505" t="str">
            <v>EF International Academy Torbay</v>
          </cell>
          <cell r="D9505" t="str">
            <v>Torbay</v>
          </cell>
          <cell r="E9505" t="str">
            <v>Other Independent School</v>
          </cell>
          <cell r="F9505" t="str">
            <v>Not applicable</v>
          </cell>
        </row>
        <row r="9506">
          <cell r="A9506">
            <v>2081043</v>
          </cell>
          <cell r="B9506">
            <v>100551</v>
          </cell>
          <cell r="C9506" t="str">
            <v>Effra Nursery School and Early Years Centre</v>
          </cell>
          <cell r="D9506" t="str">
            <v>Lambeth</v>
          </cell>
          <cell r="E9506" t="str">
            <v>LA Nursery School</v>
          </cell>
          <cell r="F9506" t="str">
            <v>Nursery</v>
          </cell>
        </row>
        <row r="9507">
          <cell r="A9507">
            <v>2082191</v>
          </cell>
          <cell r="B9507">
            <v>100562</v>
          </cell>
          <cell r="C9507" t="str">
            <v>Effra Primary School</v>
          </cell>
          <cell r="D9507" t="str">
            <v>Lambeth</v>
          </cell>
          <cell r="E9507" t="str">
            <v>Community School</v>
          </cell>
          <cell r="F9507" t="str">
            <v>Primary</v>
          </cell>
        </row>
        <row r="9508">
          <cell r="A9508">
            <v>8863199</v>
          </cell>
          <cell r="B9508">
            <v>118702</v>
          </cell>
          <cell r="C9508" t="str">
            <v>Egerton Church of England Primary School</v>
          </cell>
          <cell r="D9508" t="str">
            <v>Kent</v>
          </cell>
          <cell r="E9508" t="str">
            <v>Voluntary Controlled School</v>
          </cell>
          <cell r="F9508" t="str">
            <v>Primary</v>
          </cell>
        </row>
        <row r="9509">
          <cell r="A9509">
            <v>3587009</v>
          </cell>
          <cell r="B9509">
            <v>131885</v>
          </cell>
          <cell r="C9509" t="str">
            <v>Egerton High School</v>
          </cell>
          <cell r="D9509" t="str">
            <v>Trafford</v>
          </cell>
          <cell r="E9509" t="str">
            <v>Community Special School</v>
          </cell>
          <cell r="F9509" t="str">
            <v>Special</v>
          </cell>
        </row>
        <row r="9510">
          <cell r="A9510">
            <v>3546202</v>
          </cell>
          <cell r="B9510">
            <v>136257</v>
          </cell>
          <cell r="C9510" t="str">
            <v>Egerton House School</v>
          </cell>
          <cell r="D9510" t="str">
            <v>Rochdale</v>
          </cell>
          <cell r="E9510" t="str">
            <v>Other Independent Special School</v>
          </cell>
          <cell r="F9510" t="str">
            <v>Not applicable</v>
          </cell>
        </row>
        <row r="9511">
          <cell r="A9511">
            <v>3574015</v>
          </cell>
          <cell r="B9511">
            <v>106263</v>
          </cell>
          <cell r="C9511" t="str">
            <v>Egerton Park Arts College</v>
          </cell>
          <cell r="D9511" t="str">
            <v>Tameside</v>
          </cell>
          <cell r="E9511" t="str">
            <v>Community School</v>
          </cell>
          <cell r="F9511" t="str">
            <v>Secondary</v>
          </cell>
        </row>
        <row r="9512">
          <cell r="A9512">
            <v>3502068</v>
          </cell>
          <cell r="B9512">
            <v>105192</v>
          </cell>
          <cell r="C9512" t="str">
            <v>Egerton Primary School</v>
          </cell>
          <cell r="D9512" t="str">
            <v>Bolton</v>
          </cell>
          <cell r="E9512" t="str">
            <v>Community School</v>
          </cell>
          <cell r="F9512" t="str">
            <v>Primary</v>
          </cell>
        </row>
        <row r="9513">
          <cell r="A9513">
            <v>8952258</v>
          </cell>
          <cell r="B9513">
            <v>111098</v>
          </cell>
          <cell r="C9513" t="str">
            <v>Egerton Primary School</v>
          </cell>
          <cell r="D9513" t="str">
            <v>Cheshire East</v>
          </cell>
          <cell r="E9513" t="str">
            <v>Community School</v>
          </cell>
          <cell r="F9513" t="str">
            <v>Primary</v>
          </cell>
        </row>
        <row r="9514">
          <cell r="A9514">
            <v>9062052</v>
          </cell>
          <cell r="B9514">
            <v>128393</v>
          </cell>
          <cell r="C9514" t="str">
            <v>Egerton Street County Infant School</v>
          </cell>
          <cell r="D9514" t="str">
            <v>Pre LGR (1998) Cheshire</v>
          </cell>
          <cell r="E9514" t="str">
            <v>Community School</v>
          </cell>
          <cell r="F9514" t="str">
            <v>Primary</v>
          </cell>
        </row>
        <row r="9515">
          <cell r="A9515">
            <v>3546093</v>
          </cell>
          <cell r="B9515">
            <v>135916</v>
          </cell>
          <cell r="C9515" t="str">
            <v>Egerton Street Independent School</v>
          </cell>
          <cell r="D9515" t="str">
            <v>Rochdale</v>
          </cell>
          <cell r="E9515" t="str">
            <v>Other Independent Special School</v>
          </cell>
          <cell r="F9515" t="str">
            <v>Not applicable</v>
          </cell>
        </row>
        <row r="9516">
          <cell r="A9516">
            <v>9196062</v>
          </cell>
          <cell r="B9516">
            <v>117623</v>
          </cell>
          <cell r="C9516" t="str">
            <v>Egerton-Rothesay School</v>
          </cell>
          <cell r="D9516" t="str">
            <v>Hertfordshire</v>
          </cell>
          <cell r="E9516" t="str">
            <v>Other Independent School</v>
          </cell>
          <cell r="F9516" t="str">
            <v>Not applicable</v>
          </cell>
        </row>
        <row r="9517">
          <cell r="A9517">
            <v>8504000</v>
          </cell>
          <cell r="B9517">
            <v>116404</v>
          </cell>
          <cell r="C9517" t="str">
            <v>Eggar's School</v>
          </cell>
          <cell r="D9517" t="str">
            <v>Hampshire</v>
          </cell>
          <cell r="E9517" t="str">
            <v>Community School</v>
          </cell>
          <cell r="F9517" t="str">
            <v>Secondary</v>
          </cell>
        </row>
        <row r="9518">
          <cell r="A9518">
            <v>8794185</v>
          </cell>
          <cell r="B9518">
            <v>113542</v>
          </cell>
          <cell r="C9518" t="str">
            <v>Eggbuckland Community College</v>
          </cell>
          <cell r="D9518" t="str">
            <v>Plymouth</v>
          </cell>
          <cell r="E9518" t="str">
            <v>Foundation School</v>
          </cell>
          <cell r="F9518" t="str">
            <v>Secondary</v>
          </cell>
        </row>
        <row r="9519">
          <cell r="A9519">
            <v>8792703</v>
          </cell>
          <cell r="B9519">
            <v>113324</v>
          </cell>
          <cell r="C9519" t="str">
            <v>Eggbuckland Vale Primary School</v>
          </cell>
          <cell r="D9519" t="str">
            <v>Plymouth</v>
          </cell>
          <cell r="E9519" t="str">
            <v>Community School</v>
          </cell>
          <cell r="F9519" t="str">
            <v>Primary</v>
          </cell>
        </row>
        <row r="9520">
          <cell r="A9520">
            <v>8302103</v>
          </cell>
          <cell r="B9520">
            <v>112547</v>
          </cell>
          <cell r="C9520" t="str">
            <v>Egginton Primary School</v>
          </cell>
          <cell r="D9520" t="str">
            <v>Derbyshire</v>
          </cell>
          <cell r="E9520" t="str">
            <v>Community School</v>
          </cell>
          <cell r="F9520" t="str">
            <v>Primary</v>
          </cell>
        </row>
        <row r="9521">
          <cell r="A9521">
            <v>8083004</v>
          </cell>
          <cell r="B9521">
            <v>111671</v>
          </cell>
          <cell r="C9521" t="str">
            <v>Egglescliffe Church of England Voluntary Controlled Primary School</v>
          </cell>
          <cell r="D9521" t="str">
            <v>Stockton-on-Tees</v>
          </cell>
          <cell r="E9521" t="str">
            <v>Voluntary Controlled School</v>
          </cell>
          <cell r="F9521" t="str">
            <v>Primary</v>
          </cell>
        </row>
        <row r="9522">
          <cell r="A9522">
            <v>8084008</v>
          </cell>
          <cell r="B9522">
            <v>111727</v>
          </cell>
          <cell r="C9522" t="str">
            <v>Egglescliffe School</v>
          </cell>
          <cell r="D9522" t="str">
            <v>Stockton-on-Tees</v>
          </cell>
          <cell r="E9522" t="str">
            <v>Community School</v>
          </cell>
          <cell r="F9522" t="str">
            <v>Secondary</v>
          </cell>
        </row>
        <row r="9523">
          <cell r="A9523">
            <v>9293402</v>
          </cell>
          <cell r="B9523">
            <v>122288</v>
          </cell>
          <cell r="C9523" t="str">
            <v>Eglingham Church of England First School</v>
          </cell>
          <cell r="D9523" t="str">
            <v>Northumberland</v>
          </cell>
          <cell r="E9523" t="str">
            <v>Voluntary Aided School</v>
          </cell>
          <cell r="F9523" t="str">
            <v>Primary</v>
          </cell>
        </row>
        <row r="9524">
          <cell r="A9524">
            <v>2032195</v>
          </cell>
          <cell r="B9524">
            <v>100124</v>
          </cell>
          <cell r="C9524" t="str">
            <v>Eglinton Infant School</v>
          </cell>
          <cell r="D9524" t="str">
            <v>Greenwich</v>
          </cell>
          <cell r="E9524" t="str">
            <v>Community School</v>
          </cell>
          <cell r="F9524" t="str">
            <v>Primary</v>
          </cell>
        </row>
        <row r="9525">
          <cell r="A9525">
            <v>2032194</v>
          </cell>
          <cell r="B9525">
            <v>100123</v>
          </cell>
          <cell r="C9525" t="str">
            <v>Eglinton Junior School</v>
          </cell>
          <cell r="D9525" t="str">
            <v>Greenwich</v>
          </cell>
          <cell r="E9525" t="str">
            <v>Community School</v>
          </cell>
          <cell r="F9525" t="str">
            <v>Primary</v>
          </cell>
        </row>
        <row r="9526">
          <cell r="A9526">
            <v>2032925</v>
          </cell>
          <cell r="B9526">
            <v>132827</v>
          </cell>
          <cell r="C9526" t="str">
            <v>Eglinton Primary School</v>
          </cell>
          <cell r="D9526" t="str">
            <v>Greenwich</v>
          </cell>
          <cell r="E9526" t="str">
            <v>Community School</v>
          </cell>
          <cell r="F9526" t="str">
            <v>Primary</v>
          </cell>
        </row>
        <row r="9527">
          <cell r="A9527">
            <v>9082605</v>
          </cell>
          <cell r="B9527">
            <v>111928</v>
          </cell>
          <cell r="C9527" t="str">
            <v>Egloskerry School</v>
          </cell>
          <cell r="D9527" t="str">
            <v>Cornwall</v>
          </cell>
          <cell r="E9527" t="str">
            <v>Community School</v>
          </cell>
          <cell r="F9527" t="str">
            <v>Primary</v>
          </cell>
        </row>
        <row r="9528">
          <cell r="A9528">
            <v>6812085</v>
          </cell>
          <cell r="B9528">
            <v>401603</v>
          </cell>
          <cell r="C9528" t="str">
            <v>Eglwys Newydd Primary School</v>
          </cell>
          <cell r="D9528" t="str">
            <v>Cardiff</v>
          </cell>
          <cell r="E9528" t="str">
            <v>Welsh Establishment</v>
          </cell>
          <cell r="F9528" t="str">
            <v>Primary</v>
          </cell>
        </row>
        <row r="9529">
          <cell r="A9529">
            <v>6812088</v>
          </cell>
          <cell r="B9529">
            <v>401604</v>
          </cell>
          <cell r="C9529" t="str">
            <v>Eglwys Wen Primary School</v>
          </cell>
          <cell r="D9529" t="str">
            <v>Cardiff</v>
          </cell>
          <cell r="E9529" t="str">
            <v>Welsh Establishment</v>
          </cell>
          <cell r="F9529" t="str">
            <v>Primary</v>
          </cell>
        </row>
        <row r="9530">
          <cell r="A9530">
            <v>3442244</v>
          </cell>
          <cell r="B9530">
            <v>105035</v>
          </cell>
          <cell r="C9530" t="str">
            <v>Egremont Primary School</v>
          </cell>
          <cell r="D9530" t="str">
            <v>Wirral</v>
          </cell>
          <cell r="E9530" t="str">
            <v>Community School</v>
          </cell>
          <cell r="F9530" t="str">
            <v>Primary</v>
          </cell>
        </row>
        <row r="9531">
          <cell r="A9531">
            <v>8153308</v>
          </cell>
          <cell r="B9531">
            <v>121610</v>
          </cell>
          <cell r="C9531" t="str">
            <v>Egton Church of England Voluntary Aided Primary School</v>
          </cell>
          <cell r="D9531" t="str">
            <v>North Yorkshire</v>
          </cell>
          <cell r="E9531" t="str">
            <v>Voluntary Aided School</v>
          </cell>
          <cell r="F9531" t="str">
            <v>Primary</v>
          </cell>
        </row>
        <row r="9532">
          <cell r="A9532">
            <v>9094200</v>
          </cell>
          <cell r="B9532">
            <v>112386</v>
          </cell>
          <cell r="C9532" t="str">
            <v>Ehenside Community School</v>
          </cell>
          <cell r="D9532" t="str">
            <v>Cumbria</v>
          </cell>
          <cell r="E9532" t="str">
            <v>Community School</v>
          </cell>
          <cell r="F9532" t="str">
            <v>Secondary</v>
          </cell>
        </row>
        <row r="9533">
          <cell r="A9533">
            <v>3412156</v>
          </cell>
          <cell r="B9533">
            <v>104583</v>
          </cell>
          <cell r="C9533" t="str">
            <v>Eileen Craven Junior Mixed and Infant School</v>
          </cell>
          <cell r="D9533" t="str">
            <v>Liverpool</v>
          </cell>
          <cell r="E9533" t="str">
            <v>Community School</v>
          </cell>
          <cell r="F9533" t="str">
            <v>Primary</v>
          </cell>
        </row>
        <row r="9534">
          <cell r="A9534">
            <v>8222036</v>
          </cell>
          <cell r="B9534">
            <v>109443</v>
          </cell>
          <cell r="C9534" t="str">
            <v>Eileen Wade Lower School</v>
          </cell>
          <cell r="D9534" t="str">
            <v>Bedford</v>
          </cell>
          <cell r="E9534" t="str">
            <v>Foundation School</v>
          </cell>
          <cell r="F9534" t="str">
            <v>Primary</v>
          </cell>
        </row>
        <row r="9535">
          <cell r="A9535">
            <v>3126062</v>
          </cell>
          <cell r="B9535">
            <v>130364</v>
          </cell>
          <cell r="C9535" t="str">
            <v>Eilmar Montessori School and Nursery</v>
          </cell>
          <cell r="D9535" t="str">
            <v>Hillingdon</v>
          </cell>
          <cell r="E9535" t="str">
            <v>Other Independent School</v>
          </cell>
          <cell r="F9535" t="str">
            <v>Not applicable</v>
          </cell>
        </row>
        <row r="9536">
          <cell r="A9536">
            <v>6625402</v>
          </cell>
          <cell r="B9536">
            <v>401689</v>
          </cell>
          <cell r="C9536" t="str">
            <v>Eirias High School</v>
          </cell>
          <cell r="D9536" t="str">
            <v>Conwy</v>
          </cell>
          <cell r="E9536" t="str">
            <v>Welsh Establishment</v>
          </cell>
          <cell r="F9536" t="str">
            <v>Secondary</v>
          </cell>
        </row>
        <row r="9537">
          <cell r="A9537">
            <v>373945</v>
          </cell>
          <cell r="B9537">
            <v>135709</v>
          </cell>
          <cell r="C9537" t="str">
            <v>Eis Sheffield Learning Zone</v>
          </cell>
          <cell r="D9537" t="str">
            <v>Sheffield</v>
          </cell>
          <cell r="E9537" t="str">
            <v>Playing for Success Centres</v>
          </cell>
          <cell r="F9537" t="str">
            <v>Not applicable</v>
          </cell>
        </row>
        <row r="9538">
          <cell r="A9538">
            <v>9222417</v>
          </cell>
          <cell r="B9538">
            <v>129376</v>
          </cell>
          <cell r="C9538" t="str">
            <v>Elaine Avenue County Infant School</v>
          </cell>
          <cell r="D9538" t="str">
            <v>Pre LGR (1998) Kent</v>
          </cell>
          <cell r="E9538" t="str">
            <v>Community School</v>
          </cell>
          <cell r="F9538" t="str">
            <v>Primary</v>
          </cell>
        </row>
        <row r="9539">
          <cell r="A9539">
            <v>9222217</v>
          </cell>
          <cell r="B9539">
            <v>129368</v>
          </cell>
          <cell r="C9539" t="str">
            <v>Elaine Avenue Junior School</v>
          </cell>
          <cell r="D9539" t="str">
            <v>Pre LGR (1998) Kent</v>
          </cell>
          <cell r="E9539" t="str">
            <v>Community School</v>
          </cell>
          <cell r="F9539" t="str">
            <v>Primary</v>
          </cell>
        </row>
        <row r="9540">
          <cell r="A9540">
            <v>8872671</v>
          </cell>
          <cell r="B9540">
            <v>118582</v>
          </cell>
          <cell r="C9540" t="str">
            <v>Elaine Primary School</v>
          </cell>
          <cell r="D9540" t="str">
            <v>Medway</v>
          </cell>
          <cell r="E9540" t="str">
            <v>Community School</v>
          </cell>
          <cell r="F9540" t="str">
            <v>Primary</v>
          </cell>
        </row>
        <row r="9541">
          <cell r="A9541">
            <v>8252282</v>
          </cell>
          <cell r="B9541">
            <v>110353</v>
          </cell>
          <cell r="C9541" t="str">
            <v>Elangeni School</v>
          </cell>
          <cell r="D9541" t="str">
            <v>Buckinghamshire</v>
          </cell>
          <cell r="E9541" t="str">
            <v>Community School</v>
          </cell>
          <cell r="F9541" t="str">
            <v>Primary</v>
          </cell>
        </row>
        <row r="9542">
          <cell r="A9542">
            <v>8792701</v>
          </cell>
          <cell r="B9542">
            <v>113322</v>
          </cell>
          <cell r="C9542" t="str">
            <v>Elburton Primary School</v>
          </cell>
          <cell r="D9542" t="str">
            <v>Plymouth</v>
          </cell>
          <cell r="E9542" t="str">
            <v>Foundation School</v>
          </cell>
          <cell r="F9542" t="str">
            <v>Primary</v>
          </cell>
        </row>
        <row r="9543">
          <cell r="A9543">
            <v>9182166</v>
          </cell>
          <cell r="B9543">
            <v>129079</v>
          </cell>
          <cell r="C9543" t="str">
            <v>Elbury Mount Infant School</v>
          </cell>
          <cell r="D9543" t="str">
            <v>Pre LGR (1998) Hereford &amp; Worcester</v>
          </cell>
          <cell r="E9543" t="str">
            <v>Community School</v>
          </cell>
          <cell r="F9543" t="str">
            <v>Primary</v>
          </cell>
        </row>
        <row r="9544">
          <cell r="A9544">
            <v>9182165</v>
          </cell>
          <cell r="B9544">
            <v>129078</v>
          </cell>
          <cell r="C9544" t="str">
            <v>Elbury Mount Junior School</v>
          </cell>
          <cell r="D9544" t="str">
            <v>Pre LGR (1998) Hereford &amp; Worcester</v>
          </cell>
          <cell r="E9544" t="str">
            <v>Community School</v>
          </cell>
          <cell r="F9544" t="str">
            <v>Primary</v>
          </cell>
        </row>
        <row r="9545">
          <cell r="A9545">
            <v>8662172</v>
          </cell>
          <cell r="B9545">
            <v>126257</v>
          </cell>
          <cell r="C9545" t="str">
            <v>Eldene Infants' School</v>
          </cell>
          <cell r="D9545" t="str">
            <v>Swindon</v>
          </cell>
          <cell r="E9545" t="str">
            <v>Community School</v>
          </cell>
          <cell r="F9545" t="str">
            <v>Primary</v>
          </cell>
        </row>
        <row r="9546">
          <cell r="A9546">
            <v>8662171</v>
          </cell>
          <cell r="B9546">
            <v>126256</v>
          </cell>
          <cell r="C9546" t="str">
            <v>Eldene Junior School</v>
          </cell>
          <cell r="D9546" t="str">
            <v>Swindon</v>
          </cell>
          <cell r="E9546" t="str">
            <v>Community School</v>
          </cell>
          <cell r="F9546" t="str">
            <v>Primary</v>
          </cell>
        </row>
        <row r="9547">
          <cell r="A9547">
            <v>8662009</v>
          </cell>
          <cell r="B9547">
            <v>132229</v>
          </cell>
          <cell r="C9547" t="str">
            <v>Eldene Primary School</v>
          </cell>
          <cell r="D9547" t="str">
            <v>Swindon</v>
          </cell>
          <cell r="E9547" t="str">
            <v>Community School</v>
          </cell>
          <cell r="F9547" t="str">
            <v>Primary</v>
          </cell>
        </row>
        <row r="9548">
          <cell r="A9548">
            <v>8853039</v>
          </cell>
          <cell r="B9548">
            <v>116807</v>
          </cell>
          <cell r="C9548" t="str">
            <v>Eldersfield Lawn CofE Primary School</v>
          </cell>
          <cell r="D9548" t="str">
            <v>Worcestershire</v>
          </cell>
          <cell r="E9548" t="str">
            <v>Voluntary Controlled School</v>
          </cell>
          <cell r="F9548" t="str">
            <v>Primary</v>
          </cell>
        </row>
        <row r="9549">
          <cell r="A9549">
            <v>8052151</v>
          </cell>
          <cell r="B9549">
            <v>111589</v>
          </cell>
          <cell r="C9549" t="str">
            <v>Eldon Grove Primary School</v>
          </cell>
          <cell r="D9549" t="str">
            <v>Hartlepool</v>
          </cell>
          <cell r="E9549" t="str">
            <v>Community School</v>
          </cell>
          <cell r="F9549" t="str">
            <v>Primary</v>
          </cell>
        </row>
        <row r="9550">
          <cell r="A9550">
            <v>3082025</v>
          </cell>
          <cell r="B9550">
            <v>101988</v>
          </cell>
          <cell r="C9550" t="str">
            <v>Eldon Infant School</v>
          </cell>
          <cell r="D9550" t="str">
            <v>Enfield</v>
          </cell>
          <cell r="E9550" t="str">
            <v>Community School</v>
          </cell>
          <cell r="F9550" t="str">
            <v>Primary</v>
          </cell>
        </row>
        <row r="9551">
          <cell r="A9551">
            <v>3082024</v>
          </cell>
          <cell r="B9551">
            <v>101987</v>
          </cell>
          <cell r="C9551" t="str">
            <v>Eldon Junior School</v>
          </cell>
          <cell r="D9551" t="str">
            <v>Enfield</v>
          </cell>
          <cell r="E9551" t="str">
            <v>Community School</v>
          </cell>
          <cell r="F9551" t="str">
            <v>Primary</v>
          </cell>
        </row>
        <row r="9552">
          <cell r="A9552">
            <v>8402437</v>
          </cell>
          <cell r="B9552">
            <v>114112</v>
          </cell>
          <cell r="C9552" t="str">
            <v>Eldon Lane Primary School</v>
          </cell>
          <cell r="D9552" t="str">
            <v>Durham</v>
          </cell>
          <cell r="E9552" t="str">
            <v>Community School</v>
          </cell>
          <cell r="F9552" t="str">
            <v>Primary</v>
          </cell>
        </row>
        <row r="9553">
          <cell r="A9553">
            <v>8882188</v>
          </cell>
          <cell r="B9553">
            <v>119229</v>
          </cell>
          <cell r="C9553" t="str">
            <v>Eldon Primary School</v>
          </cell>
          <cell r="D9553" t="str">
            <v>Lancashire</v>
          </cell>
          <cell r="E9553" t="str">
            <v>Community School</v>
          </cell>
          <cell r="F9553" t="str">
            <v>Primary</v>
          </cell>
        </row>
        <row r="9554">
          <cell r="A9554">
            <v>3802113</v>
          </cell>
          <cell r="B9554">
            <v>107255</v>
          </cell>
          <cell r="C9554" t="str">
            <v>Eldwick Primary School</v>
          </cell>
          <cell r="D9554" t="str">
            <v>Bradford</v>
          </cell>
          <cell r="E9554" t="str">
            <v>Community School</v>
          </cell>
          <cell r="F9554" t="str">
            <v>Primary</v>
          </cell>
        </row>
        <row r="9555">
          <cell r="A9555">
            <v>2022841</v>
          </cell>
          <cell r="B9555">
            <v>100027</v>
          </cell>
          <cell r="C9555" t="str">
            <v>Eleanor Palmer Primary School</v>
          </cell>
          <cell r="D9555" t="str">
            <v>Camden</v>
          </cell>
          <cell r="E9555" t="str">
            <v>Community School</v>
          </cell>
          <cell r="F9555" t="str">
            <v>Primary</v>
          </cell>
        </row>
        <row r="9556">
          <cell r="A9556">
            <v>3167007</v>
          </cell>
          <cell r="B9556">
            <v>102793</v>
          </cell>
          <cell r="C9556" t="str">
            <v>Eleanor Smith School</v>
          </cell>
          <cell r="D9556" t="str">
            <v>Newham</v>
          </cell>
          <cell r="E9556" t="str">
            <v>Community Special School</v>
          </cell>
          <cell r="F9556" t="str">
            <v>Special</v>
          </cell>
        </row>
        <row r="9557">
          <cell r="A9557">
            <v>8407006</v>
          </cell>
          <cell r="B9557">
            <v>114337</v>
          </cell>
          <cell r="C9557" t="str">
            <v>Elemore Hall School</v>
          </cell>
          <cell r="D9557" t="str">
            <v>Durham</v>
          </cell>
          <cell r="E9557" t="str">
            <v>Community Special School</v>
          </cell>
          <cell r="F9557" t="str">
            <v>Special</v>
          </cell>
        </row>
        <row r="9558">
          <cell r="A9558">
            <v>6644011</v>
          </cell>
          <cell r="B9558">
            <v>401701</v>
          </cell>
          <cell r="C9558" t="str">
            <v>Elfed High School</v>
          </cell>
          <cell r="D9558" t="str">
            <v>Flintshire</v>
          </cell>
          <cell r="E9558" t="str">
            <v>Welsh Establishment</v>
          </cell>
          <cell r="F9558" t="str">
            <v>Secondary</v>
          </cell>
        </row>
        <row r="9559">
          <cell r="A9559">
            <v>2092199</v>
          </cell>
          <cell r="B9559">
            <v>126655</v>
          </cell>
          <cell r="C9559" t="str">
            <v>Elfrida Infant School</v>
          </cell>
          <cell r="D9559" t="str">
            <v>Lewisham</v>
          </cell>
          <cell r="E9559" t="str">
            <v>Community School</v>
          </cell>
          <cell r="F9559" t="str">
            <v>Primary</v>
          </cell>
        </row>
        <row r="9560">
          <cell r="A9560">
            <v>2092197</v>
          </cell>
          <cell r="B9560">
            <v>100681</v>
          </cell>
          <cell r="C9560" t="str">
            <v>Elfrida Primary School</v>
          </cell>
          <cell r="D9560" t="str">
            <v>Lewisham</v>
          </cell>
          <cell r="E9560" t="str">
            <v>Community School</v>
          </cell>
          <cell r="F9560" t="str">
            <v>Primary</v>
          </cell>
        </row>
        <row r="9561">
          <cell r="A9561">
            <v>316941</v>
          </cell>
          <cell r="B9561">
            <v>133416</v>
          </cell>
          <cell r="C9561" t="str">
            <v>ELG Interface</v>
          </cell>
          <cell r="D9561" t="str">
            <v>Newham</v>
          </cell>
          <cell r="E9561" t="str">
            <v>Playing for Success Centres</v>
          </cell>
          <cell r="F9561" t="str">
            <v>Not applicable</v>
          </cell>
        </row>
        <row r="9562">
          <cell r="A9562">
            <v>8854431</v>
          </cell>
          <cell r="B9562">
            <v>116977</v>
          </cell>
          <cell r="C9562" t="str">
            <v>Elgar Technology College</v>
          </cell>
          <cell r="D9562" t="str">
            <v>Worcestershire</v>
          </cell>
          <cell r="E9562" t="str">
            <v>Community School</v>
          </cell>
          <cell r="F9562" t="str">
            <v>Secondary</v>
          </cell>
        </row>
        <row r="9563">
          <cell r="A9563">
            <v>8863347</v>
          </cell>
          <cell r="B9563">
            <v>118741</v>
          </cell>
          <cell r="C9563" t="str">
            <v>Elham Church of England Primary School</v>
          </cell>
          <cell r="D9563" t="str">
            <v>Kent</v>
          </cell>
          <cell r="E9563" t="str">
            <v>Voluntary Aided School</v>
          </cell>
          <cell r="F9563" t="str">
            <v>Primary</v>
          </cell>
        </row>
        <row r="9564">
          <cell r="A9564">
            <v>3416045</v>
          </cell>
          <cell r="B9564">
            <v>132062</v>
          </cell>
          <cell r="C9564" t="str">
            <v>Elimu Academy</v>
          </cell>
          <cell r="D9564" t="str">
            <v>Liverpool</v>
          </cell>
          <cell r="E9564" t="str">
            <v>Other Independent School</v>
          </cell>
          <cell r="F9564" t="str">
            <v>Not applicable</v>
          </cell>
        </row>
        <row r="9565">
          <cell r="A9565">
            <v>8502196</v>
          </cell>
          <cell r="B9565">
            <v>115955</v>
          </cell>
          <cell r="C9565" t="str">
            <v>Eling Infant School</v>
          </cell>
          <cell r="D9565" t="str">
            <v>Hampshire</v>
          </cell>
          <cell r="E9565" t="str">
            <v>Community School</v>
          </cell>
          <cell r="F9565" t="str">
            <v>Primary</v>
          </cell>
        </row>
        <row r="9566">
          <cell r="A9566">
            <v>2092815</v>
          </cell>
          <cell r="B9566">
            <v>100711</v>
          </cell>
          <cell r="C9566" t="str">
            <v>Eliot Bank Primary School</v>
          </cell>
          <cell r="D9566" t="str">
            <v>Lewisham</v>
          </cell>
          <cell r="E9566" t="str">
            <v>Community School</v>
          </cell>
          <cell r="F9566" t="str">
            <v>Primary</v>
          </cell>
        </row>
        <row r="9567">
          <cell r="A9567">
            <v>2057125</v>
          </cell>
          <cell r="B9567">
            <v>126631</v>
          </cell>
          <cell r="C9567" t="str">
            <v>Elizabeth Burgwin School</v>
          </cell>
          <cell r="D9567" t="str">
            <v>Hammersmith and Fulham</v>
          </cell>
          <cell r="E9567" t="str">
            <v>Community Special School</v>
          </cell>
          <cell r="F9567" t="str">
            <v>Special</v>
          </cell>
        </row>
        <row r="9568">
          <cell r="A9568">
            <v>7066006</v>
          </cell>
          <cell r="B9568">
            <v>132538</v>
          </cell>
          <cell r="C9568" t="str">
            <v>Elizabeth College</v>
          </cell>
          <cell r="D9568" t="str">
            <v>Guernsey Offshore Establishments</v>
          </cell>
          <cell r="E9568" t="str">
            <v>Offshore Schools</v>
          </cell>
          <cell r="F9568" t="str">
            <v>Not applicable</v>
          </cell>
        </row>
        <row r="9569">
          <cell r="A9569">
            <v>3931000</v>
          </cell>
          <cell r="B9569">
            <v>108658</v>
          </cell>
          <cell r="C9569" t="str">
            <v>Elizabeth Diamond Nursery School</v>
          </cell>
          <cell r="D9569" t="str">
            <v>South Tyneside</v>
          </cell>
          <cell r="E9569" t="str">
            <v>LA Nursery School</v>
          </cell>
          <cell r="F9569" t="str">
            <v>Nursery</v>
          </cell>
        </row>
        <row r="9570">
          <cell r="A9570">
            <v>3167000</v>
          </cell>
          <cell r="B9570">
            <v>127004</v>
          </cell>
          <cell r="C9570" t="str">
            <v>Elizabeth Fry School</v>
          </cell>
          <cell r="D9570" t="str">
            <v>Newham</v>
          </cell>
          <cell r="E9570" t="str">
            <v>Community Special School</v>
          </cell>
          <cell r="F9570" t="str">
            <v>Special</v>
          </cell>
        </row>
        <row r="9571">
          <cell r="A9571">
            <v>2064324</v>
          </cell>
          <cell r="B9571">
            <v>100457</v>
          </cell>
          <cell r="C9571" t="str">
            <v>Elizabeth Garrett Anderson Language College</v>
          </cell>
          <cell r="D9571" t="str">
            <v>Islington</v>
          </cell>
          <cell r="E9571" t="str">
            <v>Community School</v>
          </cell>
          <cell r="F9571" t="str">
            <v>Secondary</v>
          </cell>
        </row>
        <row r="9572">
          <cell r="A9572">
            <v>9386213</v>
          </cell>
          <cell r="B9572">
            <v>130197</v>
          </cell>
          <cell r="C9572" t="str">
            <v>Elizabeth House School</v>
          </cell>
          <cell r="D9572" t="str">
            <v>West Sussex</v>
          </cell>
          <cell r="E9572" t="str">
            <v>Other Independent School</v>
          </cell>
          <cell r="F9572" t="str">
            <v>Not applicable</v>
          </cell>
        </row>
        <row r="9573">
          <cell r="A9573">
            <v>2111013</v>
          </cell>
          <cell r="B9573">
            <v>100883</v>
          </cell>
          <cell r="C9573" t="str">
            <v>Elizabeth Landsbury Nursery School</v>
          </cell>
          <cell r="D9573" t="str">
            <v>Tower Hamlets</v>
          </cell>
          <cell r="E9573" t="str">
            <v>LA Nursery School</v>
          </cell>
          <cell r="F9573" t="str">
            <v>Nursery</v>
          </cell>
        </row>
        <row r="9574">
          <cell r="A9574">
            <v>2112378</v>
          </cell>
          <cell r="B9574">
            <v>100908</v>
          </cell>
          <cell r="C9574" t="str">
            <v>Elizabeth Selby Infants' School</v>
          </cell>
          <cell r="D9574" t="str">
            <v>Tower Hamlets</v>
          </cell>
          <cell r="E9574" t="str">
            <v>Community School</v>
          </cell>
          <cell r="F9574" t="str">
            <v>Primary</v>
          </cell>
        </row>
        <row r="9575">
          <cell r="A9575">
            <v>8552123</v>
          </cell>
          <cell r="B9575">
            <v>119959</v>
          </cell>
          <cell r="C9575" t="str">
            <v>Elizabeth Woodville Primary School</v>
          </cell>
          <cell r="D9575" t="str">
            <v>Leicestershire</v>
          </cell>
          <cell r="E9575" t="str">
            <v>Community School</v>
          </cell>
          <cell r="F9575" t="str">
            <v>Primary</v>
          </cell>
        </row>
        <row r="9576">
          <cell r="A9576">
            <v>9284041</v>
          </cell>
          <cell r="B9576">
            <v>122060</v>
          </cell>
          <cell r="C9576" t="str">
            <v>Elizabeth Woodville School</v>
          </cell>
          <cell r="D9576" t="str">
            <v>Northamptonshire</v>
          </cell>
          <cell r="E9576" t="str">
            <v>Community School</v>
          </cell>
          <cell r="F9576" t="str">
            <v>Secondary</v>
          </cell>
        </row>
        <row r="9577">
          <cell r="A9577">
            <v>8912741</v>
          </cell>
          <cell r="B9577">
            <v>122640</v>
          </cell>
          <cell r="C9577" t="str">
            <v>Elkesley Primary and Nursery School</v>
          </cell>
          <cell r="D9577" t="str">
            <v>Nottinghamshire</v>
          </cell>
          <cell r="E9577" t="str">
            <v>Community School</v>
          </cell>
          <cell r="F9577" t="str">
            <v>Primary</v>
          </cell>
        </row>
        <row r="9578">
          <cell r="A9578">
            <v>8802454</v>
          </cell>
          <cell r="B9578">
            <v>113230</v>
          </cell>
          <cell r="C9578" t="str">
            <v>Ellacombe School</v>
          </cell>
          <cell r="D9578" t="str">
            <v>Torbay</v>
          </cell>
          <cell r="E9578" t="str">
            <v>Community School</v>
          </cell>
          <cell r="F9578" t="str">
            <v>Primary</v>
          </cell>
        </row>
        <row r="9579">
          <cell r="A9579">
            <v>3813318</v>
          </cell>
          <cell r="B9579">
            <v>107550</v>
          </cell>
          <cell r="C9579" t="str">
            <v>Elland CofE Junior and Infant School</v>
          </cell>
          <cell r="D9579" t="str">
            <v>Calderdale</v>
          </cell>
          <cell r="E9579" t="str">
            <v>Voluntary Aided School</v>
          </cell>
          <cell r="F9579" t="str">
            <v>Primary</v>
          </cell>
        </row>
        <row r="9580">
          <cell r="A9580">
            <v>3536019</v>
          </cell>
          <cell r="B9580">
            <v>131751</v>
          </cell>
          <cell r="C9580" t="str">
            <v>Elland House School</v>
          </cell>
          <cell r="D9580" t="str">
            <v>Oldham</v>
          </cell>
          <cell r="E9580" t="str">
            <v>Other Independent Special School</v>
          </cell>
          <cell r="F9580" t="str">
            <v>Not applicable</v>
          </cell>
        </row>
        <row r="9581">
          <cell r="A9581">
            <v>3546007</v>
          </cell>
          <cell r="B9581">
            <v>134879</v>
          </cell>
          <cell r="C9581" t="str">
            <v>Elland House School</v>
          </cell>
          <cell r="D9581" t="str">
            <v>Rochdale</v>
          </cell>
          <cell r="E9581" t="str">
            <v>Other Independent Special School</v>
          </cell>
          <cell r="F9581" t="str">
            <v>Not applicable</v>
          </cell>
        </row>
        <row r="9582">
          <cell r="A9582">
            <v>3801108</v>
          </cell>
          <cell r="B9582">
            <v>137497</v>
          </cell>
          <cell r="C9582" t="str">
            <v>Ellar Carr</v>
          </cell>
          <cell r="D9582" t="str">
            <v>Bradford</v>
          </cell>
          <cell r="E9582" t="str">
            <v>Pupil Referral Unit</v>
          </cell>
          <cell r="F9582" t="str">
            <v>PRU</v>
          </cell>
        </row>
        <row r="9583">
          <cell r="A9583">
            <v>3807029</v>
          </cell>
          <cell r="B9583">
            <v>131371</v>
          </cell>
          <cell r="C9583" t="str">
            <v>Ellar Carr School</v>
          </cell>
          <cell r="D9583" t="str">
            <v>Bradford</v>
          </cell>
          <cell r="E9583" t="str">
            <v>Community Special School</v>
          </cell>
          <cell r="F9583" t="str">
            <v>Special</v>
          </cell>
        </row>
        <row r="9584">
          <cell r="A9584">
            <v>8883525</v>
          </cell>
          <cell r="B9584">
            <v>119527</v>
          </cell>
          <cell r="C9584" t="str">
            <v>Ellel St John the Evangelist Church of England Primary School</v>
          </cell>
          <cell r="D9584" t="str">
            <v>Lancashire</v>
          </cell>
          <cell r="E9584" t="str">
            <v>Voluntary Aided School</v>
          </cell>
          <cell r="F9584" t="str">
            <v>Primary</v>
          </cell>
        </row>
        <row r="9585">
          <cell r="A9585">
            <v>8787002</v>
          </cell>
          <cell r="B9585">
            <v>113633</v>
          </cell>
          <cell r="C9585" t="str">
            <v>Ellen Tinkham School</v>
          </cell>
          <cell r="D9585" t="str">
            <v>Devon</v>
          </cell>
          <cell r="E9585" t="str">
            <v>Community Special School</v>
          </cell>
          <cell r="F9585" t="str">
            <v>Special</v>
          </cell>
        </row>
        <row r="9586">
          <cell r="A9586">
            <v>3524278</v>
          </cell>
          <cell r="B9586">
            <v>105566</v>
          </cell>
          <cell r="C9586" t="str">
            <v>Ellen Wilkinson High School</v>
          </cell>
          <cell r="D9586" t="str">
            <v>Manchester</v>
          </cell>
          <cell r="E9586" t="str">
            <v>Community School</v>
          </cell>
          <cell r="F9586" t="str">
            <v>Secondary</v>
          </cell>
        </row>
        <row r="9587">
          <cell r="A9587">
            <v>3162090</v>
          </cell>
          <cell r="B9587">
            <v>102759</v>
          </cell>
          <cell r="C9587" t="str">
            <v>Ellen Wilkinson Primary School</v>
          </cell>
          <cell r="D9587" t="str">
            <v>Newham</v>
          </cell>
          <cell r="E9587" t="str">
            <v>Community School</v>
          </cell>
          <cell r="F9587" t="str">
            <v>Primary</v>
          </cell>
        </row>
        <row r="9588">
          <cell r="A9588">
            <v>9092124</v>
          </cell>
          <cell r="B9588">
            <v>112134</v>
          </cell>
          <cell r="C9588" t="str">
            <v>Ellenborough and Ewanrigg Infant School</v>
          </cell>
          <cell r="D9588" t="str">
            <v>Cumbria</v>
          </cell>
          <cell r="E9588" t="str">
            <v>Community School</v>
          </cell>
          <cell r="F9588" t="str">
            <v>Primary</v>
          </cell>
        </row>
        <row r="9589">
          <cell r="A9589">
            <v>9091012</v>
          </cell>
          <cell r="B9589">
            <v>112094</v>
          </cell>
          <cell r="C9589" t="str">
            <v>Ellenborough Nursery School</v>
          </cell>
          <cell r="D9589" t="str">
            <v>Cumbria</v>
          </cell>
          <cell r="E9589" t="str">
            <v>LA Nursery School</v>
          </cell>
          <cell r="F9589" t="str">
            <v>Nursery</v>
          </cell>
        </row>
        <row r="9590">
          <cell r="A9590">
            <v>3552097</v>
          </cell>
          <cell r="B9590">
            <v>130396</v>
          </cell>
          <cell r="C9590" t="str">
            <v>Ellenbrook Community Primary School</v>
          </cell>
          <cell r="D9590" t="str">
            <v>Salford</v>
          </cell>
          <cell r="E9590" t="str">
            <v>Community School</v>
          </cell>
          <cell r="F9590" t="str">
            <v>Primary</v>
          </cell>
        </row>
        <row r="9591">
          <cell r="A9591">
            <v>3447005</v>
          </cell>
          <cell r="B9591">
            <v>105132</v>
          </cell>
          <cell r="C9591" t="str">
            <v>Elleray Park School</v>
          </cell>
          <cell r="D9591" t="str">
            <v>Wirral</v>
          </cell>
          <cell r="E9591" t="str">
            <v>Community Special School</v>
          </cell>
          <cell r="F9591" t="str">
            <v>Special</v>
          </cell>
        </row>
        <row r="9592">
          <cell r="A9592">
            <v>9322043</v>
          </cell>
          <cell r="B9592">
            <v>129786</v>
          </cell>
          <cell r="C9592" t="str">
            <v>Ellerdine County Primary School</v>
          </cell>
          <cell r="D9592" t="str">
            <v>Pre LGR (1998) Shropshire</v>
          </cell>
          <cell r="E9592" t="str">
            <v>Community School</v>
          </cell>
          <cell r="F9592" t="str">
            <v>Primary</v>
          </cell>
        </row>
        <row r="9593">
          <cell r="A9593">
            <v>3411005</v>
          </cell>
          <cell r="B9593">
            <v>104506</v>
          </cell>
          <cell r="C9593" t="str">
            <v>Ellergreen Early Years Centre</v>
          </cell>
          <cell r="D9593" t="str">
            <v>Liverpool</v>
          </cell>
          <cell r="E9593" t="str">
            <v>LA Nursery School</v>
          </cell>
          <cell r="F9593" t="str">
            <v>Nursery</v>
          </cell>
        </row>
        <row r="9594">
          <cell r="A9594">
            <v>3026118</v>
          </cell>
          <cell r="B9594">
            <v>135072</v>
          </cell>
          <cell r="C9594" t="str">
            <v>Ellern Mede School</v>
          </cell>
          <cell r="D9594" t="str">
            <v>Barnet</v>
          </cell>
          <cell r="E9594" t="str">
            <v>Other Independent School</v>
          </cell>
          <cell r="F9594" t="str">
            <v>Not applicable</v>
          </cell>
        </row>
        <row r="9595">
          <cell r="A9595">
            <v>3714059</v>
          </cell>
          <cell r="B9595">
            <v>106805</v>
          </cell>
          <cell r="C9595" t="str">
            <v>Ellers Middle School</v>
          </cell>
          <cell r="D9595" t="str">
            <v>Doncaster</v>
          </cell>
          <cell r="E9595" t="str">
            <v>Community School</v>
          </cell>
          <cell r="F9595" t="str">
            <v>Middle Deemed Secondary</v>
          </cell>
        </row>
        <row r="9596">
          <cell r="A9596">
            <v>2052201</v>
          </cell>
          <cell r="B9596">
            <v>100327</v>
          </cell>
          <cell r="C9596" t="str">
            <v>Ellerslie Primary School</v>
          </cell>
          <cell r="D9596" t="str">
            <v>Hammersmith and Fulham</v>
          </cell>
          <cell r="E9596" t="str">
            <v>Community School</v>
          </cell>
          <cell r="F9596" t="str">
            <v>Primary</v>
          </cell>
        </row>
        <row r="9597">
          <cell r="A9597">
            <v>9186069</v>
          </cell>
          <cell r="B9597">
            <v>129099</v>
          </cell>
          <cell r="C9597" t="str">
            <v>Ellerslie School</v>
          </cell>
          <cell r="D9597" t="str">
            <v>Pre LGR (1998) Hereford &amp; Worcester</v>
          </cell>
          <cell r="E9597" t="str">
            <v>Other Independent School</v>
          </cell>
          <cell r="F9597" t="str">
            <v>Not applicable</v>
          </cell>
        </row>
        <row r="9598">
          <cell r="A9598">
            <v>8936001</v>
          </cell>
          <cell r="B9598">
            <v>123600</v>
          </cell>
          <cell r="C9598" t="str">
            <v>Ellesmere College</v>
          </cell>
          <cell r="D9598" t="str">
            <v>Shropshire</v>
          </cell>
          <cell r="E9598" t="str">
            <v>Other Independent School</v>
          </cell>
          <cell r="F9598" t="str">
            <v>Not applicable</v>
          </cell>
        </row>
        <row r="9599">
          <cell r="A9599">
            <v>8567218</v>
          </cell>
          <cell r="B9599">
            <v>130371</v>
          </cell>
          <cell r="C9599" t="str">
            <v>Ellesmere College</v>
          </cell>
          <cell r="D9599" t="str">
            <v>Leicester</v>
          </cell>
          <cell r="E9599" t="str">
            <v>Community Special School</v>
          </cell>
          <cell r="F9599" t="str">
            <v>Special</v>
          </cell>
        </row>
        <row r="9600">
          <cell r="A9600">
            <v>3732031</v>
          </cell>
          <cell r="B9600">
            <v>127644</v>
          </cell>
          <cell r="C9600" t="str">
            <v>Ellesmere First and Nursery School</v>
          </cell>
          <cell r="D9600" t="str">
            <v>Sheffield</v>
          </cell>
          <cell r="E9600" t="str">
            <v>Community School</v>
          </cell>
          <cell r="F9600" t="str">
            <v>Primary</v>
          </cell>
        </row>
        <row r="9601">
          <cell r="A9601">
            <v>8964611</v>
          </cell>
          <cell r="B9601">
            <v>111451</v>
          </cell>
          <cell r="C9601" t="str">
            <v>Ellesmere Port Catholic High School</v>
          </cell>
          <cell r="D9601" t="str">
            <v>Cheshire West and Chester</v>
          </cell>
          <cell r="E9601" t="str">
            <v>Voluntary Aided School</v>
          </cell>
          <cell r="F9601" t="str">
            <v>Secondary</v>
          </cell>
        </row>
        <row r="9602">
          <cell r="A9602">
            <v>8963552</v>
          </cell>
          <cell r="B9602">
            <v>111351</v>
          </cell>
          <cell r="C9602" t="str">
            <v>Ellesmere Port Christ Church CofE Primary School</v>
          </cell>
          <cell r="D9602" t="str">
            <v>Cheshire West and Chester</v>
          </cell>
          <cell r="E9602" t="str">
            <v>Voluntary Aided School</v>
          </cell>
          <cell r="F9602" t="str">
            <v>Primary</v>
          </cell>
        </row>
        <row r="9603">
          <cell r="A9603">
            <v>8964161</v>
          </cell>
          <cell r="B9603">
            <v>111426</v>
          </cell>
          <cell r="C9603" t="str">
            <v>Ellesmere Port Specialist School of Performing Arts</v>
          </cell>
          <cell r="D9603" t="str">
            <v>Cheshire West and Chester</v>
          </cell>
          <cell r="E9603" t="str">
            <v>Community School</v>
          </cell>
          <cell r="F9603" t="str">
            <v>Secondary</v>
          </cell>
        </row>
        <row r="9604">
          <cell r="A9604">
            <v>8932044</v>
          </cell>
          <cell r="B9604">
            <v>123365</v>
          </cell>
          <cell r="C9604" t="str">
            <v>Ellesmere Primary School</v>
          </cell>
          <cell r="D9604" t="str">
            <v>Shropshire</v>
          </cell>
          <cell r="E9604" t="str">
            <v>Community School</v>
          </cell>
          <cell r="F9604" t="str">
            <v>Primary</v>
          </cell>
        </row>
        <row r="9605">
          <cell r="A9605">
            <v>8747019</v>
          </cell>
          <cell r="B9605">
            <v>110947</v>
          </cell>
          <cell r="C9605" t="str">
            <v>Ellindon Residential Special School</v>
          </cell>
          <cell r="D9605" t="str">
            <v>Peterborough</v>
          </cell>
          <cell r="E9605" t="str">
            <v>Community Special School</v>
          </cell>
          <cell r="F9605" t="str">
            <v>Special</v>
          </cell>
        </row>
        <row r="9606">
          <cell r="A9606">
            <v>9293403</v>
          </cell>
          <cell r="B9606">
            <v>122289</v>
          </cell>
          <cell r="C9606" t="str">
            <v>Ellingham Church of England Aided First School</v>
          </cell>
          <cell r="D9606" t="str">
            <v>Northumberland</v>
          </cell>
          <cell r="E9606" t="str">
            <v>Voluntary Aided School</v>
          </cell>
          <cell r="F9606" t="str">
            <v>Primary</v>
          </cell>
        </row>
        <row r="9607">
          <cell r="A9607">
            <v>3142005</v>
          </cell>
          <cell r="B9607">
            <v>102568</v>
          </cell>
          <cell r="C9607" t="str">
            <v>Ellingham Primary School</v>
          </cell>
          <cell r="D9607" t="str">
            <v>Kingston upon Thames</v>
          </cell>
          <cell r="E9607" t="str">
            <v>Community School</v>
          </cell>
          <cell r="F9607" t="str">
            <v>Primary</v>
          </cell>
        </row>
        <row r="9608">
          <cell r="A9608">
            <v>9263027</v>
          </cell>
          <cell r="B9608">
            <v>121035</v>
          </cell>
          <cell r="C9608" t="str">
            <v>Ellingham Voluntary Controlled Primary School</v>
          </cell>
          <cell r="D9608" t="str">
            <v>Norfolk</v>
          </cell>
          <cell r="E9608" t="str">
            <v>Voluntary Controlled School</v>
          </cell>
          <cell r="F9608" t="str">
            <v>Primary</v>
          </cell>
        </row>
        <row r="9609">
          <cell r="A9609">
            <v>9292103</v>
          </cell>
          <cell r="B9609">
            <v>122198</v>
          </cell>
          <cell r="C9609" t="str">
            <v>Ellington First School</v>
          </cell>
          <cell r="D9609" t="str">
            <v>Northumberland</v>
          </cell>
          <cell r="E9609" t="str">
            <v>Community School</v>
          </cell>
          <cell r="F9609" t="str">
            <v>Primary</v>
          </cell>
        </row>
        <row r="9610">
          <cell r="A9610">
            <v>8862340</v>
          </cell>
          <cell r="B9610">
            <v>118414</v>
          </cell>
          <cell r="C9610" t="str">
            <v>Ellington Infant School</v>
          </cell>
          <cell r="D9610" t="str">
            <v>Kent</v>
          </cell>
          <cell r="E9610" t="str">
            <v>Community School</v>
          </cell>
          <cell r="F9610" t="str">
            <v>Primary</v>
          </cell>
        </row>
        <row r="9611">
          <cell r="A9611">
            <v>8682074</v>
          </cell>
          <cell r="B9611">
            <v>109820</v>
          </cell>
          <cell r="C9611" t="str">
            <v>Ellington Primary School and Nursery</v>
          </cell>
          <cell r="D9611" t="str">
            <v>Windsor and Maidenhead</v>
          </cell>
          <cell r="E9611" t="str">
            <v>Community School</v>
          </cell>
          <cell r="F9611" t="str">
            <v>Primary</v>
          </cell>
        </row>
        <row r="9612">
          <cell r="A9612">
            <v>8864122</v>
          </cell>
          <cell r="B9612">
            <v>118811</v>
          </cell>
          <cell r="C9612" t="str">
            <v>Ellington School for Girls</v>
          </cell>
          <cell r="D9612" t="str">
            <v>Kent</v>
          </cell>
          <cell r="E9612" t="str">
            <v>Community School</v>
          </cell>
          <cell r="F9612" t="str">
            <v>Secondary</v>
          </cell>
        </row>
        <row r="9613">
          <cell r="A9613">
            <v>6762314</v>
          </cell>
          <cell r="B9613">
            <v>401358</v>
          </cell>
          <cell r="C9613" t="str">
            <v>Elliot Town Primary School</v>
          </cell>
          <cell r="D9613" t="str">
            <v>Caerphilly</v>
          </cell>
          <cell r="E9613" t="str">
            <v>Welsh Establishment</v>
          </cell>
          <cell r="F9613" t="str">
            <v>Primary</v>
          </cell>
        </row>
        <row r="9614">
          <cell r="A9614">
            <v>8924071</v>
          </cell>
          <cell r="B9614">
            <v>122843</v>
          </cell>
          <cell r="C9614" t="str">
            <v>Elliott Durham School</v>
          </cell>
          <cell r="D9614" t="str">
            <v>Nottingham</v>
          </cell>
          <cell r="E9614" t="str">
            <v>Community School</v>
          </cell>
          <cell r="F9614" t="str">
            <v>Secondary</v>
          </cell>
        </row>
        <row r="9615">
          <cell r="A9615">
            <v>8866057</v>
          </cell>
          <cell r="B9615">
            <v>119005</v>
          </cell>
          <cell r="C9615" t="str">
            <v>Elliott Park School</v>
          </cell>
          <cell r="D9615" t="str">
            <v>Kent</v>
          </cell>
          <cell r="E9615" t="str">
            <v>Other Independent School</v>
          </cell>
          <cell r="F9615" t="str">
            <v>Not applicable</v>
          </cell>
        </row>
        <row r="9616">
          <cell r="A9616">
            <v>2125402</v>
          </cell>
          <cell r="B9616">
            <v>101060</v>
          </cell>
          <cell r="C9616" t="str">
            <v>Elliott School</v>
          </cell>
          <cell r="D9616" t="str">
            <v>Wandsworth</v>
          </cell>
          <cell r="E9616" t="str">
            <v>Foundation School</v>
          </cell>
          <cell r="F9616" t="str">
            <v>Secondary</v>
          </cell>
        </row>
        <row r="9617">
          <cell r="A9617">
            <v>3416028</v>
          </cell>
          <cell r="B9617">
            <v>104726</v>
          </cell>
          <cell r="C9617" t="str">
            <v>Elliott-Clarke School</v>
          </cell>
          <cell r="D9617" t="str">
            <v>Liverpool</v>
          </cell>
          <cell r="E9617" t="str">
            <v>Other Independent School</v>
          </cell>
          <cell r="F9617" t="str">
            <v>Not applicable</v>
          </cell>
        </row>
        <row r="9618">
          <cell r="A9618">
            <v>8924026</v>
          </cell>
          <cell r="B9618">
            <v>122828</v>
          </cell>
          <cell r="C9618" t="str">
            <v>Ellis Guilford School and Sports College</v>
          </cell>
          <cell r="D9618" t="str">
            <v>Nottingham</v>
          </cell>
          <cell r="E9618" t="str">
            <v>Community School</v>
          </cell>
          <cell r="F9618" t="str">
            <v>Secondary</v>
          </cell>
        </row>
        <row r="9619">
          <cell r="A9619">
            <v>9253166</v>
          </cell>
          <cell r="B9619">
            <v>120595</v>
          </cell>
          <cell r="C9619" t="str">
            <v>Ellison Boulters Church of England Primary School</v>
          </cell>
          <cell r="D9619" t="str">
            <v>Lincolnshire</v>
          </cell>
          <cell r="E9619" t="str">
            <v>Voluntary Controlled School</v>
          </cell>
          <cell r="F9619" t="str">
            <v>Primary</v>
          </cell>
        </row>
        <row r="9620">
          <cell r="A9620">
            <v>3933007</v>
          </cell>
          <cell r="B9620">
            <v>108712</v>
          </cell>
          <cell r="C9620" t="str">
            <v>Ellison CofE Junior Mixed and Infants School</v>
          </cell>
          <cell r="D9620" t="str">
            <v>South Tyneside</v>
          </cell>
          <cell r="E9620" t="str">
            <v>Voluntary Controlled School</v>
          </cell>
          <cell r="F9620" t="str">
            <v>Primary</v>
          </cell>
        </row>
        <row r="9621">
          <cell r="A9621">
            <v>8602392</v>
          </cell>
          <cell r="B9621">
            <v>124188</v>
          </cell>
          <cell r="C9621" t="str">
            <v>Ellison Primary School</v>
          </cell>
          <cell r="D9621" t="str">
            <v>Staffordshire</v>
          </cell>
          <cell r="E9621" t="str">
            <v>Community School</v>
          </cell>
          <cell r="F9621" t="str">
            <v>Primary</v>
          </cell>
        </row>
        <row r="9622">
          <cell r="A9622">
            <v>8122112</v>
          </cell>
          <cell r="B9622">
            <v>117732</v>
          </cell>
          <cell r="C9622" t="str">
            <v>Elliston Infants' School</v>
          </cell>
          <cell r="D9622" t="str">
            <v>North East Lincolnshire</v>
          </cell>
          <cell r="E9622" t="str">
            <v>Community School</v>
          </cell>
          <cell r="F9622" t="str">
            <v>Primary</v>
          </cell>
        </row>
        <row r="9623">
          <cell r="A9623">
            <v>8122184</v>
          </cell>
          <cell r="B9623">
            <v>117791</v>
          </cell>
          <cell r="C9623" t="str">
            <v>Elliston Junior School</v>
          </cell>
          <cell r="D9623" t="str">
            <v>North East Lincolnshire</v>
          </cell>
          <cell r="E9623" t="str">
            <v>Community School</v>
          </cell>
          <cell r="F9623" t="str">
            <v>Primary</v>
          </cell>
        </row>
        <row r="9624">
          <cell r="A9624">
            <v>8123526</v>
          </cell>
          <cell r="B9624">
            <v>131700</v>
          </cell>
          <cell r="C9624" t="str">
            <v>Elliston Primary School</v>
          </cell>
          <cell r="D9624" t="str">
            <v>North East Lincolnshire</v>
          </cell>
          <cell r="E9624" t="str">
            <v>Community School</v>
          </cell>
          <cell r="F9624" t="str">
            <v>Primary</v>
          </cell>
        </row>
        <row r="9625">
          <cell r="A9625">
            <v>8552023</v>
          </cell>
          <cell r="B9625">
            <v>119914</v>
          </cell>
          <cell r="C9625" t="str">
            <v>Ellistown Community Primary School</v>
          </cell>
          <cell r="D9625" t="str">
            <v>Leicestershire</v>
          </cell>
          <cell r="E9625" t="str">
            <v>Community School</v>
          </cell>
          <cell r="F9625" t="str">
            <v>Primary</v>
          </cell>
        </row>
        <row r="9626">
          <cell r="A9626">
            <v>9356071</v>
          </cell>
          <cell r="B9626">
            <v>130005</v>
          </cell>
          <cell r="C9626" t="str">
            <v>Ellough School</v>
          </cell>
          <cell r="D9626" t="str">
            <v>Suffolk</v>
          </cell>
          <cell r="E9626" t="str">
            <v>Other Independent School</v>
          </cell>
          <cell r="F9626" t="str">
            <v>Not applicable</v>
          </cell>
        </row>
        <row r="9627">
          <cell r="A9627">
            <v>8112780</v>
          </cell>
          <cell r="B9627">
            <v>117891</v>
          </cell>
          <cell r="C9627" t="str">
            <v>Elloughton Primary School</v>
          </cell>
          <cell r="D9627" t="str">
            <v>East Riding of Yorkshire</v>
          </cell>
          <cell r="E9627" t="str">
            <v>Community School</v>
          </cell>
          <cell r="F9627" t="str">
            <v>Primary</v>
          </cell>
        </row>
        <row r="9628">
          <cell r="A9628">
            <v>3325401</v>
          </cell>
          <cell r="B9628">
            <v>103871</v>
          </cell>
          <cell r="C9628" t="str">
            <v>Ellowes Hall Sports College</v>
          </cell>
          <cell r="D9628" t="str">
            <v>Dudley</v>
          </cell>
          <cell r="E9628" t="str">
            <v>Foundation School</v>
          </cell>
          <cell r="F9628" t="str">
            <v>Secondary</v>
          </cell>
        </row>
        <row r="9629">
          <cell r="A9629">
            <v>9162107</v>
          </cell>
          <cell r="B9629">
            <v>115552</v>
          </cell>
          <cell r="C9629" t="str">
            <v>Ellwood Primary School</v>
          </cell>
          <cell r="D9629" t="str">
            <v>Gloucestershire</v>
          </cell>
          <cell r="E9629" t="str">
            <v>Community School</v>
          </cell>
          <cell r="F9629" t="str">
            <v>Primary</v>
          </cell>
        </row>
        <row r="9630">
          <cell r="A9630">
            <v>8733046</v>
          </cell>
          <cell r="B9630">
            <v>110800</v>
          </cell>
          <cell r="C9630" t="str">
            <v>Elm CofE Primary School</v>
          </cell>
          <cell r="D9630" t="str">
            <v>Cambridgeshire</v>
          </cell>
          <cell r="E9630" t="str">
            <v>Voluntary Controlled School</v>
          </cell>
          <cell r="F9630" t="str">
            <v>Primary</v>
          </cell>
        </row>
        <row r="9631">
          <cell r="A9631">
            <v>2087115</v>
          </cell>
          <cell r="B9631">
            <v>100659</v>
          </cell>
          <cell r="C9631" t="str">
            <v>Elm Court School</v>
          </cell>
          <cell r="D9631" t="str">
            <v>Lambeth</v>
          </cell>
          <cell r="E9631" t="str">
            <v>Community Special School</v>
          </cell>
          <cell r="F9631" t="str">
            <v>Special</v>
          </cell>
        </row>
        <row r="9632">
          <cell r="A9632">
            <v>8816017</v>
          </cell>
          <cell r="B9632">
            <v>115411</v>
          </cell>
          <cell r="C9632" t="str">
            <v>Elm Green Preparatory School</v>
          </cell>
          <cell r="D9632" t="str">
            <v>Essex</v>
          </cell>
          <cell r="E9632" t="str">
            <v>Other Independent School</v>
          </cell>
          <cell r="F9632" t="str">
            <v>Not applicable</v>
          </cell>
        </row>
        <row r="9633">
          <cell r="A9633">
            <v>9382077</v>
          </cell>
          <cell r="B9633">
            <v>125863</v>
          </cell>
          <cell r="C9633" t="str">
            <v>Elm Grove First School, Worthing</v>
          </cell>
          <cell r="D9633" t="str">
            <v>West Sussex</v>
          </cell>
          <cell r="E9633" t="str">
            <v>Community School</v>
          </cell>
          <cell r="F9633" t="str">
            <v>Primary</v>
          </cell>
        </row>
        <row r="9634">
          <cell r="A9634">
            <v>9382044</v>
          </cell>
          <cell r="B9634">
            <v>125843</v>
          </cell>
          <cell r="C9634" t="str">
            <v>Elm Grove Infant School, Littlehampton</v>
          </cell>
          <cell r="D9634" t="str">
            <v>West Sussex</v>
          </cell>
          <cell r="E9634" t="str">
            <v>Community School</v>
          </cell>
          <cell r="F9634" t="str">
            <v>Primary</v>
          </cell>
        </row>
        <row r="9635">
          <cell r="A9635">
            <v>8462155</v>
          </cell>
          <cell r="B9635">
            <v>114477</v>
          </cell>
          <cell r="C9635" t="str">
            <v>Elm Grove Primary School</v>
          </cell>
          <cell r="D9635" t="str">
            <v>Brighton and Hove</v>
          </cell>
          <cell r="E9635" t="str">
            <v>Community School</v>
          </cell>
          <cell r="F9635" t="str">
            <v>Primary</v>
          </cell>
        </row>
        <row r="9636">
          <cell r="A9636">
            <v>8786006</v>
          </cell>
          <cell r="B9636">
            <v>113570</v>
          </cell>
          <cell r="C9636" t="str">
            <v>Elm Grove School</v>
          </cell>
          <cell r="D9636" t="str">
            <v>Devon</v>
          </cell>
          <cell r="E9636" t="str">
            <v>Other Independent School</v>
          </cell>
          <cell r="F9636" t="str">
            <v>Not applicable</v>
          </cell>
        </row>
        <row r="9637">
          <cell r="A9637">
            <v>8812757</v>
          </cell>
          <cell r="B9637">
            <v>114983</v>
          </cell>
          <cell r="C9637" t="str">
            <v>Elm Hall Primary School</v>
          </cell>
          <cell r="D9637" t="str">
            <v>Essex</v>
          </cell>
          <cell r="E9637" t="str">
            <v>Community School</v>
          </cell>
          <cell r="F9637" t="str">
            <v>Primary</v>
          </cell>
        </row>
        <row r="9638">
          <cell r="A9638">
            <v>3112008</v>
          </cell>
          <cell r="B9638">
            <v>102272</v>
          </cell>
          <cell r="C9638" t="str">
            <v>Elm Park Primary School</v>
          </cell>
          <cell r="D9638" t="str">
            <v>Havering</v>
          </cell>
          <cell r="E9638" t="str">
            <v>Community School</v>
          </cell>
          <cell r="F9638" t="str">
            <v>Primary</v>
          </cell>
        </row>
        <row r="9639">
          <cell r="A9639">
            <v>8032313</v>
          </cell>
          <cell r="B9639">
            <v>109117</v>
          </cell>
          <cell r="C9639" t="str">
            <v>Elm Park Primary School</v>
          </cell>
          <cell r="D9639" t="str">
            <v>South Gloucestershire</v>
          </cell>
          <cell r="E9639" t="str">
            <v>Community School</v>
          </cell>
          <cell r="F9639" t="str">
            <v>Primary</v>
          </cell>
        </row>
        <row r="9640">
          <cell r="A9640">
            <v>9262257</v>
          </cell>
          <cell r="B9640">
            <v>129612</v>
          </cell>
          <cell r="C9640" t="str">
            <v>Elm Road First School</v>
          </cell>
          <cell r="D9640" t="str">
            <v>Norfolk</v>
          </cell>
          <cell r="E9640" t="str">
            <v>Community School</v>
          </cell>
          <cell r="F9640" t="str">
            <v>Primary</v>
          </cell>
        </row>
        <row r="9641">
          <cell r="A9641">
            <v>8732092</v>
          </cell>
          <cell r="B9641">
            <v>110650</v>
          </cell>
          <cell r="C9641" t="str">
            <v>Elm Road Primary School</v>
          </cell>
          <cell r="D9641" t="str">
            <v>Cambridgeshire</v>
          </cell>
          <cell r="E9641" t="str">
            <v>Community School</v>
          </cell>
          <cell r="F9641" t="str">
            <v>Primary</v>
          </cell>
        </row>
        <row r="9642">
          <cell r="A9642">
            <v>3352112</v>
          </cell>
          <cell r="B9642">
            <v>104185</v>
          </cell>
          <cell r="C9642" t="str">
            <v>Elm Street Infant School</v>
          </cell>
          <cell r="D9642" t="str">
            <v>Walsall</v>
          </cell>
          <cell r="E9642" t="str">
            <v>Community School</v>
          </cell>
          <cell r="F9642" t="str">
            <v>Primary</v>
          </cell>
        </row>
        <row r="9643">
          <cell r="A9643">
            <v>8881009</v>
          </cell>
          <cell r="B9643">
            <v>119072</v>
          </cell>
          <cell r="C9643" t="str">
            <v>Elm Street Nursery School</v>
          </cell>
          <cell r="D9643" t="str">
            <v>Lancashire</v>
          </cell>
          <cell r="E9643" t="str">
            <v>LA Nursery School</v>
          </cell>
          <cell r="F9643" t="str">
            <v>Nursery</v>
          </cell>
        </row>
        <row r="9644">
          <cell r="A9644">
            <v>9352153</v>
          </cell>
          <cell r="B9644">
            <v>124642</v>
          </cell>
          <cell r="C9644" t="str">
            <v>Elm Tree Community Primary School</v>
          </cell>
          <cell r="D9644" t="str">
            <v>Suffolk</v>
          </cell>
          <cell r="E9644" t="str">
            <v>Community School</v>
          </cell>
          <cell r="F9644" t="str">
            <v>Primary</v>
          </cell>
        </row>
        <row r="9645">
          <cell r="A9645">
            <v>8887120</v>
          </cell>
          <cell r="B9645">
            <v>135457</v>
          </cell>
          <cell r="C9645" t="str">
            <v>Elm Tree Community Primary School</v>
          </cell>
          <cell r="D9645" t="str">
            <v>Lancashire</v>
          </cell>
          <cell r="E9645" t="str">
            <v>Community Special School</v>
          </cell>
          <cell r="F9645" t="str">
            <v>Special</v>
          </cell>
        </row>
        <row r="9646">
          <cell r="A9646">
            <v>6816006</v>
          </cell>
          <cell r="B9646">
            <v>402014</v>
          </cell>
          <cell r="C9646" t="str">
            <v>Elm Tree House School</v>
          </cell>
          <cell r="D9646" t="str">
            <v>Cardiff</v>
          </cell>
          <cell r="E9646" t="str">
            <v>Welsh Establishment</v>
          </cell>
          <cell r="F9646" t="str">
            <v>Not applicable</v>
          </cell>
        </row>
        <row r="9647">
          <cell r="A9647">
            <v>8082059</v>
          </cell>
          <cell r="B9647">
            <v>111551</v>
          </cell>
          <cell r="C9647" t="str">
            <v>Elm Tree Infant School</v>
          </cell>
          <cell r="D9647" t="str">
            <v>Stockton-on-Tees</v>
          </cell>
          <cell r="E9647" t="str">
            <v>Community School</v>
          </cell>
          <cell r="F9647" t="str">
            <v>Primary</v>
          </cell>
        </row>
        <row r="9648">
          <cell r="A9648">
            <v>9354070</v>
          </cell>
          <cell r="B9648">
            <v>124830</v>
          </cell>
          <cell r="C9648" t="str">
            <v>Elm Tree Middle School</v>
          </cell>
          <cell r="D9648" t="str">
            <v>Suffolk</v>
          </cell>
          <cell r="E9648" t="str">
            <v>Community School</v>
          </cell>
          <cell r="F9648" t="str">
            <v>Middle Deemed Secondary</v>
          </cell>
        </row>
        <row r="9649">
          <cell r="A9649">
            <v>3542047</v>
          </cell>
          <cell r="B9649">
            <v>105791</v>
          </cell>
          <cell r="C9649" t="str">
            <v>Elm Wood Primary School</v>
          </cell>
          <cell r="D9649" t="str">
            <v>Rochdale</v>
          </cell>
          <cell r="E9649" t="str">
            <v>Community School</v>
          </cell>
          <cell r="F9649" t="str">
            <v>Primary</v>
          </cell>
        </row>
        <row r="9650">
          <cell r="A9650">
            <v>2082794</v>
          </cell>
          <cell r="B9650">
            <v>100597</v>
          </cell>
          <cell r="C9650" t="str">
            <v>Elm Wood School</v>
          </cell>
          <cell r="D9650" t="str">
            <v>Lambeth</v>
          </cell>
          <cell r="E9650" t="str">
            <v>Community School</v>
          </cell>
          <cell r="F9650" t="str">
            <v>Primary</v>
          </cell>
        </row>
        <row r="9651">
          <cell r="A9651">
            <v>9162014</v>
          </cell>
          <cell r="B9651">
            <v>115488</v>
          </cell>
          <cell r="C9651" t="str">
            <v>Elmbridge Infant School</v>
          </cell>
          <cell r="D9651" t="str">
            <v>Gloucestershire</v>
          </cell>
          <cell r="E9651" t="str">
            <v>Community School</v>
          </cell>
          <cell r="F9651" t="str">
            <v>Primary</v>
          </cell>
        </row>
        <row r="9652">
          <cell r="A9652">
            <v>9162013</v>
          </cell>
          <cell r="B9652">
            <v>115487</v>
          </cell>
          <cell r="C9652" t="str">
            <v>Elmbridge Junior School</v>
          </cell>
          <cell r="D9652" t="str">
            <v>Gloucestershire</v>
          </cell>
          <cell r="E9652" t="str">
            <v>Community School</v>
          </cell>
          <cell r="F9652" t="str">
            <v>Primary</v>
          </cell>
        </row>
        <row r="9653">
          <cell r="A9653">
            <v>9154498</v>
          </cell>
          <cell r="B9653">
            <v>128909</v>
          </cell>
          <cell r="C9653" t="str">
            <v>Elmbridge School</v>
          </cell>
          <cell r="D9653" t="str">
            <v>Pre LGR (1998) Essex</v>
          </cell>
          <cell r="E9653" t="str">
            <v>Community School</v>
          </cell>
          <cell r="F9653" t="str">
            <v>Secondary</v>
          </cell>
        </row>
        <row r="9654">
          <cell r="A9654">
            <v>9362477</v>
          </cell>
          <cell r="B9654">
            <v>130057</v>
          </cell>
          <cell r="C9654" t="str">
            <v>Elmbrook First School</v>
          </cell>
          <cell r="D9654" t="str">
            <v>Surrey</v>
          </cell>
          <cell r="E9654" t="str">
            <v>Community School</v>
          </cell>
          <cell r="F9654" t="str">
            <v>Primary</v>
          </cell>
        </row>
        <row r="9655">
          <cell r="A9655">
            <v>8817056</v>
          </cell>
          <cell r="B9655">
            <v>115470</v>
          </cell>
          <cell r="C9655" t="str">
            <v>Elmbrook School</v>
          </cell>
          <cell r="D9655" t="str">
            <v>Essex</v>
          </cell>
          <cell r="E9655" t="str">
            <v>Community Special School</v>
          </cell>
          <cell r="F9655" t="str">
            <v>Special</v>
          </cell>
        </row>
        <row r="9656">
          <cell r="A9656">
            <v>3837009</v>
          </cell>
          <cell r="B9656">
            <v>128048</v>
          </cell>
          <cell r="C9656" t="str">
            <v>Elmete Hall School</v>
          </cell>
          <cell r="D9656" t="str">
            <v>Leeds</v>
          </cell>
          <cell r="E9656" t="str">
            <v>Community Special School</v>
          </cell>
          <cell r="F9656" t="str">
            <v>Special</v>
          </cell>
        </row>
        <row r="9657">
          <cell r="A9657">
            <v>3837068</v>
          </cell>
          <cell r="B9657">
            <v>108129</v>
          </cell>
          <cell r="C9657" t="str">
            <v>Elmete Wood - BESD SILC (Behaviour, Emotional, Social Difficulties Specialist Learning Centre)</v>
          </cell>
          <cell r="D9657" t="str">
            <v>Leeds</v>
          </cell>
          <cell r="E9657" t="str">
            <v>Community Special School</v>
          </cell>
          <cell r="F9657" t="str">
            <v>Special</v>
          </cell>
        </row>
        <row r="9658">
          <cell r="A9658">
            <v>9162148</v>
          </cell>
          <cell r="B9658">
            <v>115583</v>
          </cell>
          <cell r="C9658" t="str">
            <v>Elmfield County Junior School</v>
          </cell>
          <cell r="D9658" t="str">
            <v>Gloucestershire</v>
          </cell>
          <cell r="E9658" t="str">
            <v>Community School</v>
          </cell>
          <cell r="F9658" t="str">
            <v>Primary</v>
          </cell>
        </row>
        <row r="9659">
          <cell r="A9659">
            <v>8402597</v>
          </cell>
          <cell r="B9659">
            <v>114162</v>
          </cell>
          <cell r="C9659" t="str">
            <v>Elmfield Primary School</v>
          </cell>
          <cell r="D9659" t="str">
            <v>Durham</v>
          </cell>
          <cell r="E9659" t="str">
            <v>Community School</v>
          </cell>
          <cell r="F9659" t="str">
            <v>Primary</v>
          </cell>
        </row>
        <row r="9660">
          <cell r="A9660">
            <v>3326000</v>
          </cell>
          <cell r="B9660">
            <v>103876</v>
          </cell>
          <cell r="C9660" t="str">
            <v>Elmfield Rudolf Steiner School Limited</v>
          </cell>
          <cell r="D9660" t="str">
            <v>Dudley</v>
          </cell>
          <cell r="E9660" t="str">
            <v>Other Independent School</v>
          </cell>
          <cell r="F9660" t="str">
            <v>Not applicable</v>
          </cell>
        </row>
        <row r="9661">
          <cell r="A9661">
            <v>9197005</v>
          </cell>
          <cell r="B9661">
            <v>129180</v>
          </cell>
          <cell r="C9661" t="str">
            <v>Elmfield School</v>
          </cell>
          <cell r="D9661" t="str">
            <v>Hertfordshire</v>
          </cell>
          <cell r="E9661" t="str">
            <v>Community Special School</v>
          </cell>
          <cell r="F9661" t="str">
            <v>Special</v>
          </cell>
        </row>
        <row r="9662">
          <cell r="A9662">
            <v>8017000</v>
          </cell>
          <cell r="B9662">
            <v>109385</v>
          </cell>
          <cell r="C9662" t="str">
            <v>Elmfield School for Deaf Children</v>
          </cell>
          <cell r="D9662" t="str">
            <v>Bristol City of</v>
          </cell>
          <cell r="E9662" t="str">
            <v>Community Special School</v>
          </cell>
          <cell r="F9662" t="str">
            <v>Special</v>
          </cell>
        </row>
        <row r="9663">
          <cell r="A9663">
            <v>3306207</v>
          </cell>
          <cell r="B9663">
            <v>135883</v>
          </cell>
          <cell r="C9663" t="str">
            <v>Elmgreen School</v>
          </cell>
          <cell r="D9663" t="str">
            <v>Birmingham</v>
          </cell>
          <cell r="E9663" t="str">
            <v>Other Independent Special School</v>
          </cell>
          <cell r="F9663" t="str">
            <v>Not applicable</v>
          </cell>
        </row>
        <row r="9664">
          <cell r="A9664">
            <v>3102058</v>
          </cell>
          <cell r="B9664">
            <v>102192</v>
          </cell>
          <cell r="C9664" t="str">
            <v>Elmgrove Junior School</v>
          </cell>
          <cell r="D9664" t="str">
            <v>Harrow</v>
          </cell>
          <cell r="E9664" t="str">
            <v>Community School</v>
          </cell>
          <cell r="F9664" t="str">
            <v>Primary</v>
          </cell>
        </row>
        <row r="9665">
          <cell r="A9665">
            <v>3102082</v>
          </cell>
          <cell r="B9665">
            <v>102211</v>
          </cell>
          <cell r="C9665" t="str">
            <v>Elmgrove Primary School &amp; Nursery</v>
          </cell>
          <cell r="D9665" t="str">
            <v>Harrow</v>
          </cell>
          <cell r="E9665" t="str">
            <v>Community School</v>
          </cell>
          <cell r="F9665" t="str">
            <v>Primary</v>
          </cell>
        </row>
        <row r="9666">
          <cell r="A9666">
            <v>8252201</v>
          </cell>
          <cell r="B9666">
            <v>110301</v>
          </cell>
          <cell r="C9666" t="str">
            <v>Elmhurst Infant School</v>
          </cell>
          <cell r="D9666" t="str">
            <v>Buckinghamshire</v>
          </cell>
          <cell r="E9666" t="str">
            <v>Community School</v>
          </cell>
          <cell r="F9666" t="str">
            <v>Primary</v>
          </cell>
        </row>
        <row r="9667">
          <cell r="A9667">
            <v>3162019</v>
          </cell>
          <cell r="B9667">
            <v>126977</v>
          </cell>
          <cell r="C9667" t="str">
            <v>Elmhurst Infant School</v>
          </cell>
          <cell r="D9667" t="str">
            <v>Newham</v>
          </cell>
          <cell r="E9667" t="str">
            <v>Community School</v>
          </cell>
          <cell r="F9667" t="str">
            <v>Primary</v>
          </cell>
        </row>
        <row r="9668">
          <cell r="A9668">
            <v>9332068</v>
          </cell>
          <cell r="B9668">
            <v>123663</v>
          </cell>
          <cell r="C9668" t="str">
            <v>Elmhurst Junior School</v>
          </cell>
          <cell r="D9668" t="str">
            <v>Somerset</v>
          </cell>
          <cell r="E9668" t="str">
            <v>Community School</v>
          </cell>
          <cell r="F9668" t="str">
            <v>Primary</v>
          </cell>
        </row>
        <row r="9669">
          <cell r="A9669">
            <v>3056070</v>
          </cell>
          <cell r="B9669">
            <v>126805</v>
          </cell>
          <cell r="C9669" t="str">
            <v>Elmhurst Preparatory School</v>
          </cell>
          <cell r="D9669" t="str">
            <v>Bromley</v>
          </cell>
          <cell r="E9669" t="str">
            <v>Other Independent School</v>
          </cell>
          <cell r="F9669" t="str">
            <v>Not applicable</v>
          </cell>
        </row>
        <row r="9670">
          <cell r="A9670">
            <v>3162018</v>
          </cell>
          <cell r="B9670">
            <v>102719</v>
          </cell>
          <cell r="C9670" t="str">
            <v>Elmhurst Primary School</v>
          </cell>
          <cell r="D9670" t="str">
            <v>Newham</v>
          </cell>
          <cell r="E9670" t="str">
            <v>Community School</v>
          </cell>
          <cell r="F9670" t="str">
            <v>Primary</v>
          </cell>
        </row>
        <row r="9671">
          <cell r="A9671">
            <v>3066005</v>
          </cell>
          <cell r="B9671">
            <v>101831</v>
          </cell>
          <cell r="C9671" t="str">
            <v>Elmhurst School</v>
          </cell>
          <cell r="D9671" t="str">
            <v>Croydon</v>
          </cell>
          <cell r="E9671" t="str">
            <v>Other Independent School</v>
          </cell>
          <cell r="F9671" t="str">
            <v>Not applicable</v>
          </cell>
        </row>
        <row r="9672">
          <cell r="A9672">
            <v>8252181</v>
          </cell>
          <cell r="B9672">
            <v>110286</v>
          </cell>
          <cell r="C9672" t="str">
            <v>Elmhurst School</v>
          </cell>
          <cell r="D9672" t="str">
            <v>Buckinghamshire</v>
          </cell>
          <cell r="E9672" t="str">
            <v>Community School</v>
          </cell>
          <cell r="F9672" t="str">
            <v>Primary</v>
          </cell>
        </row>
        <row r="9673">
          <cell r="A9673">
            <v>9366039</v>
          </cell>
          <cell r="B9673">
            <v>125339</v>
          </cell>
          <cell r="C9673" t="str">
            <v>Elmhurst School for Dance</v>
          </cell>
          <cell r="D9673" t="str">
            <v>Surrey</v>
          </cell>
          <cell r="E9673" t="str">
            <v>Other Independent School</v>
          </cell>
          <cell r="F9673" t="str">
            <v>Not applicable</v>
          </cell>
        </row>
        <row r="9674">
          <cell r="A9674">
            <v>3306111</v>
          </cell>
          <cell r="B9674">
            <v>134908</v>
          </cell>
          <cell r="C9674" t="str">
            <v>Elmhurst School for Dance</v>
          </cell>
          <cell r="D9674" t="str">
            <v>Birmingham</v>
          </cell>
          <cell r="E9674" t="str">
            <v>Other Independent School</v>
          </cell>
          <cell r="F9674" t="str">
            <v>Not applicable</v>
          </cell>
        </row>
        <row r="9675">
          <cell r="A9675">
            <v>8012138</v>
          </cell>
          <cell r="B9675">
            <v>108991</v>
          </cell>
          <cell r="C9675" t="str">
            <v>Elmlea Infant School</v>
          </cell>
          <cell r="D9675" t="str">
            <v>Bristol City of</v>
          </cell>
          <cell r="E9675" t="str">
            <v>Community School</v>
          </cell>
          <cell r="F9675" t="str">
            <v>Primary</v>
          </cell>
        </row>
        <row r="9676">
          <cell r="A9676">
            <v>8012112</v>
          </cell>
          <cell r="B9676">
            <v>108982</v>
          </cell>
          <cell r="C9676" t="str">
            <v>Elmlea Junior School</v>
          </cell>
          <cell r="D9676" t="str">
            <v>Bristol City of</v>
          </cell>
          <cell r="E9676" t="str">
            <v>Community School</v>
          </cell>
          <cell r="F9676" t="str">
            <v>Primary</v>
          </cell>
        </row>
        <row r="9677">
          <cell r="A9677">
            <v>8012112</v>
          </cell>
          <cell r="B9677">
            <v>136830</v>
          </cell>
          <cell r="C9677" t="str">
            <v>Elmlea Junior School</v>
          </cell>
          <cell r="D9677" t="str">
            <v>Bristol City of</v>
          </cell>
          <cell r="E9677" t="str">
            <v>Academy Converters</v>
          </cell>
          <cell r="F9677" t="str">
            <v>Primary</v>
          </cell>
        </row>
        <row r="9678">
          <cell r="A9678">
            <v>8853040</v>
          </cell>
          <cell r="B9678">
            <v>116808</v>
          </cell>
          <cell r="C9678" t="str">
            <v>Elmley Castle CofE First School</v>
          </cell>
          <cell r="D9678" t="str">
            <v>Worcestershire</v>
          </cell>
          <cell r="E9678" t="str">
            <v>Voluntary Controlled School</v>
          </cell>
          <cell r="F9678" t="str">
            <v>Primary</v>
          </cell>
        </row>
        <row r="9679">
          <cell r="A9679">
            <v>3352016</v>
          </cell>
          <cell r="B9679">
            <v>104153</v>
          </cell>
          <cell r="C9679" t="str">
            <v>Elmore Green Primary School</v>
          </cell>
          <cell r="D9679" t="str">
            <v>Walsall</v>
          </cell>
          <cell r="E9679" t="str">
            <v>Community School</v>
          </cell>
          <cell r="F9679" t="str">
            <v>Primary</v>
          </cell>
        </row>
        <row r="9680">
          <cell r="A9680">
            <v>9114022</v>
          </cell>
          <cell r="B9680">
            <v>128719</v>
          </cell>
          <cell r="C9680" t="str">
            <v>Elmore Middle School</v>
          </cell>
          <cell r="D9680" t="str">
            <v>Pre LGR (1998) Devon</v>
          </cell>
          <cell r="E9680" t="str">
            <v>Community School</v>
          </cell>
          <cell r="F9680" t="str">
            <v>Middle Deemed Secondary</v>
          </cell>
        </row>
        <row r="9681">
          <cell r="A9681">
            <v>3582009</v>
          </cell>
          <cell r="B9681">
            <v>106291</v>
          </cell>
          <cell r="C9681" t="str">
            <v>Elmridge Primary School</v>
          </cell>
          <cell r="D9681" t="str">
            <v>Trafford</v>
          </cell>
          <cell r="E9681" t="str">
            <v>Community School</v>
          </cell>
          <cell r="F9681" t="str">
            <v>Primary</v>
          </cell>
        </row>
        <row r="9682">
          <cell r="A9682">
            <v>9122234</v>
          </cell>
          <cell r="B9682">
            <v>128773</v>
          </cell>
          <cell r="C9682" t="str">
            <v>Elmrise First School</v>
          </cell>
          <cell r="D9682" t="str">
            <v>Pre LGR (1997) Dorset</v>
          </cell>
          <cell r="E9682" t="str">
            <v>Community School</v>
          </cell>
          <cell r="F9682" t="str">
            <v>Primary</v>
          </cell>
        </row>
        <row r="9683">
          <cell r="A9683">
            <v>9122235</v>
          </cell>
          <cell r="B9683">
            <v>128774</v>
          </cell>
          <cell r="C9683" t="str">
            <v>Elmrise Junior School</v>
          </cell>
          <cell r="D9683" t="str">
            <v>Pre LGR (1997) Dorset</v>
          </cell>
          <cell r="E9683" t="str">
            <v>Community School</v>
          </cell>
          <cell r="F9683" t="str">
            <v>Primary</v>
          </cell>
        </row>
        <row r="9684">
          <cell r="A9684">
            <v>8372265</v>
          </cell>
          <cell r="B9684">
            <v>113750</v>
          </cell>
          <cell r="C9684" t="str">
            <v>Elmrise Primary School</v>
          </cell>
          <cell r="D9684" t="str">
            <v>Bournemouth</v>
          </cell>
          <cell r="E9684" t="str">
            <v>Community School</v>
          </cell>
          <cell r="F9684" t="str">
            <v>Primary</v>
          </cell>
        </row>
        <row r="9685">
          <cell r="A9685">
            <v>3517011</v>
          </cell>
          <cell r="B9685">
            <v>105378</v>
          </cell>
          <cell r="C9685" t="str">
            <v>Elms Bank Specialist Arts College</v>
          </cell>
          <cell r="D9685" t="str">
            <v>Bury</v>
          </cell>
          <cell r="E9685" t="str">
            <v>Community Special School</v>
          </cell>
          <cell r="F9685" t="str">
            <v>Special</v>
          </cell>
        </row>
        <row r="9686">
          <cell r="A9686">
            <v>3302454</v>
          </cell>
          <cell r="B9686">
            <v>103381</v>
          </cell>
          <cell r="C9686" t="str">
            <v>Elms Farm Community Primary School</v>
          </cell>
          <cell r="D9686" t="str">
            <v>Birmingham</v>
          </cell>
          <cell r="E9686" t="str">
            <v>Community School</v>
          </cell>
          <cell r="F9686" t="str">
            <v>Primary</v>
          </cell>
        </row>
        <row r="9687">
          <cell r="A9687">
            <v>3156079</v>
          </cell>
          <cell r="B9687">
            <v>131147</v>
          </cell>
          <cell r="C9687" t="str">
            <v>Elms Independent School</v>
          </cell>
          <cell r="D9687" t="str">
            <v>Merton</v>
          </cell>
          <cell r="E9687" t="str">
            <v>Other Independent School</v>
          </cell>
          <cell r="F9687" t="str">
            <v>Not applicable</v>
          </cell>
        </row>
        <row r="9688">
          <cell r="A9688">
            <v>8922905</v>
          </cell>
          <cell r="B9688">
            <v>122710</v>
          </cell>
          <cell r="C9688" t="str">
            <v>Elms Primary and Nursery School</v>
          </cell>
          <cell r="D9688" t="str">
            <v>Nottingham</v>
          </cell>
          <cell r="E9688" t="str">
            <v>Community School</v>
          </cell>
          <cell r="F9688" t="str">
            <v>Primary</v>
          </cell>
        </row>
        <row r="9689">
          <cell r="A9689">
            <v>9311016</v>
          </cell>
          <cell r="B9689">
            <v>122971</v>
          </cell>
          <cell r="C9689" t="str">
            <v>Elms Road Nursery School and Daycare</v>
          </cell>
          <cell r="D9689" t="str">
            <v>Oxfordshire</v>
          </cell>
          <cell r="E9689" t="str">
            <v>LA Nursery School</v>
          </cell>
          <cell r="F9689" t="str">
            <v>Nursery</v>
          </cell>
        </row>
        <row r="9690">
          <cell r="A9690">
            <v>8887024</v>
          </cell>
          <cell r="B9690">
            <v>119870</v>
          </cell>
          <cell r="C9690" t="str">
            <v>Elms School</v>
          </cell>
          <cell r="D9690" t="str">
            <v>Lancashire</v>
          </cell>
          <cell r="E9690" t="str">
            <v>Community Special School</v>
          </cell>
          <cell r="F9690" t="str">
            <v>Special</v>
          </cell>
        </row>
        <row r="9691">
          <cell r="A9691">
            <v>9353020</v>
          </cell>
          <cell r="B9691">
            <v>124695</v>
          </cell>
          <cell r="C9691" t="str">
            <v>Elmsett Church of England VC Primary School</v>
          </cell>
          <cell r="D9691" t="str">
            <v>Suffolk</v>
          </cell>
          <cell r="E9691" t="str">
            <v>Voluntary Controlled School</v>
          </cell>
          <cell r="F9691" t="str">
            <v>Primary</v>
          </cell>
        </row>
        <row r="9692">
          <cell r="A9692">
            <v>3546014</v>
          </cell>
          <cell r="B9692">
            <v>131380</v>
          </cell>
          <cell r="C9692" t="str">
            <v>Elmsfield</v>
          </cell>
          <cell r="D9692" t="str">
            <v>Rochdale</v>
          </cell>
          <cell r="E9692" t="str">
            <v>Other Independent Special School</v>
          </cell>
          <cell r="F9692" t="str">
            <v>Not applicable</v>
          </cell>
        </row>
        <row r="9693">
          <cell r="A9693">
            <v>8302356</v>
          </cell>
          <cell r="B9693">
            <v>112694</v>
          </cell>
          <cell r="C9693" t="str">
            <v>Elmsleigh Infant and Nursery School</v>
          </cell>
          <cell r="D9693" t="str">
            <v>Derbyshire</v>
          </cell>
          <cell r="E9693" t="str">
            <v>Community School</v>
          </cell>
          <cell r="F9693" t="str">
            <v>Primary</v>
          </cell>
        </row>
        <row r="9694">
          <cell r="A9694">
            <v>8906001</v>
          </cell>
          <cell r="B9694">
            <v>119829</v>
          </cell>
          <cell r="C9694" t="str">
            <v>Elmslie Girls' School</v>
          </cell>
          <cell r="D9694" t="str">
            <v>Blackpool</v>
          </cell>
          <cell r="E9694" t="str">
            <v>Other Independent School</v>
          </cell>
          <cell r="F9694" t="str">
            <v>Not applicable</v>
          </cell>
        </row>
        <row r="9695">
          <cell r="A9695">
            <v>8815220</v>
          </cell>
          <cell r="B9695">
            <v>115260</v>
          </cell>
          <cell r="C9695" t="str">
            <v>Elmstead Primary School</v>
          </cell>
          <cell r="D9695" t="str">
            <v>Essex</v>
          </cell>
          <cell r="E9695" t="str">
            <v>Foundation School</v>
          </cell>
          <cell r="F9695" t="str">
            <v>Primary</v>
          </cell>
        </row>
        <row r="9696">
          <cell r="A9696">
            <v>3557016</v>
          </cell>
          <cell r="B9696">
            <v>127492</v>
          </cell>
          <cell r="C9696" t="str">
            <v>Elmstead School</v>
          </cell>
          <cell r="D9696" t="str">
            <v>Salford</v>
          </cell>
          <cell r="E9696" t="str">
            <v>Community Special School</v>
          </cell>
          <cell r="F9696" t="str">
            <v>Special</v>
          </cell>
        </row>
        <row r="9697">
          <cell r="A9697">
            <v>9352007</v>
          </cell>
          <cell r="B9697">
            <v>124534</v>
          </cell>
          <cell r="C9697" t="str">
            <v>Elmswell Community Primary School</v>
          </cell>
          <cell r="D9697" t="str">
            <v>Suffolk</v>
          </cell>
          <cell r="E9697" t="str">
            <v>Community School</v>
          </cell>
          <cell r="F9697" t="str">
            <v>Primary</v>
          </cell>
        </row>
        <row r="9698">
          <cell r="A9698">
            <v>8252213</v>
          </cell>
          <cell r="B9698">
            <v>110309</v>
          </cell>
          <cell r="C9698" t="str">
            <v>Elmtree School</v>
          </cell>
          <cell r="D9698" t="str">
            <v>Buckinghamshire</v>
          </cell>
          <cell r="E9698" t="str">
            <v>Community School</v>
          </cell>
          <cell r="F9698" t="str">
            <v>Primary</v>
          </cell>
        </row>
        <row r="9699">
          <cell r="A9699">
            <v>3062014</v>
          </cell>
          <cell r="B9699">
            <v>101721</v>
          </cell>
          <cell r="C9699" t="str">
            <v>Elmwood Infant School</v>
          </cell>
          <cell r="D9699" t="str">
            <v>Croydon</v>
          </cell>
          <cell r="E9699" t="str">
            <v>Community School</v>
          </cell>
          <cell r="F9699" t="str">
            <v>Primary</v>
          </cell>
        </row>
        <row r="9700">
          <cell r="A9700">
            <v>3062012</v>
          </cell>
          <cell r="B9700">
            <v>101720</v>
          </cell>
          <cell r="C9700" t="str">
            <v>Elmwood Junior School</v>
          </cell>
          <cell r="D9700" t="str">
            <v>Croydon</v>
          </cell>
          <cell r="E9700" t="str">
            <v>Community School</v>
          </cell>
          <cell r="F9700" t="str">
            <v>Primary</v>
          </cell>
        </row>
        <row r="9701">
          <cell r="A9701">
            <v>8815200</v>
          </cell>
          <cell r="B9701">
            <v>115240</v>
          </cell>
          <cell r="C9701" t="str">
            <v>Elmwood Primary School</v>
          </cell>
          <cell r="D9701" t="str">
            <v>Essex</v>
          </cell>
          <cell r="E9701" t="str">
            <v>Foundation School</v>
          </cell>
          <cell r="F9701" t="str">
            <v>Primary</v>
          </cell>
        </row>
        <row r="9702">
          <cell r="A9702">
            <v>9337003</v>
          </cell>
          <cell r="B9702">
            <v>123938</v>
          </cell>
          <cell r="C9702" t="str">
            <v>Elmwood School</v>
          </cell>
          <cell r="D9702" t="str">
            <v>Somerset</v>
          </cell>
          <cell r="E9702" t="str">
            <v>Foundation Special School</v>
          </cell>
          <cell r="F9702" t="str">
            <v>Special</v>
          </cell>
        </row>
        <row r="9703">
          <cell r="A9703">
            <v>3357014</v>
          </cell>
          <cell r="B9703">
            <v>135461</v>
          </cell>
          <cell r="C9703" t="str">
            <v>Elmwood School</v>
          </cell>
          <cell r="D9703" t="str">
            <v>Walsall</v>
          </cell>
          <cell r="E9703" t="str">
            <v>Community Special School</v>
          </cell>
          <cell r="F9703" t="str">
            <v>Special</v>
          </cell>
        </row>
        <row r="9704">
          <cell r="A9704">
            <v>8452167</v>
          </cell>
          <cell r="B9704">
            <v>130947</v>
          </cell>
          <cell r="C9704" t="str">
            <v>Elphinstone Community School</v>
          </cell>
          <cell r="D9704" t="str">
            <v>East Sussex</v>
          </cell>
          <cell r="E9704" t="str">
            <v>Community School</v>
          </cell>
          <cell r="F9704" t="str">
            <v>Primary</v>
          </cell>
        </row>
        <row r="9705">
          <cell r="A9705">
            <v>9142123</v>
          </cell>
          <cell r="B9705">
            <v>114450</v>
          </cell>
          <cell r="C9705" t="str">
            <v>Elphinstone Infants' School</v>
          </cell>
          <cell r="D9705" t="str">
            <v>Pre LGR (1997) East Sussex</v>
          </cell>
          <cell r="E9705" t="str">
            <v>Community School</v>
          </cell>
          <cell r="F9705" t="str">
            <v>Primary</v>
          </cell>
        </row>
        <row r="9706">
          <cell r="A9706">
            <v>9142122</v>
          </cell>
          <cell r="B9706">
            <v>114449</v>
          </cell>
          <cell r="C9706" t="str">
            <v>Elphinstone Junior School</v>
          </cell>
          <cell r="D9706" t="str">
            <v>Pre LGR (1997) East Sussex</v>
          </cell>
          <cell r="E9706" t="str">
            <v>Community School</v>
          </cell>
          <cell r="F9706" t="str">
            <v>Primary</v>
          </cell>
        </row>
        <row r="9707">
          <cell r="A9707">
            <v>3703322</v>
          </cell>
          <cell r="B9707">
            <v>106644</v>
          </cell>
          <cell r="C9707" t="str">
            <v>Elsecar Holy Trinity Church of England Voluntary Aided Primary</v>
          </cell>
          <cell r="D9707" t="str">
            <v>Barnsley</v>
          </cell>
          <cell r="E9707" t="str">
            <v>Voluntary Aided School</v>
          </cell>
          <cell r="F9707" t="str">
            <v>Primary</v>
          </cell>
        </row>
        <row r="9708">
          <cell r="A9708">
            <v>8813244</v>
          </cell>
          <cell r="B9708">
            <v>115129</v>
          </cell>
          <cell r="C9708" t="str">
            <v>Elsenham Church of England Voluntary Controlled Primary School</v>
          </cell>
          <cell r="D9708" t="str">
            <v>Essex</v>
          </cell>
          <cell r="E9708" t="str">
            <v>Voluntary Controlled School</v>
          </cell>
          <cell r="F9708" t="str">
            <v>Primary</v>
          </cell>
        </row>
        <row r="9709">
          <cell r="A9709">
            <v>3042055</v>
          </cell>
          <cell r="B9709">
            <v>101519</v>
          </cell>
          <cell r="C9709" t="str">
            <v>Elsley Primary School</v>
          </cell>
          <cell r="D9709" t="str">
            <v>Brent</v>
          </cell>
          <cell r="E9709" t="str">
            <v>Community School</v>
          </cell>
          <cell r="F9709" t="str">
            <v>Primary</v>
          </cell>
        </row>
        <row r="9710">
          <cell r="A9710">
            <v>2127208</v>
          </cell>
          <cell r="B9710">
            <v>131024</v>
          </cell>
          <cell r="C9710" t="str">
            <v>Elsley School</v>
          </cell>
          <cell r="D9710" t="str">
            <v>Wandsworth</v>
          </cell>
          <cell r="E9710" t="str">
            <v>Community Special School</v>
          </cell>
          <cell r="F9710" t="str">
            <v>Special</v>
          </cell>
        </row>
        <row r="9711">
          <cell r="A9711">
            <v>8502607</v>
          </cell>
          <cell r="B9711">
            <v>116163</v>
          </cell>
          <cell r="C9711" t="str">
            <v>Elson Infant School</v>
          </cell>
          <cell r="D9711" t="str">
            <v>Hampshire</v>
          </cell>
          <cell r="E9711" t="str">
            <v>Community School</v>
          </cell>
          <cell r="F9711" t="str">
            <v>Primary</v>
          </cell>
        </row>
        <row r="9712">
          <cell r="A9712">
            <v>8502606</v>
          </cell>
          <cell r="B9712">
            <v>116162</v>
          </cell>
          <cell r="C9712" t="str">
            <v>Elson Junior School</v>
          </cell>
          <cell r="D9712" t="str">
            <v>Hampshire</v>
          </cell>
          <cell r="E9712" t="str">
            <v>Community School</v>
          </cell>
          <cell r="F9712" t="str">
            <v>Primary</v>
          </cell>
        </row>
        <row r="9713">
          <cell r="A9713">
            <v>9336189</v>
          </cell>
          <cell r="B9713">
            <v>123936</v>
          </cell>
          <cell r="C9713" t="str">
            <v>Elstar (Sedgemoor)</v>
          </cell>
          <cell r="D9713" t="str">
            <v>Somerset</v>
          </cell>
          <cell r="E9713" t="str">
            <v>Other Independent Special School</v>
          </cell>
          <cell r="F9713" t="str">
            <v>Not applicable</v>
          </cell>
        </row>
        <row r="9714">
          <cell r="A9714">
            <v>3362011</v>
          </cell>
          <cell r="B9714">
            <v>127207</v>
          </cell>
          <cell r="C9714" t="str">
            <v>Elston Hall Infant School</v>
          </cell>
          <cell r="D9714" t="str">
            <v>Wolverhampton</v>
          </cell>
          <cell r="E9714" t="str">
            <v>Community School</v>
          </cell>
          <cell r="F9714" t="str">
            <v>Primary</v>
          </cell>
        </row>
        <row r="9715">
          <cell r="A9715">
            <v>3362010</v>
          </cell>
          <cell r="B9715">
            <v>127206</v>
          </cell>
          <cell r="C9715" t="str">
            <v>Elston Hall Junior School</v>
          </cell>
          <cell r="D9715" t="str">
            <v>Wolverhampton</v>
          </cell>
          <cell r="E9715" t="str">
            <v>Community School</v>
          </cell>
          <cell r="F9715" t="str">
            <v>Primary</v>
          </cell>
        </row>
        <row r="9716">
          <cell r="A9716">
            <v>3361000</v>
          </cell>
          <cell r="B9716">
            <v>104276</v>
          </cell>
          <cell r="C9716" t="str">
            <v>Elston Hall Nursery School</v>
          </cell>
          <cell r="D9716" t="str">
            <v>Wolverhampton</v>
          </cell>
          <cell r="E9716" t="str">
            <v>LA Nursery School</v>
          </cell>
          <cell r="F9716" t="str">
            <v>Nursery</v>
          </cell>
        </row>
        <row r="9717">
          <cell r="A9717">
            <v>3362112</v>
          </cell>
          <cell r="B9717">
            <v>104351</v>
          </cell>
          <cell r="C9717" t="str">
            <v>Elston Hall Primary School</v>
          </cell>
          <cell r="D9717" t="str">
            <v>Wolverhampton</v>
          </cell>
          <cell r="E9717" t="str">
            <v>Community School</v>
          </cell>
          <cell r="F9717" t="str">
            <v>Primary</v>
          </cell>
        </row>
        <row r="9718">
          <cell r="A9718">
            <v>8222045</v>
          </cell>
          <cell r="B9718">
            <v>109448</v>
          </cell>
          <cell r="C9718" t="str">
            <v>Elstow Lower School</v>
          </cell>
          <cell r="D9718" t="str">
            <v>Bedford</v>
          </cell>
          <cell r="E9718" t="str">
            <v>Community School</v>
          </cell>
          <cell r="F9718" t="str">
            <v>Primary</v>
          </cell>
        </row>
        <row r="9719">
          <cell r="A9719">
            <v>8696007</v>
          </cell>
          <cell r="B9719">
            <v>110140</v>
          </cell>
          <cell r="C9719" t="str">
            <v>Elstree School</v>
          </cell>
          <cell r="D9719" t="str">
            <v>West Berkshire</v>
          </cell>
          <cell r="E9719" t="str">
            <v>Other Independent School</v>
          </cell>
          <cell r="F9719" t="str">
            <v>Not applicable</v>
          </cell>
        </row>
        <row r="9720">
          <cell r="A9720">
            <v>8733308</v>
          </cell>
          <cell r="B9720">
            <v>110830</v>
          </cell>
          <cell r="C9720" t="str">
            <v>Elsworth CofE VA Primary School</v>
          </cell>
          <cell r="D9720" t="str">
            <v>Cambridgeshire</v>
          </cell>
          <cell r="E9720" t="str">
            <v>Voluntary Aided School</v>
          </cell>
          <cell r="F9720" t="str">
            <v>Primary</v>
          </cell>
        </row>
        <row r="9721">
          <cell r="A9721">
            <v>3739900</v>
          </cell>
          <cell r="B9721">
            <v>132994</v>
          </cell>
          <cell r="C9721" t="str">
            <v>Elsworth House Educational Centre</v>
          </cell>
          <cell r="D9721" t="str">
            <v>Sheffield</v>
          </cell>
          <cell r="E9721" t="str">
            <v>Miscellaneous</v>
          </cell>
          <cell r="F9721" t="str">
            <v>Not applicable</v>
          </cell>
        </row>
        <row r="9722">
          <cell r="A9722">
            <v>3726003</v>
          </cell>
          <cell r="B9722">
            <v>134466</v>
          </cell>
          <cell r="C9722" t="str">
            <v>Elsworth House School</v>
          </cell>
          <cell r="D9722" t="str">
            <v>Rotherham</v>
          </cell>
          <cell r="E9722" t="str">
            <v>Other Independent School</v>
          </cell>
          <cell r="F9722" t="str">
            <v>Not applicable</v>
          </cell>
        </row>
        <row r="9723">
          <cell r="A9723">
            <v>2033338</v>
          </cell>
          <cell r="B9723">
            <v>100167</v>
          </cell>
          <cell r="C9723" t="str">
            <v>Eltham Church of England Primary School</v>
          </cell>
          <cell r="D9723" t="str">
            <v>Greenwich</v>
          </cell>
          <cell r="E9723" t="str">
            <v>Voluntary Aided School</v>
          </cell>
          <cell r="F9723" t="str">
            <v>Primary</v>
          </cell>
        </row>
        <row r="9724">
          <cell r="A9724">
            <v>3056074</v>
          </cell>
          <cell r="B9724">
            <v>101693</v>
          </cell>
          <cell r="C9724" t="str">
            <v>Eltham College</v>
          </cell>
          <cell r="D9724" t="str">
            <v>Bromley</v>
          </cell>
          <cell r="E9724" t="str">
            <v>Other Independent School</v>
          </cell>
          <cell r="F9724" t="str">
            <v>Not applicable</v>
          </cell>
        </row>
        <row r="9725">
          <cell r="A9725">
            <v>2034077</v>
          </cell>
          <cell r="B9725">
            <v>100182</v>
          </cell>
          <cell r="C9725" t="str">
            <v>Eltham Hill Technology College for Girls</v>
          </cell>
          <cell r="D9725" t="str">
            <v>Greenwich</v>
          </cell>
          <cell r="E9725" t="str">
            <v>Community School</v>
          </cell>
          <cell r="F9725" t="str">
            <v>Secondary</v>
          </cell>
        </row>
        <row r="9726">
          <cell r="A9726">
            <v>2034902</v>
          </cell>
          <cell r="B9726">
            <v>132930</v>
          </cell>
          <cell r="C9726" t="str">
            <v>Eltham Sixth Form Centre</v>
          </cell>
          <cell r="D9726" t="str">
            <v>Greenwich</v>
          </cell>
          <cell r="E9726" t="str">
            <v>Sixth Form Centres</v>
          </cell>
          <cell r="F9726" t="str">
            <v>16 Plus</v>
          </cell>
        </row>
        <row r="9727">
          <cell r="A9727">
            <v>3074036</v>
          </cell>
          <cell r="B9727">
            <v>131310</v>
          </cell>
          <cell r="C9727" t="str">
            <v>Elthorne Park High School</v>
          </cell>
          <cell r="D9727" t="str">
            <v>Ealing</v>
          </cell>
          <cell r="E9727" t="str">
            <v>Community School</v>
          </cell>
          <cell r="F9727" t="str">
            <v>Secondary</v>
          </cell>
        </row>
        <row r="9728">
          <cell r="A9728">
            <v>8303033</v>
          </cell>
          <cell r="B9728">
            <v>112815</v>
          </cell>
          <cell r="C9728" t="str">
            <v>Elton CofE Primary School</v>
          </cell>
          <cell r="D9728" t="str">
            <v>Derbyshire</v>
          </cell>
          <cell r="E9728" t="str">
            <v>Voluntary Controlled School</v>
          </cell>
          <cell r="F9728" t="str">
            <v>Primary</v>
          </cell>
        </row>
        <row r="9729">
          <cell r="A9729">
            <v>3512004</v>
          </cell>
          <cell r="B9729">
            <v>105285</v>
          </cell>
          <cell r="C9729" t="str">
            <v>Elton Community Primary School</v>
          </cell>
          <cell r="D9729" t="str">
            <v>Bury</v>
          </cell>
          <cell r="E9729" t="str">
            <v>Community School</v>
          </cell>
          <cell r="F9729" t="str">
            <v>Primary</v>
          </cell>
        </row>
        <row r="9730">
          <cell r="A9730">
            <v>9062232</v>
          </cell>
          <cell r="B9730">
            <v>128408</v>
          </cell>
          <cell r="C9730" t="str">
            <v>Elton County Infant School</v>
          </cell>
          <cell r="D9730" t="str">
            <v>Pre LGR (1998) Cheshire</v>
          </cell>
          <cell r="E9730" t="str">
            <v>Community School</v>
          </cell>
          <cell r="F9730" t="str">
            <v>Primary</v>
          </cell>
        </row>
        <row r="9731">
          <cell r="A9731">
            <v>9062336</v>
          </cell>
          <cell r="B9731">
            <v>128436</v>
          </cell>
          <cell r="C9731" t="str">
            <v>Elton County Junior School</v>
          </cell>
          <cell r="D9731" t="str">
            <v>Pre LGR (1998) Cheshire</v>
          </cell>
          <cell r="E9731" t="str">
            <v>Community School</v>
          </cell>
          <cell r="F9731" t="str">
            <v>Primary</v>
          </cell>
        </row>
        <row r="9732">
          <cell r="A9732">
            <v>3511001</v>
          </cell>
          <cell r="B9732">
            <v>105282</v>
          </cell>
          <cell r="C9732" t="str">
            <v>Elton County Nursery School</v>
          </cell>
          <cell r="D9732" t="str">
            <v>Bury</v>
          </cell>
          <cell r="E9732" t="str">
            <v>LA Nursery School</v>
          </cell>
          <cell r="F9732" t="str">
            <v>Nursery</v>
          </cell>
        </row>
        <row r="9733">
          <cell r="A9733">
            <v>3326001</v>
          </cell>
          <cell r="B9733">
            <v>127148</v>
          </cell>
          <cell r="C9733" t="str">
            <v>Elton House School</v>
          </cell>
          <cell r="D9733" t="str">
            <v>Dudley</v>
          </cell>
          <cell r="E9733" t="str">
            <v>Other Independent School</v>
          </cell>
          <cell r="F9733" t="str">
            <v>Not applicable</v>
          </cell>
        </row>
        <row r="9734">
          <cell r="A9734">
            <v>8962708</v>
          </cell>
          <cell r="B9734">
            <v>111225</v>
          </cell>
          <cell r="C9734" t="str">
            <v>Elton Primary School</v>
          </cell>
          <cell r="D9734" t="str">
            <v>Cheshire West and Chester</v>
          </cell>
          <cell r="E9734" t="str">
            <v>Community School</v>
          </cell>
          <cell r="F9734" t="str">
            <v>Primary</v>
          </cell>
        </row>
        <row r="9735">
          <cell r="A9735">
            <v>9353312</v>
          </cell>
          <cell r="B9735">
            <v>124765</v>
          </cell>
          <cell r="C9735" t="str">
            <v>Elveden Church of England Voluntary Aided Primary School</v>
          </cell>
          <cell r="D9735" t="str">
            <v>Suffolk</v>
          </cell>
          <cell r="E9735" t="str">
            <v>Voluntary Aided School</v>
          </cell>
          <cell r="F9735" t="str">
            <v>Primary</v>
          </cell>
        </row>
        <row r="9736">
          <cell r="A9736">
            <v>8502015</v>
          </cell>
          <cell r="B9736">
            <v>132801</v>
          </cell>
          <cell r="C9736" t="str">
            <v>Elvetham Heath Primary School</v>
          </cell>
          <cell r="D9736" t="str">
            <v>Hampshire</v>
          </cell>
          <cell r="E9736" t="str">
            <v>Community School</v>
          </cell>
          <cell r="F9736" t="str">
            <v>Primary</v>
          </cell>
        </row>
        <row r="9737">
          <cell r="A9737">
            <v>8163152</v>
          </cell>
          <cell r="B9737">
            <v>121531</v>
          </cell>
          <cell r="C9737" t="str">
            <v>Elvington Church of England Voluntary Controlled Primary School</v>
          </cell>
          <cell r="D9737" t="str">
            <v>York</v>
          </cell>
          <cell r="E9737" t="str">
            <v>Voluntary Controlled School</v>
          </cell>
          <cell r="F9737" t="str">
            <v>Primary</v>
          </cell>
        </row>
        <row r="9738">
          <cell r="A9738">
            <v>8953121</v>
          </cell>
          <cell r="B9738">
            <v>111256</v>
          </cell>
          <cell r="C9738" t="str">
            <v>Elworth CofE Primary School</v>
          </cell>
          <cell r="D9738" t="str">
            <v>Cheshire East</v>
          </cell>
          <cell r="E9738" t="str">
            <v>Voluntary Controlled School</v>
          </cell>
          <cell r="F9738" t="str">
            <v>Primary</v>
          </cell>
        </row>
        <row r="9739">
          <cell r="A9739">
            <v>8952356</v>
          </cell>
          <cell r="B9739">
            <v>111163</v>
          </cell>
          <cell r="C9739" t="str">
            <v>Elworth Hall Primary School</v>
          </cell>
          <cell r="D9739" t="str">
            <v>Cheshire East</v>
          </cell>
          <cell r="E9739" t="str">
            <v>Community School</v>
          </cell>
          <cell r="F9739" t="str">
            <v>Primary</v>
          </cell>
        </row>
        <row r="9740">
          <cell r="A9740">
            <v>8734083</v>
          </cell>
          <cell r="B9740">
            <v>110883</v>
          </cell>
          <cell r="C9740" t="str">
            <v>Ely College</v>
          </cell>
          <cell r="D9740" t="str">
            <v>Cambridgeshire</v>
          </cell>
          <cell r="E9740" t="str">
            <v>Foundation School</v>
          </cell>
          <cell r="F9740" t="str">
            <v>Secondary</v>
          </cell>
        </row>
        <row r="9741">
          <cell r="A9741">
            <v>6816023</v>
          </cell>
          <cell r="B9741">
            <v>402017</v>
          </cell>
          <cell r="C9741" t="str">
            <v>Ely Presbyterian Church School</v>
          </cell>
          <cell r="D9741" t="str">
            <v>Cardiff</v>
          </cell>
          <cell r="E9741" t="str">
            <v>Welsh Establishment</v>
          </cell>
          <cell r="F9741" t="str">
            <v>Not applicable</v>
          </cell>
        </row>
        <row r="9742">
          <cell r="A9742">
            <v>8731103</v>
          </cell>
          <cell r="B9742">
            <v>133592</v>
          </cell>
          <cell r="C9742" t="str">
            <v>Ely Pupil Referral Unit</v>
          </cell>
          <cell r="D9742" t="str">
            <v>Cambridgeshire</v>
          </cell>
          <cell r="E9742" t="str">
            <v>Pupil Referral Unit</v>
          </cell>
          <cell r="F9742" t="str">
            <v>PRU</v>
          </cell>
        </row>
        <row r="9743">
          <cell r="A9743">
            <v>8732444</v>
          </cell>
          <cell r="B9743">
            <v>110773</v>
          </cell>
          <cell r="C9743" t="str">
            <v>Ely St John's Community Primary School</v>
          </cell>
          <cell r="D9743" t="str">
            <v>Cambridgeshire</v>
          </cell>
          <cell r="E9743" t="str">
            <v>Community School</v>
          </cell>
          <cell r="F9743" t="str">
            <v>Primary</v>
          </cell>
        </row>
        <row r="9744">
          <cell r="A9744">
            <v>8733362</v>
          </cell>
          <cell r="B9744">
            <v>110842</v>
          </cell>
          <cell r="C9744" t="str">
            <v>Ely St Mary's CofE Junior School</v>
          </cell>
          <cell r="D9744" t="str">
            <v>Cambridgeshire</v>
          </cell>
          <cell r="E9744" t="str">
            <v>Voluntary Aided School</v>
          </cell>
          <cell r="F9744" t="str">
            <v>Primary</v>
          </cell>
        </row>
        <row r="9745">
          <cell r="A9745">
            <v>2126292</v>
          </cell>
          <cell r="B9745">
            <v>101071</v>
          </cell>
          <cell r="C9745" t="str">
            <v>Emanuel School</v>
          </cell>
          <cell r="D9745" t="str">
            <v>Wandsworth</v>
          </cell>
          <cell r="E9745" t="str">
            <v>Other Independent School</v>
          </cell>
          <cell r="F9745" t="str">
            <v>Not applicable</v>
          </cell>
        </row>
        <row r="9746">
          <cell r="A9746">
            <v>3586016</v>
          </cell>
          <cell r="B9746">
            <v>127548</v>
          </cell>
          <cell r="C9746" t="str">
            <v>Emanuel School</v>
          </cell>
          <cell r="D9746" t="str">
            <v>Trafford</v>
          </cell>
          <cell r="E9746" t="str">
            <v>Other Independent School</v>
          </cell>
          <cell r="F9746" t="str">
            <v>Not applicable</v>
          </cell>
        </row>
        <row r="9747">
          <cell r="A9747">
            <v>9366201</v>
          </cell>
          <cell r="B9747">
            <v>125379</v>
          </cell>
          <cell r="C9747" t="str">
            <v>Emberhurst School</v>
          </cell>
          <cell r="D9747" t="str">
            <v>Surrey</v>
          </cell>
          <cell r="E9747" t="str">
            <v>Other Independent School</v>
          </cell>
          <cell r="F9747" t="str">
            <v>Not applicable</v>
          </cell>
        </row>
        <row r="9748">
          <cell r="A9748">
            <v>8262035</v>
          </cell>
          <cell r="B9748">
            <v>110226</v>
          </cell>
          <cell r="C9748" t="str">
            <v>Emberton School</v>
          </cell>
          <cell r="D9748" t="str">
            <v>Milton Keynes</v>
          </cell>
          <cell r="E9748" t="str">
            <v>Community School</v>
          </cell>
          <cell r="F9748" t="str">
            <v>Primary</v>
          </cell>
        </row>
        <row r="9749">
          <cell r="A9749">
            <v>8012032</v>
          </cell>
          <cell r="B9749">
            <v>108926</v>
          </cell>
          <cell r="C9749" t="str">
            <v>Embleton Infant School</v>
          </cell>
          <cell r="D9749" t="str">
            <v>Bristol City of</v>
          </cell>
          <cell r="E9749" t="str">
            <v>Community School</v>
          </cell>
          <cell r="F9749" t="str">
            <v>Primary</v>
          </cell>
        </row>
        <row r="9750">
          <cell r="A9750">
            <v>8012031</v>
          </cell>
          <cell r="B9750">
            <v>108925</v>
          </cell>
          <cell r="C9750" t="str">
            <v>Embleton Junior School</v>
          </cell>
          <cell r="D9750" t="str">
            <v>Bristol City of</v>
          </cell>
          <cell r="E9750" t="str">
            <v>Community School</v>
          </cell>
          <cell r="F9750" t="str">
            <v>Primary</v>
          </cell>
        </row>
        <row r="9751">
          <cell r="A9751">
            <v>8012008</v>
          </cell>
          <cell r="B9751">
            <v>131495</v>
          </cell>
          <cell r="C9751" t="str">
            <v>Embleton Primary School</v>
          </cell>
          <cell r="D9751" t="str">
            <v>Bristol City of</v>
          </cell>
          <cell r="E9751" t="str">
            <v>Community School</v>
          </cell>
          <cell r="F9751" t="str">
            <v>Primary</v>
          </cell>
        </row>
        <row r="9752">
          <cell r="A9752">
            <v>9293408</v>
          </cell>
          <cell r="B9752">
            <v>122290</v>
          </cell>
          <cell r="C9752" t="str">
            <v>Embleton Vincent Edwards Church of England First School</v>
          </cell>
          <cell r="D9752" t="str">
            <v>Northumberland</v>
          </cell>
          <cell r="E9752" t="str">
            <v>Voluntary Aided School</v>
          </cell>
          <cell r="F9752" t="str">
            <v>Primary</v>
          </cell>
        </row>
        <row r="9753">
          <cell r="A9753">
            <v>8506066</v>
          </cell>
          <cell r="B9753">
            <v>116548</v>
          </cell>
          <cell r="C9753" t="str">
            <v>Embley Park Junior School</v>
          </cell>
          <cell r="D9753" t="str">
            <v>Hampshire</v>
          </cell>
          <cell r="E9753" t="str">
            <v>Other Independent School</v>
          </cell>
          <cell r="F9753" t="str">
            <v>Not applicable</v>
          </cell>
        </row>
        <row r="9754">
          <cell r="A9754">
            <v>8153236</v>
          </cell>
          <cell r="B9754">
            <v>121559</v>
          </cell>
          <cell r="C9754" t="str">
            <v>Embsay Church of England Voluntary Controlled Primary School</v>
          </cell>
          <cell r="D9754" t="str">
            <v>North Yorkshire</v>
          </cell>
          <cell r="E9754" t="str">
            <v>Voluntary Controlled School</v>
          </cell>
          <cell r="F9754" t="str">
            <v>Primary</v>
          </cell>
        </row>
        <row r="9755">
          <cell r="A9755">
            <v>3114006</v>
          </cell>
          <cell r="B9755">
            <v>102340</v>
          </cell>
          <cell r="C9755" t="str">
            <v>Emerson Park School</v>
          </cell>
          <cell r="D9755" t="str">
            <v>Havering</v>
          </cell>
          <cell r="E9755" t="str">
            <v>Community School</v>
          </cell>
          <cell r="F9755" t="str">
            <v>Secondary</v>
          </cell>
        </row>
        <row r="9756">
          <cell r="A9756">
            <v>3114006</v>
          </cell>
          <cell r="B9756">
            <v>137414</v>
          </cell>
          <cell r="C9756" t="str">
            <v>Emerson Park School</v>
          </cell>
          <cell r="D9756" t="str">
            <v>Havering</v>
          </cell>
          <cell r="E9756" t="str">
            <v>Academy Converters</v>
          </cell>
          <cell r="F9756" t="str">
            <v>Secondary</v>
          </cell>
        </row>
        <row r="9757">
          <cell r="A9757">
            <v>8262353</v>
          </cell>
          <cell r="B9757">
            <v>131190</v>
          </cell>
          <cell r="C9757" t="str">
            <v>Emerson Valley School</v>
          </cell>
          <cell r="D9757" t="str">
            <v>Milton Keynes</v>
          </cell>
          <cell r="E9757" t="str">
            <v>Community School</v>
          </cell>
          <cell r="F9757" t="str">
            <v>Primary</v>
          </cell>
        </row>
        <row r="9758">
          <cell r="A9758">
            <v>8032007</v>
          </cell>
          <cell r="B9758">
            <v>131767</v>
          </cell>
          <cell r="C9758" t="str">
            <v>Emersons Green Primary School</v>
          </cell>
          <cell r="D9758" t="str">
            <v>South Gloucestershire</v>
          </cell>
          <cell r="E9758" t="str">
            <v>Community School</v>
          </cell>
          <cell r="F9758" t="str">
            <v>Primary</v>
          </cell>
        </row>
        <row r="9759">
          <cell r="A9759">
            <v>8565950</v>
          </cell>
          <cell r="B9759">
            <v>120313</v>
          </cell>
          <cell r="C9759" t="str">
            <v>Emily Fortey School</v>
          </cell>
          <cell r="D9759" t="str">
            <v>Leicester</v>
          </cell>
          <cell r="E9759" t="str">
            <v>Foundation Special School</v>
          </cell>
          <cell r="F9759" t="str">
            <v>Special</v>
          </cell>
        </row>
        <row r="9760">
          <cell r="A9760">
            <v>3822081</v>
          </cell>
          <cell r="B9760">
            <v>107651</v>
          </cell>
          <cell r="C9760" t="str">
            <v>Emley First School</v>
          </cell>
          <cell r="D9760" t="str">
            <v>Kirklees</v>
          </cell>
          <cell r="E9760" t="str">
            <v>Community School</v>
          </cell>
          <cell r="F9760" t="str">
            <v>Primary</v>
          </cell>
        </row>
        <row r="9761">
          <cell r="A9761">
            <v>3733426</v>
          </cell>
          <cell r="B9761">
            <v>107120</v>
          </cell>
          <cell r="C9761" t="str">
            <v>Emmanuel Anglican/Methodist Junior School</v>
          </cell>
          <cell r="D9761" t="str">
            <v>Sheffield</v>
          </cell>
          <cell r="E9761" t="str">
            <v>Voluntary Aided School</v>
          </cell>
          <cell r="F9761" t="str">
            <v>Primary</v>
          </cell>
        </row>
        <row r="9762">
          <cell r="A9762">
            <v>3546004</v>
          </cell>
          <cell r="B9762">
            <v>105857</v>
          </cell>
          <cell r="C9762" t="str">
            <v>Emmanuel Christian School</v>
          </cell>
          <cell r="D9762" t="str">
            <v>Rochdale</v>
          </cell>
          <cell r="E9762" t="str">
            <v>Other Independent School</v>
          </cell>
          <cell r="F9762" t="str">
            <v>Not applicable</v>
          </cell>
        </row>
        <row r="9763">
          <cell r="A9763">
            <v>8886053</v>
          </cell>
          <cell r="B9763">
            <v>119834</v>
          </cell>
          <cell r="C9763" t="str">
            <v>Emmanuel Christian School</v>
          </cell>
          <cell r="D9763" t="str">
            <v>Lancashire</v>
          </cell>
          <cell r="E9763" t="str">
            <v>Other Independent School</v>
          </cell>
          <cell r="F9763" t="str">
            <v>Not applicable</v>
          </cell>
        </row>
        <row r="9764">
          <cell r="A9764">
            <v>9266147</v>
          </cell>
          <cell r="B9764">
            <v>121253</v>
          </cell>
          <cell r="C9764" t="str">
            <v>Emmanuel Christian School</v>
          </cell>
          <cell r="D9764" t="str">
            <v>Norfolk</v>
          </cell>
          <cell r="E9764" t="str">
            <v>Other Independent School</v>
          </cell>
          <cell r="F9764" t="str">
            <v>Not applicable</v>
          </cell>
        </row>
        <row r="9765">
          <cell r="A9765">
            <v>9316102</v>
          </cell>
          <cell r="B9765">
            <v>123317</v>
          </cell>
          <cell r="C9765" t="str">
            <v>Emmanuel Christian School</v>
          </cell>
          <cell r="D9765" t="str">
            <v>Oxfordshire</v>
          </cell>
          <cell r="E9765" t="str">
            <v>Other Independent School</v>
          </cell>
          <cell r="F9765" t="str">
            <v>Not applicable</v>
          </cell>
        </row>
        <row r="9766">
          <cell r="A9766">
            <v>8566018</v>
          </cell>
          <cell r="B9766">
            <v>134595</v>
          </cell>
          <cell r="C9766" t="str">
            <v>Emmanuel Christian School</v>
          </cell>
          <cell r="D9766" t="str">
            <v>Leicester</v>
          </cell>
          <cell r="E9766" t="str">
            <v>Other Independent School</v>
          </cell>
          <cell r="F9766" t="str">
            <v>Not applicable</v>
          </cell>
        </row>
        <row r="9767">
          <cell r="A9767">
            <v>6766013</v>
          </cell>
          <cell r="B9767">
            <v>402004</v>
          </cell>
          <cell r="C9767" t="str">
            <v>Emmanuel Christian School</v>
          </cell>
          <cell r="D9767" t="str">
            <v>Caerphilly</v>
          </cell>
          <cell r="E9767" t="str">
            <v>Welsh Establishment</v>
          </cell>
          <cell r="F9767" t="str">
            <v>Not applicable</v>
          </cell>
        </row>
        <row r="9768">
          <cell r="A9768">
            <v>2023340</v>
          </cell>
          <cell r="B9768">
            <v>100030</v>
          </cell>
          <cell r="C9768" t="str">
            <v>Emmanuel Church of England Primary School</v>
          </cell>
          <cell r="D9768" t="str">
            <v>Camden</v>
          </cell>
          <cell r="E9768" t="str">
            <v>Voluntary Aided School</v>
          </cell>
          <cell r="F9768" t="str">
            <v>Primary</v>
          </cell>
        </row>
        <row r="9769">
          <cell r="A9769">
            <v>9243323</v>
          </cell>
          <cell r="B9769">
            <v>129538</v>
          </cell>
          <cell r="C9769" t="str">
            <v>Emmanuel CofE Aided Primary School</v>
          </cell>
          <cell r="D9769" t="str">
            <v>Pre LGR (1997) Leicestershire</v>
          </cell>
          <cell r="E9769" t="str">
            <v>Voluntary Aided School</v>
          </cell>
          <cell r="F9769" t="str">
            <v>Primary</v>
          </cell>
        </row>
        <row r="9770">
          <cell r="A9770">
            <v>9284704</v>
          </cell>
          <cell r="B9770">
            <v>122101</v>
          </cell>
          <cell r="C9770" t="str">
            <v>Emmanuel CofE Voluntary Aided Middle School</v>
          </cell>
          <cell r="D9770" t="str">
            <v>Northamptonshire</v>
          </cell>
          <cell r="E9770" t="str">
            <v>Voluntary Aided School</v>
          </cell>
          <cell r="F9770" t="str">
            <v>Middle Deemed Secondary</v>
          </cell>
        </row>
        <row r="9771">
          <cell r="A9771">
            <v>3906900</v>
          </cell>
          <cell r="B9771">
            <v>108420</v>
          </cell>
          <cell r="C9771" t="str">
            <v>Emmanuel College</v>
          </cell>
          <cell r="D9771" t="str">
            <v>Gateshead</v>
          </cell>
          <cell r="E9771" t="str">
            <v>City Technology College</v>
          </cell>
          <cell r="F9771" t="str">
            <v>Not applicable</v>
          </cell>
        </row>
        <row r="9772">
          <cell r="A9772">
            <v>3513330</v>
          </cell>
          <cell r="B9772">
            <v>105338</v>
          </cell>
          <cell r="C9772" t="str">
            <v>Emmanuel Holcombe Church of England Primary School</v>
          </cell>
          <cell r="D9772" t="str">
            <v>Bury</v>
          </cell>
          <cell r="E9772" t="str">
            <v>Voluntary Aided School</v>
          </cell>
          <cell r="F9772" t="str">
            <v>Primary</v>
          </cell>
        </row>
        <row r="9773">
          <cell r="A9773">
            <v>3156075</v>
          </cell>
          <cell r="B9773">
            <v>126971</v>
          </cell>
          <cell r="C9773" t="str">
            <v>Emmanuel Home School</v>
          </cell>
          <cell r="D9773" t="str">
            <v>Merton</v>
          </cell>
          <cell r="E9773" t="str">
            <v>Other Independent School</v>
          </cell>
          <cell r="F9773" t="str">
            <v>Not applicable</v>
          </cell>
        </row>
        <row r="9774">
          <cell r="A9774">
            <v>8354614</v>
          </cell>
          <cell r="B9774">
            <v>113894</v>
          </cell>
          <cell r="C9774" t="str">
            <v>Emmanuel Middle Church of England Voluntary Aided School</v>
          </cell>
          <cell r="D9774" t="str">
            <v>Dorset</v>
          </cell>
          <cell r="E9774" t="str">
            <v>Voluntary Aided School</v>
          </cell>
          <cell r="F9774" t="str">
            <v>Middle Deemed Secondary</v>
          </cell>
        </row>
        <row r="9775">
          <cell r="A9775">
            <v>8316000</v>
          </cell>
          <cell r="B9775">
            <v>113024</v>
          </cell>
          <cell r="C9775" t="str">
            <v>Emmanuel School</v>
          </cell>
          <cell r="D9775" t="str">
            <v>Derby</v>
          </cell>
          <cell r="E9775" t="str">
            <v>Other Independent School</v>
          </cell>
          <cell r="F9775" t="str">
            <v>Not applicable</v>
          </cell>
        </row>
        <row r="9776">
          <cell r="A9776">
            <v>3356009</v>
          </cell>
          <cell r="B9776">
            <v>130323</v>
          </cell>
          <cell r="C9776" t="str">
            <v>Emmanuel School</v>
          </cell>
          <cell r="D9776" t="str">
            <v>Walsall</v>
          </cell>
          <cell r="E9776" t="str">
            <v>Other Independent School</v>
          </cell>
          <cell r="F9776" t="str">
            <v>Not applicable</v>
          </cell>
        </row>
        <row r="9777">
          <cell r="A9777">
            <v>8786048</v>
          </cell>
          <cell r="B9777">
            <v>113626</v>
          </cell>
          <cell r="C9777" t="str">
            <v>Emmanuel School Exeter</v>
          </cell>
          <cell r="D9777" t="str">
            <v>Devon</v>
          </cell>
          <cell r="E9777" t="str">
            <v>Other Independent School</v>
          </cell>
          <cell r="F9777" t="str">
            <v>Not applicable</v>
          </cell>
        </row>
        <row r="9778">
          <cell r="A9778">
            <v>3733430</v>
          </cell>
          <cell r="B9778">
            <v>134231</v>
          </cell>
          <cell r="C9778" t="str">
            <v>Emmaus Catholic and CofE Primary School</v>
          </cell>
          <cell r="D9778" t="str">
            <v>Sheffield</v>
          </cell>
          <cell r="E9778" t="str">
            <v>Voluntary Aided School</v>
          </cell>
          <cell r="F9778" t="str">
            <v>Primary</v>
          </cell>
        </row>
        <row r="9779">
          <cell r="A9779">
            <v>3736031</v>
          </cell>
          <cell r="B9779">
            <v>135220</v>
          </cell>
          <cell r="C9779" t="str">
            <v>Emmaus Christian Family School</v>
          </cell>
          <cell r="D9779" t="str">
            <v>Sheffield</v>
          </cell>
          <cell r="E9779" t="str">
            <v>Other Independent School</v>
          </cell>
          <cell r="F9779" t="str">
            <v>Not applicable</v>
          </cell>
        </row>
        <row r="9780">
          <cell r="A9780">
            <v>3413956</v>
          </cell>
          <cell r="B9780">
            <v>131105</v>
          </cell>
          <cell r="C9780" t="str">
            <v>Emmaus Church of England and Catholic Primary School</v>
          </cell>
          <cell r="D9780" t="str">
            <v>Liverpool</v>
          </cell>
          <cell r="E9780" t="str">
            <v>Voluntary Aided School</v>
          </cell>
          <cell r="F9780" t="str">
            <v>Primary</v>
          </cell>
        </row>
        <row r="9781">
          <cell r="A9781">
            <v>8656032</v>
          </cell>
          <cell r="B9781">
            <v>131743</v>
          </cell>
          <cell r="C9781" t="str">
            <v>Emmaus School</v>
          </cell>
          <cell r="D9781" t="str">
            <v>Wiltshire</v>
          </cell>
          <cell r="E9781" t="str">
            <v>Other Independent School</v>
          </cell>
          <cell r="F9781" t="str">
            <v>Not applicable</v>
          </cell>
        </row>
        <row r="9782">
          <cell r="A9782">
            <v>3902167</v>
          </cell>
          <cell r="B9782">
            <v>108339</v>
          </cell>
          <cell r="C9782" t="str">
            <v>Emmaville Primary School</v>
          </cell>
          <cell r="D9782" t="str">
            <v>Gateshead</v>
          </cell>
          <cell r="E9782" t="str">
            <v>Community School</v>
          </cell>
          <cell r="F9782" t="str">
            <v>Primary</v>
          </cell>
        </row>
        <row r="9783">
          <cell r="A9783">
            <v>8722121</v>
          </cell>
          <cell r="B9783">
            <v>109855</v>
          </cell>
          <cell r="C9783" t="str">
            <v>Emmbrook Infant School</v>
          </cell>
          <cell r="D9783" t="str">
            <v>Wokingham</v>
          </cell>
          <cell r="E9783" t="str">
            <v>Community School</v>
          </cell>
          <cell r="F9783" t="str">
            <v>Primary</v>
          </cell>
        </row>
        <row r="9784">
          <cell r="A9784">
            <v>8722130</v>
          </cell>
          <cell r="B9784">
            <v>109863</v>
          </cell>
          <cell r="C9784" t="str">
            <v>Emmbrook Junior School</v>
          </cell>
          <cell r="D9784" t="str">
            <v>Wokingham</v>
          </cell>
          <cell r="E9784" t="str">
            <v>Community School</v>
          </cell>
          <cell r="F9784" t="str">
            <v>Primary</v>
          </cell>
        </row>
        <row r="9785">
          <cell r="A9785">
            <v>8702026</v>
          </cell>
          <cell r="B9785">
            <v>109794</v>
          </cell>
          <cell r="C9785" t="str">
            <v>Emmer Green Primary School</v>
          </cell>
          <cell r="D9785" t="str">
            <v>Reading</v>
          </cell>
          <cell r="E9785" t="str">
            <v>Community School</v>
          </cell>
          <cell r="F9785" t="str">
            <v>Primary</v>
          </cell>
        </row>
        <row r="9786">
          <cell r="A9786">
            <v>9261001</v>
          </cell>
          <cell r="B9786">
            <v>120765</v>
          </cell>
          <cell r="C9786" t="str">
            <v>Emneth Nursery School</v>
          </cell>
          <cell r="D9786" t="str">
            <v>Norfolk</v>
          </cell>
          <cell r="E9786" t="str">
            <v>LA Nursery School</v>
          </cell>
          <cell r="F9786" t="str">
            <v>Nursery</v>
          </cell>
        </row>
        <row r="9787">
          <cell r="A9787">
            <v>9262192</v>
          </cell>
          <cell r="B9787">
            <v>120870</v>
          </cell>
          <cell r="C9787" t="str">
            <v>Emneth Primary School</v>
          </cell>
          <cell r="D9787" t="str">
            <v>Norfolk</v>
          </cell>
          <cell r="E9787" t="str">
            <v>Community School</v>
          </cell>
          <cell r="F9787" t="str">
            <v>Primary</v>
          </cell>
        </row>
        <row r="9788">
          <cell r="A9788">
            <v>8573111</v>
          </cell>
          <cell r="B9788">
            <v>120177</v>
          </cell>
          <cell r="C9788" t="str">
            <v>Empingham CofE Primary School</v>
          </cell>
          <cell r="D9788" t="str">
            <v>Rutland</v>
          </cell>
          <cell r="E9788" t="str">
            <v>Voluntary Controlled School</v>
          </cell>
          <cell r="F9788" t="str">
            <v>Primary</v>
          </cell>
        </row>
        <row r="9789">
          <cell r="A9789">
            <v>9376095</v>
          </cell>
          <cell r="B9789">
            <v>125792</v>
          </cell>
          <cell r="C9789" t="str">
            <v>Emscote House School</v>
          </cell>
          <cell r="D9789" t="str">
            <v>Warwickshire</v>
          </cell>
          <cell r="E9789" t="str">
            <v>Other Independent School</v>
          </cell>
          <cell r="F9789" t="str">
            <v>Not applicable</v>
          </cell>
        </row>
        <row r="9790">
          <cell r="A9790">
            <v>9372332</v>
          </cell>
          <cell r="B9790">
            <v>125566</v>
          </cell>
          <cell r="C9790" t="str">
            <v>Emscote Infant School</v>
          </cell>
          <cell r="D9790" t="str">
            <v>Warwickshire</v>
          </cell>
          <cell r="E9790" t="str">
            <v>Community School</v>
          </cell>
          <cell r="F9790" t="str">
            <v>Primary</v>
          </cell>
        </row>
        <row r="9791">
          <cell r="A9791">
            <v>9376017</v>
          </cell>
          <cell r="B9791">
            <v>125779</v>
          </cell>
          <cell r="C9791" t="str">
            <v>Emscote Lawn School</v>
          </cell>
          <cell r="D9791" t="str">
            <v>Warwickshire</v>
          </cell>
          <cell r="E9791" t="str">
            <v>Other Independent School</v>
          </cell>
          <cell r="F9791" t="str">
            <v>Not applicable</v>
          </cell>
        </row>
        <row r="9792">
          <cell r="A9792">
            <v>9172065</v>
          </cell>
          <cell r="B9792">
            <v>128978</v>
          </cell>
          <cell r="C9792" t="str">
            <v>Emsworth First School</v>
          </cell>
          <cell r="D9792" t="str">
            <v>Pre LGR (1997) Hampshire</v>
          </cell>
          <cell r="E9792" t="str">
            <v>Community School</v>
          </cell>
          <cell r="F9792" t="str">
            <v>Primary</v>
          </cell>
        </row>
        <row r="9793">
          <cell r="A9793">
            <v>9172333</v>
          </cell>
          <cell r="B9793">
            <v>128992</v>
          </cell>
          <cell r="C9793" t="str">
            <v>Emsworth Middle School</v>
          </cell>
          <cell r="D9793" t="str">
            <v>Pre LGR (1997) Hampshire</v>
          </cell>
          <cell r="E9793" t="str">
            <v>Community School</v>
          </cell>
          <cell r="F9793" t="str">
            <v>Middle Deemed Primary</v>
          </cell>
        </row>
        <row r="9794">
          <cell r="A9794">
            <v>8502767</v>
          </cell>
          <cell r="B9794">
            <v>116260</v>
          </cell>
          <cell r="C9794" t="str">
            <v>Emsworth Primary School</v>
          </cell>
          <cell r="D9794" t="str">
            <v>Hampshire</v>
          </cell>
          <cell r="E9794" t="str">
            <v>Community School</v>
          </cell>
          <cell r="F9794" t="str">
            <v>Primary</v>
          </cell>
        </row>
        <row r="9795">
          <cell r="A9795">
            <v>8693024</v>
          </cell>
          <cell r="B9795">
            <v>109963</v>
          </cell>
          <cell r="C9795" t="str">
            <v>Enborne C.E. Primary School</v>
          </cell>
          <cell r="D9795" t="str">
            <v>West Berkshire</v>
          </cell>
          <cell r="E9795" t="str">
            <v>Voluntary Aided School</v>
          </cell>
          <cell r="F9795" t="str">
            <v>Primary</v>
          </cell>
        </row>
        <row r="9796">
          <cell r="A9796">
            <v>2087160</v>
          </cell>
          <cell r="B9796">
            <v>100664</v>
          </cell>
          <cell r="C9796" t="str">
            <v>Enborne Lodge School</v>
          </cell>
          <cell r="D9796" t="str">
            <v>Lambeth</v>
          </cell>
          <cell r="E9796" t="str">
            <v>Community Special School</v>
          </cell>
          <cell r="F9796" t="str">
            <v>Special</v>
          </cell>
        </row>
        <row r="9797">
          <cell r="A9797">
            <v>8016132</v>
          </cell>
          <cell r="B9797">
            <v>135637</v>
          </cell>
          <cell r="C9797" t="str">
            <v>Encompass Education</v>
          </cell>
          <cell r="D9797" t="str">
            <v>Bristol City of</v>
          </cell>
          <cell r="E9797" t="str">
            <v>Other Independent Special School</v>
          </cell>
          <cell r="F9797" t="str">
            <v>Not applicable</v>
          </cell>
        </row>
        <row r="9798">
          <cell r="A9798">
            <v>8104005</v>
          </cell>
          <cell r="B9798">
            <v>133422</v>
          </cell>
          <cell r="C9798" t="str">
            <v>Endeavour High School</v>
          </cell>
          <cell r="D9798" t="str">
            <v>Kingston upon Hull City of</v>
          </cell>
          <cell r="E9798" t="str">
            <v>Community School</v>
          </cell>
          <cell r="F9798" t="str">
            <v>Secondary</v>
          </cell>
        </row>
        <row r="9799">
          <cell r="A9799">
            <v>8503672</v>
          </cell>
          <cell r="B9799">
            <v>135887</v>
          </cell>
          <cell r="C9799" t="str">
            <v>Endeavour Primary School</v>
          </cell>
          <cell r="D9799" t="str">
            <v>Hampshire</v>
          </cell>
          <cell r="E9799" t="str">
            <v>Community School</v>
          </cell>
          <cell r="F9799" t="str">
            <v>Primary</v>
          </cell>
        </row>
        <row r="9800">
          <cell r="A9800">
            <v>8552141</v>
          </cell>
          <cell r="B9800">
            <v>119963</v>
          </cell>
          <cell r="C9800" t="str">
            <v>Enderby Danemill Primary School</v>
          </cell>
          <cell r="D9800" t="str">
            <v>Leicestershire</v>
          </cell>
          <cell r="E9800" t="str">
            <v>Community School</v>
          </cell>
          <cell r="F9800" t="str">
            <v>Primary</v>
          </cell>
        </row>
        <row r="9801">
          <cell r="A9801">
            <v>8132155</v>
          </cell>
          <cell r="B9801">
            <v>117768</v>
          </cell>
          <cell r="C9801" t="str">
            <v>Enderby Road Infant School</v>
          </cell>
          <cell r="D9801" t="str">
            <v>North Lincolnshire</v>
          </cell>
          <cell r="E9801" t="str">
            <v>Community School</v>
          </cell>
          <cell r="F9801" t="str">
            <v>Primary</v>
          </cell>
        </row>
        <row r="9802">
          <cell r="A9802">
            <v>9204141</v>
          </cell>
          <cell r="B9802">
            <v>129278</v>
          </cell>
          <cell r="C9802" t="str">
            <v>Endike Junior High School</v>
          </cell>
          <cell r="D9802" t="str">
            <v>Pre LGR (1996) Humberside</v>
          </cell>
          <cell r="E9802" t="str">
            <v>Community School</v>
          </cell>
          <cell r="F9802" t="str">
            <v>Secondary</v>
          </cell>
        </row>
        <row r="9803">
          <cell r="A9803">
            <v>8102162</v>
          </cell>
          <cell r="B9803">
            <v>117773</v>
          </cell>
          <cell r="C9803" t="str">
            <v>Endike Primary School</v>
          </cell>
          <cell r="D9803" t="str">
            <v>Kingston upon Hull City of</v>
          </cell>
          <cell r="E9803" t="str">
            <v>Community School</v>
          </cell>
          <cell r="F9803" t="str">
            <v>Primary</v>
          </cell>
        </row>
        <row r="9804">
          <cell r="A9804">
            <v>8602321</v>
          </cell>
          <cell r="B9804">
            <v>124146</v>
          </cell>
          <cell r="C9804" t="str">
            <v>Endon Hall Primary School</v>
          </cell>
          <cell r="D9804" t="str">
            <v>Staffordshire</v>
          </cell>
          <cell r="E9804" t="str">
            <v>Community School</v>
          </cell>
          <cell r="F9804" t="str">
            <v>Primary</v>
          </cell>
        </row>
        <row r="9805">
          <cell r="A9805">
            <v>8604077</v>
          </cell>
          <cell r="B9805">
            <v>124401</v>
          </cell>
          <cell r="C9805" t="str">
            <v>Endon High School</v>
          </cell>
          <cell r="D9805" t="str">
            <v>Staffordshire</v>
          </cell>
          <cell r="E9805" t="str">
            <v>Community School</v>
          </cell>
          <cell r="F9805" t="str">
            <v>Secondary</v>
          </cell>
        </row>
        <row r="9806">
          <cell r="A9806">
            <v>8103400</v>
          </cell>
          <cell r="B9806">
            <v>118046</v>
          </cell>
          <cell r="C9806" t="str">
            <v>Endsleigh Holy Child RC Primary School</v>
          </cell>
          <cell r="D9806" t="str">
            <v>Kingston upon Hull City of</v>
          </cell>
          <cell r="E9806" t="str">
            <v>Voluntary Aided School</v>
          </cell>
          <cell r="F9806" t="str">
            <v>Primary</v>
          </cell>
        </row>
        <row r="9807">
          <cell r="A9807">
            <v>8122145</v>
          </cell>
          <cell r="B9807">
            <v>117758</v>
          </cell>
          <cell r="C9807" t="str">
            <v>Enfield (New Waltham) Primary School</v>
          </cell>
          <cell r="D9807" t="str">
            <v>North East Lincolnshire</v>
          </cell>
          <cell r="E9807" t="str">
            <v>Community School</v>
          </cell>
          <cell r="F9807" t="str">
            <v>Primary</v>
          </cell>
        </row>
        <row r="9808">
          <cell r="A9808">
            <v>3088004</v>
          </cell>
          <cell r="B9808">
            <v>130437</v>
          </cell>
          <cell r="C9808" t="str">
            <v>Enfield College</v>
          </cell>
          <cell r="D9808" t="str">
            <v>Enfield</v>
          </cell>
          <cell r="E9808" t="str">
            <v>Further Education</v>
          </cell>
          <cell r="F9808" t="str">
            <v>16 Plus</v>
          </cell>
        </row>
        <row r="9809">
          <cell r="A9809">
            <v>3084030</v>
          </cell>
          <cell r="B9809">
            <v>102048</v>
          </cell>
          <cell r="C9809" t="str">
            <v>Enfield County School</v>
          </cell>
          <cell r="D9809" t="str">
            <v>Enfield</v>
          </cell>
          <cell r="E9809" t="str">
            <v>Community School</v>
          </cell>
          <cell r="F9809" t="str">
            <v>Secondary</v>
          </cell>
        </row>
        <row r="9810">
          <cell r="A9810">
            <v>3085404</v>
          </cell>
          <cell r="B9810">
            <v>102059</v>
          </cell>
          <cell r="C9810" t="str">
            <v>Enfield Grammar School</v>
          </cell>
          <cell r="D9810" t="str">
            <v>Enfield</v>
          </cell>
          <cell r="E9810" t="str">
            <v>Foundation School</v>
          </cell>
          <cell r="F9810" t="str">
            <v>Secondary</v>
          </cell>
        </row>
        <row r="9811">
          <cell r="A9811">
            <v>3085404</v>
          </cell>
          <cell r="B9811">
            <v>137094</v>
          </cell>
          <cell r="C9811" t="str">
            <v>Enfield Grammar School</v>
          </cell>
          <cell r="D9811" t="str">
            <v>Enfield</v>
          </cell>
          <cell r="E9811" t="str">
            <v>Academy Converters</v>
          </cell>
          <cell r="F9811" t="str">
            <v>Secondary</v>
          </cell>
        </row>
        <row r="9812">
          <cell r="A9812">
            <v>3081100</v>
          </cell>
          <cell r="B9812">
            <v>101972</v>
          </cell>
          <cell r="C9812" t="str">
            <v>Enfield Secondary Tuition Centre</v>
          </cell>
          <cell r="D9812" t="str">
            <v>Enfield</v>
          </cell>
          <cell r="E9812" t="str">
            <v>Pupil Referral Unit</v>
          </cell>
          <cell r="F9812" t="str">
            <v>PRU</v>
          </cell>
        </row>
        <row r="9813">
          <cell r="A9813">
            <v>9393062</v>
          </cell>
          <cell r="B9813">
            <v>130216</v>
          </cell>
          <cell r="C9813" t="str">
            <v>Enford CofE Primary School</v>
          </cell>
          <cell r="D9813" t="str">
            <v>Pre LGR (1997) Wiltshire</v>
          </cell>
          <cell r="E9813" t="str">
            <v>Voluntary Controlled School</v>
          </cell>
          <cell r="F9813" t="str">
            <v>Primary</v>
          </cell>
        </row>
        <row r="9814">
          <cell r="A9814">
            <v>8815274</v>
          </cell>
          <cell r="B9814">
            <v>115314</v>
          </cell>
          <cell r="C9814" t="str">
            <v>Engaines Primary School</v>
          </cell>
          <cell r="D9814" t="str">
            <v>Essex</v>
          </cell>
          <cell r="E9814" t="str">
            <v>Foundation School</v>
          </cell>
          <cell r="F9814" t="str">
            <v>Primary</v>
          </cell>
        </row>
        <row r="9815">
          <cell r="A9815">
            <v>3112002</v>
          </cell>
          <cell r="B9815">
            <v>102267</v>
          </cell>
          <cell r="C9815" t="str">
            <v>Engayne Infant School</v>
          </cell>
          <cell r="D9815" t="str">
            <v>Havering</v>
          </cell>
          <cell r="E9815" t="str">
            <v>Community School</v>
          </cell>
          <cell r="F9815" t="str">
            <v>Primary</v>
          </cell>
        </row>
        <row r="9816">
          <cell r="A9816">
            <v>3112001</v>
          </cell>
          <cell r="B9816">
            <v>102266</v>
          </cell>
          <cell r="C9816" t="str">
            <v>Engayne Junior School</v>
          </cell>
          <cell r="D9816" t="str">
            <v>Havering</v>
          </cell>
          <cell r="E9816" t="str">
            <v>Community School</v>
          </cell>
          <cell r="F9816" t="str">
            <v>Primary</v>
          </cell>
        </row>
        <row r="9817">
          <cell r="A9817">
            <v>3112094</v>
          </cell>
          <cell r="B9817">
            <v>132766</v>
          </cell>
          <cell r="C9817" t="str">
            <v>Engayne Primary School</v>
          </cell>
          <cell r="D9817" t="str">
            <v>Havering</v>
          </cell>
          <cell r="E9817" t="str">
            <v>Community School</v>
          </cell>
          <cell r="F9817" t="str">
            <v>Primary</v>
          </cell>
        </row>
        <row r="9818">
          <cell r="A9818">
            <v>8693314</v>
          </cell>
          <cell r="B9818">
            <v>110011</v>
          </cell>
          <cell r="C9818" t="str">
            <v>Englefield C.E. Primary School</v>
          </cell>
          <cell r="D9818" t="str">
            <v>West Berkshire</v>
          </cell>
          <cell r="E9818" t="str">
            <v>Voluntary Aided School</v>
          </cell>
          <cell r="F9818" t="str">
            <v>Primary</v>
          </cell>
        </row>
        <row r="9819">
          <cell r="A9819">
            <v>9362921</v>
          </cell>
          <cell r="B9819">
            <v>125101</v>
          </cell>
          <cell r="C9819" t="str">
            <v>Englefield Green Infant School</v>
          </cell>
          <cell r="D9819" t="str">
            <v>Surrey</v>
          </cell>
          <cell r="E9819" t="str">
            <v>Community School</v>
          </cell>
          <cell r="F9819" t="str">
            <v>Primary</v>
          </cell>
        </row>
        <row r="9820">
          <cell r="A9820">
            <v>9163034</v>
          </cell>
          <cell r="B9820">
            <v>115621</v>
          </cell>
          <cell r="C9820" t="str">
            <v>English Bicknor Church of England Primary School</v>
          </cell>
          <cell r="D9820" t="str">
            <v>Gloucestershire</v>
          </cell>
          <cell r="E9820" t="str">
            <v>Voluntary Controlled School</v>
          </cell>
          <cell r="F9820" t="str">
            <v>Primary</v>
          </cell>
        </row>
        <row r="9821">
          <cell r="A9821">
            <v>9318235</v>
          </cell>
          <cell r="B9821">
            <v>133176</v>
          </cell>
          <cell r="C9821" t="str">
            <v>English Language Training</v>
          </cell>
          <cell r="D9821" t="str">
            <v>Oxfordshire</v>
          </cell>
          <cell r="E9821" t="str">
            <v>Miscellaneous</v>
          </cell>
          <cell r="F9821" t="str">
            <v>Not applicable</v>
          </cell>
        </row>
        <row r="9822">
          <cell r="A9822">
            <v>8303519</v>
          </cell>
          <cell r="B9822">
            <v>112910</v>
          </cell>
          <cell r="C9822" t="str">
            <v>English Martyrs' Catholic Primary</v>
          </cell>
          <cell r="D9822" t="str">
            <v>Derbyshire</v>
          </cell>
          <cell r="E9822" t="str">
            <v>Voluntary Aided School</v>
          </cell>
          <cell r="F9822" t="str">
            <v>Primary</v>
          </cell>
        </row>
        <row r="9823">
          <cell r="A9823">
            <v>3843311</v>
          </cell>
          <cell r="B9823">
            <v>108256</v>
          </cell>
          <cell r="C9823" t="str">
            <v>English Martyrs Catholic Primary School</v>
          </cell>
          <cell r="D9823" t="str">
            <v>Wakefield</v>
          </cell>
          <cell r="E9823" t="str">
            <v>Voluntary Aided School</v>
          </cell>
          <cell r="F9823" t="str">
            <v>Primary</v>
          </cell>
        </row>
        <row r="9824">
          <cell r="A9824">
            <v>9373564</v>
          </cell>
          <cell r="B9824">
            <v>125724</v>
          </cell>
          <cell r="C9824" t="str">
            <v>English Martyrs Catholic Primary School</v>
          </cell>
          <cell r="D9824" t="str">
            <v>Warwickshire</v>
          </cell>
          <cell r="E9824" t="str">
            <v>Voluntary Aided School</v>
          </cell>
          <cell r="F9824" t="str">
            <v>Primary</v>
          </cell>
        </row>
        <row r="9825">
          <cell r="A9825">
            <v>3303321</v>
          </cell>
          <cell r="B9825">
            <v>103425</v>
          </cell>
          <cell r="C9825" t="str">
            <v>English Martyrs' Catholic Primary School</v>
          </cell>
          <cell r="D9825" t="str">
            <v>Birmingham</v>
          </cell>
          <cell r="E9825" t="str">
            <v>Voluntary Aided School</v>
          </cell>
          <cell r="F9825" t="str">
            <v>Primary</v>
          </cell>
        </row>
        <row r="9826">
          <cell r="A9826">
            <v>3433361</v>
          </cell>
          <cell r="B9826">
            <v>104931</v>
          </cell>
          <cell r="C9826" t="str">
            <v>English Martyrs' Catholic Primary School</v>
          </cell>
          <cell r="D9826" t="str">
            <v>Sefton</v>
          </cell>
          <cell r="E9826" t="str">
            <v>Voluntary Aided School</v>
          </cell>
          <cell r="F9826" t="str">
            <v>Primary</v>
          </cell>
        </row>
        <row r="9827">
          <cell r="A9827">
            <v>8703304</v>
          </cell>
          <cell r="B9827">
            <v>110004</v>
          </cell>
          <cell r="C9827" t="str">
            <v>English Martyrs' Catholic Primary School</v>
          </cell>
          <cell r="D9827" t="str">
            <v>Reading</v>
          </cell>
          <cell r="E9827" t="str">
            <v>Voluntary Aided School</v>
          </cell>
          <cell r="F9827" t="str">
            <v>Primary</v>
          </cell>
        </row>
        <row r="9828">
          <cell r="A9828">
            <v>8873729</v>
          </cell>
          <cell r="B9828">
            <v>118766</v>
          </cell>
          <cell r="C9828" t="str">
            <v>English Martyrs' Catholic Primary School</v>
          </cell>
          <cell r="D9828" t="str">
            <v>Medway</v>
          </cell>
          <cell r="E9828" t="str">
            <v>Voluntary Aided School</v>
          </cell>
          <cell r="F9828" t="str">
            <v>Primary</v>
          </cell>
        </row>
        <row r="9829">
          <cell r="A9829">
            <v>8573429</v>
          </cell>
          <cell r="B9829">
            <v>120228</v>
          </cell>
          <cell r="C9829" t="str">
            <v>English Martyrs' Catholic Primary School</v>
          </cell>
          <cell r="D9829" t="str">
            <v>Rutland</v>
          </cell>
          <cell r="E9829" t="str">
            <v>Voluntary Aided School</v>
          </cell>
          <cell r="F9829" t="str">
            <v>Primary</v>
          </cell>
        </row>
        <row r="9830">
          <cell r="A9830">
            <v>8603477</v>
          </cell>
          <cell r="B9830">
            <v>124368</v>
          </cell>
          <cell r="C9830" t="str">
            <v>English Martyrs' Catholic Primary School</v>
          </cell>
          <cell r="D9830" t="str">
            <v>Staffordshire</v>
          </cell>
          <cell r="E9830" t="str">
            <v>Voluntary Aided School</v>
          </cell>
          <cell r="F9830" t="str">
            <v>Primary</v>
          </cell>
        </row>
        <row r="9831">
          <cell r="A9831">
            <v>8883639</v>
          </cell>
          <cell r="B9831">
            <v>119605</v>
          </cell>
          <cell r="C9831" t="str">
            <v>English Martyrs Catholic Primary School, Preston</v>
          </cell>
          <cell r="D9831" t="str">
            <v>Lancashire</v>
          </cell>
          <cell r="E9831" t="str">
            <v>Voluntary Aided School</v>
          </cell>
          <cell r="F9831" t="str">
            <v>Primary</v>
          </cell>
        </row>
        <row r="9832">
          <cell r="A9832">
            <v>9383345</v>
          </cell>
          <cell r="B9832">
            <v>126051</v>
          </cell>
          <cell r="C9832" t="str">
            <v>English Martyrs Catholic Primary School, Worthing</v>
          </cell>
          <cell r="D9832" t="str">
            <v>West Sussex</v>
          </cell>
          <cell r="E9832" t="str">
            <v>Voluntary Aided School</v>
          </cell>
          <cell r="F9832" t="str">
            <v>Primary</v>
          </cell>
        </row>
        <row r="9833">
          <cell r="A9833">
            <v>8564721</v>
          </cell>
          <cell r="B9833">
            <v>120306</v>
          </cell>
          <cell r="C9833" t="str">
            <v>English Martyrs Catholic School</v>
          </cell>
          <cell r="D9833" t="str">
            <v>Leicester</v>
          </cell>
          <cell r="E9833" t="str">
            <v>Voluntary Aided School</v>
          </cell>
          <cell r="F9833" t="str">
            <v>Secondary</v>
          </cell>
        </row>
        <row r="9834">
          <cell r="A9834">
            <v>3403355</v>
          </cell>
          <cell r="B9834">
            <v>104478</v>
          </cell>
          <cell r="C9834" t="str">
            <v>English Martyrs' Primary School</v>
          </cell>
          <cell r="D9834" t="str">
            <v>Knowsley</v>
          </cell>
          <cell r="E9834" t="str">
            <v>Voluntary Aided School</v>
          </cell>
          <cell r="F9834" t="str">
            <v>Primary</v>
          </cell>
        </row>
        <row r="9835">
          <cell r="A9835">
            <v>3523401</v>
          </cell>
          <cell r="B9835">
            <v>105513</v>
          </cell>
          <cell r="C9835" t="str">
            <v>English Martyrs' RC Primary School</v>
          </cell>
          <cell r="D9835" t="str">
            <v>Manchester</v>
          </cell>
          <cell r="E9835" t="str">
            <v>Voluntary Aided School</v>
          </cell>
          <cell r="F9835" t="str">
            <v>Primary</v>
          </cell>
        </row>
        <row r="9836">
          <cell r="A9836">
            <v>3583318</v>
          </cell>
          <cell r="B9836">
            <v>106352</v>
          </cell>
          <cell r="C9836" t="str">
            <v>English Martyrs' RC Primary School</v>
          </cell>
          <cell r="D9836" t="str">
            <v>Trafford</v>
          </cell>
          <cell r="E9836" t="str">
            <v>Voluntary Aided School</v>
          </cell>
          <cell r="F9836" t="str">
            <v>Primary</v>
          </cell>
        </row>
        <row r="9837">
          <cell r="A9837">
            <v>3913650</v>
          </cell>
          <cell r="B9837">
            <v>108503</v>
          </cell>
          <cell r="C9837" t="str">
            <v>English Martyrs' RC Primary School</v>
          </cell>
          <cell r="D9837" t="str">
            <v>Newcastle upon Tyne</v>
          </cell>
          <cell r="E9837" t="str">
            <v>Voluntary Aided School</v>
          </cell>
          <cell r="F9837" t="str">
            <v>Primary</v>
          </cell>
        </row>
        <row r="9838">
          <cell r="A9838">
            <v>9064601</v>
          </cell>
          <cell r="B9838">
            <v>128473</v>
          </cell>
          <cell r="C9838" t="str">
            <v>English Martyrs RC School</v>
          </cell>
          <cell r="D9838" t="str">
            <v>Pre LGR (1998) Cheshire</v>
          </cell>
          <cell r="E9838" t="str">
            <v>Voluntary Aided School</v>
          </cell>
          <cell r="F9838" t="str">
            <v>Secondary</v>
          </cell>
        </row>
        <row r="9839">
          <cell r="A9839">
            <v>2103341</v>
          </cell>
          <cell r="B9839">
            <v>100824</v>
          </cell>
          <cell r="C9839" t="str">
            <v>English Martyrs Roman Catholic Primary School</v>
          </cell>
          <cell r="D9839" t="str">
            <v>Southwark</v>
          </cell>
          <cell r="E9839" t="str">
            <v>Voluntary Aided School</v>
          </cell>
          <cell r="F9839" t="str">
            <v>Primary</v>
          </cell>
        </row>
        <row r="9840">
          <cell r="A9840">
            <v>2113619</v>
          </cell>
          <cell r="B9840">
            <v>100962</v>
          </cell>
          <cell r="C9840" t="str">
            <v>English Martyrs Roman Catholic Primary School</v>
          </cell>
          <cell r="D9840" t="str">
            <v>Tower Hamlets</v>
          </cell>
          <cell r="E9840" t="str">
            <v>Voluntary Aided School</v>
          </cell>
          <cell r="F9840" t="str">
            <v>Primary</v>
          </cell>
        </row>
        <row r="9841">
          <cell r="A9841">
            <v>3943313</v>
          </cell>
          <cell r="B9841">
            <v>108842</v>
          </cell>
          <cell r="C9841" t="str">
            <v>English Martyrs' Roman Catholic Voluntary Aided Primary School</v>
          </cell>
          <cell r="D9841" t="str">
            <v>Sunderland</v>
          </cell>
          <cell r="E9841" t="str">
            <v>Voluntary Aided School</v>
          </cell>
          <cell r="F9841" t="str">
            <v>Primary</v>
          </cell>
        </row>
        <row r="9842">
          <cell r="A9842">
            <v>8083315</v>
          </cell>
          <cell r="B9842">
            <v>111686</v>
          </cell>
          <cell r="C9842" t="str">
            <v>English Martyrs' Roman Catholic Voluntary Aided Primary School</v>
          </cell>
          <cell r="D9842" t="str">
            <v>Stockton-on-Tees</v>
          </cell>
          <cell r="E9842" t="str">
            <v>Voluntary Aided School</v>
          </cell>
          <cell r="F9842" t="str">
            <v>Primary</v>
          </cell>
        </row>
        <row r="9843">
          <cell r="A9843">
            <v>8163400</v>
          </cell>
          <cell r="B9843">
            <v>121645</v>
          </cell>
          <cell r="C9843" t="str">
            <v>English Martyrs' Roman Catholic Voluntary Aided Primary School</v>
          </cell>
          <cell r="D9843" t="str">
            <v>York</v>
          </cell>
          <cell r="E9843" t="str">
            <v>Voluntary Aided School</v>
          </cell>
          <cell r="F9843" t="str">
            <v>Primary</v>
          </cell>
        </row>
        <row r="9844">
          <cell r="A9844">
            <v>9335203</v>
          </cell>
          <cell r="B9844">
            <v>123787</v>
          </cell>
          <cell r="C9844" t="str">
            <v>Enmore Church of England Primary School</v>
          </cell>
          <cell r="D9844" t="str">
            <v>Somerset</v>
          </cell>
          <cell r="E9844" t="str">
            <v>Foundation School</v>
          </cell>
          <cell r="F9844" t="str">
            <v>Primary</v>
          </cell>
        </row>
        <row r="9845">
          <cell r="A9845">
            <v>9335203</v>
          </cell>
          <cell r="B9845">
            <v>137437</v>
          </cell>
          <cell r="C9845" t="str">
            <v>Enmore Church of England Primary School</v>
          </cell>
          <cell r="D9845" t="str">
            <v>Somerset</v>
          </cell>
          <cell r="E9845" t="str">
            <v>Academy Converters</v>
          </cell>
          <cell r="F9845" t="str">
            <v>Primary</v>
          </cell>
        </row>
        <row r="9846">
          <cell r="A9846">
            <v>9123027</v>
          </cell>
          <cell r="B9846">
            <v>128780</v>
          </cell>
          <cell r="C9846" t="str">
            <v>Enmore Green CofE First School</v>
          </cell>
          <cell r="D9846" t="str">
            <v>Pre LGR (1997) Dorset</v>
          </cell>
          <cell r="E9846" t="str">
            <v>Voluntary Controlled School</v>
          </cell>
          <cell r="F9846" t="str">
            <v>Primary</v>
          </cell>
        </row>
        <row r="9847">
          <cell r="A9847">
            <v>9093204</v>
          </cell>
          <cell r="B9847">
            <v>112293</v>
          </cell>
          <cell r="C9847" t="str">
            <v>Ennerdale and Kinniside CofE Primary School</v>
          </cell>
          <cell r="D9847" t="str">
            <v>Cumbria</v>
          </cell>
          <cell r="E9847" t="str">
            <v>Voluntary Controlled School</v>
          </cell>
          <cell r="F9847" t="str">
            <v>Primary</v>
          </cell>
        </row>
        <row r="9848">
          <cell r="A9848">
            <v>2092206</v>
          </cell>
          <cell r="B9848">
            <v>100682</v>
          </cell>
          <cell r="C9848" t="str">
            <v>Ennersdale Primary School</v>
          </cell>
          <cell r="D9848" t="str">
            <v>Lewisham</v>
          </cell>
          <cell r="E9848" t="str">
            <v>Community School</v>
          </cell>
          <cell r="F9848" t="str">
            <v>Primary</v>
          </cell>
        </row>
        <row r="9849">
          <cell r="A9849">
            <v>9312103</v>
          </cell>
          <cell r="B9849">
            <v>123001</v>
          </cell>
          <cell r="C9849" t="str">
            <v>Enstone Primary School</v>
          </cell>
          <cell r="D9849" t="str">
            <v>Oxfordshire</v>
          </cell>
          <cell r="E9849" t="str">
            <v>Community School</v>
          </cell>
          <cell r="F9849" t="str">
            <v>Primary</v>
          </cell>
        </row>
        <row r="9850">
          <cell r="A9850">
            <v>3306124</v>
          </cell>
          <cell r="B9850">
            <v>135451</v>
          </cell>
          <cell r="C9850" t="str">
            <v>Enta Independent School</v>
          </cell>
          <cell r="D9850" t="str">
            <v>Birmingham</v>
          </cell>
          <cell r="E9850" t="str">
            <v>Other Independent School</v>
          </cell>
          <cell r="F9850" t="str">
            <v>Not applicable</v>
          </cell>
        </row>
        <row r="9851">
          <cell r="A9851">
            <v>3416908</v>
          </cell>
          <cell r="B9851">
            <v>136119</v>
          </cell>
          <cell r="C9851" t="str">
            <v>Enterprise South Liverpool Academy</v>
          </cell>
          <cell r="D9851" t="str">
            <v>Liverpool</v>
          </cell>
          <cell r="E9851" t="str">
            <v>Academy Sponsor Led</v>
          </cell>
          <cell r="F9851" t="str">
            <v>Secondary</v>
          </cell>
        </row>
        <row r="9852">
          <cell r="A9852">
            <v>8021106</v>
          </cell>
          <cell r="B9852">
            <v>136243</v>
          </cell>
          <cell r="C9852" t="str">
            <v>EOTAS Vocational Centre</v>
          </cell>
          <cell r="D9852" t="str">
            <v>North Somerset</v>
          </cell>
          <cell r="E9852" t="str">
            <v>Pupil Referral Unit</v>
          </cell>
          <cell r="F9852" t="str">
            <v>PRU</v>
          </cell>
        </row>
        <row r="9853">
          <cell r="A9853">
            <v>9366007</v>
          </cell>
          <cell r="B9853">
            <v>130111</v>
          </cell>
          <cell r="C9853" t="str">
            <v>Eothen School</v>
          </cell>
          <cell r="D9853" t="str">
            <v>Surrey</v>
          </cell>
          <cell r="E9853" t="str">
            <v>Other Independent School</v>
          </cell>
          <cell r="F9853" t="str">
            <v>Not applicable</v>
          </cell>
        </row>
        <row r="9854">
          <cell r="A9854">
            <v>3937004</v>
          </cell>
          <cell r="B9854">
            <v>108741</v>
          </cell>
          <cell r="C9854" t="str">
            <v>Epinay Business and Enterprise School</v>
          </cell>
          <cell r="D9854" t="str">
            <v>South Tyneside</v>
          </cell>
          <cell r="E9854" t="str">
            <v>Foundation Special School</v>
          </cell>
          <cell r="F9854" t="str">
            <v>Special</v>
          </cell>
        </row>
        <row r="9855">
          <cell r="A9855">
            <v>7022075</v>
          </cell>
          <cell r="B9855">
            <v>132419</v>
          </cell>
          <cell r="C9855" t="str">
            <v>Episkopi Primary School</v>
          </cell>
          <cell r="D9855" t="str">
            <v>BFPO Overseas Establishments</v>
          </cell>
          <cell r="E9855" t="str">
            <v>Service Childrens Education</v>
          </cell>
          <cell r="F9855" t="str">
            <v>Not applicable</v>
          </cell>
        </row>
        <row r="9856">
          <cell r="A9856">
            <v>8818020</v>
          </cell>
          <cell r="B9856">
            <v>130677</v>
          </cell>
          <cell r="C9856" t="str">
            <v>Epping Forest College</v>
          </cell>
          <cell r="D9856" t="str">
            <v>Essex</v>
          </cell>
          <cell r="E9856" t="str">
            <v>Further Education</v>
          </cell>
          <cell r="F9856" t="str">
            <v>16 Plus</v>
          </cell>
        </row>
        <row r="9857">
          <cell r="A9857">
            <v>9154237</v>
          </cell>
          <cell r="B9857">
            <v>128906</v>
          </cell>
          <cell r="C9857" t="str">
            <v>Epping Forest High School</v>
          </cell>
          <cell r="D9857" t="str">
            <v>Pre LGR (1998) Essex</v>
          </cell>
          <cell r="E9857" t="str">
            <v>Community School</v>
          </cell>
          <cell r="F9857" t="str">
            <v>Secondary</v>
          </cell>
        </row>
        <row r="9858">
          <cell r="A9858">
            <v>9197002</v>
          </cell>
          <cell r="B9858">
            <v>117663</v>
          </cell>
          <cell r="C9858" t="str">
            <v>Epping House School</v>
          </cell>
          <cell r="D9858" t="str">
            <v>Hertfordshire</v>
          </cell>
          <cell r="E9858" t="str">
            <v>Community Special School</v>
          </cell>
          <cell r="F9858" t="str">
            <v>Special</v>
          </cell>
        </row>
        <row r="9859">
          <cell r="A9859">
            <v>8812523</v>
          </cell>
          <cell r="B9859">
            <v>114881</v>
          </cell>
          <cell r="C9859" t="str">
            <v>Epping Infant School</v>
          </cell>
          <cell r="D9859" t="str">
            <v>Essex</v>
          </cell>
          <cell r="E9859" t="str">
            <v>Community School</v>
          </cell>
          <cell r="F9859" t="str">
            <v>Primary</v>
          </cell>
        </row>
        <row r="9860">
          <cell r="A9860">
            <v>8812513</v>
          </cell>
          <cell r="B9860">
            <v>114876</v>
          </cell>
          <cell r="C9860" t="str">
            <v>Epping Junior School</v>
          </cell>
          <cell r="D9860" t="str">
            <v>Essex</v>
          </cell>
          <cell r="E9860" t="str">
            <v>Community School</v>
          </cell>
          <cell r="F9860" t="str">
            <v>Primary</v>
          </cell>
        </row>
        <row r="9861">
          <cell r="A9861">
            <v>8813837</v>
          </cell>
          <cell r="B9861">
            <v>135328</v>
          </cell>
          <cell r="C9861" t="str">
            <v>Epping Primary School</v>
          </cell>
          <cell r="D9861" t="str">
            <v>Essex</v>
          </cell>
          <cell r="E9861" t="str">
            <v>Community School</v>
          </cell>
          <cell r="F9861" t="str">
            <v>Primary</v>
          </cell>
        </row>
        <row r="9862">
          <cell r="A9862">
            <v>8813125</v>
          </cell>
          <cell r="B9862">
            <v>115097</v>
          </cell>
          <cell r="C9862" t="str">
            <v>Epping Upland Church of England Primary School</v>
          </cell>
          <cell r="D9862" t="str">
            <v>Essex</v>
          </cell>
          <cell r="E9862" t="str">
            <v>Voluntary Controlled School</v>
          </cell>
          <cell r="F9862" t="str">
            <v>Primary</v>
          </cell>
        </row>
        <row r="9863">
          <cell r="A9863">
            <v>8153034</v>
          </cell>
          <cell r="B9863">
            <v>121490</v>
          </cell>
          <cell r="C9863" t="str">
            <v>Eppleby Forcett Church of England Primary School</v>
          </cell>
          <cell r="D9863" t="str">
            <v>North Yorkshire</v>
          </cell>
          <cell r="E9863" t="str">
            <v>Voluntary Controlled School</v>
          </cell>
          <cell r="F9863" t="str">
            <v>Primary</v>
          </cell>
        </row>
        <row r="9864">
          <cell r="A9864">
            <v>3942107</v>
          </cell>
          <cell r="B9864">
            <v>108796</v>
          </cell>
          <cell r="C9864" t="str">
            <v>Eppleton Primary School</v>
          </cell>
          <cell r="D9864" t="str">
            <v>Sunderland</v>
          </cell>
          <cell r="E9864" t="str">
            <v>Community School</v>
          </cell>
          <cell r="F9864" t="str">
            <v>Primary</v>
          </cell>
        </row>
        <row r="9865">
          <cell r="A9865">
            <v>3511103</v>
          </cell>
          <cell r="B9865">
            <v>129807</v>
          </cell>
          <cell r="C9865" t="str">
            <v>Epru</v>
          </cell>
          <cell r="D9865" t="str">
            <v>Bury</v>
          </cell>
          <cell r="E9865" t="str">
            <v>Pupil Referral Unit</v>
          </cell>
          <cell r="F9865" t="str">
            <v>PRU</v>
          </cell>
        </row>
        <row r="9866">
          <cell r="A9866">
            <v>9365405</v>
          </cell>
          <cell r="B9866">
            <v>125305</v>
          </cell>
          <cell r="C9866" t="str">
            <v>Epsom and Ewell High School</v>
          </cell>
          <cell r="D9866" t="str">
            <v>Surrey</v>
          </cell>
          <cell r="E9866" t="str">
            <v>Foundation School</v>
          </cell>
          <cell r="F9866" t="str">
            <v>Secondary</v>
          </cell>
        </row>
        <row r="9867">
          <cell r="A9867">
            <v>9365405</v>
          </cell>
          <cell r="B9867">
            <v>137595</v>
          </cell>
          <cell r="C9867" t="str">
            <v>Epsom and Ewell High School</v>
          </cell>
          <cell r="D9867" t="str">
            <v>Surrey</v>
          </cell>
          <cell r="E9867" t="str">
            <v>Academy Converters</v>
          </cell>
          <cell r="F9867" t="str">
            <v>Secondary</v>
          </cell>
        </row>
        <row r="9868">
          <cell r="A9868">
            <v>9366030</v>
          </cell>
          <cell r="B9868">
            <v>125332</v>
          </cell>
          <cell r="C9868" t="str">
            <v>Epsom College</v>
          </cell>
          <cell r="D9868" t="str">
            <v>Surrey</v>
          </cell>
          <cell r="E9868" t="str">
            <v>Other Independent School</v>
          </cell>
          <cell r="F9868" t="str">
            <v>Not applicable</v>
          </cell>
        </row>
        <row r="9869">
          <cell r="A9869">
            <v>9362082</v>
          </cell>
          <cell r="B9869">
            <v>124954</v>
          </cell>
          <cell r="C9869" t="str">
            <v>Epsom Downs County Infant School</v>
          </cell>
          <cell r="D9869" t="str">
            <v>Surrey</v>
          </cell>
          <cell r="E9869" t="str">
            <v>Community School</v>
          </cell>
          <cell r="F9869" t="str">
            <v>Primary</v>
          </cell>
        </row>
        <row r="9870">
          <cell r="A9870">
            <v>9362951</v>
          </cell>
          <cell r="B9870">
            <v>125127</v>
          </cell>
          <cell r="C9870" t="str">
            <v>Epsom Downs Primary School and Children's Centre</v>
          </cell>
          <cell r="D9870" t="str">
            <v>Surrey</v>
          </cell>
          <cell r="E9870" t="str">
            <v>Community School</v>
          </cell>
          <cell r="F9870" t="str">
            <v>Primary</v>
          </cell>
        </row>
        <row r="9871">
          <cell r="A9871">
            <v>9364179</v>
          </cell>
          <cell r="B9871">
            <v>130103</v>
          </cell>
          <cell r="C9871" t="str">
            <v>Epsom High School</v>
          </cell>
          <cell r="D9871" t="str">
            <v>Surrey</v>
          </cell>
          <cell r="E9871" t="str">
            <v>Community School</v>
          </cell>
          <cell r="F9871" t="str">
            <v>Secondary</v>
          </cell>
        </row>
        <row r="9872">
          <cell r="A9872">
            <v>9362085</v>
          </cell>
          <cell r="B9872">
            <v>124956</v>
          </cell>
          <cell r="C9872" t="str">
            <v>Epsom Primary School</v>
          </cell>
          <cell r="D9872" t="str">
            <v>Surrey</v>
          </cell>
          <cell r="E9872" t="str">
            <v>Community School</v>
          </cell>
          <cell r="F9872" t="str">
            <v>Primary</v>
          </cell>
        </row>
        <row r="9873">
          <cell r="A9873">
            <v>9368150</v>
          </cell>
          <cell r="B9873">
            <v>132920</v>
          </cell>
          <cell r="C9873" t="str">
            <v>Epsom School of Art and Design</v>
          </cell>
          <cell r="D9873" t="str">
            <v>Surrey</v>
          </cell>
          <cell r="E9873" t="str">
            <v>Miscellaneous</v>
          </cell>
          <cell r="F9873" t="str">
            <v>Not applicable</v>
          </cell>
        </row>
        <row r="9874">
          <cell r="A9874">
            <v>8132890</v>
          </cell>
          <cell r="B9874">
            <v>117917</v>
          </cell>
          <cell r="C9874" t="str">
            <v>Epworth Primary School</v>
          </cell>
          <cell r="D9874" t="str">
            <v>North Lincolnshire</v>
          </cell>
          <cell r="E9874" t="str">
            <v>Community School</v>
          </cell>
          <cell r="F9874" t="str">
            <v>Primary</v>
          </cell>
        </row>
        <row r="9875">
          <cell r="A9875">
            <v>8605404</v>
          </cell>
          <cell r="B9875">
            <v>136886</v>
          </cell>
          <cell r="C9875" t="str">
            <v>Erasmus Darwin Academy</v>
          </cell>
          <cell r="D9875" t="str">
            <v>Staffordshire</v>
          </cell>
          <cell r="E9875" t="str">
            <v>Academy Converters</v>
          </cell>
          <cell r="F9875" t="str">
            <v>Secondary</v>
          </cell>
        </row>
        <row r="9876">
          <cell r="A9876">
            <v>8945402</v>
          </cell>
          <cell r="B9876">
            <v>123595</v>
          </cell>
          <cell r="C9876" t="str">
            <v>Ercall Wood Technology College</v>
          </cell>
          <cell r="D9876" t="str">
            <v>Telford and Wrekin</v>
          </cell>
          <cell r="E9876" t="str">
            <v>Foundation School</v>
          </cell>
          <cell r="F9876" t="str">
            <v>Secondary</v>
          </cell>
        </row>
        <row r="9877">
          <cell r="A9877">
            <v>6651008</v>
          </cell>
          <cell r="B9877">
            <v>400002</v>
          </cell>
          <cell r="C9877" t="str">
            <v>Erddig Nursery School</v>
          </cell>
          <cell r="D9877" t="str">
            <v>Wrexham</v>
          </cell>
          <cell r="E9877" t="str">
            <v>Welsh Establishment</v>
          </cell>
          <cell r="F9877" t="str">
            <v>Nursery</v>
          </cell>
        </row>
        <row r="9878">
          <cell r="A9878">
            <v>3302166</v>
          </cell>
          <cell r="B9878">
            <v>103251</v>
          </cell>
          <cell r="C9878" t="str">
            <v>Erdington Hall Primary School</v>
          </cell>
          <cell r="D9878" t="str">
            <v>Birmingham</v>
          </cell>
          <cell r="E9878" t="str">
            <v>Community School</v>
          </cell>
          <cell r="F9878" t="str">
            <v>Primary</v>
          </cell>
        </row>
        <row r="9879">
          <cell r="A9879">
            <v>2056401</v>
          </cell>
          <cell r="B9879">
            <v>134010</v>
          </cell>
          <cell r="C9879" t="str">
            <v>Eridge House Preparatory School</v>
          </cell>
          <cell r="D9879" t="str">
            <v>Hammersmith and Fulham</v>
          </cell>
          <cell r="E9879" t="str">
            <v>Other Independent School</v>
          </cell>
          <cell r="F9879" t="str">
            <v>Not applicable</v>
          </cell>
        </row>
        <row r="9880">
          <cell r="A9880">
            <v>3034022</v>
          </cell>
          <cell r="B9880">
            <v>101468</v>
          </cell>
          <cell r="C9880" t="str">
            <v>Erith School</v>
          </cell>
          <cell r="D9880" t="str">
            <v>Bexley</v>
          </cell>
          <cell r="E9880" t="str">
            <v>Foundation School</v>
          </cell>
          <cell r="F9880" t="str">
            <v>Secondary</v>
          </cell>
        </row>
        <row r="9881">
          <cell r="A9881">
            <v>3034022</v>
          </cell>
          <cell r="B9881">
            <v>136330</v>
          </cell>
          <cell r="C9881" t="str">
            <v>Erith Secondary School</v>
          </cell>
          <cell r="D9881" t="str">
            <v>Bexley</v>
          </cell>
          <cell r="E9881" t="str">
            <v>Academy Converters</v>
          </cell>
          <cell r="F9881" t="str">
            <v>Secondary</v>
          </cell>
        </row>
        <row r="9882">
          <cell r="A9882">
            <v>3014002</v>
          </cell>
          <cell r="B9882">
            <v>126719</v>
          </cell>
          <cell r="C9882" t="str">
            <v>Erkenwald School</v>
          </cell>
          <cell r="D9882" t="str">
            <v>Barking and Dagenham</v>
          </cell>
          <cell r="E9882" t="str">
            <v>Community School</v>
          </cell>
          <cell r="F9882" t="str">
            <v>Secondary</v>
          </cell>
        </row>
        <row r="9883">
          <cell r="A9883">
            <v>9253508</v>
          </cell>
          <cell r="B9883">
            <v>136870</v>
          </cell>
          <cell r="C9883" t="str">
            <v>Ermine Primary Academy</v>
          </cell>
          <cell r="D9883" t="str">
            <v>Lincolnshire</v>
          </cell>
          <cell r="E9883" t="str">
            <v>Academy Converters</v>
          </cell>
          <cell r="F9883" t="str">
            <v>Primary</v>
          </cell>
        </row>
        <row r="9884">
          <cell r="A9884">
            <v>9255204</v>
          </cell>
          <cell r="B9884">
            <v>120671</v>
          </cell>
          <cell r="C9884" t="str">
            <v>Ermine Primary School</v>
          </cell>
          <cell r="D9884" t="str">
            <v>Lincolnshire</v>
          </cell>
          <cell r="E9884" t="str">
            <v>Foundation School</v>
          </cell>
          <cell r="F9884" t="str">
            <v>Primary</v>
          </cell>
        </row>
        <row r="9885">
          <cell r="A9885">
            <v>9253508</v>
          </cell>
          <cell r="B9885">
            <v>135109</v>
          </cell>
          <cell r="C9885" t="str">
            <v>Ermine Primary School</v>
          </cell>
          <cell r="D9885" t="str">
            <v>Lincolnshire</v>
          </cell>
          <cell r="E9885" t="str">
            <v>Foundation School</v>
          </cell>
          <cell r="F9885" t="str">
            <v>Primary</v>
          </cell>
        </row>
        <row r="9886">
          <cell r="A9886">
            <v>8782603</v>
          </cell>
          <cell r="B9886">
            <v>113249</v>
          </cell>
          <cell r="C9886" t="str">
            <v>Ermington Primary School</v>
          </cell>
          <cell r="D9886" t="str">
            <v>Devon</v>
          </cell>
          <cell r="E9886" t="str">
            <v>Community School</v>
          </cell>
          <cell r="F9886" t="str">
            <v>Primary</v>
          </cell>
        </row>
        <row r="9887">
          <cell r="A9887">
            <v>8154608</v>
          </cell>
          <cell r="B9887">
            <v>121716</v>
          </cell>
          <cell r="C9887" t="str">
            <v>Ermysted's Grammar School</v>
          </cell>
          <cell r="D9887" t="str">
            <v>North Yorkshire</v>
          </cell>
          <cell r="E9887" t="str">
            <v>Voluntary Aided School</v>
          </cell>
          <cell r="F9887" t="str">
            <v>Secondary</v>
          </cell>
        </row>
        <row r="9888">
          <cell r="A9888">
            <v>8912206</v>
          </cell>
          <cell r="B9888">
            <v>122513</v>
          </cell>
          <cell r="C9888" t="str">
            <v>Ernehale Infant School</v>
          </cell>
          <cell r="D9888" t="str">
            <v>Nottinghamshire</v>
          </cell>
          <cell r="E9888" t="str">
            <v>Community School</v>
          </cell>
          <cell r="F9888" t="str">
            <v>Primary</v>
          </cell>
        </row>
        <row r="9889">
          <cell r="A9889">
            <v>8912201</v>
          </cell>
          <cell r="B9889">
            <v>122510</v>
          </cell>
          <cell r="C9889" t="str">
            <v>Ernehale Junior School</v>
          </cell>
          <cell r="D9889" t="str">
            <v>Nottinghamshire</v>
          </cell>
          <cell r="E9889" t="str">
            <v>Community School</v>
          </cell>
          <cell r="F9889" t="str">
            <v>Primary</v>
          </cell>
        </row>
        <row r="9890">
          <cell r="A9890">
            <v>8793767</v>
          </cell>
          <cell r="B9890">
            <v>134802</v>
          </cell>
          <cell r="C9890" t="str">
            <v>Ernesettle Community School</v>
          </cell>
          <cell r="D9890" t="str">
            <v>Plymouth</v>
          </cell>
          <cell r="E9890" t="str">
            <v>Community School</v>
          </cell>
          <cell r="F9890" t="str">
            <v>Primary</v>
          </cell>
        </row>
        <row r="9891">
          <cell r="A9891">
            <v>8792667</v>
          </cell>
          <cell r="B9891">
            <v>113294</v>
          </cell>
          <cell r="C9891" t="str">
            <v>Ernesettle Infants' School</v>
          </cell>
          <cell r="D9891" t="str">
            <v>Plymouth</v>
          </cell>
          <cell r="E9891" t="str">
            <v>Community School</v>
          </cell>
          <cell r="F9891" t="str">
            <v>Primary</v>
          </cell>
        </row>
        <row r="9892">
          <cell r="A9892">
            <v>8792666</v>
          </cell>
          <cell r="B9892">
            <v>113293</v>
          </cell>
          <cell r="C9892" t="str">
            <v>Ernesettle Junior School</v>
          </cell>
          <cell r="D9892" t="str">
            <v>Plymouth</v>
          </cell>
          <cell r="E9892" t="str">
            <v>Community School</v>
          </cell>
          <cell r="F9892" t="str">
            <v>Primary</v>
          </cell>
        </row>
        <row r="9893">
          <cell r="A9893">
            <v>3314039</v>
          </cell>
          <cell r="B9893">
            <v>103740</v>
          </cell>
          <cell r="C9893" t="str">
            <v>Ernesford Grange Community School A Specialist Science College</v>
          </cell>
          <cell r="D9893" t="str">
            <v>Coventry</v>
          </cell>
          <cell r="E9893" t="str">
            <v>Community School</v>
          </cell>
          <cell r="F9893" t="str">
            <v>Secondary</v>
          </cell>
        </row>
        <row r="9894">
          <cell r="A9894">
            <v>3312078</v>
          </cell>
          <cell r="B9894">
            <v>103658</v>
          </cell>
          <cell r="C9894" t="str">
            <v>Ernesford Grange Primary School</v>
          </cell>
          <cell r="D9894" t="str">
            <v>Coventry</v>
          </cell>
          <cell r="E9894" t="str">
            <v>Community School</v>
          </cell>
          <cell r="F9894" t="str">
            <v>Primary</v>
          </cell>
        </row>
        <row r="9895">
          <cell r="A9895">
            <v>2124297</v>
          </cell>
          <cell r="B9895">
            <v>101053</v>
          </cell>
          <cell r="C9895" t="str">
            <v>Ernest Bevin College</v>
          </cell>
          <cell r="D9895" t="str">
            <v>Wandsworth</v>
          </cell>
          <cell r="E9895" t="str">
            <v>Community School</v>
          </cell>
          <cell r="F9895" t="str">
            <v>Secondary</v>
          </cell>
        </row>
        <row r="9896">
          <cell r="A9896">
            <v>3417045</v>
          </cell>
          <cell r="B9896">
            <v>104744</v>
          </cell>
          <cell r="C9896" t="str">
            <v>Ernest Cookson School</v>
          </cell>
          <cell r="D9896" t="str">
            <v>Liverpool</v>
          </cell>
          <cell r="E9896" t="str">
            <v>Community Special School</v>
          </cell>
          <cell r="F9896" t="str">
            <v>Special</v>
          </cell>
        </row>
        <row r="9897">
          <cell r="A9897">
            <v>8734077</v>
          </cell>
          <cell r="B9897">
            <v>137187</v>
          </cell>
          <cell r="C9897" t="str">
            <v>Ernulf Academy</v>
          </cell>
          <cell r="D9897" t="str">
            <v>Cambridgeshire</v>
          </cell>
          <cell r="E9897" t="str">
            <v>Academy Converters</v>
          </cell>
          <cell r="F9897" t="str">
            <v>Secondary</v>
          </cell>
        </row>
        <row r="9898">
          <cell r="A9898">
            <v>9263028</v>
          </cell>
          <cell r="B9898">
            <v>121036</v>
          </cell>
          <cell r="C9898" t="str">
            <v>Erpingham Voluntary Controlled Church of England Primary School</v>
          </cell>
          <cell r="D9898" t="str">
            <v>Norfolk</v>
          </cell>
          <cell r="E9898" t="str">
            <v>Voluntary Controlled School</v>
          </cell>
          <cell r="F9898" t="str">
            <v>Primary</v>
          </cell>
        </row>
        <row r="9899">
          <cell r="A9899">
            <v>8072357</v>
          </cell>
          <cell r="B9899">
            <v>111655</v>
          </cell>
          <cell r="C9899" t="str">
            <v>Errington Primary School</v>
          </cell>
          <cell r="D9899" t="str">
            <v>Redcar and Cleveland</v>
          </cell>
          <cell r="E9899" t="str">
            <v>Community School</v>
          </cell>
          <cell r="F9899" t="str">
            <v>Primary</v>
          </cell>
        </row>
        <row r="9900">
          <cell r="A9900">
            <v>8402417</v>
          </cell>
          <cell r="B9900">
            <v>114103</v>
          </cell>
          <cell r="C9900" t="str">
            <v>Escomb Primary School</v>
          </cell>
          <cell r="D9900" t="str">
            <v>Durham</v>
          </cell>
          <cell r="E9900" t="str">
            <v>Community School</v>
          </cell>
          <cell r="F9900" t="str">
            <v>Primary</v>
          </cell>
        </row>
        <row r="9901">
          <cell r="A9901">
            <v>8153153</v>
          </cell>
          <cell r="B9901">
            <v>121532</v>
          </cell>
          <cell r="C9901" t="str">
            <v>Escrick Church of England Voluntary Controlled Primary School</v>
          </cell>
          <cell r="D9901" t="str">
            <v>North Yorkshire</v>
          </cell>
          <cell r="E9901" t="str">
            <v>Voluntary Controlled School</v>
          </cell>
          <cell r="F9901" t="str">
            <v>Primary</v>
          </cell>
        </row>
        <row r="9902">
          <cell r="A9902">
            <v>8403406</v>
          </cell>
          <cell r="B9902">
            <v>114251</v>
          </cell>
          <cell r="C9902" t="str">
            <v>Esh CofE (Aided) Primary School</v>
          </cell>
          <cell r="D9902" t="str">
            <v>Durham</v>
          </cell>
          <cell r="E9902" t="str">
            <v>Voluntary Aided School</v>
          </cell>
          <cell r="F9902" t="str">
            <v>Primary</v>
          </cell>
        </row>
        <row r="9903">
          <cell r="A9903">
            <v>8402497</v>
          </cell>
          <cell r="B9903">
            <v>114138</v>
          </cell>
          <cell r="C9903" t="str">
            <v>Esh Winning Primary School</v>
          </cell>
          <cell r="D9903" t="str">
            <v>Durham</v>
          </cell>
          <cell r="E9903" t="str">
            <v>Community School</v>
          </cell>
          <cell r="F9903" t="str">
            <v>Primary</v>
          </cell>
        </row>
        <row r="9904">
          <cell r="A9904">
            <v>9363337</v>
          </cell>
          <cell r="B9904">
            <v>125177</v>
          </cell>
          <cell r="C9904" t="str">
            <v>Esher CofE Aided Primary School</v>
          </cell>
          <cell r="D9904" t="str">
            <v>Surrey</v>
          </cell>
          <cell r="E9904" t="str">
            <v>Voluntary Aided School</v>
          </cell>
          <cell r="F9904" t="str">
            <v>Primary</v>
          </cell>
        </row>
        <row r="9905">
          <cell r="A9905">
            <v>9364508</v>
          </cell>
          <cell r="B9905">
            <v>125274</v>
          </cell>
          <cell r="C9905" t="str">
            <v>Esher CofE High School</v>
          </cell>
          <cell r="D9905" t="str">
            <v>Surrey</v>
          </cell>
          <cell r="E9905" t="str">
            <v>Voluntary Controlled School</v>
          </cell>
          <cell r="F9905" t="str">
            <v>Secondary</v>
          </cell>
        </row>
        <row r="9906">
          <cell r="A9906">
            <v>9364112</v>
          </cell>
          <cell r="B9906">
            <v>130100</v>
          </cell>
          <cell r="C9906" t="str">
            <v>Esher College</v>
          </cell>
          <cell r="D9906" t="str">
            <v>Surrey</v>
          </cell>
          <cell r="E9906" t="str">
            <v>Community School</v>
          </cell>
          <cell r="F9906" t="str">
            <v>Secondary</v>
          </cell>
        </row>
        <row r="9907">
          <cell r="A9907">
            <v>9368602</v>
          </cell>
          <cell r="B9907">
            <v>130830</v>
          </cell>
          <cell r="C9907" t="str">
            <v>Esher College</v>
          </cell>
          <cell r="D9907" t="str">
            <v>Surrey</v>
          </cell>
          <cell r="E9907" t="str">
            <v>Further Education</v>
          </cell>
          <cell r="F9907" t="str">
            <v>16 Plus</v>
          </cell>
        </row>
        <row r="9908">
          <cell r="A9908">
            <v>8912299</v>
          </cell>
          <cell r="B9908">
            <v>122545</v>
          </cell>
          <cell r="C9908" t="str">
            <v>Eskdale Junior School</v>
          </cell>
          <cell r="D9908" t="str">
            <v>Nottinghamshire</v>
          </cell>
          <cell r="E9908" t="str">
            <v>Community School</v>
          </cell>
          <cell r="F9908" t="str">
            <v>Primary</v>
          </cell>
        </row>
        <row r="9909">
          <cell r="A9909">
            <v>8154041</v>
          </cell>
          <cell r="B9909">
            <v>121668</v>
          </cell>
          <cell r="C9909" t="str">
            <v>Eskdale School</v>
          </cell>
          <cell r="D9909" t="str">
            <v>North Yorkshire</v>
          </cell>
          <cell r="E9909" t="str">
            <v>Community School</v>
          </cell>
          <cell r="F9909" t="str">
            <v>Secondary</v>
          </cell>
        </row>
        <row r="9910">
          <cell r="A9910">
            <v>3907010</v>
          </cell>
          <cell r="B9910">
            <v>133397</v>
          </cell>
          <cell r="C9910" t="str">
            <v>Eslington Primary School</v>
          </cell>
          <cell r="D9910" t="str">
            <v>Gateshead</v>
          </cell>
          <cell r="E9910" t="str">
            <v>Community Special School</v>
          </cell>
          <cell r="F9910" t="str">
            <v>Special</v>
          </cell>
        </row>
        <row r="9911">
          <cell r="A9911">
            <v>3506905</v>
          </cell>
          <cell r="B9911">
            <v>135770</v>
          </cell>
          <cell r="C9911" t="str">
            <v>Essa Academy</v>
          </cell>
          <cell r="D9911" t="str">
            <v>Bolton</v>
          </cell>
          <cell r="E9911" t="str">
            <v>Academy Sponsor Led</v>
          </cell>
          <cell r="F9911" t="str">
            <v>Secondary</v>
          </cell>
        </row>
        <row r="9912">
          <cell r="A9912">
            <v>9366528</v>
          </cell>
          <cell r="B9912">
            <v>125420</v>
          </cell>
          <cell r="C9912" t="str">
            <v>Essendene Lodge School</v>
          </cell>
          <cell r="D9912" t="str">
            <v>Surrey</v>
          </cell>
          <cell r="E9912" t="str">
            <v>Other Independent School</v>
          </cell>
          <cell r="F9912" t="str">
            <v>Not applicable</v>
          </cell>
        </row>
        <row r="9913">
          <cell r="A9913">
            <v>2132208</v>
          </cell>
          <cell r="B9913">
            <v>101111</v>
          </cell>
          <cell r="C9913" t="str">
            <v>Essendine Primary School</v>
          </cell>
          <cell r="D9913" t="str">
            <v>Westminster</v>
          </cell>
          <cell r="E9913" t="str">
            <v>Community School</v>
          </cell>
          <cell r="F9913" t="str">
            <v>Primary</v>
          </cell>
        </row>
        <row r="9914">
          <cell r="A9914">
            <v>9193015</v>
          </cell>
          <cell r="B9914">
            <v>117393</v>
          </cell>
          <cell r="C9914" t="str">
            <v>Essendon CofE (VC) Primary School</v>
          </cell>
          <cell r="D9914" t="str">
            <v>Hertfordshire</v>
          </cell>
          <cell r="E9914" t="str">
            <v>Voluntary Controlled School</v>
          </cell>
          <cell r="F9914" t="str">
            <v>Primary</v>
          </cell>
        </row>
        <row r="9915">
          <cell r="A9915">
            <v>3086066</v>
          </cell>
          <cell r="B9915">
            <v>134247</v>
          </cell>
          <cell r="C9915" t="str">
            <v>Essential Achievers</v>
          </cell>
          <cell r="D9915" t="str">
            <v>Enfield</v>
          </cell>
          <cell r="E9915" t="str">
            <v>Other Independent Special School</v>
          </cell>
          <cell r="F9915" t="str">
            <v>Not applicable</v>
          </cell>
        </row>
        <row r="9916">
          <cell r="A9916">
            <v>881941</v>
          </cell>
          <cell r="B9916">
            <v>135431</v>
          </cell>
          <cell r="C9916" t="str">
            <v>Essex Eagles Learning Centre</v>
          </cell>
          <cell r="D9916" t="str">
            <v>Essex</v>
          </cell>
          <cell r="E9916" t="str">
            <v>Playing for Success Centres</v>
          </cell>
          <cell r="F9916" t="str">
            <v>Not applicable</v>
          </cell>
        </row>
        <row r="9917">
          <cell r="A9917">
            <v>8816056</v>
          </cell>
          <cell r="B9917">
            <v>135150</v>
          </cell>
          <cell r="C9917" t="str">
            <v>Essex Fresh Start</v>
          </cell>
          <cell r="D9917" t="str">
            <v>Essex</v>
          </cell>
          <cell r="E9917" t="str">
            <v>Other Independent Special School</v>
          </cell>
          <cell r="F9917" t="str">
            <v>Not applicable</v>
          </cell>
        </row>
        <row r="9918">
          <cell r="A9918">
            <v>3162020</v>
          </cell>
          <cell r="B9918">
            <v>126978</v>
          </cell>
          <cell r="C9918" t="str">
            <v>Essex Infant School</v>
          </cell>
          <cell r="D9918" t="str">
            <v>Newham</v>
          </cell>
          <cell r="E9918" t="str">
            <v>Community School</v>
          </cell>
          <cell r="F9918" t="str">
            <v>Primary</v>
          </cell>
        </row>
        <row r="9919">
          <cell r="A9919">
            <v>3162021</v>
          </cell>
          <cell r="B9919">
            <v>126979</v>
          </cell>
          <cell r="C9919" t="str">
            <v>Essex Junior School</v>
          </cell>
          <cell r="D9919" t="str">
            <v>Newham</v>
          </cell>
          <cell r="E9919" t="str">
            <v>Community School</v>
          </cell>
          <cell r="F9919" t="str">
            <v>Primary</v>
          </cell>
        </row>
        <row r="9920">
          <cell r="A9920">
            <v>3162095</v>
          </cell>
          <cell r="B9920">
            <v>102763</v>
          </cell>
          <cell r="C9920" t="str">
            <v>Essex Primary School</v>
          </cell>
          <cell r="D9920" t="str">
            <v>Newham</v>
          </cell>
          <cell r="E9920" t="str">
            <v>Community School</v>
          </cell>
          <cell r="F9920" t="str">
            <v>Primary</v>
          </cell>
        </row>
        <row r="9921">
          <cell r="A9921">
            <v>9382220</v>
          </cell>
          <cell r="B9921">
            <v>125945</v>
          </cell>
          <cell r="C9921" t="str">
            <v>Estcots Primary School</v>
          </cell>
          <cell r="D9921" t="str">
            <v>West Sussex</v>
          </cell>
          <cell r="E9921" t="str">
            <v>Community School</v>
          </cell>
          <cell r="F9921" t="str">
            <v>Primary</v>
          </cell>
        </row>
        <row r="9922">
          <cell r="A9922">
            <v>8102164</v>
          </cell>
          <cell r="B9922">
            <v>117774</v>
          </cell>
          <cell r="C9922" t="str">
            <v>Estcourt Primary School</v>
          </cell>
          <cell r="D9922" t="str">
            <v>Kingston upon Hull City of</v>
          </cell>
          <cell r="E9922" t="str">
            <v>Community School</v>
          </cell>
          <cell r="F9922" t="str">
            <v>Primary</v>
          </cell>
        </row>
        <row r="9923">
          <cell r="A9923">
            <v>8071100</v>
          </cell>
          <cell r="B9923">
            <v>111520</v>
          </cell>
          <cell r="C9923" t="str">
            <v>Eston Centre (EOTAS)</v>
          </cell>
          <cell r="D9923" t="str">
            <v>Redcar and Cleveland</v>
          </cell>
          <cell r="E9923" t="str">
            <v>Pupil Referral Unit</v>
          </cell>
          <cell r="F9923" t="str">
            <v>PRU</v>
          </cell>
        </row>
        <row r="9924">
          <cell r="A9924">
            <v>8074001</v>
          </cell>
          <cell r="B9924">
            <v>111723</v>
          </cell>
          <cell r="C9924" t="str">
            <v>Eston Park School</v>
          </cell>
          <cell r="D9924" t="str">
            <v>Redcar and Cleveland</v>
          </cell>
          <cell r="E9924" t="str">
            <v>Foundation School</v>
          </cell>
          <cell r="F9924" t="str">
            <v>Secondary</v>
          </cell>
        </row>
        <row r="9925">
          <cell r="A9925">
            <v>8826053</v>
          </cell>
          <cell r="B9925">
            <v>134940</v>
          </cell>
          <cell r="C9925" t="str">
            <v>Estuary High School</v>
          </cell>
          <cell r="D9925" t="str">
            <v>Southend-on-Sea</v>
          </cell>
          <cell r="E9925" t="str">
            <v>Other Independent Special School</v>
          </cell>
          <cell r="F9925" t="str">
            <v>Not applicable</v>
          </cell>
        </row>
        <row r="9926">
          <cell r="A9926">
            <v>3562030</v>
          </cell>
          <cell r="B9926">
            <v>106045</v>
          </cell>
          <cell r="C9926" t="str">
            <v>Etchells Primary School</v>
          </cell>
          <cell r="D9926" t="str">
            <v>Stockport</v>
          </cell>
          <cell r="E9926" t="str">
            <v>Community School</v>
          </cell>
          <cell r="F9926" t="str">
            <v>Primary</v>
          </cell>
        </row>
        <row r="9927">
          <cell r="A9927">
            <v>8603141</v>
          </cell>
          <cell r="B9927">
            <v>124292</v>
          </cell>
          <cell r="C9927" t="str">
            <v>Etching Hill CofE (C) Primary School</v>
          </cell>
          <cell r="D9927" t="str">
            <v>Staffordshire</v>
          </cell>
          <cell r="E9927" t="str">
            <v>Voluntary Controlled School</v>
          </cell>
          <cell r="F9927" t="str">
            <v>Primary</v>
          </cell>
        </row>
        <row r="9928">
          <cell r="A9928">
            <v>8453023</v>
          </cell>
          <cell r="B9928">
            <v>114502</v>
          </cell>
          <cell r="C9928" t="str">
            <v>Etchingham Church of England Primary School</v>
          </cell>
          <cell r="D9928" t="str">
            <v>East Sussex</v>
          </cell>
          <cell r="E9928" t="str">
            <v>Voluntary Controlled School</v>
          </cell>
          <cell r="F9928" t="str">
            <v>Primary</v>
          </cell>
        </row>
        <row r="9929">
          <cell r="A9929">
            <v>3806349</v>
          </cell>
          <cell r="B9929">
            <v>136189</v>
          </cell>
          <cell r="C9929" t="str">
            <v>Eternal Light Secondary School</v>
          </cell>
          <cell r="D9929" t="str">
            <v>Bradford</v>
          </cell>
          <cell r="E9929" t="str">
            <v>Other Independent School</v>
          </cell>
          <cell r="F9929" t="str">
            <v>Not applicable</v>
          </cell>
        </row>
        <row r="9930">
          <cell r="A9930">
            <v>3177000</v>
          </cell>
          <cell r="B9930">
            <v>102877</v>
          </cell>
          <cell r="C9930" t="str">
            <v>Ethel Davis School</v>
          </cell>
          <cell r="D9930" t="str">
            <v>Redbridge</v>
          </cell>
          <cell r="E9930" t="str">
            <v>Community Special School</v>
          </cell>
          <cell r="F9930" t="str">
            <v>Special</v>
          </cell>
        </row>
        <row r="9931">
          <cell r="A9931">
            <v>3526065</v>
          </cell>
          <cell r="B9931">
            <v>135920</v>
          </cell>
          <cell r="C9931" t="str">
            <v>Ethel Terrace Independent School</v>
          </cell>
          <cell r="D9931" t="str">
            <v>Manchester</v>
          </cell>
          <cell r="E9931" t="str">
            <v>Other Independent Special School</v>
          </cell>
          <cell r="F9931" t="str">
            <v>Not applicable</v>
          </cell>
        </row>
        <row r="9932">
          <cell r="A9932">
            <v>8912882</v>
          </cell>
          <cell r="B9932">
            <v>122692</v>
          </cell>
          <cell r="C9932" t="str">
            <v>Ethel Wainwright First School</v>
          </cell>
          <cell r="D9932" t="str">
            <v>Nottinghamshire</v>
          </cell>
          <cell r="E9932" t="str">
            <v>Community School</v>
          </cell>
          <cell r="F9932" t="str">
            <v>Primary</v>
          </cell>
        </row>
        <row r="9933">
          <cell r="A9933">
            <v>8914424</v>
          </cell>
          <cell r="B9933">
            <v>122873</v>
          </cell>
          <cell r="C9933" t="str">
            <v>Ethel Wainwright Middle School</v>
          </cell>
          <cell r="D9933" t="str">
            <v>Nottinghamshire</v>
          </cell>
          <cell r="E9933" t="str">
            <v>Community School</v>
          </cell>
          <cell r="F9933" t="str">
            <v>Middle Deemed Secondary</v>
          </cell>
        </row>
        <row r="9934">
          <cell r="A9934">
            <v>8913291</v>
          </cell>
          <cell r="B9934">
            <v>132244</v>
          </cell>
          <cell r="C9934" t="str">
            <v>Ethel Wainwright Primary School</v>
          </cell>
          <cell r="D9934" t="str">
            <v>Nottinghamshire</v>
          </cell>
          <cell r="E9934" t="str">
            <v>Community School</v>
          </cell>
          <cell r="F9934" t="str">
            <v>Primary</v>
          </cell>
        </row>
        <row r="9935">
          <cell r="A9935">
            <v>8862227</v>
          </cell>
          <cell r="B9935">
            <v>118337</v>
          </cell>
          <cell r="C9935" t="str">
            <v>Ethelbert Road Primary School</v>
          </cell>
          <cell r="D9935" t="str">
            <v>Kent</v>
          </cell>
          <cell r="E9935" t="str">
            <v>Community School</v>
          </cell>
          <cell r="F9935" t="str">
            <v>Primary</v>
          </cell>
        </row>
        <row r="9936">
          <cell r="A9936">
            <v>2125200</v>
          </cell>
          <cell r="B9936">
            <v>101056</v>
          </cell>
          <cell r="C9936" t="str">
            <v>Ethelburga Primary School</v>
          </cell>
          <cell r="D9936" t="str">
            <v>Wandsworth</v>
          </cell>
          <cell r="E9936" t="str">
            <v>Foundation School</v>
          </cell>
          <cell r="F9936" t="str">
            <v>Primary</v>
          </cell>
        </row>
        <row r="9937">
          <cell r="A9937">
            <v>2081049</v>
          </cell>
          <cell r="B9937">
            <v>100552</v>
          </cell>
          <cell r="C9937" t="str">
            <v>Ethelred Nursery School and Children's Centre</v>
          </cell>
          <cell r="D9937" t="str">
            <v>Lambeth</v>
          </cell>
          <cell r="E9937" t="str">
            <v>LA Nursery School</v>
          </cell>
          <cell r="F9937" t="str">
            <v>Nursery</v>
          </cell>
        </row>
        <row r="9938">
          <cell r="A9938">
            <v>8401024</v>
          </cell>
          <cell r="B9938">
            <v>113976</v>
          </cell>
          <cell r="C9938" t="str">
            <v>Etherley Lane Nursery School</v>
          </cell>
          <cell r="D9938" t="str">
            <v>Durham</v>
          </cell>
          <cell r="E9938" t="str">
            <v>LA Nursery School</v>
          </cell>
          <cell r="F9938" t="str">
            <v>Nursery</v>
          </cell>
        </row>
        <row r="9939">
          <cell r="A9939">
            <v>8402401</v>
          </cell>
          <cell r="B9939">
            <v>114097</v>
          </cell>
          <cell r="C9939" t="str">
            <v>Etherley Lane Primary School</v>
          </cell>
          <cell r="D9939" t="str">
            <v>Durham</v>
          </cell>
          <cell r="E9939" t="str">
            <v>Community School</v>
          </cell>
          <cell r="F9939" t="str">
            <v>Primary</v>
          </cell>
        </row>
        <row r="9940">
          <cell r="A9940">
            <v>3821101</v>
          </cell>
          <cell r="B9940">
            <v>133673</v>
          </cell>
          <cell r="C9940" t="str">
            <v>Ethos Pupil Referral Unit</v>
          </cell>
          <cell r="D9940" t="str">
            <v>Kirklees</v>
          </cell>
          <cell r="E9940" t="str">
            <v>Pupil Referral Unit</v>
          </cell>
          <cell r="F9940" t="str">
            <v>PRU</v>
          </cell>
        </row>
        <row r="9941">
          <cell r="A9941">
            <v>8686016</v>
          </cell>
          <cell r="B9941">
            <v>110158</v>
          </cell>
          <cell r="C9941" t="str">
            <v>Eton College</v>
          </cell>
          <cell r="D9941" t="str">
            <v>Windsor and Maidenhead</v>
          </cell>
          <cell r="E9941" t="str">
            <v>Other Independent School</v>
          </cell>
          <cell r="F9941" t="str">
            <v>Not applicable</v>
          </cell>
        </row>
        <row r="9942">
          <cell r="A9942">
            <v>8686017</v>
          </cell>
          <cell r="B9942">
            <v>110161</v>
          </cell>
          <cell r="C9942" t="str">
            <v>Eton End PNEU School</v>
          </cell>
          <cell r="D9942" t="str">
            <v>Windsor and Maidenhead</v>
          </cell>
          <cell r="E9942" t="str">
            <v>Other Independent School</v>
          </cell>
          <cell r="F9942" t="str">
            <v>Not applicable</v>
          </cell>
        </row>
        <row r="9943">
          <cell r="A9943">
            <v>8602145</v>
          </cell>
          <cell r="B9943">
            <v>124051</v>
          </cell>
          <cell r="C9943" t="str">
            <v>Eton Park Junior School</v>
          </cell>
          <cell r="D9943" t="str">
            <v>Staffordshire</v>
          </cell>
          <cell r="E9943" t="str">
            <v>Foundation School</v>
          </cell>
          <cell r="F9943" t="str">
            <v>Primary</v>
          </cell>
        </row>
        <row r="9944">
          <cell r="A9944">
            <v>8683075</v>
          </cell>
          <cell r="B9944">
            <v>109998</v>
          </cell>
          <cell r="C9944" t="str">
            <v>Eton Porny CofE First School</v>
          </cell>
          <cell r="D9944" t="str">
            <v>Windsor and Maidenhead</v>
          </cell>
          <cell r="E9944" t="str">
            <v>Voluntary Controlled School</v>
          </cell>
          <cell r="F9944" t="str">
            <v>Primary</v>
          </cell>
        </row>
        <row r="9945">
          <cell r="A9945">
            <v>9033073</v>
          </cell>
          <cell r="B9945">
            <v>128289</v>
          </cell>
          <cell r="C9945" t="str">
            <v>Eton Porny Combined School</v>
          </cell>
          <cell r="D9945" t="str">
            <v>Pre LGR (1998) Berkshire</v>
          </cell>
          <cell r="E9945" t="str">
            <v>Voluntary Controlled School</v>
          </cell>
          <cell r="F9945" t="str">
            <v>Primary</v>
          </cell>
        </row>
        <row r="9946">
          <cell r="A9946">
            <v>8683072</v>
          </cell>
          <cell r="B9946">
            <v>109996</v>
          </cell>
          <cell r="C9946" t="str">
            <v>Eton Wick CofE First School</v>
          </cell>
          <cell r="D9946" t="str">
            <v>Windsor and Maidenhead</v>
          </cell>
          <cell r="E9946" t="str">
            <v>Voluntary Controlled School</v>
          </cell>
          <cell r="F9946" t="str">
            <v>Primary</v>
          </cell>
        </row>
        <row r="9947">
          <cell r="A9947">
            <v>8234004</v>
          </cell>
          <cell r="B9947">
            <v>109644</v>
          </cell>
          <cell r="C9947" t="str">
            <v>Etonbury Middle School</v>
          </cell>
          <cell r="D9947" t="str">
            <v>Central Bedfordshire</v>
          </cell>
          <cell r="E9947" t="str">
            <v>Foundation School</v>
          </cell>
          <cell r="F9947" t="str">
            <v>Middle Deemed Secondary</v>
          </cell>
        </row>
        <row r="9948">
          <cell r="A9948">
            <v>8234004</v>
          </cell>
          <cell r="B9948">
            <v>137632</v>
          </cell>
          <cell r="C9948" t="str">
            <v>Etonbury Middle School</v>
          </cell>
          <cell r="D9948" t="str">
            <v>Central Bedfordshire</v>
          </cell>
          <cell r="E9948" t="str">
            <v>Academy Converters</v>
          </cell>
          <cell r="F9948" t="str">
            <v>Middle Deemed Secondary</v>
          </cell>
        </row>
        <row r="9949">
          <cell r="A9949">
            <v>9374004</v>
          </cell>
          <cell r="B9949">
            <v>125731</v>
          </cell>
          <cell r="C9949" t="str">
            <v>Etone College</v>
          </cell>
          <cell r="D9949" t="str">
            <v>Warwickshire</v>
          </cell>
          <cell r="E9949" t="str">
            <v>Community School</v>
          </cell>
          <cell r="F9949" t="str">
            <v>Secondary</v>
          </cell>
        </row>
        <row r="9950">
          <cell r="A9950">
            <v>8612002</v>
          </cell>
          <cell r="B9950">
            <v>133328</v>
          </cell>
          <cell r="C9950" t="str">
            <v>Etruscan Primary School</v>
          </cell>
          <cell r="D9950" t="str">
            <v>Stoke-on-Trent</v>
          </cell>
          <cell r="E9950" t="str">
            <v>Community School</v>
          </cell>
          <cell r="F9950" t="str">
            <v>Primary</v>
          </cell>
        </row>
        <row r="9951">
          <cell r="A9951">
            <v>3362047</v>
          </cell>
          <cell r="B9951">
            <v>127214</v>
          </cell>
          <cell r="C9951" t="str">
            <v>Ettingshall Infant School</v>
          </cell>
          <cell r="D9951" t="str">
            <v>Wolverhampton</v>
          </cell>
          <cell r="E9951" t="str">
            <v>Community School</v>
          </cell>
          <cell r="F9951" t="str">
            <v>Primary</v>
          </cell>
        </row>
        <row r="9952">
          <cell r="A9952">
            <v>3362048</v>
          </cell>
          <cell r="B9952">
            <v>127215</v>
          </cell>
          <cell r="C9952" t="str">
            <v>Ettingshall Junior School</v>
          </cell>
          <cell r="D9952" t="str">
            <v>Wolverhampton</v>
          </cell>
          <cell r="E9952" t="str">
            <v>Community School</v>
          </cell>
          <cell r="F9952" t="str">
            <v>Primary</v>
          </cell>
        </row>
        <row r="9953">
          <cell r="A9953">
            <v>3362108</v>
          </cell>
          <cell r="B9953">
            <v>104347</v>
          </cell>
          <cell r="C9953" t="str">
            <v>Ettingshall Primary School and Nursery</v>
          </cell>
          <cell r="D9953" t="str">
            <v>Wolverhampton</v>
          </cell>
          <cell r="E9953" t="str">
            <v>Community School</v>
          </cell>
          <cell r="F9953" t="str">
            <v>Primary</v>
          </cell>
        </row>
        <row r="9954">
          <cell r="A9954">
            <v>9373024</v>
          </cell>
          <cell r="B9954">
            <v>125631</v>
          </cell>
          <cell r="C9954" t="str">
            <v>Ettington CofE Primary School</v>
          </cell>
          <cell r="D9954" t="str">
            <v>Warwickshire</v>
          </cell>
          <cell r="E9954" t="str">
            <v>Voluntary Controlled School</v>
          </cell>
          <cell r="F9954" t="str">
            <v>Primary</v>
          </cell>
        </row>
        <row r="9955">
          <cell r="A9955">
            <v>9207015</v>
          </cell>
          <cell r="B9955">
            <v>129336</v>
          </cell>
          <cell r="C9955" t="str">
            <v>Etton Pasture School</v>
          </cell>
          <cell r="D9955" t="str">
            <v>Pre LGR (1996) Humberside</v>
          </cell>
          <cell r="E9955" t="str">
            <v>Community Special School</v>
          </cell>
          <cell r="F9955" t="str">
            <v>Special</v>
          </cell>
        </row>
        <row r="9956">
          <cell r="A9956">
            <v>8302105</v>
          </cell>
          <cell r="B9956">
            <v>112549</v>
          </cell>
          <cell r="C9956" t="str">
            <v>Etwall Primary School</v>
          </cell>
          <cell r="D9956" t="str">
            <v>Derbyshire</v>
          </cell>
          <cell r="E9956" t="str">
            <v>Community School</v>
          </cell>
          <cell r="F9956" t="str">
            <v>Primary</v>
          </cell>
        </row>
        <row r="9957">
          <cell r="A9957">
            <v>3022001</v>
          </cell>
          <cell r="B9957">
            <v>136938</v>
          </cell>
          <cell r="C9957" t="str">
            <v>Etz Chaim Jewish Primary School</v>
          </cell>
          <cell r="D9957" t="str">
            <v>Barnet</v>
          </cell>
          <cell r="E9957" t="str">
            <v>Academy Free Schools</v>
          </cell>
          <cell r="F9957" t="str">
            <v>Primary</v>
          </cell>
        </row>
        <row r="9958">
          <cell r="A9958">
            <v>3556029</v>
          </cell>
          <cell r="B9958">
            <v>106005</v>
          </cell>
          <cell r="C9958" t="str">
            <v>Etz Chaim School</v>
          </cell>
          <cell r="D9958" t="str">
            <v>Salford</v>
          </cell>
          <cell r="E9958" t="str">
            <v>Other Independent School</v>
          </cell>
          <cell r="F9958" t="str">
            <v>Not applicable</v>
          </cell>
        </row>
        <row r="9959">
          <cell r="A9959">
            <v>3526053</v>
          </cell>
          <cell r="B9959">
            <v>131015</v>
          </cell>
          <cell r="C9959" t="str">
            <v>Etz Chaim School at the Belmont</v>
          </cell>
          <cell r="D9959" t="str">
            <v>Manchester</v>
          </cell>
          <cell r="E9959" t="str">
            <v>Other Independent School</v>
          </cell>
          <cell r="F9959" t="str">
            <v>Not applicable</v>
          </cell>
        </row>
        <row r="9960">
          <cell r="A9960">
            <v>8302315</v>
          </cell>
          <cell r="B9960">
            <v>112677</v>
          </cell>
          <cell r="C9960" t="str">
            <v>Eureka Primary School</v>
          </cell>
          <cell r="D9960" t="str">
            <v>Derbyshire</v>
          </cell>
          <cell r="E9960" t="str">
            <v>Community School</v>
          </cell>
          <cell r="F9960" t="str">
            <v>Primary</v>
          </cell>
        </row>
        <row r="9961">
          <cell r="A9961">
            <v>3532050</v>
          </cell>
          <cell r="B9961">
            <v>127429</v>
          </cell>
          <cell r="C9961" t="str">
            <v>Eustace Street Infant and Nursery School</v>
          </cell>
          <cell r="D9961" t="str">
            <v>Oldham</v>
          </cell>
          <cell r="E9961" t="str">
            <v>Community School</v>
          </cell>
          <cell r="F9961" t="str">
            <v>Primary</v>
          </cell>
        </row>
        <row r="9962">
          <cell r="A9962">
            <v>8883407</v>
          </cell>
          <cell r="B9962">
            <v>119473</v>
          </cell>
          <cell r="C9962" t="str">
            <v>Euxton Church of England Voluntary Aided Primary School</v>
          </cell>
          <cell r="D9962" t="str">
            <v>Lancashire</v>
          </cell>
          <cell r="E9962" t="str">
            <v>Voluntary Aided School</v>
          </cell>
          <cell r="F9962" t="str">
            <v>Primary</v>
          </cell>
        </row>
        <row r="9963">
          <cell r="A9963">
            <v>8882572</v>
          </cell>
          <cell r="B9963">
            <v>119309</v>
          </cell>
          <cell r="C9963" t="str">
            <v>Euxton Primrose Hill Primary School</v>
          </cell>
          <cell r="D9963" t="str">
            <v>Lancashire</v>
          </cell>
          <cell r="E9963" t="str">
            <v>Community School</v>
          </cell>
          <cell r="F9963" t="str">
            <v>Primary</v>
          </cell>
        </row>
        <row r="9964">
          <cell r="A9964">
            <v>8883792</v>
          </cell>
          <cell r="B9964">
            <v>119676</v>
          </cell>
          <cell r="C9964" t="str">
            <v>Euxton St Mary's Catholic Primary School</v>
          </cell>
          <cell r="D9964" t="str">
            <v>Lancashire</v>
          </cell>
          <cell r="E9964" t="str">
            <v>Voluntary Aided School</v>
          </cell>
          <cell r="F9964" t="str">
            <v>Primary</v>
          </cell>
        </row>
        <row r="9965">
          <cell r="A9965">
            <v>2107066</v>
          </cell>
          <cell r="B9965">
            <v>100875</v>
          </cell>
          <cell r="C9965" t="str">
            <v>Evelina Hospital School</v>
          </cell>
          <cell r="D9965" t="str">
            <v>Southwark</v>
          </cell>
          <cell r="E9965" t="str">
            <v>Community Special School</v>
          </cell>
          <cell r="F9965" t="str">
            <v>Special</v>
          </cell>
        </row>
        <row r="9966">
          <cell r="A9966">
            <v>2126383</v>
          </cell>
          <cell r="B9966">
            <v>101080</v>
          </cell>
          <cell r="C9966" t="str">
            <v>Eveline Day School</v>
          </cell>
          <cell r="D9966" t="str">
            <v>Wandsworth</v>
          </cell>
          <cell r="E9966" t="str">
            <v>Other Independent School</v>
          </cell>
          <cell r="F9966" t="str">
            <v>Not applicable</v>
          </cell>
        </row>
        <row r="9967">
          <cell r="A9967">
            <v>3402050</v>
          </cell>
          <cell r="B9967">
            <v>104446</v>
          </cell>
          <cell r="C9967" t="str">
            <v>Evelyn Community Primary School</v>
          </cell>
          <cell r="D9967" t="str">
            <v>Knowsley</v>
          </cell>
          <cell r="E9967" t="str">
            <v>Community School</v>
          </cell>
          <cell r="F9967" t="str">
            <v>Primary</v>
          </cell>
        </row>
        <row r="9968">
          <cell r="A9968">
            <v>9037021</v>
          </cell>
          <cell r="B9968">
            <v>128308</v>
          </cell>
          <cell r="C9968" t="str">
            <v>Evelyn Fox School</v>
          </cell>
          <cell r="D9968" t="str">
            <v>Pre LGR (1998) Berkshire</v>
          </cell>
          <cell r="E9968" t="str">
            <v>Community Special School</v>
          </cell>
          <cell r="F9968" t="str">
            <v>Special</v>
          </cell>
        </row>
        <row r="9969">
          <cell r="A9969">
            <v>2086906</v>
          </cell>
          <cell r="B9969">
            <v>135389</v>
          </cell>
          <cell r="C9969" t="str">
            <v>Evelyn Grace Academy</v>
          </cell>
          <cell r="D9969" t="str">
            <v>Lambeth</v>
          </cell>
          <cell r="E9969" t="str">
            <v>Academy Sponsor Led</v>
          </cell>
          <cell r="F9969" t="str">
            <v>Secondary</v>
          </cell>
        </row>
        <row r="9970">
          <cell r="A9970">
            <v>8772005</v>
          </cell>
          <cell r="B9970">
            <v>110968</v>
          </cell>
          <cell r="C9970" t="str">
            <v>Evelyn Street Community Primary School</v>
          </cell>
          <cell r="D9970" t="str">
            <v>Warrington</v>
          </cell>
          <cell r="E9970" t="str">
            <v>Community School</v>
          </cell>
          <cell r="F9970" t="str">
            <v>Primary</v>
          </cell>
        </row>
        <row r="9971">
          <cell r="A9971">
            <v>3124004</v>
          </cell>
          <cell r="B9971">
            <v>102427</v>
          </cell>
          <cell r="C9971" t="str">
            <v>Evelyns School</v>
          </cell>
          <cell r="D9971" t="str">
            <v>Hillingdon</v>
          </cell>
          <cell r="E9971" t="str">
            <v>Community School</v>
          </cell>
          <cell r="F9971" t="str">
            <v>Secondary</v>
          </cell>
        </row>
        <row r="9972">
          <cell r="A9972">
            <v>8662104</v>
          </cell>
          <cell r="B9972">
            <v>126214</v>
          </cell>
          <cell r="C9972" t="str">
            <v>Even Swindon Infant School</v>
          </cell>
          <cell r="D9972" t="str">
            <v>Swindon</v>
          </cell>
          <cell r="E9972" t="str">
            <v>Community School</v>
          </cell>
          <cell r="F9972" t="str">
            <v>Primary</v>
          </cell>
        </row>
        <row r="9973">
          <cell r="A9973">
            <v>8662103</v>
          </cell>
          <cell r="B9973">
            <v>126213</v>
          </cell>
          <cell r="C9973" t="str">
            <v>Even Swindon Primary School</v>
          </cell>
          <cell r="D9973" t="str">
            <v>Swindon</v>
          </cell>
          <cell r="E9973" t="str">
            <v>Community School</v>
          </cell>
          <cell r="F9973" t="str">
            <v>Primary</v>
          </cell>
        </row>
        <row r="9974">
          <cell r="A9974">
            <v>6732148</v>
          </cell>
          <cell r="B9974">
            <v>401109</v>
          </cell>
          <cell r="C9974" t="str">
            <v>Evenlode C.P. School</v>
          </cell>
          <cell r="D9974" t="str">
            <v>The Vale of Glamorgan</v>
          </cell>
          <cell r="E9974" t="str">
            <v>Welsh Establishment</v>
          </cell>
          <cell r="F9974" t="str">
            <v>Primary</v>
          </cell>
        </row>
        <row r="9975">
          <cell r="A9975">
            <v>8403130</v>
          </cell>
          <cell r="B9975">
            <v>114221</v>
          </cell>
          <cell r="C9975" t="str">
            <v>Evenwood CofE Primary School</v>
          </cell>
          <cell r="D9975" t="str">
            <v>Durham</v>
          </cell>
          <cell r="E9975" t="str">
            <v>Voluntary Controlled School</v>
          </cell>
          <cell r="F9975" t="str">
            <v>Primary</v>
          </cell>
        </row>
        <row r="9976">
          <cell r="A9976">
            <v>9333047</v>
          </cell>
          <cell r="B9976">
            <v>123755</v>
          </cell>
          <cell r="C9976" t="str">
            <v>Evercreech Church of England Primary School</v>
          </cell>
          <cell r="D9976" t="str">
            <v>Somerset</v>
          </cell>
          <cell r="E9976" t="str">
            <v>Voluntary Controlled School</v>
          </cell>
          <cell r="F9976" t="str">
            <v>Primary</v>
          </cell>
        </row>
        <row r="9977">
          <cell r="A9977">
            <v>8504003</v>
          </cell>
          <cell r="B9977">
            <v>137113</v>
          </cell>
          <cell r="C9977" t="str">
            <v>Everest Community Academy</v>
          </cell>
          <cell r="D9977" t="str">
            <v>Hampshire</v>
          </cell>
          <cell r="E9977" t="str">
            <v>Academy Sponsor Led</v>
          </cell>
          <cell r="F9977" t="str">
            <v>Secondary</v>
          </cell>
        </row>
        <row r="9978">
          <cell r="A9978">
            <v>8504169</v>
          </cell>
          <cell r="B9978">
            <v>116435</v>
          </cell>
          <cell r="C9978" t="str">
            <v>Everest Community College</v>
          </cell>
          <cell r="D9978" t="str">
            <v>Hampshire</v>
          </cell>
          <cell r="E9978" t="str">
            <v>Community School</v>
          </cell>
          <cell r="F9978" t="str">
            <v>Secondary</v>
          </cell>
        </row>
        <row r="9979">
          <cell r="A9979">
            <v>8407034</v>
          </cell>
          <cell r="B9979">
            <v>134663</v>
          </cell>
          <cell r="C9979" t="str">
            <v>Evergreen Primary School</v>
          </cell>
          <cell r="D9979" t="str">
            <v>Durham</v>
          </cell>
          <cell r="E9979" t="str">
            <v>Community Special School</v>
          </cell>
          <cell r="F9979" t="str">
            <v>Special</v>
          </cell>
        </row>
        <row r="9980">
          <cell r="A9980">
            <v>3346000</v>
          </cell>
          <cell r="B9980">
            <v>104122</v>
          </cell>
          <cell r="C9980" t="str">
            <v>Eversfield Preparatory School</v>
          </cell>
          <cell r="D9980" t="str">
            <v>Solihull</v>
          </cell>
          <cell r="E9980" t="str">
            <v>Other Independent School</v>
          </cell>
          <cell r="F9980" t="str">
            <v>Not applicable</v>
          </cell>
        </row>
        <row r="9981">
          <cell r="A9981">
            <v>8232046</v>
          </cell>
          <cell r="B9981">
            <v>109449</v>
          </cell>
          <cell r="C9981" t="str">
            <v>Eversholt Lower School</v>
          </cell>
          <cell r="D9981" t="str">
            <v>Central Bedfordshire</v>
          </cell>
          <cell r="E9981" t="str">
            <v>Community School</v>
          </cell>
          <cell r="F9981" t="str">
            <v>Primary</v>
          </cell>
        </row>
        <row r="9982">
          <cell r="A9982">
            <v>8232046</v>
          </cell>
          <cell r="B9982">
            <v>137555</v>
          </cell>
          <cell r="C9982" t="str">
            <v>Eversholt Lower School</v>
          </cell>
          <cell r="D9982" t="str">
            <v>Central Bedfordshire</v>
          </cell>
          <cell r="E9982" t="str">
            <v>Academy Converters</v>
          </cell>
          <cell r="F9982" t="str">
            <v>Primary</v>
          </cell>
        </row>
        <row r="9983">
          <cell r="A9983">
            <v>3082027</v>
          </cell>
          <cell r="B9983">
            <v>126889</v>
          </cell>
          <cell r="C9983" t="str">
            <v>Eversley Infant School</v>
          </cell>
          <cell r="D9983" t="str">
            <v>Enfield</v>
          </cell>
          <cell r="E9983" t="str">
            <v>Community School</v>
          </cell>
          <cell r="F9983" t="str">
            <v>Primary</v>
          </cell>
        </row>
        <row r="9984">
          <cell r="A9984">
            <v>3082026</v>
          </cell>
          <cell r="B9984">
            <v>126888</v>
          </cell>
          <cell r="C9984" t="str">
            <v>Eversley Junior School</v>
          </cell>
          <cell r="D9984" t="str">
            <v>Enfield</v>
          </cell>
          <cell r="E9984" t="str">
            <v>Community School</v>
          </cell>
          <cell r="F9984" t="str">
            <v>Primary</v>
          </cell>
        </row>
        <row r="9985">
          <cell r="A9985">
            <v>3082085</v>
          </cell>
          <cell r="B9985">
            <v>102025</v>
          </cell>
          <cell r="C9985" t="str">
            <v>Eversley Primary School</v>
          </cell>
          <cell r="D9985" t="str">
            <v>Enfield</v>
          </cell>
          <cell r="E9985" t="str">
            <v>Community School</v>
          </cell>
          <cell r="F9985" t="str">
            <v>Primary</v>
          </cell>
        </row>
        <row r="9986">
          <cell r="A9986">
            <v>8812798</v>
          </cell>
          <cell r="B9986">
            <v>114999</v>
          </cell>
          <cell r="C9986" t="str">
            <v>Eversley Primary School</v>
          </cell>
          <cell r="D9986" t="str">
            <v>Essex</v>
          </cell>
          <cell r="E9986" t="str">
            <v>Community School</v>
          </cell>
          <cell r="F9986" t="str">
            <v>Primary</v>
          </cell>
        </row>
        <row r="9987">
          <cell r="A9987">
            <v>9356006</v>
          </cell>
          <cell r="B9987">
            <v>124867</v>
          </cell>
          <cell r="C9987" t="str">
            <v>Eversley School</v>
          </cell>
          <cell r="D9987" t="str">
            <v>Suffolk</v>
          </cell>
          <cell r="E9987" t="str">
            <v>Other Independent School</v>
          </cell>
          <cell r="F9987" t="str">
            <v>Not applicable</v>
          </cell>
        </row>
        <row r="9988">
          <cell r="A9988">
            <v>9234047</v>
          </cell>
          <cell r="B9988">
            <v>129491</v>
          </cell>
          <cell r="C9988" t="str">
            <v>Everton High School</v>
          </cell>
          <cell r="D9988" t="str">
            <v>Pre LGR (1998) Lancashire</v>
          </cell>
          <cell r="E9988" t="str">
            <v>Community School</v>
          </cell>
          <cell r="F9988" t="str">
            <v>Secondary</v>
          </cell>
        </row>
        <row r="9989">
          <cell r="A9989">
            <v>8232047</v>
          </cell>
          <cell r="B9989">
            <v>109450</v>
          </cell>
          <cell r="C9989" t="str">
            <v>Everton Lower School</v>
          </cell>
          <cell r="D9989" t="str">
            <v>Central Bedfordshire</v>
          </cell>
          <cell r="E9989" t="str">
            <v>Community School</v>
          </cell>
          <cell r="F9989" t="str">
            <v>Primary</v>
          </cell>
        </row>
        <row r="9990">
          <cell r="A9990">
            <v>3411003</v>
          </cell>
          <cell r="B9990">
            <v>104505</v>
          </cell>
          <cell r="C9990" t="str">
            <v>Everton Nursery School and Family Centre</v>
          </cell>
          <cell r="D9990" t="str">
            <v>Liverpool</v>
          </cell>
          <cell r="E9990" t="str">
            <v>LA Nursery School</v>
          </cell>
          <cell r="F9990" t="str">
            <v>Nursery</v>
          </cell>
        </row>
        <row r="9991">
          <cell r="A9991">
            <v>3412127</v>
          </cell>
          <cell r="B9991">
            <v>127272</v>
          </cell>
          <cell r="C9991" t="str">
            <v>Everton Park County Infant School</v>
          </cell>
          <cell r="D9991" t="str">
            <v>Liverpool</v>
          </cell>
          <cell r="E9991" t="str">
            <v>Community School</v>
          </cell>
          <cell r="F9991" t="str">
            <v>Primary</v>
          </cell>
        </row>
        <row r="9992">
          <cell r="A9992">
            <v>3412079</v>
          </cell>
          <cell r="B9992">
            <v>127266</v>
          </cell>
          <cell r="C9992" t="str">
            <v>Everton Park County Junior School</v>
          </cell>
          <cell r="D9992" t="str">
            <v>Liverpool</v>
          </cell>
          <cell r="E9992" t="str">
            <v>Community School</v>
          </cell>
          <cell r="F9992" t="str">
            <v>Primary</v>
          </cell>
        </row>
        <row r="9993">
          <cell r="A9993">
            <v>3412213</v>
          </cell>
          <cell r="B9993">
            <v>104609</v>
          </cell>
          <cell r="C9993" t="str">
            <v>Everton Park Junior Mixed and Infant School</v>
          </cell>
          <cell r="D9993" t="str">
            <v>Liverpool</v>
          </cell>
          <cell r="E9993" t="str">
            <v>Community School</v>
          </cell>
          <cell r="F9993" t="str">
            <v>Primary</v>
          </cell>
        </row>
        <row r="9994">
          <cell r="A9994">
            <v>8912742</v>
          </cell>
          <cell r="B9994">
            <v>122641</v>
          </cell>
          <cell r="C9994" t="str">
            <v>Everton Primary School</v>
          </cell>
          <cell r="D9994" t="str">
            <v>Nottinghamshire</v>
          </cell>
          <cell r="E9994" t="str">
            <v>Community School</v>
          </cell>
          <cell r="F9994" t="str">
            <v>Primary</v>
          </cell>
        </row>
        <row r="9995">
          <cell r="A9995">
            <v>8854006</v>
          </cell>
          <cell r="B9995">
            <v>116932</v>
          </cell>
          <cell r="C9995" t="str">
            <v>Evesham High School</v>
          </cell>
          <cell r="D9995" t="str">
            <v>Worcestershire</v>
          </cell>
          <cell r="E9995" t="str">
            <v>Community School</v>
          </cell>
          <cell r="F9995" t="str">
            <v>Secondary</v>
          </cell>
        </row>
        <row r="9996">
          <cell r="A9996">
            <v>8851001</v>
          </cell>
          <cell r="B9996">
            <v>132104</v>
          </cell>
          <cell r="C9996" t="str">
            <v>Evesham Nursery School</v>
          </cell>
          <cell r="D9996" t="str">
            <v>Worcestershire</v>
          </cell>
          <cell r="E9996" t="str">
            <v>LA Nursery School</v>
          </cell>
          <cell r="F9996" t="str">
            <v>Nursery</v>
          </cell>
        </row>
        <row r="9997">
          <cell r="A9997">
            <v>6802009</v>
          </cell>
          <cell r="B9997">
            <v>401507</v>
          </cell>
          <cell r="C9997" t="str">
            <v>Eveswell Primary School</v>
          </cell>
          <cell r="D9997" t="str">
            <v>Newport</v>
          </cell>
          <cell r="E9997" t="str">
            <v>Welsh Establishment</v>
          </cell>
          <cell r="F9997" t="str">
            <v>Primary</v>
          </cell>
        </row>
        <row r="9998">
          <cell r="A9998">
            <v>8566005</v>
          </cell>
          <cell r="B9998">
            <v>120346</v>
          </cell>
          <cell r="C9998" t="str">
            <v>Evington Park School</v>
          </cell>
          <cell r="D9998" t="str">
            <v>Leicester</v>
          </cell>
          <cell r="E9998" t="str">
            <v>Other Independent Special School</v>
          </cell>
          <cell r="F9998" t="str">
            <v>Not applicable</v>
          </cell>
        </row>
        <row r="9999">
          <cell r="A9999">
            <v>8562222</v>
          </cell>
          <cell r="B9999">
            <v>120005</v>
          </cell>
          <cell r="C9999" t="str">
            <v>Evington Valley Primary School</v>
          </cell>
          <cell r="D9999" t="str">
            <v>Leicester</v>
          </cell>
          <cell r="E9999" t="str">
            <v>Community School</v>
          </cell>
          <cell r="F9999" t="str">
            <v>Primary</v>
          </cell>
        </row>
        <row r="10000">
          <cell r="A10000">
            <v>9044066</v>
          </cell>
          <cell r="B10000">
            <v>128350</v>
          </cell>
          <cell r="C10000" t="str">
            <v>Evreham County Secondary School</v>
          </cell>
          <cell r="D10000" t="str">
            <v>Pre LGR (1997) Buckinghamshire</v>
          </cell>
          <cell r="E10000" t="str">
            <v>Community School</v>
          </cell>
          <cell r="F10000" t="str">
            <v>Secondary</v>
          </cell>
        </row>
        <row r="10001">
          <cell r="A10001">
            <v>9092126</v>
          </cell>
          <cell r="B10001">
            <v>112136</v>
          </cell>
          <cell r="C10001" t="str">
            <v>Ewanrigg Junior School</v>
          </cell>
          <cell r="D10001" t="str">
            <v>Cumbria</v>
          </cell>
          <cell r="E10001" t="str">
            <v>Community School</v>
          </cell>
          <cell r="F10001" t="str">
            <v>Primary</v>
          </cell>
        </row>
        <row r="10002">
          <cell r="A10002">
            <v>9366203</v>
          </cell>
          <cell r="B10002">
            <v>125380</v>
          </cell>
          <cell r="C10002" t="str">
            <v>Ewell Castle School</v>
          </cell>
          <cell r="D10002" t="str">
            <v>Surrey</v>
          </cell>
          <cell r="E10002" t="str">
            <v>Other Independent School</v>
          </cell>
          <cell r="F10002" t="str">
            <v>Not applicable</v>
          </cell>
        </row>
        <row r="10003">
          <cell r="A10003">
            <v>9362083</v>
          </cell>
          <cell r="B10003">
            <v>124955</v>
          </cell>
          <cell r="C10003" t="str">
            <v>Ewell Grove Infant and Nursery School</v>
          </cell>
          <cell r="D10003" t="str">
            <v>Surrey</v>
          </cell>
          <cell r="E10003" t="str">
            <v>Community School</v>
          </cell>
          <cell r="F10003" t="str">
            <v>Primary</v>
          </cell>
        </row>
        <row r="10004">
          <cell r="A10004">
            <v>9364042</v>
          </cell>
          <cell r="B10004">
            <v>130096</v>
          </cell>
          <cell r="C10004" t="str">
            <v>Ewell High School</v>
          </cell>
          <cell r="D10004" t="str">
            <v>Surrey</v>
          </cell>
          <cell r="E10004" t="str">
            <v>Community School</v>
          </cell>
          <cell r="F10004" t="str">
            <v>Secondary</v>
          </cell>
        </row>
        <row r="10005">
          <cell r="A10005">
            <v>9313752</v>
          </cell>
          <cell r="B10005">
            <v>123197</v>
          </cell>
          <cell r="C10005" t="str">
            <v>Ewelme CofE Primary School</v>
          </cell>
          <cell r="D10005" t="str">
            <v>Oxfordshire</v>
          </cell>
          <cell r="E10005" t="str">
            <v>Voluntary Aided School</v>
          </cell>
          <cell r="F10005" t="str">
            <v>Primary</v>
          </cell>
        </row>
        <row r="10006">
          <cell r="A10006">
            <v>9363344</v>
          </cell>
          <cell r="B10006">
            <v>125181</v>
          </cell>
          <cell r="C10006" t="str">
            <v>Ewhurst CofE Aided Infant School</v>
          </cell>
          <cell r="D10006" t="str">
            <v>Surrey</v>
          </cell>
          <cell r="E10006" t="str">
            <v>Voluntary Aided School</v>
          </cell>
          <cell r="F10006" t="str">
            <v>Primary</v>
          </cell>
        </row>
        <row r="10007">
          <cell r="A10007">
            <v>3527025</v>
          </cell>
          <cell r="B10007">
            <v>105607</v>
          </cell>
          <cell r="C10007" t="str">
            <v>Ewing School</v>
          </cell>
          <cell r="D10007" t="str">
            <v>Manchester</v>
          </cell>
          <cell r="E10007" t="str">
            <v>Community Special School</v>
          </cell>
          <cell r="F10007" t="str">
            <v>Special</v>
          </cell>
        </row>
        <row r="10008">
          <cell r="A10008">
            <v>9307028</v>
          </cell>
          <cell r="B10008">
            <v>122959</v>
          </cell>
          <cell r="C10008" t="str">
            <v>Ewing School</v>
          </cell>
          <cell r="D10008" t="str">
            <v>Pre LGR (1998) Nottinghamshire</v>
          </cell>
          <cell r="E10008" t="str">
            <v>Community Special School</v>
          </cell>
          <cell r="F10008" t="str">
            <v>Special</v>
          </cell>
        </row>
        <row r="10009">
          <cell r="A10009">
            <v>6642012</v>
          </cell>
          <cell r="B10009">
            <v>400320</v>
          </cell>
          <cell r="C10009" t="str">
            <v>Ewloe Green C.P. School</v>
          </cell>
          <cell r="D10009" t="str">
            <v>Flintshire</v>
          </cell>
          <cell r="E10009" t="str">
            <v>Welsh Establishment</v>
          </cell>
          <cell r="F10009" t="str">
            <v>Primary</v>
          </cell>
        </row>
        <row r="10010">
          <cell r="A10010">
            <v>8842046</v>
          </cell>
          <cell r="B10010">
            <v>116674</v>
          </cell>
          <cell r="C10010" t="str">
            <v>Ewyas Harold Primary School</v>
          </cell>
          <cell r="D10010" t="str">
            <v>Herefordshire</v>
          </cell>
          <cell r="E10010" t="str">
            <v>Community School</v>
          </cell>
          <cell r="F10010" t="str">
            <v>Primary</v>
          </cell>
        </row>
        <row r="10011">
          <cell r="A10011">
            <v>8783153</v>
          </cell>
          <cell r="B10011">
            <v>113410</v>
          </cell>
          <cell r="C10011" t="str">
            <v>Exbourne Church of England Primary School</v>
          </cell>
          <cell r="D10011" t="str">
            <v>Devon</v>
          </cell>
          <cell r="E10011" t="str">
            <v>Voluntary Controlled School</v>
          </cell>
          <cell r="F10011" t="str">
            <v>Primary</v>
          </cell>
        </row>
        <row r="10012">
          <cell r="A10012">
            <v>8952168</v>
          </cell>
          <cell r="B10012">
            <v>111038</v>
          </cell>
          <cell r="C10012" t="str">
            <v>Excalibur Primary School</v>
          </cell>
          <cell r="D10012" t="str">
            <v>Cheshire East</v>
          </cell>
          <cell r="E10012" t="str">
            <v>Foundation School</v>
          </cell>
          <cell r="F10012" t="str">
            <v>Primary</v>
          </cell>
        </row>
        <row r="10013">
          <cell r="A10013">
            <v>3096079</v>
          </cell>
          <cell r="B10013">
            <v>131244</v>
          </cell>
          <cell r="C10013" t="str">
            <v>Excel Preparatory School</v>
          </cell>
          <cell r="D10013" t="str">
            <v>Haringey</v>
          </cell>
          <cell r="E10013" t="str">
            <v>Other Independent School</v>
          </cell>
          <cell r="F10013" t="str">
            <v>Not applicable</v>
          </cell>
        </row>
        <row r="10014">
          <cell r="A10014">
            <v>9256024</v>
          </cell>
          <cell r="B10014">
            <v>120734</v>
          </cell>
          <cell r="C10014" t="str">
            <v>Excell International School</v>
          </cell>
          <cell r="D10014" t="str">
            <v>Lincolnshire</v>
          </cell>
          <cell r="E10014" t="str">
            <v>Other Independent School</v>
          </cell>
          <cell r="F10014" t="str">
            <v>Not applicable</v>
          </cell>
        </row>
        <row r="10015">
          <cell r="A10015">
            <v>2116395</v>
          </cell>
          <cell r="B10015">
            <v>135452</v>
          </cell>
          <cell r="C10015" t="str">
            <v>Excellence Christian School</v>
          </cell>
          <cell r="D10015" t="str">
            <v>Tower Hamlets</v>
          </cell>
          <cell r="E10015" t="str">
            <v>Other Independent School</v>
          </cell>
          <cell r="F10015" t="str">
            <v>Not applicable</v>
          </cell>
        </row>
        <row r="10016">
          <cell r="A10016">
            <v>3916905</v>
          </cell>
          <cell r="B10016">
            <v>135423</v>
          </cell>
          <cell r="C10016" t="str">
            <v>Excelsior Academy</v>
          </cell>
          <cell r="D10016" t="str">
            <v>Newcastle upon Tyne</v>
          </cell>
          <cell r="E10016" t="str">
            <v>Academy Sponsor Led</v>
          </cell>
          <cell r="F10016" t="str">
            <v>Secondary</v>
          </cell>
        </row>
        <row r="10017">
          <cell r="A10017">
            <v>3096076</v>
          </cell>
          <cell r="B10017">
            <v>102174</v>
          </cell>
          <cell r="C10017" t="str">
            <v>Excelsior College</v>
          </cell>
          <cell r="D10017" t="str">
            <v>Haringey</v>
          </cell>
          <cell r="E10017" t="str">
            <v>Other Independent School</v>
          </cell>
          <cell r="F10017" t="str">
            <v>Not applicable</v>
          </cell>
        </row>
        <row r="10018">
          <cell r="A10018">
            <v>8786000</v>
          </cell>
          <cell r="B10018">
            <v>113561</v>
          </cell>
          <cell r="C10018" t="str">
            <v>Exeter Cathedral School</v>
          </cell>
          <cell r="D10018" t="str">
            <v>Devon</v>
          </cell>
          <cell r="E10018" t="str">
            <v>Other Independent School</v>
          </cell>
          <cell r="F10018" t="str">
            <v>Not applicable</v>
          </cell>
        </row>
        <row r="10019">
          <cell r="A10019">
            <v>8783009</v>
          </cell>
          <cell r="B10019">
            <v>113354</v>
          </cell>
          <cell r="C10019" t="str">
            <v>Exeter Central CofE First School</v>
          </cell>
          <cell r="D10019" t="str">
            <v>Devon</v>
          </cell>
          <cell r="E10019" t="str">
            <v>Voluntary Controlled School</v>
          </cell>
          <cell r="F10019" t="str">
            <v>Primary</v>
          </cell>
        </row>
        <row r="10020">
          <cell r="A10020">
            <v>8783007</v>
          </cell>
          <cell r="B10020">
            <v>113352</v>
          </cell>
          <cell r="C10020" t="str">
            <v>Exeter Central CofE Middle School</v>
          </cell>
          <cell r="D10020" t="str">
            <v>Devon</v>
          </cell>
          <cell r="E10020" t="str">
            <v>Voluntary Controlled School</v>
          </cell>
          <cell r="F10020" t="str">
            <v>Middle Deemed Primary</v>
          </cell>
        </row>
        <row r="10021">
          <cell r="A10021">
            <v>8788000</v>
          </cell>
          <cell r="B10021">
            <v>130645</v>
          </cell>
          <cell r="C10021" t="str">
            <v>Exeter College</v>
          </cell>
          <cell r="D10021" t="str">
            <v>Devon</v>
          </cell>
          <cell r="E10021" t="str">
            <v>Further Education</v>
          </cell>
          <cell r="F10021" t="str">
            <v>16 Plus</v>
          </cell>
        </row>
        <row r="10022">
          <cell r="A10022">
            <v>8657008</v>
          </cell>
          <cell r="B10022">
            <v>126551</v>
          </cell>
          <cell r="C10022" t="str">
            <v>Exeter House Special School</v>
          </cell>
          <cell r="D10022" t="str">
            <v>Wiltshire</v>
          </cell>
          <cell r="E10022" t="str">
            <v>Community Special School</v>
          </cell>
          <cell r="F10022" t="str">
            <v>Special</v>
          </cell>
        </row>
        <row r="10023">
          <cell r="A10023">
            <v>9282123</v>
          </cell>
          <cell r="B10023">
            <v>121885</v>
          </cell>
          <cell r="C10023" t="str">
            <v>Exeter Junior School</v>
          </cell>
          <cell r="D10023" t="str">
            <v>Northamptonshire</v>
          </cell>
          <cell r="E10023" t="str">
            <v>Community School</v>
          </cell>
          <cell r="F10023" t="str">
            <v>Primary</v>
          </cell>
        </row>
        <row r="10024">
          <cell r="A10024">
            <v>9282110</v>
          </cell>
          <cell r="B10024">
            <v>121878</v>
          </cell>
          <cell r="C10024" t="str">
            <v>Exeter Primary School</v>
          </cell>
          <cell r="D10024" t="str">
            <v>Northamptonshire</v>
          </cell>
          <cell r="E10024" t="str">
            <v>Community School</v>
          </cell>
          <cell r="F10024" t="str">
            <v>Primary</v>
          </cell>
        </row>
        <row r="10025">
          <cell r="A10025">
            <v>8782043</v>
          </cell>
          <cell r="B10025">
            <v>113095</v>
          </cell>
          <cell r="C10025" t="str">
            <v>Exeter Road Community Primary School</v>
          </cell>
          <cell r="D10025" t="str">
            <v>Devon</v>
          </cell>
          <cell r="E10025" t="str">
            <v>Community School</v>
          </cell>
          <cell r="F10025" t="str">
            <v>Primary</v>
          </cell>
        </row>
        <row r="10026">
          <cell r="A10026">
            <v>8787083</v>
          </cell>
          <cell r="B10026">
            <v>113654</v>
          </cell>
          <cell r="C10026" t="str">
            <v>Exeter Royal Academy for Deaf Education</v>
          </cell>
          <cell r="D10026" t="str">
            <v>Devon</v>
          </cell>
          <cell r="E10026" t="str">
            <v>Non-Maintained Special School</v>
          </cell>
          <cell r="F10026" t="str">
            <v>Special</v>
          </cell>
        </row>
        <row r="10027">
          <cell r="A10027">
            <v>8787906</v>
          </cell>
          <cell r="B10027">
            <v>132001</v>
          </cell>
          <cell r="C10027" t="str">
            <v>Exeter Royal Academy for Deaf Education</v>
          </cell>
          <cell r="D10027" t="str">
            <v>Devon</v>
          </cell>
          <cell r="E10027" t="str">
            <v>Special College</v>
          </cell>
          <cell r="F10027" t="str">
            <v>16 Plus</v>
          </cell>
        </row>
        <row r="10028">
          <cell r="A10028">
            <v>8786033</v>
          </cell>
          <cell r="B10028">
            <v>113607</v>
          </cell>
          <cell r="C10028" t="str">
            <v>Exeter School</v>
          </cell>
          <cell r="D10028" t="str">
            <v>Devon</v>
          </cell>
          <cell r="E10028" t="str">
            <v>Other Independent School</v>
          </cell>
          <cell r="F10028" t="str">
            <v>Not applicable</v>
          </cell>
        </row>
        <row r="10029">
          <cell r="A10029">
            <v>8786212</v>
          </cell>
          <cell r="B10029">
            <v>135686</v>
          </cell>
          <cell r="C10029" t="str">
            <v>Exeter Steiner School</v>
          </cell>
          <cell r="D10029" t="str">
            <v>Devon</v>
          </cell>
          <cell r="E10029" t="str">
            <v>Other Independent School</v>
          </cell>
          <cell r="F10029" t="str">
            <v>Not applicable</v>
          </cell>
        </row>
        <row r="10030">
          <cell r="A10030">
            <v>8786051</v>
          </cell>
          <cell r="B10030">
            <v>113632</v>
          </cell>
          <cell r="C10030" t="str">
            <v>Exeter Tutorial College</v>
          </cell>
          <cell r="D10030" t="str">
            <v>Devon</v>
          </cell>
          <cell r="E10030" t="str">
            <v>Other Independent School</v>
          </cell>
          <cell r="F10030" t="str">
            <v>Not applicable</v>
          </cell>
        </row>
        <row r="10031">
          <cell r="A10031">
            <v>9116138</v>
          </cell>
          <cell r="B10031">
            <v>128754</v>
          </cell>
          <cell r="C10031" t="str">
            <v>Exeter Tutorial College</v>
          </cell>
          <cell r="D10031" t="str">
            <v>Pre LGR (1998) Devon</v>
          </cell>
          <cell r="E10031" t="str">
            <v>Other Independent School</v>
          </cell>
          <cell r="F10031" t="str">
            <v>Not applicable</v>
          </cell>
        </row>
        <row r="10032">
          <cell r="A10032">
            <v>9333048</v>
          </cell>
          <cell r="B10032">
            <v>123756</v>
          </cell>
          <cell r="C10032" t="str">
            <v>Exford Church of England First School</v>
          </cell>
          <cell r="D10032" t="str">
            <v>Somerset</v>
          </cell>
          <cell r="E10032" t="str">
            <v>Voluntary Controlled School</v>
          </cell>
          <cell r="F10032" t="str">
            <v>Primary</v>
          </cell>
        </row>
        <row r="10033">
          <cell r="A10033">
            <v>9372635</v>
          </cell>
          <cell r="B10033">
            <v>130898</v>
          </cell>
          <cell r="C10033" t="str">
            <v>Exhall Cedars Infant School</v>
          </cell>
          <cell r="D10033" t="str">
            <v>Warwickshire</v>
          </cell>
          <cell r="E10033" t="str">
            <v>Community School</v>
          </cell>
          <cell r="F10033" t="str">
            <v>Primary</v>
          </cell>
        </row>
        <row r="10034">
          <cell r="A10034">
            <v>9372020</v>
          </cell>
          <cell r="B10034">
            <v>125509</v>
          </cell>
          <cell r="C10034" t="str">
            <v>Exhall First School</v>
          </cell>
          <cell r="D10034" t="str">
            <v>Warwickshire</v>
          </cell>
          <cell r="E10034" t="str">
            <v>Community School</v>
          </cell>
          <cell r="F10034" t="str">
            <v>Primary</v>
          </cell>
        </row>
        <row r="10035">
          <cell r="A10035">
            <v>9377000</v>
          </cell>
          <cell r="B10035">
            <v>125794</v>
          </cell>
          <cell r="C10035" t="str">
            <v>Exhall Grange School and Science College</v>
          </cell>
          <cell r="D10035" t="str">
            <v>Warwickshire</v>
          </cell>
          <cell r="E10035" t="str">
            <v>Community Special School</v>
          </cell>
          <cell r="F10035" t="str">
            <v>Special</v>
          </cell>
        </row>
        <row r="10036">
          <cell r="A10036">
            <v>8782420</v>
          </cell>
          <cell r="B10036">
            <v>113201</v>
          </cell>
          <cell r="C10036" t="str">
            <v>Exminster Community Primary</v>
          </cell>
          <cell r="D10036" t="str">
            <v>Devon</v>
          </cell>
          <cell r="E10036" t="str">
            <v>Community School</v>
          </cell>
          <cell r="F10036" t="str">
            <v>Primary</v>
          </cell>
        </row>
        <row r="10037">
          <cell r="A10037">
            <v>8784012</v>
          </cell>
          <cell r="B10037">
            <v>113504</v>
          </cell>
          <cell r="C10037" t="str">
            <v>Exmouth Community College</v>
          </cell>
          <cell r="D10037" t="str">
            <v>Devon</v>
          </cell>
          <cell r="E10037" t="str">
            <v>Community School</v>
          </cell>
          <cell r="F10037" t="str">
            <v>Secondary</v>
          </cell>
        </row>
        <row r="10038">
          <cell r="A10038">
            <v>8784012</v>
          </cell>
          <cell r="B10038">
            <v>136612</v>
          </cell>
          <cell r="C10038" t="str">
            <v>Exmouth Community College</v>
          </cell>
          <cell r="D10038" t="str">
            <v>Devon</v>
          </cell>
          <cell r="E10038" t="str">
            <v>Academy Converters</v>
          </cell>
          <cell r="F10038" t="str">
            <v>Secondary</v>
          </cell>
        </row>
        <row r="10039">
          <cell r="A10039">
            <v>9352021</v>
          </cell>
          <cell r="B10039">
            <v>124544</v>
          </cell>
          <cell r="C10039" t="str">
            <v>Exning Primary School</v>
          </cell>
          <cell r="D10039" t="str">
            <v>Suffolk</v>
          </cell>
          <cell r="E10039" t="str">
            <v>Community School</v>
          </cell>
          <cell r="F10039" t="str">
            <v>Primary</v>
          </cell>
        </row>
        <row r="10040">
          <cell r="A10040">
            <v>8266009</v>
          </cell>
          <cell r="B10040">
            <v>134394</v>
          </cell>
          <cell r="C10040" t="str">
            <v>Extended Training</v>
          </cell>
          <cell r="D10040" t="str">
            <v>Milton Keynes</v>
          </cell>
          <cell r="E10040" t="str">
            <v>Other Independent School</v>
          </cell>
          <cell r="F10040" t="str">
            <v>Not applicable</v>
          </cell>
        </row>
        <row r="10041">
          <cell r="A10041">
            <v>8573112</v>
          </cell>
          <cell r="B10041">
            <v>120178</v>
          </cell>
          <cell r="C10041" t="str">
            <v>Exton CofE Primary School</v>
          </cell>
          <cell r="D10041" t="str">
            <v>Rutland</v>
          </cell>
          <cell r="E10041" t="str">
            <v>Voluntary Controlled School</v>
          </cell>
          <cell r="F10041" t="str">
            <v>Primary</v>
          </cell>
        </row>
        <row r="10042">
          <cell r="A10042">
            <v>341941</v>
          </cell>
          <cell r="B10042">
            <v>133613</v>
          </cell>
          <cell r="C10042" t="str">
            <v>Extra Time</v>
          </cell>
          <cell r="D10042" t="str">
            <v>Liverpool</v>
          </cell>
          <cell r="E10042" t="str">
            <v>Playing for Success Centres</v>
          </cell>
          <cell r="F10042" t="str">
            <v>Not applicable</v>
          </cell>
        </row>
        <row r="10043">
          <cell r="A10043">
            <v>882940</v>
          </cell>
          <cell r="B10043">
            <v>134951</v>
          </cell>
          <cell r="C10043" t="str">
            <v>Extra Time @ Sufc Study Support Centre</v>
          </cell>
          <cell r="D10043" t="str">
            <v>Southend-on-Sea</v>
          </cell>
          <cell r="E10043" t="str">
            <v>Playing for Success Centres</v>
          </cell>
          <cell r="F10043" t="str">
            <v>Not applicable</v>
          </cell>
        </row>
        <row r="10044">
          <cell r="A10044">
            <v>8782022</v>
          </cell>
          <cell r="B10044">
            <v>134172</v>
          </cell>
          <cell r="C10044" t="str">
            <v>Exwick Heights Primary School</v>
          </cell>
          <cell r="D10044" t="str">
            <v>Devon</v>
          </cell>
          <cell r="E10044" t="str">
            <v>Community School</v>
          </cell>
          <cell r="F10044" t="str">
            <v>Primary</v>
          </cell>
        </row>
        <row r="10045">
          <cell r="A10045">
            <v>8782086</v>
          </cell>
          <cell r="B10045">
            <v>113121</v>
          </cell>
          <cell r="C10045" t="str">
            <v>Exwick Middle School</v>
          </cell>
          <cell r="D10045" t="str">
            <v>Devon</v>
          </cell>
          <cell r="E10045" t="str">
            <v>Community School</v>
          </cell>
          <cell r="F10045" t="str">
            <v>Middle Deemed Primary</v>
          </cell>
        </row>
        <row r="10046">
          <cell r="A10046">
            <v>8303034</v>
          </cell>
          <cell r="B10046">
            <v>112816</v>
          </cell>
          <cell r="C10046" t="str">
            <v>Eyam CofE Primary School</v>
          </cell>
          <cell r="D10046" t="str">
            <v>Derbyshire</v>
          </cell>
          <cell r="E10046" t="str">
            <v>Voluntary Controlled School</v>
          </cell>
          <cell r="F10046" t="str">
            <v>Primary</v>
          </cell>
        </row>
        <row r="10047">
          <cell r="A10047">
            <v>8743079</v>
          </cell>
          <cell r="B10047">
            <v>110825</v>
          </cell>
          <cell r="C10047" t="str">
            <v>Eye CofE Primary School</v>
          </cell>
          <cell r="D10047" t="str">
            <v>Peterborough</v>
          </cell>
          <cell r="E10047" t="str">
            <v>Voluntary Controlled School</v>
          </cell>
          <cell r="F10047" t="str">
            <v>Primary</v>
          </cell>
        </row>
        <row r="10048">
          <cell r="A10048">
            <v>9353086</v>
          </cell>
          <cell r="B10048">
            <v>124730</v>
          </cell>
          <cell r="C10048" t="str">
            <v>Eyke Church of England Voluntary Controlled Primary School</v>
          </cell>
          <cell r="D10048" t="str">
            <v>Suffolk</v>
          </cell>
          <cell r="E10048" t="str">
            <v>Voluntary Controlled School</v>
          </cell>
          <cell r="F10048" t="str">
            <v>Primary</v>
          </cell>
        </row>
        <row r="10049">
          <cell r="A10049">
            <v>9226293</v>
          </cell>
          <cell r="B10049">
            <v>118982</v>
          </cell>
          <cell r="C10049" t="str">
            <v>Eylesden Court Preparatory School</v>
          </cell>
          <cell r="D10049" t="str">
            <v>Pre LGR (1998) Kent</v>
          </cell>
          <cell r="E10049" t="str">
            <v>Other Independent School</v>
          </cell>
          <cell r="F10049" t="str">
            <v>Not applicable</v>
          </cell>
        </row>
        <row r="10050">
          <cell r="A10050">
            <v>8733074</v>
          </cell>
          <cell r="B10050">
            <v>110820</v>
          </cell>
          <cell r="C10050" t="str">
            <v>Eynesbury CofE C Primary School</v>
          </cell>
          <cell r="D10050" t="str">
            <v>Cambridgeshire</v>
          </cell>
          <cell r="E10050" t="str">
            <v>Voluntary Controlled School</v>
          </cell>
          <cell r="F10050" t="str">
            <v>Primary</v>
          </cell>
        </row>
        <row r="10051">
          <cell r="A10051">
            <v>9312209</v>
          </cell>
          <cell r="B10051">
            <v>123010</v>
          </cell>
          <cell r="C10051" t="str">
            <v>Eynsham Community Primary School</v>
          </cell>
          <cell r="D10051" t="str">
            <v>Oxfordshire</v>
          </cell>
          <cell r="E10051" t="str">
            <v>Community School</v>
          </cell>
          <cell r="F10051" t="str">
            <v>Primary</v>
          </cell>
        </row>
        <row r="10052">
          <cell r="A10052">
            <v>8562344</v>
          </cell>
          <cell r="B10052">
            <v>120069</v>
          </cell>
          <cell r="C10052" t="str">
            <v>Eyres Monsell Primary School</v>
          </cell>
          <cell r="D10052" t="str">
            <v>Leicester</v>
          </cell>
          <cell r="E10052" t="str">
            <v>Community School</v>
          </cell>
          <cell r="F10052" t="str">
            <v>Primary</v>
          </cell>
        </row>
        <row r="10053">
          <cell r="A10053">
            <v>9052292</v>
          </cell>
          <cell r="B10053">
            <v>128381</v>
          </cell>
          <cell r="C10053" t="str">
            <v>Eyrescroft Infant School</v>
          </cell>
          <cell r="D10053" t="str">
            <v>Pre LGR (1998) Cambridgeshire</v>
          </cell>
          <cell r="E10053" t="str">
            <v>Community School</v>
          </cell>
          <cell r="F10053" t="str">
            <v>Primary</v>
          </cell>
        </row>
        <row r="10054">
          <cell r="A10054">
            <v>9052291</v>
          </cell>
          <cell r="B10054">
            <v>128380</v>
          </cell>
          <cell r="C10054" t="str">
            <v>Eyrescroft Junior School</v>
          </cell>
          <cell r="D10054" t="str">
            <v>Pre LGR (1998) Cambridgeshire</v>
          </cell>
          <cell r="E10054" t="str">
            <v>Community School</v>
          </cell>
          <cell r="F10054" t="str">
            <v>Primary</v>
          </cell>
        </row>
        <row r="10055">
          <cell r="A10055">
            <v>8742337</v>
          </cell>
          <cell r="B10055">
            <v>110767</v>
          </cell>
          <cell r="C10055" t="str">
            <v>Eyrescroft Primary School</v>
          </cell>
          <cell r="D10055" t="str">
            <v>Peterborough</v>
          </cell>
          <cell r="E10055" t="str">
            <v>Community School</v>
          </cell>
          <cell r="F10055" t="str">
            <v>Primary</v>
          </cell>
        </row>
        <row r="10056">
          <cell r="A10056">
            <v>8862320</v>
          </cell>
          <cell r="B10056">
            <v>118399</v>
          </cell>
          <cell r="C10056" t="str">
            <v>Eythorne Elvington Community Primary School</v>
          </cell>
          <cell r="D10056" t="str">
            <v>Kent</v>
          </cell>
          <cell r="E10056" t="str">
            <v>Community School</v>
          </cell>
          <cell r="F10056" t="str">
            <v>Primary</v>
          </cell>
        </row>
        <row r="10057">
          <cell r="A10057">
            <v>6653042</v>
          </cell>
          <cell r="B10057">
            <v>400448</v>
          </cell>
          <cell r="C10057" t="str">
            <v>Eyton CIW Voluntary Controlled Primary School</v>
          </cell>
          <cell r="D10057" t="str">
            <v>Wrexham</v>
          </cell>
          <cell r="E10057" t="str">
            <v>Welsh Establishment</v>
          </cell>
          <cell r="F10057" t="str">
            <v>Primary</v>
          </cell>
        </row>
        <row r="10058">
          <cell r="A10058">
            <v>6816092</v>
          </cell>
          <cell r="B10058">
            <v>402131</v>
          </cell>
          <cell r="C10058" t="str">
            <v>Face to Face</v>
          </cell>
          <cell r="D10058" t="str">
            <v>Cardiff</v>
          </cell>
          <cell r="E10058" t="str">
            <v>Welsh Establishment</v>
          </cell>
          <cell r="F10058" t="str">
            <v>Not applicable</v>
          </cell>
        </row>
        <row r="10059">
          <cell r="A10059">
            <v>3802103</v>
          </cell>
          <cell r="B10059">
            <v>107249</v>
          </cell>
          <cell r="C10059" t="str">
            <v>Fagley Primary School</v>
          </cell>
          <cell r="D10059" t="str">
            <v>Bradford</v>
          </cell>
          <cell r="E10059" t="str">
            <v>Community School</v>
          </cell>
          <cell r="F10059" t="str">
            <v>Primary</v>
          </cell>
        </row>
        <row r="10060">
          <cell r="A10060">
            <v>3534023</v>
          </cell>
          <cell r="B10060">
            <v>105735</v>
          </cell>
          <cell r="C10060" t="str">
            <v>Failsworth School</v>
          </cell>
          <cell r="D10060" t="str">
            <v>Oldham</v>
          </cell>
          <cell r="E10060" t="str">
            <v>Foundation School</v>
          </cell>
          <cell r="F10060" t="str">
            <v>Secondary</v>
          </cell>
        </row>
        <row r="10061">
          <cell r="A10061">
            <v>9195212</v>
          </cell>
          <cell r="B10061">
            <v>117228</v>
          </cell>
          <cell r="C10061" t="str">
            <v>Fair Field Junior School</v>
          </cell>
          <cell r="D10061" t="str">
            <v>Hertfordshire</v>
          </cell>
          <cell r="E10061" t="str">
            <v>Foundation School</v>
          </cell>
          <cell r="F10061" t="str">
            <v>Primary</v>
          </cell>
        </row>
        <row r="10062">
          <cell r="A10062">
            <v>8012326</v>
          </cell>
          <cell r="B10062">
            <v>109130</v>
          </cell>
          <cell r="C10062" t="str">
            <v>Fair Furlong Primary School</v>
          </cell>
          <cell r="D10062" t="str">
            <v>Bristol City of</v>
          </cell>
          <cell r="E10062" t="str">
            <v>Community School</v>
          </cell>
          <cell r="F10062" t="str">
            <v>Primary</v>
          </cell>
        </row>
        <row r="10063">
          <cell r="A10063">
            <v>8766002</v>
          </cell>
          <cell r="B10063">
            <v>131562</v>
          </cell>
          <cell r="C10063" t="str">
            <v>Fair Holme</v>
          </cell>
          <cell r="D10063" t="str">
            <v>Halton</v>
          </cell>
          <cell r="E10063" t="str">
            <v>Other Independent Special School</v>
          </cell>
          <cell r="F10063" t="str">
            <v>Not applicable</v>
          </cell>
        </row>
        <row r="10064">
          <cell r="A10064">
            <v>8604002</v>
          </cell>
          <cell r="B10064">
            <v>137100</v>
          </cell>
          <cell r="C10064" t="str">
            <v>Fair Oak Academy</v>
          </cell>
          <cell r="D10064" t="str">
            <v>Staffordshire</v>
          </cell>
          <cell r="E10064" t="str">
            <v>Academy Sponsor Led</v>
          </cell>
          <cell r="F10064" t="str">
            <v>Secondary</v>
          </cell>
        </row>
        <row r="10065">
          <cell r="A10065">
            <v>8604171</v>
          </cell>
          <cell r="B10065">
            <v>124438</v>
          </cell>
          <cell r="C10065" t="str">
            <v>Fair Oak Business and Enterprise College</v>
          </cell>
          <cell r="D10065" t="str">
            <v>Staffordshire</v>
          </cell>
          <cell r="E10065" t="str">
            <v>Community School</v>
          </cell>
          <cell r="F10065" t="str">
            <v>Secondary</v>
          </cell>
        </row>
        <row r="10066">
          <cell r="A10066">
            <v>8502071</v>
          </cell>
          <cell r="B10066">
            <v>115891</v>
          </cell>
          <cell r="C10066" t="str">
            <v>Fair Oak Infant School</v>
          </cell>
          <cell r="D10066" t="str">
            <v>Hampshire</v>
          </cell>
          <cell r="E10066" t="str">
            <v>Community School</v>
          </cell>
          <cell r="F10066" t="str">
            <v>Primary</v>
          </cell>
        </row>
        <row r="10067">
          <cell r="A10067">
            <v>8502263</v>
          </cell>
          <cell r="B10067">
            <v>115997</v>
          </cell>
          <cell r="C10067" t="str">
            <v>Fair Oak Junior School</v>
          </cell>
          <cell r="D10067" t="str">
            <v>Hampshire</v>
          </cell>
          <cell r="E10067" t="str">
            <v>Community School</v>
          </cell>
          <cell r="F10067" t="str">
            <v>Primary</v>
          </cell>
        </row>
        <row r="10068">
          <cell r="A10068">
            <v>8872437</v>
          </cell>
          <cell r="B10068">
            <v>118440</v>
          </cell>
          <cell r="C10068" t="str">
            <v>Fair View Community Infant School</v>
          </cell>
          <cell r="D10068" t="str">
            <v>Medway</v>
          </cell>
          <cell r="E10068" t="str">
            <v>Community School</v>
          </cell>
          <cell r="F10068" t="str">
            <v>Primary</v>
          </cell>
        </row>
        <row r="10069">
          <cell r="A10069">
            <v>8872426</v>
          </cell>
          <cell r="B10069">
            <v>118435</v>
          </cell>
          <cell r="C10069" t="str">
            <v>Fair View Community Junior School</v>
          </cell>
          <cell r="D10069" t="str">
            <v>Medway</v>
          </cell>
          <cell r="E10069" t="str">
            <v>Community School</v>
          </cell>
          <cell r="F10069" t="str">
            <v>Primary</v>
          </cell>
        </row>
        <row r="10070">
          <cell r="A10070">
            <v>8152320</v>
          </cell>
          <cell r="B10070">
            <v>121390</v>
          </cell>
          <cell r="C10070" t="str">
            <v>Fairburn Community Primary School</v>
          </cell>
          <cell r="D10070" t="str">
            <v>North Yorkshire</v>
          </cell>
          <cell r="E10070" t="str">
            <v>Community School</v>
          </cell>
          <cell r="F10070" t="str">
            <v>Primary</v>
          </cell>
        </row>
        <row r="10071">
          <cell r="A10071">
            <v>3062103</v>
          </cell>
          <cell r="B10071">
            <v>101784</v>
          </cell>
          <cell r="C10071" t="str">
            <v>Fairchildes Primary School</v>
          </cell>
          <cell r="D10071" t="str">
            <v>Croydon</v>
          </cell>
          <cell r="E10071" t="str">
            <v>Community School</v>
          </cell>
          <cell r="F10071" t="str">
            <v>Primary</v>
          </cell>
        </row>
        <row r="10072">
          <cell r="A10072">
            <v>3017000</v>
          </cell>
          <cell r="B10072">
            <v>101248</v>
          </cell>
          <cell r="C10072" t="str">
            <v>Faircross School</v>
          </cell>
          <cell r="D10072" t="str">
            <v>Barking and Dagenham</v>
          </cell>
          <cell r="E10072" t="str">
            <v>Community Special School</v>
          </cell>
          <cell r="F10072" t="str">
            <v>Special</v>
          </cell>
        </row>
        <row r="10073">
          <cell r="A10073">
            <v>3305410</v>
          </cell>
          <cell r="B10073">
            <v>103557</v>
          </cell>
          <cell r="C10073" t="str">
            <v>Fairfax School</v>
          </cell>
          <cell r="D10073" t="str">
            <v>Birmingham</v>
          </cell>
          <cell r="E10073" t="str">
            <v>Foundation School</v>
          </cell>
          <cell r="F10073" t="str">
            <v>Secondary</v>
          </cell>
        </row>
        <row r="10074">
          <cell r="A10074">
            <v>3305410</v>
          </cell>
          <cell r="B10074">
            <v>136908</v>
          </cell>
          <cell r="C10074" t="str">
            <v>Fairfax School</v>
          </cell>
          <cell r="D10074" t="str">
            <v>Birmingham</v>
          </cell>
          <cell r="E10074" t="str">
            <v>Academy Converters</v>
          </cell>
          <cell r="F10074" t="str">
            <v>Secondary</v>
          </cell>
        </row>
        <row r="10075">
          <cell r="A10075">
            <v>3512006</v>
          </cell>
          <cell r="B10075">
            <v>105287</v>
          </cell>
          <cell r="C10075" t="str">
            <v>Fairfield Community Primary School</v>
          </cell>
          <cell r="D10075" t="str">
            <v>Bury</v>
          </cell>
          <cell r="E10075" t="str">
            <v>Community School</v>
          </cell>
          <cell r="F10075" t="str">
            <v>Primary</v>
          </cell>
        </row>
        <row r="10076">
          <cell r="A10076">
            <v>8552158</v>
          </cell>
          <cell r="B10076">
            <v>119969</v>
          </cell>
          <cell r="C10076" t="str">
            <v>Fairfield Community Primary School</v>
          </cell>
          <cell r="D10076" t="str">
            <v>Leicestershire</v>
          </cell>
          <cell r="E10076" t="str">
            <v>Community School</v>
          </cell>
          <cell r="F10076" t="str">
            <v>Primary</v>
          </cell>
        </row>
        <row r="10077">
          <cell r="A10077">
            <v>8303019</v>
          </cell>
          <cell r="B10077">
            <v>112806</v>
          </cell>
          <cell r="C10077" t="str">
            <v>Fairfield Endowed CofE (C) Junior School</v>
          </cell>
          <cell r="D10077" t="str">
            <v>Derbyshire</v>
          </cell>
          <cell r="E10077" t="str">
            <v>Voluntary Controlled School</v>
          </cell>
          <cell r="F10077" t="str">
            <v>Primary</v>
          </cell>
        </row>
        <row r="10078">
          <cell r="A10078">
            <v>9337904</v>
          </cell>
          <cell r="B10078">
            <v>131875</v>
          </cell>
          <cell r="C10078" t="str">
            <v>Fairfield Farm College</v>
          </cell>
          <cell r="D10078" t="str">
            <v>Somerset</v>
          </cell>
          <cell r="E10078" t="str">
            <v>Special College</v>
          </cell>
          <cell r="F10078" t="str">
            <v>16 Plus</v>
          </cell>
        </row>
        <row r="10079">
          <cell r="A10079">
            <v>8852047</v>
          </cell>
          <cell r="B10079">
            <v>116675</v>
          </cell>
          <cell r="C10079" t="str">
            <v>Fairfield First School</v>
          </cell>
          <cell r="D10079" t="str">
            <v>Worcestershire</v>
          </cell>
          <cell r="E10079" t="str">
            <v>Community School</v>
          </cell>
          <cell r="F10079" t="str">
            <v>Primary</v>
          </cell>
        </row>
        <row r="10080">
          <cell r="A10080">
            <v>9202334</v>
          </cell>
          <cell r="B10080">
            <v>129229</v>
          </cell>
          <cell r="C10080" t="str">
            <v>Fairfield First School</v>
          </cell>
          <cell r="D10080" t="str">
            <v>Pre LGR (1996) Humberside</v>
          </cell>
          <cell r="E10080" t="str">
            <v>Community School</v>
          </cell>
          <cell r="F10080" t="str">
            <v>Primary</v>
          </cell>
        </row>
        <row r="10081">
          <cell r="A10081">
            <v>8014101</v>
          </cell>
          <cell r="B10081">
            <v>109290</v>
          </cell>
          <cell r="C10081" t="str">
            <v>Fairfield High School</v>
          </cell>
          <cell r="D10081" t="str">
            <v>Bristol City of</v>
          </cell>
          <cell r="E10081" t="str">
            <v>Community School</v>
          </cell>
          <cell r="F10081" t="str">
            <v>Secondary</v>
          </cell>
        </row>
        <row r="10082">
          <cell r="A10082">
            <v>8764203</v>
          </cell>
          <cell r="B10082">
            <v>111432</v>
          </cell>
          <cell r="C10082" t="str">
            <v>Fairfield High School</v>
          </cell>
          <cell r="D10082" t="str">
            <v>Halton</v>
          </cell>
          <cell r="E10082" t="str">
            <v>Community School</v>
          </cell>
          <cell r="F10082" t="str">
            <v>Secondary</v>
          </cell>
        </row>
        <row r="10083">
          <cell r="A10083">
            <v>8844032</v>
          </cell>
          <cell r="B10083">
            <v>116944</v>
          </cell>
          <cell r="C10083" t="str">
            <v>Fairfield High School</v>
          </cell>
          <cell r="D10083" t="str">
            <v>Herefordshire</v>
          </cell>
          <cell r="E10083" t="str">
            <v>Community School</v>
          </cell>
          <cell r="F10083" t="str">
            <v>Secondary</v>
          </cell>
        </row>
        <row r="10084">
          <cell r="A10084">
            <v>3575402</v>
          </cell>
          <cell r="B10084">
            <v>106275</v>
          </cell>
          <cell r="C10084" t="str">
            <v>Fairfield High School for Girls</v>
          </cell>
          <cell r="D10084" t="str">
            <v>Tameside</v>
          </cell>
          <cell r="E10084" t="str">
            <v>Foundation School</v>
          </cell>
          <cell r="F10084" t="str">
            <v>Secondary</v>
          </cell>
        </row>
        <row r="10085">
          <cell r="A10085">
            <v>3575402</v>
          </cell>
          <cell r="B10085">
            <v>136593</v>
          </cell>
          <cell r="C10085" t="str">
            <v>Fairfield High School for Girls</v>
          </cell>
          <cell r="D10085" t="str">
            <v>Tameside</v>
          </cell>
          <cell r="E10085" t="str">
            <v>Academy Converters</v>
          </cell>
          <cell r="F10085" t="str">
            <v>Secondary</v>
          </cell>
        </row>
        <row r="10086">
          <cell r="A10086">
            <v>3586019</v>
          </cell>
          <cell r="B10086">
            <v>136239</v>
          </cell>
          <cell r="C10086" t="str">
            <v>Fairfield House School</v>
          </cell>
          <cell r="D10086" t="str">
            <v>Trafford</v>
          </cell>
          <cell r="E10086" t="str">
            <v>Other Independent Special School</v>
          </cell>
          <cell r="F10086" t="str">
            <v>Not applicable</v>
          </cell>
        </row>
        <row r="10087">
          <cell r="A10087">
            <v>8302362</v>
          </cell>
          <cell r="B10087">
            <v>112699</v>
          </cell>
          <cell r="C10087" t="str">
            <v>Fairfield Infant and Nursery School</v>
          </cell>
          <cell r="D10087" t="str">
            <v>Derbyshire</v>
          </cell>
          <cell r="E10087" t="str">
            <v>Community School</v>
          </cell>
          <cell r="F10087" t="str">
            <v>Primary</v>
          </cell>
        </row>
        <row r="10088">
          <cell r="A10088">
            <v>8762407</v>
          </cell>
          <cell r="B10088">
            <v>111184</v>
          </cell>
          <cell r="C10088" t="str">
            <v>Fairfield Infant School</v>
          </cell>
          <cell r="D10088" t="str">
            <v>Halton</v>
          </cell>
          <cell r="E10088" t="str">
            <v>Community School</v>
          </cell>
          <cell r="F10088" t="str">
            <v>Primary</v>
          </cell>
        </row>
        <row r="10089">
          <cell r="A10089">
            <v>8082050</v>
          </cell>
          <cell r="B10089">
            <v>111546</v>
          </cell>
          <cell r="C10089" t="str">
            <v>Fairfield Infant School</v>
          </cell>
          <cell r="D10089" t="str">
            <v>Stockton-on-Tees</v>
          </cell>
          <cell r="E10089" t="str">
            <v>Community School</v>
          </cell>
          <cell r="F10089" t="str">
            <v>Primary</v>
          </cell>
        </row>
        <row r="10090">
          <cell r="A10090">
            <v>9092107</v>
          </cell>
          <cell r="B10090">
            <v>112131</v>
          </cell>
          <cell r="C10090" t="str">
            <v>Fairfield Infant School</v>
          </cell>
          <cell r="D10090" t="str">
            <v>Cumbria</v>
          </cell>
          <cell r="E10090" t="str">
            <v>Community School</v>
          </cell>
          <cell r="F10090" t="str">
            <v>Primary</v>
          </cell>
        </row>
        <row r="10091">
          <cell r="A10091">
            <v>8502095</v>
          </cell>
          <cell r="B10091">
            <v>115904</v>
          </cell>
          <cell r="C10091" t="str">
            <v>Fairfield Infant School</v>
          </cell>
          <cell r="D10091" t="str">
            <v>Hampshire</v>
          </cell>
          <cell r="E10091" t="str">
            <v>Community School</v>
          </cell>
          <cell r="F10091" t="str">
            <v>Primary</v>
          </cell>
        </row>
        <row r="10092">
          <cell r="A10092">
            <v>9352076</v>
          </cell>
          <cell r="B10092">
            <v>124582</v>
          </cell>
          <cell r="C10092" t="str">
            <v>Fairfield Infant School</v>
          </cell>
          <cell r="D10092" t="str">
            <v>Suffolk</v>
          </cell>
          <cell r="E10092" t="str">
            <v>Community School</v>
          </cell>
          <cell r="F10092" t="str">
            <v>Primary</v>
          </cell>
        </row>
        <row r="10093">
          <cell r="A10093">
            <v>8762425</v>
          </cell>
          <cell r="B10093">
            <v>111197</v>
          </cell>
          <cell r="C10093" t="str">
            <v>Fairfield Junior School</v>
          </cell>
          <cell r="D10093" t="str">
            <v>Halton</v>
          </cell>
          <cell r="E10093" t="str">
            <v>Community School</v>
          </cell>
          <cell r="F10093" t="str">
            <v>Primary</v>
          </cell>
        </row>
        <row r="10094">
          <cell r="A10094">
            <v>8082049</v>
          </cell>
          <cell r="B10094">
            <v>111545</v>
          </cell>
          <cell r="C10094" t="str">
            <v>Fairfield Junior School</v>
          </cell>
          <cell r="D10094" t="str">
            <v>Stockton-on-Tees</v>
          </cell>
          <cell r="E10094" t="str">
            <v>Community School</v>
          </cell>
          <cell r="F10094" t="str">
            <v>Primary</v>
          </cell>
        </row>
        <row r="10095">
          <cell r="A10095">
            <v>9092106</v>
          </cell>
          <cell r="B10095">
            <v>112130</v>
          </cell>
          <cell r="C10095" t="str">
            <v>Fairfield Junior School</v>
          </cell>
          <cell r="D10095" t="str">
            <v>Cumbria</v>
          </cell>
          <cell r="E10095" t="str">
            <v>Community School</v>
          </cell>
          <cell r="F10095" t="str">
            <v>Primary</v>
          </cell>
        </row>
        <row r="10096">
          <cell r="A10096">
            <v>7052201</v>
          </cell>
          <cell r="B10096">
            <v>132528</v>
          </cell>
          <cell r="C10096" t="str">
            <v>Fairfield Junior School</v>
          </cell>
          <cell r="D10096" t="str">
            <v>Isle of Man Offshore Establishments</v>
          </cell>
          <cell r="E10096" t="str">
            <v>Offshore Schools</v>
          </cell>
          <cell r="F10096" t="str">
            <v>Not applicable</v>
          </cell>
        </row>
        <row r="10097">
          <cell r="A10097">
            <v>9202331</v>
          </cell>
          <cell r="B10097">
            <v>129226</v>
          </cell>
          <cell r="C10097" t="str">
            <v>Fairfield Middle School</v>
          </cell>
          <cell r="D10097" t="str">
            <v>Pre LGR (1996) Humberside</v>
          </cell>
          <cell r="E10097" t="str">
            <v>Community School</v>
          </cell>
          <cell r="F10097" t="str">
            <v>Middle Deemed Primary</v>
          </cell>
        </row>
        <row r="10098">
          <cell r="A10098">
            <v>9336180</v>
          </cell>
          <cell r="B10098">
            <v>129858</v>
          </cell>
          <cell r="C10098" t="str">
            <v>Fairfield Montessori School</v>
          </cell>
          <cell r="D10098" t="str">
            <v>Somerset</v>
          </cell>
          <cell r="E10098" t="str">
            <v>Other Independent School</v>
          </cell>
          <cell r="F10098" t="str">
            <v>Not applicable</v>
          </cell>
        </row>
        <row r="10099">
          <cell r="A10099">
            <v>3141000</v>
          </cell>
          <cell r="B10099">
            <v>102559</v>
          </cell>
          <cell r="C10099" t="str">
            <v>Fairfield Nursery School</v>
          </cell>
          <cell r="D10099" t="str">
            <v>Kingston upon Thames</v>
          </cell>
          <cell r="E10099" t="str">
            <v>LA Nursery School</v>
          </cell>
          <cell r="F10099" t="str">
            <v>Nursery</v>
          </cell>
        </row>
        <row r="10100">
          <cell r="A10100">
            <v>8881024</v>
          </cell>
          <cell r="B10100">
            <v>119086</v>
          </cell>
          <cell r="C10100" t="str">
            <v>Fairfield Nursery School</v>
          </cell>
          <cell r="D10100" t="str">
            <v>Lancashire</v>
          </cell>
          <cell r="E10100" t="str">
            <v>LA Nursery School</v>
          </cell>
          <cell r="F10100" t="str">
            <v>Nursery</v>
          </cell>
        </row>
        <row r="10101">
          <cell r="A10101">
            <v>8233351</v>
          </cell>
          <cell r="B10101">
            <v>135021</v>
          </cell>
          <cell r="C10101" t="str">
            <v>Fairfield Park Lower School</v>
          </cell>
          <cell r="D10101" t="str">
            <v>Central Bedfordshire</v>
          </cell>
          <cell r="E10101" t="str">
            <v>Community School</v>
          </cell>
          <cell r="F10101" t="str">
            <v>Primary</v>
          </cell>
        </row>
        <row r="10102">
          <cell r="A10102">
            <v>8556000</v>
          </cell>
          <cell r="B10102">
            <v>120344</v>
          </cell>
          <cell r="C10102" t="str">
            <v>Fairfield Preparatory School</v>
          </cell>
          <cell r="D10102" t="str">
            <v>Leicestershire</v>
          </cell>
          <cell r="E10102" t="str">
            <v>Other Independent School</v>
          </cell>
          <cell r="F10102" t="str">
            <v>Not applicable</v>
          </cell>
        </row>
        <row r="10103">
          <cell r="A10103">
            <v>9356017</v>
          </cell>
          <cell r="B10103">
            <v>124871</v>
          </cell>
          <cell r="C10103" t="str">
            <v>Fairfield Preparatory School</v>
          </cell>
          <cell r="D10103" t="str">
            <v>Suffolk</v>
          </cell>
          <cell r="E10103" t="str">
            <v>Other Independent School</v>
          </cell>
          <cell r="F10103" t="str">
            <v>Not applicable</v>
          </cell>
        </row>
        <row r="10104">
          <cell r="A10104">
            <v>8122896</v>
          </cell>
          <cell r="B10104">
            <v>117923</v>
          </cell>
          <cell r="C10104" t="str">
            <v>Fairfield Primary School</v>
          </cell>
          <cell r="D10104" t="str">
            <v>North East Lincolnshire</v>
          </cell>
          <cell r="E10104" t="str">
            <v>Community School</v>
          </cell>
          <cell r="F10104" t="str">
            <v>Primary</v>
          </cell>
        </row>
        <row r="10105">
          <cell r="A10105">
            <v>8912310</v>
          </cell>
          <cell r="B10105">
            <v>122552</v>
          </cell>
          <cell r="C10105" t="str">
            <v>Fairfield Primary School</v>
          </cell>
          <cell r="D10105" t="str">
            <v>Nottinghamshire</v>
          </cell>
          <cell r="E10105" t="str">
            <v>Community School</v>
          </cell>
          <cell r="F10105" t="str">
            <v>Primary</v>
          </cell>
        </row>
        <row r="10106">
          <cell r="A10106">
            <v>8083393</v>
          </cell>
          <cell r="B10106">
            <v>134621</v>
          </cell>
          <cell r="C10106" t="str">
            <v>Fairfield Primary School</v>
          </cell>
          <cell r="D10106" t="str">
            <v>Stockton-on-Tees</v>
          </cell>
          <cell r="E10106" t="str">
            <v>Community School</v>
          </cell>
          <cell r="F10106" t="str">
            <v>Primary</v>
          </cell>
        </row>
        <row r="10107">
          <cell r="A10107">
            <v>6732117</v>
          </cell>
          <cell r="B10107">
            <v>401091</v>
          </cell>
          <cell r="C10107" t="str">
            <v>Fairfield Primary School</v>
          </cell>
          <cell r="D10107" t="str">
            <v>The Vale of Glamorgan</v>
          </cell>
          <cell r="E10107" t="str">
            <v>Welsh Establishment</v>
          </cell>
          <cell r="F10107" t="str">
            <v>Primary</v>
          </cell>
        </row>
        <row r="10108">
          <cell r="A10108">
            <v>3572045</v>
          </cell>
          <cell r="B10108">
            <v>106207</v>
          </cell>
          <cell r="C10108" t="str">
            <v>Fairfield Road Primary School</v>
          </cell>
          <cell r="D10108" t="str">
            <v>Tameside</v>
          </cell>
          <cell r="E10108" t="str">
            <v>Community School</v>
          </cell>
          <cell r="F10108" t="str">
            <v>Primary</v>
          </cell>
        </row>
        <row r="10109">
          <cell r="A10109">
            <v>3827011</v>
          </cell>
          <cell r="B10109">
            <v>107802</v>
          </cell>
          <cell r="C10109" t="str">
            <v>Fairfield School</v>
          </cell>
          <cell r="D10109" t="str">
            <v>Kirklees</v>
          </cell>
          <cell r="E10109" t="str">
            <v>Community Special School</v>
          </cell>
          <cell r="F10109" t="str">
            <v>Special</v>
          </cell>
        </row>
        <row r="10110">
          <cell r="A10110">
            <v>8026003</v>
          </cell>
          <cell r="B10110">
            <v>109363</v>
          </cell>
          <cell r="C10110" t="str">
            <v>Fairfield School (PNEU)</v>
          </cell>
          <cell r="D10110" t="str">
            <v>North Somerset</v>
          </cell>
          <cell r="E10110" t="str">
            <v>Other Independent School</v>
          </cell>
          <cell r="F10110" t="str">
            <v>Not applicable</v>
          </cell>
        </row>
        <row r="10111">
          <cell r="A10111">
            <v>8502727</v>
          </cell>
          <cell r="B10111">
            <v>116232</v>
          </cell>
          <cell r="C10111" t="str">
            <v>Fairfields Primary School</v>
          </cell>
          <cell r="D10111" t="str">
            <v>Hampshire</v>
          </cell>
          <cell r="E10111" t="str">
            <v>Community School</v>
          </cell>
          <cell r="F10111" t="str">
            <v>Primary</v>
          </cell>
        </row>
        <row r="10112">
          <cell r="A10112">
            <v>9192424</v>
          </cell>
          <cell r="B10112">
            <v>117334</v>
          </cell>
          <cell r="C10112" t="str">
            <v>Fairfields Primary School and Nursery</v>
          </cell>
          <cell r="D10112" t="str">
            <v>Hertfordshire</v>
          </cell>
          <cell r="E10112" t="str">
            <v>Community School</v>
          </cell>
          <cell r="F10112" t="str">
            <v>Primary</v>
          </cell>
        </row>
        <row r="10113">
          <cell r="A10113">
            <v>9287014</v>
          </cell>
          <cell r="B10113">
            <v>122160</v>
          </cell>
          <cell r="C10113" t="str">
            <v>Fairfields School</v>
          </cell>
          <cell r="D10113" t="str">
            <v>Northamptonshire</v>
          </cell>
          <cell r="E10113" t="str">
            <v>Community Special School</v>
          </cell>
          <cell r="F10113" t="str">
            <v>Special</v>
          </cell>
        </row>
        <row r="10114">
          <cell r="A10114">
            <v>9163035</v>
          </cell>
          <cell r="B10114">
            <v>115622</v>
          </cell>
          <cell r="C10114" t="str">
            <v>Fairford Church of England Primary School</v>
          </cell>
          <cell r="D10114" t="str">
            <v>Gloucestershire</v>
          </cell>
          <cell r="E10114" t="str">
            <v>Voluntary Controlled School</v>
          </cell>
          <cell r="F10114" t="str">
            <v>Primary</v>
          </cell>
        </row>
        <row r="10115">
          <cell r="A10115">
            <v>8924060</v>
          </cell>
          <cell r="B10115">
            <v>122837</v>
          </cell>
          <cell r="C10115" t="str">
            <v>Fairham Community College</v>
          </cell>
          <cell r="D10115" t="str">
            <v>Nottingham</v>
          </cell>
          <cell r="E10115" t="str">
            <v>Community School</v>
          </cell>
          <cell r="F10115" t="str">
            <v>Secondary</v>
          </cell>
        </row>
        <row r="10116">
          <cell r="A10116">
            <v>9263409</v>
          </cell>
          <cell r="B10116">
            <v>121150</v>
          </cell>
          <cell r="C10116" t="str">
            <v>Fairhaven Church of England Voluntary Aided Primary School</v>
          </cell>
          <cell r="D10116" t="str">
            <v>Norfolk</v>
          </cell>
          <cell r="E10116" t="str">
            <v>Voluntary Aided School</v>
          </cell>
          <cell r="F10116" t="str">
            <v>Primary</v>
          </cell>
        </row>
        <row r="10117">
          <cell r="A10117">
            <v>3311104</v>
          </cell>
          <cell r="B10117">
            <v>127134</v>
          </cell>
          <cell r="C10117" t="str">
            <v>Fairhaven Education Unit</v>
          </cell>
          <cell r="D10117" t="str">
            <v>Coventry</v>
          </cell>
          <cell r="E10117" t="str">
            <v>Pupil Referral Unit</v>
          </cell>
          <cell r="F10117" t="str">
            <v>PRU</v>
          </cell>
        </row>
        <row r="10118">
          <cell r="A10118">
            <v>3322063</v>
          </cell>
          <cell r="B10118">
            <v>103786</v>
          </cell>
          <cell r="C10118" t="str">
            <v>Fairhaven Primary School</v>
          </cell>
          <cell r="D10118" t="str">
            <v>Dudley</v>
          </cell>
          <cell r="E10118" t="str">
            <v>Community School</v>
          </cell>
          <cell r="F10118" t="str">
            <v>Primary</v>
          </cell>
        </row>
        <row r="10119">
          <cell r="A10119">
            <v>3132019</v>
          </cell>
          <cell r="B10119">
            <v>102482</v>
          </cell>
          <cell r="C10119" t="str">
            <v>Fairholme Infant and Nursery School</v>
          </cell>
          <cell r="D10119" t="str">
            <v>Hounslow</v>
          </cell>
          <cell r="E10119" t="str">
            <v>Community School</v>
          </cell>
          <cell r="F10119" t="str">
            <v>Primary</v>
          </cell>
        </row>
        <row r="10120">
          <cell r="A10120">
            <v>3132018</v>
          </cell>
          <cell r="B10120">
            <v>102481</v>
          </cell>
          <cell r="C10120" t="str">
            <v>Fairholme Junior School</v>
          </cell>
          <cell r="D10120" t="str">
            <v>Hounslow</v>
          </cell>
          <cell r="E10120" t="str">
            <v>Community School</v>
          </cell>
          <cell r="F10120" t="str">
            <v>Primary</v>
          </cell>
        </row>
        <row r="10121">
          <cell r="A10121">
            <v>6636013</v>
          </cell>
          <cell r="B10121">
            <v>401974</v>
          </cell>
          <cell r="C10121" t="str">
            <v>Fairholme Prep. School</v>
          </cell>
          <cell r="D10121" t="str">
            <v>Denbighshire</v>
          </cell>
          <cell r="E10121" t="str">
            <v>Welsh Establishment</v>
          </cell>
          <cell r="F10121" t="str">
            <v>Not applicable</v>
          </cell>
        </row>
        <row r="10122">
          <cell r="A10122">
            <v>3132079</v>
          </cell>
          <cell r="B10122">
            <v>132264</v>
          </cell>
          <cell r="C10122" t="str">
            <v>Fairholme Primary School</v>
          </cell>
          <cell r="D10122" t="str">
            <v>Hounslow</v>
          </cell>
          <cell r="E10122" t="str">
            <v>Community School</v>
          </cell>
          <cell r="F10122" t="str">
            <v>Primary</v>
          </cell>
        </row>
        <row r="10123">
          <cell r="A10123">
            <v>8812591</v>
          </cell>
          <cell r="B10123">
            <v>114905</v>
          </cell>
          <cell r="C10123" t="str">
            <v>Fairhouse Community Infant School</v>
          </cell>
          <cell r="D10123" t="str">
            <v>Essex</v>
          </cell>
          <cell r="E10123" t="str">
            <v>Community School</v>
          </cell>
          <cell r="F10123" t="str">
            <v>Primary</v>
          </cell>
        </row>
        <row r="10124">
          <cell r="A10124">
            <v>8812581</v>
          </cell>
          <cell r="B10124">
            <v>114899</v>
          </cell>
          <cell r="C10124" t="str">
            <v>Fairhouse Community Junior School</v>
          </cell>
          <cell r="D10124" t="str">
            <v>Essex</v>
          </cell>
          <cell r="E10124" t="str">
            <v>Community School</v>
          </cell>
          <cell r="F10124" t="str">
            <v>Primary</v>
          </cell>
        </row>
        <row r="10125">
          <cell r="A10125">
            <v>8522754</v>
          </cell>
          <cell r="B10125">
            <v>116251</v>
          </cell>
          <cell r="C10125" t="str">
            <v>Fairisle Infant and Nursery School</v>
          </cell>
          <cell r="D10125" t="str">
            <v>Southampton</v>
          </cell>
          <cell r="E10125" t="str">
            <v>Community School</v>
          </cell>
          <cell r="F10125" t="str">
            <v>Primary</v>
          </cell>
        </row>
        <row r="10126">
          <cell r="A10126">
            <v>8522757</v>
          </cell>
          <cell r="B10126">
            <v>116253</v>
          </cell>
          <cell r="C10126" t="str">
            <v>Fairisle Junior School</v>
          </cell>
          <cell r="D10126" t="str">
            <v>Southampton</v>
          </cell>
          <cell r="E10126" t="str">
            <v>Community School</v>
          </cell>
          <cell r="F10126" t="str">
            <v>Primary</v>
          </cell>
        </row>
        <row r="10127">
          <cell r="A10127">
            <v>9334410</v>
          </cell>
          <cell r="B10127">
            <v>123888</v>
          </cell>
          <cell r="C10127" t="str">
            <v>Fairlands Middle School</v>
          </cell>
          <cell r="D10127" t="str">
            <v>Somerset</v>
          </cell>
          <cell r="E10127" t="str">
            <v>Community School</v>
          </cell>
          <cell r="F10127" t="str">
            <v>Middle Deemed Secondary</v>
          </cell>
        </row>
        <row r="10128">
          <cell r="A10128">
            <v>8506068</v>
          </cell>
          <cell r="B10128">
            <v>116557</v>
          </cell>
          <cell r="C10128" t="str">
            <v>Fairlands Nursery &amp; Pre School</v>
          </cell>
          <cell r="D10128" t="str">
            <v>Hampshire</v>
          </cell>
          <cell r="E10128" t="str">
            <v>Other Independent School</v>
          </cell>
          <cell r="F10128" t="str">
            <v>Not applicable</v>
          </cell>
        </row>
        <row r="10129">
          <cell r="A10129">
            <v>9192110</v>
          </cell>
          <cell r="B10129">
            <v>117152</v>
          </cell>
          <cell r="C10129" t="str">
            <v>Fairlands Primary School and Nursery</v>
          </cell>
          <cell r="D10129" t="str">
            <v>Hertfordshire</v>
          </cell>
          <cell r="E10129" t="str">
            <v>Community School</v>
          </cell>
          <cell r="F10129" t="str">
            <v>Primary</v>
          </cell>
        </row>
        <row r="10130">
          <cell r="A10130">
            <v>2092811</v>
          </cell>
          <cell r="B10130">
            <v>100710</v>
          </cell>
          <cell r="C10130" t="str">
            <v>Fairlawn Primary School</v>
          </cell>
          <cell r="D10130" t="str">
            <v>Lewisham</v>
          </cell>
          <cell r="E10130" t="str">
            <v>Community School</v>
          </cell>
          <cell r="F10130" t="str">
            <v>Primary</v>
          </cell>
        </row>
        <row r="10131">
          <cell r="A10131">
            <v>9287012</v>
          </cell>
          <cell r="B10131">
            <v>122159</v>
          </cell>
          <cell r="C10131" t="str">
            <v>Fairlawn School</v>
          </cell>
          <cell r="D10131" t="str">
            <v>Northamptonshire</v>
          </cell>
          <cell r="E10131" t="str">
            <v>Community Special School</v>
          </cell>
          <cell r="F10131" t="str">
            <v>Special</v>
          </cell>
        </row>
        <row r="10132">
          <cell r="A10132">
            <v>2136327</v>
          </cell>
          <cell r="B10132">
            <v>101173</v>
          </cell>
          <cell r="C10132" t="str">
            <v>Fairley House School</v>
          </cell>
          <cell r="D10132" t="str">
            <v>Westminster</v>
          </cell>
          <cell r="E10132" t="str">
            <v>Other Independent Special School</v>
          </cell>
          <cell r="F10132" t="str">
            <v>Not applicable</v>
          </cell>
        </row>
        <row r="10133">
          <cell r="A10133">
            <v>8882689</v>
          </cell>
          <cell r="B10133">
            <v>119327</v>
          </cell>
          <cell r="C10133" t="str">
            <v>Fairlie Community Primary School</v>
          </cell>
          <cell r="D10133" t="str">
            <v>Lancashire</v>
          </cell>
          <cell r="E10133" t="str">
            <v>Community School</v>
          </cell>
          <cell r="F10133" t="str">
            <v>Primary</v>
          </cell>
        </row>
        <row r="10134">
          <cell r="A10134">
            <v>8866132</v>
          </cell>
          <cell r="B10134">
            <v>135623</v>
          </cell>
          <cell r="C10134" t="str">
            <v>Fairlight Glen Independent Special School</v>
          </cell>
          <cell r="D10134" t="str">
            <v>Kent</v>
          </cell>
          <cell r="E10134" t="str">
            <v>Other Independent Special School</v>
          </cell>
          <cell r="F10134" t="str">
            <v>Not applicable</v>
          </cell>
        </row>
        <row r="10135">
          <cell r="A10135">
            <v>9142014</v>
          </cell>
          <cell r="B10135">
            <v>128837</v>
          </cell>
          <cell r="C10135" t="str">
            <v>Fairlight Infant School</v>
          </cell>
          <cell r="D10135" t="str">
            <v>Pre LGR (1997) East Sussex</v>
          </cell>
          <cell r="E10135" t="str">
            <v>Community School</v>
          </cell>
          <cell r="F10135" t="str">
            <v>Primary</v>
          </cell>
        </row>
        <row r="10136">
          <cell r="A10136">
            <v>9142013</v>
          </cell>
          <cell r="B10136">
            <v>128836</v>
          </cell>
          <cell r="C10136" t="str">
            <v>Fairlight Junior School</v>
          </cell>
          <cell r="D10136" t="str">
            <v>Pre LGR (1997) East Sussex</v>
          </cell>
          <cell r="E10136" t="str">
            <v>Community School</v>
          </cell>
          <cell r="F10136" t="str">
            <v>Primary</v>
          </cell>
        </row>
        <row r="10137">
          <cell r="A10137">
            <v>8462165</v>
          </cell>
          <cell r="B10137">
            <v>114487</v>
          </cell>
          <cell r="C10137" t="str">
            <v>Fairlight Primary School</v>
          </cell>
          <cell r="D10137" t="str">
            <v>Brighton and Hove</v>
          </cell>
          <cell r="E10137" t="str">
            <v>Community School</v>
          </cell>
          <cell r="F10137" t="str">
            <v>Primary</v>
          </cell>
        </row>
        <row r="10138">
          <cell r="A10138">
            <v>3172018</v>
          </cell>
          <cell r="B10138">
            <v>127013</v>
          </cell>
          <cell r="C10138" t="str">
            <v>Fairlop Infant School</v>
          </cell>
          <cell r="D10138" t="str">
            <v>Redbridge</v>
          </cell>
          <cell r="E10138" t="str">
            <v>Community School</v>
          </cell>
          <cell r="F10138" t="str">
            <v>Primary</v>
          </cell>
        </row>
        <row r="10139">
          <cell r="A10139">
            <v>3172017</v>
          </cell>
          <cell r="B10139">
            <v>102802</v>
          </cell>
          <cell r="C10139" t="str">
            <v>Fairlop Primary School</v>
          </cell>
          <cell r="D10139" t="str">
            <v>Redbridge</v>
          </cell>
          <cell r="E10139" t="str">
            <v>Community School</v>
          </cell>
          <cell r="F10139" t="str">
            <v>Primary</v>
          </cell>
        </row>
        <row r="10140">
          <cell r="A10140">
            <v>9337007</v>
          </cell>
          <cell r="B10140">
            <v>123940</v>
          </cell>
          <cell r="C10140" t="str">
            <v>Fairmead School</v>
          </cell>
          <cell r="D10140" t="str">
            <v>Somerset</v>
          </cell>
          <cell r="E10140" t="str">
            <v>Community Special School</v>
          </cell>
          <cell r="F10140" t="str">
            <v>Special</v>
          </cell>
        </row>
        <row r="10141">
          <cell r="A10141">
            <v>8305208</v>
          </cell>
          <cell r="B10141">
            <v>112982</v>
          </cell>
          <cell r="C10141" t="str">
            <v>Fairmeadows Foundation Primary School</v>
          </cell>
          <cell r="D10141" t="str">
            <v>Derbyshire</v>
          </cell>
          <cell r="E10141" t="str">
            <v>Foundation School</v>
          </cell>
          <cell r="F10141" t="str">
            <v>Primary</v>
          </cell>
        </row>
        <row r="10142">
          <cell r="A10142">
            <v>3316025</v>
          </cell>
          <cell r="B10142">
            <v>131664</v>
          </cell>
          <cell r="C10142" t="str">
            <v>Fairmount School Inc Coventry Grammar School</v>
          </cell>
          <cell r="D10142" t="str">
            <v>Coventry</v>
          </cell>
          <cell r="E10142" t="str">
            <v>Other Independent School</v>
          </cell>
          <cell r="F10142" t="str">
            <v>Not applicable</v>
          </cell>
        </row>
        <row r="10143">
          <cell r="A10143">
            <v>6801005</v>
          </cell>
          <cell r="B10143">
            <v>400033</v>
          </cell>
          <cell r="C10143" t="str">
            <v>Fairoak Nursery School</v>
          </cell>
          <cell r="D10143" t="str">
            <v>Newport</v>
          </cell>
          <cell r="E10143" t="str">
            <v>Welsh Establishment</v>
          </cell>
          <cell r="F10143" t="str">
            <v>Nursery</v>
          </cell>
        </row>
        <row r="10144">
          <cell r="A10144">
            <v>9262253</v>
          </cell>
          <cell r="B10144">
            <v>120906</v>
          </cell>
          <cell r="C10144" t="str">
            <v>Fairstead Community Primary and Nursery School</v>
          </cell>
          <cell r="D10144" t="str">
            <v>Norfolk</v>
          </cell>
          <cell r="E10144" t="str">
            <v>Community School</v>
          </cell>
          <cell r="F10144" t="str">
            <v>Primary</v>
          </cell>
        </row>
        <row r="10145">
          <cell r="A10145">
            <v>9356018</v>
          </cell>
          <cell r="B10145">
            <v>124872</v>
          </cell>
          <cell r="C10145" t="str">
            <v>Fairstead House School</v>
          </cell>
          <cell r="D10145" t="str">
            <v>Suffolk</v>
          </cell>
          <cell r="E10145" t="str">
            <v>Other Independent School</v>
          </cell>
          <cell r="F10145" t="str">
            <v>Not applicable</v>
          </cell>
        </row>
        <row r="10146">
          <cell r="A10146">
            <v>8873759</v>
          </cell>
          <cell r="B10146">
            <v>134904</v>
          </cell>
          <cell r="C10146" t="str">
            <v>Fairview Community Primary School</v>
          </cell>
          <cell r="D10146" t="str">
            <v>Medway</v>
          </cell>
          <cell r="E10146" t="str">
            <v>Community School</v>
          </cell>
          <cell r="F10146" t="str">
            <v>Primary</v>
          </cell>
        </row>
        <row r="10147">
          <cell r="A10147">
            <v>8817040</v>
          </cell>
          <cell r="B10147">
            <v>115459</v>
          </cell>
          <cell r="C10147" t="str">
            <v>Fairview School</v>
          </cell>
          <cell r="D10147" t="str">
            <v>Essex</v>
          </cell>
          <cell r="E10147" t="str">
            <v>Community Special School</v>
          </cell>
          <cell r="F10147" t="str">
            <v>Special</v>
          </cell>
        </row>
        <row r="10148">
          <cell r="A10148">
            <v>6784062</v>
          </cell>
          <cell r="B10148">
            <v>401854</v>
          </cell>
          <cell r="C10148" t="str">
            <v>Fairwater High School</v>
          </cell>
          <cell r="D10148" t="str">
            <v>Torfaen</v>
          </cell>
          <cell r="E10148" t="str">
            <v>Welsh Establishment</v>
          </cell>
          <cell r="F10148" t="str">
            <v>Secondary</v>
          </cell>
        </row>
        <row r="10149">
          <cell r="A10149">
            <v>6782223</v>
          </cell>
          <cell r="B10149">
            <v>401437</v>
          </cell>
          <cell r="C10149" t="str">
            <v>Fairwater Infant School</v>
          </cell>
          <cell r="D10149" t="str">
            <v>Torfaen</v>
          </cell>
          <cell r="E10149" t="str">
            <v>Welsh Establishment</v>
          </cell>
          <cell r="F10149" t="str">
            <v>Primary</v>
          </cell>
        </row>
        <row r="10150">
          <cell r="A10150">
            <v>6782222</v>
          </cell>
          <cell r="B10150">
            <v>401436</v>
          </cell>
          <cell r="C10150" t="str">
            <v>Fairwater Junior School</v>
          </cell>
          <cell r="D10150" t="str">
            <v>Torfaen</v>
          </cell>
          <cell r="E10150" t="str">
            <v>Welsh Establishment</v>
          </cell>
          <cell r="F10150" t="str">
            <v>Primary</v>
          </cell>
        </row>
        <row r="10151">
          <cell r="A10151">
            <v>6812017</v>
          </cell>
          <cell r="B10151">
            <v>401565</v>
          </cell>
          <cell r="C10151" t="str">
            <v>Fairwater Primary School</v>
          </cell>
          <cell r="D10151" t="str">
            <v>Cardiff</v>
          </cell>
          <cell r="E10151" t="str">
            <v>Welsh Establishment</v>
          </cell>
          <cell r="F10151" t="str">
            <v>Primary</v>
          </cell>
        </row>
        <row r="10152">
          <cell r="A10152">
            <v>9262386</v>
          </cell>
          <cell r="B10152">
            <v>121003</v>
          </cell>
          <cell r="C10152" t="str">
            <v>Fairway First School</v>
          </cell>
          <cell r="D10152" t="str">
            <v>Norfolk</v>
          </cell>
          <cell r="E10152" t="str">
            <v>Community School</v>
          </cell>
          <cell r="F10152" t="str">
            <v>Primary</v>
          </cell>
        </row>
        <row r="10153">
          <cell r="A10153">
            <v>9382218</v>
          </cell>
          <cell r="B10153">
            <v>125943</v>
          </cell>
          <cell r="C10153" t="str">
            <v>Fairway Infant School, Copthorne</v>
          </cell>
          <cell r="D10153" t="str">
            <v>West Sussex</v>
          </cell>
          <cell r="E10153" t="str">
            <v>Community School</v>
          </cell>
          <cell r="F10153" t="str">
            <v>Primary</v>
          </cell>
        </row>
        <row r="10154">
          <cell r="A10154">
            <v>3302310</v>
          </cell>
          <cell r="B10154">
            <v>103330</v>
          </cell>
          <cell r="C10154" t="str">
            <v>Fairway Primary School</v>
          </cell>
          <cell r="D10154" t="str">
            <v>Birmingham</v>
          </cell>
          <cell r="E10154" t="str">
            <v>Community School</v>
          </cell>
          <cell r="F10154" t="str">
            <v>Primary</v>
          </cell>
        </row>
        <row r="10155">
          <cell r="A10155">
            <v>3562032</v>
          </cell>
          <cell r="B10155">
            <v>106046</v>
          </cell>
          <cell r="C10155" t="str">
            <v>Fairway Primary School</v>
          </cell>
          <cell r="D10155" t="str">
            <v>Stockport</v>
          </cell>
          <cell r="E10155" t="str">
            <v>Community School</v>
          </cell>
          <cell r="F10155" t="str">
            <v>Primary</v>
          </cell>
        </row>
        <row r="10156">
          <cell r="A10156">
            <v>3022024</v>
          </cell>
          <cell r="B10156">
            <v>101278</v>
          </cell>
          <cell r="C10156" t="str">
            <v>Fairway Primary School and Children's Centre</v>
          </cell>
          <cell r="D10156" t="str">
            <v>Barnet</v>
          </cell>
          <cell r="E10156" t="str">
            <v>Community School</v>
          </cell>
          <cell r="F10156" t="str">
            <v>Primary</v>
          </cell>
        </row>
        <row r="10157">
          <cell r="A10157">
            <v>8822407</v>
          </cell>
          <cell r="B10157">
            <v>114841</v>
          </cell>
          <cell r="C10157" t="str">
            <v>Fairways Primary School</v>
          </cell>
          <cell r="D10157" t="str">
            <v>Southend-on-Sea</v>
          </cell>
          <cell r="E10157" t="str">
            <v>Community School</v>
          </cell>
          <cell r="F10157" t="str">
            <v>Primary</v>
          </cell>
        </row>
        <row r="10158">
          <cell r="A10158">
            <v>8021103</v>
          </cell>
          <cell r="B10158">
            <v>133100</v>
          </cell>
          <cell r="C10158" t="str">
            <v>Fairways Pupil Referral Unit</v>
          </cell>
          <cell r="D10158" t="str">
            <v>North Somerset</v>
          </cell>
          <cell r="E10158" t="str">
            <v>Pupil Referral Unit</v>
          </cell>
          <cell r="F10158" t="str">
            <v>PRU</v>
          </cell>
        </row>
        <row r="10159">
          <cell r="A10159">
            <v>8506088</v>
          </cell>
          <cell r="B10159">
            <v>135240</v>
          </cell>
          <cell r="C10159" t="str">
            <v>Fairways School</v>
          </cell>
          <cell r="D10159" t="str">
            <v>Hampshire</v>
          </cell>
          <cell r="E10159" t="str">
            <v>Other Independent School</v>
          </cell>
          <cell r="F10159" t="str">
            <v>Not applicable</v>
          </cell>
        </row>
        <row r="10160">
          <cell r="A10160">
            <v>3804058</v>
          </cell>
          <cell r="B10160">
            <v>107382</v>
          </cell>
          <cell r="C10160" t="str">
            <v>Fairweather Green Middle School</v>
          </cell>
          <cell r="D10160" t="str">
            <v>Bradford</v>
          </cell>
          <cell r="E10160" t="str">
            <v>Community School</v>
          </cell>
          <cell r="F10160" t="str">
            <v>Middle Deemed Secondary</v>
          </cell>
        </row>
        <row r="10161">
          <cell r="A10161">
            <v>9356051</v>
          </cell>
          <cell r="B10161">
            <v>130000</v>
          </cell>
          <cell r="C10161" t="str">
            <v>Faith Christian Academy</v>
          </cell>
          <cell r="D10161" t="str">
            <v>Suffolk</v>
          </cell>
          <cell r="E10161" t="str">
            <v>Other Independent School</v>
          </cell>
          <cell r="F10161" t="str">
            <v>Not applicable</v>
          </cell>
        </row>
        <row r="10162">
          <cell r="A10162">
            <v>9036155</v>
          </cell>
          <cell r="B10162">
            <v>128302</v>
          </cell>
          <cell r="C10162" t="str">
            <v>Faith Christian School</v>
          </cell>
          <cell r="D10162" t="str">
            <v>Pre LGR (1998) Berkshire</v>
          </cell>
          <cell r="E10162" t="str">
            <v>Other Independent School</v>
          </cell>
          <cell r="F10162" t="str">
            <v>Not applicable</v>
          </cell>
        </row>
        <row r="10163">
          <cell r="A10163">
            <v>9176342</v>
          </cell>
          <cell r="B10163">
            <v>129065</v>
          </cell>
          <cell r="C10163" t="str">
            <v>Faith Christian School</v>
          </cell>
          <cell r="D10163" t="str">
            <v>Pre LGR (1997) Hampshire</v>
          </cell>
          <cell r="E10163" t="str">
            <v>Other Independent School</v>
          </cell>
          <cell r="F10163" t="str">
            <v>Not applicable</v>
          </cell>
        </row>
        <row r="10164">
          <cell r="A10164">
            <v>3413964</v>
          </cell>
          <cell r="B10164">
            <v>134723</v>
          </cell>
          <cell r="C10164" t="str">
            <v>Faith Primary School</v>
          </cell>
          <cell r="D10164" t="str">
            <v>Liverpool</v>
          </cell>
          <cell r="E10164" t="str">
            <v>Voluntary Aided School</v>
          </cell>
          <cell r="F10164" t="str">
            <v>Primary</v>
          </cell>
        </row>
        <row r="10165">
          <cell r="A10165">
            <v>9264091</v>
          </cell>
          <cell r="B10165">
            <v>121185</v>
          </cell>
          <cell r="C10165" t="str">
            <v>Fakenham High School and College</v>
          </cell>
          <cell r="D10165" t="str">
            <v>Norfolk</v>
          </cell>
          <cell r="E10165" t="str">
            <v>Community School</v>
          </cell>
          <cell r="F10165" t="str">
            <v>Secondary</v>
          </cell>
        </row>
        <row r="10166">
          <cell r="A10166">
            <v>9262393</v>
          </cell>
          <cell r="B10166">
            <v>121005</v>
          </cell>
          <cell r="C10166" t="str">
            <v>Fakenham Infants' School</v>
          </cell>
          <cell r="D10166" t="str">
            <v>Norfolk</v>
          </cell>
          <cell r="E10166" t="str">
            <v>Community School</v>
          </cell>
          <cell r="F10166" t="str">
            <v>Primary</v>
          </cell>
        </row>
        <row r="10167">
          <cell r="A10167">
            <v>9262058</v>
          </cell>
          <cell r="B10167">
            <v>120805</v>
          </cell>
          <cell r="C10167" t="str">
            <v>Fakenham Junior School</v>
          </cell>
          <cell r="D10167" t="str">
            <v>Norfolk</v>
          </cell>
          <cell r="E10167" t="str">
            <v>Community School</v>
          </cell>
          <cell r="F10167" t="str">
            <v>Primary</v>
          </cell>
        </row>
        <row r="10168">
          <cell r="A10168">
            <v>9262266</v>
          </cell>
          <cell r="B10168">
            <v>120913</v>
          </cell>
          <cell r="C10168" t="str">
            <v>Falcon Junior School</v>
          </cell>
          <cell r="D10168" t="str">
            <v>Norfolk</v>
          </cell>
          <cell r="E10168" t="str">
            <v>Community School</v>
          </cell>
          <cell r="F10168" t="str">
            <v>Primary</v>
          </cell>
        </row>
        <row r="10169">
          <cell r="A10169">
            <v>9286009</v>
          </cell>
          <cell r="B10169">
            <v>122130</v>
          </cell>
          <cell r="C10169" t="str">
            <v>Falcon Manor School</v>
          </cell>
          <cell r="D10169" t="str">
            <v>Northamptonshire</v>
          </cell>
          <cell r="E10169" t="str">
            <v>Other Independent School</v>
          </cell>
          <cell r="F10169" t="str">
            <v>Not applicable</v>
          </cell>
        </row>
        <row r="10170">
          <cell r="A10170">
            <v>2122213</v>
          </cell>
          <cell r="B10170">
            <v>126681</v>
          </cell>
          <cell r="C10170" t="str">
            <v>Falconbrook Infant School</v>
          </cell>
          <cell r="D10170" t="str">
            <v>Wandsworth</v>
          </cell>
          <cell r="E10170" t="str">
            <v>Community School</v>
          </cell>
          <cell r="F10170" t="str">
            <v>Primary</v>
          </cell>
        </row>
        <row r="10171">
          <cell r="A10171">
            <v>2122211</v>
          </cell>
          <cell r="B10171">
            <v>101006</v>
          </cell>
          <cell r="C10171" t="str">
            <v>Falconbrook Primary School</v>
          </cell>
          <cell r="D10171" t="str">
            <v>Wandsworth</v>
          </cell>
          <cell r="E10171" t="str">
            <v>Community School</v>
          </cell>
          <cell r="F10171" t="str">
            <v>Primary</v>
          </cell>
        </row>
        <row r="10172">
          <cell r="A10172">
            <v>9197033</v>
          </cell>
          <cell r="B10172">
            <v>117686</v>
          </cell>
          <cell r="C10172" t="str">
            <v>Falconer School</v>
          </cell>
          <cell r="D10172" t="str">
            <v>Hertfordshire</v>
          </cell>
          <cell r="E10172" t="str">
            <v>Community Special School</v>
          </cell>
          <cell r="F10172" t="str">
            <v>Special</v>
          </cell>
        </row>
        <row r="10173">
          <cell r="A10173">
            <v>9282132</v>
          </cell>
          <cell r="B10173">
            <v>121893</v>
          </cell>
          <cell r="C10173" t="str">
            <v>Falconer's Hill Community Junior School</v>
          </cell>
          <cell r="D10173" t="str">
            <v>Northamptonshire</v>
          </cell>
          <cell r="E10173" t="str">
            <v>Community School</v>
          </cell>
          <cell r="F10173" t="str">
            <v>Primary</v>
          </cell>
        </row>
        <row r="10174">
          <cell r="A10174">
            <v>9282125</v>
          </cell>
          <cell r="B10174">
            <v>121887</v>
          </cell>
          <cell r="C10174" t="str">
            <v>Falconer's Hill Infant School</v>
          </cell>
          <cell r="D10174" t="str">
            <v>Northamptonshire</v>
          </cell>
          <cell r="E10174" t="str">
            <v>Community School</v>
          </cell>
          <cell r="F10174" t="str">
            <v>Primary</v>
          </cell>
        </row>
        <row r="10175">
          <cell r="A10175">
            <v>8262285</v>
          </cell>
          <cell r="B10175">
            <v>110355</v>
          </cell>
          <cell r="C10175" t="str">
            <v>Falconhurst School</v>
          </cell>
          <cell r="D10175" t="str">
            <v>Milton Keynes</v>
          </cell>
          <cell r="E10175" t="str">
            <v>Community School</v>
          </cell>
          <cell r="F10175" t="str">
            <v>Primary</v>
          </cell>
        </row>
        <row r="10176">
          <cell r="A10176">
            <v>8032205</v>
          </cell>
          <cell r="B10176">
            <v>109037</v>
          </cell>
          <cell r="C10176" t="str">
            <v>Falconride Primary School</v>
          </cell>
          <cell r="D10176" t="str">
            <v>South Gloucestershire</v>
          </cell>
          <cell r="E10176" t="str">
            <v>Community School</v>
          </cell>
          <cell r="F10176" t="str">
            <v>Primary</v>
          </cell>
        </row>
        <row r="10177">
          <cell r="A10177">
            <v>3186551</v>
          </cell>
          <cell r="B10177">
            <v>135719</v>
          </cell>
          <cell r="C10177" t="str">
            <v>Falcons Preparatory School for Boys</v>
          </cell>
          <cell r="D10177" t="str">
            <v>Richmond upon Thames</v>
          </cell>
          <cell r="E10177" t="str">
            <v>Other Independent School</v>
          </cell>
          <cell r="F10177" t="str">
            <v>Not applicable</v>
          </cell>
        </row>
        <row r="10178">
          <cell r="A10178">
            <v>9252151</v>
          </cell>
          <cell r="B10178">
            <v>120445</v>
          </cell>
          <cell r="C10178" t="str">
            <v>Faldingworth Community Primary School</v>
          </cell>
          <cell r="D10178" t="str">
            <v>Lincolnshire</v>
          </cell>
          <cell r="E10178" t="str">
            <v>Community School</v>
          </cell>
          <cell r="F10178" t="str">
            <v>Primary</v>
          </cell>
        </row>
        <row r="10179">
          <cell r="A10179">
            <v>3544086</v>
          </cell>
          <cell r="B10179">
            <v>105837</v>
          </cell>
          <cell r="C10179" t="str">
            <v>Falinge Park High School</v>
          </cell>
          <cell r="D10179" t="str">
            <v>Rochdale</v>
          </cell>
          <cell r="E10179" t="str">
            <v>Community School</v>
          </cell>
          <cell r="F10179" t="str">
            <v>Secondary</v>
          </cell>
        </row>
        <row r="10180">
          <cell r="A10180">
            <v>3544081</v>
          </cell>
          <cell r="B10180">
            <v>127458</v>
          </cell>
          <cell r="C10180" t="str">
            <v>Falinge Park Upper School</v>
          </cell>
          <cell r="D10180" t="str">
            <v>Rochdale</v>
          </cell>
          <cell r="E10180" t="str">
            <v>Community School</v>
          </cell>
          <cell r="F10180" t="str">
            <v>Secondary</v>
          </cell>
        </row>
        <row r="10181">
          <cell r="A10181">
            <v>8692140</v>
          </cell>
          <cell r="B10181">
            <v>109871</v>
          </cell>
          <cell r="C10181" t="str">
            <v>Falkland Primary School</v>
          </cell>
          <cell r="D10181" t="str">
            <v>West Berkshire</v>
          </cell>
          <cell r="E10181" t="str">
            <v>Community School</v>
          </cell>
          <cell r="F10181" t="str">
            <v>Primary</v>
          </cell>
        </row>
        <row r="10182">
          <cell r="A10182">
            <v>9036084</v>
          </cell>
          <cell r="B10182">
            <v>128299</v>
          </cell>
          <cell r="C10182" t="str">
            <v>Falklands Gabriel School</v>
          </cell>
          <cell r="D10182" t="str">
            <v>Pre LGR (1998) Berkshire</v>
          </cell>
          <cell r="E10182" t="str">
            <v>Other Independent School</v>
          </cell>
          <cell r="F10182" t="str">
            <v>Not applicable</v>
          </cell>
        </row>
        <row r="10183">
          <cell r="A10183">
            <v>2076193</v>
          </cell>
          <cell r="B10183">
            <v>100520</v>
          </cell>
          <cell r="C10183" t="str">
            <v>Falkner House</v>
          </cell>
          <cell r="D10183" t="str">
            <v>Kensington and Chelsea</v>
          </cell>
          <cell r="E10183" t="str">
            <v>Other Independent School</v>
          </cell>
          <cell r="F10183" t="str">
            <v>Not applicable</v>
          </cell>
        </row>
        <row r="10184">
          <cell r="A10184">
            <v>3902198</v>
          </cell>
          <cell r="B10184">
            <v>108358</v>
          </cell>
          <cell r="C10184" t="str">
            <v>Falla Park Community Primary School</v>
          </cell>
          <cell r="D10184" t="str">
            <v>Gateshead</v>
          </cell>
          <cell r="E10184" t="str">
            <v>Community School</v>
          </cell>
          <cell r="F10184" t="str">
            <v>Primary</v>
          </cell>
        </row>
        <row r="10185">
          <cell r="A10185">
            <v>8955401</v>
          </cell>
          <cell r="B10185">
            <v>111464</v>
          </cell>
          <cell r="C10185" t="str">
            <v>Fallibroome High School</v>
          </cell>
          <cell r="D10185" t="str">
            <v>Cheshire East</v>
          </cell>
          <cell r="E10185" t="str">
            <v>Foundation School</v>
          </cell>
          <cell r="F10185" t="str">
            <v>Secondary</v>
          </cell>
        </row>
        <row r="10186">
          <cell r="A10186">
            <v>3362015</v>
          </cell>
          <cell r="B10186">
            <v>104294</v>
          </cell>
          <cell r="C10186" t="str">
            <v>Fallings Park Primary School</v>
          </cell>
          <cell r="D10186" t="str">
            <v>Wolverhampton</v>
          </cell>
          <cell r="E10186" t="str">
            <v>Community School</v>
          </cell>
          <cell r="F10186" t="str">
            <v>Primary</v>
          </cell>
        </row>
        <row r="10187">
          <cell r="A10187">
            <v>8464022</v>
          </cell>
          <cell r="B10187">
            <v>114583</v>
          </cell>
          <cell r="C10187" t="str">
            <v>Falmer High School</v>
          </cell>
          <cell r="D10187" t="str">
            <v>Brighton and Hove</v>
          </cell>
          <cell r="E10187" t="str">
            <v>Community School</v>
          </cell>
          <cell r="F10187" t="str">
            <v>Secondary</v>
          </cell>
        </row>
        <row r="10188">
          <cell r="A10188">
            <v>9083893</v>
          </cell>
          <cell r="B10188">
            <v>134700</v>
          </cell>
          <cell r="C10188" t="str">
            <v>Falmouth Primary School</v>
          </cell>
          <cell r="D10188" t="str">
            <v>Cornwall</v>
          </cell>
          <cell r="E10188" t="str">
            <v>Community School</v>
          </cell>
          <cell r="F10188" t="str">
            <v>Primary</v>
          </cell>
        </row>
        <row r="10189">
          <cell r="A10189">
            <v>9084152</v>
          </cell>
          <cell r="B10189">
            <v>112047</v>
          </cell>
          <cell r="C10189" t="str">
            <v>Falmouth School</v>
          </cell>
          <cell r="D10189" t="str">
            <v>Cornwall</v>
          </cell>
          <cell r="E10189" t="str">
            <v>Community School</v>
          </cell>
          <cell r="F10189" t="str">
            <v>Secondary</v>
          </cell>
        </row>
        <row r="10190">
          <cell r="A10190">
            <v>9084152</v>
          </cell>
          <cell r="B10190">
            <v>137223</v>
          </cell>
          <cell r="C10190" t="str">
            <v>Falmouth School</v>
          </cell>
          <cell r="D10190" t="str">
            <v>Cornwall</v>
          </cell>
          <cell r="E10190" t="str">
            <v>Academy Converters</v>
          </cell>
          <cell r="F10190" t="str">
            <v>Secondary</v>
          </cell>
        </row>
        <row r="10191">
          <cell r="A10191">
            <v>3709900</v>
          </cell>
          <cell r="B10191">
            <v>133491</v>
          </cell>
          <cell r="C10191" t="str">
            <v>Family Learning Centre</v>
          </cell>
          <cell r="D10191" t="str">
            <v>Barnsley</v>
          </cell>
          <cell r="E10191" t="str">
            <v>Miscellaneous</v>
          </cell>
          <cell r="F10191" t="str">
            <v>Not applicable</v>
          </cell>
        </row>
        <row r="10192">
          <cell r="A10192">
            <v>8853045</v>
          </cell>
          <cell r="B10192">
            <v>116812</v>
          </cell>
          <cell r="C10192" t="str">
            <v>Far Forest Lea Memorial CofE First School</v>
          </cell>
          <cell r="D10192" t="str">
            <v>Worcestershire</v>
          </cell>
          <cell r="E10192" t="str">
            <v>Voluntary Controlled School</v>
          </cell>
          <cell r="F10192" t="str">
            <v>Primary</v>
          </cell>
        </row>
        <row r="10193">
          <cell r="A10193">
            <v>8853010</v>
          </cell>
          <cell r="B10193">
            <v>135034</v>
          </cell>
          <cell r="C10193" t="str">
            <v>Far Forest Lea Memorial CofE Primary School</v>
          </cell>
          <cell r="D10193" t="str">
            <v>Worcestershire</v>
          </cell>
          <cell r="E10193" t="str">
            <v>Voluntary Controlled School</v>
          </cell>
          <cell r="F10193" t="str">
            <v>Primary</v>
          </cell>
        </row>
        <row r="10194">
          <cell r="A10194">
            <v>2116397</v>
          </cell>
          <cell r="B10194">
            <v>135989</v>
          </cell>
          <cell r="C10194" t="str">
            <v>Faraday School</v>
          </cell>
          <cell r="D10194" t="str">
            <v>Tower Hamlets</v>
          </cell>
          <cell r="E10194" t="str">
            <v>Other Independent School</v>
          </cell>
          <cell r="F10194" t="str">
            <v>Not applicable</v>
          </cell>
        </row>
        <row r="10195">
          <cell r="A10195">
            <v>8733064</v>
          </cell>
          <cell r="B10195">
            <v>110811</v>
          </cell>
          <cell r="C10195" t="str">
            <v>Farcet CofE Primary School</v>
          </cell>
          <cell r="D10195" t="str">
            <v>Cambridgeshire</v>
          </cell>
          <cell r="E10195" t="str">
            <v>Voluntary Controlled School</v>
          </cell>
          <cell r="F10195" t="str">
            <v>Primary</v>
          </cell>
        </row>
        <row r="10196">
          <cell r="A10196">
            <v>8508006</v>
          </cell>
          <cell r="B10196">
            <v>130693</v>
          </cell>
          <cell r="C10196" t="str">
            <v>Fareham College</v>
          </cell>
          <cell r="D10196" t="str">
            <v>Hampshire</v>
          </cell>
          <cell r="E10196" t="str">
            <v>Further Education</v>
          </cell>
          <cell r="F10196" t="str">
            <v>16 Plus</v>
          </cell>
        </row>
        <row r="10197">
          <cell r="A10197">
            <v>8503058</v>
          </cell>
          <cell r="B10197">
            <v>116287</v>
          </cell>
          <cell r="C10197" t="str">
            <v>Fareham Park CofE (Controlled) Junior School</v>
          </cell>
          <cell r="D10197" t="str">
            <v>Hampshire</v>
          </cell>
          <cell r="E10197" t="str">
            <v>Voluntary Controlled School</v>
          </cell>
          <cell r="F10197" t="str">
            <v>Primary</v>
          </cell>
        </row>
        <row r="10198">
          <cell r="A10198">
            <v>8502082</v>
          </cell>
          <cell r="B10198">
            <v>115896</v>
          </cell>
          <cell r="C10198" t="str">
            <v>Fareham Park Infant School</v>
          </cell>
          <cell r="D10198" t="str">
            <v>Hampshire</v>
          </cell>
          <cell r="E10198" t="str">
            <v>Community School</v>
          </cell>
          <cell r="F10198" t="str">
            <v>Primary</v>
          </cell>
        </row>
        <row r="10199">
          <cell r="A10199">
            <v>3802084</v>
          </cell>
          <cell r="B10199">
            <v>107238</v>
          </cell>
          <cell r="C10199" t="str">
            <v>Farfield Primary and Nursery School</v>
          </cell>
          <cell r="D10199" t="str">
            <v>Bradford</v>
          </cell>
          <cell r="E10199" t="str">
            <v>Community School</v>
          </cell>
          <cell r="F10199" t="str">
            <v>Primary</v>
          </cell>
        </row>
        <row r="10200">
          <cell r="A10200">
            <v>9314141</v>
          </cell>
          <cell r="B10200">
            <v>123262</v>
          </cell>
          <cell r="C10200" t="str">
            <v>Faringdon Community College</v>
          </cell>
          <cell r="D10200" t="str">
            <v>Oxfordshire</v>
          </cell>
          <cell r="E10200" t="str">
            <v>Community School</v>
          </cell>
          <cell r="F10200" t="str">
            <v>Secondary</v>
          </cell>
        </row>
        <row r="10201">
          <cell r="A10201">
            <v>9312561</v>
          </cell>
          <cell r="B10201">
            <v>123060</v>
          </cell>
          <cell r="C10201" t="str">
            <v>Faringdon Infant School</v>
          </cell>
          <cell r="D10201" t="str">
            <v>Oxfordshire</v>
          </cell>
          <cell r="E10201" t="str">
            <v>Community School</v>
          </cell>
          <cell r="F10201" t="str">
            <v>Primary</v>
          </cell>
        </row>
        <row r="10202">
          <cell r="A10202">
            <v>9312562</v>
          </cell>
          <cell r="B10202">
            <v>123061</v>
          </cell>
          <cell r="C10202" t="str">
            <v>Faringdon Junior School</v>
          </cell>
          <cell r="D10202" t="str">
            <v>Oxfordshire</v>
          </cell>
          <cell r="E10202" t="str">
            <v>Community School</v>
          </cell>
          <cell r="F10202" t="str">
            <v>Primary</v>
          </cell>
        </row>
        <row r="10203">
          <cell r="A10203">
            <v>8883666</v>
          </cell>
          <cell r="B10203">
            <v>119612</v>
          </cell>
          <cell r="C10203" t="str">
            <v>Farington Moss St. Paul's C.E. Primary School</v>
          </cell>
          <cell r="D10203" t="str">
            <v>Lancashire</v>
          </cell>
          <cell r="E10203" t="str">
            <v>Voluntary Aided School</v>
          </cell>
          <cell r="F10203" t="str">
            <v>Primary</v>
          </cell>
        </row>
        <row r="10204">
          <cell r="A10204">
            <v>8882049</v>
          </cell>
          <cell r="B10204">
            <v>119150</v>
          </cell>
          <cell r="C10204" t="str">
            <v>Farington Primary School</v>
          </cell>
          <cell r="D10204" t="str">
            <v>Lancashire</v>
          </cell>
          <cell r="E10204" t="str">
            <v>Community School</v>
          </cell>
          <cell r="F10204" t="str">
            <v>Primary</v>
          </cell>
        </row>
        <row r="10205">
          <cell r="A10205">
            <v>9336193</v>
          </cell>
          <cell r="B10205">
            <v>130373</v>
          </cell>
          <cell r="C10205" t="str">
            <v>Farleigh College</v>
          </cell>
          <cell r="D10205" t="str">
            <v>Somerset</v>
          </cell>
          <cell r="E10205" t="str">
            <v>Other Independent School</v>
          </cell>
          <cell r="F10205" t="str">
            <v>Not applicable</v>
          </cell>
        </row>
        <row r="10206">
          <cell r="A10206">
            <v>9336195</v>
          </cell>
          <cell r="B10206">
            <v>131016</v>
          </cell>
          <cell r="C10206" t="str">
            <v>Farleigh College</v>
          </cell>
          <cell r="D10206" t="str">
            <v>Somerset</v>
          </cell>
          <cell r="E10206" t="str">
            <v>Other Independent Special School</v>
          </cell>
          <cell r="F10206" t="str">
            <v>Not applicable</v>
          </cell>
        </row>
        <row r="10207">
          <cell r="A10207">
            <v>8936104</v>
          </cell>
          <cell r="B10207">
            <v>135135</v>
          </cell>
          <cell r="C10207" t="str">
            <v>Farleigh College</v>
          </cell>
          <cell r="D10207" t="str">
            <v>Shropshire</v>
          </cell>
          <cell r="E10207" t="str">
            <v>Other Independent Special School</v>
          </cell>
          <cell r="F10207" t="str">
            <v>Not applicable</v>
          </cell>
        </row>
        <row r="10208">
          <cell r="A10208">
            <v>9337905</v>
          </cell>
          <cell r="B10208">
            <v>131878</v>
          </cell>
          <cell r="C10208" t="str">
            <v>Farleigh Further Education College - Frome</v>
          </cell>
          <cell r="D10208" t="str">
            <v>Somerset</v>
          </cell>
          <cell r="E10208" t="str">
            <v>Special College</v>
          </cell>
          <cell r="F10208" t="str">
            <v>16 Plus</v>
          </cell>
        </row>
        <row r="10209">
          <cell r="A10209">
            <v>8667904</v>
          </cell>
          <cell r="B10209">
            <v>131888</v>
          </cell>
          <cell r="C10209" t="str">
            <v>Farleigh Further Education College - Swindon</v>
          </cell>
          <cell r="D10209" t="str">
            <v>Swindon</v>
          </cell>
          <cell r="E10209" t="str">
            <v>Special College</v>
          </cell>
          <cell r="F10209" t="str">
            <v>16 Plus</v>
          </cell>
        </row>
        <row r="10210">
          <cell r="A10210">
            <v>8506015</v>
          </cell>
          <cell r="B10210">
            <v>116542</v>
          </cell>
          <cell r="C10210" t="str">
            <v>Farleigh School</v>
          </cell>
          <cell r="D10210" t="str">
            <v>Hampshire</v>
          </cell>
          <cell r="E10210" t="str">
            <v>Other Independent School</v>
          </cell>
          <cell r="F10210" t="str">
            <v>Not applicable</v>
          </cell>
        </row>
        <row r="10211">
          <cell r="A10211">
            <v>8653302</v>
          </cell>
          <cell r="B10211">
            <v>126378</v>
          </cell>
          <cell r="C10211" t="str">
            <v>Farley All Saints Church of England Primary School</v>
          </cell>
          <cell r="D10211" t="str">
            <v>Wiltshire</v>
          </cell>
          <cell r="E10211" t="str">
            <v>Voluntary Aided School</v>
          </cell>
          <cell r="F10211" t="str">
            <v>Primary</v>
          </cell>
        </row>
        <row r="10212">
          <cell r="A10212">
            <v>8722088</v>
          </cell>
          <cell r="B10212">
            <v>109829</v>
          </cell>
          <cell r="C10212" t="str">
            <v>Farley Hill Primary School</v>
          </cell>
          <cell r="D10212" t="str">
            <v>Wokingham</v>
          </cell>
          <cell r="E10212" t="str">
            <v>Community School</v>
          </cell>
          <cell r="F10212" t="str">
            <v>Primary</v>
          </cell>
        </row>
        <row r="10213">
          <cell r="A10213">
            <v>8212229</v>
          </cell>
          <cell r="B10213">
            <v>109538</v>
          </cell>
          <cell r="C10213" t="str">
            <v>Farley Junior School</v>
          </cell>
          <cell r="D10213" t="str">
            <v>Luton</v>
          </cell>
          <cell r="E10213" t="str">
            <v>Community School</v>
          </cell>
          <cell r="F10213" t="str">
            <v>Primary</v>
          </cell>
        </row>
        <row r="10214">
          <cell r="A10214">
            <v>9354076</v>
          </cell>
          <cell r="B10214">
            <v>124836</v>
          </cell>
          <cell r="C10214" t="str">
            <v>Farlingaye High School</v>
          </cell>
          <cell r="D10214" t="str">
            <v>Suffolk</v>
          </cell>
          <cell r="E10214" t="str">
            <v>Community School</v>
          </cell>
          <cell r="F10214" t="str">
            <v>Secondary</v>
          </cell>
        </row>
        <row r="10215">
          <cell r="A10215">
            <v>9354076</v>
          </cell>
          <cell r="B10215">
            <v>136834</v>
          </cell>
          <cell r="C10215" t="str">
            <v>Farlingaye High School</v>
          </cell>
          <cell r="D10215" t="str">
            <v>Suffolk</v>
          </cell>
          <cell r="E10215" t="str">
            <v>Academy Converters</v>
          </cell>
          <cell r="F10215" t="str">
            <v>Secondary</v>
          </cell>
        </row>
        <row r="10216">
          <cell r="A10216">
            <v>9386144</v>
          </cell>
          <cell r="B10216">
            <v>126126</v>
          </cell>
          <cell r="C10216" t="str">
            <v>Farlington School</v>
          </cell>
          <cell r="D10216" t="str">
            <v>West Sussex</v>
          </cell>
          <cell r="E10216" t="str">
            <v>Other Independent School</v>
          </cell>
          <cell r="F10216" t="str">
            <v>Not applicable</v>
          </cell>
        </row>
        <row r="10217">
          <cell r="A10217">
            <v>8933041</v>
          </cell>
          <cell r="B10217">
            <v>123475</v>
          </cell>
          <cell r="C10217" t="str">
            <v>Farlow CofE Primary School</v>
          </cell>
          <cell r="D10217" t="str">
            <v>Shropshire</v>
          </cell>
          <cell r="E10217" t="str">
            <v>Voluntary Controlled School</v>
          </cell>
          <cell r="F10217" t="str">
            <v>Primary</v>
          </cell>
        </row>
        <row r="10218">
          <cell r="A10218">
            <v>8866118</v>
          </cell>
          <cell r="B10218">
            <v>132783</v>
          </cell>
          <cell r="C10218" t="str">
            <v>Farm Cottage</v>
          </cell>
          <cell r="D10218" t="str">
            <v>Kent</v>
          </cell>
          <cell r="E10218" t="str">
            <v>Other Independent Special School</v>
          </cell>
          <cell r="F10218" t="str">
            <v>Not applicable</v>
          </cell>
        </row>
        <row r="10219">
          <cell r="A10219">
            <v>8003088</v>
          </cell>
          <cell r="B10219">
            <v>109191</v>
          </cell>
          <cell r="C10219" t="str">
            <v>Farmborough Church of England VC Primary School</v>
          </cell>
          <cell r="D10219" t="str">
            <v>Bath and North East Somerset</v>
          </cell>
          <cell r="E10219" t="str">
            <v>Voluntary Controlled School</v>
          </cell>
          <cell r="F10219" t="str">
            <v>Primary</v>
          </cell>
        </row>
        <row r="10220">
          <cell r="A10220">
            <v>3816009</v>
          </cell>
          <cell r="B10220">
            <v>131488</v>
          </cell>
          <cell r="C10220" t="str">
            <v>Farmhouse Preparatory School</v>
          </cell>
          <cell r="D10220" t="str">
            <v>Calderdale</v>
          </cell>
          <cell r="E10220" t="str">
            <v>Other Independent School</v>
          </cell>
          <cell r="F10220" t="str">
            <v>Not applicable</v>
          </cell>
        </row>
        <row r="10221">
          <cell r="A10221">
            <v>8912883</v>
          </cell>
          <cell r="B10221">
            <v>122693</v>
          </cell>
          <cell r="C10221" t="str">
            <v>Farmilo First School</v>
          </cell>
          <cell r="D10221" t="str">
            <v>Nottinghamshire</v>
          </cell>
          <cell r="E10221" t="str">
            <v>Community School</v>
          </cell>
          <cell r="F10221" t="str">
            <v>Primary</v>
          </cell>
        </row>
        <row r="10222">
          <cell r="A10222">
            <v>8913781</v>
          </cell>
          <cell r="B10222">
            <v>133272</v>
          </cell>
          <cell r="C10222" t="str">
            <v>Farmilo Primary School and Nursery</v>
          </cell>
          <cell r="D10222" t="str">
            <v>Nottinghamshire</v>
          </cell>
          <cell r="E10222" t="str">
            <v>Community School</v>
          </cell>
          <cell r="F10222" t="str">
            <v>Primary</v>
          </cell>
        </row>
        <row r="10223">
          <cell r="A10223">
            <v>9164513</v>
          </cell>
          <cell r="B10223">
            <v>115728</v>
          </cell>
          <cell r="C10223" t="str">
            <v>Farmor's School</v>
          </cell>
          <cell r="D10223" t="str">
            <v>Gloucestershire</v>
          </cell>
          <cell r="E10223" t="str">
            <v>Voluntary Controlled School</v>
          </cell>
          <cell r="F10223" t="str">
            <v>Secondary</v>
          </cell>
        </row>
        <row r="10224">
          <cell r="A10224">
            <v>9164513</v>
          </cell>
          <cell r="B10224">
            <v>137097</v>
          </cell>
          <cell r="C10224" t="str">
            <v>Farmor's School</v>
          </cell>
          <cell r="D10224" t="str">
            <v>Gloucestershire</v>
          </cell>
          <cell r="E10224" t="str">
            <v>Academy Converters</v>
          </cell>
          <cell r="F10224" t="str">
            <v>Secondary</v>
          </cell>
        </row>
        <row r="10225">
          <cell r="A10225">
            <v>9373025</v>
          </cell>
          <cell r="B10225">
            <v>125632</v>
          </cell>
          <cell r="C10225" t="str">
            <v>Farnborough CofE Junior and Infant School</v>
          </cell>
          <cell r="D10225" t="str">
            <v>Warwickshire</v>
          </cell>
          <cell r="E10225" t="str">
            <v>Voluntary Controlled School</v>
          </cell>
          <cell r="F10225" t="str">
            <v>Primary</v>
          </cell>
        </row>
        <row r="10226">
          <cell r="A10226">
            <v>8508002</v>
          </cell>
          <cell r="B10226">
            <v>130689</v>
          </cell>
          <cell r="C10226" t="str">
            <v>Farnborough College of Technology</v>
          </cell>
          <cell r="D10226" t="str">
            <v>Hampshire</v>
          </cell>
          <cell r="E10226" t="str">
            <v>Further Education</v>
          </cell>
          <cell r="F10226" t="str">
            <v>16 Plus</v>
          </cell>
        </row>
        <row r="10227">
          <cell r="A10227">
            <v>8502522</v>
          </cell>
          <cell r="B10227">
            <v>116148</v>
          </cell>
          <cell r="C10227" t="str">
            <v>Farnborough Grange Nursery/Infant Community School</v>
          </cell>
          <cell r="D10227" t="str">
            <v>Hampshire</v>
          </cell>
          <cell r="E10227" t="str">
            <v>Community School</v>
          </cell>
          <cell r="F10227" t="str">
            <v>Primary</v>
          </cell>
        </row>
        <row r="10228">
          <cell r="A10228">
            <v>8506020</v>
          </cell>
          <cell r="B10228">
            <v>116517</v>
          </cell>
          <cell r="C10228" t="str">
            <v>Farnborough Hill</v>
          </cell>
          <cell r="D10228" t="str">
            <v>Hampshire</v>
          </cell>
          <cell r="E10228" t="str">
            <v>Other Independent School</v>
          </cell>
          <cell r="F10228" t="str">
            <v>Not applicable</v>
          </cell>
        </row>
        <row r="10229">
          <cell r="A10229">
            <v>3052042</v>
          </cell>
          <cell r="B10229">
            <v>101615</v>
          </cell>
          <cell r="C10229" t="str">
            <v>Farnborough Primary School</v>
          </cell>
          <cell r="D10229" t="str">
            <v>Bromley</v>
          </cell>
          <cell r="E10229" t="str">
            <v>Community School</v>
          </cell>
          <cell r="F10229" t="str">
            <v>Primary</v>
          </cell>
        </row>
        <row r="10230">
          <cell r="A10230">
            <v>3432035</v>
          </cell>
          <cell r="B10230">
            <v>104863</v>
          </cell>
          <cell r="C10230" t="str">
            <v>Farnborough Road Infant School</v>
          </cell>
          <cell r="D10230" t="str">
            <v>Sefton</v>
          </cell>
          <cell r="E10230" t="str">
            <v>Community School</v>
          </cell>
          <cell r="F10230" t="str">
            <v>Primary</v>
          </cell>
        </row>
        <row r="10231">
          <cell r="A10231">
            <v>3432034</v>
          </cell>
          <cell r="B10231">
            <v>104862</v>
          </cell>
          <cell r="C10231" t="str">
            <v>Farnborough Road Junior School</v>
          </cell>
          <cell r="D10231" t="str">
            <v>Sefton</v>
          </cell>
          <cell r="E10231" t="str">
            <v>Community School</v>
          </cell>
          <cell r="F10231" t="str">
            <v>Primary</v>
          </cell>
        </row>
        <row r="10232">
          <cell r="A10232">
            <v>8924053</v>
          </cell>
          <cell r="B10232">
            <v>122835</v>
          </cell>
          <cell r="C10232" t="str">
            <v>Farnborough School Technology College</v>
          </cell>
          <cell r="D10232" t="str">
            <v>Nottingham</v>
          </cell>
          <cell r="E10232" t="str">
            <v>Community School</v>
          </cell>
          <cell r="F10232" t="str">
            <v>Secondary</v>
          </cell>
        </row>
        <row r="10233">
          <cell r="A10233">
            <v>9174209</v>
          </cell>
          <cell r="B10233">
            <v>129040</v>
          </cell>
          <cell r="C10233" t="str">
            <v>Farnborough Sixth Form College</v>
          </cell>
          <cell r="D10233" t="str">
            <v>Pre LGR (1997) Hampshire</v>
          </cell>
          <cell r="E10233" t="str">
            <v>Community School</v>
          </cell>
          <cell r="F10233" t="str">
            <v>Secondary</v>
          </cell>
        </row>
        <row r="10234">
          <cell r="A10234">
            <v>9363026</v>
          </cell>
          <cell r="B10234">
            <v>125145</v>
          </cell>
          <cell r="C10234" t="str">
            <v>Farncombe Church of England Infant and Nursery School</v>
          </cell>
          <cell r="D10234" t="str">
            <v>Surrey</v>
          </cell>
          <cell r="E10234" t="str">
            <v>Voluntary Controlled School</v>
          </cell>
          <cell r="F10234" t="str">
            <v>Primary</v>
          </cell>
        </row>
        <row r="10235">
          <cell r="A10235">
            <v>3362094</v>
          </cell>
          <cell r="B10235">
            <v>104336</v>
          </cell>
          <cell r="C10235" t="str">
            <v>Farndale Junior School</v>
          </cell>
          <cell r="D10235" t="str">
            <v>Wolverhampton</v>
          </cell>
          <cell r="E10235" t="str">
            <v>Community School</v>
          </cell>
          <cell r="F10235" t="str">
            <v>Primary</v>
          </cell>
        </row>
        <row r="10236">
          <cell r="A10236">
            <v>8552176</v>
          </cell>
          <cell r="B10236">
            <v>119980</v>
          </cell>
          <cell r="C10236" t="str">
            <v>Farndon Fields Primary School</v>
          </cell>
          <cell r="D10236" t="str">
            <v>Leicestershire</v>
          </cell>
          <cell r="E10236" t="str">
            <v>Community School</v>
          </cell>
          <cell r="F10236" t="str">
            <v>Primary</v>
          </cell>
        </row>
        <row r="10237">
          <cell r="A10237">
            <v>8962273</v>
          </cell>
          <cell r="B10237">
            <v>111107</v>
          </cell>
          <cell r="C10237" t="str">
            <v>Farndon Primary School</v>
          </cell>
          <cell r="D10237" t="str">
            <v>Cheshire West and Chester</v>
          </cell>
          <cell r="E10237" t="str">
            <v>Community School</v>
          </cell>
          <cell r="F10237" t="str">
            <v>Primary</v>
          </cell>
        </row>
        <row r="10238">
          <cell r="A10238">
            <v>3912027</v>
          </cell>
          <cell r="B10238">
            <v>108455</v>
          </cell>
          <cell r="C10238" t="str">
            <v>Farne Primary School</v>
          </cell>
          <cell r="D10238" t="str">
            <v>Newcastle upon Tyne</v>
          </cell>
          <cell r="E10238" t="str">
            <v>Community School</v>
          </cell>
          <cell r="F10238" t="str">
            <v>Primary</v>
          </cell>
        </row>
        <row r="10239">
          <cell r="A10239">
            <v>9386217</v>
          </cell>
          <cell r="B10239">
            <v>126139</v>
          </cell>
          <cell r="C10239" t="str">
            <v>Farney Close School</v>
          </cell>
          <cell r="D10239" t="str">
            <v>West Sussex</v>
          </cell>
          <cell r="E10239" t="str">
            <v>Other Independent Special School</v>
          </cell>
          <cell r="F10239" t="str">
            <v>Not applicable</v>
          </cell>
        </row>
        <row r="10240">
          <cell r="A10240">
            <v>8813700</v>
          </cell>
          <cell r="B10240">
            <v>115189</v>
          </cell>
          <cell r="C10240" t="str">
            <v>Farnham Church of England Primary School</v>
          </cell>
          <cell r="D10240" t="str">
            <v>Essex</v>
          </cell>
          <cell r="E10240" t="str">
            <v>Voluntary Aided School</v>
          </cell>
          <cell r="F10240" t="str">
            <v>Primary</v>
          </cell>
        </row>
        <row r="10241">
          <cell r="A10241">
            <v>9364503</v>
          </cell>
          <cell r="B10241">
            <v>130108</v>
          </cell>
          <cell r="C10241" t="str">
            <v>Farnham College</v>
          </cell>
          <cell r="D10241" t="str">
            <v>Surrey</v>
          </cell>
          <cell r="E10241" t="str">
            <v>Voluntary Controlled School</v>
          </cell>
          <cell r="F10241" t="str">
            <v>Secondary</v>
          </cell>
        </row>
        <row r="10242">
          <cell r="A10242">
            <v>9368606</v>
          </cell>
          <cell r="B10242">
            <v>130834</v>
          </cell>
          <cell r="C10242" t="str">
            <v>Farnham College</v>
          </cell>
          <cell r="D10242" t="str">
            <v>Surrey</v>
          </cell>
          <cell r="E10242" t="str">
            <v>Further Education</v>
          </cell>
          <cell r="F10242" t="str">
            <v>16 Plus</v>
          </cell>
        </row>
        <row r="10243">
          <cell r="A10243">
            <v>8252271</v>
          </cell>
          <cell r="B10243">
            <v>110344</v>
          </cell>
          <cell r="C10243" t="str">
            <v>Farnham Common Infant School</v>
          </cell>
          <cell r="D10243" t="str">
            <v>Buckinghamshire</v>
          </cell>
          <cell r="E10243" t="str">
            <v>Community School</v>
          </cell>
          <cell r="F10243" t="str">
            <v>Primary</v>
          </cell>
        </row>
        <row r="10244">
          <cell r="A10244">
            <v>8252142</v>
          </cell>
          <cell r="B10244">
            <v>110265</v>
          </cell>
          <cell r="C10244" t="str">
            <v>Farnham Common Junior School</v>
          </cell>
          <cell r="D10244" t="str">
            <v>Buckinghamshire</v>
          </cell>
          <cell r="E10244" t="str">
            <v>Community School</v>
          </cell>
          <cell r="F10244" t="str">
            <v>Primary</v>
          </cell>
        </row>
        <row r="10245">
          <cell r="A10245">
            <v>3172016</v>
          </cell>
          <cell r="B10245">
            <v>102801</v>
          </cell>
          <cell r="C10245" t="str">
            <v>Farnham Green Primary School</v>
          </cell>
          <cell r="D10245" t="str">
            <v>Redbridge</v>
          </cell>
          <cell r="E10245" t="str">
            <v>Community School</v>
          </cell>
          <cell r="F10245" t="str">
            <v>Primary</v>
          </cell>
        </row>
        <row r="10246">
          <cell r="A10246">
            <v>9364052</v>
          </cell>
          <cell r="B10246">
            <v>125248</v>
          </cell>
          <cell r="C10246" t="str">
            <v>Farnham Heath End School</v>
          </cell>
          <cell r="D10246" t="str">
            <v>Surrey</v>
          </cell>
          <cell r="E10246" t="str">
            <v>Community School</v>
          </cell>
          <cell r="F10246" t="str">
            <v>Secondary</v>
          </cell>
        </row>
        <row r="10247">
          <cell r="A10247">
            <v>3802183</v>
          </cell>
          <cell r="B10247">
            <v>107294</v>
          </cell>
          <cell r="C10247" t="str">
            <v>Farnham Primary School</v>
          </cell>
          <cell r="D10247" t="str">
            <v>Bradford</v>
          </cell>
          <cell r="E10247" t="str">
            <v>Community School</v>
          </cell>
          <cell r="F10247" t="str">
            <v>Primary</v>
          </cell>
        </row>
        <row r="10248">
          <cell r="A10248">
            <v>9362474</v>
          </cell>
          <cell r="B10248">
            <v>130056</v>
          </cell>
          <cell r="C10248" t="str">
            <v>Farningham Road County First School</v>
          </cell>
          <cell r="D10248" t="str">
            <v>Surrey</v>
          </cell>
          <cell r="E10248" t="str">
            <v>Community School</v>
          </cell>
          <cell r="F10248" t="str">
            <v>Primary</v>
          </cell>
        </row>
        <row r="10249">
          <cell r="A10249">
            <v>3834244</v>
          </cell>
          <cell r="B10249">
            <v>127991</v>
          </cell>
          <cell r="C10249" t="str">
            <v>Farnleigh Park High School</v>
          </cell>
          <cell r="D10249" t="str">
            <v>Leeds</v>
          </cell>
          <cell r="E10249" t="str">
            <v>Community School</v>
          </cell>
          <cell r="F10249" t="str">
            <v>Secondary</v>
          </cell>
        </row>
        <row r="10250">
          <cell r="A10250">
            <v>8153632</v>
          </cell>
          <cell r="B10250">
            <v>121660</v>
          </cell>
          <cell r="C10250" t="str">
            <v>Farnley Church of England Voluntary Aided Primary School</v>
          </cell>
          <cell r="D10250" t="str">
            <v>North Yorkshire</v>
          </cell>
          <cell r="E10250" t="str">
            <v>Voluntary Aided School</v>
          </cell>
          <cell r="F10250" t="str">
            <v>Primary</v>
          </cell>
        </row>
        <row r="10251">
          <cell r="A10251">
            <v>3834056</v>
          </cell>
          <cell r="B10251">
            <v>108071</v>
          </cell>
          <cell r="C10251" t="str">
            <v>Farnley Park Maths &amp; Computing College</v>
          </cell>
          <cell r="D10251" t="str">
            <v>Leeds</v>
          </cell>
          <cell r="E10251" t="str">
            <v>Community School</v>
          </cell>
          <cell r="F10251" t="str">
            <v>Secondary</v>
          </cell>
        </row>
        <row r="10252">
          <cell r="A10252">
            <v>3823036</v>
          </cell>
          <cell r="B10252">
            <v>107722</v>
          </cell>
          <cell r="C10252" t="str">
            <v>Farnley Tyas Church of England Voluntary Controlled First School</v>
          </cell>
          <cell r="D10252" t="str">
            <v>Kirklees</v>
          </cell>
          <cell r="E10252" t="str">
            <v>Voluntary Controlled School</v>
          </cell>
          <cell r="F10252" t="str">
            <v>Primary</v>
          </cell>
        </row>
        <row r="10253">
          <cell r="A10253">
            <v>8913542</v>
          </cell>
          <cell r="B10253">
            <v>122800</v>
          </cell>
          <cell r="C10253" t="str">
            <v>Farnsfield CofE Aided Primary School</v>
          </cell>
          <cell r="D10253" t="str">
            <v>Nottinghamshire</v>
          </cell>
          <cell r="E10253" t="str">
            <v>Voluntary Aided School</v>
          </cell>
          <cell r="F10253" t="str">
            <v>Primary</v>
          </cell>
        </row>
        <row r="10254">
          <cell r="A10254">
            <v>8912006</v>
          </cell>
          <cell r="B10254">
            <v>134202</v>
          </cell>
          <cell r="C10254" t="str">
            <v>Farnsfield St Michael's Church of England Primary (Voluntary Aided) School</v>
          </cell>
          <cell r="D10254" t="str">
            <v>Nottinghamshire</v>
          </cell>
          <cell r="E10254" t="str">
            <v>Voluntary Aided School</v>
          </cell>
          <cell r="F10254" t="str">
            <v>Primary</v>
          </cell>
        </row>
        <row r="10255">
          <cell r="A10255">
            <v>8912744</v>
          </cell>
          <cell r="B10255">
            <v>122642</v>
          </cell>
          <cell r="C10255" t="str">
            <v>Farnsfield Walter d'Ayncourt Community School</v>
          </cell>
          <cell r="D10255" t="str">
            <v>Nottinghamshire</v>
          </cell>
          <cell r="E10255" t="str">
            <v>Community School</v>
          </cell>
          <cell r="F10255" t="str">
            <v>Primary</v>
          </cell>
        </row>
        <row r="10256">
          <cell r="A10256">
            <v>8763177</v>
          </cell>
          <cell r="B10256">
            <v>111394</v>
          </cell>
          <cell r="C10256" t="str">
            <v>Farnworth Church of England Controlled Primary School</v>
          </cell>
          <cell r="D10256" t="str">
            <v>Halton</v>
          </cell>
          <cell r="E10256" t="str">
            <v>Voluntary Controlled School</v>
          </cell>
          <cell r="F10256" t="str">
            <v>Primary</v>
          </cell>
        </row>
        <row r="10257">
          <cell r="A10257">
            <v>9063606</v>
          </cell>
          <cell r="B10257">
            <v>128456</v>
          </cell>
          <cell r="C10257" t="str">
            <v>Farnworth CofE (Aided) Infant School</v>
          </cell>
          <cell r="D10257" t="str">
            <v>Pre LGR (1998) Cheshire</v>
          </cell>
          <cell r="E10257" t="str">
            <v>Voluntary Aided School</v>
          </cell>
          <cell r="F10257" t="str">
            <v>Primary</v>
          </cell>
        </row>
        <row r="10258">
          <cell r="A10258">
            <v>9063605</v>
          </cell>
          <cell r="B10258">
            <v>128455</v>
          </cell>
          <cell r="C10258" t="str">
            <v>Farnworth CofE (Aided) Junior School</v>
          </cell>
          <cell r="D10258" t="str">
            <v>Pre LGR (1998) Cheshire</v>
          </cell>
          <cell r="E10258" t="str">
            <v>Voluntary Aided School</v>
          </cell>
          <cell r="F10258" t="str">
            <v>Primary</v>
          </cell>
        </row>
        <row r="10259">
          <cell r="A10259">
            <v>3944037</v>
          </cell>
          <cell r="B10259">
            <v>108858</v>
          </cell>
          <cell r="C10259" t="str">
            <v>Farringdon Community Sports College</v>
          </cell>
          <cell r="D10259" t="str">
            <v>Sunderland</v>
          </cell>
          <cell r="E10259" t="str">
            <v>Community School</v>
          </cell>
          <cell r="F10259" t="str">
            <v>Secondary</v>
          </cell>
        </row>
        <row r="10260">
          <cell r="A10260">
            <v>3942018</v>
          </cell>
          <cell r="B10260">
            <v>108762</v>
          </cell>
          <cell r="C10260" t="str">
            <v>Farringdon Infant School</v>
          </cell>
          <cell r="D10260" t="str">
            <v>Sunderland</v>
          </cell>
          <cell r="E10260" t="str">
            <v>Community School</v>
          </cell>
          <cell r="F10260" t="str">
            <v>Primary</v>
          </cell>
        </row>
        <row r="10261">
          <cell r="A10261">
            <v>3942017</v>
          </cell>
          <cell r="B10261">
            <v>108761</v>
          </cell>
          <cell r="C10261" t="str">
            <v>Farringdon Junior School</v>
          </cell>
          <cell r="D10261" t="str">
            <v>Sunderland</v>
          </cell>
          <cell r="E10261" t="str">
            <v>Community School</v>
          </cell>
          <cell r="F10261" t="str">
            <v>Primary</v>
          </cell>
        </row>
        <row r="10262">
          <cell r="A10262">
            <v>3942338</v>
          </cell>
          <cell r="B10262">
            <v>133344</v>
          </cell>
          <cell r="C10262" t="str">
            <v>Farringdon Primary School</v>
          </cell>
          <cell r="D10262" t="str">
            <v>Sunderland</v>
          </cell>
          <cell r="E10262" t="str">
            <v>Community School</v>
          </cell>
          <cell r="F10262" t="str">
            <v>Primary</v>
          </cell>
        </row>
        <row r="10263">
          <cell r="A10263">
            <v>8003089</v>
          </cell>
          <cell r="B10263">
            <v>109192</v>
          </cell>
          <cell r="C10263" t="str">
            <v>Farrington Gurney Church of England Primary School</v>
          </cell>
          <cell r="D10263" t="str">
            <v>Bath and North East Somerset</v>
          </cell>
          <cell r="E10263" t="str">
            <v>Voluntary Controlled School</v>
          </cell>
          <cell r="F10263" t="str">
            <v>Primary</v>
          </cell>
        </row>
        <row r="10264">
          <cell r="A10264">
            <v>3056007</v>
          </cell>
          <cell r="B10264">
            <v>101685</v>
          </cell>
          <cell r="C10264" t="str">
            <v>Farringtons School</v>
          </cell>
          <cell r="D10264" t="str">
            <v>Bromley</v>
          </cell>
          <cell r="E10264" t="str">
            <v>Other Independent School</v>
          </cell>
          <cell r="F10264" t="str">
            <v>Not applicable</v>
          </cell>
        </row>
        <row r="10265">
          <cell r="A10265">
            <v>8156039</v>
          </cell>
          <cell r="B10265">
            <v>136038</v>
          </cell>
          <cell r="C10265" t="str">
            <v>Farrow House (Continuum)</v>
          </cell>
          <cell r="D10265" t="str">
            <v>North Yorkshire</v>
          </cell>
          <cell r="E10265" t="str">
            <v>Other Independent School</v>
          </cell>
          <cell r="F10265" t="str">
            <v>Not applicable</v>
          </cell>
        </row>
        <row r="10266">
          <cell r="A10266">
            <v>8156036</v>
          </cell>
          <cell r="B10266">
            <v>134660</v>
          </cell>
          <cell r="C10266" t="str">
            <v>Farrow House Educational Centre</v>
          </cell>
          <cell r="D10266" t="str">
            <v>North Yorkshire</v>
          </cell>
          <cell r="E10266" t="str">
            <v>Other Independent Special School</v>
          </cell>
          <cell r="F10266" t="str">
            <v>Not applicable</v>
          </cell>
        </row>
        <row r="10267">
          <cell r="A10267">
            <v>3536014</v>
          </cell>
          <cell r="B10267">
            <v>105747</v>
          </cell>
          <cell r="C10267" t="str">
            <v>Farrowdale House School</v>
          </cell>
          <cell r="D10267" t="str">
            <v>Oldham</v>
          </cell>
          <cell r="E10267" t="str">
            <v>Other Independent School</v>
          </cell>
          <cell r="F10267" t="str">
            <v>Not applicable</v>
          </cell>
        </row>
        <row r="10268">
          <cell r="A10268">
            <v>3832337</v>
          </cell>
          <cell r="B10268">
            <v>127897</v>
          </cell>
          <cell r="C10268" t="str">
            <v>Farsley Farfield Infant School</v>
          </cell>
          <cell r="D10268" t="str">
            <v>Leeds</v>
          </cell>
          <cell r="E10268" t="str">
            <v>Community School</v>
          </cell>
          <cell r="F10268" t="str">
            <v>Primary</v>
          </cell>
        </row>
        <row r="10269">
          <cell r="A10269">
            <v>3832315</v>
          </cell>
          <cell r="B10269">
            <v>127891</v>
          </cell>
          <cell r="C10269" t="str">
            <v>Farsley Farfield Junior School</v>
          </cell>
          <cell r="D10269" t="str">
            <v>Leeds</v>
          </cell>
          <cell r="E10269" t="str">
            <v>Community School</v>
          </cell>
          <cell r="F10269" t="str">
            <v>Primary</v>
          </cell>
        </row>
        <row r="10270">
          <cell r="A10270">
            <v>3832505</v>
          </cell>
          <cell r="B10270">
            <v>107981</v>
          </cell>
          <cell r="C10270" t="str">
            <v>Farsley Farfield Primary School</v>
          </cell>
          <cell r="D10270" t="str">
            <v>Leeds</v>
          </cell>
          <cell r="E10270" t="str">
            <v>Community School</v>
          </cell>
          <cell r="F10270" t="str">
            <v>Primary</v>
          </cell>
        </row>
        <row r="10271">
          <cell r="A10271">
            <v>3832338</v>
          </cell>
          <cell r="B10271">
            <v>107849</v>
          </cell>
          <cell r="C10271" t="str">
            <v>Farsley Springbank Junior School</v>
          </cell>
          <cell r="D10271" t="str">
            <v>Leeds</v>
          </cell>
          <cell r="E10271" t="str">
            <v>Community School</v>
          </cell>
          <cell r="F10271" t="str">
            <v>Primary</v>
          </cell>
        </row>
        <row r="10272">
          <cell r="A10272">
            <v>9282038</v>
          </cell>
          <cell r="B10272">
            <v>121819</v>
          </cell>
          <cell r="C10272" t="str">
            <v>Farthinghoe Primary School</v>
          </cell>
          <cell r="D10272" t="str">
            <v>Northamptonshire</v>
          </cell>
          <cell r="E10272" t="str">
            <v>Community School</v>
          </cell>
          <cell r="F10272" t="str">
            <v>Primary</v>
          </cell>
        </row>
        <row r="10273">
          <cell r="A10273">
            <v>3824020</v>
          </cell>
          <cell r="B10273">
            <v>107759</v>
          </cell>
          <cell r="C10273" t="str">
            <v>Fartown High School</v>
          </cell>
          <cell r="D10273" t="str">
            <v>Kirklees</v>
          </cell>
          <cell r="E10273" t="str">
            <v>Community School</v>
          </cell>
          <cell r="F10273" t="str">
            <v>Secondary</v>
          </cell>
        </row>
        <row r="10274">
          <cell r="A10274">
            <v>8783311</v>
          </cell>
          <cell r="B10274">
            <v>113432</v>
          </cell>
          <cell r="C10274" t="str">
            <v>Farway Church of England Primary School</v>
          </cell>
          <cell r="D10274" t="str">
            <v>Devon</v>
          </cell>
          <cell r="E10274" t="str">
            <v>Voluntary Aided School</v>
          </cell>
          <cell r="F10274" t="str">
            <v>Primary</v>
          </cell>
        </row>
        <row r="10275">
          <cell r="A10275">
            <v>2138046</v>
          </cell>
          <cell r="B10275">
            <v>135800</v>
          </cell>
          <cell r="C10275" t="str">
            <v>Fashion Retail Academy</v>
          </cell>
          <cell r="D10275" t="str">
            <v>Westminster</v>
          </cell>
          <cell r="E10275" t="str">
            <v>Further Education</v>
          </cell>
          <cell r="F10275" t="str">
            <v>16 Plus</v>
          </cell>
        </row>
        <row r="10276">
          <cell r="A10276">
            <v>6761106</v>
          </cell>
          <cell r="B10276">
            <v>402157</v>
          </cell>
          <cell r="C10276" t="str">
            <v>Fast4ward</v>
          </cell>
          <cell r="D10276" t="str">
            <v>Caerphilly</v>
          </cell>
          <cell r="E10276" t="str">
            <v>Welsh Establishment</v>
          </cell>
          <cell r="F10276" t="str">
            <v>Not applicable</v>
          </cell>
        </row>
        <row r="10277">
          <cell r="A10277">
            <v>3942144</v>
          </cell>
          <cell r="B10277">
            <v>108810</v>
          </cell>
          <cell r="C10277" t="str">
            <v>Fatfield Primary School</v>
          </cell>
          <cell r="D10277" t="str">
            <v>Sunderland</v>
          </cell>
          <cell r="E10277" t="str">
            <v>Community School</v>
          </cell>
          <cell r="F10277" t="str">
            <v>Primary</v>
          </cell>
        </row>
        <row r="10278">
          <cell r="A10278">
            <v>9192107</v>
          </cell>
          <cell r="B10278">
            <v>117149</v>
          </cell>
          <cell r="C10278" t="str">
            <v>Fawbert and Barnard Infants' School</v>
          </cell>
          <cell r="D10278" t="str">
            <v>Hertfordshire</v>
          </cell>
          <cell r="E10278" t="str">
            <v>Community School</v>
          </cell>
          <cell r="F10278" t="str">
            <v>Primary</v>
          </cell>
        </row>
        <row r="10279">
          <cell r="A10279">
            <v>8813128</v>
          </cell>
          <cell r="B10279">
            <v>115098</v>
          </cell>
          <cell r="C10279" t="str">
            <v>Fawbert and Barnard's Primary School</v>
          </cell>
          <cell r="D10279" t="str">
            <v>Essex</v>
          </cell>
          <cell r="E10279" t="str">
            <v>Voluntary Controlled School</v>
          </cell>
          <cell r="F10279" t="str">
            <v>Primary</v>
          </cell>
        </row>
        <row r="10280">
          <cell r="A10280">
            <v>9052104</v>
          </cell>
          <cell r="B10280">
            <v>128366</v>
          </cell>
          <cell r="C10280" t="str">
            <v>Fawcett County Infant School</v>
          </cell>
          <cell r="D10280" t="str">
            <v>Pre LGR (1998) Cambridgeshire</v>
          </cell>
          <cell r="E10280" t="str">
            <v>Community School</v>
          </cell>
          <cell r="F10280" t="str">
            <v>Primary</v>
          </cell>
        </row>
        <row r="10281">
          <cell r="A10281">
            <v>9052103</v>
          </cell>
          <cell r="B10281">
            <v>128365</v>
          </cell>
          <cell r="C10281" t="str">
            <v>Fawcett County Junior School</v>
          </cell>
          <cell r="D10281" t="str">
            <v>Pre LGR (1998) Cambridgeshire</v>
          </cell>
          <cell r="E10281" t="str">
            <v>Community School</v>
          </cell>
          <cell r="F10281" t="str">
            <v>Primary</v>
          </cell>
        </row>
        <row r="10282">
          <cell r="A10282">
            <v>8732336</v>
          </cell>
          <cell r="B10282">
            <v>110766</v>
          </cell>
          <cell r="C10282" t="str">
            <v>Fawcett Primary School</v>
          </cell>
          <cell r="D10282" t="str">
            <v>Cambridgeshire</v>
          </cell>
          <cell r="E10282" t="str">
            <v>Community School</v>
          </cell>
          <cell r="F10282" t="str">
            <v>Primary</v>
          </cell>
        </row>
        <row r="10283">
          <cell r="A10283">
            <v>8863015</v>
          </cell>
          <cell r="B10283">
            <v>118592</v>
          </cell>
          <cell r="C10283" t="str">
            <v>Fawkham Church of England Voluntary Controlled Primary School</v>
          </cell>
          <cell r="D10283" t="str">
            <v>Kent</v>
          </cell>
          <cell r="E10283" t="str">
            <v>Voluntary Controlled School</v>
          </cell>
          <cell r="F10283" t="str">
            <v>Primary</v>
          </cell>
        </row>
        <row r="10284">
          <cell r="A10284">
            <v>8866095</v>
          </cell>
          <cell r="B10284">
            <v>134296</v>
          </cell>
          <cell r="C10284" t="str">
            <v>Fawkham House School</v>
          </cell>
          <cell r="D10284" t="str">
            <v>Kent</v>
          </cell>
          <cell r="E10284" t="str">
            <v>Other Independent School</v>
          </cell>
          <cell r="F10284" t="str">
            <v>Not applicable</v>
          </cell>
        </row>
        <row r="10285">
          <cell r="A10285">
            <v>8502077</v>
          </cell>
          <cell r="B10285">
            <v>115894</v>
          </cell>
          <cell r="C10285" t="str">
            <v>Fawley Infant School</v>
          </cell>
          <cell r="D10285" t="str">
            <v>Hampshire</v>
          </cell>
          <cell r="E10285" t="str">
            <v>Community School</v>
          </cell>
          <cell r="F10285" t="str">
            <v>Primary</v>
          </cell>
        </row>
        <row r="10286">
          <cell r="A10286">
            <v>3041001</v>
          </cell>
          <cell r="B10286">
            <v>101490</v>
          </cell>
          <cell r="C10286" t="str">
            <v>Fawood Children's Centre</v>
          </cell>
          <cell r="D10286" t="str">
            <v>Brent</v>
          </cell>
          <cell r="E10286" t="str">
            <v>LA Nursery School</v>
          </cell>
          <cell r="F10286" t="str">
            <v>Nursery</v>
          </cell>
        </row>
        <row r="10287">
          <cell r="A10287">
            <v>3414420</v>
          </cell>
          <cell r="B10287">
            <v>104692</v>
          </cell>
          <cell r="C10287" t="str">
            <v>Fazakerley High School</v>
          </cell>
          <cell r="D10287" t="str">
            <v>Liverpool</v>
          </cell>
          <cell r="E10287" t="str">
            <v>Community School</v>
          </cell>
          <cell r="F10287" t="str">
            <v>Secondary</v>
          </cell>
        </row>
        <row r="10288">
          <cell r="A10288">
            <v>3412051</v>
          </cell>
          <cell r="B10288">
            <v>104537</v>
          </cell>
          <cell r="C10288" t="str">
            <v>Fazakerley Infant School</v>
          </cell>
          <cell r="D10288" t="str">
            <v>Liverpool</v>
          </cell>
          <cell r="E10288" t="str">
            <v>Community School</v>
          </cell>
          <cell r="F10288" t="str">
            <v>Primary</v>
          </cell>
        </row>
        <row r="10289">
          <cell r="A10289">
            <v>3412050</v>
          </cell>
          <cell r="B10289">
            <v>104536</v>
          </cell>
          <cell r="C10289" t="str">
            <v>Fazakerley Junior School</v>
          </cell>
          <cell r="D10289" t="str">
            <v>Liverpool</v>
          </cell>
          <cell r="E10289" t="str">
            <v>Community School</v>
          </cell>
          <cell r="F10289" t="str">
            <v>Primary</v>
          </cell>
        </row>
        <row r="10290">
          <cell r="A10290">
            <v>3417006</v>
          </cell>
          <cell r="B10290">
            <v>127329</v>
          </cell>
          <cell r="C10290" t="str">
            <v>Fazakerley Open Air School</v>
          </cell>
          <cell r="D10290" t="str">
            <v>Liverpool</v>
          </cell>
          <cell r="E10290" t="str">
            <v>Community Special School</v>
          </cell>
          <cell r="F10290" t="str">
            <v>Special</v>
          </cell>
        </row>
        <row r="10291">
          <cell r="A10291">
            <v>3412230</v>
          </cell>
          <cell r="B10291">
            <v>131818</v>
          </cell>
          <cell r="C10291" t="str">
            <v>Fazakerley Primary School</v>
          </cell>
          <cell r="D10291" t="str">
            <v>Liverpool</v>
          </cell>
          <cell r="E10291" t="str">
            <v>Community School</v>
          </cell>
          <cell r="F10291" t="str">
            <v>Primary</v>
          </cell>
        </row>
        <row r="10292">
          <cell r="A10292">
            <v>7076004</v>
          </cell>
          <cell r="B10292">
            <v>132423</v>
          </cell>
          <cell r="C10292" t="str">
            <v>FCJ Primary School</v>
          </cell>
          <cell r="D10292" t="str">
            <v>Jersey Offshore Establishments</v>
          </cell>
          <cell r="E10292" t="str">
            <v>Offshore Schools</v>
          </cell>
          <cell r="F10292" t="str">
            <v>Not applicable</v>
          </cell>
        </row>
        <row r="10293">
          <cell r="A10293">
            <v>9336194</v>
          </cell>
          <cell r="B10293">
            <v>130376</v>
          </cell>
          <cell r="C10293" t="str">
            <v>Fcl</v>
          </cell>
          <cell r="D10293" t="str">
            <v>Somerset</v>
          </cell>
          <cell r="E10293" t="str">
            <v>Other Independent School</v>
          </cell>
          <cell r="F10293" t="str">
            <v>Not applicable</v>
          </cell>
        </row>
        <row r="10294">
          <cell r="A10294">
            <v>9062270</v>
          </cell>
          <cell r="B10294">
            <v>128421</v>
          </cell>
          <cell r="C10294" t="str">
            <v>Fearnall County Primary School</v>
          </cell>
          <cell r="D10294" t="str">
            <v>Pre LGR (1998) Cheshire</v>
          </cell>
          <cell r="E10294" t="str">
            <v>Community School</v>
          </cell>
          <cell r="F10294" t="str">
            <v>Primary</v>
          </cell>
        </row>
        <row r="10295">
          <cell r="A10295">
            <v>9194010</v>
          </cell>
          <cell r="B10295">
            <v>117504</v>
          </cell>
          <cell r="C10295" t="str">
            <v>Fearnhill School</v>
          </cell>
          <cell r="D10295" t="str">
            <v>Hertfordshire</v>
          </cell>
          <cell r="E10295" t="str">
            <v>Community School</v>
          </cell>
          <cell r="F10295" t="str">
            <v>Secondary</v>
          </cell>
        </row>
        <row r="10296">
          <cell r="A10296">
            <v>8884158</v>
          </cell>
          <cell r="B10296">
            <v>119745</v>
          </cell>
          <cell r="C10296" t="str">
            <v>Fearns Community Sports College</v>
          </cell>
          <cell r="D10296" t="str">
            <v>Lancashire</v>
          </cell>
          <cell r="E10296" t="str">
            <v>Community School</v>
          </cell>
          <cell r="F10296" t="str">
            <v>Secondary</v>
          </cell>
        </row>
        <row r="10297">
          <cell r="A10297">
            <v>3802065</v>
          </cell>
          <cell r="B10297">
            <v>107226</v>
          </cell>
          <cell r="C10297" t="str">
            <v>Fearnville Primary School</v>
          </cell>
          <cell r="D10297" t="str">
            <v>Bradford</v>
          </cell>
          <cell r="E10297" t="str">
            <v>Community School</v>
          </cell>
          <cell r="F10297" t="str">
            <v>Primary</v>
          </cell>
        </row>
        <row r="10298">
          <cell r="A10298">
            <v>3837064</v>
          </cell>
          <cell r="B10298">
            <v>108125</v>
          </cell>
          <cell r="C10298" t="str">
            <v>Fearnville School</v>
          </cell>
          <cell r="D10298" t="str">
            <v>Leeds</v>
          </cell>
          <cell r="E10298" t="str">
            <v>Community Special School</v>
          </cell>
          <cell r="F10298" t="str">
            <v>Special</v>
          </cell>
        </row>
        <row r="10299">
          <cell r="A10299">
            <v>3837024</v>
          </cell>
          <cell r="B10299">
            <v>128058</v>
          </cell>
          <cell r="C10299" t="str">
            <v>Fearnville School</v>
          </cell>
          <cell r="D10299" t="str">
            <v>Leeds</v>
          </cell>
          <cell r="E10299" t="str">
            <v>Community Special School</v>
          </cell>
          <cell r="F10299" t="str">
            <v>Special</v>
          </cell>
        </row>
        <row r="10300">
          <cell r="A10300">
            <v>8856041</v>
          </cell>
          <cell r="B10300">
            <v>137573</v>
          </cell>
          <cell r="C10300" t="str">
            <v>Fearon Cottage</v>
          </cell>
          <cell r="D10300" t="str">
            <v>Worcestershire</v>
          </cell>
          <cell r="E10300" t="str">
            <v>Other Independent Special School</v>
          </cell>
          <cell r="F10300" t="str">
            <v>Not applicable</v>
          </cell>
        </row>
        <row r="10301">
          <cell r="A10301">
            <v>8872401</v>
          </cell>
          <cell r="B10301">
            <v>118421</v>
          </cell>
          <cell r="C10301" t="str">
            <v>Featherby Infant and Nursery School</v>
          </cell>
          <cell r="D10301" t="str">
            <v>Medway</v>
          </cell>
          <cell r="E10301" t="str">
            <v>Community School</v>
          </cell>
          <cell r="F10301" t="str">
            <v>Primary</v>
          </cell>
        </row>
        <row r="10302">
          <cell r="A10302">
            <v>8872400</v>
          </cell>
          <cell r="B10302">
            <v>118420</v>
          </cell>
          <cell r="C10302" t="str">
            <v>Featherby Junior School</v>
          </cell>
          <cell r="D10302" t="str">
            <v>Medway</v>
          </cell>
          <cell r="E10302" t="str">
            <v>Community School</v>
          </cell>
          <cell r="F10302" t="str">
            <v>Primary</v>
          </cell>
        </row>
        <row r="10303">
          <cell r="A10303">
            <v>3072095</v>
          </cell>
          <cell r="B10303">
            <v>126837</v>
          </cell>
          <cell r="C10303" t="str">
            <v>Featherstone First School</v>
          </cell>
          <cell r="D10303" t="str">
            <v>Ealing</v>
          </cell>
          <cell r="E10303" t="str">
            <v>Community School</v>
          </cell>
          <cell r="F10303" t="str">
            <v>Primary</v>
          </cell>
        </row>
        <row r="10304">
          <cell r="A10304">
            <v>3842088</v>
          </cell>
          <cell r="B10304">
            <v>108168</v>
          </cell>
          <cell r="C10304" t="str">
            <v>Featherstone Girnhill Infant School</v>
          </cell>
          <cell r="D10304" t="str">
            <v>Wakefield</v>
          </cell>
          <cell r="E10304" t="str">
            <v>Community School</v>
          </cell>
          <cell r="F10304" t="str">
            <v>Primary</v>
          </cell>
        </row>
        <row r="10305">
          <cell r="A10305">
            <v>3074031</v>
          </cell>
          <cell r="B10305">
            <v>101931</v>
          </cell>
          <cell r="C10305" t="str">
            <v>Featherstone High School</v>
          </cell>
          <cell r="D10305" t="str">
            <v>Ealing</v>
          </cell>
          <cell r="E10305" t="str">
            <v>Community School</v>
          </cell>
          <cell r="F10305" t="str">
            <v>Secondary</v>
          </cell>
        </row>
        <row r="10306">
          <cell r="A10306">
            <v>3074031</v>
          </cell>
          <cell r="B10306">
            <v>137729</v>
          </cell>
          <cell r="C10306" t="str">
            <v>Featherstone High School</v>
          </cell>
          <cell r="D10306" t="str">
            <v>Ealing</v>
          </cell>
          <cell r="E10306" t="str">
            <v>Academy Converters</v>
          </cell>
          <cell r="F10306" t="str">
            <v>Secondary</v>
          </cell>
        </row>
        <row r="10307">
          <cell r="A10307">
            <v>384940</v>
          </cell>
          <cell r="B10307">
            <v>134952</v>
          </cell>
          <cell r="C10307" t="str">
            <v>Featherstone Improvers</v>
          </cell>
          <cell r="D10307" t="str">
            <v>Wakefield</v>
          </cell>
          <cell r="E10307" t="str">
            <v>Playing for Success Centres</v>
          </cell>
          <cell r="F10307" t="str">
            <v>Not applicable</v>
          </cell>
        </row>
        <row r="10308">
          <cell r="A10308">
            <v>3072096</v>
          </cell>
          <cell r="B10308">
            <v>126838</v>
          </cell>
          <cell r="C10308" t="str">
            <v>Featherstone Middle School</v>
          </cell>
          <cell r="D10308" t="str">
            <v>Ealing</v>
          </cell>
          <cell r="E10308" t="str">
            <v>Community School</v>
          </cell>
          <cell r="F10308" t="str">
            <v>Middle Deemed Primary</v>
          </cell>
        </row>
        <row r="10309">
          <cell r="A10309">
            <v>3842150</v>
          </cell>
          <cell r="B10309">
            <v>108206</v>
          </cell>
          <cell r="C10309" t="str">
            <v>Featherstone North Featherstone Junior and Infant School</v>
          </cell>
          <cell r="D10309" t="str">
            <v>Wakefield</v>
          </cell>
          <cell r="E10309" t="str">
            <v>Community School</v>
          </cell>
          <cell r="F10309" t="str">
            <v>Primary</v>
          </cell>
        </row>
        <row r="10310">
          <cell r="A10310">
            <v>3301026</v>
          </cell>
          <cell r="B10310">
            <v>103139</v>
          </cell>
          <cell r="C10310" t="str">
            <v>Featherstone Nursery School</v>
          </cell>
          <cell r="D10310" t="str">
            <v>Birmingham</v>
          </cell>
          <cell r="E10310" t="str">
            <v>LA Nursery School</v>
          </cell>
          <cell r="F10310" t="str">
            <v>Nursery</v>
          </cell>
        </row>
        <row r="10311">
          <cell r="A10311">
            <v>3072180</v>
          </cell>
          <cell r="B10311">
            <v>101910</v>
          </cell>
          <cell r="C10311" t="str">
            <v>Featherstone Primary and Nursery School</v>
          </cell>
          <cell r="D10311" t="str">
            <v>Ealing</v>
          </cell>
          <cell r="E10311" t="str">
            <v>Community School</v>
          </cell>
          <cell r="F10311" t="str">
            <v>Primary</v>
          </cell>
        </row>
        <row r="10312">
          <cell r="A10312">
            <v>3302294</v>
          </cell>
          <cell r="B10312">
            <v>103318</v>
          </cell>
          <cell r="C10312" t="str">
            <v>Featherstone Primary School</v>
          </cell>
          <cell r="D10312" t="str">
            <v>Birmingham</v>
          </cell>
          <cell r="E10312" t="str">
            <v>Community School</v>
          </cell>
          <cell r="F10312" t="str">
            <v>Primary</v>
          </cell>
        </row>
        <row r="10313">
          <cell r="A10313">
            <v>3842133</v>
          </cell>
          <cell r="B10313">
            <v>108200</v>
          </cell>
          <cell r="C10313" t="str">
            <v>Featherstone Purston Infant School</v>
          </cell>
          <cell r="D10313" t="str">
            <v>Wakefield</v>
          </cell>
          <cell r="E10313" t="str">
            <v>Community School</v>
          </cell>
          <cell r="F10313" t="str">
            <v>Primary</v>
          </cell>
        </row>
        <row r="10314">
          <cell r="A10314">
            <v>3843018</v>
          </cell>
          <cell r="B10314">
            <v>108249</v>
          </cell>
          <cell r="C10314" t="str">
            <v>Featherstone Purston St Thomas Church of England Voluntary Controlled Junior School</v>
          </cell>
          <cell r="D10314" t="str">
            <v>Wakefield</v>
          </cell>
          <cell r="E10314" t="str">
            <v>Voluntary Controlled School</v>
          </cell>
          <cell r="F10314" t="str">
            <v>Primary</v>
          </cell>
        </row>
        <row r="10315">
          <cell r="A10315">
            <v>3844042</v>
          </cell>
          <cell r="B10315">
            <v>108292</v>
          </cell>
          <cell r="C10315" t="str">
            <v>Featherstone Technology College: With Physical Disability Resource</v>
          </cell>
          <cell r="D10315" t="str">
            <v>Wakefield</v>
          </cell>
          <cell r="E10315" t="str">
            <v>Community School</v>
          </cell>
          <cell r="F10315" t="str">
            <v>Secondary</v>
          </cell>
        </row>
        <row r="10316">
          <cell r="A10316">
            <v>9192005</v>
          </cell>
          <cell r="B10316">
            <v>131505</v>
          </cell>
          <cell r="C10316" t="str">
            <v>Featherstone Wood Primary School</v>
          </cell>
          <cell r="D10316" t="str">
            <v>Hertfordshire</v>
          </cell>
          <cell r="E10316" t="str">
            <v>Community School</v>
          </cell>
          <cell r="F10316" t="str">
            <v>Primary</v>
          </cell>
        </row>
        <row r="10317">
          <cell r="A10317">
            <v>8853091</v>
          </cell>
          <cell r="B10317">
            <v>116842</v>
          </cell>
          <cell r="C10317" t="str">
            <v>Feckenham CofE First School</v>
          </cell>
          <cell r="D10317" t="str">
            <v>Worcestershire</v>
          </cell>
          <cell r="E10317" t="str">
            <v>Voluntary Controlled School</v>
          </cell>
          <cell r="F10317" t="str">
            <v>Primary</v>
          </cell>
        </row>
        <row r="10318">
          <cell r="A10318">
            <v>8813207</v>
          </cell>
          <cell r="B10318">
            <v>115106</v>
          </cell>
          <cell r="C10318" t="str">
            <v>Feering Church of England Voluntary Controlled Primary School</v>
          </cell>
          <cell r="D10318" t="str">
            <v>Essex</v>
          </cell>
          <cell r="E10318" t="str">
            <v>Voluntary Controlled School</v>
          </cell>
          <cell r="F10318" t="str">
            <v>Primary</v>
          </cell>
        </row>
        <row r="10319">
          <cell r="A10319">
            <v>9342098</v>
          </cell>
          <cell r="B10319">
            <v>129870</v>
          </cell>
          <cell r="C10319" t="str">
            <v>Fegg Hayes County Primary School</v>
          </cell>
          <cell r="D10319" t="str">
            <v>Pre LGR (1997) Staffordshire</v>
          </cell>
          <cell r="E10319" t="str">
            <v>Community School</v>
          </cell>
          <cell r="F10319" t="str">
            <v>Primary</v>
          </cell>
        </row>
        <row r="10320">
          <cell r="A10320">
            <v>9362124</v>
          </cell>
          <cell r="B10320">
            <v>124971</v>
          </cell>
          <cell r="C10320" t="str">
            <v>Felbridge Primary School</v>
          </cell>
          <cell r="D10320" t="str">
            <v>Surrey</v>
          </cell>
          <cell r="E10320" t="str">
            <v>Community School</v>
          </cell>
          <cell r="F10320" t="str">
            <v>Primary</v>
          </cell>
        </row>
        <row r="10321">
          <cell r="A10321">
            <v>9372608</v>
          </cell>
          <cell r="B10321">
            <v>125612</v>
          </cell>
          <cell r="C10321" t="str">
            <v>Feldon County Middle School</v>
          </cell>
          <cell r="D10321" t="str">
            <v>Warwickshire</v>
          </cell>
          <cell r="E10321" t="str">
            <v>Community School</v>
          </cell>
          <cell r="F10321" t="str">
            <v>Middle Deemed Primary</v>
          </cell>
        </row>
        <row r="10322">
          <cell r="A10322">
            <v>9354003</v>
          </cell>
          <cell r="B10322">
            <v>137321</v>
          </cell>
          <cell r="C10322" t="str">
            <v>Felixstowe Academy</v>
          </cell>
          <cell r="D10322" t="str">
            <v>Suffolk</v>
          </cell>
          <cell r="E10322" t="str">
            <v>Academy Sponsor Led</v>
          </cell>
          <cell r="F10322" t="str">
            <v>Secondary</v>
          </cell>
        </row>
        <row r="10323">
          <cell r="A10323">
            <v>9356001</v>
          </cell>
          <cell r="B10323">
            <v>129991</v>
          </cell>
          <cell r="C10323" t="str">
            <v>Felixstowe College</v>
          </cell>
          <cell r="D10323" t="str">
            <v>Suffolk</v>
          </cell>
          <cell r="E10323" t="str">
            <v>Other Independent School</v>
          </cell>
          <cell r="F10323" t="str">
            <v>Not applicable</v>
          </cell>
        </row>
        <row r="10324">
          <cell r="A10324">
            <v>9356076</v>
          </cell>
          <cell r="B10324">
            <v>124899</v>
          </cell>
          <cell r="C10324" t="str">
            <v>Felixstowe International College</v>
          </cell>
          <cell r="D10324" t="str">
            <v>Suffolk</v>
          </cell>
          <cell r="E10324" t="str">
            <v>Other Independent School</v>
          </cell>
          <cell r="F10324" t="str">
            <v>Not applicable</v>
          </cell>
        </row>
        <row r="10325">
          <cell r="A10325">
            <v>3844033</v>
          </cell>
          <cell r="B10325">
            <v>108285</v>
          </cell>
          <cell r="C10325" t="str">
            <v>Felkirk Middle School</v>
          </cell>
          <cell r="D10325" t="str">
            <v>Wakefield</v>
          </cell>
          <cell r="E10325" t="str">
            <v>Community School</v>
          </cell>
          <cell r="F10325" t="str">
            <v>Middle Deemed Secondary</v>
          </cell>
        </row>
        <row r="10326">
          <cell r="A10326">
            <v>3902232</v>
          </cell>
          <cell r="B10326">
            <v>108379</v>
          </cell>
          <cell r="C10326" t="str">
            <v>Fell Dyke Community Primary School</v>
          </cell>
          <cell r="D10326" t="str">
            <v>Gateshead</v>
          </cell>
          <cell r="E10326" t="str">
            <v>Community School</v>
          </cell>
          <cell r="F10326" t="str">
            <v>Primary</v>
          </cell>
        </row>
        <row r="10327">
          <cell r="A10327">
            <v>3902047</v>
          </cell>
          <cell r="B10327">
            <v>128096</v>
          </cell>
          <cell r="C10327" t="str">
            <v>Fell Dyke Infants' School</v>
          </cell>
          <cell r="D10327" t="str">
            <v>Gateshead</v>
          </cell>
          <cell r="E10327" t="str">
            <v>Community School</v>
          </cell>
          <cell r="F10327" t="str">
            <v>Primary</v>
          </cell>
        </row>
        <row r="10328">
          <cell r="A10328">
            <v>3902048</v>
          </cell>
          <cell r="B10328">
            <v>128097</v>
          </cell>
          <cell r="C10328" t="str">
            <v>Fell Dyke Junior School</v>
          </cell>
          <cell r="D10328" t="str">
            <v>Gateshead</v>
          </cell>
          <cell r="E10328" t="str">
            <v>Community School</v>
          </cell>
          <cell r="F10328" t="str">
            <v>Primary</v>
          </cell>
        </row>
        <row r="10329">
          <cell r="A10329">
            <v>9096051</v>
          </cell>
          <cell r="B10329">
            <v>133346</v>
          </cell>
          <cell r="C10329" t="str">
            <v>Fell House School</v>
          </cell>
          <cell r="D10329" t="str">
            <v>Cumbria</v>
          </cell>
          <cell r="E10329" t="str">
            <v>Other Independent Special School</v>
          </cell>
          <cell r="F10329" t="str">
            <v>Not applicable</v>
          </cell>
        </row>
        <row r="10330">
          <cell r="A10330">
            <v>3932070</v>
          </cell>
          <cell r="B10330">
            <v>128181</v>
          </cell>
          <cell r="C10330" t="str">
            <v>Fellgate Infant School</v>
          </cell>
          <cell r="D10330" t="str">
            <v>South Tyneside</v>
          </cell>
          <cell r="E10330" t="str">
            <v>Community School</v>
          </cell>
          <cell r="F10330" t="str">
            <v>Primary</v>
          </cell>
        </row>
        <row r="10331">
          <cell r="A10331">
            <v>3932068</v>
          </cell>
          <cell r="B10331">
            <v>128179</v>
          </cell>
          <cell r="C10331" t="str">
            <v>Fellgate Junior School</v>
          </cell>
          <cell r="D10331" t="str">
            <v>South Tyneside</v>
          </cell>
          <cell r="E10331" t="str">
            <v>Community School</v>
          </cell>
          <cell r="F10331" t="str">
            <v>Primary</v>
          </cell>
        </row>
        <row r="10332">
          <cell r="A10332">
            <v>3932085</v>
          </cell>
          <cell r="B10332">
            <v>108706</v>
          </cell>
          <cell r="C10332" t="str">
            <v>Fellgate Primary School</v>
          </cell>
          <cell r="D10332" t="str">
            <v>South Tyneside</v>
          </cell>
          <cell r="E10332" t="str">
            <v>Community School</v>
          </cell>
          <cell r="F10332" t="str">
            <v>Primary</v>
          </cell>
        </row>
        <row r="10333">
          <cell r="A10333">
            <v>9086067</v>
          </cell>
          <cell r="B10333">
            <v>128558</v>
          </cell>
          <cell r="C10333" t="str">
            <v>Fellover School</v>
          </cell>
          <cell r="D10333" t="str">
            <v>Cornwall</v>
          </cell>
          <cell r="E10333" t="str">
            <v>Other Independent School</v>
          </cell>
          <cell r="F10333" t="str">
            <v>Not applicable</v>
          </cell>
        </row>
        <row r="10334">
          <cell r="A10334">
            <v>3902231</v>
          </cell>
          <cell r="B10334">
            <v>108378</v>
          </cell>
          <cell r="C10334" t="str">
            <v>Fellside Community Primary School</v>
          </cell>
          <cell r="D10334" t="str">
            <v>Gateshead</v>
          </cell>
          <cell r="E10334" t="str">
            <v>Community School</v>
          </cell>
          <cell r="F10334" t="str">
            <v>Primary</v>
          </cell>
        </row>
        <row r="10335">
          <cell r="A10335">
            <v>3902192</v>
          </cell>
          <cell r="B10335">
            <v>128104</v>
          </cell>
          <cell r="C10335" t="str">
            <v>Fellside Infant School</v>
          </cell>
          <cell r="D10335" t="str">
            <v>Gateshead</v>
          </cell>
          <cell r="E10335" t="str">
            <v>Community School</v>
          </cell>
          <cell r="F10335" t="str">
            <v>Primary</v>
          </cell>
        </row>
        <row r="10336">
          <cell r="A10336">
            <v>3902190</v>
          </cell>
          <cell r="B10336">
            <v>128103</v>
          </cell>
          <cell r="C10336" t="str">
            <v>Fellside Junior School</v>
          </cell>
          <cell r="D10336" t="str">
            <v>Gateshead</v>
          </cell>
          <cell r="E10336" t="str">
            <v>Community School</v>
          </cell>
          <cell r="F10336" t="str">
            <v>Primary</v>
          </cell>
        </row>
        <row r="10337">
          <cell r="A10337">
            <v>9096052</v>
          </cell>
          <cell r="B10337">
            <v>133941</v>
          </cell>
          <cell r="C10337" t="str">
            <v>Fellside School</v>
          </cell>
          <cell r="D10337" t="str">
            <v>Cumbria</v>
          </cell>
          <cell r="E10337" t="str">
            <v>Other Independent Special School</v>
          </cell>
          <cell r="F10337" t="str">
            <v>Not applicable</v>
          </cell>
        </row>
        <row r="10338">
          <cell r="A10338">
            <v>9092706</v>
          </cell>
          <cell r="B10338">
            <v>112238</v>
          </cell>
          <cell r="C10338" t="str">
            <v>Fellview Primary School</v>
          </cell>
          <cell r="D10338" t="str">
            <v>Cumbria</v>
          </cell>
          <cell r="E10338" t="str">
            <v>Community School</v>
          </cell>
          <cell r="F10338" t="str">
            <v>Primary</v>
          </cell>
        </row>
        <row r="10339">
          <cell r="A10339">
            <v>8812808</v>
          </cell>
          <cell r="B10339">
            <v>115005</v>
          </cell>
          <cell r="C10339" t="str">
            <v>Felmore Infant School</v>
          </cell>
          <cell r="D10339" t="str">
            <v>Essex</v>
          </cell>
          <cell r="E10339" t="str">
            <v>Community School</v>
          </cell>
          <cell r="F10339" t="str">
            <v>Primary</v>
          </cell>
        </row>
        <row r="10340">
          <cell r="A10340">
            <v>8812818</v>
          </cell>
          <cell r="B10340">
            <v>115011</v>
          </cell>
          <cell r="C10340" t="str">
            <v>Felmore Junior School</v>
          </cell>
          <cell r="D10340" t="str">
            <v>Essex</v>
          </cell>
          <cell r="E10340" t="str">
            <v>Community School</v>
          </cell>
          <cell r="F10340" t="str">
            <v>Primary</v>
          </cell>
        </row>
        <row r="10341">
          <cell r="A10341">
            <v>8813825</v>
          </cell>
          <cell r="B10341">
            <v>133573</v>
          </cell>
          <cell r="C10341" t="str">
            <v>Felmore Primary School</v>
          </cell>
          <cell r="D10341" t="str">
            <v>Essex</v>
          </cell>
          <cell r="E10341" t="str">
            <v>Community School</v>
          </cell>
          <cell r="F10341" t="str">
            <v>Primary</v>
          </cell>
        </row>
        <row r="10342">
          <cell r="A10342">
            <v>9384059</v>
          </cell>
          <cell r="B10342">
            <v>126080</v>
          </cell>
          <cell r="C10342" t="str">
            <v>Felpham Community College</v>
          </cell>
          <cell r="D10342" t="str">
            <v>West Sussex</v>
          </cell>
          <cell r="E10342" t="str">
            <v>Community School</v>
          </cell>
          <cell r="F10342" t="str">
            <v>Secondary</v>
          </cell>
        </row>
        <row r="10343">
          <cell r="A10343">
            <v>8812510</v>
          </cell>
          <cell r="B10343">
            <v>114875</v>
          </cell>
          <cell r="C10343" t="str">
            <v>Felsted Primary School</v>
          </cell>
          <cell r="D10343" t="str">
            <v>Essex</v>
          </cell>
          <cell r="E10343" t="str">
            <v>Community School</v>
          </cell>
          <cell r="F10343" t="str">
            <v>Primary</v>
          </cell>
        </row>
        <row r="10344">
          <cell r="A10344">
            <v>8816009</v>
          </cell>
          <cell r="B10344">
            <v>115395</v>
          </cell>
          <cell r="C10344" t="str">
            <v>Felsted School</v>
          </cell>
          <cell r="D10344" t="str">
            <v>Essex</v>
          </cell>
          <cell r="E10344" t="str">
            <v>Other Independent School</v>
          </cell>
          <cell r="F10344" t="str">
            <v>Not applicable</v>
          </cell>
        </row>
        <row r="10345">
          <cell r="A10345">
            <v>3134023</v>
          </cell>
          <cell r="B10345">
            <v>102535</v>
          </cell>
          <cell r="C10345" t="str">
            <v>Feltham Community College</v>
          </cell>
          <cell r="D10345" t="str">
            <v>Hounslow</v>
          </cell>
          <cell r="E10345" t="str">
            <v>Foundation School</v>
          </cell>
          <cell r="F10345" t="str">
            <v>Secondary</v>
          </cell>
        </row>
        <row r="10346">
          <cell r="A10346">
            <v>3134023</v>
          </cell>
          <cell r="B10346">
            <v>137618</v>
          </cell>
          <cell r="C10346" t="str">
            <v>Feltham Community College</v>
          </cell>
          <cell r="D10346" t="str">
            <v>Hounslow</v>
          </cell>
          <cell r="E10346" t="str">
            <v>Academy Converters</v>
          </cell>
          <cell r="F10346" t="str">
            <v>Secondary</v>
          </cell>
        </row>
        <row r="10347">
          <cell r="A10347">
            <v>3132021</v>
          </cell>
          <cell r="B10347">
            <v>102484</v>
          </cell>
          <cell r="C10347" t="str">
            <v>Feltham Hill Infant and Nursery School</v>
          </cell>
          <cell r="D10347" t="str">
            <v>Hounslow</v>
          </cell>
          <cell r="E10347" t="str">
            <v>Community School</v>
          </cell>
          <cell r="F10347" t="str">
            <v>Primary</v>
          </cell>
        </row>
        <row r="10348">
          <cell r="A10348">
            <v>3132020</v>
          </cell>
          <cell r="B10348">
            <v>102483</v>
          </cell>
          <cell r="C10348" t="str">
            <v>Feltham Hill Junior School</v>
          </cell>
          <cell r="D10348" t="str">
            <v>Hounslow</v>
          </cell>
          <cell r="E10348" t="str">
            <v>Community School</v>
          </cell>
          <cell r="F10348" t="str">
            <v>Primary</v>
          </cell>
        </row>
        <row r="10349">
          <cell r="A10349">
            <v>9263029</v>
          </cell>
          <cell r="B10349">
            <v>129618</v>
          </cell>
          <cell r="C10349" t="str">
            <v>Felthorpe First School</v>
          </cell>
          <cell r="D10349" t="str">
            <v>Norfolk</v>
          </cell>
          <cell r="E10349" t="str">
            <v>Voluntary Controlled School</v>
          </cell>
          <cell r="F10349" t="str">
            <v>Primary</v>
          </cell>
        </row>
        <row r="10350">
          <cell r="A10350">
            <v>9293095</v>
          </cell>
          <cell r="B10350">
            <v>122273</v>
          </cell>
          <cell r="C10350" t="str">
            <v>Felton Church of England First School</v>
          </cell>
          <cell r="D10350" t="str">
            <v>Northumberland</v>
          </cell>
          <cell r="E10350" t="str">
            <v>Voluntary Controlled School</v>
          </cell>
          <cell r="F10350" t="str">
            <v>Primary</v>
          </cell>
        </row>
        <row r="10351">
          <cell r="A10351">
            <v>9366090</v>
          </cell>
          <cell r="B10351">
            <v>125359</v>
          </cell>
          <cell r="C10351" t="str">
            <v>Feltonfleet School</v>
          </cell>
          <cell r="D10351" t="str">
            <v>Surrey</v>
          </cell>
          <cell r="E10351" t="str">
            <v>Other Independent School</v>
          </cell>
          <cell r="F10351" t="str">
            <v>Not applicable</v>
          </cell>
        </row>
        <row r="10352">
          <cell r="A10352">
            <v>8732009</v>
          </cell>
          <cell r="B10352">
            <v>110605</v>
          </cell>
          <cell r="C10352" t="str">
            <v>Fen Ditton Primary School</v>
          </cell>
          <cell r="D10352" t="str">
            <v>Cambridgeshire</v>
          </cell>
          <cell r="E10352" t="str">
            <v>Community School</v>
          </cell>
          <cell r="F10352" t="str">
            <v>Primary</v>
          </cell>
        </row>
        <row r="10353">
          <cell r="A10353">
            <v>8732010</v>
          </cell>
          <cell r="B10353">
            <v>110606</v>
          </cell>
          <cell r="C10353" t="str">
            <v>Fen Drayton Primary School</v>
          </cell>
          <cell r="D10353" t="str">
            <v>Cambridgeshire</v>
          </cell>
          <cell r="E10353" t="str">
            <v>Community School</v>
          </cell>
          <cell r="F10353" t="str">
            <v>Primary</v>
          </cell>
        </row>
        <row r="10354">
          <cell r="A10354">
            <v>9352142</v>
          </cell>
          <cell r="B10354">
            <v>124635</v>
          </cell>
          <cell r="C10354" t="str">
            <v>Fen Park Community Primary School</v>
          </cell>
          <cell r="D10354" t="str">
            <v>Suffolk</v>
          </cell>
          <cell r="E10354" t="str">
            <v>Community School</v>
          </cell>
          <cell r="F10354" t="str">
            <v>Primary</v>
          </cell>
        </row>
        <row r="10355">
          <cell r="A10355">
            <v>9256037</v>
          </cell>
          <cell r="B10355">
            <v>120742</v>
          </cell>
          <cell r="C10355" t="str">
            <v>Fen School</v>
          </cell>
          <cell r="D10355" t="str">
            <v>Lincolnshire</v>
          </cell>
          <cell r="E10355" t="str">
            <v>Other Independent School</v>
          </cell>
          <cell r="F10355" t="str">
            <v>Not applicable</v>
          </cell>
        </row>
        <row r="10356">
          <cell r="A10356">
            <v>3804062</v>
          </cell>
          <cell r="B10356">
            <v>127742</v>
          </cell>
          <cell r="C10356" t="str">
            <v>Fenby Middle School</v>
          </cell>
          <cell r="D10356" t="str">
            <v>Bradford</v>
          </cell>
          <cell r="E10356" t="str">
            <v>Community School</v>
          </cell>
          <cell r="F10356" t="str">
            <v>Middle Deemed Secondary</v>
          </cell>
        </row>
        <row r="10357">
          <cell r="A10357">
            <v>3442252</v>
          </cell>
          <cell r="B10357">
            <v>105039</v>
          </cell>
          <cell r="C10357" t="str">
            <v>Fender Primary School</v>
          </cell>
          <cell r="D10357" t="str">
            <v>Wirral</v>
          </cell>
          <cell r="E10357" t="str">
            <v>Community School</v>
          </cell>
          <cell r="F10357" t="str">
            <v>Primary</v>
          </cell>
        </row>
        <row r="10358">
          <cell r="A10358">
            <v>8892070</v>
          </cell>
          <cell r="B10358">
            <v>119163</v>
          </cell>
          <cell r="C10358" t="str">
            <v>Feniscowles Primary School</v>
          </cell>
          <cell r="D10358" t="str">
            <v>Blackburn with Darwen</v>
          </cell>
          <cell r="E10358" t="str">
            <v>Community School</v>
          </cell>
          <cell r="F10358" t="str">
            <v>Primary</v>
          </cell>
        </row>
        <row r="10359">
          <cell r="A10359">
            <v>8783312</v>
          </cell>
          <cell r="B10359">
            <v>113433</v>
          </cell>
          <cell r="C10359" t="str">
            <v>Feniton Church of England Primary School</v>
          </cell>
          <cell r="D10359" t="str">
            <v>Devon</v>
          </cell>
          <cell r="E10359" t="str">
            <v>Voluntary Aided School</v>
          </cell>
          <cell r="F10359" t="str">
            <v>Primary</v>
          </cell>
        </row>
        <row r="10360">
          <cell r="A10360">
            <v>8731101</v>
          </cell>
          <cell r="B10360">
            <v>133588</v>
          </cell>
          <cell r="C10360" t="str">
            <v>Fenland Junction PRU</v>
          </cell>
          <cell r="D10360" t="str">
            <v>Cambridgeshire</v>
          </cell>
          <cell r="E10360" t="str">
            <v>Pupil Referral Unit</v>
          </cell>
          <cell r="F10360" t="str">
            <v>PRU</v>
          </cell>
        </row>
        <row r="10361">
          <cell r="A10361">
            <v>9373026</v>
          </cell>
          <cell r="B10361">
            <v>125633</v>
          </cell>
          <cell r="C10361" t="str">
            <v>Fenny Compton CofE Junior and Infant School</v>
          </cell>
          <cell r="D10361" t="str">
            <v>Warwickshire</v>
          </cell>
          <cell r="E10361" t="str">
            <v>Voluntary Controlled School</v>
          </cell>
          <cell r="F10361" t="str">
            <v>Primary</v>
          </cell>
        </row>
        <row r="10362">
          <cell r="A10362">
            <v>8052187</v>
          </cell>
          <cell r="B10362">
            <v>111600</v>
          </cell>
          <cell r="C10362" t="str">
            <v>Fens Primary School</v>
          </cell>
          <cell r="D10362" t="str">
            <v>Hartlepool</v>
          </cell>
          <cell r="E10362" t="str">
            <v>Community School</v>
          </cell>
          <cell r="F10362" t="str">
            <v>Primary</v>
          </cell>
        </row>
        <row r="10363">
          <cell r="A10363">
            <v>8732208</v>
          </cell>
          <cell r="B10363">
            <v>110676</v>
          </cell>
          <cell r="C10363" t="str">
            <v>Fenstanton and Hilton Primary School</v>
          </cell>
          <cell r="D10363" t="str">
            <v>Cambridgeshire</v>
          </cell>
          <cell r="E10363" t="str">
            <v>Community School</v>
          </cell>
          <cell r="F10363" t="str">
            <v>Primary</v>
          </cell>
        </row>
        <row r="10364">
          <cell r="A10364">
            <v>2082784</v>
          </cell>
          <cell r="B10364">
            <v>100594</v>
          </cell>
          <cell r="C10364" t="str">
            <v>Fenstanton Junior School</v>
          </cell>
          <cell r="D10364" t="str">
            <v>Lambeth</v>
          </cell>
          <cell r="E10364" t="str">
            <v>Community School</v>
          </cell>
          <cell r="F10364" t="str">
            <v>Primary</v>
          </cell>
        </row>
        <row r="10365">
          <cell r="A10365">
            <v>2082785</v>
          </cell>
          <cell r="B10365">
            <v>100595</v>
          </cell>
          <cell r="C10365" t="str">
            <v>Fenstanton Primary School</v>
          </cell>
          <cell r="D10365" t="str">
            <v>Lambeth</v>
          </cell>
          <cell r="E10365" t="str">
            <v>Community School</v>
          </cell>
          <cell r="F10365" t="str">
            <v>Primary</v>
          </cell>
        </row>
        <row r="10366">
          <cell r="A10366">
            <v>6682214</v>
          </cell>
          <cell r="B10366">
            <v>400653</v>
          </cell>
          <cell r="C10366" t="str">
            <v>Fenton C.P</v>
          </cell>
          <cell r="D10366" t="str">
            <v>Pembrokeshire</v>
          </cell>
          <cell r="E10366" t="str">
            <v>Welsh Establishment</v>
          </cell>
          <cell r="F10366" t="str">
            <v>Primary</v>
          </cell>
        </row>
        <row r="10367">
          <cell r="A10367">
            <v>3721104</v>
          </cell>
          <cell r="B10367">
            <v>134284</v>
          </cell>
          <cell r="C10367" t="str">
            <v>Fenton Wood PRU</v>
          </cell>
          <cell r="D10367" t="str">
            <v>Rotherham</v>
          </cell>
          <cell r="E10367" t="str">
            <v>Pupil Referral Unit</v>
          </cell>
          <cell r="F10367" t="str">
            <v>PRU</v>
          </cell>
        </row>
        <row r="10368">
          <cell r="A10368">
            <v>9204472</v>
          </cell>
          <cell r="B10368">
            <v>129304</v>
          </cell>
          <cell r="C10368" t="str">
            <v>Ferens Junior High School</v>
          </cell>
          <cell r="D10368" t="str">
            <v>Pre LGR (1996) Humberside</v>
          </cell>
          <cell r="E10368" t="str">
            <v>Community School</v>
          </cell>
          <cell r="F10368" t="str">
            <v>Secondary</v>
          </cell>
        </row>
        <row r="10369">
          <cell r="A10369">
            <v>9202819</v>
          </cell>
          <cell r="B10369">
            <v>129248</v>
          </cell>
          <cell r="C10369" t="str">
            <v>Ferens Primary School</v>
          </cell>
          <cell r="D10369" t="str">
            <v>Pre LGR (1996) Humberside</v>
          </cell>
          <cell r="E10369" t="str">
            <v>Community School</v>
          </cell>
          <cell r="F10369" t="str">
            <v>Primary</v>
          </cell>
        </row>
        <row r="10370">
          <cell r="A10370">
            <v>3722013</v>
          </cell>
          <cell r="B10370">
            <v>106839</v>
          </cell>
          <cell r="C10370" t="str">
            <v>Ferham Primary School</v>
          </cell>
          <cell r="D10370" t="str">
            <v>Rotherham</v>
          </cell>
          <cell r="E10370" t="str">
            <v>Community School</v>
          </cell>
          <cell r="F10370" t="str">
            <v>Primary</v>
          </cell>
        </row>
        <row r="10371">
          <cell r="A10371">
            <v>3142037</v>
          </cell>
          <cell r="B10371">
            <v>131097</v>
          </cell>
          <cell r="C10371" t="str">
            <v>Fern Hill Primary School</v>
          </cell>
          <cell r="D10371" t="str">
            <v>Kingston upon Thames</v>
          </cell>
          <cell r="E10371" t="str">
            <v>Community School</v>
          </cell>
          <cell r="F10371" t="str">
            <v>Primary</v>
          </cell>
        </row>
        <row r="10372">
          <cell r="A10372">
            <v>3717009</v>
          </cell>
          <cell r="B10372">
            <v>106823</v>
          </cell>
          <cell r="C10372" t="str">
            <v>Fernbank School (Severe Learning Difficulties)</v>
          </cell>
          <cell r="D10372" t="str">
            <v>Doncaster</v>
          </cell>
          <cell r="E10372" t="str">
            <v>Community Special School</v>
          </cell>
          <cell r="F10372" t="str">
            <v>Special</v>
          </cell>
        </row>
        <row r="10373">
          <cell r="A10373">
            <v>6744083</v>
          </cell>
          <cell r="B10373">
            <v>401814</v>
          </cell>
          <cell r="C10373" t="str">
            <v>Ferndale Community School</v>
          </cell>
          <cell r="D10373" t="str">
            <v>Rhondda, Cynon, Taff</v>
          </cell>
          <cell r="E10373" t="str">
            <v>Welsh Establishment</v>
          </cell>
          <cell r="F10373" t="str">
            <v>Secondary</v>
          </cell>
        </row>
        <row r="10374">
          <cell r="A10374">
            <v>8662106</v>
          </cell>
          <cell r="B10374">
            <v>126216</v>
          </cell>
          <cell r="C10374" t="str">
            <v>Ferndale Infant School</v>
          </cell>
          <cell r="D10374" t="str">
            <v>Swindon</v>
          </cell>
          <cell r="E10374" t="str">
            <v>Community School</v>
          </cell>
          <cell r="F10374" t="str">
            <v>Primary</v>
          </cell>
        </row>
        <row r="10375">
          <cell r="A10375">
            <v>6742115</v>
          </cell>
          <cell r="B10375">
            <v>401170</v>
          </cell>
          <cell r="C10375" t="str">
            <v>Ferndale Infants School</v>
          </cell>
          <cell r="D10375" t="str">
            <v>Rhondda, Cynon, Taff</v>
          </cell>
          <cell r="E10375" t="str">
            <v>Welsh Establishment</v>
          </cell>
          <cell r="F10375" t="str">
            <v>Primary</v>
          </cell>
        </row>
        <row r="10376">
          <cell r="A10376">
            <v>8662105</v>
          </cell>
          <cell r="B10376">
            <v>126215</v>
          </cell>
          <cell r="C10376" t="str">
            <v>Ferndale Junior School</v>
          </cell>
          <cell r="D10376" t="str">
            <v>Swindon</v>
          </cell>
          <cell r="E10376" t="str">
            <v>Community School</v>
          </cell>
          <cell r="F10376" t="str">
            <v>Primary</v>
          </cell>
        </row>
        <row r="10377">
          <cell r="A10377">
            <v>9316084</v>
          </cell>
          <cell r="B10377">
            <v>123304</v>
          </cell>
          <cell r="C10377" t="str">
            <v>Ferndale Preparatory School</v>
          </cell>
          <cell r="D10377" t="str">
            <v>Oxfordshire</v>
          </cell>
          <cell r="E10377" t="str">
            <v>Other Independent School</v>
          </cell>
          <cell r="F10377" t="str">
            <v>Not applicable</v>
          </cell>
        </row>
        <row r="10378">
          <cell r="A10378">
            <v>3332177</v>
          </cell>
          <cell r="B10378">
            <v>103982</v>
          </cell>
          <cell r="C10378" t="str">
            <v>Ferndale Primary School</v>
          </cell>
          <cell r="D10378" t="str">
            <v>Sandwell</v>
          </cell>
          <cell r="E10378" t="str">
            <v>Community School</v>
          </cell>
          <cell r="F10378" t="str">
            <v>Primary</v>
          </cell>
        </row>
        <row r="10379">
          <cell r="A10379">
            <v>8663466</v>
          </cell>
          <cell r="B10379">
            <v>135522</v>
          </cell>
          <cell r="C10379" t="str">
            <v>Ferndale Primary School</v>
          </cell>
          <cell r="D10379" t="str">
            <v>Swindon</v>
          </cell>
          <cell r="E10379" t="str">
            <v>Community School</v>
          </cell>
          <cell r="F10379" t="str">
            <v>Primary</v>
          </cell>
        </row>
        <row r="10380">
          <cell r="A10380">
            <v>9077010</v>
          </cell>
          <cell r="B10380">
            <v>133182</v>
          </cell>
          <cell r="C10380" t="str">
            <v>Ferndale School</v>
          </cell>
          <cell r="D10380" t="str">
            <v>Pre LGR (1996) Cleveland</v>
          </cell>
          <cell r="E10380" t="str">
            <v>Community Special School</v>
          </cell>
          <cell r="F10380" t="str">
            <v>Special</v>
          </cell>
        </row>
        <row r="10381">
          <cell r="A10381">
            <v>8866126</v>
          </cell>
          <cell r="B10381">
            <v>135510</v>
          </cell>
          <cell r="C10381" t="str">
            <v>Ferndearle</v>
          </cell>
          <cell r="D10381" t="str">
            <v>Kent</v>
          </cell>
          <cell r="E10381" t="str">
            <v>Other Independent Special School</v>
          </cell>
          <cell r="F10381" t="str">
            <v>Not applicable</v>
          </cell>
        </row>
        <row r="10382">
          <cell r="A10382">
            <v>8352020</v>
          </cell>
          <cell r="B10382">
            <v>113667</v>
          </cell>
          <cell r="C10382" t="str">
            <v>Ferndown First School</v>
          </cell>
          <cell r="D10382" t="str">
            <v>Dorset</v>
          </cell>
          <cell r="E10382" t="str">
            <v>Community School</v>
          </cell>
          <cell r="F10382" t="str">
            <v>Primary</v>
          </cell>
        </row>
        <row r="10383">
          <cell r="A10383">
            <v>8354184</v>
          </cell>
          <cell r="B10383">
            <v>113878</v>
          </cell>
          <cell r="C10383" t="str">
            <v>Ferndown Middle School</v>
          </cell>
          <cell r="D10383" t="str">
            <v>Dorset</v>
          </cell>
          <cell r="E10383" t="str">
            <v>Community School</v>
          </cell>
          <cell r="F10383" t="str">
            <v>Middle Deemed Secondary</v>
          </cell>
        </row>
        <row r="10384">
          <cell r="A10384">
            <v>8354022</v>
          </cell>
          <cell r="B10384">
            <v>113854</v>
          </cell>
          <cell r="C10384" t="str">
            <v>Ferndown Upper School</v>
          </cell>
          <cell r="D10384" t="str">
            <v>Dorset</v>
          </cell>
          <cell r="E10384" t="str">
            <v>Community School</v>
          </cell>
          <cell r="F10384" t="str">
            <v>Secondary</v>
          </cell>
        </row>
        <row r="10385">
          <cell r="A10385">
            <v>3537001</v>
          </cell>
          <cell r="B10385">
            <v>105750</v>
          </cell>
          <cell r="C10385" t="str">
            <v>Ferney Field Community Special School</v>
          </cell>
          <cell r="D10385" t="str">
            <v>Oldham</v>
          </cell>
          <cell r="E10385" t="str">
            <v>Community Special School</v>
          </cell>
          <cell r="F10385" t="str">
            <v>Special</v>
          </cell>
        </row>
        <row r="10386">
          <cell r="A10386">
            <v>3812003</v>
          </cell>
          <cell r="B10386">
            <v>107478</v>
          </cell>
          <cell r="C10386" t="str">
            <v>Ferney Lee Primary School</v>
          </cell>
          <cell r="D10386" t="str">
            <v>Calderdale</v>
          </cell>
          <cell r="E10386" t="str">
            <v>Community School</v>
          </cell>
          <cell r="F10386" t="str">
            <v>Primary</v>
          </cell>
        </row>
        <row r="10387">
          <cell r="A10387">
            <v>9172525</v>
          </cell>
          <cell r="B10387">
            <v>129009</v>
          </cell>
          <cell r="C10387" t="str">
            <v>Fernhill County Infant School</v>
          </cell>
          <cell r="D10387" t="str">
            <v>Pre LGR (1997) Hampshire</v>
          </cell>
          <cell r="E10387" t="str">
            <v>Community School</v>
          </cell>
          <cell r="F10387" t="str">
            <v>Primary</v>
          </cell>
        </row>
        <row r="10388">
          <cell r="A10388">
            <v>9172513</v>
          </cell>
          <cell r="B10388">
            <v>129008</v>
          </cell>
          <cell r="C10388" t="str">
            <v>Fernhill County Junior School</v>
          </cell>
          <cell r="D10388" t="str">
            <v>Pre LGR (1997) Hampshire</v>
          </cell>
          <cell r="E10388" t="str">
            <v>Community School</v>
          </cell>
          <cell r="F10388" t="str">
            <v>Primary</v>
          </cell>
        </row>
        <row r="10389">
          <cell r="A10389">
            <v>8502735</v>
          </cell>
          <cell r="B10389">
            <v>116240</v>
          </cell>
          <cell r="C10389" t="str">
            <v>Fernhill Primary School</v>
          </cell>
          <cell r="D10389" t="str">
            <v>Hampshire</v>
          </cell>
          <cell r="E10389" t="str">
            <v>Community School</v>
          </cell>
          <cell r="F10389" t="str">
            <v>Primary</v>
          </cell>
        </row>
        <row r="10390">
          <cell r="A10390">
            <v>8504204</v>
          </cell>
          <cell r="B10390">
            <v>116447</v>
          </cell>
          <cell r="C10390" t="str">
            <v>Fernhill School</v>
          </cell>
          <cell r="D10390" t="str">
            <v>Hampshire</v>
          </cell>
          <cell r="E10390" t="str">
            <v>Community School</v>
          </cell>
          <cell r="F10390" t="str">
            <v>Secondary</v>
          </cell>
        </row>
        <row r="10391">
          <cell r="A10391">
            <v>8512714</v>
          </cell>
          <cell r="B10391">
            <v>116221</v>
          </cell>
          <cell r="C10391" t="str">
            <v>Fernhurst Junior School</v>
          </cell>
          <cell r="D10391" t="str">
            <v>Portsmouth</v>
          </cell>
          <cell r="E10391" t="str">
            <v>Community School</v>
          </cell>
          <cell r="F10391" t="str">
            <v>Primary</v>
          </cell>
        </row>
        <row r="10392">
          <cell r="A10392">
            <v>9382108</v>
          </cell>
          <cell r="B10392">
            <v>125877</v>
          </cell>
          <cell r="C10392" t="str">
            <v>Fernhurst Primary School</v>
          </cell>
          <cell r="D10392" t="str">
            <v>West Sussex</v>
          </cell>
          <cell r="E10392" t="str">
            <v>Community School</v>
          </cell>
          <cell r="F10392" t="str">
            <v>Primary</v>
          </cell>
        </row>
        <row r="10393">
          <cell r="A10393">
            <v>2057088</v>
          </cell>
          <cell r="B10393">
            <v>126628</v>
          </cell>
          <cell r="C10393" t="str">
            <v>Fernhurst School</v>
          </cell>
          <cell r="D10393" t="str">
            <v>Hammersmith and Fulham</v>
          </cell>
          <cell r="E10393" t="str">
            <v>Community Special School</v>
          </cell>
          <cell r="F10393" t="str">
            <v>Special</v>
          </cell>
        </row>
        <row r="10394">
          <cell r="A10394">
            <v>8897001</v>
          </cell>
          <cell r="B10394">
            <v>134258</v>
          </cell>
          <cell r="C10394" t="str">
            <v>Fernhurst Secondary SEBD School</v>
          </cell>
          <cell r="D10394" t="str">
            <v>Blackburn with Darwen</v>
          </cell>
          <cell r="E10394" t="str">
            <v>Community Special School</v>
          </cell>
          <cell r="F10394" t="str">
            <v>Special</v>
          </cell>
        </row>
        <row r="10395">
          <cell r="A10395">
            <v>3802149</v>
          </cell>
          <cell r="B10395">
            <v>107276</v>
          </cell>
          <cell r="C10395" t="str">
            <v>Ferniehurst First School</v>
          </cell>
          <cell r="D10395" t="str">
            <v>Bradford</v>
          </cell>
          <cell r="E10395" t="str">
            <v>Community School</v>
          </cell>
          <cell r="F10395" t="str">
            <v>Primary</v>
          </cell>
        </row>
        <row r="10396">
          <cell r="A10396">
            <v>9102267</v>
          </cell>
          <cell r="B10396">
            <v>128622</v>
          </cell>
          <cell r="C10396" t="str">
            <v>Fernilee Infant School</v>
          </cell>
          <cell r="D10396" t="str">
            <v>Pre LGR (1997) Derbyshire</v>
          </cell>
          <cell r="E10396" t="str">
            <v>Community School</v>
          </cell>
          <cell r="F10396" t="str">
            <v>Primary</v>
          </cell>
        </row>
        <row r="10397">
          <cell r="A10397">
            <v>8552149</v>
          </cell>
          <cell r="B10397">
            <v>119967</v>
          </cell>
          <cell r="C10397" t="str">
            <v>Fernvale Primary School</v>
          </cell>
          <cell r="D10397" t="str">
            <v>Leicestershire</v>
          </cell>
          <cell r="E10397" t="str">
            <v>Community School</v>
          </cell>
          <cell r="F10397" t="str">
            <v>Primary</v>
          </cell>
        </row>
        <row r="10398">
          <cell r="A10398">
            <v>8922129</v>
          </cell>
          <cell r="B10398">
            <v>122466</v>
          </cell>
          <cell r="C10398" t="str">
            <v>Fernwood Infant School</v>
          </cell>
          <cell r="D10398" t="str">
            <v>Nottingham</v>
          </cell>
          <cell r="E10398" t="str">
            <v>Community School</v>
          </cell>
          <cell r="F10398" t="str">
            <v>Primary</v>
          </cell>
        </row>
        <row r="10399">
          <cell r="A10399">
            <v>8922054</v>
          </cell>
          <cell r="B10399">
            <v>122411</v>
          </cell>
          <cell r="C10399" t="str">
            <v>Fernwood Junior School</v>
          </cell>
          <cell r="D10399" t="str">
            <v>Nottingham</v>
          </cell>
          <cell r="E10399" t="str">
            <v>Community School</v>
          </cell>
          <cell r="F10399" t="str">
            <v>Primary</v>
          </cell>
        </row>
        <row r="10400">
          <cell r="A10400">
            <v>8924064</v>
          </cell>
          <cell r="B10400">
            <v>122838</v>
          </cell>
          <cell r="C10400" t="str">
            <v>Fernwood School</v>
          </cell>
          <cell r="D10400" t="str">
            <v>Nottingham</v>
          </cell>
          <cell r="E10400" t="str">
            <v>Foundation School</v>
          </cell>
          <cell r="F10400" t="str">
            <v>Secondary</v>
          </cell>
        </row>
        <row r="10401">
          <cell r="A10401">
            <v>8236015</v>
          </cell>
          <cell r="B10401">
            <v>131180</v>
          </cell>
          <cell r="C10401" t="str">
            <v>Fernwood School</v>
          </cell>
          <cell r="D10401" t="str">
            <v>Central Bedfordshire</v>
          </cell>
          <cell r="E10401" t="str">
            <v>Other Independent School</v>
          </cell>
          <cell r="F10401" t="str">
            <v>Not applicable</v>
          </cell>
        </row>
        <row r="10402">
          <cell r="A10402">
            <v>8924064</v>
          </cell>
          <cell r="B10402">
            <v>136724</v>
          </cell>
          <cell r="C10402" t="str">
            <v>Fernwood School</v>
          </cell>
          <cell r="D10402" t="str">
            <v>Nottingham</v>
          </cell>
          <cell r="E10402" t="str">
            <v>Academy Converters</v>
          </cell>
          <cell r="F10402" t="str">
            <v>Secondary</v>
          </cell>
        </row>
        <row r="10403">
          <cell r="A10403">
            <v>8212230</v>
          </cell>
          <cell r="B10403">
            <v>109539</v>
          </cell>
          <cell r="C10403" t="str">
            <v>Ferrars Infant School</v>
          </cell>
          <cell r="D10403" t="str">
            <v>Luton</v>
          </cell>
          <cell r="E10403" t="str">
            <v>Community School</v>
          </cell>
          <cell r="F10403" t="str">
            <v>Primary</v>
          </cell>
        </row>
        <row r="10404">
          <cell r="A10404">
            <v>8212231</v>
          </cell>
          <cell r="B10404">
            <v>109540</v>
          </cell>
          <cell r="C10404" t="str">
            <v>Ferrars Junior School</v>
          </cell>
          <cell r="D10404" t="str">
            <v>Luton</v>
          </cell>
          <cell r="E10404" t="str">
            <v>Community School</v>
          </cell>
          <cell r="F10404" t="str">
            <v>Primary</v>
          </cell>
        </row>
        <row r="10405">
          <cell r="A10405">
            <v>8572315</v>
          </cell>
          <cell r="B10405">
            <v>120045</v>
          </cell>
          <cell r="C10405" t="str">
            <v>Ferrers Primary School</v>
          </cell>
          <cell r="D10405" t="str">
            <v>Rutland</v>
          </cell>
          <cell r="E10405" t="str">
            <v>Community School</v>
          </cell>
          <cell r="F10405" t="str">
            <v>Primary</v>
          </cell>
        </row>
        <row r="10406">
          <cell r="A10406">
            <v>8307004</v>
          </cell>
          <cell r="B10406">
            <v>131324</v>
          </cell>
          <cell r="C10406" t="str">
            <v>Ferriby School</v>
          </cell>
          <cell r="D10406" t="str">
            <v>Derbyshire</v>
          </cell>
          <cell r="E10406" t="str">
            <v>Community Special School</v>
          </cell>
          <cell r="F10406" t="str">
            <v>Special</v>
          </cell>
        </row>
        <row r="10407">
          <cell r="A10407">
            <v>9383016</v>
          </cell>
          <cell r="B10407">
            <v>125982</v>
          </cell>
          <cell r="C10407" t="str">
            <v>Ferring CofE Primary School</v>
          </cell>
          <cell r="D10407" t="str">
            <v>West Sussex</v>
          </cell>
          <cell r="E10407" t="str">
            <v>Voluntary Controlled School</v>
          </cell>
          <cell r="F10407" t="str">
            <v>Primary</v>
          </cell>
        </row>
        <row r="10408">
          <cell r="A10408">
            <v>3092065</v>
          </cell>
          <cell r="B10408">
            <v>102127</v>
          </cell>
          <cell r="C10408" t="str">
            <v>Ferry Lane Primary School</v>
          </cell>
          <cell r="D10408" t="str">
            <v>Haringey</v>
          </cell>
          <cell r="E10408" t="str">
            <v>Community School</v>
          </cell>
          <cell r="F10408" t="str">
            <v>Primary</v>
          </cell>
        </row>
        <row r="10409">
          <cell r="A10409">
            <v>8404150</v>
          </cell>
          <cell r="B10409">
            <v>114299</v>
          </cell>
          <cell r="C10409" t="str">
            <v>Ferryhill Business Enterprise College</v>
          </cell>
          <cell r="D10409" t="str">
            <v>Durham</v>
          </cell>
          <cell r="E10409" t="str">
            <v>Community School</v>
          </cell>
          <cell r="F10409" t="str">
            <v>Secondary</v>
          </cell>
        </row>
        <row r="10410">
          <cell r="A10410">
            <v>8402368</v>
          </cell>
          <cell r="B10410">
            <v>114078</v>
          </cell>
          <cell r="C10410" t="str">
            <v>Ferryhill Station Primary School</v>
          </cell>
          <cell r="D10410" t="str">
            <v>Durham</v>
          </cell>
          <cell r="E10410" t="str">
            <v>Community School</v>
          </cell>
          <cell r="F10410" t="str">
            <v>Primary</v>
          </cell>
        </row>
        <row r="10411">
          <cell r="A10411">
            <v>6693013</v>
          </cell>
          <cell r="B10411">
            <v>400849</v>
          </cell>
          <cell r="C10411" t="str">
            <v>Ferryside VCP</v>
          </cell>
          <cell r="D10411" t="str">
            <v>Carmarthenshire</v>
          </cell>
          <cell r="E10411" t="str">
            <v>Welsh Establishment</v>
          </cell>
          <cell r="F10411" t="str">
            <v>Primary</v>
          </cell>
        </row>
        <row r="10412">
          <cell r="A10412">
            <v>9362150</v>
          </cell>
          <cell r="B10412">
            <v>124983</v>
          </cell>
          <cell r="C10412" t="str">
            <v>Fetcham Village Infant School</v>
          </cell>
          <cell r="D10412" t="str">
            <v>Surrey</v>
          </cell>
          <cell r="E10412" t="str">
            <v>Community School</v>
          </cell>
          <cell r="F10412" t="str">
            <v>Primary</v>
          </cell>
        </row>
        <row r="10413">
          <cell r="A10413">
            <v>3806105</v>
          </cell>
          <cell r="B10413">
            <v>107456</v>
          </cell>
          <cell r="C10413" t="str">
            <v>Feversham College</v>
          </cell>
          <cell r="D10413" t="str">
            <v>Bradford</v>
          </cell>
          <cell r="E10413" t="str">
            <v>Other Independent School</v>
          </cell>
          <cell r="F10413" t="str">
            <v>Not applicable</v>
          </cell>
        </row>
        <row r="10414">
          <cell r="A10414">
            <v>3804613</v>
          </cell>
          <cell r="B10414">
            <v>133450</v>
          </cell>
          <cell r="C10414" t="str">
            <v>Feversham College</v>
          </cell>
          <cell r="D10414" t="str">
            <v>Bradford</v>
          </cell>
          <cell r="E10414" t="str">
            <v>Voluntary Aided School</v>
          </cell>
          <cell r="F10414" t="str">
            <v>Secondary</v>
          </cell>
        </row>
        <row r="10415">
          <cell r="A10415">
            <v>3804613</v>
          </cell>
          <cell r="B10415">
            <v>136962</v>
          </cell>
          <cell r="C10415" t="str">
            <v>Feversham College</v>
          </cell>
          <cell r="D10415" t="str">
            <v>Bradford</v>
          </cell>
          <cell r="E10415" t="str">
            <v>Academy Converters</v>
          </cell>
          <cell r="F10415" t="str">
            <v>Secondary</v>
          </cell>
        </row>
        <row r="10416">
          <cell r="A10416">
            <v>3802177</v>
          </cell>
          <cell r="B10416">
            <v>107289</v>
          </cell>
          <cell r="C10416" t="str">
            <v>Feversham Primary School</v>
          </cell>
          <cell r="D10416" t="str">
            <v>Bradford</v>
          </cell>
          <cell r="E10416" t="str">
            <v>Community School</v>
          </cell>
          <cell r="F10416" t="str">
            <v>Primary</v>
          </cell>
        </row>
        <row r="10417">
          <cell r="A10417">
            <v>3917016</v>
          </cell>
          <cell r="B10417">
            <v>108552</v>
          </cell>
          <cell r="C10417" t="str">
            <v>Feversham School</v>
          </cell>
          <cell r="D10417" t="str">
            <v>Newcastle upon Tyne</v>
          </cell>
          <cell r="E10417" t="str">
            <v>Non-Maintained Special School</v>
          </cell>
          <cell r="F10417" t="str">
            <v>Special</v>
          </cell>
        </row>
        <row r="10418">
          <cell r="A10418">
            <v>6722122</v>
          </cell>
          <cell r="B10418">
            <v>401034</v>
          </cell>
          <cell r="C10418" t="str">
            <v>Ffaldau Primary School</v>
          </cell>
          <cell r="D10418" t="str">
            <v>Bridgend</v>
          </cell>
          <cell r="E10418" t="str">
            <v>Welsh Establishment</v>
          </cell>
          <cell r="F10418" t="str">
            <v>Primary</v>
          </cell>
        </row>
        <row r="10419">
          <cell r="A10419">
            <v>6696014</v>
          </cell>
          <cell r="B10419">
            <v>402266</v>
          </cell>
          <cell r="C10419" t="str">
            <v>Fforest Lodge</v>
          </cell>
          <cell r="D10419" t="str">
            <v>Carmarthenshire</v>
          </cell>
          <cell r="E10419" t="str">
            <v>Welsh Establishment</v>
          </cell>
          <cell r="F10419" t="str">
            <v>Primary</v>
          </cell>
        </row>
        <row r="10420">
          <cell r="A10420">
            <v>6663034</v>
          </cell>
          <cell r="B10420">
            <v>400552</v>
          </cell>
          <cell r="C10420" t="str">
            <v>Ffynnon Gynydd Church in Wales School</v>
          </cell>
          <cell r="D10420" t="str">
            <v>Powys</v>
          </cell>
          <cell r="E10420" t="str">
            <v>Welsh Establishment</v>
          </cell>
          <cell r="F10420" t="str">
            <v>Primary</v>
          </cell>
        </row>
        <row r="10421">
          <cell r="A10421">
            <v>6742102</v>
          </cell>
          <cell r="B10421">
            <v>401164</v>
          </cell>
          <cell r="C10421" t="str">
            <v>Ffynnon Taf Primary School</v>
          </cell>
          <cell r="D10421" t="str">
            <v>Rhondda, Cynon, Taff</v>
          </cell>
          <cell r="E10421" t="str">
            <v>Welsh Establishment</v>
          </cell>
          <cell r="F10421" t="str">
            <v>Primary</v>
          </cell>
        </row>
        <row r="10422">
          <cell r="A10422">
            <v>6706001</v>
          </cell>
          <cell r="B10422">
            <v>401996</v>
          </cell>
          <cell r="C10422" t="str">
            <v>Ffynon House School Trust - Oakleigh House</v>
          </cell>
          <cell r="D10422" t="str">
            <v>Swansea</v>
          </cell>
          <cell r="E10422" t="str">
            <v>Welsh Establishment</v>
          </cell>
          <cell r="F10422" t="str">
            <v>Not applicable</v>
          </cell>
        </row>
        <row r="10423">
          <cell r="A10423">
            <v>6706018</v>
          </cell>
          <cell r="B10423">
            <v>401998</v>
          </cell>
          <cell r="C10423" t="str">
            <v>Ffynone House School Trust</v>
          </cell>
          <cell r="D10423" t="str">
            <v>Swansea</v>
          </cell>
          <cell r="E10423" t="str">
            <v>Welsh Establishment</v>
          </cell>
          <cell r="F10423" t="str">
            <v>Not applicable</v>
          </cell>
        </row>
        <row r="10424">
          <cell r="A10424">
            <v>3353326</v>
          </cell>
          <cell r="B10424">
            <v>134801</v>
          </cell>
          <cell r="C10424" t="str">
            <v>Fibbersley Park Primary School</v>
          </cell>
          <cell r="D10424" t="str">
            <v>Walsall</v>
          </cell>
          <cell r="E10424" t="str">
            <v>Community School</v>
          </cell>
          <cell r="F10424" t="str">
            <v>Primary</v>
          </cell>
        </row>
        <row r="10425">
          <cell r="A10425">
            <v>3552081</v>
          </cell>
          <cell r="B10425">
            <v>105917</v>
          </cell>
          <cell r="C10425" t="str">
            <v>Fiddlers Lane Community Primary School</v>
          </cell>
          <cell r="D10425" t="str">
            <v>Salford</v>
          </cell>
          <cell r="E10425" t="str">
            <v>Community School</v>
          </cell>
          <cell r="F10425" t="str">
            <v>Primary</v>
          </cell>
        </row>
        <row r="10426">
          <cell r="A10426">
            <v>9163061</v>
          </cell>
          <cell r="B10426">
            <v>115644</v>
          </cell>
          <cell r="C10426" t="str">
            <v>Field Court Church of England Infant School</v>
          </cell>
          <cell r="D10426" t="str">
            <v>Gloucestershire</v>
          </cell>
          <cell r="E10426" t="str">
            <v>Voluntary Controlled School</v>
          </cell>
          <cell r="F10426" t="str">
            <v>Primary</v>
          </cell>
        </row>
        <row r="10427">
          <cell r="A10427">
            <v>9163061</v>
          </cell>
          <cell r="B10427">
            <v>137477</v>
          </cell>
          <cell r="C10427" t="str">
            <v>Field Court Church of England Infant School</v>
          </cell>
          <cell r="D10427" t="str">
            <v>Gloucestershire</v>
          </cell>
          <cell r="E10427" t="str">
            <v>Academy Converters</v>
          </cell>
          <cell r="F10427" t="str">
            <v>Primary</v>
          </cell>
        </row>
        <row r="10428">
          <cell r="A10428">
            <v>9162168</v>
          </cell>
          <cell r="B10428">
            <v>115599</v>
          </cell>
          <cell r="C10428" t="str">
            <v>Field Court Junior School</v>
          </cell>
          <cell r="D10428" t="str">
            <v>Gloucestershire</v>
          </cell>
          <cell r="E10428" t="str">
            <v>Community School</v>
          </cell>
          <cell r="F10428" t="str">
            <v>Primary</v>
          </cell>
        </row>
        <row r="10429">
          <cell r="A10429">
            <v>9162168</v>
          </cell>
          <cell r="B10429">
            <v>137432</v>
          </cell>
          <cell r="C10429" t="str">
            <v>Field Court Junior School</v>
          </cell>
          <cell r="D10429" t="str">
            <v>Gloucestershire</v>
          </cell>
          <cell r="E10429" t="str">
            <v>Academy Converters</v>
          </cell>
          <cell r="F10429" t="str">
            <v>Primary</v>
          </cell>
        </row>
        <row r="10430">
          <cell r="A10430">
            <v>3122019</v>
          </cell>
          <cell r="B10430">
            <v>102379</v>
          </cell>
          <cell r="C10430" t="str">
            <v>Field End Infant School</v>
          </cell>
          <cell r="D10430" t="str">
            <v>Hillingdon</v>
          </cell>
          <cell r="E10430" t="str">
            <v>Community School</v>
          </cell>
          <cell r="F10430" t="str">
            <v>Primary</v>
          </cell>
        </row>
        <row r="10431">
          <cell r="A10431">
            <v>3122018</v>
          </cell>
          <cell r="B10431">
            <v>102378</v>
          </cell>
          <cell r="C10431" t="str">
            <v>Field End Junior School</v>
          </cell>
          <cell r="D10431" t="str">
            <v>Hillingdon</v>
          </cell>
          <cell r="E10431" t="str">
            <v>Community School</v>
          </cell>
          <cell r="F10431" t="str">
            <v>Primary</v>
          </cell>
        </row>
        <row r="10432">
          <cell r="A10432">
            <v>8302145</v>
          </cell>
          <cell r="B10432">
            <v>112574</v>
          </cell>
          <cell r="C10432" t="str">
            <v>Field House Infant School</v>
          </cell>
          <cell r="D10432" t="str">
            <v>Derbyshire</v>
          </cell>
          <cell r="E10432" t="str">
            <v>Community School</v>
          </cell>
          <cell r="F10432" t="str">
            <v>Primary</v>
          </cell>
        </row>
        <row r="10433">
          <cell r="A10433">
            <v>8611013</v>
          </cell>
          <cell r="B10433">
            <v>123958</v>
          </cell>
          <cell r="C10433" t="str">
            <v>Field House Nursery School</v>
          </cell>
          <cell r="D10433" t="str">
            <v>Stoke-on-Trent</v>
          </cell>
          <cell r="E10433" t="str">
            <v>LA Nursery School</v>
          </cell>
          <cell r="F10433" t="str">
            <v>Nursery</v>
          </cell>
        </row>
        <row r="10434">
          <cell r="A10434">
            <v>9192123</v>
          </cell>
          <cell r="B10434">
            <v>117160</v>
          </cell>
          <cell r="C10434" t="str">
            <v>Field Junior School</v>
          </cell>
          <cell r="D10434" t="str">
            <v>Hertfordshire</v>
          </cell>
          <cell r="E10434" t="str">
            <v>Community School</v>
          </cell>
          <cell r="F10434" t="str">
            <v>Primary</v>
          </cell>
        </row>
        <row r="10435">
          <cell r="A10435">
            <v>3822062</v>
          </cell>
          <cell r="B10435">
            <v>107637</v>
          </cell>
          <cell r="C10435" t="str">
            <v>Field Lane Junior Infant and Nursery School</v>
          </cell>
          <cell r="D10435" t="str">
            <v>Kirklees</v>
          </cell>
          <cell r="E10435" t="str">
            <v>Community School</v>
          </cell>
          <cell r="F10435" t="str">
            <v>Primary</v>
          </cell>
        </row>
        <row r="10436">
          <cell r="A10436">
            <v>3812079</v>
          </cell>
          <cell r="B10436">
            <v>107527</v>
          </cell>
          <cell r="C10436" t="str">
            <v>Field Lane Primary School</v>
          </cell>
          <cell r="D10436" t="str">
            <v>Calderdale</v>
          </cell>
          <cell r="E10436" t="str">
            <v>Community School</v>
          </cell>
          <cell r="F10436" t="str">
            <v>Primary</v>
          </cell>
        </row>
        <row r="10437">
          <cell r="A10437">
            <v>9382080</v>
          </cell>
          <cell r="B10437">
            <v>125864</v>
          </cell>
          <cell r="C10437" t="str">
            <v>Field Place First School</v>
          </cell>
          <cell r="D10437" t="str">
            <v>West Sussex</v>
          </cell>
          <cell r="E10437" t="str">
            <v>Community School</v>
          </cell>
          <cell r="F10437" t="str">
            <v>Primary</v>
          </cell>
        </row>
        <row r="10438">
          <cell r="A10438">
            <v>3362049</v>
          </cell>
          <cell r="B10438">
            <v>104313</v>
          </cell>
          <cell r="C10438" t="str">
            <v>Field View Primary School</v>
          </cell>
          <cell r="D10438" t="str">
            <v>Wolverhampton</v>
          </cell>
          <cell r="E10438" t="str">
            <v>Community School</v>
          </cell>
          <cell r="F10438" t="str">
            <v>Primary</v>
          </cell>
        </row>
        <row r="10439">
          <cell r="A10439">
            <v>3832469</v>
          </cell>
          <cell r="B10439">
            <v>107945</v>
          </cell>
          <cell r="C10439" t="str">
            <v>Fieldhead Carr Primary School</v>
          </cell>
          <cell r="D10439" t="str">
            <v>Leeds</v>
          </cell>
          <cell r="E10439" t="str">
            <v>Community School</v>
          </cell>
          <cell r="F10439" t="str">
            <v>Primary</v>
          </cell>
        </row>
        <row r="10440">
          <cell r="A10440">
            <v>3847050</v>
          </cell>
          <cell r="B10440">
            <v>108318</v>
          </cell>
          <cell r="C10440" t="str">
            <v>Fieldhead Hospital School</v>
          </cell>
          <cell r="D10440" t="str">
            <v>Wakefield</v>
          </cell>
          <cell r="E10440" t="str">
            <v>Community Special School</v>
          </cell>
          <cell r="F10440" t="str">
            <v>Special</v>
          </cell>
        </row>
        <row r="10441">
          <cell r="A10441">
            <v>3822124</v>
          </cell>
          <cell r="B10441">
            <v>107679</v>
          </cell>
          <cell r="C10441" t="str">
            <v>Fieldhead Junior Infant and Nursery School</v>
          </cell>
          <cell r="D10441" t="str">
            <v>Kirklees</v>
          </cell>
          <cell r="E10441" t="str">
            <v>Community School</v>
          </cell>
          <cell r="F10441" t="str">
            <v>Primary</v>
          </cell>
        </row>
        <row r="10442">
          <cell r="A10442">
            <v>3072097</v>
          </cell>
          <cell r="B10442">
            <v>126839</v>
          </cell>
          <cell r="C10442" t="str">
            <v>Fielding First School</v>
          </cell>
          <cell r="D10442" t="str">
            <v>Ealing</v>
          </cell>
          <cell r="E10442" t="str">
            <v>Community School</v>
          </cell>
          <cell r="F10442" t="str">
            <v>Primary</v>
          </cell>
        </row>
        <row r="10443">
          <cell r="A10443">
            <v>3072098</v>
          </cell>
          <cell r="B10443">
            <v>126840</v>
          </cell>
          <cell r="C10443" t="str">
            <v>Fielding Middle School</v>
          </cell>
          <cell r="D10443" t="str">
            <v>Ealing</v>
          </cell>
          <cell r="E10443" t="str">
            <v>Community School</v>
          </cell>
          <cell r="F10443" t="str">
            <v>Middle Deemed Primary</v>
          </cell>
        </row>
        <row r="10444">
          <cell r="A10444">
            <v>3072167</v>
          </cell>
          <cell r="B10444">
            <v>101897</v>
          </cell>
          <cell r="C10444" t="str">
            <v>Fielding Primary School</v>
          </cell>
          <cell r="D10444" t="str">
            <v>Ealing</v>
          </cell>
          <cell r="E10444" t="str">
            <v>Community School</v>
          </cell>
          <cell r="F10444" t="str">
            <v>Primary</v>
          </cell>
        </row>
        <row r="10445">
          <cell r="A10445">
            <v>3712100</v>
          </cell>
          <cell r="B10445">
            <v>127613</v>
          </cell>
          <cell r="C10445" t="str">
            <v>Fieldside First School</v>
          </cell>
          <cell r="D10445" t="str">
            <v>Doncaster</v>
          </cell>
          <cell r="E10445" t="str">
            <v>Community School</v>
          </cell>
          <cell r="F10445" t="str">
            <v>Primary</v>
          </cell>
        </row>
        <row r="10446">
          <cell r="A10446">
            <v>9204150</v>
          </cell>
          <cell r="B10446">
            <v>129280</v>
          </cell>
          <cell r="C10446" t="str">
            <v>Fifth Avenue Junior High School</v>
          </cell>
          <cell r="D10446" t="str">
            <v>Pre LGR (1996) Humberside</v>
          </cell>
          <cell r="E10446" t="str">
            <v>Community School</v>
          </cell>
          <cell r="F10446" t="str">
            <v>Secondary</v>
          </cell>
        </row>
        <row r="10447">
          <cell r="A10447">
            <v>8926013</v>
          </cell>
          <cell r="B10447">
            <v>132190</v>
          </cell>
          <cell r="C10447" t="str">
            <v>Fig Tree Primary School</v>
          </cell>
          <cell r="D10447" t="str">
            <v>Nottingham</v>
          </cell>
          <cell r="E10447" t="str">
            <v>Other Independent School</v>
          </cell>
          <cell r="F10447" t="str">
            <v>Not applicable</v>
          </cell>
        </row>
        <row r="10448">
          <cell r="A10448">
            <v>8653071</v>
          </cell>
          <cell r="B10448">
            <v>126325</v>
          </cell>
          <cell r="C10448" t="str">
            <v>Figheldean St Michael's Church of England Primary School</v>
          </cell>
          <cell r="D10448" t="str">
            <v>Wiltshire</v>
          </cell>
          <cell r="E10448" t="str">
            <v>Voluntary Controlled School</v>
          </cell>
          <cell r="F10448" t="str">
            <v>Primary</v>
          </cell>
        </row>
        <row r="10449">
          <cell r="A10449">
            <v>9262061</v>
          </cell>
          <cell r="B10449">
            <v>120806</v>
          </cell>
          <cell r="C10449" t="str">
            <v>Filby Primary School</v>
          </cell>
          <cell r="D10449" t="str">
            <v>Norfolk</v>
          </cell>
          <cell r="E10449" t="str">
            <v>Community School</v>
          </cell>
          <cell r="F10449" t="str">
            <v>Primary</v>
          </cell>
        </row>
        <row r="10450">
          <cell r="A10450">
            <v>8153154</v>
          </cell>
          <cell r="B10450">
            <v>121533</v>
          </cell>
          <cell r="C10450" t="str">
            <v>Filey Church of England Voluntary Controlled Infant and Nursery School</v>
          </cell>
          <cell r="D10450" t="str">
            <v>North Yorkshire</v>
          </cell>
          <cell r="E10450" t="str">
            <v>Voluntary Controlled School</v>
          </cell>
          <cell r="F10450" t="str">
            <v>Primary</v>
          </cell>
        </row>
        <row r="10451">
          <cell r="A10451">
            <v>8152413</v>
          </cell>
          <cell r="B10451">
            <v>121459</v>
          </cell>
          <cell r="C10451" t="str">
            <v>Filey Junior School</v>
          </cell>
          <cell r="D10451" t="str">
            <v>North Yorkshire</v>
          </cell>
          <cell r="E10451" t="str">
            <v>Community School</v>
          </cell>
          <cell r="F10451" t="str">
            <v>Primary</v>
          </cell>
        </row>
        <row r="10452">
          <cell r="A10452">
            <v>8154150</v>
          </cell>
          <cell r="B10452">
            <v>121682</v>
          </cell>
          <cell r="C10452" t="str">
            <v>Filey School</v>
          </cell>
          <cell r="D10452" t="str">
            <v>North Yorkshire</v>
          </cell>
          <cell r="E10452" t="str">
            <v>Community School</v>
          </cell>
          <cell r="F10452" t="str">
            <v>Secondary</v>
          </cell>
        </row>
        <row r="10453">
          <cell r="A10453">
            <v>8266000</v>
          </cell>
          <cell r="B10453">
            <v>110572</v>
          </cell>
          <cell r="C10453" t="str">
            <v>Filgrave School</v>
          </cell>
          <cell r="D10453" t="str">
            <v>Milton Keynes</v>
          </cell>
          <cell r="E10453" t="str">
            <v>Other Independent School</v>
          </cell>
          <cell r="F10453" t="str">
            <v>Not applicable</v>
          </cell>
        </row>
        <row r="10454">
          <cell r="A10454">
            <v>8782225</v>
          </cell>
          <cell r="B10454">
            <v>113148</v>
          </cell>
          <cell r="C10454" t="str">
            <v>Filleigh Community Primary School</v>
          </cell>
          <cell r="D10454" t="str">
            <v>Devon</v>
          </cell>
          <cell r="E10454" t="str">
            <v>Community School</v>
          </cell>
          <cell r="F10454" t="str">
            <v>Primary</v>
          </cell>
        </row>
        <row r="10455">
          <cell r="A10455">
            <v>9373027</v>
          </cell>
          <cell r="B10455">
            <v>125634</v>
          </cell>
          <cell r="C10455" t="str">
            <v>Fillongley CofE First School</v>
          </cell>
          <cell r="D10455" t="str">
            <v>Warwickshire</v>
          </cell>
          <cell r="E10455" t="str">
            <v>Voluntary Controlled School</v>
          </cell>
          <cell r="F10455" t="str">
            <v>Primary</v>
          </cell>
        </row>
        <row r="10456">
          <cell r="A10456">
            <v>8454073</v>
          </cell>
          <cell r="B10456">
            <v>114609</v>
          </cell>
          <cell r="C10456" t="str">
            <v>Filsham Valley School</v>
          </cell>
          <cell r="D10456" t="str">
            <v>East Sussex</v>
          </cell>
          <cell r="E10456" t="str">
            <v>Community School</v>
          </cell>
          <cell r="F10456" t="str">
            <v>Secondary</v>
          </cell>
        </row>
        <row r="10457">
          <cell r="A10457">
            <v>8012034</v>
          </cell>
          <cell r="B10457">
            <v>108928</v>
          </cell>
          <cell r="C10457" t="str">
            <v>Filton Avenue Infant School</v>
          </cell>
          <cell r="D10457" t="str">
            <v>Bristol City of</v>
          </cell>
          <cell r="E10457" t="str">
            <v>Community School</v>
          </cell>
          <cell r="F10457" t="str">
            <v>Primary</v>
          </cell>
        </row>
        <row r="10458">
          <cell r="A10458">
            <v>8012033</v>
          </cell>
          <cell r="B10458">
            <v>108927</v>
          </cell>
          <cell r="C10458" t="str">
            <v>Filton Avenue Junior School</v>
          </cell>
          <cell r="D10458" t="str">
            <v>Bristol City of</v>
          </cell>
          <cell r="E10458" t="str">
            <v>Community School</v>
          </cell>
          <cell r="F10458" t="str">
            <v>Primary</v>
          </cell>
        </row>
        <row r="10459">
          <cell r="A10459">
            <v>8011003</v>
          </cell>
          <cell r="B10459">
            <v>108894</v>
          </cell>
          <cell r="C10459" t="str">
            <v>Filton Avenue Nursery School</v>
          </cell>
          <cell r="D10459" t="str">
            <v>Bristol City of</v>
          </cell>
          <cell r="E10459" t="str">
            <v>LA Nursery School</v>
          </cell>
          <cell r="F10459" t="str">
            <v>Nursery</v>
          </cell>
        </row>
        <row r="10460">
          <cell r="A10460">
            <v>8038012</v>
          </cell>
          <cell r="B10460">
            <v>130565</v>
          </cell>
          <cell r="C10460" t="str">
            <v>Filton College</v>
          </cell>
          <cell r="D10460" t="str">
            <v>South Gloucestershire</v>
          </cell>
          <cell r="E10460" t="str">
            <v>Further Education</v>
          </cell>
          <cell r="F10460" t="str">
            <v>16 Plus</v>
          </cell>
        </row>
        <row r="10461">
          <cell r="A10461">
            <v>8032171</v>
          </cell>
          <cell r="B10461">
            <v>109013</v>
          </cell>
          <cell r="C10461" t="str">
            <v>Filton Hill Primary School</v>
          </cell>
          <cell r="D10461" t="str">
            <v>South Gloucestershire</v>
          </cell>
          <cell r="E10461" t="str">
            <v>Community School</v>
          </cell>
          <cell r="F10461" t="str">
            <v>Primary</v>
          </cell>
        </row>
        <row r="10462">
          <cell r="A10462">
            <v>8037023</v>
          </cell>
          <cell r="B10462">
            <v>109399</v>
          </cell>
          <cell r="C10462" t="str">
            <v>Filton Park School</v>
          </cell>
          <cell r="D10462" t="str">
            <v>South Gloucestershire</v>
          </cell>
          <cell r="E10462" t="str">
            <v>Community Special School</v>
          </cell>
          <cell r="F10462" t="str">
            <v>Special</v>
          </cell>
        </row>
        <row r="10463">
          <cell r="A10463">
            <v>9012023</v>
          </cell>
          <cell r="B10463">
            <v>128216</v>
          </cell>
          <cell r="C10463" t="str">
            <v>Filwood Park Junior School</v>
          </cell>
          <cell r="D10463" t="str">
            <v>Pre LGR (1996) Avon</v>
          </cell>
          <cell r="E10463" t="str">
            <v>Community School</v>
          </cell>
          <cell r="F10463" t="str">
            <v>Primary</v>
          </cell>
        </row>
        <row r="10464">
          <cell r="A10464">
            <v>9356062</v>
          </cell>
          <cell r="B10464">
            <v>124892</v>
          </cell>
          <cell r="C10464" t="str">
            <v>Finborough School</v>
          </cell>
          <cell r="D10464" t="str">
            <v>Suffolk</v>
          </cell>
          <cell r="E10464" t="str">
            <v>Other Independent School</v>
          </cell>
          <cell r="F10464" t="str">
            <v>Not applicable</v>
          </cell>
        </row>
        <row r="10465">
          <cell r="A10465">
            <v>9132491</v>
          </cell>
          <cell r="B10465">
            <v>114135</v>
          </cell>
          <cell r="C10465" t="str">
            <v>Finchale Infant School</v>
          </cell>
          <cell r="D10465" t="str">
            <v>Pre LGR (1997) Durham</v>
          </cell>
          <cell r="E10465" t="str">
            <v>Community School</v>
          </cell>
          <cell r="F10465" t="str">
            <v>Primary</v>
          </cell>
        </row>
        <row r="10466">
          <cell r="A10466">
            <v>9132492</v>
          </cell>
          <cell r="B10466">
            <v>114136</v>
          </cell>
          <cell r="C10466" t="str">
            <v>Finchale Junior School</v>
          </cell>
          <cell r="D10466" t="str">
            <v>Pre LGR (1997) Durham</v>
          </cell>
          <cell r="E10466" t="str">
            <v>Community School</v>
          </cell>
          <cell r="F10466" t="str">
            <v>Primary</v>
          </cell>
        </row>
        <row r="10467">
          <cell r="A10467">
            <v>8402748</v>
          </cell>
          <cell r="B10467">
            <v>130312</v>
          </cell>
          <cell r="C10467" t="str">
            <v>Finchale Primary School</v>
          </cell>
          <cell r="D10467" t="str">
            <v>Durham</v>
          </cell>
          <cell r="E10467" t="str">
            <v>Community School</v>
          </cell>
          <cell r="F10467" t="str">
            <v>Primary</v>
          </cell>
        </row>
        <row r="10468">
          <cell r="A10468">
            <v>9263104</v>
          </cell>
          <cell r="B10468">
            <v>121070</v>
          </cell>
          <cell r="C10468" t="str">
            <v>Fincham Voluntary Controlled Primary School</v>
          </cell>
          <cell r="D10468" t="str">
            <v>Norfolk</v>
          </cell>
          <cell r="E10468" t="str">
            <v>Voluntary Controlled School</v>
          </cell>
          <cell r="F10468" t="str">
            <v>Primary</v>
          </cell>
        </row>
        <row r="10469">
          <cell r="A10469">
            <v>8723315</v>
          </cell>
          <cell r="B10469">
            <v>110012</v>
          </cell>
          <cell r="C10469" t="str">
            <v>Finchampstead CofE VA Primary School</v>
          </cell>
          <cell r="D10469" t="str">
            <v>Wokingham</v>
          </cell>
          <cell r="E10469" t="str">
            <v>Voluntary Aided School</v>
          </cell>
          <cell r="F10469" t="str">
            <v>Primary</v>
          </cell>
        </row>
        <row r="10470">
          <cell r="A10470">
            <v>8813208</v>
          </cell>
          <cell r="B10470">
            <v>115107</v>
          </cell>
          <cell r="C10470" t="str">
            <v>Finchingfield Church of England Voluntary Controlled Primary School</v>
          </cell>
          <cell r="D10470" t="str">
            <v>Essex</v>
          </cell>
          <cell r="E10470" t="str">
            <v>Voluntary Controlled School</v>
          </cell>
          <cell r="F10470" t="str">
            <v>Primary</v>
          </cell>
        </row>
        <row r="10471">
          <cell r="A10471">
            <v>3417050</v>
          </cell>
          <cell r="B10471">
            <v>104747</v>
          </cell>
          <cell r="C10471" t="str">
            <v>Finchlea School</v>
          </cell>
          <cell r="D10471" t="str">
            <v>Liverpool</v>
          </cell>
          <cell r="E10471" t="str">
            <v>Community Special School</v>
          </cell>
          <cell r="F10471" t="str">
            <v>Special</v>
          </cell>
        </row>
        <row r="10472">
          <cell r="A10472">
            <v>3026107</v>
          </cell>
          <cell r="B10472">
            <v>131128</v>
          </cell>
          <cell r="C10472" t="str">
            <v>Finchley and Acton Yochien School</v>
          </cell>
          <cell r="D10472" t="str">
            <v>Barnet</v>
          </cell>
          <cell r="E10472" t="str">
            <v>Other Independent School</v>
          </cell>
          <cell r="F10472" t="str">
            <v>Not applicable</v>
          </cell>
        </row>
        <row r="10473">
          <cell r="A10473">
            <v>3025405</v>
          </cell>
          <cell r="B10473">
            <v>101362</v>
          </cell>
          <cell r="C10473" t="str">
            <v>Finchley Catholic High School</v>
          </cell>
          <cell r="D10473" t="str">
            <v>Barnet</v>
          </cell>
          <cell r="E10473" t="str">
            <v>Voluntary Aided School</v>
          </cell>
          <cell r="F10473" t="str">
            <v>Secondary</v>
          </cell>
        </row>
        <row r="10474">
          <cell r="A10474">
            <v>3024005</v>
          </cell>
          <cell r="B10474">
            <v>126728</v>
          </cell>
          <cell r="C10474" t="str">
            <v>Finchley Manorhill School</v>
          </cell>
          <cell r="D10474" t="str">
            <v>Barnet</v>
          </cell>
          <cell r="E10474" t="str">
            <v>Community School</v>
          </cell>
          <cell r="F10474" t="str">
            <v>Secondary</v>
          </cell>
        </row>
        <row r="10475">
          <cell r="A10475">
            <v>8302107</v>
          </cell>
          <cell r="B10475">
            <v>112551</v>
          </cell>
          <cell r="C10475" t="str">
            <v>Findern Primary School</v>
          </cell>
          <cell r="D10475" t="str">
            <v>Derbyshire</v>
          </cell>
          <cell r="E10475" t="str">
            <v>Community School</v>
          </cell>
          <cell r="F10475" t="str">
            <v>Primary</v>
          </cell>
        </row>
        <row r="10476">
          <cell r="A10476">
            <v>2026387</v>
          </cell>
          <cell r="B10476">
            <v>100084</v>
          </cell>
          <cell r="C10476" t="str">
            <v>Fine Arts College</v>
          </cell>
          <cell r="D10476" t="str">
            <v>Camden</v>
          </cell>
          <cell r="E10476" t="str">
            <v>Other Independent School</v>
          </cell>
          <cell r="F10476" t="str">
            <v>Not applicable</v>
          </cell>
        </row>
        <row r="10477">
          <cell r="A10477">
            <v>9282097</v>
          </cell>
          <cell r="B10477">
            <v>121869</v>
          </cell>
          <cell r="C10477" t="str">
            <v>Finedon Infant School</v>
          </cell>
          <cell r="D10477" t="str">
            <v>Northamptonshire</v>
          </cell>
          <cell r="E10477" t="str">
            <v>Community School</v>
          </cell>
          <cell r="F10477" t="str">
            <v>Primary</v>
          </cell>
        </row>
        <row r="10478">
          <cell r="A10478">
            <v>9283346</v>
          </cell>
          <cell r="B10478">
            <v>122034</v>
          </cell>
          <cell r="C10478" t="str">
            <v>Finedon Mulso Church of England Junior School</v>
          </cell>
          <cell r="D10478" t="str">
            <v>Northamptonshire</v>
          </cell>
          <cell r="E10478" t="str">
            <v>Voluntary Aided School</v>
          </cell>
          <cell r="F10478" t="str">
            <v>Primary</v>
          </cell>
        </row>
        <row r="10479">
          <cell r="A10479">
            <v>8813310</v>
          </cell>
          <cell r="B10479">
            <v>115139</v>
          </cell>
          <cell r="C10479" t="str">
            <v>Fingringhoe Church of England Voluntary Aided Primary School</v>
          </cell>
          <cell r="D10479" t="str">
            <v>Essex</v>
          </cell>
          <cell r="E10479" t="str">
            <v>Voluntary Aided School</v>
          </cell>
          <cell r="F10479" t="str">
            <v>Primary</v>
          </cell>
        </row>
        <row r="10480">
          <cell r="A10480">
            <v>3312096</v>
          </cell>
          <cell r="B10480">
            <v>127116</v>
          </cell>
          <cell r="C10480" t="str">
            <v>Finham Infant School</v>
          </cell>
          <cell r="D10480" t="str">
            <v>Coventry</v>
          </cell>
          <cell r="E10480" t="str">
            <v>Community School</v>
          </cell>
          <cell r="F10480" t="str">
            <v>Primary</v>
          </cell>
        </row>
        <row r="10481">
          <cell r="A10481">
            <v>3312097</v>
          </cell>
          <cell r="B10481">
            <v>127117</v>
          </cell>
          <cell r="C10481" t="str">
            <v>Finham Junior School</v>
          </cell>
          <cell r="D10481" t="str">
            <v>Coventry</v>
          </cell>
          <cell r="E10481" t="str">
            <v>Community School</v>
          </cell>
          <cell r="F10481" t="str">
            <v>Primary</v>
          </cell>
        </row>
        <row r="10482">
          <cell r="A10482">
            <v>3314037</v>
          </cell>
          <cell r="B10482">
            <v>103738</v>
          </cell>
          <cell r="C10482" t="str">
            <v>Finham Park School</v>
          </cell>
          <cell r="D10482" t="str">
            <v>Coventry</v>
          </cell>
          <cell r="E10482" t="str">
            <v>Community School</v>
          </cell>
          <cell r="F10482" t="str">
            <v>Secondary</v>
          </cell>
        </row>
        <row r="10483">
          <cell r="A10483">
            <v>3314037</v>
          </cell>
          <cell r="B10483">
            <v>136963</v>
          </cell>
          <cell r="C10483" t="str">
            <v>Finham Park School</v>
          </cell>
          <cell r="D10483" t="str">
            <v>Coventry</v>
          </cell>
          <cell r="E10483" t="str">
            <v>Academy Converters</v>
          </cell>
          <cell r="F10483" t="str">
            <v>Secondary</v>
          </cell>
        </row>
        <row r="10484">
          <cell r="A10484">
            <v>3312124</v>
          </cell>
          <cell r="B10484">
            <v>103675</v>
          </cell>
          <cell r="C10484" t="str">
            <v>Finham Primary School</v>
          </cell>
          <cell r="D10484" t="str">
            <v>Coventry</v>
          </cell>
          <cell r="E10484" t="str">
            <v>Community School</v>
          </cell>
          <cell r="F10484" t="str">
            <v>Primary</v>
          </cell>
        </row>
        <row r="10485">
          <cell r="A10485">
            <v>9162176</v>
          </cell>
          <cell r="B10485">
            <v>115604</v>
          </cell>
          <cell r="C10485" t="str">
            <v>Finlay Community School</v>
          </cell>
          <cell r="D10485" t="str">
            <v>Gloucestershire</v>
          </cell>
          <cell r="E10485" t="str">
            <v>Community School</v>
          </cell>
          <cell r="F10485" t="str">
            <v>Primary</v>
          </cell>
        </row>
        <row r="10486">
          <cell r="A10486">
            <v>9162200</v>
          </cell>
          <cell r="B10486">
            <v>135727</v>
          </cell>
          <cell r="C10486" t="str">
            <v>Finlay Community School</v>
          </cell>
          <cell r="D10486" t="str">
            <v>Gloucestershire</v>
          </cell>
          <cell r="E10486" t="str">
            <v>Foundation School</v>
          </cell>
          <cell r="F10486" t="str">
            <v>Primary</v>
          </cell>
        </row>
        <row r="10487">
          <cell r="A10487">
            <v>9162012</v>
          </cell>
          <cell r="B10487">
            <v>128939</v>
          </cell>
          <cell r="C10487" t="str">
            <v>Finlay Infant School</v>
          </cell>
          <cell r="D10487" t="str">
            <v>Gloucestershire</v>
          </cell>
          <cell r="E10487" t="str">
            <v>Community School</v>
          </cell>
          <cell r="F10487" t="str">
            <v>Primary</v>
          </cell>
        </row>
        <row r="10488">
          <cell r="A10488">
            <v>9162011</v>
          </cell>
          <cell r="B10488">
            <v>128938</v>
          </cell>
          <cell r="C10488" t="str">
            <v>Finlay Junior School</v>
          </cell>
          <cell r="D10488" t="str">
            <v>Gloucestershire</v>
          </cell>
          <cell r="E10488" t="str">
            <v>Community School</v>
          </cell>
          <cell r="F10488" t="str">
            <v>Primary</v>
          </cell>
        </row>
        <row r="10489">
          <cell r="A10489">
            <v>9313090</v>
          </cell>
          <cell r="B10489">
            <v>123104</v>
          </cell>
          <cell r="C10489" t="str">
            <v>Finmere Church of England Primary School</v>
          </cell>
          <cell r="D10489" t="str">
            <v>Oxfordshire</v>
          </cell>
          <cell r="E10489" t="str">
            <v>Voluntary Controlled School</v>
          </cell>
          <cell r="F10489" t="str">
            <v>Primary</v>
          </cell>
        </row>
        <row r="10490">
          <cell r="A10490">
            <v>3713007</v>
          </cell>
          <cell r="B10490">
            <v>106759</v>
          </cell>
          <cell r="C10490" t="str">
            <v>Finningley Church of England Primary School</v>
          </cell>
          <cell r="D10490" t="str">
            <v>Doncaster</v>
          </cell>
          <cell r="E10490" t="str">
            <v>Voluntary Aided School</v>
          </cell>
          <cell r="F10490" t="str">
            <v>Primary</v>
          </cell>
        </row>
        <row r="10491">
          <cell r="A10491">
            <v>3166053</v>
          </cell>
          <cell r="B10491">
            <v>127002</v>
          </cell>
          <cell r="C10491" t="str">
            <v>Finnish Primary School London</v>
          </cell>
          <cell r="D10491" t="str">
            <v>Newham</v>
          </cell>
          <cell r="E10491" t="str">
            <v>Other Independent School</v>
          </cell>
          <cell r="F10491" t="str">
            <v>Not applicable</v>
          </cell>
        </row>
        <row r="10492">
          <cell r="A10492">
            <v>8852017</v>
          </cell>
          <cell r="B10492">
            <v>116660</v>
          </cell>
          <cell r="C10492" t="str">
            <v>Finstall First School</v>
          </cell>
          <cell r="D10492" t="str">
            <v>Worcestershire</v>
          </cell>
          <cell r="E10492" t="str">
            <v>Community School</v>
          </cell>
          <cell r="F10492" t="str">
            <v>Primary</v>
          </cell>
        </row>
        <row r="10493">
          <cell r="A10493">
            <v>9313040</v>
          </cell>
          <cell r="B10493">
            <v>123095</v>
          </cell>
          <cell r="C10493" t="str">
            <v>Finstock Church of England Primary School</v>
          </cell>
          <cell r="D10493" t="str">
            <v>Oxfordshire</v>
          </cell>
          <cell r="E10493" t="str">
            <v>Voluntary Controlled School</v>
          </cell>
          <cell r="F10493" t="str">
            <v>Primary</v>
          </cell>
        </row>
        <row r="10494">
          <cell r="A10494">
            <v>2126365</v>
          </cell>
          <cell r="B10494">
            <v>101076</v>
          </cell>
          <cell r="C10494" t="str">
            <v>Finton House School</v>
          </cell>
          <cell r="D10494" t="str">
            <v>Wandsworth</v>
          </cell>
          <cell r="E10494" t="str">
            <v>Other Independent School</v>
          </cell>
          <cell r="F10494" t="str">
            <v>Not applicable</v>
          </cell>
        </row>
        <row r="10495">
          <cell r="A10495">
            <v>3532069</v>
          </cell>
          <cell r="B10495">
            <v>105662</v>
          </cell>
          <cell r="C10495" t="str">
            <v>Fir Bank Primary School</v>
          </cell>
          <cell r="D10495" t="str">
            <v>Oldham</v>
          </cell>
          <cell r="E10495" t="str">
            <v>Community School</v>
          </cell>
          <cell r="F10495" t="str">
            <v>Primary</v>
          </cell>
        </row>
        <row r="10496">
          <cell r="A10496">
            <v>9095218</v>
          </cell>
          <cell r="B10496">
            <v>112420</v>
          </cell>
          <cell r="C10496" t="str">
            <v>Fir Ends Primary School</v>
          </cell>
          <cell r="D10496" t="str">
            <v>Cumbria</v>
          </cell>
          <cell r="E10496" t="str">
            <v>Foundation School</v>
          </cell>
          <cell r="F10496" t="str">
            <v>Primary</v>
          </cell>
        </row>
        <row r="10497">
          <cell r="A10497">
            <v>9312578</v>
          </cell>
          <cell r="B10497">
            <v>123071</v>
          </cell>
          <cell r="C10497" t="str">
            <v>Fir Tree Junior School</v>
          </cell>
          <cell r="D10497" t="str">
            <v>Oxfordshire</v>
          </cell>
          <cell r="E10497" t="str">
            <v>Community School</v>
          </cell>
          <cell r="F10497" t="str">
            <v>Primary</v>
          </cell>
        </row>
        <row r="10498">
          <cell r="A10498">
            <v>3834028</v>
          </cell>
          <cell r="B10498">
            <v>127973</v>
          </cell>
          <cell r="C10498" t="str">
            <v>Fir Tree Middle School</v>
          </cell>
          <cell r="D10498" t="str">
            <v>Leeds</v>
          </cell>
          <cell r="E10498" t="str">
            <v>Community School</v>
          </cell>
          <cell r="F10498" t="str">
            <v>Middle Deemed Secondary</v>
          </cell>
        </row>
        <row r="10499">
          <cell r="A10499">
            <v>3561007</v>
          </cell>
          <cell r="B10499">
            <v>106020</v>
          </cell>
          <cell r="C10499" t="str">
            <v>Fir Tree Nursery School</v>
          </cell>
          <cell r="D10499" t="str">
            <v>Stockport</v>
          </cell>
          <cell r="E10499" t="str">
            <v>LA Nursery School</v>
          </cell>
          <cell r="F10499" t="str">
            <v>Nursery</v>
          </cell>
        </row>
        <row r="10500">
          <cell r="A10500">
            <v>3332167</v>
          </cell>
          <cell r="B10500">
            <v>103973</v>
          </cell>
          <cell r="C10500" t="str">
            <v>Fir Tree Primary School</v>
          </cell>
          <cell r="D10500" t="str">
            <v>Sandwell</v>
          </cell>
          <cell r="E10500" t="str">
            <v>Community School</v>
          </cell>
          <cell r="F10500" t="str">
            <v>Primary</v>
          </cell>
        </row>
        <row r="10501">
          <cell r="A10501">
            <v>3562106</v>
          </cell>
          <cell r="B10501">
            <v>106092</v>
          </cell>
          <cell r="C10501" t="str">
            <v>Fir Tree Primary School</v>
          </cell>
          <cell r="D10501" t="str">
            <v>Stockport</v>
          </cell>
          <cell r="E10501" t="str">
            <v>Community School</v>
          </cell>
          <cell r="F10501" t="str">
            <v>Primary</v>
          </cell>
        </row>
        <row r="10502">
          <cell r="A10502">
            <v>3832442</v>
          </cell>
          <cell r="B10502">
            <v>107918</v>
          </cell>
          <cell r="C10502" t="str">
            <v>Fir Tree Primary School</v>
          </cell>
          <cell r="D10502" t="str">
            <v>Leeds</v>
          </cell>
          <cell r="E10502" t="str">
            <v>Community School</v>
          </cell>
          <cell r="F10502" t="str">
            <v>Primary</v>
          </cell>
        </row>
        <row r="10503">
          <cell r="A10503">
            <v>8692142</v>
          </cell>
          <cell r="B10503">
            <v>109872</v>
          </cell>
          <cell r="C10503" t="str">
            <v>Fir Tree Primary School and Nursery</v>
          </cell>
          <cell r="D10503" t="str">
            <v>West Berkshire</v>
          </cell>
          <cell r="E10503" t="str">
            <v>Community School</v>
          </cell>
          <cell r="F10503" t="str">
            <v>Primary</v>
          </cell>
        </row>
        <row r="10504">
          <cell r="A10504">
            <v>3734280</v>
          </cell>
          <cell r="B10504">
            <v>131546</v>
          </cell>
          <cell r="C10504" t="str">
            <v>Fir Vale School</v>
          </cell>
          <cell r="D10504" t="str">
            <v>Sheffield</v>
          </cell>
          <cell r="E10504" t="str">
            <v>Community School</v>
          </cell>
          <cell r="F10504" t="str">
            <v>Secondary</v>
          </cell>
        </row>
        <row r="10505">
          <cell r="A10505">
            <v>8922064</v>
          </cell>
          <cell r="B10505">
            <v>122417</v>
          </cell>
          <cell r="C10505" t="str">
            <v>Firbeck Primary and Nursery School with Individual Needs Centre for Deaf Children</v>
          </cell>
          <cell r="D10505" t="str">
            <v>Nottingham</v>
          </cell>
          <cell r="E10505" t="str">
            <v>Community School</v>
          </cell>
          <cell r="F10505" t="str">
            <v>Primary</v>
          </cell>
        </row>
        <row r="10506">
          <cell r="A10506">
            <v>3308285</v>
          </cell>
          <cell r="B10506">
            <v>130467</v>
          </cell>
          <cell r="C10506" t="str">
            <v>Fircroft College of Adult Education</v>
          </cell>
          <cell r="D10506" t="str">
            <v>Birmingham</v>
          </cell>
          <cell r="E10506" t="str">
            <v>Further Education</v>
          </cell>
          <cell r="F10506" t="str">
            <v>16 Plus</v>
          </cell>
        </row>
        <row r="10507">
          <cell r="A10507">
            <v>2122217</v>
          </cell>
          <cell r="B10507">
            <v>101007</v>
          </cell>
          <cell r="C10507" t="str">
            <v>Fircroft Primary School</v>
          </cell>
          <cell r="D10507" t="str">
            <v>Wandsworth</v>
          </cell>
          <cell r="E10507" t="str">
            <v>Community School</v>
          </cell>
          <cell r="F10507" t="str">
            <v>Primary</v>
          </cell>
        </row>
        <row r="10508">
          <cell r="A10508">
            <v>9287006</v>
          </cell>
          <cell r="B10508">
            <v>129700</v>
          </cell>
          <cell r="C10508" t="str">
            <v>Firdale School</v>
          </cell>
          <cell r="D10508" t="str">
            <v>Northamptonshire</v>
          </cell>
          <cell r="E10508" t="str">
            <v>Community Special School</v>
          </cell>
          <cell r="F10508" t="str">
            <v>Special</v>
          </cell>
        </row>
        <row r="10509">
          <cell r="A10509">
            <v>3914499</v>
          </cell>
          <cell r="B10509">
            <v>131985</v>
          </cell>
          <cell r="C10509" t="str">
            <v>Firfield Community School</v>
          </cell>
          <cell r="D10509" t="str">
            <v>Newcastle upon Tyne</v>
          </cell>
          <cell r="E10509" t="str">
            <v>Community School</v>
          </cell>
          <cell r="F10509" t="str">
            <v>Secondary</v>
          </cell>
        </row>
        <row r="10510">
          <cell r="A10510">
            <v>8302053</v>
          </cell>
          <cell r="B10510">
            <v>112516</v>
          </cell>
          <cell r="C10510" t="str">
            <v>Firfield Primary School</v>
          </cell>
          <cell r="D10510" t="str">
            <v>Derbyshire</v>
          </cell>
          <cell r="E10510" t="str">
            <v>Community School</v>
          </cell>
          <cell r="F10510" t="str">
            <v>Primary</v>
          </cell>
        </row>
        <row r="10511">
          <cell r="A10511">
            <v>8453068</v>
          </cell>
          <cell r="B10511">
            <v>114525</v>
          </cell>
          <cell r="C10511" t="str">
            <v>Firle Church of England Primary School</v>
          </cell>
          <cell r="D10511" t="str">
            <v>East Sussex</v>
          </cell>
          <cell r="E10511" t="str">
            <v>Voluntary Controlled School</v>
          </cell>
          <cell r="F10511" t="str">
            <v>Primary</v>
          </cell>
        </row>
        <row r="10512">
          <cell r="A10512">
            <v>8312518</v>
          </cell>
          <cell r="B10512">
            <v>112778</v>
          </cell>
          <cell r="C10512" t="str">
            <v>Firs Estate Primary School</v>
          </cell>
          <cell r="D10512" t="str">
            <v>Derby</v>
          </cell>
          <cell r="E10512" t="str">
            <v>Community School</v>
          </cell>
          <cell r="F10512" t="str">
            <v>Primary</v>
          </cell>
        </row>
        <row r="10513">
          <cell r="A10513">
            <v>3082028</v>
          </cell>
          <cell r="B10513">
            <v>101989</v>
          </cell>
          <cell r="C10513" t="str">
            <v>Firs Farm Primary School</v>
          </cell>
          <cell r="D10513" t="str">
            <v>Enfield</v>
          </cell>
          <cell r="E10513" t="str">
            <v>Community School</v>
          </cell>
          <cell r="F10513" t="str">
            <v>Primary</v>
          </cell>
        </row>
        <row r="10514">
          <cell r="A10514">
            <v>3732032</v>
          </cell>
          <cell r="B10514">
            <v>106989</v>
          </cell>
          <cell r="C10514" t="str">
            <v>Firs Hill Community Junior School</v>
          </cell>
          <cell r="D10514" t="str">
            <v>Sheffield</v>
          </cell>
          <cell r="E10514" t="str">
            <v>Community School</v>
          </cell>
          <cell r="F10514" t="str">
            <v>Primary</v>
          </cell>
        </row>
        <row r="10515">
          <cell r="A10515">
            <v>3732365</v>
          </cell>
          <cell r="B10515">
            <v>133325</v>
          </cell>
          <cell r="C10515" t="str">
            <v>Firs Hill Community Primary School</v>
          </cell>
          <cell r="D10515" t="str">
            <v>Sheffield</v>
          </cell>
          <cell r="E10515" t="str">
            <v>Community School</v>
          </cell>
          <cell r="F10515" t="str">
            <v>Primary</v>
          </cell>
        </row>
        <row r="10516">
          <cell r="A10516">
            <v>3732033</v>
          </cell>
          <cell r="B10516">
            <v>106990</v>
          </cell>
          <cell r="C10516" t="str">
            <v>Firs Hill Nursery Infant School</v>
          </cell>
          <cell r="D10516" t="str">
            <v>Sheffield</v>
          </cell>
          <cell r="E10516" t="str">
            <v>Community School</v>
          </cell>
          <cell r="F10516" t="str">
            <v>Primary</v>
          </cell>
        </row>
        <row r="10517">
          <cell r="A10517">
            <v>3302244</v>
          </cell>
          <cell r="B10517">
            <v>103294</v>
          </cell>
          <cell r="C10517" t="str">
            <v>Firs Infant School</v>
          </cell>
          <cell r="D10517" t="str">
            <v>Birmingham</v>
          </cell>
          <cell r="E10517" t="str">
            <v>Community School</v>
          </cell>
          <cell r="F10517" t="str">
            <v>Primary</v>
          </cell>
        </row>
        <row r="10518">
          <cell r="A10518">
            <v>3582025</v>
          </cell>
          <cell r="B10518">
            <v>106303</v>
          </cell>
          <cell r="C10518" t="str">
            <v>Firs Primary School</v>
          </cell>
          <cell r="D10518" t="str">
            <v>Trafford</v>
          </cell>
          <cell r="E10518" t="str">
            <v>Community School</v>
          </cell>
          <cell r="F10518" t="str">
            <v>Primary</v>
          </cell>
        </row>
        <row r="10519">
          <cell r="A10519">
            <v>3302475</v>
          </cell>
          <cell r="B10519">
            <v>131725</v>
          </cell>
          <cell r="C10519" t="str">
            <v>Firs Primary School</v>
          </cell>
          <cell r="D10519" t="str">
            <v>Birmingham</v>
          </cell>
          <cell r="E10519" t="str">
            <v>Community School</v>
          </cell>
          <cell r="F10519" t="str">
            <v>Primary</v>
          </cell>
        </row>
        <row r="10520">
          <cell r="A10520">
            <v>3337011</v>
          </cell>
          <cell r="B10520">
            <v>104030</v>
          </cell>
          <cell r="C10520" t="str">
            <v>Firs School</v>
          </cell>
          <cell r="D10520" t="str">
            <v>Sandwell</v>
          </cell>
          <cell r="E10520" t="str">
            <v>Community Special School</v>
          </cell>
          <cell r="F10520" t="str">
            <v>Special</v>
          </cell>
        </row>
        <row r="10521">
          <cell r="A10521">
            <v>8966004</v>
          </cell>
          <cell r="B10521">
            <v>111470</v>
          </cell>
          <cell r="C10521" t="str">
            <v>Firs School</v>
          </cell>
          <cell r="D10521" t="str">
            <v>Cheshire West and Chester</v>
          </cell>
          <cell r="E10521" t="str">
            <v>Other Independent School</v>
          </cell>
          <cell r="F10521" t="str">
            <v>Not applicable</v>
          </cell>
        </row>
        <row r="10522">
          <cell r="A10522">
            <v>9262247</v>
          </cell>
          <cell r="B10522">
            <v>120901</v>
          </cell>
          <cell r="C10522" t="str">
            <v>Firside Junior School</v>
          </cell>
          <cell r="D10522" t="str">
            <v>Norfolk</v>
          </cell>
          <cell r="E10522" t="str">
            <v>Community School</v>
          </cell>
          <cell r="F10522" t="str">
            <v>Primary</v>
          </cell>
        </row>
        <row r="10523">
          <cell r="A10523">
            <v>9351105</v>
          </cell>
          <cell r="B10523">
            <v>131822</v>
          </cell>
          <cell r="C10523" t="str">
            <v>First Base</v>
          </cell>
          <cell r="D10523" t="str">
            <v>Suffolk</v>
          </cell>
          <cell r="E10523" t="str">
            <v>Pupil Referral Unit</v>
          </cell>
          <cell r="F10523" t="str">
            <v>PRU</v>
          </cell>
        </row>
        <row r="10524">
          <cell r="A10524">
            <v>9351108</v>
          </cell>
          <cell r="B10524">
            <v>134617</v>
          </cell>
          <cell r="C10524" t="str">
            <v>First Base</v>
          </cell>
          <cell r="D10524" t="str">
            <v>Suffolk</v>
          </cell>
          <cell r="E10524" t="str">
            <v>Pupil Referral Unit</v>
          </cell>
          <cell r="F10524" t="str">
            <v>PRU</v>
          </cell>
        </row>
        <row r="10525">
          <cell r="A10525">
            <v>9351107</v>
          </cell>
          <cell r="B10525">
            <v>133715</v>
          </cell>
          <cell r="C10525" t="str">
            <v>First Base, Ipswich</v>
          </cell>
          <cell r="D10525" t="str">
            <v>Suffolk</v>
          </cell>
          <cell r="E10525" t="str">
            <v>Pupil Referral Unit</v>
          </cell>
          <cell r="F10525" t="str">
            <v>PRU</v>
          </cell>
        </row>
        <row r="10526">
          <cell r="A10526">
            <v>6751102</v>
          </cell>
          <cell r="B10526">
            <v>402161</v>
          </cell>
          <cell r="C10526" t="str">
            <v>First Steps</v>
          </cell>
          <cell r="D10526" t="str">
            <v>Merthyr Tydfil</v>
          </cell>
          <cell r="E10526" t="str">
            <v>Welsh Establishment</v>
          </cell>
          <cell r="F10526" t="str">
            <v>Not applicable</v>
          </cell>
        </row>
        <row r="10527">
          <cell r="A10527">
            <v>9236095</v>
          </cell>
          <cell r="B10527">
            <v>119855</v>
          </cell>
          <cell r="C10527" t="str">
            <v>First Steps Day Nursery and Preparatory School</v>
          </cell>
          <cell r="D10527" t="str">
            <v>Pre LGR (1998) Lancashire</v>
          </cell>
          <cell r="E10527" t="str">
            <v>Other Independent School</v>
          </cell>
          <cell r="F10527" t="str">
            <v>Not applicable</v>
          </cell>
        </row>
        <row r="10528">
          <cell r="A10528">
            <v>2036297</v>
          </cell>
          <cell r="B10528">
            <v>131399</v>
          </cell>
          <cell r="C10528" t="str">
            <v>First Steps Pre-Preparatory and Preparatory School</v>
          </cell>
          <cell r="D10528" t="str">
            <v>Greenwich</v>
          </cell>
          <cell r="E10528" t="str">
            <v>Other Independent School</v>
          </cell>
          <cell r="F10528" t="str">
            <v>Not applicable</v>
          </cell>
        </row>
        <row r="10529">
          <cell r="A10529">
            <v>7072002</v>
          </cell>
          <cell r="B10529">
            <v>132425</v>
          </cell>
          <cell r="C10529" t="str">
            <v>First Tower School</v>
          </cell>
          <cell r="D10529" t="str">
            <v>Jersey Offshore Establishments</v>
          </cell>
          <cell r="E10529" t="str">
            <v>Offshore Schools</v>
          </cell>
          <cell r="F10529" t="str">
            <v>Not applicable</v>
          </cell>
        </row>
        <row r="10530">
          <cell r="A10530">
            <v>9386169</v>
          </cell>
          <cell r="B10530">
            <v>130193</v>
          </cell>
          <cell r="C10530" t="str">
            <v>Firth House Preparatory School</v>
          </cell>
          <cell r="D10530" t="str">
            <v>West Sussex</v>
          </cell>
          <cell r="E10530" t="str">
            <v>Other Independent School</v>
          </cell>
          <cell r="F10530" t="str">
            <v>Not applicable</v>
          </cell>
        </row>
        <row r="10531">
          <cell r="A10531">
            <v>3734256</v>
          </cell>
          <cell r="B10531">
            <v>107138</v>
          </cell>
          <cell r="C10531" t="str">
            <v>Firth Park Community Arts College</v>
          </cell>
          <cell r="D10531" t="str">
            <v>Sheffield</v>
          </cell>
          <cell r="E10531" t="str">
            <v>Foundation School</v>
          </cell>
          <cell r="F10531" t="str">
            <v>Secondary</v>
          </cell>
        </row>
        <row r="10532">
          <cell r="A10532">
            <v>8412655</v>
          </cell>
          <cell r="B10532">
            <v>114171</v>
          </cell>
          <cell r="C10532" t="str">
            <v>Firthmoor Infant and Nursery School</v>
          </cell>
          <cell r="D10532" t="str">
            <v>Darlington</v>
          </cell>
          <cell r="E10532" t="str">
            <v>Community School</v>
          </cell>
          <cell r="F10532" t="str">
            <v>Primary</v>
          </cell>
        </row>
        <row r="10533">
          <cell r="A10533">
            <v>8412665</v>
          </cell>
          <cell r="B10533">
            <v>114180</v>
          </cell>
          <cell r="C10533" t="str">
            <v>Firthmoor Junior School</v>
          </cell>
          <cell r="D10533" t="str">
            <v>Darlington</v>
          </cell>
          <cell r="E10533" t="str">
            <v>Community School</v>
          </cell>
          <cell r="F10533" t="str">
            <v>Primary</v>
          </cell>
        </row>
        <row r="10534">
          <cell r="A10534">
            <v>8412001</v>
          </cell>
          <cell r="B10534">
            <v>132207</v>
          </cell>
          <cell r="C10534" t="str">
            <v>Firthmoor Primary School</v>
          </cell>
          <cell r="D10534" t="str">
            <v>Darlington</v>
          </cell>
          <cell r="E10534" t="str">
            <v>Community School</v>
          </cell>
          <cell r="F10534" t="str">
            <v>Primary</v>
          </cell>
        </row>
        <row r="10535">
          <cell r="A10535">
            <v>3536017</v>
          </cell>
          <cell r="B10535">
            <v>105587</v>
          </cell>
          <cell r="C10535" t="str">
            <v>Firwood Manor Preparatory School</v>
          </cell>
          <cell r="D10535" t="str">
            <v>Oldham</v>
          </cell>
          <cell r="E10535" t="str">
            <v>Other Independent School</v>
          </cell>
          <cell r="F10535" t="str">
            <v>Not applicable</v>
          </cell>
        </row>
        <row r="10536">
          <cell r="A10536">
            <v>3507004</v>
          </cell>
          <cell r="B10536">
            <v>105278</v>
          </cell>
          <cell r="C10536" t="str">
            <v>Firwood School</v>
          </cell>
          <cell r="D10536" t="str">
            <v>Bolton</v>
          </cell>
          <cell r="E10536" t="str">
            <v>Community Special School</v>
          </cell>
          <cell r="F10536" t="str">
            <v>Special</v>
          </cell>
        </row>
        <row r="10537">
          <cell r="A10537">
            <v>9383017</v>
          </cell>
          <cell r="B10537">
            <v>125983</v>
          </cell>
          <cell r="C10537" t="str">
            <v>Fishbourne CofE Primary School</v>
          </cell>
          <cell r="D10537" t="str">
            <v>West Sussex</v>
          </cell>
          <cell r="E10537" t="str">
            <v>Voluntary Controlled School</v>
          </cell>
          <cell r="F10537" t="str">
            <v>Primary</v>
          </cell>
        </row>
        <row r="10538">
          <cell r="A10538">
            <v>8402399</v>
          </cell>
          <cell r="B10538">
            <v>114095</v>
          </cell>
          <cell r="C10538" t="str">
            <v>Fishburn Primary School</v>
          </cell>
          <cell r="D10538" t="str">
            <v>Durham</v>
          </cell>
          <cell r="E10538" t="str">
            <v>Community School</v>
          </cell>
          <cell r="F10538" t="str">
            <v>Primary</v>
          </cell>
        </row>
        <row r="10539">
          <cell r="A10539">
            <v>8162008</v>
          </cell>
          <cell r="B10539">
            <v>121277</v>
          </cell>
          <cell r="C10539" t="str">
            <v>Fishergate Primary School</v>
          </cell>
          <cell r="D10539" t="str">
            <v>York</v>
          </cell>
          <cell r="E10539" t="str">
            <v>Community School</v>
          </cell>
          <cell r="F10539" t="str">
            <v>Primary</v>
          </cell>
        </row>
        <row r="10540">
          <cell r="A10540">
            <v>9382168</v>
          </cell>
          <cell r="B10540">
            <v>125910</v>
          </cell>
          <cell r="C10540" t="str">
            <v>Fishersgate First School</v>
          </cell>
          <cell r="D10540" t="str">
            <v>West Sussex</v>
          </cell>
          <cell r="E10540" t="str">
            <v>Community School</v>
          </cell>
          <cell r="F10540" t="str">
            <v>Primary</v>
          </cell>
        </row>
        <row r="10541">
          <cell r="A10541">
            <v>8654077</v>
          </cell>
          <cell r="B10541">
            <v>126464</v>
          </cell>
          <cell r="C10541" t="str">
            <v>Fisherton Manor Middle School</v>
          </cell>
          <cell r="D10541" t="str">
            <v>Wiltshire</v>
          </cell>
          <cell r="E10541" t="str">
            <v>Community School</v>
          </cell>
          <cell r="F10541" t="str">
            <v>Middle Deemed Secondary</v>
          </cell>
        </row>
        <row r="10542">
          <cell r="A10542">
            <v>3712189</v>
          </cell>
          <cell r="B10542">
            <v>127625</v>
          </cell>
          <cell r="C10542" t="str">
            <v>Fishlake Endowed First School</v>
          </cell>
          <cell r="D10542" t="str">
            <v>Doncaster</v>
          </cell>
          <cell r="E10542" t="str">
            <v>Community School</v>
          </cell>
          <cell r="F10542" t="str">
            <v>Primary</v>
          </cell>
        </row>
        <row r="10543">
          <cell r="A10543">
            <v>3713004</v>
          </cell>
          <cell r="B10543">
            <v>127629</v>
          </cell>
          <cell r="C10543" t="str">
            <v>Fishlake Endowed First School</v>
          </cell>
          <cell r="D10543" t="str">
            <v>Doncaster</v>
          </cell>
          <cell r="E10543" t="str">
            <v>Voluntary Controlled School</v>
          </cell>
          <cell r="F10543" t="str">
            <v>Primary</v>
          </cell>
        </row>
        <row r="10544">
          <cell r="A10544">
            <v>3512005</v>
          </cell>
          <cell r="B10544">
            <v>105286</v>
          </cell>
          <cell r="C10544" t="str">
            <v>Fishpool Infant School</v>
          </cell>
          <cell r="D10544" t="str">
            <v>Bury</v>
          </cell>
          <cell r="E10544" t="str">
            <v>Community School</v>
          </cell>
          <cell r="F10544" t="str">
            <v>Primary</v>
          </cell>
        </row>
        <row r="10545">
          <cell r="A10545">
            <v>8882704</v>
          </cell>
          <cell r="B10545">
            <v>119333</v>
          </cell>
          <cell r="C10545" t="str">
            <v>Fishwick Primary School</v>
          </cell>
          <cell r="D10545" t="str">
            <v>Lancashire</v>
          </cell>
          <cell r="E10545" t="str">
            <v>Community School</v>
          </cell>
          <cell r="F10545" t="str">
            <v>Primary</v>
          </cell>
        </row>
        <row r="10546">
          <cell r="A10546">
            <v>9253122</v>
          </cell>
          <cell r="B10546">
            <v>120570</v>
          </cell>
          <cell r="C10546" t="str">
            <v>Fiskerton Church of England Primary School</v>
          </cell>
          <cell r="D10546" t="str">
            <v>Lincolnshire</v>
          </cell>
          <cell r="E10546" t="str">
            <v>Voluntary Controlled School</v>
          </cell>
          <cell r="F10546" t="str">
            <v>Primary</v>
          </cell>
        </row>
        <row r="10547">
          <cell r="A10547">
            <v>8526011</v>
          </cell>
          <cell r="B10547">
            <v>136210</v>
          </cell>
          <cell r="C10547" t="str">
            <v>Fitrah Sips</v>
          </cell>
          <cell r="D10547" t="str">
            <v>Southampton</v>
          </cell>
          <cell r="E10547" t="str">
            <v>Other Independent School</v>
          </cell>
          <cell r="F10547" t="str">
            <v>Not applicable</v>
          </cell>
        </row>
        <row r="10548">
          <cell r="A10548">
            <v>9383018</v>
          </cell>
          <cell r="B10548">
            <v>125984</v>
          </cell>
          <cell r="C10548" t="str">
            <v>Fittleworth CofE Primary School</v>
          </cell>
          <cell r="D10548" t="str">
            <v>West Sussex</v>
          </cell>
          <cell r="E10548" t="str">
            <v>Voluntary Controlled School</v>
          </cell>
          <cell r="F10548" t="str">
            <v>Primary</v>
          </cell>
        </row>
        <row r="10549">
          <cell r="A10549">
            <v>3532037</v>
          </cell>
          <cell r="B10549">
            <v>105641</v>
          </cell>
          <cell r="C10549" t="str">
            <v>Fitton Hill Infant and Nursery School</v>
          </cell>
          <cell r="D10549" t="str">
            <v>Oldham</v>
          </cell>
          <cell r="E10549" t="str">
            <v>Community School</v>
          </cell>
          <cell r="F10549" t="str">
            <v>Primary</v>
          </cell>
        </row>
        <row r="10550">
          <cell r="A10550">
            <v>3532035</v>
          </cell>
          <cell r="B10550">
            <v>105640</v>
          </cell>
          <cell r="C10550" t="str">
            <v>Fitton Hill Junior School</v>
          </cell>
          <cell r="D10550" t="str">
            <v>Oldham</v>
          </cell>
          <cell r="E10550" t="str">
            <v>Community School</v>
          </cell>
          <cell r="F10550" t="str">
            <v>Primary</v>
          </cell>
        </row>
        <row r="10551">
          <cell r="A10551">
            <v>3534013</v>
          </cell>
          <cell r="B10551">
            <v>127433</v>
          </cell>
          <cell r="C10551" t="str">
            <v>Fitton Hill Secondary School</v>
          </cell>
          <cell r="D10551" t="str">
            <v>Oldham</v>
          </cell>
          <cell r="E10551" t="str">
            <v>Community School</v>
          </cell>
          <cell r="F10551" t="str">
            <v>Secondary</v>
          </cell>
        </row>
        <row r="10552">
          <cell r="A10552">
            <v>6814042</v>
          </cell>
          <cell r="B10552">
            <v>401877</v>
          </cell>
          <cell r="C10552" t="str">
            <v>Fitzalan High School</v>
          </cell>
          <cell r="D10552" t="str">
            <v>Cardiff</v>
          </cell>
          <cell r="E10552" t="str">
            <v>Welsh Establishment</v>
          </cell>
          <cell r="F10552" t="str">
            <v>Secondary</v>
          </cell>
        </row>
        <row r="10553">
          <cell r="A10553">
            <v>9324434</v>
          </cell>
          <cell r="B10553">
            <v>129813</v>
          </cell>
          <cell r="C10553" t="str">
            <v>Fitzalan School</v>
          </cell>
          <cell r="D10553" t="str">
            <v>Pre LGR (1998) Shropshire</v>
          </cell>
          <cell r="E10553" t="str">
            <v>Community School</v>
          </cell>
          <cell r="F10553" t="str">
            <v>Secondary</v>
          </cell>
        </row>
        <row r="10554">
          <cell r="A10554">
            <v>9314127</v>
          </cell>
          <cell r="B10554">
            <v>123257</v>
          </cell>
          <cell r="C10554" t="str">
            <v>Fitzharrys School</v>
          </cell>
          <cell r="D10554" t="str">
            <v>Oxfordshire</v>
          </cell>
          <cell r="E10554" t="str">
            <v>Community School</v>
          </cell>
          <cell r="F10554" t="str">
            <v>Secondary</v>
          </cell>
        </row>
        <row r="10555">
          <cell r="A10555">
            <v>8303317</v>
          </cell>
          <cell r="B10555">
            <v>112883</v>
          </cell>
          <cell r="C10555" t="str">
            <v>Fitzherbert CofE (Aided) Primary School</v>
          </cell>
          <cell r="D10555" t="str">
            <v>Derbyshire</v>
          </cell>
          <cell r="E10555" t="str">
            <v>Voluntary Aided School</v>
          </cell>
          <cell r="F10555" t="str">
            <v>Primary</v>
          </cell>
        </row>
        <row r="10556">
          <cell r="A10556">
            <v>9143364</v>
          </cell>
          <cell r="B10556">
            <v>128842</v>
          </cell>
          <cell r="C10556" t="str">
            <v>Fitzherbert School</v>
          </cell>
          <cell r="D10556" t="str">
            <v>Pre LGR (1997) East Sussex</v>
          </cell>
          <cell r="E10556" t="str">
            <v>Voluntary Aided School</v>
          </cell>
          <cell r="F10556" t="str">
            <v>Primary</v>
          </cell>
        </row>
        <row r="10557">
          <cell r="A10557">
            <v>2022797</v>
          </cell>
          <cell r="B10557">
            <v>100026</v>
          </cell>
          <cell r="C10557" t="str">
            <v>Fitzjohn's Primary School</v>
          </cell>
          <cell r="D10557" t="str">
            <v>Camden</v>
          </cell>
          <cell r="E10557" t="str">
            <v>Community School</v>
          </cell>
          <cell r="F10557" t="str">
            <v>Primary</v>
          </cell>
        </row>
        <row r="10558">
          <cell r="A10558">
            <v>8652008</v>
          </cell>
          <cell r="B10558">
            <v>126177</v>
          </cell>
          <cell r="C10558" t="str">
            <v>Fitzmaurice Primary School</v>
          </cell>
          <cell r="D10558" t="str">
            <v>Wiltshire</v>
          </cell>
          <cell r="E10558" t="str">
            <v>Community School</v>
          </cell>
          <cell r="F10558" t="str">
            <v>Primary</v>
          </cell>
        </row>
        <row r="10559">
          <cell r="A10559">
            <v>8776010</v>
          </cell>
          <cell r="B10559">
            <v>135638</v>
          </cell>
          <cell r="C10559" t="str">
            <v>Fitzwalter Green Corns</v>
          </cell>
          <cell r="D10559" t="str">
            <v>Warrington</v>
          </cell>
          <cell r="E10559" t="str">
            <v>Other Independent Special School</v>
          </cell>
          <cell r="F10559" t="str">
            <v>Not applicable</v>
          </cell>
        </row>
        <row r="10560">
          <cell r="A10560">
            <v>3337004</v>
          </cell>
          <cell r="B10560">
            <v>104027</v>
          </cell>
          <cell r="C10560" t="str">
            <v>Fitzwarren School</v>
          </cell>
          <cell r="D10560" t="str">
            <v>Sandwell</v>
          </cell>
          <cell r="E10560" t="str">
            <v>Community Special School</v>
          </cell>
          <cell r="F10560" t="str">
            <v>Special</v>
          </cell>
        </row>
        <row r="10561">
          <cell r="A10561">
            <v>9317027</v>
          </cell>
          <cell r="B10561">
            <v>123342</v>
          </cell>
          <cell r="C10561" t="str">
            <v>Fitzwaryn School</v>
          </cell>
          <cell r="D10561" t="str">
            <v>Oxfordshire</v>
          </cell>
          <cell r="E10561" t="str">
            <v>Community Special School</v>
          </cell>
          <cell r="F10561" t="str">
            <v>Special</v>
          </cell>
        </row>
        <row r="10562">
          <cell r="A10562">
            <v>3842049</v>
          </cell>
          <cell r="B10562">
            <v>108144</v>
          </cell>
          <cell r="C10562" t="str">
            <v>Fitzwilliam First School</v>
          </cell>
          <cell r="D10562" t="str">
            <v>Wakefield</v>
          </cell>
          <cell r="E10562" t="str">
            <v>Community School</v>
          </cell>
          <cell r="F10562" t="str">
            <v>Primary</v>
          </cell>
        </row>
        <row r="10563">
          <cell r="A10563">
            <v>3842197</v>
          </cell>
          <cell r="B10563">
            <v>130970</v>
          </cell>
          <cell r="C10563" t="str">
            <v>Fitzwilliam Primary School</v>
          </cell>
          <cell r="D10563" t="str">
            <v>Wakefield</v>
          </cell>
          <cell r="E10563" t="str">
            <v>Community School</v>
          </cell>
          <cell r="F10563" t="str">
            <v>Primary</v>
          </cell>
        </row>
        <row r="10564">
          <cell r="A10564">
            <v>8867056</v>
          </cell>
          <cell r="B10564">
            <v>119055</v>
          </cell>
          <cell r="C10564" t="str">
            <v>Five Acre Wood School</v>
          </cell>
          <cell r="D10564" t="str">
            <v>Kent</v>
          </cell>
          <cell r="E10564" t="str">
            <v>Community Special School</v>
          </cell>
          <cell r="F10564" t="str">
            <v>Special</v>
          </cell>
        </row>
        <row r="10565">
          <cell r="A10565">
            <v>9311027</v>
          </cell>
          <cell r="B10565">
            <v>122980</v>
          </cell>
          <cell r="C10565" t="str">
            <v>Five Acres Foundation Stage School</v>
          </cell>
          <cell r="D10565" t="str">
            <v>Oxfordshire</v>
          </cell>
          <cell r="E10565" t="str">
            <v>LA Nursery School</v>
          </cell>
          <cell r="F10565" t="str">
            <v>Nursery</v>
          </cell>
        </row>
        <row r="10566">
          <cell r="A10566">
            <v>9312200</v>
          </cell>
          <cell r="B10566">
            <v>123006</v>
          </cell>
          <cell r="C10566" t="str">
            <v>Five Acres Primary School</v>
          </cell>
          <cell r="D10566" t="str">
            <v>Oxfordshire</v>
          </cell>
          <cell r="E10566" t="str">
            <v>Community School</v>
          </cell>
          <cell r="F10566" t="str">
            <v>Primary</v>
          </cell>
        </row>
        <row r="10567">
          <cell r="A10567">
            <v>8453071</v>
          </cell>
          <cell r="B10567">
            <v>114526</v>
          </cell>
          <cell r="C10567" t="str">
            <v>Five Ashes CofE Primary School</v>
          </cell>
          <cell r="D10567" t="str">
            <v>East Sussex</v>
          </cell>
          <cell r="E10567" t="str">
            <v>Voluntary Controlled School</v>
          </cell>
          <cell r="F10567" t="str">
            <v>Primary</v>
          </cell>
        </row>
        <row r="10568">
          <cell r="A10568">
            <v>2086403</v>
          </cell>
          <cell r="B10568">
            <v>133260</v>
          </cell>
          <cell r="C10568" t="str">
            <v>Five Bridges</v>
          </cell>
          <cell r="D10568" t="str">
            <v>Lambeth</v>
          </cell>
          <cell r="E10568" t="str">
            <v>Other Independent Special School</v>
          </cell>
          <cell r="F10568" t="str">
            <v>Not applicable</v>
          </cell>
        </row>
        <row r="10569">
          <cell r="A10569">
            <v>3012065</v>
          </cell>
          <cell r="B10569">
            <v>101228</v>
          </cell>
          <cell r="C10569" t="str">
            <v>Five Elms Primary School</v>
          </cell>
          <cell r="D10569" t="str">
            <v>Barking and Dagenham</v>
          </cell>
          <cell r="E10569" t="str">
            <v>Community School</v>
          </cell>
          <cell r="F10569" t="str">
            <v>Primary</v>
          </cell>
        </row>
        <row r="10570">
          <cell r="A10570">
            <v>3832492</v>
          </cell>
          <cell r="B10570">
            <v>107968</v>
          </cell>
          <cell r="C10570" t="str">
            <v>Five Lanes Primary School</v>
          </cell>
          <cell r="D10570" t="str">
            <v>Leeds</v>
          </cell>
          <cell r="E10570" t="str">
            <v>Community School</v>
          </cell>
          <cell r="F10570" t="str">
            <v>Primary</v>
          </cell>
        </row>
        <row r="10571">
          <cell r="A10571">
            <v>8653469</v>
          </cell>
          <cell r="B10571">
            <v>133233</v>
          </cell>
          <cell r="C10571" t="str">
            <v>Five Lanes Primary School</v>
          </cell>
          <cell r="D10571" t="str">
            <v>Wiltshire</v>
          </cell>
          <cell r="E10571" t="str">
            <v>Voluntary Controlled School</v>
          </cell>
          <cell r="F10571" t="str">
            <v>Primary</v>
          </cell>
        </row>
        <row r="10572">
          <cell r="A10572">
            <v>9192456</v>
          </cell>
          <cell r="B10572">
            <v>117357</v>
          </cell>
          <cell r="C10572" t="str">
            <v>Five Oaks Primary and Nursery School</v>
          </cell>
          <cell r="D10572" t="str">
            <v>Hertfordshire</v>
          </cell>
          <cell r="E10572" t="str">
            <v>Community School</v>
          </cell>
          <cell r="F10572" t="str">
            <v>Primary</v>
          </cell>
        </row>
        <row r="10573">
          <cell r="A10573">
            <v>3836120</v>
          </cell>
          <cell r="B10573">
            <v>131172</v>
          </cell>
          <cell r="C10573" t="str">
            <v>Five Rivers Education</v>
          </cell>
          <cell r="D10573" t="str">
            <v>Leeds</v>
          </cell>
          <cell r="E10573" t="str">
            <v>Other Independent School</v>
          </cell>
          <cell r="F10573" t="str">
            <v>Not applicable</v>
          </cell>
        </row>
        <row r="10574">
          <cell r="A10574">
            <v>3176069</v>
          </cell>
          <cell r="B10574">
            <v>131514</v>
          </cell>
          <cell r="C10574" t="str">
            <v>Five Rivers London</v>
          </cell>
          <cell r="D10574" t="str">
            <v>Redbridge</v>
          </cell>
          <cell r="E10574" t="str">
            <v>Other Independent School</v>
          </cell>
          <cell r="F10574" t="str">
            <v>Not applicable</v>
          </cell>
        </row>
        <row r="10575">
          <cell r="A10575">
            <v>8602180</v>
          </cell>
          <cell r="B10575">
            <v>124070</v>
          </cell>
          <cell r="C10575" t="str">
            <v>Five Ways Primary School</v>
          </cell>
          <cell r="D10575" t="str">
            <v>Staffordshire</v>
          </cell>
          <cell r="E10575" t="str">
            <v>Community School</v>
          </cell>
          <cell r="F10575" t="str">
            <v>Primary</v>
          </cell>
        </row>
        <row r="10576">
          <cell r="A10576">
            <v>9337016</v>
          </cell>
          <cell r="B10576">
            <v>123944</v>
          </cell>
          <cell r="C10576" t="str">
            <v>Fiveways Special School</v>
          </cell>
          <cell r="D10576" t="str">
            <v>Somerset</v>
          </cell>
          <cell r="E10576" t="str">
            <v>Community Special School</v>
          </cell>
          <cell r="F10576" t="str">
            <v>Special</v>
          </cell>
        </row>
        <row r="10577">
          <cell r="A10577">
            <v>3822056</v>
          </cell>
          <cell r="B10577">
            <v>107634</v>
          </cell>
          <cell r="C10577" t="str">
            <v>Fixby Junior and Infant School</v>
          </cell>
          <cell r="D10577" t="str">
            <v>Kirklees</v>
          </cell>
          <cell r="E10577" t="str">
            <v>Community School</v>
          </cell>
          <cell r="F10577" t="str">
            <v>Primary</v>
          </cell>
        </row>
        <row r="10578">
          <cell r="A10578">
            <v>3501106</v>
          </cell>
          <cell r="B10578">
            <v>134287</v>
          </cell>
          <cell r="C10578" t="str">
            <v>Fixed Exclusion Unit</v>
          </cell>
          <cell r="D10578" t="str">
            <v>Bolton</v>
          </cell>
          <cell r="E10578" t="str">
            <v>Pupil Referral Unit</v>
          </cell>
          <cell r="F10578" t="str">
            <v>PRU</v>
          </cell>
        </row>
        <row r="10579">
          <cell r="A10579">
            <v>8816020</v>
          </cell>
          <cell r="B10579">
            <v>115414</v>
          </cell>
          <cell r="C10579" t="str">
            <v>FKS Schools Ltd</v>
          </cell>
          <cell r="D10579" t="str">
            <v>Essex</v>
          </cell>
          <cell r="E10579" t="str">
            <v>Other Independent School</v>
          </cell>
          <cell r="F10579" t="str">
            <v>Not applicable</v>
          </cell>
        </row>
        <row r="10580">
          <cell r="A10580">
            <v>8853324</v>
          </cell>
          <cell r="B10580">
            <v>116879</v>
          </cell>
          <cell r="C10580" t="str">
            <v>Fladbury CofE First School</v>
          </cell>
          <cell r="D10580" t="str">
            <v>Worcestershire</v>
          </cell>
          <cell r="E10580" t="str">
            <v>Voluntary Aided School</v>
          </cell>
          <cell r="F10580" t="str">
            <v>Primary</v>
          </cell>
        </row>
        <row r="10581">
          <cell r="A10581">
            <v>8301016</v>
          </cell>
          <cell r="B10581">
            <v>112481</v>
          </cell>
          <cell r="C10581" t="str">
            <v>Flagg Nursery School</v>
          </cell>
          <cell r="D10581" t="str">
            <v>Derbyshire</v>
          </cell>
          <cell r="E10581" t="str">
            <v>LA Nursery School</v>
          </cell>
          <cell r="F10581" t="str">
            <v>Nursery</v>
          </cell>
        </row>
        <row r="10582">
          <cell r="A10582">
            <v>9232036</v>
          </cell>
          <cell r="B10582">
            <v>119142</v>
          </cell>
          <cell r="C10582" t="str">
            <v>Flakefleet County Junior School</v>
          </cell>
          <cell r="D10582" t="str">
            <v>Pre LGR (1998) Lancashire</v>
          </cell>
          <cell r="E10582" t="str">
            <v>Community School</v>
          </cell>
          <cell r="F10582" t="str">
            <v>Primary</v>
          </cell>
        </row>
        <row r="10583">
          <cell r="A10583">
            <v>9232037</v>
          </cell>
          <cell r="B10583">
            <v>119143</v>
          </cell>
          <cell r="C10583" t="str">
            <v>Flakefleet Infant School</v>
          </cell>
          <cell r="D10583" t="str">
            <v>Pre LGR (1998) Lancashire</v>
          </cell>
          <cell r="E10583" t="str">
            <v>Community School</v>
          </cell>
          <cell r="F10583" t="str">
            <v>Primary</v>
          </cell>
        </row>
        <row r="10584">
          <cell r="A10584">
            <v>8113021</v>
          </cell>
          <cell r="B10584">
            <v>117976</v>
          </cell>
          <cell r="C10584" t="str">
            <v>Flamborough CofE Primary School</v>
          </cell>
          <cell r="D10584" t="str">
            <v>East Riding of Yorkshire</v>
          </cell>
          <cell r="E10584" t="str">
            <v>Voluntary Controlled School</v>
          </cell>
          <cell r="F10584" t="str">
            <v>Primary</v>
          </cell>
        </row>
        <row r="10585">
          <cell r="A10585">
            <v>2086402</v>
          </cell>
          <cell r="B10585">
            <v>132798</v>
          </cell>
          <cell r="C10585" t="str">
            <v>Flames Academy</v>
          </cell>
          <cell r="D10585" t="str">
            <v>Lambeth</v>
          </cell>
          <cell r="E10585" t="str">
            <v>Other Independent School</v>
          </cell>
          <cell r="F10585" t="str">
            <v>Not applicable</v>
          </cell>
        </row>
        <row r="10586">
          <cell r="A10586">
            <v>9192303</v>
          </cell>
          <cell r="B10586">
            <v>117262</v>
          </cell>
          <cell r="C10586" t="str">
            <v>Flamstead End Infant and Nursery School</v>
          </cell>
          <cell r="D10586" t="str">
            <v>Hertfordshire</v>
          </cell>
          <cell r="E10586" t="str">
            <v>Community School</v>
          </cell>
          <cell r="F10586" t="str">
            <v>Primary</v>
          </cell>
        </row>
        <row r="10587">
          <cell r="A10587">
            <v>9192189</v>
          </cell>
          <cell r="B10587">
            <v>117201</v>
          </cell>
          <cell r="C10587" t="str">
            <v>Flamstead End Junior School</v>
          </cell>
          <cell r="D10587" t="str">
            <v>Hertfordshire</v>
          </cell>
          <cell r="E10587" t="str">
            <v>Community School</v>
          </cell>
          <cell r="F10587" t="str">
            <v>Primary</v>
          </cell>
        </row>
        <row r="10588">
          <cell r="A10588">
            <v>9192001</v>
          </cell>
          <cell r="B10588">
            <v>134197</v>
          </cell>
          <cell r="C10588" t="str">
            <v>Flamstead End Primary and Nursery School</v>
          </cell>
          <cell r="D10588" t="str">
            <v>Hertfordshire</v>
          </cell>
          <cell r="E10588" t="str">
            <v>Community School</v>
          </cell>
          <cell r="F10588" t="str">
            <v>Primary</v>
          </cell>
        </row>
        <row r="10589">
          <cell r="A10589">
            <v>9192031</v>
          </cell>
          <cell r="B10589">
            <v>117100</v>
          </cell>
          <cell r="C10589" t="str">
            <v>Flamstead Village School</v>
          </cell>
          <cell r="D10589" t="str">
            <v>Hertfordshire</v>
          </cell>
          <cell r="E10589" t="str">
            <v>Community School</v>
          </cell>
          <cell r="F10589" t="str">
            <v>Primary</v>
          </cell>
        </row>
        <row r="10590">
          <cell r="A10590">
            <v>3722132</v>
          </cell>
          <cell r="B10590">
            <v>106924</v>
          </cell>
          <cell r="C10590" t="str">
            <v>Flanderwell Primary School</v>
          </cell>
          <cell r="D10590" t="str">
            <v>Rotherham</v>
          </cell>
          <cell r="E10590" t="str">
            <v>Community School</v>
          </cell>
          <cell r="F10590" t="str">
            <v>Primary</v>
          </cell>
        </row>
        <row r="10591">
          <cell r="A10591">
            <v>3843020</v>
          </cell>
          <cell r="B10591">
            <v>108251</v>
          </cell>
          <cell r="C10591" t="str">
            <v>Flanshaw St Michaels CofE (Voluntary Controlled) Primary (NIJ) School</v>
          </cell>
          <cell r="D10591" t="str">
            <v>Wakefield</v>
          </cell>
          <cell r="E10591" t="str">
            <v>Voluntary Controlled School</v>
          </cell>
          <cell r="F10591" t="str">
            <v>Primary</v>
          </cell>
        </row>
        <row r="10592">
          <cell r="A10592">
            <v>8603157</v>
          </cell>
          <cell r="B10592">
            <v>124307</v>
          </cell>
          <cell r="C10592" t="str">
            <v>Flash CofE (C) Primary School</v>
          </cell>
          <cell r="D10592" t="str">
            <v>Staffordshire</v>
          </cell>
          <cell r="E10592" t="str">
            <v>Voluntary Controlled School</v>
          </cell>
          <cell r="F10592" t="str">
            <v>Primary</v>
          </cell>
        </row>
        <row r="10593">
          <cell r="A10593">
            <v>9343099</v>
          </cell>
          <cell r="B10593">
            <v>129917</v>
          </cell>
          <cell r="C10593" t="str">
            <v>Flash First School</v>
          </cell>
          <cell r="D10593" t="str">
            <v>Pre LGR (1997) Staffordshire</v>
          </cell>
          <cell r="E10593" t="str">
            <v>Voluntary Controlled School</v>
          </cell>
          <cell r="F10593" t="str">
            <v>Primary</v>
          </cell>
        </row>
        <row r="10594">
          <cell r="A10594">
            <v>9342381</v>
          </cell>
          <cell r="B10594">
            <v>129908</v>
          </cell>
          <cell r="C10594" t="str">
            <v>Flash Ley First School</v>
          </cell>
          <cell r="D10594" t="str">
            <v>Pre LGR (1997) Staffordshire</v>
          </cell>
          <cell r="E10594" t="str">
            <v>Community School</v>
          </cell>
          <cell r="F10594" t="str">
            <v>Primary</v>
          </cell>
        </row>
        <row r="10595">
          <cell r="A10595">
            <v>9344165</v>
          </cell>
          <cell r="B10595">
            <v>129945</v>
          </cell>
          <cell r="C10595" t="str">
            <v>Flash Ley Middle School</v>
          </cell>
          <cell r="D10595" t="str">
            <v>Pre LGR (1997) Staffordshire</v>
          </cell>
          <cell r="E10595" t="str">
            <v>Community School</v>
          </cell>
          <cell r="F10595" t="str">
            <v>Middle Deemed Secondary</v>
          </cell>
        </row>
        <row r="10596">
          <cell r="A10596">
            <v>8602409</v>
          </cell>
          <cell r="B10596">
            <v>124205</v>
          </cell>
          <cell r="C10596" t="str">
            <v>Flash Ley Primary School</v>
          </cell>
          <cell r="D10596" t="str">
            <v>Staffordshire</v>
          </cell>
          <cell r="E10596" t="str">
            <v>Community School</v>
          </cell>
          <cell r="F10596" t="str">
            <v>Primary</v>
          </cell>
        </row>
        <row r="10597">
          <cell r="A10597">
            <v>3821005</v>
          </cell>
          <cell r="B10597">
            <v>107592</v>
          </cell>
          <cell r="C10597" t="str">
            <v>Flatts Nursery School</v>
          </cell>
          <cell r="D10597" t="str">
            <v>Kirklees</v>
          </cell>
          <cell r="E10597" t="str">
            <v>LA Nursery School</v>
          </cell>
          <cell r="F10597" t="str">
            <v>Nursery</v>
          </cell>
        </row>
        <row r="10598">
          <cell r="A10598">
            <v>8023091</v>
          </cell>
          <cell r="B10598">
            <v>109194</v>
          </cell>
          <cell r="C10598" t="str">
            <v>Flax Bourton Church of England Primary School</v>
          </cell>
          <cell r="D10598" t="str">
            <v>North Somerset</v>
          </cell>
          <cell r="E10598" t="str">
            <v>Voluntary Controlled School</v>
          </cell>
          <cell r="F10598" t="str">
            <v>Primary</v>
          </cell>
        </row>
        <row r="10599">
          <cell r="A10599">
            <v>8602299</v>
          </cell>
          <cell r="B10599">
            <v>124135</v>
          </cell>
          <cell r="C10599" t="str">
            <v>Flax Hill Junior School</v>
          </cell>
          <cell r="D10599" t="str">
            <v>Staffordshire</v>
          </cell>
          <cell r="E10599" t="str">
            <v>Community School</v>
          </cell>
          <cell r="F10599" t="str">
            <v>Primary</v>
          </cell>
        </row>
        <row r="10600">
          <cell r="A10600">
            <v>8602272</v>
          </cell>
          <cell r="B10600">
            <v>124124</v>
          </cell>
          <cell r="C10600" t="str">
            <v>Flaxley Primary School</v>
          </cell>
          <cell r="D10600" t="str">
            <v>Staffordshire</v>
          </cell>
          <cell r="E10600" t="str">
            <v>Community School</v>
          </cell>
          <cell r="F10600" t="str">
            <v>Primary</v>
          </cell>
        </row>
        <row r="10601">
          <cell r="A10601">
            <v>9273038</v>
          </cell>
          <cell r="B10601">
            <v>129661</v>
          </cell>
          <cell r="C10601" t="str">
            <v>Flaxton On the Moor CofE School</v>
          </cell>
          <cell r="D10601" t="str">
            <v>Pre LGR (1996) North Yorkshire</v>
          </cell>
          <cell r="E10601" t="str">
            <v>Voluntary Controlled School</v>
          </cell>
          <cell r="F10601" t="str">
            <v>Primary</v>
          </cell>
        </row>
        <row r="10602">
          <cell r="A10602">
            <v>856940</v>
          </cell>
          <cell r="B10602">
            <v>132721</v>
          </cell>
          <cell r="C10602" t="str">
            <v>FLC - Foxes Learning Centre</v>
          </cell>
          <cell r="D10602" t="str">
            <v>Leicester</v>
          </cell>
          <cell r="E10602" t="str">
            <v>Playing for Success Centres</v>
          </cell>
          <cell r="F10602" t="str">
            <v>Not applicable</v>
          </cell>
        </row>
        <row r="10603">
          <cell r="A10603">
            <v>8553034</v>
          </cell>
          <cell r="B10603">
            <v>120129</v>
          </cell>
          <cell r="C10603" t="str">
            <v>Fleckney Church of England Primary School</v>
          </cell>
          <cell r="D10603" t="str">
            <v>Leicestershire</v>
          </cell>
          <cell r="E10603" t="str">
            <v>Voluntary Controlled School</v>
          </cell>
          <cell r="F10603" t="str">
            <v>Primary</v>
          </cell>
        </row>
        <row r="10604">
          <cell r="A10604">
            <v>9266142</v>
          </cell>
          <cell r="B10604">
            <v>129642</v>
          </cell>
          <cell r="C10604" t="str">
            <v>Fledglings School</v>
          </cell>
          <cell r="D10604" t="str">
            <v>Norfolk</v>
          </cell>
          <cell r="E10604" t="str">
            <v>Other Independent School</v>
          </cell>
          <cell r="F10604" t="str">
            <v>Not applicable</v>
          </cell>
        </row>
        <row r="10605">
          <cell r="A10605">
            <v>3082029</v>
          </cell>
          <cell r="B10605">
            <v>101990</v>
          </cell>
          <cell r="C10605" t="str">
            <v>Fleecefield Primary School</v>
          </cell>
          <cell r="D10605" t="str">
            <v>Enfield</v>
          </cell>
          <cell r="E10605" t="str">
            <v>Community School</v>
          </cell>
          <cell r="F10605" t="str">
            <v>Primary</v>
          </cell>
        </row>
        <row r="10606">
          <cell r="A10606">
            <v>8502270</v>
          </cell>
          <cell r="B10606">
            <v>116003</v>
          </cell>
          <cell r="C10606" t="str">
            <v>Fleet Infant School</v>
          </cell>
          <cell r="D10606" t="str">
            <v>Hampshire</v>
          </cell>
          <cell r="E10606" t="str">
            <v>Community School</v>
          </cell>
          <cell r="F10606" t="str">
            <v>Primary</v>
          </cell>
        </row>
        <row r="10607">
          <cell r="A10607">
            <v>886941</v>
          </cell>
          <cell r="B10607">
            <v>135397</v>
          </cell>
          <cell r="C10607" t="str">
            <v>Fleet Learning Zone</v>
          </cell>
          <cell r="D10607" t="str">
            <v>Kent</v>
          </cell>
          <cell r="E10607" t="str">
            <v>Playing for Success Centres</v>
          </cell>
          <cell r="F10607" t="str">
            <v>Not applicable</v>
          </cell>
        </row>
        <row r="10608">
          <cell r="A10608">
            <v>2022219</v>
          </cell>
          <cell r="B10608">
            <v>100014</v>
          </cell>
          <cell r="C10608" t="str">
            <v>Fleet Primary School</v>
          </cell>
          <cell r="D10608" t="str">
            <v>Camden</v>
          </cell>
          <cell r="E10608" t="str">
            <v>Community School</v>
          </cell>
          <cell r="F10608" t="str">
            <v>Primary</v>
          </cell>
        </row>
        <row r="10609">
          <cell r="A10609">
            <v>9252087</v>
          </cell>
          <cell r="B10609">
            <v>120408</v>
          </cell>
          <cell r="C10609" t="str">
            <v>Fleet Wood Lane School</v>
          </cell>
          <cell r="D10609" t="str">
            <v>Lincolnshire</v>
          </cell>
          <cell r="E10609" t="str">
            <v>Community School</v>
          </cell>
          <cell r="F10609" t="str">
            <v>Primary</v>
          </cell>
        </row>
        <row r="10610">
          <cell r="A10610">
            <v>8862470</v>
          </cell>
          <cell r="B10610">
            <v>118458</v>
          </cell>
          <cell r="C10610" t="str">
            <v>Fleetdown Infant School</v>
          </cell>
          <cell r="D10610" t="str">
            <v>Kent</v>
          </cell>
          <cell r="E10610" t="str">
            <v>Community School</v>
          </cell>
          <cell r="F10610" t="str">
            <v>Primary</v>
          </cell>
        </row>
        <row r="10611">
          <cell r="A10611">
            <v>8862533</v>
          </cell>
          <cell r="B10611">
            <v>118496</v>
          </cell>
          <cell r="C10611" t="str">
            <v>Fleetdown Junior School</v>
          </cell>
          <cell r="D10611" t="str">
            <v>Kent</v>
          </cell>
          <cell r="E10611" t="str">
            <v>Community School</v>
          </cell>
          <cell r="F10611" t="str">
            <v>Primary</v>
          </cell>
        </row>
        <row r="10612">
          <cell r="A10612">
            <v>8865229</v>
          </cell>
          <cell r="B10612">
            <v>135994</v>
          </cell>
          <cell r="C10612" t="str">
            <v>Fleetdown Primary School</v>
          </cell>
          <cell r="D10612" t="str">
            <v>Kent</v>
          </cell>
          <cell r="E10612" t="str">
            <v>Community School</v>
          </cell>
          <cell r="F10612" t="str">
            <v>Primary</v>
          </cell>
        </row>
        <row r="10613">
          <cell r="A10613">
            <v>9192094</v>
          </cell>
          <cell r="B10613">
            <v>117138</v>
          </cell>
          <cell r="C10613" t="str">
            <v>Fleetville Infant and Nursery School</v>
          </cell>
          <cell r="D10613" t="str">
            <v>Hertfordshire</v>
          </cell>
          <cell r="E10613" t="str">
            <v>Community School</v>
          </cell>
          <cell r="F10613" t="str">
            <v>Primary</v>
          </cell>
        </row>
        <row r="10614">
          <cell r="A10614">
            <v>9192093</v>
          </cell>
          <cell r="B10614">
            <v>117137</v>
          </cell>
          <cell r="C10614" t="str">
            <v>Fleetville Junior School</v>
          </cell>
          <cell r="D10614" t="str">
            <v>Hertfordshire</v>
          </cell>
          <cell r="E10614" t="str">
            <v>Community School</v>
          </cell>
          <cell r="F10614" t="str">
            <v>Primary</v>
          </cell>
        </row>
        <row r="10615">
          <cell r="A10615">
            <v>8882404</v>
          </cell>
          <cell r="B10615">
            <v>119277</v>
          </cell>
          <cell r="C10615" t="str">
            <v>Fleetwood Charles Saer Community Primary School</v>
          </cell>
          <cell r="D10615" t="str">
            <v>Lancashire</v>
          </cell>
          <cell r="E10615" t="str">
            <v>Community School</v>
          </cell>
          <cell r="F10615" t="str">
            <v>Primary</v>
          </cell>
        </row>
        <row r="10616">
          <cell r="A10616">
            <v>8882822</v>
          </cell>
          <cell r="B10616">
            <v>119343</v>
          </cell>
          <cell r="C10616" t="str">
            <v>Fleetwood Chaucer Community Primary School</v>
          </cell>
          <cell r="D10616" t="str">
            <v>Lancashire</v>
          </cell>
          <cell r="E10616" t="str">
            <v>Community School</v>
          </cell>
          <cell r="F10616" t="str">
            <v>Primary</v>
          </cell>
        </row>
        <row r="10617">
          <cell r="A10617">
            <v>8882836</v>
          </cell>
          <cell r="B10617">
            <v>130336</v>
          </cell>
          <cell r="C10617" t="str">
            <v>Fleetwood Flakefleet Primary School</v>
          </cell>
          <cell r="D10617" t="str">
            <v>Lancashire</v>
          </cell>
          <cell r="E10617" t="str">
            <v>Community School</v>
          </cell>
          <cell r="F10617" t="str">
            <v>Primary</v>
          </cell>
        </row>
        <row r="10618">
          <cell r="A10618">
            <v>8884408</v>
          </cell>
          <cell r="B10618">
            <v>119771</v>
          </cell>
          <cell r="C10618" t="str">
            <v>Fleetwood High School</v>
          </cell>
          <cell r="D10618" t="str">
            <v>Lancashire</v>
          </cell>
          <cell r="E10618" t="str">
            <v>Foundation School</v>
          </cell>
          <cell r="F10618" t="str">
            <v>Secondary</v>
          </cell>
        </row>
        <row r="10619">
          <cell r="A10619">
            <v>9265410</v>
          </cell>
          <cell r="B10619">
            <v>121218</v>
          </cell>
          <cell r="C10619" t="str">
            <v>Flegg High School</v>
          </cell>
          <cell r="D10619" t="str">
            <v>Norfolk</v>
          </cell>
          <cell r="E10619" t="str">
            <v>Foundation School</v>
          </cell>
          <cell r="F10619" t="str">
            <v>Secondary</v>
          </cell>
        </row>
        <row r="10620">
          <cell r="A10620">
            <v>9263119</v>
          </cell>
          <cell r="B10620">
            <v>121081</v>
          </cell>
          <cell r="C10620" t="str">
            <v>Fleggburgh Church of England Voluntary Controlled Primary School</v>
          </cell>
          <cell r="D10620" t="str">
            <v>Norfolk</v>
          </cell>
          <cell r="E10620" t="str">
            <v>Voluntary Controlled School</v>
          </cell>
          <cell r="F10620" t="str">
            <v>Primary</v>
          </cell>
        </row>
        <row r="10621">
          <cell r="A10621">
            <v>8776004</v>
          </cell>
          <cell r="B10621">
            <v>135322</v>
          </cell>
          <cell r="C10621" t="str">
            <v>Fletcher Street Green Corns</v>
          </cell>
          <cell r="D10621" t="str">
            <v>Warrington</v>
          </cell>
          <cell r="E10621" t="str">
            <v>Other Independent Special School</v>
          </cell>
          <cell r="F10621" t="str">
            <v>Not applicable</v>
          </cell>
        </row>
        <row r="10622">
          <cell r="A10622">
            <v>8453026</v>
          </cell>
          <cell r="B10622">
            <v>114503</v>
          </cell>
          <cell r="C10622" t="str">
            <v>Fletching Church of England Primary School</v>
          </cell>
          <cell r="D10622" t="str">
            <v>East Sussex</v>
          </cell>
          <cell r="E10622" t="str">
            <v>Voluntary Controlled School</v>
          </cell>
          <cell r="F10622" t="str">
            <v>Primary</v>
          </cell>
        </row>
        <row r="10623">
          <cell r="A10623">
            <v>8796001</v>
          </cell>
          <cell r="B10623">
            <v>113594</v>
          </cell>
          <cell r="C10623" t="str">
            <v>Fletewood School at Derry Villas</v>
          </cell>
          <cell r="D10623" t="str">
            <v>Plymouth</v>
          </cell>
          <cell r="E10623" t="str">
            <v>Other Independent School</v>
          </cell>
          <cell r="F10623" t="str">
            <v>Not applicable</v>
          </cell>
        </row>
        <row r="10624">
          <cell r="A10624">
            <v>6762061</v>
          </cell>
          <cell r="B10624">
            <v>401301</v>
          </cell>
          <cell r="C10624" t="str">
            <v>Fleur-De-Lys Primary School</v>
          </cell>
          <cell r="D10624" t="str">
            <v>Caerphilly</v>
          </cell>
          <cell r="E10624" t="str">
            <v>Welsh Establishment</v>
          </cell>
          <cell r="F10624" t="str">
            <v>Primary</v>
          </cell>
        </row>
        <row r="10625">
          <cell r="A10625">
            <v>3306128</v>
          </cell>
          <cell r="B10625">
            <v>135561</v>
          </cell>
          <cell r="C10625" t="str">
            <v>Flexible Learning Centre</v>
          </cell>
          <cell r="D10625" t="str">
            <v>Birmingham</v>
          </cell>
          <cell r="E10625" t="str">
            <v>Other Independent School</v>
          </cell>
          <cell r="F10625" t="str">
            <v>Not applicable</v>
          </cell>
        </row>
        <row r="10626">
          <cell r="A10626">
            <v>9366159</v>
          </cell>
          <cell r="B10626">
            <v>125373</v>
          </cell>
          <cell r="C10626" t="str">
            <v>Flexlands School</v>
          </cell>
          <cell r="D10626" t="str">
            <v>Surrey</v>
          </cell>
          <cell r="E10626" t="str">
            <v>Other Independent School</v>
          </cell>
          <cell r="F10626" t="str">
            <v>Not applicable</v>
          </cell>
        </row>
        <row r="10627">
          <cell r="A10627">
            <v>9095219</v>
          </cell>
          <cell r="B10627">
            <v>112421</v>
          </cell>
          <cell r="C10627" t="str">
            <v>Flimby Primary School</v>
          </cell>
          <cell r="D10627" t="str">
            <v>Cumbria</v>
          </cell>
          <cell r="E10627" t="str">
            <v>Foundation School</v>
          </cell>
          <cell r="F10627" t="str">
            <v>Primary</v>
          </cell>
        </row>
        <row r="10628">
          <cell r="A10628">
            <v>6644021</v>
          </cell>
          <cell r="B10628">
            <v>401707</v>
          </cell>
          <cell r="C10628" t="str">
            <v>Flint High School</v>
          </cell>
          <cell r="D10628" t="str">
            <v>Flintshire</v>
          </cell>
          <cell r="E10628" t="str">
            <v>Welsh Establishment</v>
          </cell>
          <cell r="F10628" t="str">
            <v>Secondary</v>
          </cell>
        </row>
        <row r="10629">
          <cell r="A10629">
            <v>8912745</v>
          </cell>
          <cell r="B10629">
            <v>122643</v>
          </cell>
          <cell r="C10629" t="str">
            <v>Flintham Primary School</v>
          </cell>
          <cell r="D10629" t="str">
            <v>Nottinghamshire</v>
          </cell>
          <cell r="E10629" t="str">
            <v>Community School</v>
          </cell>
          <cell r="F10629" t="str">
            <v>Primary</v>
          </cell>
        </row>
        <row r="10630">
          <cell r="A10630">
            <v>8102202</v>
          </cell>
          <cell r="B10630">
            <v>117793</v>
          </cell>
          <cell r="C10630" t="str">
            <v>Flinton Primary School</v>
          </cell>
          <cell r="D10630" t="str">
            <v>Kingston upon Hull City of</v>
          </cell>
          <cell r="E10630" t="str">
            <v>Community School</v>
          </cell>
          <cell r="F10630" t="str">
            <v>Primary</v>
          </cell>
        </row>
        <row r="10631">
          <cell r="A10631">
            <v>6641102</v>
          </cell>
          <cell r="B10631">
            <v>401941</v>
          </cell>
          <cell r="C10631" t="str">
            <v>Flintshire  Portfolio PRU's</v>
          </cell>
          <cell r="D10631" t="str">
            <v>Flintshire</v>
          </cell>
          <cell r="E10631" t="str">
            <v>Welsh Establishment</v>
          </cell>
          <cell r="F10631" t="str">
            <v>Not applicable</v>
          </cell>
        </row>
        <row r="10632">
          <cell r="A10632">
            <v>8813832</v>
          </cell>
          <cell r="B10632">
            <v>130900</v>
          </cell>
          <cell r="C10632" t="str">
            <v>Flitch Green Primary School</v>
          </cell>
          <cell r="D10632" t="str">
            <v>Essex</v>
          </cell>
          <cell r="E10632" t="str">
            <v>Community School</v>
          </cell>
          <cell r="F10632" t="str">
            <v>Primary</v>
          </cell>
        </row>
        <row r="10633">
          <cell r="A10633">
            <v>9263380</v>
          </cell>
          <cell r="B10633">
            <v>121133</v>
          </cell>
          <cell r="C10633" t="str">
            <v>Flitcham Voluntary Aided Church of England Primary School</v>
          </cell>
          <cell r="D10633" t="str">
            <v>Norfolk</v>
          </cell>
          <cell r="E10633" t="str">
            <v>Voluntary Aided School</v>
          </cell>
          <cell r="F10633" t="str">
            <v>Primary</v>
          </cell>
        </row>
        <row r="10634">
          <cell r="A10634">
            <v>8232049</v>
          </cell>
          <cell r="B10634">
            <v>109452</v>
          </cell>
          <cell r="C10634" t="str">
            <v>Flitwick Lower School</v>
          </cell>
          <cell r="D10634" t="str">
            <v>Central Bedfordshire</v>
          </cell>
          <cell r="E10634" t="str">
            <v>Community School</v>
          </cell>
          <cell r="F10634" t="str">
            <v>Primary</v>
          </cell>
        </row>
        <row r="10635">
          <cell r="A10635">
            <v>3584014</v>
          </cell>
          <cell r="B10635">
            <v>106364</v>
          </cell>
          <cell r="C10635" t="str">
            <v>Flixton Girls' High School</v>
          </cell>
          <cell r="D10635" t="str">
            <v>Trafford</v>
          </cell>
          <cell r="E10635" t="str">
            <v>Foundation School</v>
          </cell>
          <cell r="F10635" t="str">
            <v>Secondary</v>
          </cell>
        </row>
        <row r="10636">
          <cell r="A10636">
            <v>3584014</v>
          </cell>
          <cell r="B10636">
            <v>136965</v>
          </cell>
          <cell r="C10636" t="str">
            <v>Flixton Girls' School</v>
          </cell>
          <cell r="D10636" t="str">
            <v>Trafford</v>
          </cell>
          <cell r="E10636" t="str">
            <v>Academy Converters</v>
          </cell>
          <cell r="F10636" t="str">
            <v>Secondary</v>
          </cell>
        </row>
        <row r="10637">
          <cell r="A10637">
            <v>3582045</v>
          </cell>
          <cell r="B10637">
            <v>106319</v>
          </cell>
          <cell r="C10637" t="str">
            <v>Flixton Infant School</v>
          </cell>
          <cell r="D10637" t="str">
            <v>Trafford</v>
          </cell>
          <cell r="E10637" t="str">
            <v>Community School</v>
          </cell>
          <cell r="F10637" t="str">
            <v>Primary</v>
          </cell>
        </row>
        <row r="10638">
          <cell r="A10638">
            <v>3582044</v>
          </cell>
          <cell r="B10638">
            <v>106318</v>
          </cell>
          <cell r="C10638" t="str">
            <v>Flixton Junior School</v>
          </cell>
          <cell r="D10638" t="str">
            <v>Trafford</v>
          </cell>
          <cell r="E10638" t="str">
            <v>Community School</v>
          </cell>
          <cell r="F10638" t="str">
            <v>Primary</v>
          </cell>
        </row>
        <row r="10639">
          <cell r="A10639">
            <v>9353088</v>
          </cell>
          <cell r="B10639">
            <v>129985</v>
          </cell>
          <cell r="C10639" t="str">
            <v>Flixton Primary School</v>
          </cell>
          <cell r="D10639" t="str">
            <v>Suffolk</v>
          </cell>
          <cell r="E10639" t="str">
            <v>Voluntary Controlled School</v>
          </cell>
          <cell r="F10639" t="str">
            <v>Primary</v>
          </cell>
        </row>
        <row r="10640">
          <cell r="A10640">
            <v>3823022</v>
          </cell>
          <cell r="B10640">
            <v>107714</v>
          </cell>
          <cell r="C10640" t="str">
            <v>Flockton Church of England Voluntary Controlled First School</v>
          </cell>
          <cell r="D10640" t="str">
            <v>Kirklees</v>
          </cell>
          <cell r="E10640" t="str">
            <v>Voluntary Controlled School</v>
          </cell>
          <cell r="F10640" t="str">
            <v>Primary</v>
          </cell>
        </row>
        <row r="10641">
          <cell r="A10641">
            <v>9095208</v>
          </cell>
          <cell r="B10641">
            <v>112410</v>
          </cell>
          <cell r="C10641" t="str">
            <v>Flookburgh CofE Primary School</v>
          </cell>
          <cell r="D10641" t="str">
            <v>Cumbria</v>
          </cell>
          <cell r="E10641" t="str">
            <v>Foundation School</v>
          </cell>
          <cell r="F10641" t="str">
            <v>Primary</v>
          </cell>
        </row>
        <row r="10642">
          <cell r="A10642">
            <v>2052223</v>
          </cell>
          <cell r="B10642">
            <v>100328</v>
          </cell>
          <cell r="C10642" t="str">
            <v>Flora Gardens Primary School</v>
          </cell>
          <cell r="D10642" t="str">
            <v>Hammersmith and Fulham</v>
          </cell>
          <cell r="E10642" t="str">
            <v>Community School</v>
          </cell>
          <cell r="F10642" t="str">
            <v>Primary</v>
          </cell>
        </row>
        <row r="10643">
          <cell r="A10643">
            <v>9382137</v>
          </cell>
          <cell r="B10643">
            <v>125891</v>
          </cell>
          <cell r="C10643" t="str">
            <v>Flora McDonald Junior School</v>
          </cell>
          <cell r="D10643" t="str">
            <v>West Sussex</v>
          </cell>
          <cell r="E10643" t="str">
            <v>Community School</v>
          </cell>
          <cell r="F10643" t="str">
            <v>Primary</v>
          </cell>
        </row>
        <row r="10644">
          <cell r="A10644">
            <v>9283028</v>
          </cell>
          <cell r="B10644">
            <v>121970</v>
          </cell>
          <cell r="C10644" t="str">
            <v>Flore Church of England Primary School</v>
          </cell>
          <cell r="D10644" t="str">
            <v>Northamptonshire</v>
          </cell>
          <cell r="E10644" t="str">
            <v>Voluntary Controlled School</v>
          </cell>
          <cell r="F10644" t="str">
            <v>Primary</v>
          </cell>
        </row>
        <row r="10645">
          <cell r="A10645">
            <v>3413022</v>
          </cell>
          <cell r="B10645">
            <v>133336</v>
          </cell>
          <cell r="C10645" t="str">
            <v>Florence Melly Community Primary School</v>
          </cell>
          <cell r="D10645" t="str">
            <v>Liverpool</v>
          </cell>
          <cell r="E10645" t="str">
            <v>Community School</v>
          </cell>
          <cell r="F10645" t="str">
            <v>Primary</v>
          </cell>
        </row>
        <row r="10646">
          <cell r="A10646">
            <v>3412058</v>
          </cell>
          <cell r="B10646">
            <v>104542</v>
          </cell>
          <cell r="C10646" t="str">
            <v>Florence Melly Infant and Nursery School</v>
          </cell>
          <cell r="D10646" t="str">
            <v>Liverpool</v>
          </cell>
          <cell r="E10646" t="str">
            <v>Community School</v>
          </cell>
          <cell r="F10646" t="str">
            <v>Primary</v>
          </cell>
        </row>
        <row r="10647">
          <cell r="A10647">
            <v>3412057</v>
          </cell>
          <cell r="B10647">
            <v>104541</v>
          </cell>
          <cell r="C10647" t="str">
            <v>Florence Melly Junior School</v>
          </cell>
          <cell r="D10647" t="str">
            <v>Liverpool</v>
          </cell>
          <cell r="E10647" t="str">
            <v>Community School</v>
          </cell>
          <cell r="F10647" t="str">
            <v>Primary</v>
          </cell>
        </row>
        <row r="10648">
          <cell r="A10648">
            <v>8612073</v>
          </cell>
          <cell r="B10648">
            <v>124007</v>
          </cell>
          <cell r="C10648" t="str">
            <v>Florence Primary School</v>
          </cell>
          <cell r="D10648" t="str">
            <v>Stoke-on-Trent</v>
          </cell>
          <cell r="E10648" t="str">
            <v>Community School</v>
          </cell>
          <cell r="F10648" t="str">
            <v>Primary</v>
          </cell>
        </row>
        <row r="10649">
          <cell r="A10649">
            <v>8602332</v>
          </cell>
          <cell r="B10649">
            <v>124155</v>
          </cell>
          <cell r="C10649" t="str">
            <v>Florendine Primary School</v>
          </cell>
          <cell r="D10649" t="str">
            <v>Staffordshire</v>
          </cell>
          <cell r="E10649" t="str">
            <v>Community School</v>
          </cell>
          <cell r="F10649" t="str">
            <v>Primary</v>
          </cell>
        </row>
        <row r="10650">
          <cell r="A10650">
            <v>3572008</v>
          </cell>
          <cell r="B10650">
            <v>106183</v>
          </cell>
          <cell r="C10650" t="str">
            <v>Flowery Field Primary School</v>
          </cell>
          <cell r="D10650" t="str">
            <v>Tameside</v>
          </cell>
          <cell r="E10650" t="str">
            <v>Community School</v>
          </cell>
          <cell r="F10650" t="str">
            <v>Primary</v>
          </cell>
        </row>
        <row r="10651">
          <cell r="A10651">
            <v>9083033</v>
          </cell>
          <cell r="B10651">
            <v>111988</v>
          </cell>
          <cell r="C10651" t="str">
            <v>Flushing School</v>
          </cell>
          <cell r="D10651" t="str">
            <v>Cornwall</v>
          </cell>
          <cell r="E10651" t="str">
            <v>Voluntary Controlled School</v>
          </cell>
          <cell r="F10651" t="str">
            <v>Primary</v>
          </cell>
        </row>
        <row r="10652">
          <cell r="A10652">
            <v>8855201</v>
          </cell>
          <cell r="B10652">
            <v>116676</v>
          </cell>
          <cell r="C10652" t="str">
            <v>Flyford Flavell First School</v>
          </cell>
          <cell r="D10652" t="str">
            <v>Worcestershire</v>
          </cell>
          <cell r="E10652" t="str">
            <v>Community School</v>
          </cell>
          <cell r="F10652" t="str">
            <v>Primary</v>
          </cell>
        </row>
        <row r="10653">
          <cell r="A10653">
            <v>8512693</v>
          </cell>
          <cell r="B10653">
            <v>116206</v>
          </cell>
          <cell r="C10653" t="str">
            <v>Flying Bull Infant School</v>
          </cell>
          <cell r="D10653" t="str">
            <v>Portsmouth</v>
          </cell>
          <cell r="E10653" t="str">
            <v>Community School</v>
          </cell>
          <cell r="F10653" t="str">
            <v>Primary</v>
          </cell>
        </row>
        <row r="10654">
          <cell r="A10654">
            <v>8512692</v>
          </cell>
          <cell r="B10654">
            <v>116205</v>
          </cell>
          <cell r="C10654" t="str">
            <v>Flying Bull Junior School</v>
          </cell>
          <cell r="D10654" t="str">
            <v>Portsmouth</v>
          </cell>
          <cell r="E10654" t="str">
            <v>Community School</v>
          </cell>
          <cell r="F10654" t="str">
            <v>Primary</v>
          </cell>
        </row>
        <row r="10655">
          <cell r="A10655">
            <v>8512000</v>
          </cell>
          <cell r="B10655">
            <v>131210</v>
          </cell>
          <cell r="C10655" t="str">
            <v>Flying Bull Primary School</v>
          </cell>
          <cell r="D10655" t="str">
            <v>Portsmouth</v>
          </cell>
          <cell r="E10655" t="str">
            <v>Community School</v>
          </cell>
          <cell r="F10655" t="str">
            <v>Primary</v>
          </cell>
        </row>
        <row r="10656">
          <cell r="A10656">
            <v>8936097</v>
          </cell>
          <cell r="B10656">
            <v>131033</v>
          </cell>
          <cell r="C10656" t="str">
            <v>Flying High</v>
          </cell>
          <cell r="D10656" t="str">
            <v>Shropshire</v>
          </cell>
          <cell r="E10656" t="str">
            <v>Other Independent Special School</v>
          </cell>
          <cell r="F10656" t="str">
            <v>Not applicable</v>
          </cell>
        </row>
        <row r="10657">
          <cell r="A10657">
            <v>6762108</v>
          </cell>
          <cell r="B10657">
            <v>401318</v>
          </cell>
          <cell r="C10657" t="str">
            <v>Fochriw Primary School</v>
          </cell>
          <cell r="D10657" t="str">
            <v>Caerphilly</v>
          </cell>
          <cell r="E10657" t="str">
            <v>Welsh Establishment</v>
          </cell>
          <cell r="F10657" t="str">
            <v>Primary</v>
          </cell>
        </row>
        <row r="10658">
          <cell r="A10658">
            <v>3301102</v>
          </cell>
          <cell r="B10658">
            <v>103148</v>
          </cell>
          <cell r="C10658" t="str">
            <v>Focus College</v>
          </cell>
          <cell r="D10658" t="str">
            <v>Birmingham</v>
          </cell>
          <cell r="E10658" t="str">
            <v>Pupil Referral Unit</v>
          </cell>
          <cell r="F10658" t="str">
            <v>PRU</v>
          </cell>
        </row>
        <row r="10659">
          <cell r="A10659">
            <v>8216744</v>
          </cell>
          <cell r="B10659">
            <v>135738</v>
          </cell>
          <cell r="C10659" t="str">
            <v>Focus School</v>
          </cell>
          <cell r="D10659" t="str">
            <v>Luton</v>
          </cell>
          <cell r="E10659" t="str">
            <v>Other Independent Special School</v>
          </cell>
          <cell r="F10659" t="str">
            <v>Not applicable</v>
          </cell>
        </row>
        <row r="10660">
          <cell r="A10660">
            <v>3313001</v>
          </cell>
          <cell r="B10660">
            <v>103699</v>
          </cell>
          <cell r="C10660" t="str">
            <v>Foleshill Church of England Primary School</v>
          </cell>
          <cell r="D10660" t="str">
            <v>Coventry</v>
          </cell>
          <cell r="E10660" t="str">
            <v>Voluntary Controlled School</v>
          </cell>
          <cell r="F10660" t="str">
            <v>Primary</v>
          </cell>
        </row>
        <row r="10661">
          <cell r="A10661">
            <v>8602224</v>
          </cell>
          <cell r="B10661">
            <v>124095</v>
          </cell>
          <cell r="C10661" t="str">
            <v>Foley Infants School</v>
          </cell>
          <cell r="D10661" t="str">
            <v>Staffordshire</v>
          </cell>
          <cell r="E10661" t="str">
            <v>Community School</v>
          </cell>
          <cell r="F10661" t="str">
            <v>Primary</v>
          </cell>
        </row>
        <row r="10662">
          <cell r="A10662">
            <v>8852908</v>
          </cell>
          <cell r="B10662">
            <v>135049</v>
          </cell>
          <cell r="C10662" t="str">
            <v>Foley Park Primary School and Nursery</v>
          </cell>
          <cell r="D10662" t="str">
            <v>Worcestershire</v>
          </cell>
          <cell r="E10662" t="str">
            <v>Community School</v>
          </cell>
          <cell r="F10662" t="str">
            <v>Primary</v>
          </cell>
        </row>
        <row r="10663">
          <cell r="A10663">
            <v>8866908</v>
          </cell>
          <cell r="B10663">
            <v>135195</v>
          </cell>
          <cell r="C10663" t="str">
            <v>Folkestone Academy</v>
          </cell>
          <cell r="D10663" t="str">
            <v>Kent</v>
          </cell>
          <cell r="E10663" t="str">
            <v>Academy Sponsor Led</v>
          </cell>
          <cell r="F10663" t="str">
            <v>Not applicable</v>
          </cell>
        </row>
        <row r="10664">
          <cell r="A10664">
            <v>8863148</v>
          </cell>
          <cell r="B10664">
            <v>118674</v>
          </cell>
          <cell r="C10664" t="str">
            <v>Folkestone Christ Church CofE Primary School</v>
          </cell>
          <cell r="D10664" t="str">
            <v>Kent</v>
          </cell>
          <cell r="E10664" t="str">
            <v>Voluntary Controlled School</v>
          </cell>
          <cell r="F10664" t="str">
            <v>Primary</v>
          </cell>
        </row>
        <row r="10665">
          <cell r="A10665">
            <v>8863149</v>
          </cell>
          <cell r="B10665">
            <v>118675</v>
          </cell>
          <cell r="C10665" t="str">
            <v>Folkestone, St Martin's Church of England Primary School</v>
          </cell>
          <cell r="D10665" t="str">
            <v>Kent</v>
          </cell>
          <cell r="E10665" t="str">
            <v>Voluntary Controlled School</v>
          </cell>
          <cell r="F10665" t="str">
            <v>Primary</v>
          </cell>
        </row>
        <row r="10666">
          <cell r="A10666">
            <v>8863349</v>
          </cell>
          <cell r="B10666">
            <v>118743</v>
          </cell>
          <cell r="C10666" t="str">
            <v>Folkestone, St Mary's Church of England Primary School</v>
          </cell>
          <cell r="D10666" t="str">
            <v>Kent</v>
          </cell>
          <cell r="E10666" t="str">
            <v>Voluntary Aided School</v>
          </cell>
          <cell r="F10666" t="str">
            <v>Primary</v>
          </cell>
        </row>
        <row r="10667">
          <cell r="A10667">
            <v>8863150</v>
          </cell>
          <cell r="B10667">
            <v>118676</v>
          </cell>
          <cell r="C10667" t="str">
            <v>Folkestone, St Peter's Church of England Primary School</v>
          </cell>
          <cell r="D10667" t="str">
            <v>Kent</v>
          </cell>
          <cell r="E10667" t="str">
            <v>Voluntary Controlled School</v>
          </cell>
          <cell r="F10667" t="str">
            <v>Primary</v>
          </cell>
        </row>
        <row r="10668">
          <cell r="A10668">
            <v>8733065</v>
          </cell>
          <cell r="B10668">
            <v>110812</v>
          </cell>
          <cell r="C10668" t="str">
            <v>Folksworth CofE Primary School</v>
          </cell>
          <cell r="D10668" t="str">
            <v>Cambridgeshire</v>
          </cell>
          <cell r="E10668" t="str">
            <v>Voluntary Controlled School</v>
          </cell>
          <cell r="F10668" t="str">
            <v>Primary</v>
          </cell>
        </row>
        <row r="10669">
          <cell r="A10669">
            <v>3737037</v>
          </cell>
          <cell r="B10669">
            <v>107183</v>
          </cell>
          <cell r="C10669" t="str">
            <v>Folkwood Secondary School</v>
          </cell>
          <cell r="D10669" t="str">
            <v>Sheffield</v>
          </cell>
          <cell r="E10669" t="str">
            <v>Community Special School</v>
          </cell>
          <cell r="F10669" t="str">
            <v>Special</v>
          </cell>
        </row>
        <row r="10670">
          <cell r="A10670">
            <v>8153237</v>
          </cell>
          <cell r="B10670">
            <v>121560</v>
          </cell>
          <cell r="C10670" t="str">
            <v>Follifoot Church of England Primary School</v>
          </cell>
          <cell r="D10670" t="str">
            <v>North Yorkshire</v>
          </cell>
          <cell r="E10670" t="str">
            <v>Voluntary Controlled School</v>
          </cell>
          <cell r="F10670" t="str">
            <v>Primary</v>
          </cell>
        </row>
        <row r="10671">
          <cell r="A10671">
            <v>9362408</v>
          </cell>
          <cell r="B10671">
            <v>125048</v>
          </cell>
          <cell r="C10671" t="str">
            <v>Folly Hill Infant School</v>
          </cell>
          <cell r="D10671" t="str">
            <v>Surrey</v>
          </cell>
          <cell r="E10671" t="str">
            <v>Community School</v>
          </cell>
          <cell r="F10671" t="str">
            <v>Primary</v>
          </cell>
        </row>
        <row r="10672">
          <cell r="A10672">
            <v>3066087</v>
          </cell>
          <cell r="B10672">
            <v>101848</v>
          </cell>
          <cell r="C10672" t="str">
            <v>Folly's End Christian School</v>
          </cell>
          <cell r="D10672" t="str">
            <v>Croydon</v>
          </cell>
          <cell r="E10672" t="str">
            <v>Other Independent School</v>
          </cell>
          <cell r="F10672" t="str">
            <v>Not applicable</v>
          </cell>
        </row>
        <row r="10673">
          <cell r="A10673">
            <v>8562297</v>
          </cell>
          <cell r="B10673">
            <v>120034</v>
          </cell>
          <cell r="C10673" t="str">
            <v>Folville Junior School</v>
          </cell>
          <cell r="D10673" t="str">
            <v>Leicester</v>
          </cell>
          <cell r="E10673" t="str">
            <v>Community School</v>
          </cell>
          <cell r="F10673" t="str">
            <v>Primary</v>
          </cell>
        </row>
        <row r="10674">
          <cell r="A10674">
            <v>8012036</v>
          </cell>
          <cell r="B10674">
            <v>108930</v>
          </cell>
          <cell r="C10674" t="str">
            <v>Fonthill Infant School</v>
          </cell>
          <cell r="D10674" t="str">
            <v>Bristol City of</v>
          </cell>
          <cell r="E10674" t="str">
            <v>Community School</v>
          </cell>
          <cell r="F10674" t="str">
            <v>Primary</v>
          </cell>
        </row>
        <row r="10675">
          <cell r="A10675">
            <v>8012035</v>
          </cell>
          <cell r="B10675">
            <v>108929</v>
          </cell>
          <cell r="C10675" t="str">
            <v>Fonthill Junior School</v>
          </cell>
          <cell r="D10675" t="str">
            <v>Bristol City of</v>
          </cell>
          <cell r="E10675" t="str">
            <v>Community School</v>
          </cell>
          <cell r="F10675" t="str">
            <v>Primary</v>
          </cell>
        </row>
        <row r="10676">
          <cell r="A10676">
            <v>9386218</v>
          </cell>
          <cell r="B10676">
            <v>126140</v>
          </cell>
          <cell r="C10676" t="str">
            <v>Fonthill Lodge</v>
          </cell>
          <cell r="D10676" t="str">
            <v>West Sussex</v>
          </cell>
          <cell r="E10676" t="str">
            <v>Other Independent School</v>
          </cell>
          <cell r="F10676" t="str">
            <v>Not applicable</v>
          </cell>
        </row>
        <row r="10677">
          <cell r="A10677">
            <v>8012010</v>
          </cell>
          <cell r="B10677">
            <v>131496</v>
          </cell>
          <cell r="C10677" t="str">
            <v>Fonthill Primary School</v>
          </cell>
          <cell r="D10677" t="str">
            <v>Bristol City of</v>
          </cell>
          <cell r="E10677" t="str">
            <v>Community School</v>
          </cell>
          <cell r="F10677" t="str">
            <v>Primary</v>
          </cell>
        </row>
        <row r="10678">
          <cell r="A10678">
            <v>8782204</v>
          </cell>
          <cell r="B10678">
            <v>113127</v>
          </cell>
          <cell r="C10678" t="str">
            <v>Forches Cross Community Primary School</v>
          </cell>
          <cell r="D10678" t="str">
            <v>Devon</v>
          </cell>
          <cell r="E10678" t="str">
            <v>Community School</v>
          </cell>
          <cell r="F10678" t="str">
            <v>Primary</v>
          </cell>
        </row>
        <row r="10679">
          <cell r="A10679">
            <v>9298290</v>
          </cell>
          <cell r="B10679">
            <v>133186</v>
          </cell>
          <cell r="C10679" t="str">
            <v>Ford Castle Residential Centre</v>
          </cell>
          <cell r="D10679" t="str">
            <v>Northumberland</v>
          </cell>
          <cell r="E10679" t="str">
            <v>Miscellaneous</v>
          </cell>
          <cell r="F10679" t="str">
            <v>Not applicable</v>
          </cell>
        </row>
        <row r="10680">
          <cell r="A10680">
            <v>9323042</v>
          </cell>
          <cell r="B10680">
            <v>123476</v>
          </cell>
          <cell r="C10680" t="str">
            <v>Ford CofE Primary School</v>
          </cell>
          <cell r="D10680" t="str">
            <v>Pre LGR (1998) Shropshire</v>
          </cell>
          <cell r="E10680" t="str">
            <v>Voluntary Controlled School</v>
          </cell>
          <cell r="F10680" t="str">
            <v>Primary</v>
          </cell>
        </row>
        <row r="10681">
          <cell r="A10681">
            <v>8813218</v>
          </cell>
          <cell r="B10681">
            <v>115115</v>
          </cell>
          <cell r="C10681" t="str">
            <v>Ford End Church of England Primary School</v>
          </cell>
          <cell r="D10681" t="str">
            <v>Essex</v>
          </cell>
          <cell r="E10681" t="str">
            <v>Voluntary Controlled School</v>
          </cell>
          <cell r="F10681" t="str">
            <v>Primary</v>
          </cell>
        </row>
        <row r="10682">
          <cell r="A10682">
            <v>8792630</v>
          </cell>
          <cell r="B10682">
            <v>113270</v>
          </cell>
          <cell r="C10682" t="str">
            <v>Ford Primary School</v>
          </cell>
          <cell r="D10682" t="str">
            <v>Plymouth</v>
          </cell>
          <cell r="E10682" t="str">
            <v>Community School</v>
          </cell>
          <cell r="F10682" t="str">
            <v>Primary</v>
          </cell>
        </row>
        <row r="10683">
          <cell r="A10683">
            <v>9114163</v>
          </cell>
          <cell r="B10683">
            <v>128722</v>
          </cell>
          <cell r="C10683" t="str">
            <v>Ford Secondary School</v>
          </cell>
          <cell r="D10683" t="str">
            <v>Pre LGR (1998) Devon</v>
          </cell>
          <cell r="E10683" t="str">
            <v>Community School</v>
          </cell>
          <cell r="F10683" t="str">
            <v>Secondary</v>
          </cell>
        </row>
        <row r="10684">
          <cell r="A10684">
            <v>3345200</v>
          </cell>
          <cell r="B10684">
            <v>104121</v>
          </cell>
          <cell r="C10684" t="str">
            <v>Fordbridge Community Primary School</v>
          </cell>
          <cell r="D10684" t="str">
            <v>Solihull</v>
          </cell>
          <cell r="E10684" t="str">
            <v>Community School</v>
          </cell>
          <cell r="F10684" t="str">
            <v>Primary</v>
          </cell>
        </row>
        <row r="10685">
          <cell r="A10685">
            <v>3342056</v>
          </cell>
          <cell r="B10685">
            <v>104063</v>
          </cell>
          <cell r="C10685" t="str">
            <v>Fordbridge Nursery and Infant School</v>
          </cell>
          <cell r="D10685" t="str">
            <v>Solihull</v>
          </cell>
          <cell r="E10685" t="str">
            <v>Community School</v>
          </cell>
          <cell r="F10685" t="str">
            <v>Primary</v>
          </cell>
        </row>
        <row r="10686">
          <cell r="A10686">
            <v>8863313</v>
          </cell>
          <cell r="B10686">
            <v>118719</v>
          </cell>
          <cell r="C10686" t="str">
            <v>Fordcombe Church of England Primary School</v>
          </cell>
          <cell r="D10686" t="str">
            <v>Kent</v>
          </cell>
          <cell r="E10686" t="str">
            <v>Voluntary Aided School</v>
          </cell>
          <cell r="F10686" t="str">
            <v>Primary</v>
          </cell>
        </row>
        <row r="10687">
          <cell r="A10687">
            <v>6663016</v>
          </cell>
          <cell r="B10687">
            <v>400542</v>
          </cell>
          <cell r="C10687" t="str">
            <v>Forden C.I.W. School</v>
          </cell>
          <cell r="D10687" t="str">
            <v>Powys</v>
          </cell>
          <cell r="E10687" t="str">
            <v>Welsh Establishment</v>
          </cell>
          <cell r="F10687" t="str">
            <v>Primary</v>
          </cell>
        </row>
        <row r="10688">
          <cell r="A10688">
            <v>8813024</v>
          </cell>
          <cell r="B10688">
            <v>115078</v>
          </cell>
          <cell r="C10688" t="str">
            <v>Fordham All Saints Church of England Voluntary Controlled Primary School</v>
          </cell>
          <cell r="D10688" t="str">
            <v>Essex</v>
          </cell>
          <cell r="E10688" t="str">
            <v>Voluntary Controlled School</v>
          </cell>
          <cell r="F10688" t="str">
            <v>Primary</v>
          </cell>
        </row>
        <row r="10689">
          <cell r="A10689">
            <v>8733014</v>
          </cell>
          <cell r="B10689">
            <v>110788</v>
          </cell>
          <cell r="C10689" t="str">
            <v>Fordham CofE Primary School</v>
          </cell>
          <cell r="D10689" t="str">
            <v>Cambridgeshire</v>
          </cell>
          <cell r="E10689" t="str">
            <v>Voluntary Controlled School</v>
          </cell>
          <cell r="F10689" t="str">
            <v>Primary</v>
          </cell>
        </row>
        <row r="10690">
          <cell r="A10690">
            <v>8502372</v>
          </cell>
          <cell r="B10690">
            <v>116069</v>
          </cell>
          <cell r="C10690" t="str">
            <v>Fordingbridge Infant School</v>
          </cell>
          <cell r="D10690" t="str">
            <v>Hampshire</v>
          </cell>
          <cell r="E10690" t="str">
            <v>Community School</v>
          </cell>
          <cell r="F10690" t="str">
            <v>Primary</v>
          </cell>
        </row>
        <row r="10691">
          <cell r="A10691">
            <v>8502367</v>
          </cell>
          <cell r="B10691">
            <v>116068</v>
          </cell>
          <cell r="C10691" t="str">
            <v>Fordingbridge Junior School</v>
          </cell>
          <cell r="D10691" t="str">
            <v>Hampshire</v>
          </cell>
          <cell r="E10691" t="str">
            <v>Community School</v>
          </cell>
          <cell r="F10691" t="str">
            <v>Primary</v>
          </cell>
        </row>
        <row r="10692">
          <cell r="A10692">
            <v>3922085</v>
          </cell>
          <cell r="B10692">
            <v>108611</v>
          </cell>
          <cell r="C10692" t="str">
            <v>Fordley Community Primary School</v>
          </cell>
          <cell r="D10692" t="str">
            <v>North Tyneside</v>
          </cell>
          <cell r="E10692" t="str">
            <v>Community School</v>
          </cell>
          <cell r="F10692" t="str">
            <v>Primary</v>
          </cell>
        </row>
        <row r="10693">
          <cell r="A10693">
            <v>9387012</v>
          </cell>
          <cell r="B10693">
            <v>126163</v>
          </cell>
          <cell r="C10693" t="str">
            <v>Fordwater School, Chichester</v>
          </cell>
          <cell r="D10693" t="str">
            <v>West Sussex</v>
          </cell>
          <cell r="E10693" t="str">
            <v>Community Special School</v>
          </cell>
          <cell r="F10693" t="str">
            <v>Special</v>
          </cell>
        </row>
        <row r="10694">
          <cell r="A10694">
            <v>9361100</v>
          </cell>
          <cell r="B10694">
            <v>124916</v>
          </cell>
          <cell r="C10694" t="str">
            <v>Fordway Centre</v>
          </cell>
          <cell r="D10694" t="str">
            <v>Surrey</v>
          </cell>
          <cell r="E10694" t="str">
            <v>Pupil Referral Unit</v>
          </cell>
          <cell r="F10694" t="str">
            <v>PRU</v>
          </cell>
        </row>
        <row r="10695">
          <cell r="A10695">
            <v>9204495</v>
          </cell>
          <cell r="B10695">
            <v>129321</v>
          </cell>
          <cell r="C10695" t="str">
            <v>Foredyke Junior High School</v>
          </cell>
          <cell r="D10695" t="str">
            <v>Pre LGR (1996) Humberside</v>
          </cell>
          <cell r="E10695" t="str">
            <v>Community School</v>
          </cell>
          <cell r="F10695" t="str">
            <v>Secondary</v>
          </cell>
        </row>
        <row r="10696">
          <cell r="A10696">
            <v>8102906</v>
          </cell>
          <cell r="B10696">
            <v>117933</v>
          </cell>
          <cell r="C10696" t="str">
            <v>Foredyke Primary School</v>
          </cell>
          <cell r="D10696" t="str">
            <v>Kingston upon Hull City of</v>
          </cell>
          <cell r="E10696" t="str">
            <v>Community School</v>
          </cell>
          <cell r="F10696" t="str">
            <v>Primary</v>
          </cell>
        </row>
        <row r="10697">
          <cell r="A10697">
            <v>3432057</v>
          </cell>
          <cell r="B10697">
            <v>104872</v>
          </cell>
          <cell r="C10697" t="str">
            <v>Forefield Community Infant and Nursery School</v>
          </cell>
          <cell r="D10697" t="str">
            <v>Sefton</v>
          </cell>
          <cell r="E10697" t="str">
            <v>Community School</v>
          </cell>
          <cell r="F10697" t="str">
            <v>Primary</v>
          </cell>
        </row>
        <row r="10698">
          <cell r="A10698">
            <v>3432056</v>
          </cell>
          <cell r="B10698">
            <v>104871</v>
          </cell>
          <cell r="C10698" t="str">
            <v>Forefield Junior School</v>
          </cell>
          <cell r="D10698" t="str">
            <v>Sefton</v>
          </cell>
          <cell r="E10698" t="str">
            <v>Community School</v>
          </cell>
          <cell r="F10698" t="str">
            <v>Primary</v>
          </cell>
        </row>
        <row r="10699">
          <cell r="A10699">
            <v>9214017</v>
          </cell>
          <cell r="B10699">
            <v>118207</v>
          </cell>
          <cell r="C10699" t="str">
            <v>Forelands Middle School</v>
          </cell>
          <cell r="D10699" t="str">
            <v>Isle of Wight</v>
          </cell>
          <cell r="E10699" t="str">
            <v>Community School</v>
          </cell>
          <cell r="F10699" t="str">
            <v>Middle Deemed Secondary</v>
          </cell>
        </row>
        <row r="10700">
          <cell r="A10700">
            <v>8306019</v>
          </cell>
          <cell r="B10700">
            <v>113022</v>
          </cell>
          <cell r="C10700" t="str">
            <v>Foremarke Hall</v>
          </cell>
          <cell r="D10700" t="str">
            <v>Derbyshire</v>
          </cell>
          <cell r="E10700" t="str">
            <v>Other Independent School</v>
          </cell>
          <cell r="F10700" t="str">
            <v>Not applicable</v>
          </cell>
        </row>
        <row r="10701">
          <cell r="A10701">
            <v>9352003</v>
          </cell>
          <cell r="B10701">
            <v>136316</v>
          </cell>
          <cell r="C10701" t="str">
            <v>Forest Academy</v>
          </cell>
          <cell r="D10701" t="str">
            <v>Suffolk</v>
          </cell>
          <cell r="E10701" t="str">
            <v>Academy Converters</v>
          </cell>
          <cell r="F10701" t="str">
            <v>Primary</v>
          </cell>
        </row>
        <row r="10702">
          <cell r="A10702">
            <v>3174000</v>
          </cell>
          <cell r="B10702">
            <v>137692</v>
          </cell>
          <cell r="C10702" t="str">
            <v>Forest Academy</v>
          </cell>
          <cell r="D10702" t="str">
            <v>Redbridge</v>
          </cell>
          <cell r="E10702" t="str">
            <v>Academy Sponsor Led</v>
          </cell>
          <cell r="F10702" t="str">
            <v>Secondary</v>
          </cell>
        </row>
        <row r="10703">
          <cell r="A10703">
            <v>8653344</v>
          </cell>
          <cell r="B10703">
            <v>126402</v>
          </cell>
          <cell r="C10703" t="str">
            <v>Forest and Sandridge Church of England Primary School</v>
          </cell>
          <cell r="D10703" t="str">
            <v>Wiltshire</v>
          </cell>
          <cell r="E10703" t="str">
            <v>Voluntary Aided School</v>
          </cell>
          <cell r="F10703" t="str">
            <v>Primary</v>
          </cell>
        </row>
        <row r="10704">
          <cell r="A10704">
            <v>9352003</v>
          </cell>
          <cell r="B10704">
            <v>124532</v>
          </cell>
          <cell r="C10704" t="str">
            <v>Forest Community Primary School</v>
          </cell>
          <cell r="D10704" t="str">
            <v>Suffolk</v>
          </cell>
          <cell r="E10704" t="str">
            <v>Community School</v>
          </cell>
          <cell r="F10704" t="str">
            <v>Primary</v>
          </cell>
        </row>
        <row r="10705">
          <cell r="A10705">
            <v>8924459</v>
          </cell>
          <cell r="B10705">
            <v>122887</v>
          </cell>
          <cell r="C10705" t="str">
            <v>Forest Comprehensive School</v>
          </cell>
          <cell r="D10705" t="str">
            <v>Nottingham</v>
          </cell>
          <cell r="E10705" t="str">
            <v>Community School</v>
          </cell>
          <cell r="F10705" t="str">
            <v>Secondary</v>
          </cell>
        </row>
        <row r="10706">
          <cell r="A10706">
            <v>3354108</v>
          </cell>
          <cell r="B10706">
            <v>127201</v>
          </cell>
          <cell r="C10706" t="str">
            <v>Forest Comprehensive School</v>
          </cell>
          <cell r="D10706" t="str">
            <v>Walsall</v>
          </cell>
          <cell r="E10706" t="str">
            <v>Community School</v>
          </cell>
          <cell r="F10706" t="str">
            <v>Secondary</v>
          </cell>
        </row>
        <row r="10707">
          <cell r="A10707">
            <v>8507017</v>
          </cell>
          <cell r="B10707">
            <v>116606</v>
          </cell>
          <cell r="C10707" t="str">
            <v>Forest Edge School</v>
          </cell>
          <cell r="D10707" t="str">
            <v>Hampshire</v>
          </cell>
          <cell r="E10707" t="str">
            <v>Community Special School</v>
          </cell>
          <cell r="F10707" t="str">
            <v>Special</v>
          </cell>
        </row>
        <row r="10708">
          <cell r="A10708">
            <v>8922929</v>
          </cell>
          <cell r="B10708">
            <v>122733</v>
          </cell>
          <cell r="C10708" t="str">
            <v>Forest Fields Primary and Nursery School</v>
          </cell>
          <cell r="D10708" t="str">
            <v>Nottingham</v>
          </cell>
          <cell r="E10708" t="str">
            <v>Community School</v>
          </cell>
          <cell r="F10708" t="str">
            <v>Primary</v>
          </cell>
        </row>
        <row r="10709">
          <cell r="A10709">
            <v>9304004</v>
          </cell>
          <cell r="B10709">
            <v>129728</v>
          </cell>
          <cell r="C10709" t="str">
            <v>Forest Fields Sixth Form College</v>
          </cell>
          <cell r="D10709" t="str">
            <v>Pre LGR (1998) Nottinghamshire</v>
          </cell>
          <cell r="E10709" t="str">
            <v>Community School</v>
          </cell>
          <cell r="F10709" t="str">
            <v>Secondary</v>
          </cell>
        </row>
        <row r="10710">
          <cell r="A10710">
            <v>3582079</v>
          </cell>
          <cell r="B10710">
            <v>133641</v>
          </cell>
          <cell r="C10710" t="str">
            <v>Forest Gate Community Primary School</v>
          </cell>
          <cell r="D10710" t="str">
            <v>Trafford</v>
          </cell>
          <cell r="E10710" t="str">
            <v>Community School</v>
          </cell>
          <cell r="F10710" t="str">
            <v>Primary</v>
          </cell>
        </row>
        <row r="10711">
          <cell r="A10711">
            <v>3164008</v>
          </cell>
          <cell r="B10711">
            <v>102775</v>
          </cell>
          <cell r="C10711" t="str">
            <v>Forest Gate Community School</v>
          </cell>
          <cell r="D10711" t="str">
            <v>Newham</v>
          </cell>
          <cell r="E10711" t="str">
            <v>Community School</v>
          </cell>
          <cell r="F10711" t="str">
            <v>Secondary</v>
          </cell>
        </row>
        <row r="10712">
          <cell r="A10712">
            <v>9287009</v>
          </cell>
          <cell r="B10712">
            <v>129701</v>
          </cell>
          <cell r="C10712" t="str">
            <v>Forest Gate School</v>
          </cell>
          <cell r="D10712" t="str">
            <v>Northamptonshire</v>
          </cell>
          <cell r="E10712" t="str">
            <v>Community Special School</v>
          </cell>
          <cell r="F10712" t="str">
            <v>Special</v>
          </cell>
        </row>
        <row r="10713">
          <cell r="A10713">
            <v>8912361</v>
          </cell>
          <cell r="B10713">
            <v>122562</v>
          </cell>
          <cell r="C10713" t="str">
            <v>Forest Glade Primary School</v>
          </cell>
          <cell r="D10713" t="str">
            <v>Nottinghamshire</v>
          </cell>
          <cell r="E10713" t="str">
            <v>Community School</v>
          </cell>
          <cell r="F10713" t="str">
            <v>Primary</v>
          </cell>
        </row>
        <row r="10714">
          <cell r="A10714">
            <v>9386151</v>
          </cell>
          <cell r="B10714">
            <v>130192</v>
          </cell>
          <cell r="C10714" t="str">
            <v>Forest Grange School</v>
          </cell>
          <cell r="D10714" t="str">
            <v>West Sussex</v>
          </cell>
          <cell r="E10714" t="str">
            <v>Other Independent School</v>
          </cell>
          <cell r="F10714" t="str">
            <v>Not applicable</v>
          </cell>
        </row>
        <row r="10715">
          <cell r="A10715">
            <v>3922079</v>
          </cell>
          <cell r="B10715">
            <v>108605</v>
          </cell>
          <cell r="C10715" t="str">
            <v>Forest Hall Primary School</v>
          </cell>
          <cell r="D10715" t="str">
            <v>North Tyneside</v>
          </cell>
          <cell r="E10715" t="str">
            <v>Community School</v>
          </cell>
          <cell r="F10715" t="str">
            <v>Primary</v>
          </cell>
        </row>
        <row r="10716">
          <cell r="A10716">
            <v>2094289</v>
          </cell>
          <cell r="B10716">
            <v>100745</v>
          </cell>
          <cell r="C10716" t="str">
            <v>Forest Hill School</v>
          </cell>
          <cell r="D10716" t="str">
            <v>Lewisham</v>
          </cell>
          <cell r="E10716" t="str">
            <v>Community School</v>
          </cell>
          <cell r="F10716" t="str">
            <v>Secondary</v>
          </cell>
        </row>
        <row r="10717">
          <cell r="A10717">
            <v>3206500</v>
          </cell>
          <cell r="B10717">
            <v>127043</v>
          </cell>
          <cell r="C10717" t="str">
            <v>Forest Junior School</v>
          </cell>
          <cell r="D10717" t="str">
            <v>Waltham Forest</v>
          </cell>
          <cell r="E10717" t="str">
            <v>Other Independent School</v>
          </cell>
          <cell r="F10717" t="str">
            <v>Not applicable</v>
          </cell>
        </row>
        <row r="10718">
          <cell r="A10718">
            <v>8562366</v>
          </cell>
          <cell r="B10718">
            <v>120090</v>
          </cell>
          <cell r="C10718" t="str">
            <v>Forest Lodge Primary School</v>
          </cell>
          <cell r="D10718" t="str">
            <v>Leicester</v>
          </cell>
          <cell r="E10718" t="str">
            <v>Community School</v>
          </cell>
          <cell r="F10718" t="str">
            <v>Primary</v>
          </cell>
        </row>
        <row r="10719">
          <cell r="A10719">
            <v>3114010</v>
          </cell>
          <cell r="B10719">
            <v>126925</v>
          </cell>
          <cell r="C10719" t="str">
            <v>Forest Lodge School</v>
          </cell>
          <cell r="D10719" t="str">
            <v>Havering</v>
          </cell>
          <cell r="E10719" t="str">
            <v>Community School</v>
          </cell>
          <cell r="F10719" t="str">
            <v>Secondary</v>
          </cell>
        </row>
        <row r="10720">
          <cell r="A10720">
            <v>3347005</v>
          </cell>
          <cell r="B10720">
            <v>104132</v>
          </cell>
          <cell r="C10720" t="str">
            <v>Forest Oak School</v>
          </cell>
          <cell r="D10720" t="str">
            <v>Solihull</v>
          </cell>
          <cell r="E10720" t="str">
            <v>Community Special School</v>
          </cell>
          <cell r="F10720" t="str">
            <v>Special</v>
          </cell>
        </row>
        <row r="10721">
          <cell r="A10721">
            <v>8851119</v>
          </cell>
          <cell r="B10721">
            <v>136144</v>
          </cell>
          <cell r="C10721" t="str">
            <v>Forest Oak School</v>
          </cell>
          <cell r="D10721" t="str">
            <v>Worcestershire</v>
          </cell>
          <cell r="E10721" t="str">
            <v>Pupil Referral Unit</v>
          </cell>
          <cell r="F10721" t="str">
            <v>PRU</v>
          </cell>
        </row>
        <row r="10722">
          <cell r="A10722">
            <v>8153288</v>
          </cell>
          <cell r="B10722">
            <v>121601</v>
          </cell>
          <cell r="C10722" t="str">
            <v>Forest of Galtres Anglican/Methodist Primary School</v>
          </cell>
          <cell r="D10722" t="str">
            <v>North Yorkshire</v>
          </cell>
          <cell r="E10722" t="str">
            <v>Voluntary Controlled School</v>
          </cell>
          <cell r="F10722" t="str">
            <v>Primary</v>
          </cell>
        </row>
        <row r="10723">
          <cell r="A10723">
            <v>8402410</v>
          </cell>
          <cell r="B10723">
            <v>114100</v>
          </cell>
          <cell r="C10723" t="str">
            <v>Forest of Teesdale Primary School</v>
          </cell>
          <cell r="D10723" t="str">
            <v>Durham</v>
          </cell>
          <cell r="E10723" t="str">
            <v>Community School</v>
          </cell>
          <cell r="F10723" t="str">
            <v>Primary</v>
          </cell>
        </row>
        <row r="10724">
          <cell r="A10724">
            <v>8612054</v>
          </cell>
          <cell r="B10724">
            <v>123997</v>
          </cell>
          <cell r="C10724" t="str">
            <v>Forest Park Primary School</v>
          </cell>
          <cell r="D10724" t="str">
            <v>Stoke-on-Trent</v>
          </cell>
          <cell r="E10724" t="str">
            <v>Community School</v>
          </cell>
          <cell r="F10724" t="str">
            <v>Primary</v>
          </cell>
        </row>
        <row r="10725">
          <cell r="A10725">
            <v>8507041</v>
          </cell>
          <cell r="B10725">
            <v>135823</v>
          </cell>
          <cell r="C10725" t="str">
            <v>Forest Park School</v>
          </cell>
          <cell r="D10725" t="str">
            <v>Hampshire</v>
          </cell>
          <cell r="E10725" t="str">
            <v>Community Special School</v>
          </cell>
          <cell r="F10725" t="str">
            <v>Special</v>
          </cell>
        </row>
        <row r="10726">
          <cell r="A10726">
            <v>3586005</v>
          </cell>
          <cell r="B10726">
            <v>106382</v>
          </cell>
          <cell r="C10726" t="str">
            <v>Forest Park School at Lauriston House</v>
          </cell>
          <cell r="D10726" t="str">
            <v>Trafford</v>
          </cell>
          <cell r="E10726" t="str">
            <v>Other Independent School</v>
          </cell>
          <cell r="F10726" t="str">
            <v>Not applicable</v>
          </cell>
        </row>
        <row r="10727">
          <cell r="A10727">
            <v>3206060</v>
          </cell>
          <cell r="B10727">
            <v>103113</v>
          </cell>
          <cell r="C10727" t="str">
            <v>Forest Preparatory School</v>
          </cell>
          <cell r="D10727" t="str">
            <v>Waltham Forest</v>
          </cell>
          <cell r="E10727" t="str">
            <v>Other Independent School</v>
          </cell>
          <cell r="F10727" t="str">
            <v>Not applicable</v>
          </cell>
        </row>
        <row r="10728">
          <cell r="A10728">
            <v>7062009</v>
          </cell>
          <cell r="B10728">
            <v>132433</v>
          </cell>
          <cell r="C10728" t="str">
            <v>Forest Primary School</v>
          </cell>
          <cell r="D10728" t="str">
            <v>Guernsey Offshore Establishments</v>
          </cell>
          <cell r="E10728" t="str">
            <v>Offshore Schools</v>
          </cell>
          <cell r="F10728" t="str">
            <v>Not applicable</v>
          </cell>
        </row>
        <row r="10729">
          <cell r="A10729">
            <v>8453028</v>
          </cell>
          <cell r="B10729">
            <v>114504</v>
          </cell>
          <cell r="C10729" t="str">
            <v>Forest Row Church of England Primary School</v>
          </cell>
          <cell r="D10729" t="str">
            <v>East Sussex</v>
          </cell>
          <cell r="E10729" t="str">
            <v>Voluntary Controlled School</v>
          </cell>
          <cell r="F10729" t="str">
            <v>Primary</v>
          </cell>
        </row>
        <row r="10730">
          <cell r="A10730">
            <v>3206000</v>
          </cell>
          <cell r="B10730">
            <v>103110</v>
          </cell>
          <cell r="C10730" t="str">
            <v>Forest School</v>
          </cell>
          <cell r="D10730" t="str">
            <v>Waltham Forest</v>
          </cell>
          <cell r="E10730" t="str">
            <v>Other Independent School</v>
          </cell>
          <cell r="F10730" t="str">
            <v>Not applicable</v>
          </cell>
        </row>
        <row r="10731">
          <cell r="A10731">
            <v>3586008</v>
          </cell>
          <cell r="B10731">
            <v>106385</v>
          </cell>
          <cell r="C10731" t="str">
            <v>Forest School</v>
          </cell>
          <cell r="D10731" t="str">
            <v>Trafford</v>
          </cell>
          <cell r="E10731" t="str">
            <v>Other Independent School</v>
          </cell>
          <cell r="F10731" t="str">
            <v>Not applicable</v>
          </cell>
        </row>
        <row r="10732">
          <cell r="A10732">
            <v>8724050</v>
          </cell>
          <cell r="B10732">
            <v>110061</v>
          </cell>
          <cell r="C10732" t="str">
            <v>Forest School</v>
          </cell>
          <cell r="D10732" t="str">
            <v>Wokingham</v>
          </cell>
          <cell r="E10732" t="str">
            <v>Community School</v>
          </cell>
          <cell r="F10732" t="str">
            <v>Secondary</v>
          </cell>
        </row>
        <row r="10733">
          <cell r="A10733">
            <v>9302106</v>
          </cell>
          <cell r="B10733">
            <v>122451</v>
          </cell>
          <cell r="C10733" t="str">
            <v>Forest Town Infant School</v>
          </cell>
          <cell r="D10733" t="str">
            <v>Pre LGR (1998) Nottinghamshire</v>
          </cell>
          <cell r="E10733" t="str">
            <v>Community School</v>
          </cell>
          <cell r="F10733" t="str">
            <v>Primary</v>
          </cell>
        </row>
        <row r="10734">
          <cell r="A10734">
            <v>9302105</v>
          </cell>
          <cell r="B10734">
            <v>122450</v>
          </cell>
          <cell r="C10734" t="str">
            <v>Forest Town Junior School</v>
          </cell>
          <cell r="D10734" t="str">
            <v>Pre LGR (1998) Nottinghamshire</v>
          </cell>
          <cell r="E10734" t="str">
            <v>Community School</v>
          </cell>
          <cell r="F10734" t="str">
            <v>Primary</v>
          </cell>
        </row>
        <row r="10735">
          <cell r="A10735">
            <v>8912937</v>
          </cell>
          <cell r="B10735">
            <v>130255</v>
          </cell>
          <cell r="C10735" t="str">
            <v>Forest Town Primary School</v>
          </cell>
          <cell r="D10735" t="str">
            <v>Nottinghamshire</v>
          </cell>
          <cell r="E10735" t="str">
            <v>Community School</v>
          </cell>
          <cell r="F10735" t="str">
            <v>Primary</v>
          </cell>
        </row>
        <row r="10736">
          <cell r="A10736">
            <v>8912801</v>
          </cell>
          <cell r="B10736">
            <v>122666</v>
          </cell>
          <cell r="C10736" t="str">
            <v>Forest View Junior School</v>
          </cell>
          <cell r="D10736" t="str">
            <v>Nottinghamshire</v>
          </cell>
          <cell r="E10736" t="str">
            <v>Community School</v>
          </cell>
          <cell r="F10736" t="str">
            <v>Primary</v>
          </cell>
        </row>
        <row r="10737">
          <cell r="A10737">
            <v>3933318</v>
          </cell>
          <cell r="B10737">
            <v>135842</v>
          </cell>
          <cell r="C10737" t="str">
            <v>Forest View Primary</v>
          </cell>
          <cell r="D10737" t="str">
            <v>South Tyneside</v>
          </cell>
          <cell r="E10737" t="str">
            <v>Community School</v>
          </cell>
          <cell r="F10737" t="str">
            <v>Primary</v>
          </cell>
        </row>
        <row r="10738">
          <cell r="A10738">
            <v>9162061</v>
          </cell>
          <cell r="B10738">
            <v>115517</v>
          </cell>
          <cell r="C10738" t="str">
            <v>Forest View Primary School</v>
          </cell>
          <cell r="D10738" t="str">
            <v>Gloucestershire</v>
          </cell>
          <cell r="E10738" t="str">
            <v>Community School</v>
          </cell>
          <cell r="F10738" t="str">
            <v>Primary</v>
          </cell>
        </row>
        <row r="10739">
          <cell r="A10739">
            <v>8557008</v>
          </cell>
          <cell r="B10739">
            <v>120354</v>
          </cell>
          <cell r="C10739" t="str">
            <v>Forest Way School</v>
          </cell>
          <cell r="D10739" t="str">
            <v>Leicestershire</v>
          </cell>
          <cell r="E10739" t="str">
            <v>Community Special School</v>
          </cell>
          <cell r="F10739" t="str">
            <v>Special</v>
          </cell>
        </row>
        <row r="10740">
          <cell r="A10740">
            <v>3062084</v>
          </cell>
          <cell r="B10740">
            <v>101773</v>
          </cell>
          <cell r="C10740" t="str">
            <v>Forestdale Primary School</v>
          </cell>
          <cell r="D10740" t="str">
            <v>Croydon</v>
          </cell>
          <cell r="E10740" t="str">
            <v>Community School</v>
          </cell>
          <cell r="F10740" t="str">
            <v>Primary</v>
          </cell>
        </row>
        <row r="10741">
          <cell r="A10741">
            <v>3302486</v>
          </cell>
          <cell r="B10741">
            <v>133759</v>
          </cell>
          <cell r="C10741" t="str">
            <v>Forestdale Primary School</v>
          </cell>
          <cell r="D10741" t="str">
            <v>Birmingham</v>
          </cell>
          <cell r="E10741" t="str">
            <v>Community School</v>
          </cell>
          <cell r="F10741" t="str">
            <v>Primary</v>
          </cell>
        </row>
        <row r="10742">
          <cell r="A10742">
            <v>3192043</v>
          </cell>
          <cell r="B10742">
            <v>102986</v>
          </cell>
          <cell r="C10742" t="str">
            <v>Foresters Primary School</v>
          </cell>
          <cell r="D10742" t="str">
            <v>Sutton</v>
          </cell>
          <cell r="E10742" t="str">
            <v>Community School</v>
          </cell>
          <cell r="F10742" t="str">
            <v>Primary</v>
          </cell>
        </row>
        <row r="10743">
          <cell r="A10743">
            <v>9376102</v>
          </cell>
          <cell r="B10743">
            <v>134119</v>
          </cell>
          <cell r="C10743" t="str">
            <v>Forge House Preparatory School</v>
          </cell>
          <cell r="D10743" t="str">
            <v>Warwickshire</v>
          </cell>
          <cell r="E10743" t="str">
            <v>Other Independent School</v>
          </cell>
          <cell r="F10743" t="str">
            <v>Not applicable</v>
          </cell>
        </row>
        <row r="10744">
          <cell r="A10744">
            <v>3132070</v>
          </cell>
          <cell r="B10744">
            <v>102518</v>
          </cell>
          <cell r="C10744" t="str">
            <v>Forge Lane Infant and Nursery School</v>
          </cell>
          <cell r="D10744" t="str">
            <v>Hounslow</v>
          </cell>
          <cell r="E10744" t="str">
            <v>Community School</v>
          </cell>
          <cell r="F10744" t="str">
            <v>Primary</v>
          </cell>
        </row>
        <row r="10745">
          <cell r="A10745">
            <v>8872402</v>
          </cell>
          <cell r="B10745">
            <v>118422</v>
          </cell>
          <cell r="C10745" t="str">
            <v>Forge Lane Infant School</v>
          </cell>
          <cell r="D10745" t="str">
            <v>Medway</v>
          </cell>
          <cell r="E10745" t="str">
            <v>Community School</v>
          </cell>
          <cell r="F10745" t="str">
            <v>Primary</v>
          </cell>
        </row>
        <row r="10746">
          <cell r="A10746">
            <v>3132054</v>
          </cell>
          <cell r="B10746">
            <v>102507</v>
          </cell>
          <cell r="C10746" t="str">
            <v>Forge Lane Junior School</v>
          </cell>
          <cell r="D10746" t="str">
            <v>Hounslow</v>
          </cell>
          <cell r="E10746" t="str">
            <v>Community School</v>
          </cell>
          <cell r="F10746" t="str">
            <v>Primary</v>
          </cell>
        </row>
        <row r="10747">
          <cell r="A10747">
            <v>3132080</v>
          </cell>
          <cell r="B10747">
            <v>132265</v>
          </cell>
          <cell r="C10747" t="str">
            <v>Forge Lane Primary School</v>
          </cell>
          <cell r="D10747" t="str">
            <v>Hounslow</v>
          </cell>
          <cell r="E10747" t="str">
            <v>Community School</v>
          </cell>
          <cell r="F10747" t="str">
            <v>Primary</v>
          </cell>
        </row>
        <row r="10748">
          <cell r="A10748">
            <v>3734605</v>
          </cell>
          <cell r="B10748">
            <v>135503</v>
          </cell>
          <cell r="C10748" t="str">
            <v>Forge Valley Community School</v>
          </cell>
          <cell r="D10748" t="str">
            <v>Sheffield</v>
          </cell>
          <cell r="E10748" t="str">
            <v>Foundation School</v>
          </cell>
          <cell r="F10748" t="str">
            <v>Secondary</v>
          </cell>
        </row>
        <row r="10749">
          <cell r="A10749">
            <v>3434101</v>
          </cell>
          <cell r="B10749">
            <v>104949</v>
          </cell>
          <cell r="C10749" t="str">
            <v>Formby High School</v>
          </cell>
          <cell r="D10749" t="str">
            <v>Sefton</v>
          </cell>
          <cell r="E10749" t="str">
            <v>Community School</v>
          </cell>
          <cell r="F10749" t="str">
            <v>Secondary</v>
          </cell>
        </row>
        <row r="10750">
          <cell r="A10750">
            <v>3434101</v>
          </cell>
          <cell r="B10750">
            <v>137436</v>
          </cell>
          <cell r="C10750" t="str">
            <v>Formby High School</v>
          </cell>
          <cell r="D10750" t="str">
            <v>Sefton</v>
          </cell>
          <cell r="E10750" t="str">
            <v>Academy Converters</v>
          </cell>
          <cell r="F10750" t="str">
            <v>Secondary</v>
          </cell>
        </row>
        <row r="10751">
          <cell r="A10751">
            <v>9263322</v>
          </cell>
          <cell r="B10751">
            <v>121117</v>
          </cell>
          <cell r="C10751" t="str">
            <v>Forncett St Peter Church of England Voluntary Aided Primary School</v>
          </cell>
          <cell r="D10751" t="str">
            <v>Norfolk</v>
          </cell>
          <cell r="E10751" t="str">
            <v>Voluntary Aided School</v>
          </cell>
          <cell r="F10751" t="str">
            <v>Primary</v>
          </cell>
        </row>
        <row r="10752">
          <cell r="A10752">
            <v>9192339</v>
          </cell>
          <cell r="B10752">
            <v>117284</v>
          </cell>
          <cell r="C10752" t="str">
            <v>Forres Primary School</v>
          </cell>
          <cell r="D10752" t="str">
            <v>Hertfordshire</v>
          </cell>
          <cell r="E10752" t="str">
            <v>Community School</v>
          </cell>
          <cell r="F10752" t="str">
            <v>Primary</v>
          </cell>
        </row>
        <row r="10753">
          <cell r="A10753">
            <v>8506042</v>
          </cell>
          <cell r="B10753">
            <v>116519</v>
          </cell>
          <cell r="C10753" t="str">
            <v>Forres Sandle Manor School</v>
          </cell>
          <cell r="D10753" t="str">
            <v>Hampshire</v>
          </cell>
          <cell r="E10753" t="str">
            <v>Other Independent School</v>
          </cell>
          <cell r="F10753" t="str">
            <v>Not applicable</v>
          </cell>
        </row>
        <row r="10754">
          <cell r="A10754">
            <v>9126016</v>
          </cell>
          <cell r="B10754">
            <v>128791</v>
          </cell>
          <cell r="C10754" t="str">
            <v>Forres School</v>
          </cell>
          <cell r="D10754" t="str">
            <v>Pre LGR (1997) Dorset</v>
          </cell>
          <cell r="E10754" t="str">
            <v>Other Independent School</v>
          </cell>
          <cell r="F10754" t="str">
            <v>Not applicable</v>
          </cell>
        </row>
        <row r="10755">
          <cell r="A10755">
            <v>8603056</v>
          </cell>
          <cell r="B10755">
            <v>124251</v>
          </cell>
          <cell r="C10755" t="str">
            <v>Forsbrook CofE (C) Infants School</v>
          </cell>
          <cell r="D10755" t="str">
            <v>Staffordshire</v>
          </cell>
          <cell r="E10755" t="str">
            <v>Voluntary Controlled School</v>
          </cell>
          <cell r="F10755" t="str">
            <v>Primary</v>
          </cell>
        </row>
        <row r="10756">
          <cell r="A10756">
            <v>8603000</v>
          </cell>
          <cell r="B10756">
            <v>132260</v>
          </cell>
          <cell r="C10756" t="str">
            <v>Forsbrook CofE Controlled Primary School</v>
          </cell>
          <cell r="D10756" t="str">
            <v>Staffordshire</v>
          </cell>
          <cell r="E10756" t="str">
            <v>Voluntary Controlled School</v>
          </cell>
          <cell r="F10756" t="str">
            <v>Primary</v>
          </cell>
        </row>
        <row r="10757">
          <cell r="A10757">
            <v>2092225</v>
          </cell>
          <cell r="B10757">
            <v>100683</v>
          </cell>
          <cell r="C10757" t="str">
            <v>Forster Park Primary School</v>
          </cell>
          <cell r="D10757" t="str">
            <v>Lewisham</v>
          </cell>
          <cell r="E10757" t="str">
            <v>Community School</v>
          </cell>
          <cell r="F10757" t="str">
            <v>Primary</v>
          </cell>
        </row>
        <row r="10758">
          <cell r="A10758">
            <v>8504187</v>
          </cell>
          <cell r="B10758">
            <v>116444</v>
          </cell>
          <cell r="C10758" t="str">
            <v>Fort Hill Community School</v>
          </cell>
          <cell r="D10758" t="str">
            <v>Hampshire</v>
          </cell>
          <cell r="E10758" t="str">
            <v>Community School</v>
          </cell>
          <cell r="F10758" t="str">
            <v>Secondary</v>
          </cell>
        </row>
        <row r="10759">
          <cell r="A10759">
            <v>9224073</v>
          </cell>
          <cell r="B10759">
            <v>129419</v>
          </cell>
          <cell r="C10759" t="str">
            <v>Fort Luton High School for Boys</v>
          </cell>
          <cell r="D10759" t="str">
            <v>Pre LGR (1998) Kent</v>
          </cell>
          <cell r="E10759" t="str">
            <v>Community School</v>
          </cell>
          <cell r="F10759" t="str">
            <v>Secondary</v>
          </cell>
        </row>
        <row r="10760">
          <cell r="A10760">
            <v>8874069</v>
          </cell>
          <cell r="B10760">
            <v>118798</v>
          </cell>
          <cell r="C10760" t="str">
            <v>Fort Pitt Grammar School</v>
          </cell>
          <cell r="D10760" t="str">
            <v>Medway</v>
          </cell>
          <cell r="E10760" t="str">
            <v>Foundation School</v>
          </cell>
          <cell r="F10760" t="str">
            <v>Secondary</v>
          </cell>
        </row>
        <row r="10761">
          <cell r="A10761">
            <v>8874069</v>
          </cell>
          <cell r="B10761">
            <v>136337</v>
          </cell>
          <cell r="C10761" t="str">
            <v>Fort Pitt Grammar School</v>
          </cell>
          <cell r="D10761" t="str">
            <v>Medway</v>
          </cell>
          <cell r="E10761" t="str">
            <v>Academy Converters</v>
          </cell>
          <cell r="F10761" t="str">
            <v>Secondary</v>
          </cell>
        </row>
        <row r="10762">
          <cell r="A10762">
            <v>8857025</v>
          </cell>
          <cell r="B10762">
            <v>131534</v>
          </cell>
          <cell r="C10762" t="str">
            <v>Fort Royal</v>
          </cell>
          <cell r="D10762" t="str">
            <v>Worcestershire</v>
          </cell>
          <cell r="E10762" t="str">
            <v>Community Special School</v>
          </cell>
          <cell r="F10762" t="str">
            <v>Special</v>
          </cell>
        </row>
        <row r="10763">
          <cell r="A10763">
            <v>3094032</v>
          </cell>
          <cell r="B10763">
            <v>102156</v>
          </cell>
          <cell r="C10763" t="str">
            <v>Fortismere School</v>
          </cell>
          <cell r="D10763" t="str">
            <v>Haringey</v>
          </cell>
          <cell r="E10763" t="str">
            <v>Foundation School</v>
          </cell>
          <cell r="F10763" t="str">
            <v>Secondary</v>
          </cell>
        </row>
        <row r="10764">
          <cell r="A10764">
            <v>8882016</v>
          </cell>
          <cell r="B10764">
            <v>119128</v>
          </cell>
          <cell r="C10764" t="str">
            <v>Forton Primary School</v>
          </cell>
          <cell r="D10764" t="str">
            <v>Lancashire</v>
          </cell>
          <cell r="E10764" t="str">
            <v>Community School</v>
          </cell>
          <cell r="F10764" t="str">
            <v>Primary</v>
          </cell>
        </row>
        <row r="10765">
          <cell r="A10765">
            <v>9257031</v>
          </cell>
          <cell r="B10765">
            <v>134229</v>
          </cell>
          <cell r="C10765" t="str">
            <v>Fortuna School</v>
          </cell>
          <cell r="D10765" t="str">
            <v>Lincolnshire</v>
          </cell>
          <cell r="E10765" t="str">
            <v>Community Special School</v>
          </cell>
          <cell r="F10765" t="str">
            <v>Special</v>
          </cell>
        </row>
        <row r="10766">
          <cell r="A10766">
            <v>8357904</v>
          </cell>
          <cell r="B10766">
            <v>131891</v>
          </cell>
          <cell r="C10766" t="str">
            <v>Fortune Centre of Riding Therapy</v>
          </cell>
          <cell r="D10766" t="str">
            <v>Dorset</v>
          </cell>
          <cell r="E10766" t="str">
            <v>Special College</v>
          </cell>
          <cell r="F10766" t="str">
            <v>16 Plus</v>
          </cell>
        </row>
        <row r="10767">
          <cell r="A10767">
            <v>3083304</v>
          </cell>
          <cell r="B10767">
            <v>102028</v>
          </cell>
          <cell r="C10767" t="str">
            <v>Forty Hill CofE Primary School</v>
          </cell>
          <cell r="D10767" t="str">
            <v>Enfield</v>
          </cell>
          <cell r="E10767" t="str">
            <v>Voluntary Aided School</v>
          </cell>
          <cell r="F10767" t="str">
            <v>Primary</v>
          </cell>
        </row>
        <row r="10768">
          <cell r="A10768">
            <v>3501109</v>
          </cell>
          <cell r="B10768">
            <v>134291</v>
          </cell>
          <cell r="C10768" t="str">
            <v>Forwards Centre</v>
          </cell>
          <cell r="D10768" t="str">
            <v>Bolton</v>
          </cell>
          <cell r="E10768" t="str">
            <v>Pupil Referral Unit</v>
          </cell>
          <cell r="F10768" t="str">
            <v>PRU</v>
          </cell>
        </row>
        <row r="10769">
          <cell r="A10769">
            <v>2032228</v>
          </cell>
          <cell r="B10769">
            <v>100125</v>
          </cell>
          <cell r="C10769" t="str">
            <v>Fossdene Primary School</v>
          </cell>
          <cell r="D10769" t="str">
            <v>Greenwich</v>
          </cell>
          <cell r="E10769" t="str">
            <v>Community School</v>
          </cell>
          <cell r="F10769" t="str">
            <v>Primary</v>
          </cell>
        </row>
        <row r="10770">
          <cell r="A10770">
            <v>9226205</v>
          </cell>
          <cell r="B10770">
            <v>129446</v>
          </cell>
          <cell r="C10770" t="str">
            <v>Fosse Bank Preparatory School</v>
          </cell>
          <cell r="D10770" t="str">
            <v>Pre LGR (1998) Kent</v>
          </cell>
          <cell r="E10770" t="str">
            <v>Other Independent School</v>
          </cell>
          <cell r="F10770" t="str">
            <v>Not applicable</v>
          </cell>
        </row>
        <row r="10771">
          <cell r="A10771">
            <v>8866066</v>
          </cell>
          <cell r="B10771">
            <v>119016</v>
          </cell>
          <cell r="C10771" t="str">
            <v>Fosse Bank School</v>
          </cell>
          <cell r="D10771" t="str">
            <v>Kent</v>
          </cell>
          <cell r="E10771" t="str">
            <v>Other Independent School</v>
          </cell>
          <cell r="F10771" t="str">
            <v>Not applicable</v>
          </cell>
        </row>
        <row r="10772">
          <cell r="A10772">
            <v>9242247</v>
          </cell>
          <cell r="B10772">
            <v>129523</v>
          </cell>
          <cell r="C10772" t="str">
            <v>Fosse Infant School</v>
          </cell>
          <cell r="D10772" t="str">
            <v>Pre LGR (1997) Leicestershire</v>
          </cell>
          <cell r="E10772" t="str">
            <v>Community School</v>
          </cell>
          <cell r="F10772" t="str">
            <v>Primary</v>
          </cell>
        </row>
        <row r="10773">
          <cell r="A10773">
            <v>8562365</v>
          </cell>
          <cell r="B10773">
            <v>120089</v>
          </cell>
          <cell r="C10773" t="str">
            <v>Fosse Primary School</v>
          </cell>
          <cell r="D10773" t="str">
            <v>Leicester</v>
          </cell>
          <cell r="E10773" t="str">
            <v>Community School</v>
          </cell>
          <cell r="F10773" t="str">
            <v>Primary</v>
          </cell>
        </row>
        <row r="10774">
          <cell r="A10774">
            <v>8007035</v>
          </cell>
          <cell r="B10774">
            <v>109405</v>
          </cell>
          <cell r="C10774" t="str">
            <v>Fosse Way School</v>
          </cell>
          <cell r="D10774" t="str">
            <v>Bath and North East Somerset</v>
          </cell>
          <cell r="E10774" t="str">
            <v>Foundation Special School</v>
          </cell>
          <cell r="F10774" t="str">
            <v>Special</v>
          </cell>
        </row>
        <row r="10775">
          <cell r="A10775">
            <v>9246211</v>
          </cell>
          <cell r="B10775">
            <v>120328</v>
          </cell>
          <cell r="C10775" t="str">
            <v>Fosse Way School</v>
          </cell>
          <cell r="D10775" t="str">
            <v>Pre LGR (1997) Leicestershire</v>
          </cell>
          <cell r="E10775" t="str">
            <v>Other Independent School</v>
          </cell>
          <cell r="F10775" t="str">
            <v>Not applicable</v>
          </cell>
        </row>
        <row r="10776">
          <cell r="A10776">
            <v>8007035</v>
          </cell>
          <cell r="B10776">
            <v>137493</v>
          </cell>
          <cell r="C10776" t="str">
            <v>Fosse Way School</v>
          </cell>
          <cell r="D10776" t="str">
            <v>Bath and North East Somerset</v>
          </cell>
          <cell r="E10776" t="str">
            <v>Academy Converters</v>
          </cell>
          <cell r="F10776" t="str">
            <v>Not applicable</v>
          </cell>
        </row>
        <row r="10777">
          <cell r="A10777">
            <v>8002152</v>
          </cell>
          <cell r="B10777">
            <v>108999</v>
          </cell>
          <cell r="C10777" t="str">
            <v>Fosseway Infant School</v>
          </cell>
          <cell r="D10777" t="str">
            <v>Bath and North East Somerset</v>
          </cell>
          <cell r="E10777" t="str">
            <v>Community School</v>
          </cell>
          <cell r="F10777" t="str">
            <v>Primary</v>
          </cell>
        </row>
        <row r="10778">
          <cell r="A10778">
            <v>8002151</v>
          </cell>
          <cell r="B10778">
            <v>108998</v>
          </cell>
          <cell r="C10778" t="str">
            <v>Fosseway Junior School</v>
          </cell>
          <cell r="D10778" t="str">
            <v>Bath and North East Somerset</v>
          </cell>
          <cell r="E10778" t="str">
            <v>Community School</v>
          </cell>
          <cell r="F10778" t="str">
            <v>Primary</v>
          </cell>
        </row>
        <row r="10779">
          <cell r="A10779">
            <v>3033001</v>
          </cell>
          <cell r="B10779">
            <v>101451</v>
          </cell>
          <cell r="C10779" t="str">
            <v>Foster's Primary School</v>
          </cell>
          <cell r="D10779" t="str">
            <v>Bexley</v>
          </cell>
          <cell r="E10779" t="str">
            <v>Voluntary Controlled School</v>
          </cell>
          <cell r="F10779" t="str">
            <v>Primary</v>
          </cell>
        </row>
        <row r="10780">
          <cell r="A10780">
            <v>9124010</v>
          </cell>
          <cell r="B10780">
            <v>128786</v>
          </cell>
          <cell r="C10780" t="str">
            <v>Fosters School</v>
          </cell>
          <cell r="D10780" t="str">
            <v>Pre LGR (1997) Dorset</v>
          </cell>
          <cell r="E10780" t="str">
            <v>Community School</v>
          </cell>
          <cell r="F10780" t="str">
            <v>Secondary</v>
          </cell>
        </row>
        <row r="10781">
          <cell r="A10781">
            <v>8153039</v>
          </cell>
          <cell r="B10781">
            <v>121492</v>
          </cell>
          <cell r="C10781" t="str">
            <v>Foston Church of England Voluntary Controlled Primary School</v>
          </cell>
          <cell r="D10781" t="str">
            <v>North Yorkshire</v>
          </cell>
          <cell r="E10781" t="str">
            <v>Voluntary Controlled School</v>
          </cell>
          <cell r="F10781" t="str">
            <v>Primary</v>
          </cell>
        </row>
        <row r="10782">
          <cell r="A10782">
            <v>9253024</v>
          </cell>
          <cell r="B10782">
            <v>129578</v>
          </cell>
          <cell r="C10782" t="str">
            <v>Foston CofE Primary School</v>
          </cell>
          <cell r="D10782" t="str">
            <v>Lincolnshire</v>
          </cell>
          <cell r="E10782" t="str">
            <v>Voluntary Controlled School</v>
          </cell>
          <cell r="F10782" t="str">
            <v>Primary</v>
          </cell>
        </row>
        <row r="10783">
          <cell r="A10783">
            <v>3022025</v>
          </cell>
          <cell r="B10783">
            <v>101279</v>
          </cell>
          <cell r="C10783" t="str">
            <v>Foulds School</v>
          </cell>
          <cell r="D10783" t="str">
            <v>Barnet</v>
          </cell>
          <cell r="E10783" t="str">
            <v>Community School</v>
          </cell>
          <cell r="F10783" t="str">
            <v>Primary</v>
          </cell>
        </row>
        <row r="10784">
          <cell r="A10784">
            <v>9153104</v>
          </cell>
          <cell r="B10784">
            <v>128901</v>
          </cell>
          <cell r="C10784" t="str">
            <v>Foulness Island CofE Primary School</v>
          </cell>
          <cell r="D10784" t="str">
            <v>Pre LGR (1998) Essex</v>
          </cell>
          <cell r="E10784" t="str">
            <v>Voluntary Controlled School</v>
          </cell>
          <cell r="F10784" t="str">
            <v>Primary</v>
          </cell>
        </row>
        <row r="10785">
          <cell r="A10785">
            <v>8883326</v>
          </cell>
          <cell r="B10785">
            <v>119434</v>
          </cell>
          <cell r="C10785" t="str">
            <v>Foulridge Saint Michael and All Angels CofE Voluntary Aided Primary School</v>
          </cell>
          <cell r="D10785" t="str">
            <v>Lancashire</v>
          </cell>
          <cell r="E10785" t="str">
            <v>Voluntary Aided School</v>
          </cell>
          <cell r="F10785" t="str">
            <v>Primary</v>
          </cell>
        </row>
        <row r="10786">
          <cell r="A10786">
            <v>9262062</v>
          </cell>
          <cell r="B10786">
            <v>120807</v>
          </cell>
          <cell r="C10786" t="str">
            <v>Foulsham Primary School</v>
          </cell>
          <cell r="D10786" t="str">
            <v>Norfolk</v>
          </cell>
          <cell r="E10786" t="str">
            <v>Community School</v>
          </cell>
          <cell r="F10786" t="str">
            <v>Primary</v>
          </cell>
        </row>
        <row r="10787">
          <cell r="A10787">
            <v>9172413</v>
          </cell>
          <cell r="B10787">
            <v>128998</v>
          </cell>
          <cell r="C10787" t="str">
            <v>Foundry Lane First School</v>
          </cell>
          <cell r="D10787" t="str">
            <v>Pre LGR (1997) Hampshire</v>
          </cell>
          <cell r="E10787" t="str">
            <v>Community School</v>
          </cell>
          <cell r="F10787" t="str">
            <v>Primary</v>
          </cell>
        </row>
        <row r="10788">
          <cell r="A10788">
            <v>9172412</v>
          </cell>
          <cell r="B10788">
            <v>128997</v>
          </cell>
          <cell r="C10788" t="str">
            <v>Foundry Lane Middle School</v>
          </cell>
          <cell r="D10788" t="str">
            <v>Pre LGR (1997) Hampshire</v>
          </cell>
          <cell r="E10788" t="str">
            <v>Community School</v>
          </cell>
          <cell r="F10788" t="str">
            <v>Middle Deemed Primary</v>
          </cell>
        </row>
        <row r="10789">
          <cell r="A10789">
            <v>8522769</v>
          </cell>
          <cell r="B10789">
            <v>116261</v>
          </cell>
          <cell r="C10789" t="str">
            <v>Foundry Lane Primary School</v>
          </cell>
          <cell r="D10789" t="str">
            <v>Southampton</v>
          </cell>
          <cell r="E10789" t="str">
            <v>Foundation School</v>
          </cell>
          <cell r="F10789" t="str">
            <v>Primary</v>
          </cell>
        </row>
        <row r="10790">
          <cell r="A10790">
            <v>3302437</v>
          </cell>
          <cell r="B10790">
            <v>103364</v>
          </cell>
          <cell r="C10790" t="str">
            <v>Foundry Primary School</v>
          </cell>
          <cell r="D10790" t="str">
            <v>Birmingham</v>
          </cell>
          <cell r="E10790" t="str">
            <v>Community School</v>
          </cell>
          <cell r="F10790" t="str">
            <v>Primary</v>
          </cell>
        </row>
        <row r="10791">
          <cell r="A10791">
            <v>8101102</v>
          </cell>
          <cell r="B10791">
            <v>117703</v>
          </cell>
          <cell r="C10791" t="str">
            <v>Fountain House</v>
          </cell>
          <cell r="D10791" t="str">
            <v>Kingston upon Hull City of</v>
          </cell>
          <cell r="E10791" t="str">
            <v>Pupil Referral Unit</v>
          </cell>
          <cell r="F10791" t="str">
            <v>PRU</v>
          </cell>
        </row>
        <row r="10792">
          <cell r="A10792">
            <v>3833926</v>
          </cell>
          <cell r="B10792">
            <v>134973</v>
          </cell>
          <cell r="C10792" t="str">
            <v>Fountain Primary School</v>
          </cell>
          <cell r="D10792" t="str">
            <v>Leeds</v>
          </cell>
          <cell r="E10792" t="str">
            <v>Community School</v>
          </cell>
          <cell r="F10792" t="str">
            <v>Primary</v>
          </cell>
        </row>
        <row r="10793">
          <cell r="A10793">
            <v>8917009</v>
          </cell>
          <cell r="B10793">
            <v>122947</v>
          </cell>
          <cell r="C10793" t="str">
            <v>Fountaindale School</v>
          </cell>
          <cell r="D10793" t="str">
            <v>Nottinghamshire</v>
          </cell>
          <cell r="E10793" t="str">
            <v>Community Special School</v>
          </cell>
          <cell r="F10793" t="str">
            <v>Special</v>
          </cell>
        </row>
        <row r="10794">
          <cell r="A10794">
            <v>8153266</v>
          </cell>
          <cell r="B10794">
            <v>121584</v>
          </cell>
          <cell r="C10794" t="str">
            <v>Fountains Church of England Primary School</v>
          </cell>
          <cell r="D10794" t="str">
            <v>North Yorkshire</v>
          </cell>
          <cell r="E10794" t="str">
            <v>Voluntary Controlled School</v>
          </cell>
          <cell r="F10794" t="str">
            <v>Primary</v>
          </cell>
        </row>
        <row r="10795">
          <cell r="A10795">
            <v>8153238</v>
          </cell>
          <cell r="B10795">
            <v>121561</v>
          </cell>
          <cell r="C10795" t="str">
            <v>Fountains Earth, Lofthouse Church of England Endowed Primary School</v>
          </cell>
          <cell r="D10795" t="str">
            <v>North Yorkshire</v>
          </cell>
          <cell r="E10795" t="str">
            <v>Voluntary Controlled School</v>
          </cell>
          <cell r="F10795" t="str">
            <v>Primary</v>
          </cell>
        </row>
        <row r="10796">
          <cell r="A10796">
            <v>8012324</v>
          </cell>
          <cell r="B10796">
            <v>109128</v>
          </cell>
          <cell r="C10796" t="str">
            <v>Four Acres Primary School</v>
          </cell>
          <cell r="D10796" t="str">
            <v>Bristol City of</v>
          </cell>
          <cell r="E10796" t="str">
            <v>Community School</v>
          </cell>
          <cell r="F10796" t="str">
            <v>Primary</v>
          </cell>
        </row>
        <row r="10797">
          <cell r="A10797">
            <v>3304226</v>
          </cell>
          <cell r="B10797">
            <v>103510</v>
          </cell>
          <cell r="C10797" t="str">
            <v>Four Dwellings High School</v>
          </cell>
          <cell r="D10797" t="str">
            <v>Birmingham</v>
          </cell>
          <cell r="E10797" t="str">
            <v>Foundation School</v>
          </cell>
          <cell r="F10797" t="str">
            <v>Secondary</v>
          </cell>
        </row>
        <row r="10798">
          <cell r="A10798">
            <v>3302077</v>
          </cell>
          <cell r="B10798">
            <v>103199</v>
          </cell>
          <cell r="C10798" t="str">
            <v>Four Dwellings Infant School</v>
          </cell>
          <cell r="D10798" t="str">
            <v>Birmingham</v>
          </cell>
          <cell r="E10798" t="str">
            <v>Community School</v>
          </cell>
          <cell r="F10798" t="str">
            <v>Primary</v>
          </cell>
        </row>
        <row r="10799">
          <cell r="A10799">
            <v>3302076</v>
          </cell>
          <cell r="B10799">
            <v>103198</v>
          </cell>
          <cell r="C10799" t="str">
            <v>Four Dwellings Junior School</v>
          </cell>
          <cell r="D10799" t="str">
            <v>Birmingham</v>
          </cell>
          <cell r="E10799" t="str">
            <v>Community School</v>
          </cell>
          <cell r="F10799" t="str">
            <v>Primary</v>
          </cell>
        </row>
        <row r="10800">
          <cell r="A10800">
            <v>3303420</v>
          </cell>
          <cell r="B10800">
            <v>133995</v>
          </cell>
          <cell r="C10800" t="str">
            <v>Four Dwellings Primary School</v>
          </cell>
          <cell r="D10800" t="str">
            <v>Birmingham</v>
          </cell>
          <cell r="E10800" t="str">
            <v>Community School</v>
          </cell>
          <cell r="F10800" t="str">
            <v>Primary</v>
          </cell>
        </row>
        <row r="10801">
          <cell r="A10801">
            <v>8862134</v>
          </cell>
          <cell r="B10801">
            <v>118275</v>
          </cell>
          <cell r="C10801" t="str">
            <v>Four Elms Primary School</v>
          </cell>
          <cell r="D10801" t="str">
            <v>Kent</v>
          </cell>
          <cell r="E10801" t="str">
            <v>Community School</v>
          </cell>
          <cell r="F10801" t="str">
            <v>Primary</v>
          </cell>
        </row>
        <row r="10802">
          <cell r="A10802">
            <v>9356074</v>
          </cell>
          <cell r="B10802">
            <v>124897</v>
          </cell>
          <cell r="C10802" t="str">
            <v>Four Elms Residential School</v>
          </cell>
          <cell r="D10802" t="str">
            <v>Suffolk</v>
          </cell>
          <cell r="E10802" t="str">
            <v>Other Independent Special School</v>
          </cell>
          <cell r="F10802" t="str">
            <v>Not applicable</v>
          </cell>
        </row>
        <row r="10803">
          <cell r="A10803">
            <v>9356072</v>
          </cell>
          <cell r="B10803">
            <v>130006</v>
          </cell>
          <cell r="C10803" t="str">
            <v>Four Elms School</v>
          </cell>
          <cell r="D10803" t="str">
            <v>Suffolk</v>
          </cell>
          <cell r="E10803" t="str">
            <v>Other Independent School</v>
          </cell>
          <cell r="F10803" t="str">
            <v>Not applicable</v>
          </cell>
        </row>
        <row r="10804">
          <cell r="A10804">
            <v>8502749</v>
          </cell>
          <cell r="B10804">
            <v>116247</v>
          </cell>
          <cell r="C10804" t="str">
            <v>Four Lanes Community Junior School</v>
          </cell>
          <cell r="D10804" t="str">
            <v>Hampshire</v>
          </cell>
          <cell r="E10804" t="str">
            <v>Community School</v>
          </cell>
          <cell r="F10804" t="str">
            <v>Primary</v>
          </cell>
        </row>
        <row r="10805">
          <cell r="A10805">
            <v>8502392</v>
          </cell>
          <cell r="B10805">
            <v>116082</v>
          </cell>
          <cell r="C10805" t="str">
            <v>Four Lanes Infant School</v>
          </cell>
          <cell r="D10805" t="str">
            <v>Hampshire</v>
          </cell>
          <cell r="E10805" t="str">
            <v>Community School</v>
          </cell>
          <cell r="F10805" t="str">
            <v>Primary</v>
          </cell>
        </row>
        <row r="10806">
          <cell r="A10806">
            <v>8503061</v>
          </cell>
          <cell r="B10806">
            <v>116288</v>
          </cell>
          <cell r="C10806" t="str">
            <v>Four Marks Church of England Primary School</v>
          </cell>
          <cell r="D10806" t="str">
            <v>Hampshire</v>
          </cell>
          <cell r="E10806" t="str">
            <v>Voluntary Controlled School</v>
          </cell>
          <cell r="F10806" t="str">
            <v>Primary</v>
          </cell>
        </row>
        <row r="10807">
          <cell r="A10807">
            <v>3302415</v>
          </cell>
          <cell r="B10807">
            <v>103350</v>
          </cell>
          <cell r="C10807" t="str">
            <v>Four Oaks Infant School</v>
          </cell>
          <cell r="D10807" t="str">
            <v>Birmingham</v>
          </cell>
          <cell r="E10807" t="str">
            <v>Community School</v>
          </cell>
          <cell r="F10807" t="str">
            <v>Primary</v>
          </cell>
        </row>
        <row r="10808">
          <cell r="A10808">
            <v>8022256</v>
          </cell>
          <cell r="B10808">
            <v>109077</v>
          </cell>
          <cell r="C10808" t="str">
            <v>Four Oaks Infant School</v>
          </cell>
          <cell r="D10808" t="str">
            <v>North Somerset</v>
          </cell>
          <cell r="E10808" t="str">
            <v>Community School</v>
          </cell>
          <cell r="F10808" t="str">
            <v>Primary</v>
          </cell>
        </row>
        <row r="10809">
          <cell r="A10809">
            <v>3302405</v>
          </cell>
          <cell r="B10809">
            <v>103344</v>
          </cell>
          <cell r="C10809" t="str">
            <v>Four Oaks Junior School</v>
          </cell>
          <cell r="D10809" t="str">
            <v>Birmingham</v>
          </cell>
          <cell r="E10809" t="str">
            <v>Community School</v>
          </cell>
          <cell r="F10809" t="str">
            <v>Primary</v>
          </cell>
        </row>
        <row r="10810">
          <cell r="A10810">
            <v>3412222</v>
          </cell>
          <cell r="B10810">
            <v>131313</v>
          </cell>
          <cell r="C10810" t="str">
            <v>Four Oaks Primary School</v>
          </cell>
          <cell r="D10810" t="str">
            <v>Liverpool</v>
          </cell>
          <cell r="E10810" t="str">
            <v>Community School</v>
          </cell>
          <cell r="F10810" t="str">
            <v>Primary</v>
          </cell>
        </row>
        <row r="10811">
          <cell r="A10811">
            <v>3303435</v>
          </cell>
          <cell r="B10811">
            <v>131920</v>
          </cell>
          <cell r="C10811" t="str">
            <v>Four Oaks Primary School</v>
          </cell>
          <cell r="D10811" t="str">
            <v>Birmingham</v>
          </cell>
          <cell r="E10811" t="str">
            <v>Community School</v>
          </cell>
          <cell r="F10811" t="str">
            <v>Primary</v>
          </cell>
        </row>
        <row r="10812">
          <cell r="A10812">
            <v>9192017</v>
          </cell>
          <cell r="B10812">
            <v>117092</v>
          </cell>
          <cell r="C10812" t="str">
            <v>Four Swannes Primary School</v>
          </cell>
          <cell r="D10812" t="str">
            <v>Hertfordshire</v>
          </cell>
          <cell r="E10812" t="str">
            <v>Community School</v>
          </cell>
          <cell r="F10812" t="str">
            <v>Primary</v>
          </cell>
        </row>
        <row r="10813">
          <cell r="A10813">
            <v>8732321</v>
          </cell>
          <cell r="B10813">
            <v>110754</v>
          </cell>
          <cell r="C10813" t="str">
            <v>Fourfields Community Primary School</v>
          </cell>
          <cell r="D10813" t="str">
            <v>Cambridgeshire</v>
          </cell>
          <cell r="E10813" t="str">
            <v>Community School</v>
          </cell>
          <cell r="F10813" t="str">
            <v>Primary</v>
          </cell>
        </row>
        <row r="10814">
          <cell r="A10814">
            <v>3502055</v>
          </cell>
          <cell r="B10814">
            <v>105181</v>
          </cell>
          <cell r="C10814" t="str">
            <v>Fourgates Primary School</v>
          </cell>
          <cell r="D10814" t="str">
            <v>Bolton</v>
          </cell>
          <cell r="E10814" t="str">
            <v>Community School</v>
          </cell>
          <cell r="F10814" t="str">
            <v>Primary</v>
          </cell>
        </row>
        <row r="10815">
          <cell r="A10815">
            <v>9082713</v>
          </cell>
          <cell r="B10815">
            <v>111960</v>
          </cell>
          <cell r="C10815" t="str">
            <v>Fourlanesend Community Primary School</v>
          </cell>
          <cell r="D10815" t="str">
            <v>Cornwall</v>
          </cell>
          <cell r="E10815" t="str">
            <v>Community School</v>
          </cell>
          <cell r="F10815" t="str">
            <v>Primary</v>
          </cell>
        </row>
        <row r="10816">
          <cell r="A10816">
            <v>8653238</v>
          </cell>
          <cell r="B10816">
            <v>126387</v>
          </cell>
          <cell r="C10816" t="str">
            <v>Fovant CofE First School</v>
          </cell>
          <cell r="D10816" t="str">
            <v>Wiltshire</v>
          </cell>
          <cell r="E10816" t="str">
            <v>Voluntary Controlled School</v>
          </cell>
          <cell r="F10816" t="str">
            <v>Primary</v>
          </cell>
        </row>
        <row r="10817">
          <cell r="A10817">
            <v>9084145</v>
          </cell>
          <cell r="B10817">
            <v>112042</v>
          </cell>
          <cell r="C10817" t="str">
            <v>Fowey Community College</v>
          </cell>
          <cell r="D10817" t="str">
            <v>Cornwall</v>
          </cell>
          <cell r="E10817" t="str">
            <v>Community School</v>
          </cell>
          <cell r="F10817" t="str">
            <v>Secondary</v>
          </cell>
        </row>
        <row r="10818">
          <cell r="A10818">
            <v>9082401</v>
          </cell>
          <cell r="B10818">
            <v>111881</v>
          </cell>
          <cell r="C10818" t="str">
            <v>Fowey Primary School</v>
          </cell>
          <cell r="D10818" t="str">
            <v>Cornwall</v>
          </cell>
          <cell r="E10818" t="str">
            <v>Community School</v>
          </cell>
          <cell r="F10818" t="str">
            <v>Primary</v>
          </cell>
        </row>
        <row r="10819">
          <cell r="A10819">
            <v>8732011</v>
          </cell>
          <cell r="B10819">
            <v>110607</v>
          </cell>
          <cell r="C10819" t="str">
            <v>Fowlmere Primary School</v>
          </cell>
          <cell r="D10819" t="str">
            <v>Cambridgeshire</v>
          </cell>
          <cell r="E10819" t="str">
            <v>Community School</v>
          </cell>
          <cell r="F10819" t="str">
            <v>Primary</v>
          </cell>
        </row>
        <row r="10820">
          <cell r="A10820">
            <v>3546023</v>
          </cell>
          <cell r="B10820">
            <v>131428</v>
          </cell>
          <cell r="C10820" t="str">
            <v>Fox - Green Corns</v>
          </cell>
          <cell r="D10820" t="str">
            <v>Rochdale</v>
          </cell>
          <cell r="E10820" t="str">
            <v>Other Independent Special School</v>
          </cell>
          <cell r="F10820" t="str">
            <v>Not applicable</v>
          </cell>
        </row>
        <row r="10821">
          <cell r="A10821">
            <v>3732330</v>
          </cell>
          <cell r="B10821">
            <v>107074</v>
          </cell>
          <cell r="C10821" t="str">
            <v>Fox Hill Primary School</v>
          </cell>
          <cell r="D10821" t="str">
            <v>Sheffield</v>
          </cell>
          <cell r="E10821" t="str">
            <v>Community School</v>
          </cell>
          <cell r="F10821" t="str">
            <v>Primary</v>
          </cell>
        </row>
        <row r="10822">
          <cell r="A10822">
            <v>8672057</v>
          </cell>
          <cell r="B10822">
            <v>109805</v>
          </cell>
          <cell r="C10822" t="str">
            <v>Fox Hill Primary School</v>
          </cell>
          <cell r="D10822" t="str">
            <v>Bracknell Forest</v>
          </cell>
          <cell r="E10822" t="str">
            <v>Community School</v>
          </cell>
          <cell r="F10822" t="str">
            <v>Primary</v>
          </cell>
        </row>
        <row r="10823">
          <cell r="A10823">
            <v>3307050</v>
          </cell>
          <cell r="B10823">
            <v>103625</v>
          </cell>
          <cell r="C10823" t="str">
            <v>Fox Hollies School and Performing Arts College</v>
          </cell>
          <cell r="D10823" t="str">
            <v>Birmingham</v>
          </cell>
          <cell r="E10823" t="str">
            <v>Community Special School</v>
          </cell>
          <cell r="F10823" t="str">
            <v>Special</v>
          </cell>
        </row>
        <row r="10824">
          <cell r="A10824">
            <v>2072229</v>
          </cell>
          <cell r="B10824">
            <v>100482</v>
          </cell>
          <cell r="C10824" t="str">
            <v>Fox Primary School</v>
          </cell>
          <cell r="D10824" t="str">
            <v>Kensington and Chelsea</v>
          </cell>
          <cell r="E10824" t="str">
            <v>Community School</v>
          </cell>
          <cell r="F10824" t="str">
            <v>Primary</v>
          </cell>
        </row>
        <row r="10825">
          <cell r="A10825">
            <v>8777002</v>
          </cell>
          <cell r="B10825">
            <v>111496</v>
          </cell>
          <cell r="C10825" t="str">
            <v>Fox Wood Special School</v>
          </cell>
          <cell r="D10825" t="str">
            <v>Warrington</v>
          </cell>
          <cell r="E10825" t="str">
            <v>Community Special School</v>
          </cell>
          <cell r="F10825" t="str">
            <v>Special</v>
          </cell>
        </row>
        <row r="10826">
          <cell r="A10826">
            <v>9354105</v>
          </cell>
          <cell r="B10826">
            <v>124855</v>
          </cell>
          <cell r="C10826" t="str">
            <v>Foxborough Middle School</v>
          </cell>
          <cell r="D10826" t="str">
            <v>Suffolk</v>
          </cell>
          <cell r="E10826" t="str">
            <v>Community School</v>
          </cell>
          <cell r="F10826" t="str">
            <v>Middle Deemed Secondary</v>
          </cell>
        </row>
        <row r="10827">
          <cell r="A10827">
            <v>8712216</v>
          </cell>
          <cell r="B10827">
            <v>109913</v>
          </cell>
          <cell r="C10827" t="str">
            <v>Foxborough Primary School</v>
          </cell>
          <cell r="D10827" t="str">
            <v>Slough</v>
          </cell>
          <cell r="E10827" t="str">
            <v>Community School</v>
          </cell>
          <cell r="F10827" t="str">
            <v>Primary</v>
          </cell>
        </row>
        <row r="10828">
          <cell r="A10828">
            <v>8507010</v>
          </cell>
          <cell r="B10828">
            <v>116601</v>
          </cell>
          <cell r="C10828" t="str">
            <v>Foxbury School</v>
          </cell>
          <cell r="D10828" t="str">
            <v>Hampshire</v>
          </cell>
          <cell r="E10828" t="str">
            <v>Community Special School</v>
          </cell>
          <cell r="F10828" t="str">
            <v>Special</v>
          </cell>
        </row>
        <row r="10829">
          <cell r="A10829">
            <v>7052028</v>
          </cell>
          <cell r="B10829">
            <v>132455</v>
          </cell>
          <cell r="C10829" t="str">
            <v>Foxdale Primary School</v>
          </cell>
          <cell r="D10829" t="str">
            <v>Isle of Man Offshore Establishments</v>
          </cell>
          <cell r="E10829" t="str">
            <v>Offshore Schools</v>
          </cell>
          <cell r="F10829" t="str">
            <v>Not applicable</v>
          </cell>
        </row>
        <row r="10830">
          <cell r="A10830">
            <v>8212264</v>
          </cell>
          <cell r="B10830">
            <v>109572</v>
          </cell>
          <cell r="C10830" t="str">
            <v>Foxdell Infant School</v>
          </cell>
          <cell r="D10830" t="str">
            <v>Luton</v>
          </cell>
          <cell r="E10830" t="str">
            <v>Community School</v>
          </cell>
          <cell r="F10830" t="str">
            <v>Primary</v>
          </cell>
        </row>
        <row r="10831">
          <cell r="A10831">
            <v>8212270</v>
          </cell>
          <cell r="B10831">
            <v>109577</v>
          </cell>
          <cell r="C10831" t="str">
            <v>Foxdell Junior School</v>
          </cell>
          <cell r="D10831" t="str">
            <v>Luton</v>
          </cell>
          <cell r="E10831" t="str">
            <v>Community School</v>
          </cell>
          <cell r="F10831" t="str">
            <v>Primary</v>
          </cell>
        </row>
        <row r="10832">
          <cell r="A10832">
            <v>3537009</v>
          </cell>
          <cell r="B10832">
            <v>105754</v>
          </cell>
          <cell r="C10832" t="str">
            <v>Foxdenton Community Special School</v>
          </cell>
          <cell r="D10832" t="str">
            <v>Oldham</v>
          </cell>
          <cell r="E10832" t="str">
            <v>Community Special School</v>
          </cell>
          <cell r="F10832" t="str">
            <v>Special</v>
          </cell>
        </row>
        <row r="10833">
          <cell r="A10833">
            <v>8813306</v>
          </cell>
          <cell r="B10833">
            <v>115136</v>
          </cell>
          <cell r="C10833" t="str">
            <v>Foxearth CofE Primary School</v>
          </cell>
          <cell r="D10833" t="str">
            <v>Essex</v>
          </cell>
          <cell r="E10833" t="str">
            <v>Voluntary Aided School</v>
          </cell>
          <cell r="F10833" t="str">
            <v>Primary</v>
          </cell>
        </row>
        <row r="10834">
          <cell r="A10834">
            <v>9337906</v>
          </cell>
          <cell r="B10834">
            <v>131892</v>
          </cell>
          <cell r="C10834" t="str">
            <v>Foxes Academy</v>
          </cell>
          <cell r="D10834" t="str">
            <v>Somerset</v>
          </cell>
          <cell r="E10834" t="str">
            <v>Special College</v>
          </cell>
          <cell r="F10834" t="str">
            <v>16 Plus</v>
          </cell>
        </row>
        <row r="10835">
          <cell r="A10835">
            <v>8252137</v>
          </cell>
          <cell r="B10835">
            <v>110263</v>
          </cell>
          <cell r="C10835" t="str">
            <v>Foxes Piece First School</v>
          </cell>
          <cell r="D10835" t="str">
            <v>Buckinghamshire</v>
          </cell>
          <cell r="E10835" t="str">
            <v>Community School</v>
          </cell>
          <cell r="F10835" t="str">
            <v>Primary</v>
          </cell>
        </row>
        <row r="10836">
          <cell r="A10836">
            <v>8252206</v>
          </cell>
          <cell r="B10836">
            <v>110306</v>
          </cell>
          <cell r="C10836" t="str">
            <v>Foxes Piece Middle School</v>
          </cell>
          <cell r="D10836" t="str">
            <v>Buckinghamshire</v>
          </cell>
          <cell r="E10836" t="str">
            <v>Community School</v>
          </cell>
          <cell r="F10836" t="str">
            <v>Middle Deemed Primary</v>
          </cell>
        </row>
        <row r="10837">
          <cell r="A10837">
            <v>8252507</v>
          </cell>
          <cell r="B10837">
            <v>131523</v>
          </cell>
          <cell r="C10837" t="str">
            <v>Foxes Piece School</v>
          </cell>
          <cell r="D10837" t="str">
            <v>Buckinghamshire</v>
          </cell>
          <cell r="E10837" t="str">
            <v>Community School</v>
          </cell>
          <cell r="F10837" t="str">
            <v>Primary</v>
          </cell>
        </row>
        <row r="10838">
          <cell r="A10838">
            <v>2032899</v>
          </cell>
          <cell r="B10838">
            <v>126585</v>
          </cell>
          <cell r="C10838" t="str">
            <v>Foxfield Infant School</v>
          </cell>
          <cell r="D10838" t="str">
            <v>Greenwich</v>
          </cell>
          <cell r="E10838" t="str">
            <v>Community School</v>
          </cell>
          <cell r="F10838" t="str">
            <v>Primary</v>
          </cell>
        </row>
        <row r="10839">
          <cell r="A10839">
            <v>2032885</v>
          </cell>
          <cell r="B10839">
            <v>100156</v>
          </cell>
          <cell r="C10839" t="str">
            <v>Foxfield Primary School</v>
          </cell>
          <cell r="D10839" t="str">
            <v>Greenwich</v>
          </cell>
          <cell r="E10839" t="str">
            <v>Community School</v>
          </cell>
          <cell r="F10839" t="str">
            <v>Primary</v>
          </cell>
        </row>
        <row r="10840">
          <cell r="A10840">
            <v>3447004</v>
          </cell>
          <cell r="B10840">
            <v>105131</v>
          </cell>
          <cell r="C10840" t="str">
            <v>Foxfield School</v>
          </cell>
          <cell r="D10840" t="str">
            <v>Wirral</v>
          </cell>
          <cell r="E10840" t="str">
            <v>Community Special School</v>
          </cell>
          <cell r="F10840" t="str">
            <v>Special</v>
          </cell>
        </row>
        <row r="10841">
          <cell r="A10841">
            <v>3314029</v>
          </cell>
          <cell r="B10841">
            <v>103732</v>
          </cell>
          <cell r="C10841" t="str">
            <v>Foxford School and Community Arts College</v>
          </cell>
          <cell r="D10841" t="str">
            <v>Coventry</v>
          </cell>
          <cell r="E10841" t="str">
            <v>Foundation School</v>
          </cell>
          <cell r="F10841" t="str">
            <v>Secondary</v>
          </cell>
        </row>
        <row r="10842">
          <cell r="A10842">
            <v>8782024</v>
          </cell>
          <cell r="B10842">
            <v>113078</v>
          </cell>
          <cell r="C10842" t="str">
            <v>Foxhayes First School</v>
          </cell>
          <cell r="D10842" t="str">
            <v>Devon</v>
          </cell>
          <cell r="E10842" t="str">
            <v>Community School</v>
          </cell>
          <cell r="F10842" t="str">
            <v>Primary</v>
          </cell>
        </row>
        <row r="10843">
          <cell r="A10843">
            <v>2031103</v>
          </cell>
          <cell r="B10843">
            <v>100105</v>
          </cell>
          <cell r="C10843" t="str">
            <v>Foxhill Centre</v>
          </cell>
          <cell r="D10843" t="str">
            <v>Greenwich</v>
          </cell>
          <cell r="E10843" t="str">
            <v>Pupil Referral Unit</v>
          </cell>
          <cell r="F10843" t="str">
            <v>PRU</v>
          </cell>
        </row>
        <row r="10844">
          <cell r="A10844">
            <v>3805201</v>
          </cell>
          <cell r="B10844">
            <v>107432</v>
          </cell>
          <cell r="C10844" t="str">
            <v>Foxhill Primary School</v>
          </cell>
          <cell r="D10844" t="str">
            <v>Bradford</v>
          </cell>
          <cell r="E10844" t="str">
            <v>Foundation School</v>
          </cell>
          <cell r="F10844" t="str">
            <v>Primary</v>
          </cell>
        </row>
        <row r="10845">
          <cell r="A10845">
            <v>8502299</v>
          </cell>
          <cell r="B10845">
            <v>116024</v>
          </cell>
          <cell r="C10845" t="str">
            <v>Foxhills Infant School</v>
          </cell>
          <cell r="D10845" t="str">
            <v>Hampshire</v>
          </cell>
          <cell r="E10845" t="str">
            <v>Community School</v>
          </cell>
          <cell r="F10845" t="str">
            <v>Primary</v>
          </cell>
        </row>
        <row r="10846">
          <cell r="A10846">
            <v>8502197</v>
          </cell>
          <cell r="B10846">
            <v>115956</v>
          </cell>
          <cell r="C10846" t="str">
            <v>Foxhills Junior School</v>
          </cell>
          <cell r="D10846" t="str">
            <v>Hampshire</v>
          </cell>
          <cell r="E10846" t="str">
            <v>Community School</v>
          </cell>
          <cell r="F10846" t="str">
            <v>Primary</v>
          </cell>
        </row>
        <row r="10847">
          <cell r="A10847">
            <v>8802435</v>
          </cell>
          <cell r="B10847">
            <v>113213</v>
          </cell>
          <cell r="C10847" t="str">
            <v>Foxhole Infants' and Nursery School</v>
          </cell>
          <cell r="D10847" t="str">
            <v>Torbay</v>
          </cell>
          <cell r="E10847" t="str">
            <v>Community School</v>
          </cell>
          <cell r="F10847" t="str">
            <v>Primary</v>
          </cell>
        </row>
        <row r="10848">
          <cell r="A10848">
            <v>8802437</v>
          </cell>
          <cell r="B10848">
            <v>113214</v>
          </cell>
          <cell r="C10848" t="str">
            <v>Foxhole Junior School</v>
          </cell>
          <cell r="D10848" t="str">
            <v>Torbay</v>
          </cell>
          <cell r="E10848" t="str">
            <v>Community School</v>
          </cell>
          <cell r="F10848" t="str">
            <v>Primary</v>
          </cell>
        </row>
        <row r="10849">
          <cell r="A10849">
            <v>9082439</v>
          </cell>
          <cell r="B10849">
            <v>111898</v>
          </cell>
          <cell r="C10849" t="str">
            <v>Foxhole Primary School</v>
          </cell>
          <cell r="D10849" t="str">
            <v>Cornwall</v>
          </cell>
          <cell r="E10849" t="str">
            <v>Community School</v>
          </cell>
          <cell r="F10849" t="str">
            <v>Primary</v>
          </cell>
        </row>
        <row r="10850">
          <cell r="A10850">
            <v>9036057</v>
          </cell>
          <cell r="B10850">
            <v>110143</v>
          </cell>
          <cell r="C10850" t="str">
            <v>Foxley PNEU School</v>
          </cell>
          <cell r="D10850" t="str">
            <v>Pre LGR (1998) Berkshire</v>
          </cell>
          <cell r="E10850" t="str">
            <v>Other Independent School</v>
          </cell>
          <cell r="F10850" t="str">
            <v>Not applicable</v>
          </cell>
        </row>
        <row r="10851">
          <cell r="A10851">
            <v>9162136</v>
          </cell>
          <cell r="B10851">
            <v>115572</v>
          </cell>
          <cell r="C10851" t="str">
            <v>Foxmoor Primary School</v>
          </cell>
          <cell r="D10851" t="str">
            <v>Gloucestershire</v>
          </cell>
          <cell r="E10851" t="str">
            <v>Community School</v>
          </cell>
          <cell r="F10851" t="str">
            <v>Primary</v>
          </cell>
        </row>
        <row r="10852">
          <cell r="A10852">
            <v>3806002</v>
          </cell>
          <cell r="B10852">
            <v>107446</v>
          </cell>
          <cell r="C10852" t="str">
            <v>Fox's School of Commerce</v>
          </cell>
          <cell r="D10852" t="str">
            <v>Bradford</v>
          </cell>
          <cell r="E10852" t="str">
            <v>Other Independent School</v>
          </cell>
          <cell r="F10852" t="str">
            <v>Not applicable</v>
          </cell>
        </row>
        <row r="10853">
          <cell r="A10853">
            <v>8732012</v>
          </cell>
          <cell r="B10853">
            <v>110608</v>
          </cell>
          <cell r="C10853" t="str">
            <v>Foxton Primary School</v>
          </cell>
          <cell r="D10853" t="str">
            <v>Cambridgeshire</v>
          </cell>
          <cell r="E10853" t="str">
            <v>Community School</v>
          </cell>
          <cell r="F10853" t="str">
            <v>Primary</v>
          </cell>
        </row>
        <row r="10854">
          <cell r="A10854">
            <v>8552036</v>
          </cell>
          <cell r="B10854">
            <v>119923</v>
          </cell>
          <cell r="C10854" t="str">
            <v>Foxton Primary School</v>
          </cell>
          <cell r="D10854" t="str">
            <v>Leicestershire</v>
          </cell>
          <cell r="E10854" t="str">
            <v>Community School</v>
          </cell>
          <cell r="F10854" t="str">
            <v>Primary</v>
          </cell>
        </row>
        <row r="10855">
          <cell r="A10855">
            <v>8915950</v>
          </cell>
          <cell r="B10855">
            <v>122906</v>
          </cell>
          <cell r="C10855" t="str">
            <v>Foxwood Foundation School and Technology College</v>
          </cell>
          <cell r="D10855" t="str">
            <v>Nottinghamshire</v>
          </cell>
          <cell r="E10855" t="str">
            <v>Foundation Special School</v>
          </cell>
          <cell r="F10855" t="str">
            <v>Special</v>
          </cell>
        </row>
        <row r="10856">
          <cell r="A10856">
            <v>8721107</v>
          </cell>
          <cell r="B10856">
            <v>134350</v>
          </cell>
          <cell r="C10856" t="str">
            <v>Foxwood Pupil Referral Service</v>
          </cell>
          <cell r="D10856" t="str">
            <v>Wokingham</v>
          </cell>
          <cell r="E10856" t="str">
            <v>Pupil Referral Unit</v>
          </cell>
          <cell r="F10856" t="str">
            <v>PRU</v>
          </cell>
        </row>
        <row r="10857">
          <cell r="A10857">
            <v>8867059</v>
          </cell>
          <cell r="B10857">
            <v>119057</v>
          </cell>
          <cell r="C10857" t="str">
            <v>Foxwood School</v>
          </cell>
          <cell r="D10857" t="str">
            <v>Kent</v>
          </cell>
          <cell r="E10857" t="str">
            <v>Community Special School</v>
          </cell>
          <cell r="F10857" t="str">
            <v>Special</v>
          </cell>
        </row>
        <row r="10858">
          <cell r="A10858">
            <v>3834024</v>
          </cell>
          <cell r="B10858">
            <v>127970</v>
          </cell>
          <cell r="C10858" t="str">
            <v>Foxwood School</v>
          </cell>
          <cell r="D10858" t="str">
            <v>Leeds</v>
          </cell>
          <cell r="E10858" t="str">
            <v>Community School</v>
          </cell>
          <cell r="F10858" t="str">
            <v>Secondary</v>
          </cell>
        </row>
        <row r="10859">
          <cell r="A10859">
            <v>3322068</v>
          </cell>
          <cell r="B10859">
            <v>103788</v>
          </cell>
          <cell r="C10859" t="str">
            <v>Foxyards Primary School</v>
          </cell>
          <cell r="D10859" t="str">
            <v>Dudley</v>
          </cell>
          <cell r="E10859" t="str">
            <v>Community School</v>
          </cell>
          <cell r="F10859" t="str">
            <v>Primary</v>
          </cell>
        </row>
        <row r="10860">
          <cell r="A10860">
            <v>8453323</v>
          </cell>
          <cell r="B10860">
            <v>114550</v>
          </cell>
          <cell r="C10860" t="str">
            <v>Framfield Church of England Primary School</v>
          </cell>
          <cell r="D10860" t="str">
            <v>East Sussex</v>
          </cell>
          <cell r="E10860" t="str">
            <v>Voluntary Aided School</v>
          </cell>
          <cell r="F10860" t="str">
            <v>Primary</v>
          </cell>
        </row>
        <row r="10861">
          <cell r="A10861">
            <v>9264044</v>
          </cell>
          <cell r="B10861">
            <v>121163</v>
          </cell>
          <cell r="C10861" t="str">
            <v>Framingham Earl High School</v>
          </cell>
          <cell r="D10861" t="str">
            <v>Norfolk</v>
          </cell>
          <cell r="E10861" t="str">
            <v>Community School</v>
          </cell>
          <cell r="F10861" t="str">
            <v>Secondary</v>
          </cell>
        </row>
        <row r="10862">
          <cell r="A10862">
            <v>9356046</v>
          </cell>
          <cell r="B10862">
            <v>124884</v>
          </cell>
          <cell r="C10862" t="str">
            <v>Framlingham College</v>
          </cell>
          <cell r="D10862" t="str">
            <v>Suffolk</v>
          </cell>
          <cell r="E10862" t="str">
            <v>Other Independent School</v>
          </cell>
          <cell r="F10862" t="str">
            <v>Not applicable</v>
          </cell>
        </row>
        <row r="10863">
          <cell r="A10863">
            <v>8033045</v>
          </cell>
          <cell r="B10863">
            <v>109160</v>
          </cell>
          <cell r="C10863" t="str">
            <v>Frampton Cotterell Church of England Primary School</v>
          </cell>
          <cell r="D10863" t="str">
            <v>South Gloucestershire</v>
          </cell>
          <cell r="E10863" t="str">
            <v>Voluntary Controlled School</v>
          </cell>
          <cell r="F10863" t="str">
            <v>Primary</v>
          </cell>
        </row>
        <row r="10864">
          <cell r="A10864">
            <v>9163036</v>
          </cell>
          <cell r="B10864">
            <v>115623</v>
          </cell>
          <cell r="C10864" t="str">
            <v>Frampton-On-Severn Church of England Primary School</v>
          </cell>
          <cell r="D10864" t="str">
            <v>Gloucestershire</v>
          </cell>
          <cell r="E10864" t="str">
            <v>Voluntary Controlled School</v>
          </cell>
          <cell r="F10864" t="str">
            <v>Primary</v>
          </cell>
        </row>
        <row r="10865">
          <cell r="A10865">
            <v>9132484</v>
          </cell>
          <cell r="B10865">
            <v>114133</v>
          </cell>
          <cell r="C10865" t="str">
            <v>Framwellgate Moor Infant School</v>
          </cell>
          <cell r="D10865" t="str">
            <v>Pre LGR (1997) Durham</v>
          </cell>
          <cell r="E10865" t="str">
            <v>Community School</v>
          </cell>
          <cell r="F10865" t="str">
            <v>Primary</v>
          </cell>
        </row>
        <row r="10866">
          <cell r="A10866">
            <v>9132483</v>
          </cell>
          <cell r="B10866">
            <v>114132</v>
          </cell>
          <cell r="C10866" t="str">
            <v>Framwellgate Moor Junior School</v>
          </cell>
          <cell r="D10866" t="str">
            <v>Pre LGR (1997) Durham</v>
          </cell>
          <cell r="E10866" t="str">
            <v>Community School</v>
          </cell>
          <cell r="F10866" t="str">
            <v>Primary</v>
          </cell>
        </row>
        <row r="10867">
          <cell r="A10867">
            <v>8402751</v>
          </cell>
          <cell r="B10867">
            <v>130940</v>
          </cell>
          <cell r="C10867" t="str">
            <v>Framwellgate Moor Primary School</v>
          </cell>
          <cell r="D10867" t="str">
            <v>Durham</v>
          </cell>
          <cell r="E10867" t="str">
            <v>Community School</v>
          </cell>
          <cell r="F10867" t="str">
            <v>Primary</v>
          </cell>
        </row>
        <row r="10868">
          <cell r="A10868">
            <v>8404190</v>
          </cell>
          <cell r="B10868">
            <v>114309</v>
          </cell>
          <cell r="C10868" t="str">
            <v>Framwellgate School Durham</v>
          </cell>
          <cell r="D10868" t="str">
            <v>Durham</v>
          </cell>
          <cell r="E10868" t="str">
            <v>Community School</v>
          </cell>
          <cell r="F10868" t="str">
            <v>Secondary</v>
          </cell>
        </row>
        <row r="10869">
          <cell r="A10869">
            <v>8404190</v>
          </cell>
          <cell r="B10869">
            <v>137696</v>
          </cell>
          <cell r="C10869" t="str">
            <v>Framwellgate School Durham</v>
          </cell>
          <cell r="D10869" t="str">
            <v>Durham</v>
          </cell>
          <cell r="E10869" t="str">
            <v>Academy Converters</v>
          </cell>
          <cell r="F10869" t="str">
            <v>Secondary</v>
          </cell>
        </row>
        <row r="10870">
          <cell r="A10870">
            <v>9364156</v>
          </cell>
          <cell r="B10870">
            <v>125256</v>
          </cell>
          <cell r="C10870" t="str">
            <v>France Hill School</v>
          </cell>
          <cell r="D10870" t="str">
            <v>Surrey</v>
          </cell>
          <cell r="E10870" t="str">
            <v>Community School</v>
          </cell>
          <cell r="F10870" t="str">
            <v>Secondary</v>
          </cell>
        </row>
        <row r="10871">
          <cell r="A10871">
            <v>9253361</v>
          </cell>
          <cell r="B10871">
            <v>120625</v>
          </cell>
          <cell r="C10871" t="str">
            <v>Frances Olive Anderson Church of England (Aided) Primary School</v>
          </cell>
          <cell r="D10871" t="str">
            <v>Lincolnshire</v>
          </cell>
          <cell r="E10871" t="str">
            <v>Voluntary Aided School</v>
          </cell>
          <cell r="F10871" t="str">
            <v>Primary</v>
          </cell>
        </row>
        <row r="10872">
          <cell r="A10872">
            <v>8852910</v>
          </cell>
          <cell r="B10872">
            <v>135050</v>
          </cell>
          <cell r="C10872" t="str">
            <v>Franche Primary School</v>
          </cell>
          <cell r="D10872" t="str">
            <v>Worcestershire</v>
          </cell>
          <cell r="E10872" t="str">
            <v>Community School</v>
          </cell>
          <cell r="F10872" t="str">
            <v>Primary</v>
          </cell>
        </row>
        <row r="10873">
          <cell r="A10873">
            <v>9204494</v>
          </cell>
          <cell r="B10873">
            <v>129320</v>
          </cell>
          <cell r="C10873" t="str">
            <v>Francis Askew Junior High School</v>
          </cell>
          <cell r="D10873" t="str">
            <v>Pre LGR (1996) Humberside</v>
          </cell>
          <cell r="E10873" t="str">
            <v>Community School</v>
          </cell>
          <cell r="F10873" t="str">
            <v>Secondary</v>
          </cell>
        </row>
        <row r="10874">
          <cell r="A10874">
            <v>8102207</v>
          </cell>
          <cell r="B10874">
            <v>117794</v>
          </cell>
          <cell r="C10874" t="str">
            <v>Francis Askew Primary School</v>
          </cell>
          <cell r="D10874" t="str">
            <v>Kingston upon Hull City of</v>
          </cell>
          <cell r="E10874" t="str">
            <v>Community School</v>
          </cell>
          <cell r="F10874" t="str">
            <v>Primary</v>
          </cell>
        </row>
        <row r="10875">
          <cell r="A10875">
            <v>9195402</v>
          </cell>
          <cell r="B10875">
            <v>117574</v>
          </cell>
          <cell r="C10875" t="str">
            <v>Francis Bacon School</v>
          </cell>
          <cell r="D10875" t="str">
            <v>Hertfordshire</v>
          </cell>
          <cell r="E10875" t="str">
            <v>Foundation School</v>
          </cell>
          <cell r="F10875" t="str">
            <v>Secondary</v>
          </cell>
        </row>
        <row r="10876">
          <cell r="A10876">
            <v>9194106</v>
          </cell>
          <cell r="B10876">
            <v>129161</v>
          </cell>
          <cell r="C10876" t="str">
            <v>Francis Bacon School</v>
          </cell>
          <cell r="D10876" t="str">
            <v>Hertfordshire</v>
          </cell>
          <cell r="E10876" t="str">
            <v>Community School</v>
          </cell>
          <cell r="F10876" t="str">
            <v>Secondary</v>
          </cell>
        </row>
        <row r="10877">
          <cell r="A10877">
            <v>8692090</v>
          </cell>
          <cell r="B10877">
            <v>109831</v>
          </cell>
          <cell r="C10877" t="str">
            <v>Francis Baily Primary School</v>
          </cell>
          <cell r="D10877" t="str">
            <v>West Berkshire</v>
          </cell>
          <cell r="E10877" t="str">
            <v>Community School</v>
          </cell>
          <cell r="F10877" t="str">
            <v>Primary</v>
          </cell>
        </row>
        <row r="10878">
          <cell r="A10878">
            <v>2121101</v>
          </cell>
          <cell r="B10878">
            <v>100994</v>
          </cell>
          <cell r="C10878" t="str">
            <v>Francis Barber Pupil Referral Unit</v>
          </cell>
          <cell r="D10878" t="str">
            <v>Wandsworth</v>
          </cell>
          <cell r="E10878" t="str">
            <v>Pupil Referral Unit</v>
          </cell>
          <cell r="F10878" t="str">
            <v>PRU</v>
          </cell>
        </row>
        <row r="10879">
          <cell r="A10879">
            <v>9196905</v>
          </cell>
          <cell r="B10879">
            <v>135876</v>
          </cell>
          <cell r="C10879" t="str">
            <v>Francis Combe Academy</v>
          </cell>
          <cell r="D10879" t="str">
            <v>Hertfordshire</v>
          </cell>
          <cell r="E10879" t="str">
            <v>Academy Sponsor Led</v>
          </cell>
          <cell r="F10879" t="str">
            <v>Secondary</v>
          </cell>
        </row>
        <row r="10880">
          <cell r="A10880">
            <v>9194075</v>
          </cell>
          <cell r="B10880">
            <v>117522</v>
          </cell>
          <cell r="C10880" t="str">
            <v>Francis Combe School and Community College</v>
          </cell>
          <cell r="D10880" t="str">
            <v>Hertfordshire</v>
          </cell>
          <cell r="E10880" t="str">
            <v>Community School</v>
          </cell>
          <cell r="F10880" t="str">
            <v>Secondary</v>
          </cell>
        </row>
        <row r="10881">
          <cell r="A10881">
            <v>9326091</v>
          </cell>
          <cell r="B10881">
            <v>129828</v>
          </cell>
          <cell r="C10881" t="str">
            <v>Francis Ellis Centre</v>
          </cell>
          <cell r="D10881" t="str">
            <v>Pre LGR (1998) Shropshire</v>
          </cell>
          <cell r="E10881" t="str">
            <v>Other Independent School</v>
          </cell>
          <cell r="F10881" t="str">
            <v>Not applicable</v>
          </cell>
        </row>
        <row r="10882">
          <cell r="A10882">
            <v>2136037</v>
          </cell>
          <cell r="B10882">
            <v>101158</v>
          </cell>
          <cell r="C10882" t="str">
            <v>Francis Holland School</v>
          </cell>
          <cell r="D10882" t="str">
            <v>Westminster</v>
          </cell>
          <cell r="E10882" t="str">
            <v>Other Independent School</v>
          </cell>
          <cell r="F10882" t="str">
            <v>Not applicable</v>
          </cell>
        </row>
        <row r="10883">
          <cell r="A10883">
            <v>2136046</v>
          </cell>
          <cell r="B10883">
            <v>101161</v>
          </cell>
          <cell r="C10883" t="str">
            <v>Francis Holland School</v>
          </cell>
          <cell r="D10883" t="str">
            <v>Westminster</v>
          </cell>
          <cell r="E10883" t="str">
            <v>Other Independent School</v>
          </cell>
          <cell r="F10883" t="str">
            <v>Not applicable</v>
          </cell>
        </row>
        <row r="10884">
          <cell r="A10884">
            <v>9196145</v>
          </cell>
          <cell r="B10884">
            <v>117639</v>
          </cell>
          <cell r="C10884" t="str">
            <v>Francis House Preparatory School</v>
          </cell>
          <cell r="D10884" t="str">
            <v>Hertfordshire</v>
          </cell>
          <cell r="E10884" t="str">
            <v>Other Independent School</v>
          </cell>
          <cell r="F10884" t="str">
            <v>Not applicable</v>
          </cell>
        </row>
        <row r="10885">
          <cell r="A10885">
            <v>9366165</v>
          </cell>
          <cell r="B10885">
            <v>130115</v>
          </cell>
          <cell r="C10885" t="str">
            <v>Franciscan Convent School</v>
          </cell>
          <cell r="D10885" t="str">
            <v>Surrey</v>
          </cell>
          <cell r="E10885" t="str">
            <v>Other Independent School</v>
          </cell>
          <cell r="F10885" t="str">
            <v>Not applicable</v>
          </cell>
        </row>
        <row r="10886">
          <cell r="A10886">
            <v>2122231</v>
          </cell>
          <cell r="B10886">
            <v>101008</v>
          </cell>
          <cell r="C10886" t="str">
            <v>Franciscan Primary School</v>
          </cell>
          <cell r="D10886" t="str">
            <v>Wandsworth</v>
          </cell>
          <cell r="E10886" t="str">
            <v>Community School</v>
          </cell>
          <cell r="F10886" t="str">
            <v>Primary</v>
          </cell>
        </row>
        <row r="10887">
          <cell r="A10887">
            <v>2027008</v>
          </cell>
          <cell r="B10887">
            <v>100091</v>
          </cell>
          <cell r="C10887" t="str">
            <v>Frank Barnes School for Deaf Children</v>
          </cell>
          <cell r="D10887" t="str">
            <v>Camden</v>
          </cell>
          <cell r="E10887" t="str">
            <v>Community Special School</v>
          </cell>
          <cell r="F10887" t="str">
            <v>Special</v>
          </cell>
        </row>
        <row r="10888">
          <cell r="A10888">
            <v>3354016</v>
          </cell>
          <cell r="B10888">
            <v>104245</v>
          </cell>
          <cell r="C10888" t="str">
            <v>Frank F Harrison Engineering College</v>
          </cell>
          <cell r="D10888" t="str">
            <v>Walsall</v>
          </cell>
          <cell r="E10888" t="str">
            <v>Foundation School</v>
          </cell>
          <cell r="F10888" t="str">
            <v>Secondary</v>
          </cell>
        </row>
        <row r="10889">
          <cell r="A10889">
            <v>9107000</v>
          </cell>
          <cell r="B10889">
            <v>128679</v>
          </cell>
          <cell r="C10889" t="str">
            <v>Frank Merifield School</v>
          </cell>
          <cell r="D10889" t="str">
            <v>Pre LGR (1997) Derbyshire</v>
          </cell>
          <cell r="E10889" t="str">
            <v>Community Special School</v>
          </cell>
          <cell r="F10889" t="str">
            <v>Special</v>
          </cell>
        </row>
        <row r="10890">
          <cell r="A10890">
            <v>9317010</v>
          </cell>
          <cell r="B10890">
            <v>123332</v>
          </cell>
          <cell r="C10890" t="str">
            <v>Frank Wise School</v>
          </cell>
          <cell r="D10890" t="str">
            <v>Oxfordshire</v>
          </cell>
          <cell r="E10890" t="str">
            <v>Community Special School</v>
          </cell>
          <cell r="F10890" t="str">
            <v>Special</v>
          </cell>
        </row>
        <row r="10891">
          <cell r="A10891">
            <v>3047004</v>
          </cell>
          <cell r="B10891">
            <v>126786</v>
          </cell>
          <cell r="C10891" t="str">
            <v>Frank Wyeth School</v>
          </cell>
          <cell r="D10891" t="str">
            <v>Brent</v>
          </cell>
          <cell r="E10891" t="str">
            <v>Community Special School</v>
          </cell>
          <cell r="F10891" t="str">
            <v>Special</v>
          </cell>
        </row>
        <row r="10892">
          <cell r="A10892">
            <v>3304333</v>
          </cell>
          <cell r="B10892">
            <v>103529</v>
          </cell>
          <cell r="C10892" t="str">
            <v>Frankley Community High School</v>
          </cell>
          <cell r="D10892" t="str">
            <v>Birmingham</v>
          </cell>
          <cell r="E10892" t="str">
            <v>Community School</v>
          </cell>
          <cell r="F10892" t="str">
            <v>Secondary</v>
          </cell>
        </row>
        <row r="10893">
          <cell r="A10893">
            <v>8128602</v>
          </cell>
          <cell r="B10893">
            <v>130586</v>
          </cell>
          <cell r="C10893" t="str">
            <v>Franklin College</v>
          </cell>
          <cell r="D10893" t="str">
            <v>North East Lincolnshire</v>
          </cell>
          <cell r="E10893" t="str">
            <v>Further Education</v>
          </cell>
          <cell r="F10893" t="str">
            <v>16 Plus</v>
          </cell>
        </row>
        <row r="10894">
          <cell r="A10894">
            <v>2027104</v>
          </cell>
          <cell r="B10894">
            <v>126575</v>
          </cell>
          <cell r="C10894" t="str">
            <v>Franklin Delano Roosevelt School</v>
          </cell>
          <cell r="D10894" t="str">
            <v>Camden</v>
          </cell>
          <cell r="E10894" t="str">
            <v>Community Special School</v>
          </cell>
          <cell r="F10894" t="str">
            <v>Special</v>
          </cell>
        </row>
        <row r="10895">
          <cell r="A10895">
            <v>9204006</v>
          </cell>
          <cell r="B10895">
            <v>129264</v>
          </cell>
          <cell r="C10895" t="str">
            <v>Franklin Sixth Form College</v>
          </cell>
          <cell r="D10895" t="str">
            <v>Pre LGR (1996) Humberside</v>
          </cell>
          <cell r="E10895" t="str">
            <v>Community School</v>
          </cell>
          <cell r="F10895" t="str">
            <v>Secondary</v>
          </cell>
        </row>
        <row r="10896">
          <cell r="A10896">
            <v>9126151</v>
          </cell>
          <cell r="B10896">
            <v>113953</v>
          </cell>
          <cell r="C10896" t="str">
            <v>Franklyn House School</v>
          </cell>
          <cell r="D10896" t="str">
            <v>Pre LGR (1997) Dorset</v>
          </cell>
          <cell r="E10896" t="str">
            <v>Other Independent School</v>
          </cell>
          <cell r="F10896" t="str">
            <v>Not applicable</v>
          </cell>
        </row>
        <row r="10897">
          <cell r="A10897">
            <v>6662066</v>
          </cell>
          <cell r="B10897">
            <v>400499</v>
          </cell>
          <cell r="C10897" t="str">
            <v>Franksbridge C.P. School</v>
          </cell>
          <cell r="D10897" t="str">
            <v>Powys</v>
          </cell>
          <cell r="E10897" t="str">
            <v>Welsh Establishment</v>
          </cell>
          <cell r="F10897" t="str">
            <v>Primary</v>
          </cell>
        </row>
        <row r="10898">
          <cell r="A10898">
            <v>8453029</v>
          </cell>
          <cell r="B10898">
            <v>114505</v>
          </cell>
          <cell r="C10898" t="str">
            <v>Frant Church of England Primary School</v>
          </cell>
          <cell r="D10898" t="str">
            <v>East Sussex</v>
          </cell>
          <cell r="E10898" t="str">
            <v>Voluntary Controlled School</v>
          </cell>
          <cell r="F10898" t="str">
            <v>Primary</v>
          </cell>
        </row>
        <row r="10899">
          <cell r="A10899">
            <v>2036039</v>
          </cell>
          <cell r="B10899">
            <v>126586</v>
          </cell>
          <cell r="C10899" t="str">
            <v>Frant Court Ch (E)</v>
          </cell>
          <cell r="D10899" t="str">
            <v>Greenwich</v>
          </cell>
          <cell r="E10899" t="str">
            <v>Other Independent School</v>
          </cell>
          <cell r="F10899" t="str">
            <v>Not applicable</v>
          </cell>
        </row>
        <row r="10900">
          <cell r="A10900">
            <v>9226425</v>
          </cell>
          <cell r="B10900">
            <v>119018</v>
          </cell>
          <cell r="C10900" t="str">
            <v>Frant Court School</v>
          </cell>
          <cell r="D10900" t="str">
            <v>Pre LGR (1998) Kent</v>
          </cell>
          <cell r="E10900" t="str">
            <v>Other Independent School</v>
          </cell>
          <cell r="F10900" t="str">
            <v>Not applicable</v>
          </cell>
        </row>
        <row r="10901">
          <cell r="A10901">
            <v>8883553</v>
          </cell>
          <cell r="B10901">
            <v>119548</v>
          </cell>
          <cell r="C10901" t="str">
            <v>Freckleton Church of England Primary School</v>
          </cell>
          <cell r="D10901" t="str">
            <v>Lancashire</v>
          </cell>
          <cell r="E10901" t="str">
            <v>Voluntary Aided School</v>
          </cell>
          <cell r="F10901" t="str">
            <v>Primary</v>
          </cell>
        </row>
        <row r="10902">
          <cell r="A10902">
            <v>8882446</v>
          </cell>
          <cell r="B10902">
            <v>119288</v>
          </cell>
          <cell r="C10902" t="str">
            <v>Freckleton Strike Lane Primary School</v>
          </cell>
          <cell r="D10902" t="str">
            <v>Lancashire</v>
          </cell>
          <cell r="E10902" t="str">
            <v>Community School</v>
          </cell>
          <cell r="F10902" t="str">
            <v>Primary</v>
          </cell>
        </row>
        <row r="10903">
          <cell r="A10903">
            <v>3594025</v>
          </cell>
          <cell r="B10903">
            <v>106527</v>
          </cell>
          <cell r="C10903" t="str">
            <v>Fred Longworth High School</v>
          </cell>
          <cell r="D10903" t="str">
            <v>Wigan</v>
          </cell>
          <cell r="E10903" t="str">
            <v>Community School</v>
          </cell>
          <cell r="F10903" t="str">
            <v>Secondary</v>
          </cell>
        </row>
        <row r="10904">
          <cell r="A10904">
            <v>3594025</v>
          </cell>
          <cell r="B10904">
            <v>137448</v>
          </cell>
          <cell r="C10904" t="str">
            <v>Fred Longworth High School</v>
          </cell>
          <cell r="D10904" t="str">
            <v>Wigan</v>
          </cell>
          <cell r="E10904" t="str">
            <v>Academy Converters</v>
          </cell>
          <cell r="F10904" t="str">
            <v>Secondary</v>
          </cell>
        </row>
        <row r="10905">
          <cell r="A10905">
            <v>9267004</v>
          </cell>
          <cell r="B10905">
            <v>121256</v>
          </cell>
          <cell r="C10905" t="str">
            <v>Fred Nicholson School</v>
          </cell>
          <cell r="D10905" t="str">
            <v>Norfolk</v>
          </cell>
          <cell r="E10905" t="str">
            <v>Community Special School</v>
          </cell>
          <cell r="F10905" t="str">
            <v>Special</v>
          </cell>
        </row>
        <row r="10906">
          <cell r="A10906">
            <v>8706200</v>
          </cell>
          <cell r="B10906">
            <v>135724</v>
          </cell>
          <cell r="C10906" t="str">
            <v>Freddies (Reading) Limited</v>
          </cell>
          <cell r="D10906" t="str">
            <v>Reading</v>
          </cell>
          <cell r="E10906" t="str">
            <v>Other Independent Special School</v>
          </cell>
          <cell r="F10906" t="str">
            <v>Not applicable</v>
          </cell>
        </row>
        <row r="10907">
          <cell r="A10907">
            <v>3312020</v>
          </cell>
          <cell r="B10907">
            <v>127081</v>
          </cell>
          <cell r="C10907" t="str">
            <v>Frederick Bird Infant School</v>
          </cell>
          <cell r="D10907" t="str">
            <v>Coventry</v>
          </cell>
          <cell r="E10907" t="str">
            <v>Community School</v>
          </cell>
          <cell r="F10907" t="str">
            <v>Primary</v>
          </cell>
        </row>
        <row r="10908">
          <cell r="A10908">
            <v>3312019</v>
          </cell>
          <cell r="B10908">
            <v>127080</v>
          </cell>
          <cell r="C10908" t="str">
            <v>Frederick Bird Junior School</v>
          </cell>
          <cell r="D10908" t="str">
            <v>Coventry</v>
          </cell>
          <cell r="E10908" t="str">
            <v>Community School</v>
          </cell>
          <cell r="F10908" t="str">
            <v>Primary</v>
          </cell>
        </row>
        <row r="10909">
          <cell r="A10909">
            <v>3312145</v>
          </cell>
          <cell r="B10909">
            <v>103695</v>
          </cell>
          <cell r="C10909" t="str">
            <v>Frederick Bird Primary School</v>
          </cell>
          <cell r="D10909" t="str">
            <v>Coventry</v>
          </cell>
          <cell r="E10909" t="str">
            <v>Community School</v>
          </cell>
          <cell r="F10909" t="str">
            <v>Primary</v>
          </cell>
        </row>
        <row r="10910">
          <cell r="A10910">
            <v>3204060</v>
          </cell>
          <cell r="B10910">
            <v>103094</v>
          </cell>
          <cell r="C10910" t="str">
            <v>Frederick Bremer School</v>
          </cell>
          <cell r="D10910" t="str">
            <v>Waltham Forest</v>
          </cell>
          <cell r="E10910" t="str">
            <v>Community School</v>
          </cell>
          <cell r="F10910" t="str">
            <v>Secondary</v>
          </cell>
        </row>
        <row r="10911">
          <cell r="A10911">
            <v>8304103</v>
          </cell>
          <cell r="B10911">
            <v>112941</v>
          </cell>
          <cell r="C10911" t="str">
            <v>Frederick Gent School</v>
          </cell>
          <cell r="D10911" t="str">
            <v>Derbyshire</v>
          </cell>
          <cell r="E10911" t="str">
            <v>Community School</v>
          </cell>
          <cell r="F10911" t="str">
            <v>Secondary</v>
          </cell>
        </row>
        <row r="10912">
          <cell r="A10912">
            <v>8134087</v>
          </cell>
          <cell r="B10912">
            <v>118097</v>
          </cell>
          <cell r="C10912" t="str">
            <v>Frederick Gough School - A Specialist Language College</v>
          </cell>
          <cell r="D10912" t="str">
            <v>North Lincolnshire</v>
          </cell>
          <cell r="E10912" t="str">
            <v>Community School</v>
          </cell>
          <cell r="F10912" t="str">
            <v>Secondary</v>
          </cell>
        </row>
        <row r="10913">
          <cell r="A10913">
            <v>8912306</v>
          </cell>
          <cell r="B10913">
            <v>122550</v>
          </cell>
          <cell r="C10913" t="str">
            <v>Frederick Harrison Infant and Nursery School</v>
          </cell>
          <cell r="D10913" t="str">
            <v>Nottinghamshire</v>
          </cell>
          <cell r="E10913" t="str">
            <v>Community School</v>
          </cell>
          <cell r="F10913" t="str">
            <v>Primary</v>
          </cell>
        </row>
        <row r="10914">
          <cell r="A10914">
            <v>8107006</v>
          </cell>
          <cell r="B10914">
            <v>118139</v>
          </cell>
          <cell r="C10914" t="str">
            <v>Frederick Holmes School</v>
          </cell>
          <cell r="D10914" t="str">
            <v>Kingston upon Hull City of</v>
          </cell>
          <cell r="E10914" t="str">
            <v>Community Special School</v>
          </cell>
          <cell r="F10914" t="str">
            <v>Special</v>
          </cell>
        </row>
        <row r="10915">
          <cell r="A10915">
            <v>2076006</v>
          </cell>
          <cell r="B10915">
            <v>136151</v>
          </cell>
          <cell r="C10915" t="str">
            <v>Frederick Hugh House</v>
          </cell>
          <cell r="D10915" t="str">
            <v>Kensington and Chelsea</v>
          </cell>
          <cell r="E10915" t="str">
            <v>Other Independent Special School</v>
          </cell>
          <cell r="F10915" t="str">
            <v>Not applicable</v>
          </cell>
        </row>
        <row r="10916">
          <cell r="A10916">
            <v>8082355</v>
          </cell>
          <cell r="B10916">
            <v>111653</v>
          </cell>
          <cell r="C10916" t="str">
            <v>Frederick Nattrass Primary School</v>
          </cell>
          <cell r="D10916" t="str">
            <v>Stockton-on-Tees</v>
          </cell>
          <cell r="E10916" t="str">
            <v>Community School</v>
          </cell>
          <cell r="F10916" t="str">
            <v>Primary</v>
          </cell>
        </row>
        <row r="10917">
          <cell r="A10917">
            <v>8076905</v>
          </cell>
          <cell r="B10917">
            <v>136139</v>
          </cell>
          <cell r="C10917" t="str">
            <v>Freebrough Academy</v>
          </cell>
          <cell r="D10917" t="str">
            <v>Redcar and Cleveland</v>
          </cell>
          <cell r="E10917" t="str">
            <v>Academy Sponsor Led</v>
          </cell>
          <cell r="F10917" t="str">
            <v>Secondary</v>
          </cell>
        </row>
        <row r="10918">
          <cell r="A10918">
            <v>8074000</v>
          </cell>
          <cell r="B10918">
            <v>132171</v>
          </cell>
          <cell r="C10918" t="str">
            <v>Freebrough Specialist Engineering College</v>
          </cell>
          <cell r="D10918" t="str">
            <v>Redcar and Cleveland</v>
          </cell>
          <cell r="E10918" t="str">
            <v>Community School</v>
          </cell>
          <cell r="F10918" t="str">
            <v>Secondary</v>
          </cell>
        </row>
        <row r="10919">
          <cell r="A10919">
            <v>8502115</v>
          </cell>
          <cell r="B10919">
            <v>115918</v>
          </cell>
          <cell r="C10919" t="str">
            <v>Freegrounds Infant School</v>
          </cell>
          <cell r="D10919" t="str">
            <v>Hampshire</v>
          </cell>
          <cell r="E10919" t="str">
            <v>Community School</v>
          </cell>
          <cell r="F10919" t="str">
            <v>Primary</v>
          </cell>
        </row>
        <row r="10920">
          <cell r="A10920">
            <v>8502267</v>
          </cell>
          <cell r="B10920">
            <v>116000</v>
          </cell>
          <cell r="C10920" t="str">
            <v>Freegrounds Junior School</v>
          </cell>
          <cell r="D10920" t="str">
            <v>Hampshire</v>
          </cell>
          <cell r="E10920" t="str">
            <v>Community School</v>
          </cell>
          <cell r="F10920" t="str">
            <v>Primary</v>
          </cell>
        </row>
        <row r="10921">
          <cell r="A10921">
            <v>3532008</v>
          </cell>
          <cell r="B10921">
            <v>105630</v>
          </cell>
          <cell r="C10921" t="str">
            <v>Freehold Community Junior Infant and Nursery School</v>
          </cell>
          <cell r="D10921" t="str">
            <v>Oldham</v>
          </cell>
          <cell r="E10921" t="str">
            <v>Community School</v>
          </cell>
          <cell r="F10921" t="str">
            <v>Primary</v>
          </cell>
        </row>
        <row r="10922">
          <cell r="A10922">
            <v>9313208</v>
          </cell>
          <cell r="B10922">
            <v>123138</v>
          </cell>
          <cell r="C10922" t="str">
            <v>Freeland Church of England Primary School</v>
          </cell>
          <cell r="D10922" t="str">
            <v>Oxfordshire</v>
          </cell>
          <cell r="E10922" t="str">
            <v>Voluntary Controlled School</v>
          </cell>
          <cell r="F10922" t="str">
            <v>Primary</v>
          </cell>
        </row>
        <row r="10923">
          <cell r="A10923">
            <v>3737904</v>
          </cell>
          <cell r="B10923">
            <v>132002</v>
          </cell>
          <cell r="C10923" t="str">
            <v>Freeman College</v>
          </cell>
          <cell r="D10923" t="str">
            <v>Sheffield</v>
          </cell>
          <cell r="E10923" t="str">
            <v>Special College</v>
          </cell>
          <cell r="F10923" t="str">
            <v>16 Plus</v>
          </cell>
        </row>
        <row r="10924">
          <cell r="A10924">
            <v>9352114</v>
          </cell>
          <cell r="B10924">
            <v>124612</v>
          </cell>
          <cell r="C10924" t="str">
            <v>Freeman Community Primary School</v>
          </cell>
          <cell r="D10924" t="str">
            <v>Suffolk</v>
          </cell>
          <cell r="E10924" t="str">
            <v>Community School</v>
          </cell>
          <cell r="F10924" t="str">
            <v>Primary</v>
          </cell>
        </row>
        <row r="10925">
          <cell r="A10925">
            <v>3917001</v>
          </cell>
          <cell r="B10925">
            <v>128138</v>
          </cell>
          <cell r="C10925" t="str">
            <v>Freeman Hospital School</v>
          </cell>
          <cell r="D10925" t="str">
            <v>Newcastle upon Tyne</v>
          </cell>
          <cell r="E10925" t="str">
            <v>Community Special School</v>
          </cell>
          <cell r="F10925" t="str">
            <v>Special</v>
          </cell>
        </row>
        <row r="10926">
          <cell r="A10926">
            <v>9283073</v>
          </cell>
          <cell r="B10926">
            <v>121999</v>
          </cell>
          <cell r="C10926" t="str">
            <v>Freemans Endowed Church of England Junior School</v>
          </cell>
          <cell r="D10926" t="str">
            <v>Northamptonshire</v>
          </cell>
          <cell r="E10926" t="str">
            <v>Voluntary Controlled School</v>
          </cell>
          <cell r="F10926" t="str">
            <v>Primary</v>
          </cell>
        </row>
        <row r="10927">
          <cell r="A10927">
            <v>8523202</v>
          </cell>
          <cell r="B10927">
            <v>136641</v>
          </cell>
          <cell r="C10927" t="str">
            <v>Freemantle Church of England Community Academy</v>
          </cell>
          <cell r="D10927" t="str">
            <v>Southampton</v>
          </cell>
          <cell r="E10927" t="str">
            <v>Academy Converters</v>
          </cell>
          <cell r="F10927" t="str">
            <v>Primary</v>
          </cell>
        </row>
        <row r="10928">
          <cell r="A10928">
            <v>8523202</v>
          </cell>
          <cell r="B10928">
            <v>116341</v>
          </cell>
          <cell r="C10928" t="str">
            <v>Freemantle Church of England Infant School</v>
          </cell>
          <cell r="D10928" t="str">
            <v>Southampton</v>
          </cell>
          <cell r="E10928" t="str">
            <v>Voluntary Controlled School</v>
          </cell>
          <cell r="F10928" t="str">
            <v>Primary</v>
          </cell>
        </row>
        <row r="10929">
          <cell r="A10929">
            <v>9367051</v>
          </cell>
          <cell r="B10929">
            <v>125472</v>
          </cell>
          <cell r="C10929" t="str">
            <v>Freemantles School</v>
          </cell>
          <cell r="D10929" t="str">
            <v>Surrey</v>
          </cell>
          <cell r="E10929" t="str">
            <v>Community Special School</v>
          </cell>
          <cell r="F10929" t="str">
            <v>Special</v>
          </cell>
        </row>
        <row r="10930">
          <cell r="A10930">
            <v>9367062</v>
          </cell>
          <cell r="B10930">
            <v>125477</v>
          </cell>
          <cell r="C10930" t="str">
            <v>Freemantles School</v>
          </cell>
          <cell r="D10930" t="str">
            <v>Surrey</v>
          </cell>
          <cell r="E10930" t="str">
            <v>Community Special School</v>
          </cell>
          <cell r="F10930" t="str">
            <v>Special</v>
          </cell>
        </row>
        <row r="10931">
          <cell r="A10931">
            <v>9262064</v>
          </cell>
          <cell r="B10931">
            <v>120808</v>
          </cell>
          <cell r="C10931" t="str">
            <v>Freethorpe Community Primary School</v>
          </cell>
          <cell r="D10931" t="str">
            <v>Norfolk</v>
          </cell>
          <cell r="E10931" t="str">
            <v>Community School</v>
          </cell>
          <cell r="F10931" t="str">
            <v>Primary</v>
          </cell>
        </row>
        <row r="10932">
          <cell r="A10932">
            <v>3083309</v>
          </cell>
          <cell r="B10932">
            <v>102031</v>
          </cell>
          <cell r="C10932" t="str">
            <v>Freezywater St George's CofE Primary School</v>
          </cell>
          <cell r="D10932" t="str">
            <v>Enfield</v>
          </cell>
          <cell r="E10932" t="str">
            <v>Voluntary Aided School</v>
          </cell>
          <cell r="F10932" t="str">
            <v>Primary</v>
          </cell>
        </row>
        <row r="10933">
          <cell r="A10933">
            <v>9194141</v>
          </cell>
          <cell r="B10933">
            <v>117540</v>
          </cell>
          <cell r="C10933" t="str">
            <v>Freman College</v>
          </cell>
          <cell r="D10933" t="str">
            <v>Hertfordshire</v>
          </cell>
          <cell r="E10933" t="str">
            <v>Foundation School</v>
          </cell>
          <cell r="F10933" t="str">
            <v>Secondary</v>
          </cell>
        </row>
        <row r="10934">
          <cell r="A10934">
            <v>9194141</v>
          </cell>
          <cell r="B10934">
            <v>137002</v>
          </cell>
          <cell r="C10934" t="str">
            <v>Freman College</v>
          </cell>
          <cell r="D10934" t="str">
            <v>Hertfordshire</v>
          </cell>
          <cell r="E10934" t="str">
            <v>Academy Converters</v>
          </cell>
          <cell r="F10934" t="str">
            <v>Secondary</v>
          </cell>
        </row>
        <row r="10935">
          <cell r="A10935">
            <v>8782226</v>
          </cell>
          <cell r="B10935">
            <v>113149</v>
          </cell>
          <cell r="C10935" t="str">
            <v>Fremington Community Primary and Nursery School</v>
          </cell>
          <cell r="D10935" t="str">
            <v>Devon</v>
          </cell>
          <cell r="E10935" t="str">
            <v>Community School</v>
          </cell>
          <cell r="F10935" t="str">
            <v>Primary</v>
          </cell>
        </row>
        <row r="10936">
          <cell r="A10936">
            <v>8033067</v>
          </cell>
          <cell r="B10936">
            <v>109178</v>
          </cell>
          <cell r="C10936" t="str">
            <v>Frenchay Church of England Primary School</v>
          </cell>
          <cell r="D10936" t="str">
            <v>South Gloucestershire</v>
          </cell>
          <cell r="E10936" t="str">
            <v>Voluntary Controlled School</v>
          </cell>
          <cell r="F10936" t="str">
            <v>Primary</v>
          </cell>
        </row>
        <row r="10937">
          <cell r="A10937">
            <v>9017027</v>
          </cell>
          <cell r="B10937">
            <v>128248</v>
          </cell>
          <cell r="C10937" t="str">
            <v>Frenchay Park Hospital School</v>
          </cell>
          <cell r="D10937" t="str">
            <v>Pre LGR (1996) Avon</v>
          </cell>
          <cell r="E10937" t="str">
            <v>Community Special School</v>
          </cell>
          <cell r="F10937" t="str">
            <v>Special</v>
          </cell>
        </row>
        <row r="10938">
          <cell r="A10938">
            <v>8882190</v>
          </cell>
          <cell r="B10938">
            <v>119231</v>
          </cell>
          <cell r="C10938" t="str">
            <v>Frenchwood Community Primary School</v>
          </cell>
          <cell r="D10938" t="str">
            <v>Lancashire</v>
          </cell>
          <cell r="E10938" t="str">
            <v>Community School</v>
          </cell>
          <cell r="F10938" t="str">
            <v>Primary</v>
          </cell>
        </row>
        <row r="10939">
          <cell r="A10939">
            <v>9366038</v>
          </cell>
          <cell r="B10939">
            <v>125338</v>
          </cell>
          <cell r="C10939" t="str">
            <v>Frensham Heights School</v>
          </cell>
          <cell r="D10939" t="str">
            <v>Surrey</v>
          </cell>
          <cell r="E10939" t="str">
            <v>Other Independent School</v>
          </cell>
          <cell r="F10939" t="str">
            <v>Not applicable</v>
          </cell>
        </row>
        <row r="10940">
          <cell r="A10940">
            <v>9382040</v>
          </cell>
          <cell r="B10940">
            <v>125840</v>
          </cell>
          <cell r="C10940" t="str">
            <v>Freshbrook First School, Lancing</v>
          </cell>
          <cell r="D10940" t="str">
            <v>West Sussex</v>
          </cell>
          <cell r="E10940" t="str">
            <v>Community School</v>
          </cell>
          <cell r="F10940" t="str">
            <v>Primary</v>
          </cell>
        </row>
        <row r="10941">
          <cell r="A10941">
            <v>8662205</v>
          </cell>
          <cell r="B10941">
            <v>126276</v>
          </cell>
          <cell r="C10941" t="str">
            <v>Freshbrook Primary School</v>
          </cell>
          <cell r="D10941" t="str">
            <v>Swindon</v>
          </cell>
          <cell r="E10941" t="str">
            <v>Community School</v>
          </cell>
          <cell r="F10941" t="str">
            <v>Primary</v>
          </cell>
        </row>
        <row r="10942">
          <cell r="A10942">
            <v>3561008</v>
          </cell>
          <cell r="B10942">
            <v>106021</v>
          </cell>
          <cell r="C10942" t="str">
            <v>Freshfield Nursery School</v>
          </cell>
          <cell r="D10942" t="str">
            <v>Stockport</v>
          </cell>
          <cell r="E10942" t="str">
            <v>LA Nursery School</v>
          </cell>
          <cell r="F10942" t="str">
            <v>Nursery</v>
          </cell>
        </row>
        <row r="10943">
          <cell r="A10943">
            <v>3432078</v>
          </cell>
          <cell r="B10943">
            <v>104883</v>
          </cell>
          <cell r="C10943" t="str">
            <v>Freshfield Primary School</v>
          </cell>
          <cell r="D10943" t="str">
            <v>Sefton</v>
          </cell>
          <cell r="E10943" t="str">
            <v>Community School</v>
          </cell>
          <cell r="F10943" t="str">
            <v>Primary</v>
          </cell>
        </row>
        <row r="10944">
          <cell r="A10944">
            <v>8003092</v>
          </cell>
          <cell r="B10944">
            <v>109195</v>
          </cell>
          <cell r="C10944" t="str">
            <v>Freshford Church of England Primary School</v>
          </cell>
          <cell r="D10944" t="str">
            <v>Bath and North East Somerset</v>
          </cell>
          <cell r="E10944" t="str">
            <v>Voluntary Controlled School</v>
          </cell>
          <cell r="F10944" t="str">
            <v>Primary</v>
          </cell>
        </row>
        <row r="10945">
          <cell r="A10945">
            <v>8122893</v>
          </cell>
          <cell r="B10945">
            <v>117920</v>
          </cell>
          <cell r="C10945" t="str">
            <v>Freshney Park Infant School</v>
          </cell>
          <cell r="D10945" t="str">
            <v>North East Lincolnshire</v>
          </cell>
          <cell r="E10945" t="str">
            <v>Community School</v>
          </cell>
          <cell r="F10945" t="str">
            <v>Primary</v>
          </cell>
        </row>
        <row r="10946">
          <cell r="A10946">
            <v>3086305</v>
          </cell>
          <cell r="B10946">
            <v>135839</v>
          </cell>
          <cell r="C10946" t="str">
            <v>Freshsteps</v>
          </cell>
          <cell r="D10946" t="str">
            <v>Enfield</v>
          </cell>
          <cell r="E10946" t="str">
            <v>Other Independent School</v>
          </cell>
          <cell r="F10946" t="str">
            <v>Not applicable</v>
          </cell>
        </row>
        <row r="10947">
          <cell r="A10947">
            <v>9353089</v>
          </cell>
          <cell r="B10947">
            <v>124731</v>
          </cell>
          <cell r="C10947" t="str">
            <v>Fressingfield Church of England Voluntary Controlled Primary School</v>
          </cell>
          <cell r="D10947" t="str">
            <v>Suffolk</v>
          </cell>
          <cell r="E10947" t="str">
            <v>Voluntary Controlled School</v>
          </cell>
          <cell r="F10947" t="str">
            <v>Primary</v>
          </cell>
        </row>
        <row r="10948">
          <cell r="A10948">
            <v>9262065</v>
          </cell>
          <cell r="B10948">
            <v>120809</v>
          </cell>
          <cell r="C10948" t="str">
            <v>Frettenham Primary Partnership School</v>
          </cell>
          <cell r="D10948" t="str">
            <v>Norfolk</v>
          </cell>
          <cell r="E10948" t="str">
            <v>Community School</v>
          </cell>
          <cell r="F10948" t="str">
            <v>Primary</v>
          </cell>
        </row>
        <row r="10949">
          <cell r="A10949">
            <v>8456002</v>
          </cell>
          <cell r="B10949">
            <v>114635</v>
          </cell>
          <cell r="C10949" t="str">
            <v>Frewen College</v>
          </cell>
          <cell r="D10949" t="str">
            <v>East Sussex</v>
          </cell>
          <cell r="E10949" t="str">
            <v>Other Independent Special School</v>
          </cell>
          <cell r="F10949" t="str">
            <v>Not applicable</v>
          </cell>
        </row>
        <row r="10950">
          <cell r="A10950">
            <v>8916022</v>
          </cell>
          <cell r="B10950">
            <v>134649</v>
          </cell>
          <cell r="C10950" t="str">
            <v>Freyburg School (Keys Group Ltd)</v>
          </cell>
          <cell r="D10950" t="str">
            <v>Nottinghamshire</v>
          </cell>
          <cell r="E10950" t="str">
            <v>Other Independent Special School</v>
          </cell>
          <cell r="F10950" t="str">
            <v>Not applicable</v>
          </cell>
        </row>
        <row r="10951">
          <cell r="A10951">
            <v>8316003</v>
          </cell>
          <cell r="B10951">
            <v>113020</v>
          </cell>
          <cell r="C10951" t="str">
            <v>Friar Gate House School</v>
          </cell>
          <cell r="D10951" t="str">
            <v>Derby</v>
          </cell>
          <cell r="E10951" t="str">
            <v>Other Independent School</v>
          </cell>
          <cell r="F10951" t="str">
            <v>Not applicable</v>
          </cell>
        </row>
        <row r="10952">
          <cell r="A10952">
            <v>8152114</v>
          </cell>
          <cell r="B10952">
            <v>121317</v>
          </cell>
          <cell r="C10952" t="str">
            <v>Friarage Community Primary School</v>
          </cell>
          <cell r="D10952" t="str">
            <v>North Yorkshire</v>
          </cell>
          <cell r="E10952" t="str">
            <v>Community School</v>
          </cell>
          <cell r="F10952" t="str">
            <v>Primary</v>
          </cell>
        </row>
        <row r="10953">
          <cell r="A10953">
            <v>9277001</v>
          </cell>
          <cell r="B10953">
            <v>129682</v>
          </cell>
          <cell r="C10953" t="str">
            <v>Friarage Hospital School</v>
          </cell>
          <cell r="D10953" t="str">
            <v>Pre LGR (1996) North Yorkshire</v>
          </cell>
          <cell r="E10953" t="str">
            <v>Community Special School</v>
          </cell>
          <cell r="F10953" t="str">
            <v>Special</v>
          </cell>
        </row>
        <row r="10954">
          <cell r="A10954">
            <v>8812065</v>
          </cell>
          <cell r="B10954">
            <v>114753</v>
          </cell>
          <cell r="C10954" t="str">
            <v>Friars Grove Junior School</v>
          </cell>
          <cell r="D10954" t="str">
            <v>Essex</v>
          </cell>
          <cell r="E10954" t="str">
            <v>Community School</v>
          </cell>
          <cell r="F10954" t="str">
            <v>Primary</v>
          </cell>
        </row>
        <row r="10955">
          <cell r="A10955">
            <v>8812075</v>
          </cell>
          <cell r="B10955">
            <v>114761</v>
          </cell>
          <cell r="C10955" t="str">
            <v>Friars Grove Primary School</v>
          </cell>
          <cell r="D10955" t="str">
            <v>Essex</v>
          </cell>
          <cell r="E10955" t="str">
            <v>Community School</v>
          </cell>
          <cell r="F10955" t="str">
            <v>Primary</v>
          </cell>
        </row>
        <row r="10956">
          <cell r="A10956">
            <v>8822327</v>
          </cell>
          <cell r="B10956">
            <v>114826</v>
          </cell>
          <cell r="C10956" t="str">
            <v>Friars Infant School and Nursery</v>
          </cell>
          <cell r="D10956" t="str">
            <v>Southend-on-Sea</v>
          </cell>
          <cell r="E10956" t="str">
            <v>Community School</v>
          </cell>
          <cell r="F10956" t="str">
            <v>Primary</v>
          </cell>
        </row>
        <row r="10957">
          <cell r="A10957">
            <v>8822125</v>
          </cell>
          <cell r="B10957">
            <v>114788</v>
          </cell>
          <cell r="C10957" t="str">
            <v>Friars Junior School</v>
          </cell>
          <cell r="D10957" t="str">
            <v>Southend-on-Sea</v>
          </cell>
          <cell r="E10957" t="str">
            <v>Community School</v>
          </cell>
          <cell r="F10957" t="str">
            <v>Primary</v>
          </cell>
        </row>
        <row r="10958">
          <cell r="A10958">
            <v>2105205</v>
          </cell>
          <cell r="B10958">
            <v>100855</v>
          </cell>
          <cell r="C10958" t="str">
            <v>Friars Primary Foundation School</v>
          </cell>
          <cell r="D10958" t="str">
            <v>Southwark</v>
          </cell>
          <cell r="E10958" t="str">
            <v>Foundation School</v>
          </cell>
          <cell r="F10958" t="str">
            <v>Primary</v>
          </cell>
        </row>
        <row r="10959">
          <cell r="A10959">
            <v>8823824</v>
          </cell>
          <cell r="B10959">
            <v>134704</v>
          </cell>
          <cell r="C10959" t="str">
            <v>Friars Primary School and Nursery</v>
          </cell>
          <cell r="D10959" t="str">
            <v>Southend-on-Sea</v>
          </cell>
          <cell r="E10959" t="str">
            <v>Community School</v>
          </cell>
          <cell r="F10959" t="str">
            <v>Primary</v>
          </cell>
        </row>
        <row r="10960">
          <cell r="A10960">
            <v>9287029</v>
          </cell>
          <cell r="B10960">
            <v>130957</v>
          </cell>
          <cell r="C10960" t="str">
            <v>Friars School</v>
          </cell>
          <cell r="D10960" t="str">
            <v>Northamptonshire</v>
          </cell>
          <cell r="E10960" t="str">
            <v>Community Special School</v>
          </cell>
          <cell r="F10960" t="str">
            <v>Special</v>
          </cell>
        </row>
        <row r="10961">
          <cell r="A10961">
            <v>9287032</v>
          </cell>
          <cell r="B10961">
            <v>131080</v>
          </cell>
          <cell r="C10961" t="str">
            <v>Friars School</v>
          </cell>
          <cell r="D10961" t="str">
            <v>Northamptonshire</v>
          </cell>
          <cell r="E10961" t="str">
            <v>Community Special School</v>
          </cell>
          <cell r="F10961" t="str">
            <v>Special</v>
          </cell>
        </row>
        <row r="10962">
          <cell r="A10962">
            <v>8606016</v>
          </cell>
          <cell r="B10962">
            <v>124493</v>
          </cell>
          <cell r="C10962" t="str">
            <v>Friars Walk School</v>
          </cell>
          <cell r="D10962" t="str">
            <v>Staffordshire</v>
          </cell>
          <cell r="E10962" t="str">
            <v>Other Independent School</v>
          </cell>
          <cell r="F10962" t="str">
            <v>Not applicable</v>
          </cell>
        </row>
        <row r="10963">
          <cell r="A10963">
            <v>8602250</v>
          </cell>
          <cell r="B10963">
            <v>124109</v>
          </cell>
          <cell r="C10963" t="str">
            <v>Friarswood Primary School</v>
          </cell>
          <cell r="D10963" t="str">
            <v>Staffordshire</v>
          </cell>
          <cell r="E10963" t="str">
            <v>Community School</v>
          </cell>
          <cell r="F10963" t="str">
            <v>Primary</v>
          </cell>
        </row>
        <row r="10964">
          <cell r="A10964">
            <v>3413508</v>
          </cell>
          <cell r="B10964">
            <v>104630</v>
          </cell>
          <cell r="C10964" t="str">
            <v>Friary Catholic Primary School</v>
          </cell>
          <cell r="D10964" t="str">
            <v>Liverpool</v>
          </cell>
          <cell r="E10964" t="str">
            <v>Voluntary Aided School</v>
          </cell>
          <cell r="F10964" t="str">
            <v>Primary</v>
          </cell>
        </row>
        <row r="10965">
          <cell r="A10965">
            <v>3413509</v>
          </cell>
          <cell r="B10965">
            <v>127295</v>
          </cell>
          <cell r="C10965" t="str">
            <v>Friary Infant School</v>
          </cell>
          <cell r="D10965" t="str">
            <v>Liverpool</v>
          </cell>
          <cell r="E10965" t="str">
            <v>Voluntary Aided School</v>
          </cell>
          <cell r="F10965" t="str">
            <v>Primary</v>
          </cell>
        </row>
        <row r="10966">
          <cell r="A10966">
            <v>8732068</v>
          </cell>
          <cell r="B10966">
            <v>110633</v>
          </cell>
          <cell r="C10966" t="str">
            <v>Friday Bridge Community Primary School</v>
          </cell>
          <cell r="D10966" t="str">
            <v>Cambridgeshire</v>
          </cell>
          <cell r="E10966" t="str">
            <v>Community School</v>
          </cell>
          <cell r="F10966" t="str">
            <v>Primary</v>
          </cell>
        </row>
        <row r="10967">
          <cell r="A10967">
            <v>9314606</v>
          </cell>
          <cell r="B10967">
            <v>123272</v>
          </cell>
          <cell r="C10967" t="str">
            <v>Frideswide Church of England (Aided) Middle School</v>
          </cell>
          <cell r="D10967" t="str">
            <v>Oxfordshire</v>
          </cell>
          <cell r="E10967" t="str">
            <v>Voluntary Aided School</v>
          </cell>
          <cell r="F10967" t="str">
            <v>Middle Deemed Secondary</v>
          </cell>
        </row>
        <row r="10968">
          <cell r="A10968">
            <v>8816012</v>
          </cell>
          <cell r="B10968">
            <v>115398</v>
          </cell>
          <cell r="C10968" t="str">
            <v>Friends School</v>
          </cell>
          <cell r="D10968" t="str">
            <v>Essex</v>
          </cell>
          <cell r="E10968" t="str">
            <v>Other Independent School</v>
          </cell>
          <cell r="F10968" t="str">
            <v>Not applicable</v>
          </cell>
        </row>
        <row r="10969">
          <cell r="A10969">
            <v>3026062</v>
          </cell>
          <cell r="B10969">
            <v>126732</v>
          </cell>
          <cell r="C10969" t="str">
            <v>Friern Barnet Grammar School</v>
          </cell>
          <cell r="D10969" t="str">
            <v>Barnet</v>
          </cell>
          <cell r="E10969" t="str">
            <v>Other Independent School</v>
          </cell>
          <cell r="F10969" t="str">
            <v>Not applicable</v>
          </cell>
        </row>
        <row r="10970">
          <cell r="A10970">
            <v>3024003</v>
          </cell>
          <cell r="B10970">
            <v>101345</v>
          </cell>
          <cell r="C10970" t="str">
            <v>Friern Barnet School</v>
          </cell>
          <cell r="D10970" t="str">
            <v>Barnet</v>
          </cell>
          <cell r="E10970" t="str">
            <v>Community School</v>
          </cell>
          <cell r="F10970" t="str">
            <v>Secondary</v>
          </cell>
        </row>
        <row r="10971">
          <cell r="A10971">
            <v>8305409</v>
          </cell>
          <cell r="B10971">
            <v>112994</v>
          </cell>
          <cell r="C10971" t="str">
            <v>Friesland School</v>
          </cell>
          <cell r="D10971" t="str">
            <v>Derbyshire</v>
          </cell>
          <cell r="E10971" t="str">
            <v>Foundation School</v>
          </cell>
          <cell r="F10971" t="str">
            <v>Secondary</v>
          </cell>
        </row>
        <row r="10972">
          <cell r="A10972">
            <v>8253330</v>
          </cell>
          <cell r="B10972">
            <v>110461</v>
          </cell>
          <cell r="C10972" t="str">
            <v>Frieth Church of England Combined School</v>
          </cell>
          <cell r="D10972" t="str">
            <v>Buckinghamshire</v>
          </cell>
          <cell r="E10972" t="str">
            <v>Voluntary Aided School</v>
          </cell>
          <cell r="F10972" t="str">
            <v>Primary</v>
          </cell>
        </row>
        <row r="10973">
          <cell r="A10973">
            <v>3532076</v>
          </cell>
          <cell r="B10973">
            <v>105666</v>
          </cell>
          <cell r="C10973" t="str">
            <v>Friezland Primary School</v>
          </cell>
          <cell r="D10973" t="str">
            <v>Oldham</v>
          </cell>
          <cell r="E10973" t="str">
            <v>Community School</v>
          </cell>
          <cell r="F10973" t="str">
            <v>Primary</v>
          </cell>
        </row>
        <row r="10974">
          <cell r="A10974">
            <v>9363049</v>
          </cell>
          <cell r="B10974">
            <v>125152</v>
          </cell>
          <cell r="C10974" t="str">
            <v>Frimley CofE Junior School</v>
          </cell>
          <cell r="D10974" t="str">
            <v>Surrey</v>
          </cell>
          <cell r="E10974" t="str">
            <v>Voluntary Controlled School</v>
          </cell>
          <cell r="F10974" t="str">
            <v>Primary</v>
          </cell>
        </row>
        <row r="10975">
          <cell r="A10975">
            <v>9313083</v>
          </cell>
          <cell r="B10975">
            <v>123102</v>
          </cell>
          <cell r="C10975" t="str">
            <v>Fringford Church of England Primary School</v>
          </cell>
          <cell r="D10975" t="str">
            <v>Oxfordshire</v>
          </cell>
          <cell r="E10975" t="str">
            <v>Voluntary Controlled School</v>
          </cell>
          <cell r="F10975" t="str">
            <v>Primary</v>
          </cell>
        </row>
        <row r="10976">
          <cell r="A10976">
            <v>8812028</v>
          </cell>
          <cell r="B10976">
            <v>114723</v>
          </cell>
          <cell r="C10976" t="str">
            <v>Frinton-on-Sea Primary School</v>
          </cell>
          <cell r="D10976" t="str">
            <v>Essex</v>
          </cell>
          <cell r="E10976" t="str">
            <v>Community School</v>
          </cell>
          <cell r="F10976" t="str">
            <v>Primary</v>
          </cell>
        </row>
        <row r="10977">
          <cell r="A10977">
            <v>8553035</v>
          </cell>
          <cell r="B10977">
            <v>120130</v>
          </cell>
          <cell r="C10977" t="str">
            <v>Frisby Church of England Primary School</v>
          </cell>
          <cell r="D10977" t="str">
            <v>Leicestershire</v>
          </cell>
          <cell r="E10977" t="str">
            <v>Voluntary Controlled School</v>
          </cell>
          <cell r="F10977" t="str">
            <v>Primary</v>
          </cell>
        </row>
        <row r="10978">
          <cell r="A10978">
            <v>9253353</v>
          </cell>
          <cell r="B10978">
            <v>120620</v>
          </cell>
          <cell r="C10978" t="str">
            <v>Friskney All Saints Church of England (Aided) Primary School</v>
          </cell>
          <cell r="D10978" t="str">
            <v>Lincolnshire</v>
          </cell>
          <cell r="E10978" t="str">
            <v>Voluntary Aided School</v>
          </cell>
          <cell r="F10978" t="str">
            <v>Primary</v>
          </cell>
        </row>
        <row r="10979">
          <cell r="A10979">
            <v>9256047</v>
          </cell>
          <cell r="B10979">
            <v>134035</v>
          </cell>
          <cell r="C10979" t="str">
            <v>Friskney Private School</v>
          </cell>
          <cell r="D10979" t="str">
            <v>Lincolnshire</v>
          </cell>
          <cell r="E10979" t="str">
            <v>Other Independent School</v>
          </cell>
          <cell r="F10979" t="str">
            <v>Not applicable</v>
          </cell>
        </row>
        <row r="10980">
          <cell r="A10980">
            <v>8303312</v>
          </cell>
          <cell r="B10980">
            <v>112880</v>
          </cell>
          <cell r="C10980" t="str">
            <v>Fritchley CofE (Aided) Primary School</v>
          </cell>
          <cell r="D10980" t="str">
            <v>Derbyshire</v>
          </cell>
          <cell r="E10980" t="str">
            <v>Voluntary Aided School</v>
          </cell>
          <cell r="F10980" t="str">
            <v>Primary</v>
          </cell>
        </row>
        <row r="10981">
          <cell r="A10981">
            <v>3022026</v>
          </cell>
          <cell r="B10981">
            <v>101280</v>
          </cell>
          <cell r="C10981" t="str">
            <v>Frith Manor Primary School</v>
          </cell>
          <cell r="D10981" t="str">
            <v>Barnet</v>
          </cell>
          <cell r="E10981" t="str">
            <v>Community School</v>
          </cell>
          <cell r="F10981" t="str">
            <v>Primary</v>
          </cell>
        </row>
        <row r="10982">
          <cell r="A10982">
            <v>9252152</v>
          </cell>
          <cell r="B10982">
            <v>120446</v>
          </cell>
          <cell r="C10982" t="str">
            <v>Frithville Primary School</v>
          </cell>
          <cell r="D10982" t="str">
            <v>Lincolnshire</v>
          </cell>
          <cell r="E10982" t="str">
            <v>Community School</v>
          </cell>
          <cell r="F10982" t="str">
            <v>Primary</v>
          </cell>
        </row>
        <row r="10983">
          <cell r="A10983">
            <v>3122076</v>
          </cell>
          <cell r="B10983">
            <v>102414</v>
          </cell>
          <cell r="C10983" t="str">
            <v>Frithwood Primary School</v>
          </cell>
          <cell r="D10983" t="str">
            <v>Hillingdon</v>
          </cell>
          <cell r="E10983" t="str">
            <v>Community School</v>
          </cell>
          <cell r="F10983" t="str">
            <v>Primary</v>
          </cell>
        </row>
        <row r="10984">
          <cell r="A10984">
            <v>8863198</v>
          </cell>
          <cell r="B10984">
            <v>118701</v>
          </cell>
          <cell r="C10984" t="str">
            <v>Frittenden Church of England Primary School</v>
          </cell>
          <cell r="D10984" t="str">
            <v>Kent</v>
          </cell>
          <cell r="E10984" t="str">
            <v>Voluntary Controlled School</v>
          </cell>
          <cell r="F10984" t="str">
            <v>Primary</v>
          </cell>
        </row>
        <row r="10985">
          <cell r="A10985">
            <v>9313065</v>
          </cell>
          <cell r="B10985">
            <v>123099</v>
          </cell>
          <cell r="C10985" t="str">
            <v>Fritwell Church of England Primary School</v>
          </cell>
          <cell r="D10985" t="str">
            <v>Oxfordshire</v>
          </cell>
          <cell r="E10985" t="str">
            <v>Voluntary Controlled School</v>
          </cell>
          <cell r="F10985" t="str">
            <v>Primary</v>
          </cell>
        </row>
        <row r="10986">
          <cell r="A10986">
            <v>3804037</v>
          </cell>
          <cell r="B10986">
            <v>107367</v>
          </cell>
          <cell r="C10986" t="str">
            <v>Frizinghall Middle School</v>
          </cell>
          <cell r="D10986" t="str">
            <v>Bradford</v>
          </cell>
          <cell r="E10986" t="str">
            <v>Community School</v>
          </cell>
          <cell r="F10986" t="str">
            <v>Middle Deemed Secondary</v>
          </cell>
        </row>
        <row r="10987">
          <cell r="A10987">
            <v>3802027</v>
          </cell>
          <cell r="B10987">
            <v>107204</v>
          </cell>
          <cell r="C10987" t="str">
            <v>Frizinghall Primary School</v>
          </cell>
          <cell r="D10987" t="str">
            <v>Bradford</v>
          </cell>
          <cell r="E10987" t="str">
            <v>Community School</v>
          </cell>
          <cell r="F10987" t="str">
            <v>Primary</v>
          </cell>
        </row>
        <row r="10988">
          <cell r="A10988">
            <v>9092211</v>
          </cell>
          <cell r="B10988">
            <v>112156</v>
          </cell>
          <cell r="C10988" t="str">
            <v>Frizington Community Primary School</v>
          </cell>
          <cell r="D10988" t="str">
            <v>Cumbria</v>
          </cell>
          <cell r="E10988" t="str">
            <v>Community School</v>
          </cell>
          <cell r="F10988" t="str">
            <v>Primary</v>
          </cell>
        </row>
        <row r="10989">
          <cell r="A10989">
            <v>9091003</v>
          </cell>
          <cell r="B10989">
            <v>112090</v>
          </cell>
          <cell r="C10989" t="str">
            <v>Frizington Nursery School</v>
          </cell>
          <cell r="D10989" t="str">
            <v>Cumbria</v>
          </cell>
          <cell r="E10989" t="str">
            <v>LA Nursery School</v>
          </cell>
          <cell r="F10989" t="str">
            <v>Nursery</v>
          </cell>
        </row>
        <row r="10990">
          <cell r="A10990">
            <v>8812071</v>
          </cell>
          <cell r="B10990">
            <v>114757</v>
          </cell>
          <cell r="C10990" t="str">
            <v>Frobisher Primary and Nursery School</v>
          </cell>
          <cell r="D10990" t="str">
            <v>Essex</v>
          </cell>
          <cell r="E10990" t="str">
            <v>Community School</v>
          </cell>
          <cell r="F10990" t="str">
            <v>Primary</v>
          </cell>
        </row>
        <row r="10991">
          <cell r="A10991">
            <v>9172676</v>
          </cell>
          <cell r="B10991">
            <v>116197</v>
          </cell>
          <cell r="C10991" t="str">
            <v>Froddington Park Infant School</v>
          </cell>
          <cell r="D10991" t="str">
            <v>Pre LGR (1997) Hampshire</v>
          </cell>
          <cell r="E10991" t="str">
            <v>Community School</v>
          </cell>
          <cell r="F10991" t="str">
            <v>Primary</v>
          </cell>
        </row>
        <row r="10992">
          <cell r="A10992">
            <v>8132133</v>
          </cell>
          <cell r="B10992">
            <v>117748</v>
          </cell>
          <cell r="C10992" t="str">
            <v>Frodingham Infant School</v>
          </cell>
          <cell r="D10992" t="str">
            <v>North Lincolnshire</v>
          </cell>
          <cell r="E10992" t="str">
            <v>Community School</v>
          </cell>
          <cell r="F10992" t="str">
            <v>Primary</v>
          </cell>
        </row>
        <row r="10993">
          <cell r="A10993">
            <v>8963103</v>
          </cell>
          <cell r="B10993">
            <v>111247</v>
          </cell>
          <cell r="C10993" t="str">
            <v>Frodsham CofE Primary School</v>
          </cell>
          <cell r="D10993" t="str">
            <v>Cheshire West and Chester</v>
          </cell>
          <cell r="E10993" t="str">
            <v>Voluntary Controlled School</v>
          </cell>
          <cell r="F10993" t="str">
            <v>Primary</v>
          </cell>
        </row>
        <row r="10994">
          <cell r="A10994">
            <v>8962719</v>
          </cell>
          <cell r="B10994">
            <v>111236</v>
          </cell>
          <cell r="C10994" t="str">
            <v>Frodsham Manor House Primary School</v>
          </cell>
          <cell r="D10994" t="str">
            <v>Cheshire West and Chester</v>
          </cell>
          <cell r="E10994" t="str">
            <v>Community School</v>
          </cell>
          <cell r="F10994" t="str">
            <v>Primary</v>
          </cell>
        </row>
        <row r="10995">
          <cell r="A10995">
            <v>8964101</v>
          </cell>
          <cell r="B10995">
            <v>111399</v>
          </cell>
          <cell r="C10995" t="str">
            <v>Frodsham School, A Science and Technology College</v>
          </cell>
          <cell r="D10995" t="str">
            <v>Cheshire West and Chester</v>
          </cell>
          <cell r="E10995" t="str">
            <v>Community School</v>
          </cell>
          <cell r="F10995" t="str">
            <v>Secondary</v>
          </cell>
        </row>
        <row r="10996">
          <cell r="A10996">
            <v>8962282</v>
          </cell>
          <cell r="B10996">
            <v>111115</v>
          </cell>
          <cell r="C10996" t="str">
            <v>Frodsham Weaver Vale Primary School</v>
          </cell>
          <cell r="D10996" t="str">
            <v>Cheshire West and Chester</v>
          </cell>
          <cell r="E10996" t="str">
            <v>Community School</v>
          </cell>
          <cell r="F10996" t="str">
            <v>Primary</v>
          </cell>
        </row>
        <row r="10997">
          <cell r="A10997">
            <v>8106000</v>
          </cell>
          <cell r="B10997">
            <v>118123</v>
          </cell>
          <cell r="C10997" t="str">
            <v>Froebel House School</v>
          </cell>
          <cell r="D10997" t="str">
            <v>Kingston upon Hull City of</v>
          </cell>
          <cell r="E10997" t="str">
            <v>Other Independent School</v>
          </cell>
          <cell r="F10997" t="str">
            <v>Not applicable</v>
          </cell>
        </row>
        <row r="10998">
          <cell r="A10998">
            <v>3302467</v>
          </cell>
          <cell r="B10998">
            <v>103393</v>
          </cell>
          <cell r="C10998" t="str">
            <v>Frogmill Community Junior School</v>
          </cell>
          <cell r="D10998" t="str">
            <v>Birmingham</v>
          </cell>
          <cell r="E10998" t="str">
            <v>Community School</v>
          </cell>
          <cell r="F10998" t="str">
            <v>Primary</v>
          </cell>
        </row>
        <row r="10999">
          <cell r="A10999">
            <v>8504183</v>
          </cell>
          <cell r="B10999">
            <v>116442</v>
          </cell>
          <cell r="C10999" t="str">
            <v>Frogmore Community College</v>
          </cell>
          <cell r="D10999" t="str">
            <v>Hampshire</v>
          </cell>
          <cell r="E10999" t="str">
            <v>Community School</v>
          </cell>
          <cell r="F10999" t="str">
            <v>Secondary</v>
          </cell>
        </row>
        <row r="11000">
          <cell r="A11000">
            <v>8502238</v>
          </cell>
          <cell r="B11000">
            <v>115981</v>
          </cell>
          <cell r="C11000" t="str">
            <v>Frogmore Infant School</v>
          </cell>
          <cell r="D11000" t="str">
            <v>Hampshire</v>
          </cell>
          <cell r="E11000" t="str">
            <v>Community School</v>
          </cell>
          <cell r="F11000" t="str">
            <v>Primary</v>
          </cell>
        </row>
        <row r="11001">
          <cell r="A11001">
            <v>8502279</v>
          </cell>
          <cell r="B11001">
            <v>116011</v>
          </cell>
          <cell r="C11001" t="str">
            <v>Frogmore Junior School</v>
          </cell>
          <cell r="D11001" t="str">
            <v>Hampshire</v>
          </cell>
          <cell r="E11001" t="str">
            <v>Community School</v>
          </cell>
          <cell r="F11001" t="str">
            <v>Primary</v>
          </cell>
        </row>
        <row r="11002">
          <cell r="A11002">
            <v>8655205</v>
          </cell>
          <cell r="B11002">
            <v>126479</v>
          </cell>
          <cell r="C11002" t="str">
            <v>Frogwell Primary School</v>
          </cell>
          <cell r="D11002" t="str">
            <v>Wiltshire</v>
          </cell>
          <cell r="E11002" t="str">
            <v>Foundation School</v>
          </cell>
          <cell r="F11002" t="str">
            <v>Primary</v>
          </cell>
        </row>
        <row r="11003">
          <cell r="A11003">
            <v>9338001</v>
          </cell>
          <cell r="B11003">
            <v>133171</v>
          </cell>
          <cell r="C11003" t="str">
            <v>Frome College</v>
          </cell>
          <cell r="D11003" t="str">
            <v>Somerset</v>
          </cell>
          <cell r="E11003" t="str">
            <v>Miscellaneous</v>
          </cell>
          <cell r="F11003" t="str">
            <v>Not applicable</v>
          </cell>
        </row>
        <row r="11004">
          <cell r="A11004">
            <v>9334000</v>
          </cell>
          <cell r="B11004">
            <v>123862</v>
          </cell>
          <cell r="C11004" t="str">
            <v>Frome Community College</v>
          </cell>
          <cell r="D11004" t="str">
            <v>Somerset</v>
          </cell>
          <cell r="E11004" t="str">
            <v>Community School</v>
          </cell>
          <cell r="F11004" t="str">
            <v>Secondary</v>
          </cell>
        </row>
        <row r="11005">
          <cell r="A11005">
            <v>8353024</v>
          </cell>
          <cell r="B11005">
            <v>113763</v>
          </cell>
          <cell r="C11005" t="str">
            <v>Frome Valley CofE VA First School</v>
          </cell>
          <cell r="D11005" t="str">
            <v>Dorset</v>
          </cell>
          <cell r="E11005" t="str">
            <v>Voluntary Aided School</v>
          </cell>
          <cell r="F11005" t="str">
            <v>Primary</v>
          </cell>
        </row>
        <row r="11006">
          <cell r="A11006">
            <v>8032222</v>
          </cell>
          <cell r="B11006">
            <v>109051</v>
          </cell>
          <cell r="C11006" t="str">
            <v>Fromebank Junior School</v>
          </cell>
          <cell r="D11006" t="str">
            <v>South Gloucestershire</v>
          </cell>
          <cell r="E11006" t="str">
            <v>Community School</v>
          </cell>
          <cell r="F11006" t="str">
            <v>Primary</v>
          </cell>
        </row>
        <row r="11007">
          <cell r="A11007">
            <v>6652137</v>
          </cell>
          <cell r="B11007">
            <v>400391</v>
          </cell>
          <cell r="C11007" t="str">
            <v>Froncysyllte C.P. School</v>
          </cell>
          <cell r="D11007" t="str">
            <v>Wrexham</v>
          </cell>
          <cell r="E11007" t="str">
            <v>Welsh Establishment</v>
          </cell>
          <cell r="F11007" t="str">
            <v>Primary</v>
          </cell>
        </row>
        <row r="11008">
          <cell r="A11008">
            <v>8502099</v>
          </cell>
          <cell r="B11008">
            <v>115907</v>
          </cell>
          <cell r="C11008" t="str">
            <v>Front Lawn Infant School</v>
          </cell>
          <cell r="D11008" t="str">
            <v>Hampshire</v>
          </cell>
          <cell r="E11008" t="str">
            <v>Community School</v>
          </cell>
          <cell r="F11008" t="str">
            <v>Primary</v>
          </cell>
        </row>
        <row r="11009">
          <cell r="A11009">
            <v>8505200</v>
          </cell>
          <cell r="B11009">
            <v>116480</v>
          </cell>
          <cell r="C11009" t="str">
            <v>Front Lawn Junior School</v>
          </cell>
          <cell r="D11009" t="str">
            <v>Hampshire</v>
          </cell>
          <cell r="E11009" t="str">
            <v>Foundation School</v>
          </cell>
          <cell r="F11009" t="str">
            <v>Primary</v>
          </cell>
        </row>
        <row r="11010">
          <cell r="A11010">
            <v>3902184</v>
          </cell>
          <cell r="B11010">
            <v>108350</v>
          </cell>
          <cell r="C11010" t="str">
            <v>Front Street Community Primary School</v>
          </cell>
          <cell r="D11010" t="str">
            <v>Gateshead</v>
          </cell>
          <cell r="E11010" t="str">
            <v>Community School</v>
          </cell>
          <cell r="F11010" t="str">
            <v>Primary</v>
          </cell>
        </row>
        <row r="11011">
          <cell r="A11011">
            <v>6722126</v>
          </cell>
          <cell r="B11011">
            <v>401035</v>
          </cell>
          <cell r="C11011" t="str">
            <v>Fronwen Primary School</v>
          </cell>
          <cell r="D11011" t="str">
            <v>Bridgend</v>
          </cell>
          <cell r="E11011" t="str">
            <v>Welsh Establishment</v>
          </cell>
          <cell r="F11011" t="str">
            <v>Not applicable</v>
          </cell>
        </row>
        <row r="11012">
          <cell r="A11012">
            <v>8402319</v>
          </cell>
          <cell r="B11012">
            <v>114062</v>
          </cell>
          <cell r="C11012" t="str">
            <v>Frosterley Community School</v>
          </cell>
          <cell r="D11012" t="str">
            <v>Durham</v>
          </cell>
          <cell r="E11012" t="str">
            <v>Community School</v>
          </cell>
          <cell r="F11012" t="str">
            <v>Primary</v>
          </cell>
        </row>
        <row r="11013">
          <cell r="A11013">
            <v>8503062</v>
          </cell>
          <cell r="B11013">
            <v>116289</v>
          </cell>
          <cell r="C11013" t="str">
            <v>Froxfield Church of England Infant School</v>
          </cell>
          <cell r="D11013" t="str">
            <v>Hampshire</v>
          </cell>
          <cell r="E11013" t="str">
            <v>Voluntary Controlled School</v>
          </cell>
          <cell r="F11013" t="str">
            <v>Primary</v>
          </cell>
        </row>
        <row r="11014">
          <cell r="A11014">
            <v>3042014</v>
          </cell>
          <cell r="B11014">
            <v>126767</v>
          </cell>
          <cell r="C11014" t="str">
            <v>Fryent Infant School</v>
          </cell>
          <cell r="D11014" t="str">
            <v>Brent</v>
          </cell>
          <cell r="E11014" t="str">
            <v>Community School</v>
          </cell>
          <cell r="F11014" t="str">
            <v>Primary</v>
          </cell>
        </row>
        <row r="11015">
          <cell r="A11015">
            <v>3042013</v>
          </cell>
          <cell r="B11015">
            <v>126766</v>
          </cell>
          <cell r="C11015" t="str">
            <v>Fryent Junior School</v>
          </cell>
          <cell r="D11015" t="str">
            <v>Brent</v>
          </cell>
          <cell r="E11015" t="str">
            <v>Community School</v>
          </cell>
          <cell r="F11015" t="str">
            <v>Primary</v>
          </cell>
        </row>
        <row r="11016">
          <cell r="A11016">
            <v>3042074</v>
          </cell>
          <cell r="B11016">
            <v>101531</v>
          </cell>
          <cell r="C11016" t="str">
            <v>Fryent Primary School</v>
          </cell>
          <cell r="D11016" t="str">
            <v>Brent</v>
          </cell>
          <cell r="E11016" t="str">
            <v>Community School</v>
          </cell>
          <cell r="F11016" t="str">
            <v>Primary</v>
          </cell>
        </row>
        <row r="11017">
          <cell r="A11017">
            <v>8502217</v>
          </cell>
          <cell r="B11017">
            <v>115968</v>
          </cell>
          <cell r="C11017" t="str">
            <v>Fryern Infant School</v>
          </cell>
          <cell r="D11017" t="str">
            <v>Hampshire</v>
          </cell>
          <cell r="E11017" t="str">
            <v>Community School</v>
          </cell>
          <cell r="F11017" t="str">
            <v>Primary</v>
          </cell>
        </row>
        <row r="11018">
          <cell r="A11018">
            <v>8502056</v>
          </cell>
          <cell r="B11018">
            <v>115884</v>
          </cell>
          <cell r="C11018" t="str">
            <v>Fryern Junior School</v>
          </cell>
          <cell r="D11018" t="str">
            <v>Hampshire</v>
          </cell>
          <cell r="E11018" t="str">
            <v>Community School</v>
          </cell>
          <cell r="F11018" t="str">
            <v>Primary</v>
          </cell>
        </row>
        <row r="11019">
          <cell r="A11019">
            <v>8814391</v>
          </cell>
          <cell r="B11019">
            <v>115224</v>
          </cell>
          <cell r="C11019" t="str">
            <v>Fryerns Community School</v>
          </cell>
          <cell r="D11019" t="str">
            <v>Essex</v>
          </cell>
          <cell r="E11019" t="str">
            <v>Community School</v>
          </cell>
          <cell r="F11019" t="str">
            <v>Secondary</v>
          </cell>
        </row>
        <row r="11020">
          <cell r="A11020">
            <v>8134076</v>
          </cell>
          <cell r="B11020">
            <v>118089</v>
          </cell>
          <cell r="C11020" t="str">
            <v>FTC Performing Arts College</v>
          </cell>
          <cell r="D11020" t="str">
            <v>North Lincolnshire</v>
          </cell>
          <cell r="E11020" t="str">
            <v>Community School</v>
          </cell>
          <cell r="F11020" t="str">
            <v>Secondary</v>
          </cell>
        </row>
        <row r="11021">
          <cell r="A11021">
            <v>8134076</v>
          </cell>
          <cell r="B11021">
            <v>137004</v>
          </cell>
          <cell r="C11021" t="str">
            <v>FTC Performing Arts College</v>
          </cell>
          <cell r="D11021" t="str">
            <v>North Lincolnshire</v>
          </cell>
          <cell r="E11021" t="str">
            <v>Academy Converters</v>
          </cell>
          <cell r="F11021" t="str">
            <v>Secondary</v>
          </cell>
        </row>
        <row r="11022">
          <cell r="A11022">
            <v>8732328</v>
          </cell>
          <cell r="B11022">
            <v>110759</v>
          </cell>
          <cell r="C11022" t="str">
            <v>Fulbourn Primary School</v>
          </cell>
          <cell r="D11022" t="str">
            <v>Cambridgeshire</v>
          </cell>
          <cell r="E11022" t="str">
            <v>Community School</v>
          </cell>
          <cell r="F11022" t="str">
            <v>Primary</v>
          </cell>
        </row>
        <row r="11023">
          <cell r="A11023">
            <v>8742268</v>
          </cell>
          <cell r="B11023">
            <v>110721</v>
          </cell>
          <cell r="C11023" t="str">
            <v>Fulbridge Infant and Nursery School</v>
          </cell>
          <cell r="D11023" t="str">
            <v>Peterborough</v>
          </cell>
          <cell r="E11023" t="str">
            <v>Community School</v>
          </cell>
          <cell r="F11023" t="str">
            <v>Primary</v>
          </cell>
        </row>
        <row r="11024">
          <cell r="A11024">
            <v>8742267</v>
          </cell>
          <cell r="B11024">
            <v>110720</v>
          </cell>
          <cell r="C11024" t="str">
            <v>Fulbridge Junior School</v>
          </cell>
          <cell r="D11024" t="str">
            <v>Peterborough</v>
          </cell>
          <cell r="E11024" t="str">
            <v>Community School</v>
          </cell>
          <cell r="F11024" t="str">
            <v>Primary</v>
          </cell>
        </row>
        <row r="11025">
          <cell r="A11025">
            <v>8743384</v>
          </cell>
          <cell r="B11025">
            <v>134461</v>
          </cell>
          <cell r="C11025" t="str">
            <v>Fulbridge Primary School</v>
          </cell>
          <cell r="D11025" t="str">
            <v>Peterborough</v>
          </cell>
          <cell r="E11025" t="str">
            <v>Community School</v>
          </cell>
          <cell r="F11025" t="str">
            <v>Primary</v>
          </cell>
        </row>
        <row r="11026">
          <cell r="A11026">
            <v>8234043</v>
          </cell>
          <cell r="B11026">
            <v>109658</v>
          </cell>
          <cell r="C11026" t="str">
            <v>Fulbrook Middle School</v>
          </cell>
          <cell r="D11026" t="str">
            <v>Central Bedfordshire</v>
          </cell>
          <cell r="E11026" t="str">
            <v>Community School</v>
          </cell>
          <cell r="F11026" t="str">
            <v>Middle Deemed Secondary</v>
          </cell>
        </row>
        <row r="11027">
          <cell r="A11027">
            <v>8602413</v>
          </cell>
          <cell r="B11027">
            <v>124209</v>
          </cell>
          <cell r="C11027" t="str">
            <v>Fulfen Primary School</v>
          </cell>
          <cell r="D11027" t="str">
            <v>Staffordshire</v>
          </cell>
          <cell r="E11027" t="str">
            <v>Community School</v>
          </cell>
          <cell r="F11027" t="str">
            <v>Primary</v>
          </cell>
        </row>
        <row r="11028">
          <cell r="A11028">
            <v>8011103</v>
          </cell>
          <cell r="B11028">
            <v>134526</v>
          </cell>
          <cell r="C11028" t="str">
            <v>Fulford Centre</v>
          </cell>
          <cell r="D11028" t="str">
            <v>Bristol City of</v>
          </cell>
          <cell r="E11028" t="str">
            <v>Pupil Referral Unit</v>
          </cell>
          <cell r="F11028" t="str">
            <v>PRU</v>
          </cell>
        </row>
        <row r="11029">
          <cell r="A11029">
            <v>8167006</v>
          </cell>
          <cell r="B11029">
            <v>121768</v>
          </cell>
          <cell r="C11029" t="str">
            <v>Fulford Cross School</v>
          </cell>
          <cell r="D11029" t="str">
            <v>York</v>
          </cell>
          <cell r="E11029" t="str">
            <v>Community Special School</v>
          </cell>
          <cell r="F11029" t="str">
            <v>Special</v>
          </cell>
        </row>
        <row r="11030">
          <cell r="A11030">
            <v>8602208</v>
          </cell>
          <cell r="B11030">
            <v>124085</v>
          </cell>
          <cell r="C11030" t="str">
            <v>Fulford Primary School</v>
          </cell>
          <cell r="D11030" t="str">
            <v>Staffordshire</v>
          </cell>
          <cell r="E11030" t="str">
            <v>Community School</v>
          </cell>
          <cell r="F11030" t="str">
            <v>Primary</v>
          </cell>
        </row>
        <row r="11031">
          <cell r="A11031">
            <v>8017044</v>
          </cell>
          <cell r="B11031">
            <v>109412</v>
          </cell>
          <cell r="C11031" t="str">
            <v>Fulford School</v>
          </cell>
          <cell r="D11031" t="str">
            <v>Bristol City of</v>
          </cell>
          <cell r="E11031" t="str">
            <v>Community Special School</v>
          </cell>
          <cell r="F11031" t="str">
            <v>Special</v>
          </cell>
        </row>
        <row r="11032">
          <cell r="A11032">
            <v>8164153</v>
          </cell>
          <cell r="B11032">
            <v>121684</v>
          </cell>
          <cell r="C11032" t="str">
            <v>Fulford School</v>
          </cell>
          <cell r="D11032" t="str">
            <v>York</v>
          </cell>
          <cell r="E11032" t="str">
            <v>Community School</v>
          </cell>
          <cell r="F11032" t="str">
            <v>Secondary</v>
          </cell>
        </row>
        <row r="11033">
          <cell r="A11033">
            <v>2054315</v>
          </cell>
          <cell r="B11033">
            <v>100360</v>
          </cell>
          <cell r="C11033" t="str">
            <v>Fulham Cross Girls' School and Language College</v>
          </cell>
          <cell r="D11033" t="str">
            <v>Hammersmith and Fulham</v>
          </cell>
          <cell r="E11033" t="str">
            <v>Foundation School</v>
          </cell>
          <cell r="F11033" t="str">
            <v>Secondary</v>
          </cell>
        </row>
        <row r="11034">
          <cell r="A11034">
            <v>205940</v>
          </cell>
          <cell r="B11034">
            <v>132693</v>
          </cell>
          <cell r="C11034" t="str">
            <v>Fulham FC Skills and Learning Centre</v>
          </cell>
          <cell r="D11034" t="str">
            <v>Hammersmith and Fulham</v>
          </cell>
          <cell r="E11034" t="str">
            <v>Playing for Success Centres</v>
          </cell>
          <cell r="F11034" t="str">
            <v>Not applicable</v>
          </cell>
        </row>
        <row r="11035">
          <cell r="A11035">
            <v>2052286</v>
          </cell>
          <cell r="B11035">
            <v>100329</v>
          </cell>
          <cell r="C11035" t="str">
            <v>Fulham Primary School</v>
          </cell>
          <cell r="D11035" t="str">
            <v>Hammersmith and Fulham</v>
          </cell>
          <cell r="E11035" t="str">
            <v>Community School</v>
          </cell>
          <cell r="F11035" t="str">
            <v>Primary</v>
          </cell>
        </row>
        <row r="11036">
          <cell r="A11036">
            <v>2054900</v>
          </cell>
          <cell r="B11036">
            <v>132955</v>
          </cell>
          <cell r="C11036" t="str">
            <v>Fulham Sixth Form Centre</v>
          </cell>
          <cell r="D11036" t="str">
            <v>Hammersmith and Fulham</v>
          </cell>
          <cell r="E11036" t="str">
            <v>Sixth Form Centres</v>
          </cell>
          <cell r="F11036" t="str">
            <v>16 Plus</v>
          </cell>
        </row>
        <row r="11037">
          <cell r="A11037">
            <v>3351001</v>
          </cell>
          <cell r="B11037">
            <v>104135</v>
          </cell>
          <cell r="C11037" t="str">
            <v>Fullbrook Nursery School</v>
          </cell>
          <cell r="D11037" t="str">
            <v>Walsall</v>
          </cell>
          <cell r="E11037" t="str">
            <v>LA Nursery School</v>
          </cell>
          <cell r="F11037" t="str">
            <v>Nursery</v>
          </cell>
        </row>
        <row r="11038">
          <cell r="A11038">
            <v>9365413</v>
          </cell>
          <cell r="B11038">
            <v>125313</v>
          </cell>
          <cell r="C11038" t="str">
            <v>Fullbrook School</v>
          </cell>
          <cell r="D11038" t="str">
            <v>Surrey</v>
          </cell>
          <cell r="E11038" t="str">
            <v>Foundation School</v>
          </cell>
          <cell r="F11038" t="str">
            <v>Secondary</v>
          </cell>
        </row>
        <row r="11039">
          <cell r="A11039">
            <v>9365413</v>
          </cell>
          <cell r="B11039">
            <v>137003</v>
          </cell>
          <cell r="C11039" t="str">
            <v>Fullbrook School</v>
          </cell>
          <cell r="D11039" t="str">
            <v>Surrey</v>
          </cell>
          <cell r="E11039" t="str">
            <v>Academy Converters</v>
          </cell>
          <cell r="F11039" t="str">
            <v>Secondary</v>
          </cell>
        </row>
        <row r="11040">
          <cell r="A11040">
            <v>3716011</v>
          </cell>
          <cell r="B11040">
            <v>106817</v>
          </cell>
          <cell r="C11040" t="str">
            <v>Fullerton House School</v>
          </cell>
          <cell r="D11040" t="str">
            <v>Doncaster</v>
          </cell>
          <cell r="E11040" t="str">
            <v>Other Independent Special School</v>
          </cell>
          <cell r="F11040" t="str">
            <v>Not applicable</v>
          </cell>
        </row>
        <row r="11041">
          <cell r="A11041">
            <v>8564274</v>
          </cell>
          <cell r="B11041">
            <v>120298</v>
          </cell>
          <cell r="C11041" t="str">
            <v>Fullhurst Community College</v>
          </cell>
          <cell r="D11041" t="str">
            <v>Leicester</v>
          </cell>
          <cell r="E11041" t="str">
            <v>Foundation School</v>
          </cell>
          <cell r="F11041" t="str">
            <v>Secondary</v>
          </cell>
        </row>
        <row r="11042">
          <cell r="A11042">
            <v>3172055</v>
          </cell>
          <cell r="B11042">
            <v>102833</v>
          </cell>
          <cell r="C11042" t="str">
            <v>Fullwood Primary School</v>
          </cell>
          <cell r="D11042" t="str">
            <v>Redbridge</v>
          </cell>
          <cell r="E11042" t="str">
            <v>Community School</v>
          </cell>
          <cell r="F11042" t="str">
            <v>Primary</v>
          </cell>
        </row>
        <row r="11043">
          <cell r="A11043">
            <v>8252037</v>
          </cell>
          <cell r="B11043">
            <v>110227</v>
          </cell>
          <cell r="C11043" t="str">
            <v>Fulmer Infant School</v>
          </cell>
          <cell r="D11043" t="str">
            <v>Buckinghamshire</v>
          </cell>
          <cell r="E11043" t="str">
            <v>Community School</v>
          </cell>
          <cell r="F11043" t="str">
            <v>Primary</v>
          </cell>
        </row>
        <row r="11044">
          <cell r="A11044">
            <v>3836023</v>
          </cell>
          <cell r="B11044">
            <v>128041</v>
          </cell>
          <cell r="C11044" t="str">
            <v>Fulneck Boys' School</v>
          </cell>
          <cell r="D11044" t="str">
            <v>Leeds</v>
          </cell>
          <cell r="E11044" t="str">
            <v>Other Independent School</v>
          </cell>
          <cell r="F11044" t="str">
            <v>Not applicable</v>
          </cell>
        </row>
        <row r="11045">
          <cell r="A11045">
            <v>3836022</v>
          </cell>
          <cell r="B11045">
            <v>128040</v>
          </cell>
          <cell r="C11045" t="str">
            <v>Fulneck Girls' School</v>
          </cell>
          <cell r="D11045" t="str">
            <v>Leeds</v>
          </cell>
          <cell r="E11045" t="str">
            <v>Other Independent School</v>
          </cell>
          <cell r="F11045" t="str">
            <v>Not applicable</v>
          </cell>
        </row>
        <row r="11046">
          <cell r="A11046">
            <v>3836117</v>
          </cell>
          <cell r="B11046">
            <v>108117</v>
          </cell>
          <cell r="C11046" t="str">
            <v>Fulneck School</v>
          </cell>
          <cell r="D11046" t="str">
            <v>Leeds</v>
          </cell>
          <cell r="E11046" t="str">
            <v>Other Independent School</v>
          </cell>
          <cell r="F11046" t="str">
            <v>Not applicable</v>
          </cell>
        </row>
        <row r="11047">
          <cell r="A11047">
            <v>8865414</v>
          </cell>
          <cell r="B11047">
            <v>118886</v>
          </cell>
          <cell r="C11047" t="str">
            <v>Fulston Manor School</v>
          </cell>
          <cell r="D11047" t="str">
            <v>Kent</v>
          </cell>
          <cell r="E11047" t="str">
            <v>Foundation School</v>
          </cell>
          <cell r="F11047" t="str">
            <v>Secondary</v>
          </cell>
        </row>
        <row r="11048">
          <cell r="A11048">
            <v>8865414</v>
          </cell>
          <cell r="B11048">
            <v>136324</v>
          </cell>
          <cell r="C11048" t="str">
            <v>Fulston Manor School</v>
          </cell>
          <cell r="D11048" t="str">
            <v>Kent</v>
          </cell>
          <cell r="E11048" t="str">
            <v>Academy Converters</v>
          </cell>
          <cell r="F11048" t="str">
            <v>Secondary</v>
          </cell>
        </row>
        <row r="11049">
          <cell r="A11049">
            <v>9252153</v>
          </cell>
          <cell r="B11049">
            <v>120447</v>
          </cell>
          <cell r="C11049" t="str">
            <v>Fulstow Community Primary School</v>
          </cell>
          <cell r="D11049" t="str">
            <v>Lincolnshire</v>
          </cell>
          <cell r="E11049" t="str">
            <v>Community School</v>
          </cell>
          <cell r="F11049" t="str">
            <v>Primary</v>
          </cell>
        </row>
        <row r="11050">
          <cell r="A11050">
            <v>3942020</v>
          </cell>
          <cell r="B11050">
            <v>108764</v>
          </cell>
          <cell r="C11050" t="str">
            <v>Fulwell Infant School</v>
          </cell>
          <cell r="D11050" t="str">
            <v>Sunderland</v>
          </cell>
          <cell r="E11050" t="str">
            <v>Community School</v>
          </cell>
          <cell r="F11050" t="str">
            <v>Primary</v>
          </cell>
        </row>
        <row r="11051">
          <cell r="A11051">
            <v>3942019</v>
          </cell>
          <cell r="B11051">
            <v>108763</v>
          </cell>
          <cell r="C11051" t="str">
            <v>Fulwell Junior School</v>
          </cell>
          <cell r="D11051" t="str">
            <v>Sunderland</v>
          </cell>
          <cell r="E11051" t="str">
            <v>Community School</v>
          </cell>
          <cell r="F11051" t="str">
            <v>Primary</v>
          </cell>
        </row>
        <row r="11052">
          <cell r="A11052">
            <v>8886906</v>
          </cell>
          <cell r="B11052">
            <v>135936</v>
          </cell>
          <cell r="C11052" t="str">
            <v>Fulwood Academy</v>
          </cell>
          <cell r="D11052" t="str">
            <v>Lancashire</v>
          </cell>
          <cell r="E11052" t="str">
            <v>Academy Sponsor Led</v>
          </cell>
          <cell r="F11052" t="str">
            <v>Secondary</v>
          </cell>
        </row>
        <row r="11053">
          <cell r="A11053">
            <v>8882050</v>
          </cell>
          <cell r="B11053">
            <v>119151</v>
          </cell>
          <cell r="C11053" t="str">
            <v>Fulwood and Cadley Primary School</v>
          </cell>
          <cell r="D11053" t="str">
            <v>Lancashire</v>
          </cell>
          <cell r="E11053" t="str">
            <v>Community School</v>
          </cell>
          <cell r="F11053" t="str">
            <v>Primary</v>
          </cell>
        </row>
        <row r="11054">
          <cell r="A11054">
            <v>8884146</v>
          </cell>
          <cell r="B11054">
            <v>119742</v>
          </cell>
          <cell r="C11054" t="str">
            <v>Fulwood High School and Arts College</v>
          </cell>
          <cell r="D11054" t="str">
            <v>Lancashire</v>
          </cell>
          <cell r="E11054" t="str">
            <v>Community School</v>
          </cell>
          <cell r="F11054" t="str">
            <v>Secondary</v>
          </cell>
        </row>
        <row r="11055">
          <cell r="A11055">
            <v>8883301</v>
          </cell>
          <cell r="B11055">
            <v>119416</v>
          </cell>
          <cell r="C11055" t="str">
            <v>Fulwood, St Peter's Church of England Primary School with Newlands Nursery</v>
          </cell>
          <cell r="D11055" t="str">
            <v>Lancashire</v>
          </cell>
          <cell r="E11055" t="str">
            <v>Voluntary Aided School</v>
          </cell>
          <cell r="F11055" t="str">
            <v>Primary</v>
          </cell>
        </row>
        <row r="11056">
          <cell r="A11056">
            <v>9382028</v>
          </cell>
          <cell r="B11056">
            <v>125830</v>
          </cell>
          <cell r="C11056" t="str">
            <v>Funtington Primary School</v>
          </cell>
          <cell r="D11056" t="str">
            <v>West Sussex</v>
          </cell>
          <cell r="E11056" t="str">
            <v>Community School</v>
          </cell>
          <cell r="F11056" t="str">
            <v>Primary</v>
          </cell>
        </row>
        <row r="11057">
          <cell r="A11057">
            <v>8862686</v>
          </cell>
          <cell r="B11057">
            <v>132235</v>
          </cell>
          <cell r="C11057" t="str">
            <v>Furley Park Primary School</v>
          </cell>
          <cell r="D11057" t="str">
            <v>Kent</v>
          </cell>
          <cell r="E11057" t="str">
            <v>Community School</v>
          </cell>
          <cell r="F11057" t="str">
            <v>Primary</v>
          </cell>
        </row>
        <row r="11058">
          <cell r="A11058">
            <v>9096908</v>
          </cell>
          <cell r="B11058">
            <v>135940</v>
          </cell>
          <cell r="C11058" t="str">
            <v>Furness Academy</v>
          </cell>
          <cell r="D11058" t="str">
            <v>Cumbria</v>
          </cell>
          <cell r="E11058" t="str">
            <v>Academy Sponsor Led</v>
          </cell>
          <cell r="F11058" t="str">
            <v>Secondary</v>
          </cell>
        </row>
        <row r="11059">
          <cell r="A11059">
            <v>9098005</v>
          </cell>
          <cell r="B11059">
            <v>130633</v>
          </cell>
          <cell r="C11059" t="str">
            <v>Furness College</v>
          </cell>
          <cell r="D11059" t="str">
            <v>Cumbria</v>
          </cell>
          <cell r="E11059" t="str">
            <v>Further Education</v>
          </cell>
          <cell r="F11059" t="str">
            <v>16 Plus</v>
          </cell>
        </row>
        <row r="11060">
          <cell r="A11060">
            <v>3042012</v>
          </cell>
          <cell r="B11060">
            <v>126765</v>
          </cell>
          <cell r="C11060" t="str">
            <v>Furness Infant School</v>
          </cell>
          <cell r="D11060" t="str">
            <v>Brent</v>
          </cell>
          <cell r="E11060" t="str">
            <v>Community School</v>
          </cell>
          <cell r="F11060" t="str">
            <v>Primary</v>
          </cell>
        </row>
        <row r="11061">
          <cell r="A11061">
            <v>3042011</v>
          </cell>
          <cell r="B11061">
            <v>126764</v>
          </cell>
          <cell r="C11061" t="str">
            <v>Furness Junior School</v>
          </cell>
          <cell r="D11061" t="str">
            <v>Brent</v>
          </cell>
          <cell r="E11061" t="str">
            <v>Community School</v>
          </cell>
          <cell r="F11061" t="str">
            <v>Primary</v>
          </cell>
        </row>
        <row r="11062">
          <cell r="A11062">
            <v>3042067</v>
          </cell>
          <cell r="B11062">
            <v>101525</v>
          </cell>
          <cell r="C11062" t="str">
            <v>Furness Primary School</v>
          </cell>
          <cell r="D11062" t="str">
            <v>Brent</v>
          </cell>
          <cell r="E11062" t="str">
            <v>Community School</v>
          </cell>
          <cell r="F11062" t="str">
            <v>Primary</v>
          </cell>
        </row>
        <row r="11063">
          <cell r="A11063">
            <v>8867034</v>
          </cell>
          <cell r="B11063">
            <v>119038</v>
          </cell>
          <cell r="C11063" t="str">
            <v>Furness School</v>
          </cell>
          <cell r="D11063" t="str">
            <v>Kent</v>
          </cell>
          <cell r="E11063" t="str">
            <v>Community Special School</v>
          </cell>
          <cell r="F11063" t="str">
            <v>Special</v>
          </cell>
        </row>
        <row r="11064">
          <cell r="A11064">
            <v>8302269</v>
          </cell>
          <cell r="B11064">
            <v>112648</v>
          </cell>
          <cell r="C11064" t="str">
            <v>Furness Vale Primary School</v>
          </cell>
          <cell r="D11064" t="str">
            <v>Derbyshire</v>
          </cell>
          <cell r="E11064" t="str">
            <v>Community School</v>
          </cell>
          <cell r="F11064" t="str">
            <v>Primary</v>
          </cell>
        </row>
        <row r="11065">
          <cell r="A11065">
            <v>9193016</v>
          </cell>
          <cell r="B11065">
            <v>117394</v>
          </cell>
          <cell r="C11065" t="str">
            <v>Furneux Pelham Church of England School</v>
          </cell>
          <cell r="D11065" t="str">
            <v>Hertfordshire</v>
          </cell>
          <cell r="E11065" t="str">
            <v>Voluntary Controlled School</v>
          </cell>
          <cell r="F11065" t="str">
            <v>Primary</v>
          </cell>
        </row>
        <row r="11066">
          <cell r="A11066">
            <v>3542066</v>
          </cell>
          <cell r="B11066">
            <v>105801</v>
          </cell>
          <cell r="C11066" t="str">
            <v>Furrow Community School</v>
          </cell>
          <cell r="D11066" t="str">
            <v>Rochdale</v>
          </cell>
          <cell r="E11066" t="str">
            <v>Community School</v>
          </cell>
          <cell r="F11066" t="str">
            <v>Primary</v>
          </cell>
        </row>
        <row r="11067">
          <cell r="A11067">
            <v>3907006</v>
          </cell>
          <cell r="B11067">
            <v>108426</v>
          </cell>
          <cell r="C11067" t="str">
            <v>Furrowfield School</v>
          </cell>
          <cell r="D11067" t="str">
            <v>Gateshead</v>
          </cell>
          <cell r="E11067" t="str">
            <v>Community Special School</v>
          </cell>
          <cell r="F11067" t="str">
            <v>Special</v>
          </cell>
        </row>
        <row r="11068">
          <cell r="A11068">
            <v>3546026</v>
          </cell>
          <cell r="B11068">
            <v>131446</v>
          </cell>
          <cell r="C11068" t="str">
            <v>Further Heights - Green Corns</v>
          </cell>
          <cell r="D11068" t="str">
            <v>Rochdale</v>
          </cell>
          <cell r="E11068" t="str">
            <v>Other Independent Special School</v>
          </cell>
          <cell r="F11068" t="str">
            <v>Not applicable</v>
          </cell>
        </row>
        <row r="11069">
          <cell r="A11069">
            <v>8815417</v>
          </cell>
          <cell r="B11069">
            <v>115333</v>
          </cell>
          <cell r="C11069" t="str">
            <v>Furtherwick Park School</v>
          </cell>
          <cell r="D11069" t="str">
            <v>Essex</v>
          </cell>
          <cell r="E11069" t="str">
            <v>Foundation School</v>
          </cell>
          <cell r="F11069" t="str">
            <v>Secondary</v>
          </cell>
        </row>
        <row r="11070">
          <cell r="A11070">
            <v>8257023</v>
          </cell>
          <cell r="B11070">
            <v>110585</v>
          </cell>
          <cell r="C11070" t="str">
            <v>Furze Down School</v>
          </cell>
          <cell r="D11070" t="str">
            <v>Buckinghamshire</v>
          </cell>
          <cell r="E11070" t="str">
            <v>Community Special School</v>
          </cell>
          <cell r="F11070" t="str">
            <v>Special</v>
          </cell>
        </row>
        <row r="11071">
          <cell r="A11071">
            <v>3012030</v>
          </cell>
          <cell r="B11071">
            <v>101203</v>
          </cell>
          <cell r="C11071" t="str">
            <v>Furze Infants' School</v>
          </cell>
          <cell r="D11071" t="str">
            <v>Barking and Dagenham</v>
          </cell>
          <cell r="E11071" t="str">
            <v>Community School</v>
          </cell>
          <cell r="F11071" t="str">
            <v>Primary</v>
          </cell>
        </row>
        <row r="11072">
          <cell r="A11072">
            <v>8682112</v>
          </cell>
          <cell r="B11072">
            <v>109846</v>
          </cell>
          <cell r="C11072" t="str">
            <v>Furze Platt Infant School</v>
          </cell>
          <cell r="D11072" t="str">
            <v>Windsor and Maidenhead</v>
          </cell>
          <cell r="E11072" t="str">
            <v>Community School</v>
          </cell>
          <cell r="F11072" t="str">
            <v>Primary</v>
          </cell>
        </row>
        <row r="11073">
          <cell r="A11073">
            <v>8682108</v>
          </cell>
          <cell r="B11073">
            <v>109842</v>
          </cell>
          <cell r="C11073" t="str">
            <v>Furze Platt Junior School</v>
          </cell>
          <cell r="D11073" t="str">
            <v>Windsor and Maidenhead</v>
          </cell>
          <cell r="E11073" t="str">
            <v>Community School</v>
          </cell>
          <cell r="F11073" t="str">
            <v>Primary</v>
          </cell>
        </row>
        <row r="11074">
          <cell r="A11074">
            <v>8684055</v>
          </cell>
          <cell r="B11074">
            <v>110066</v>
          </cell>
          <cell r="C11074" t="str">
            <v>Furze Platt Senior School</v>
          </cell>
          <cell r="D11074" t="str">
            <v>Windsor and Maidenhead</v>
          </cell>
          <cell r="E11074" t="str">
            <v>Community School</v>
          </cell>
          <cell r="F11074" t="str">
            <v>Secondary</v>
          </cell>
        </row>
        <row r="11075">
          <cell r="A11075">
            <v>8684055</v>
          </cell>
          <cell r="B11075">
            <v>137740</v>
          </cell>
          <cell r="C11075" t="str">
            <v>Furze Platt Senior School</v>
          </cell>
          <cell r="D11075" t="str">
            <v>Windsor and Maidenhead</v>
          </cell>
          <cell r="E11075" t="str">
            <v>Academy Converters</v>
          </cell>
          <cell r="F11075" t="str">
            <v>Secondary</v>
          </cell>
        </row>
        <row r="11076">
          <cell r="A11076">
            <v>9177030</v>
          </cell>
          <cell r="B11076">
            <v>132891</v>
          </cell>
          <cell r="C11076" t="str">
            <v>Furzebrook School</v>
          </cell>
          <cell r="D11076" t="str">
            <v>Pre LGR (1997) Hampshire</v>
          </cell>
          <cell r="E11076" t="str">
            <v>Community Special School</v>
          </cell>
          <cell r="F11076" t="str">
            <v>Special</v>
          </cell>
        </row>
        <row r="11077">
          <cell r="A11077">
            <v>2122237</v>
          </cell>
          <cell r="B11077">
            <v>101009</v>
          </cell>
          <cell r="C11077" t="str">
            <v>Furzedown Primary School</v>
          </cell>
          <cell r="D11077" t="str">
            <v>Wandsworth</v>
          </cell>
          <cell r="E11077" t="str">
            <v>Community School</v>
          </cell>
          <cell r="F11077" t="str">
            <v>Primary</v>
          </cell>
        </row>
        <row r="11078">
          <cell r="A11078">
            <v>9362312</v>
          </cell>
          <cell r="B11078">
            <v>130038</v>
          </cell>
          <cell r="C11078" t="str">
            <v>Furzefield First School</v>
          </cell>
          <cell r="D11078" t="str">
            <v>Surrey</v>
          </cell>
          <cell r="E11078" t="str">
            <v>Community School</v>
          </cell>
          <cell r="F11078" t="str">
            <v>Primary</v>
          </cell>
        </row>
        <row r="11079">
          <cell r="A11079">
            <v>9362219</v>
          </cell>
          <cell r="B11079">
            <v>130032</v>
          </cell>
          <cell r="C11079" t="str">
            <v>Furzefield Middle School</v>
          </cell>
          <cell r="D11079" t="str">
            <v>Surrey</v>
          </cell>
          <cell r="E11079" t="str">
            <v>Community School</v>
          </cell>
          <cell r="F11079" t="str">
            <v>Middle Deemed Primary</v>
          </cell>
        </row>
        <row r="11080">
          <cell r="A11080">
            <v>9362954</v>
          </cell>
          <cell r="B11080">
            <v>125130</v>
          </cell>
          <cell r="C11080" t="str">
            <v>Furzefield Primary School</v>
          </cell>
          <cell r="D11080" t="str">
            <v>Surrey</v>
          </cell>
          <cell r="E11080" t="str">
            <v>Community School</v>
          </cell>
          <cell r="F11080" t="str">
            <v>Primary</v>
          </cell>
        </row>
        <row r="11081">
          <cell r="A11081">
            <v>8802407</v>
          </cell>
          <cell r="B11081">
            <v>113190</v>
          </cell>
          <cell r="C11081" t="str">
            <v>Furzeham Primary School</v>
          </cell>
          <cell r="D11081" t="str">
            <v>Torbay</v>
          </cell>
          <cell r="E11081" t="str">
            <v>Community School</v>
          </cell>
          <cell r="F11081" t="str">
            <v>Primary</v>
          </cell>
        </row>
        <row r="11082">
          <cell r="A11082">
            <v>9194148</v>
          </cell>
          <cell r="B11082">
            <v>117544</v>
          </cell>
          <cell r="C11082" t="str">
            <v>Furzehill Middle School</v>
          </cell>
          <cell r="D11082" t="str">
            <v>Hertfordshire</v>
          </cell>
          <cell r="E11082" t="str">
            <v>Community School</v>
          </cell>
          <cell r="F11082" t="str">
            <v>Middle Deemed Secondary</v>
          </cell>
        </row>
        <row r="11083">
          <cell r="A11083">
            <v>9266160</v>
          </cell>
          <cell r="B11083">
            <v>135859</v>
          </cell>
          <cell r="C11083" t="str">
            <v>Future Education</v>
          </cell>
          <cell r="D11083" t="str">
            <v>Norfolk</v>
          </cell>
          <cell r="E11083" t="str">
            <v>Other Independent Special School</v>
          </cell>
          <cell r="F11083" t="str">
            <v>Not applicable</v>
          </cell>
        </row>
        <row r="11084">
          <cell r="A11084">
            <v>3306121</v>
          </cell>
          <cell r="B11084">
            <v>135422</v>
          </cell>
          <cell r="C11084" t="str">
            <v>Future First Independent School</v>
          </cell>
          <cell r="D11084" t="str">
            <v>Birmingham</v>
          </cell>
          <cell r="E11084" t="str">
            <v>Other Independent School</v>
          </cell>
          <cell r="F11084" t="str">
            <v>Not applicable</v>
          </cell>
        </row>
        <row r="11085">
          <cell r="A11085">
            <v>2086393</v>
          </cell>
          <cell r="B11085">
            <v>131472</v>
          </cell>
          <cell r="C11085" t="str">
            <v>Futures Ahead Independent School</v>
          </cell>
          <cell r="D11085" t="str">
            <v>Lambeth</v>
          </cell>
          <cell r="E11085" t="str">
            <v>Other Independent School</v>
          </cell>
          <cell r="F11085" t="str">
            <v>Not applicable</v>
          </cell>
        </row>
        <row r="11086">
          <cell r="A11086">
            <v>3156078</v>
          </cell>
          <cell r="B11086">
            <v>131101</v>
          </cell>
          <cell r="C11086" t="str">
            <v>Futures Ahead Pre-Preparatory and Preparatory School</v>
          </cell>
          <cell r="D11086" t="str">
            <v>Merton</v>
          </cell>
          <cell r="E11086" t="str">
            <v>Other Independent School</v>
          </cell>
          <cell r="F11086" t="str">
            <v>Not applicable</v>
          </cell>
        </row>
        <row r="11087">
          <cell r="A11087">
            <v>8824736</v>
          </cell>
          <cell r="B11087">
            <v>132762</v>
          </cell>
          <cell r="C11087" t="str">
            <v>Futures Community College</v>
          </cell>
          <cell r="D11087" t="str">
            <v>Southend-on-Sea</v>
          </cell>
          <cell r="E11087" t="str">
            <v>Foundation School</v>
          </cell>
          <cell r="F11087" t="str">
            <v>Secondary</v>
          </cell>
        </row>
        <row r="11088">
          <cell r="A11088">
            <v>88829</v>
          </cell>
          <cell r="B11088">
            <v>132983</v>
          </cell>
          <cell r="C11088" t="str">
            <v>Fylde Community School</v>
          </cell>
          <cell r="D11088" t="str">
            <v>Lancashire</v>
          </cell>
          <cell r="E11088" t="str">
            <v>Secure Units</v>
          </cell>
          <cell r="F11088" t="str">
            <v>Not applicable</v>
          </cell>
        </row>
        <row r="11089">
          <cell r="A11089">
            <v>8156004</v>
          </cell>
          <cell r="B11089">
            <v>121733</v>
          </cell>
          <cell r="C11089" t="str">
            <v>Fyling Hall School</v>
          </cell>
          <cell r="D11089" t="str">
            <v>North Yorkshire</v>
          </cell>
          <cell r="E11089" t="str">
            <v>Other Independent School</v>
          </cell>
          <cell r="F11089" t="str">
            <v>Not applicable</v>
          </cell>
        </row>
        <row r="11090">
          <cell r="A11090">
            <v>8153139</v>
          </cell>
          <cell r="B11090">
            <v>121528</v>
          </cell>
          <cell r="C11090" t="str">
            <v>Fylingdales Church of England Voluntary Controlled Primary School</v>
          </cell>
          <cell r="D11090" t="str">
            <v>North Yorkshire</v>
          </cell>
          <cell r="E11090" t="str">
            <v>Voluntary Controlled School</v>
          </cell>
          <cell r="F11090" t="str">
            <v>Primary</v>
          </cell>
        </row>
        <row r="11091">
          <cell r="A11091">
            <v>8652003</v>
          </cell>
          <cell r="B11091">
            <v>132093</v>
          </cell>
          <cell r="C11091" t="str">
            <v>Fynamore Primary School</v>
          </cell>
          <cell r="D11091" t="str">
            <v>Wiltshire</v>
          </cell>
          <cell r="E11091" t="str">
            <v>Community School</v>
          </cell>
          <cell r="F11091" t="str">
            <v>Primary</v>
          </cell>
        </row>
        <row r="11092">
          <cell r="A11092">
            <v>8404052</v>
          </cell>
          <cell r="B11092">
            <v>114289</v>
          </cell>
          <cell r="C11092" t="str">
            <v>Fyndoune Community College</v>
          </cell>
          <cell r="D11092" t="str">
            <v>Durham</v>
          </cell>
          <cell r="E11092" t="str">
            <v>Community School</v>
          </cell>
          <cell r="F11092" t="str">
            <v>Secondary</v>
          </cell>
        </row>
        <row r="11093">
          <cell r="A11093">
            <v>6812019</v>
          </cell>
          <cell r="B11093">
            <v>401566</v>
          </cell>
          <cell r="C11093" t="str">
            <v>Gabalfa Primary School</v>
          </cell>
          <cell r="D11093" t="str">
            <v>Cardiff</v>
          </cell>
          <cell r="E11093" t="str">
            <v>Welsh Establishment</v>
          </cell>
          <cell r="F11093" t="str">
            <v>Primary</v>
          </cell>
        </row>
        <row r="11094">
          <cell r="A11094">
            <v>9356085</v>
          </cell>
          <cell r="B11094">
            <v>130855</v>
          </cell>
          <cell r="C11094" t="str">
            <v>Gable End</v>
          </cell>
          <cell r="D11094" t="str">
            <v>Suffolk</v>
          </cell>
          <cell r="E11094" t="str">
            <v>Other Independent Special School</v>
          </cell>
          <cell r="F11094" t="str">
            <v>Not applicable</v>
          </cell>
        </row>
        <row r="11095">
          <cell r="A11095">
            <v>8835439</v>
          </cell>
          <cell r="B11095">
            <v>115355</v>
          </cell>
          <cell r="C11095" t="str">
            <v>Gable Hall School</v>
          </cell>
          <cell r="D11095" t="str">
            <v>Thurrock</v>
          </cell>
          <cell r="E11095" t="str">
            <v>Foundation School</v>
          </cell>
          <cell r="F11095" t="str">
            <v>Secondary</v>
          </cell>
        </row>
        <row r="11096">
          <cell r="A11096">
            <v>8835439</v>
          </cell>
          <cell r="B11096">
            <v>136854</v>
          </cell>
          <cell r="C11096" t="str">
            <v>Gable Hall School</v>
          </cell>
          <cell r="D11096" t="str">
            <v>Thurrock</v>
          </cell>
          <cell r="E11096" t="str">
            <v>Academy Converters</v>
          </cell>
          <cell r="F11096" t="str">
            <v>Secondary</v>
          </cell>
        </row>
        <row r="11097">
          <cell r="A11097">
            <v>8552037</v>
          </cell>
          <cell r="B11097">
            <v>119924</v>
          </cell>
          <cell r="C11097" t="str">
            <v>Gaddesby Primary School</v>
          </cell>
          <cell r="D11097" t="str">
            <v>Leicestershire</v>
          </cell>
          <cell r="E11097" t="str">
            <v>Community School</v>
          </cell>
          <cell r="F11097" t="str">
            <v>Primary</v>
          </cell>
        </row>
        <row r="11098">
          <cell r="A11098">
            <v>9192032</v>
          </cell>
          <cell r="B11098">
            <v>117101</v>
          </cell>
          <cell r="C11098" t="str">
            <v>Gaddesden Row JMI School</v>
          </cell>
          <cell r="D11098" t="str">
            <v>Hertfordshire</v>
          </cell>
          <cell r="E11098" t="str">
            <v>Community School</v>
          </cell>
          <cell r="F11098" t="str">
            <v>Primary</v>
          </cell>
        </row>
        <row r="11099">
          <cell r="A11099">
            <v>9192274</v>
          </cell>
          <cell r="B11099">
            <v>117249</v>
          </cell>
          <cell r="C11099" t="str">
            <v>Gade Valley Junior Mixed Infant and Nursery School</v>
          </cell>
          <cell r="D11099" t="str">
            <v>Hertfordshire</v>
          </cell>
          <cell r="E11099" t="str">
            <v>Community School</v>
          </cell>
          <cell r="F11099" t="str">
            <v>Primary</v>
          </cell>
        </row>
        <row r="11100">
          <cell r="A11100">
            <v>8866007</v>
          </cell>
          <cell r="B11100">
            <v>118944</v>
          </cell>
          <cell r="C11100" t="str">
            <v>Gad's Hill School</v>
          </cell>
          <cell r="D11100" t="str">
            <v>Kent</v>
          </cell>
          <cell r="E11100" t="str">
            <v>Other Independent School</v>
          </cell>
          <cell r="F11100" t="str">
            <v>Not applicable</v>
          </cell>
        </row>
        <row r="11101">
          <cell r="A11101">
            <v>6802014</v>
          </cell>
          <cell r="B11101">
            <v>401509</v>
          </cell>
          <cell r="C11101" t="str">
            <v>Gaer Infant School</v>
          </cell>
          <cell r="D11101" t="str">
            <v>Newport</v>
          </cell>
          <cell r="E11101" t="str">
            <v>Welsh Establishment</v>
          </cell>
          <cell r="F11101" t="str">
            <v>Primary</v>
          </cell>
        </row>
        <row r="11102">
          <cell r="A11102">
            <v>6802013</v>
          </cell>
          <cell r="B11102">
            <v>401508</v>
          </cell>
          <cell r="C11102" t="str">
            <v>Gaer Junior School</v>
          </cell>
          <cell r="D11102" t="str">
            <v>Newport</v>
          </cell>
          <cell r="E11102" t="str">
            <v>Welsh Establishment</v>
          </cell>
          <cell r="F11102" t="str">
            <v>Primary</v>
          </cell>
        </row>
        <row r="11103">
          <cell r="A11103">
            <v>8403131</v>
          </cell>
          <cell r="B11103">
            <v>114222</v>
          </cell>
          <cell r="C11103" t="str">
            <v>Gainford CofE Primary School</v>
          </cell>
          <cell r="D11103" t="str">
            <v>Durham</v>
          </cell>
          <cell r="E11103" t="str">
            <v>Voluntary Controlled School</v>
          </cell>
          <cell r="F11103" t="str">
            <v>Primary</v>
          </cell>
        </row>
        <row r="11104">
          <cell r="A11104">
            <v>9252247</v>
          </cell>
          <cell r="B11104">
            <v>120510</v>
          </cell>
          <cell r="C11104" t="str">
            <v>Gainsborough Benjamin Adlard Community School</v>
          </cell>
          <cell r="D11104" t="str">
            <v>Lincolnshire</v>
          </cell>
          <cell r="E11104" t="str">
            <v>Community School</v>
          </cell>
          <cell r="F11104" t="str">
            <v>Primary</v>
          </cell>
        </row>
        <row r="11105">
          <cell r="A11105">
            <v>8752204</v>
          </cell>
          <cell r="B11105">
            <v>111063</v>
          </cell>
          <cell r="C11105" t="str">
            <v>Gainsborough Junior School</v>
          </cell>
          <cell r="D11105" t="str">
            <v>Pre LGR (2009) Cheshire</v>
          </cell>
          <cell r="E11105" t="str">
            <v>Community School</v>
          </cell>
          <cell r="F11105" t="str">
            <v>Primary</v>
          </cell>
        </row>
        <row r="11106">
          <cell r="A11106">
            <v>8752327</v>
          </cell>
          <cell r="B11106">
            <v>111142</v>
          </cell>
          <cell r="C11106" t="str">
            <v>Gainsborough Nursery and Infant School</v>
          </cell>
          <cell r="D11106" t="str">
            <v>Pre LGR (2009) Cheshire</v>
          </cell>
          <cell r="E11106" t="str">
            <v>Community School</v>
          </cell>
          <cell r="F11106" t="str">
            <v>Primary</v>
          </cell>
        </row>
        <row r="11107">
          <cell r="A11107">
            <v>8953810</v>
          </cell>
          <cell r="B11107">
            <v>133352</v>
          </cell>
          <cell r="C11107" t="str">
            <v>Gainsborough Primary and Nursery School</v>
          </cell>
          <cell r="D11107" t="str">
            <v>Cheshire East</v>
          </cell>
          <cell r="E11107" t="str">
            <v>Community School</v>
          </cell>
          <cell r="F11107" t="str">
            <v>Primary</v>
          </cell>
        </row>
        <row r="11108">
          <cell r="A11108">
            <v>2042238</v>
          </cell>
          <cell r="B11108">
            <v>100225</v>
          </cell>
          <cell r="C11108" t="str">
            <v>Gainsborough Primary School</v>
          </cell>
          <cell r="D11108" t="str">
            <v>Hackney</v>
          </cell>
          <cell r="E11108" t="str">
            <v>Community School</v>
          </cell>
          <cell r="F11108" t="str">
            <v>Primary</v>
          </cell>
        </row>
        <row r="11109">
          <cell r="A11109">
            <v>3162022</v>
          </cell>
          <cell r="B11109">
            <v>102720</v>
          </cell>
          <cell r="C11109" t="str">
            <v>Gainsborough Primary School</v>
          </cell>
          <cell r="D11109" t="str">
            <v>Newham</v>
          </cell>
          <cell r="E11109" t="str">
            <v>Community School</v>
          </cell>
          <cell r="F11109" t="str">
            <v>Primary</v>
          </cell>
        </row>
        <row r="11110">
          <cell r="A11110">
            <v>9372107</v>
          </cell>
          <cell r="B11110">
            <v>125539</v>
          </cell>
          <cell r="C11110" t="str">
            <v>Galley Common Infant School</v>
          </cell>
          <cell r="D11110" t="str">
            <v>Warwickshire</v>
          </cell>
          <cell r="E11110" t="str">
            <v>Community School</v>
          </cell>
          <cell r="F11110" t="str">
            <v>Primary</v>
          </cell>
        </row>
        <row r="11111">
          <cell r="A11111">
            <v>8072088</v>
          </cell>
          <cell r="B11111">
            <v>111567</v>
          </cell>
          <cell r="C11111" t="str">
            <v>Galley Hill Primary School</v>
          </cell>
          <cell r="D11111" t="str">
            <v>Redcar and Cleveland</v>
          </cell>
          <cell r="E11111" t="str">
            <v>Community School</v>
          </cell>
          <cell r="F11111" t="str">
            <v>Primary</v>
          </cell>
        </row>
        <row r="11112">
          <cell r="A11112">
            <v>9193990</v>
          </cell>
          <cell r="B11112">
            <v>135224</v>
          </cell>
          <cell r="C11112" t="str">
            <v>Galley Hill Primary School and Nursery</v>
          </cell>
          <cell r="D11112" t="str">
            <v>Hertfordshire</v>
          </cell>
          <cell r="E11112" t="str">
            <v>Community School</v>
          </cell>
          <cell r="F11112" t="str">
            <v>Primary</v>
          </cell>
        </row>
        <row r="11113">
          <cell r="A11113">
            <v>2102240</v>
          </cell>
          <cell r="B11113">
            <v>100788</v>
          </cell>
          <cell r="C11113" t="str">
            <v>Galleywall Primary School</v>
          </cell>
          <cell r="D11113" t="str">
            <v>Southwark</v>
          </cell>
          <cell r="E11113" t="str">
            <v>Community School</v>
          </cell>
          <cell r="F11113" t="str">
            <v>Primary</v>
          </cell>
        </row>
        <row r="11114">
          <cell r="A11114">
            <v>8812549</v>
          </cell>
          <cell r="B11114">
            <v>114887</v>
          </cell>
          <cell r="C11114" t="str">
            <v>Galleywood Infant School</v>
          </cell>
          <cell r="D11114" t="str">
            <v>Essex</v>
          </cell>
          <cell r="E11114" t="str">
            <v>Community School</v>
          </cell>
          <cell r="F11114" t="str">
            <v>Primary</v>
          </cell>
        </row>
        <row r="11115">
          <cell r="A11115">
            <v>3082030</v>
          </cell>
          <cell r="B11115">
            <v>101991</v>
          </cell>
          <cell r="C11115" t="str">
            <v>Galliard Primary School</v>
          </cell>
          <cell r="D11115" t="str">
            <v>Enfield</v>
          </cell>
          <cell r="E11115" t="str">
            <v>Community School</v>
          </cell>
          <cell r="F11115" t="str">
            <v>Primary</v>
          </cell>
        </row>
        <row r="11116">
          <cell r="A11116">
            <v>2032242</v>
          </cell>
          <cell r="B11116">
            <v>100126</v>
          </cell>
          <cell r="C11116" t="str">
            <v>Gallions Mount Primary School</v>
          </cell>
          <cell r="D11116" t="str">
            <v>Greenwich</v>
          </cell>
          <cell r="E11116" t="str">
            <v>Community School</v>
          </cell>
          <cell r="F11116" t="str">
            <v>Primary</v>
          </cell>
        </row>
        <row r="11117">
          <cell r="A11117">
            <v>3162098</v>
          </cell>
          <cell r="B11117">
            <v>131890</v>
          </cell>
          <cell r="C11117" t="str">
            <v>Gallions Primary School</v>
          </cell>
          <cell r="D11117" t="str">
            <v>Newham</v>
          </cell>
          <cell r="E11117" t="str">
            <v>Community School</v>
          </cell>
          <cell r="F11117" t="str">
            <v>Primary</v>
          </cell>
        </row>
        <row r="11118">
          <cell r="A11118">
            <v>9297002</v>
          </cell>
          <cell r="B11118">
            <v>122381</v>
          </cell>
          <cell r="C11118" t="str">
            <v>Gallowhill Hall Boarding Special School</v>
          </cell>
          <cell r="D11118" t="str">
            <v>Northumberland</v>
          </cell>
          <cell r="E11118" t="str">
            <v>Community Special School</v>
          </cell>
          <cell r="F11118" t="str">
            <v>Special</v>
          </cell>
        </row>
        <row r="11119">
          <cell r="A11119">
            <v>8803600</v>
          </cell>
          <cell r="B11119">
            <v>113458</v>
          </cell>
          <cell r="C11119" t="str">
            <v>Galmpton Church of England Primary School</v>
          </cell>
          <cell r="D11119" t="str">
            <v>Torbay</v>
          </cell>
          <cell r="E11119" t="str">
            <v>Voluntary Aided School</v>
          </cell>
          <cell r="F11119" t="str">
            <v>Primary</v>
          </cell>
        </row>
        <row r="11120">
          <cell r="A11120">
            <v>3414071</v>
          </cell>
          <cell r="B11120">
            <v>127324</v>
          </cell>
          <cell r="C11120" t="str">
            <v>Galn Alyn Boarding School</v>
          </cell>
          <cell r="D11120" t="str">
            <v>Liverpool</v>
          </cell>
          <cell r="E11120" t="str">
            <v>Community School</v>
          </cell>
          <cell r="F11120" t="str">
            <v>Secondary</v>
          </cell>
        </row>
        <row r="11121">
          <cell r="A11121">
            <v>9272303</v>
          </cell>
          <cell r="B11121">
            <v>129651</v>
          </cell>
          <cell r="C11121" t="str">
            <v>Galphay County Primary School</v>
          </cell>
          <cell r="D11121" t="str">
            <v>Pre LGR (1996) North Yorkshire</v>
          </cell>
          <cell r="E11121" t="str">
            <v>Community School</v>
          </cell>
          <cell r="F11121" t="str">
            <v>Primary</v>
          </cell>
        </row>
        <row r="11122">
          <cell r="A11122">
            <v>3333409</v>
          </cell>
          <cell r="B11122">
            <v>135288</v>
          </cell>
          <cell r="C11122" t="str">
            <v>Galton Valley Primary School</v>
          </cell>
          <cell r="D11122" t="str">
            <v>Sandwell</v>
          </cell>
          <cell r="E11122" t="str">
            <v>Community School</v>
          </cell>
          <cell r="F11122" t="str">
            <v>Primary</v>
          </cell>
        </row>
        <row r="11123">
          <cell r="A11123">
            <v>8167031</v>
          </cell>
          <cell r="B11123">
            <v>121781</v>
          </cell>
          <cell r="C11123" t="str">
            <v>Galtres School</v>
          </cell>
          <cell r="D11123" t="str">
            <v>York</v>
          </cell>
          <cell r="E11123" t="str">
            <v>Community Special School</v>
          </cell>
          <cell r="F11123" t="str">
            <v>Special</v>
          </cell>
        </row>
        <row r="11124">
          <cell r="A11124">
            <v>8306028</v>
          </cell>
          <cell r="B11124">
            <v>134404</v>
          </cell>
          <cell r="C11124" t="str">
            <v>Gamelea Countryside Training Trust</v>
          </cell>
          <cell r="D11124" t="str">
            <v>Derbyshire</v>
          </cell>
          <cell r="E11124" t="str">
            <v>Other Independent School</v>
          </cell>
          <cell r="F11124" t="str">
            <v>Not applicable</v>
          </cell>
        </row>
        <row r="11125">
          <cell r="A11125">
            <v>8302354</v>
          </cell>
          <cell r="B11125">
            <v>112693</v>
          </cell>
          <cell r="C11125" t="str">
            <v>Gamesley Community Primary School</v>
          </cell>
          <cell r="D11125" t="str">
            <v>Derbyshire</v>
          </cell>
          <cell r="E11125" t="str">
            <v>Community School</v>
          </cell>
          <cell r="F11125" t="str">
            <v>Primary</v>
          </cell>
        </row>
        <row r="11126">
          <cell r="A11126">
            <v>8301002</v>
          </cell>
          <cell r="B11126">
            <v>112470</v>
          </cell>
          <cell r="C11126" t="str">
            <v>Gamesley Early Excellence Centre</v>
          </cell>
          <cell r="D11126" t="str">
            <v>Derbyshire</v>
          </cell>
          <cell r="E11126" t="str">
            <v>LA Nursery School</v>
          </cell>
          <cell r="F11126" t="str">
            <v>Nursery</v>
          </cell>
        </row>
        <row r="11127">
          <cell r="A11127">
            <v>8732014</v>
          </cell>
          <cell r="B11127">
            <v>110609</v>
          </cell>
          <cell r="C11127" t="str">
            <v>Gamlingay First School</v>
          </cell>
          <cell r="D11127" t="str">
            <v>Cambridgeshire</v>
          </cell>
          <cell r="E11127" t="str">
            <v>Community School</v>
          </cell>
          <cell r="F11127" t="str">
            <v>Primary</v>
          </cell>
        </row>
        <row r="11128">
          <cell r="A11128">
            <v>8735400</v>
          </cell>
          <cell r="B11128">
            <v>110894</v>
          </cell>
          <cell r="C11128" t="str">
            <v>Gamlingay Village College</v>
          </cell>
          <cell r="D11128" t="str">
            <v>Cambridgeshire</v>
          </cell>
          <cell r="E11128" t="str">
            <v>Foundation School</v>
          </cell>
          <cell r="F11128" t="str">
            <v>Middle Deemed Secondary</v>
          </cell>
        </row>
        <row r="11129">
          <cell r="A11129">
            <v>8913546</v>
          </cell>
          <cell r="B11129">
            <v>122801</v>
          </cell>
          <cell r="C11129" t="str">
            <v>Gamston CofE (Aided) Primary School</v>
          </cell>
          <cell r="D11129" t="str">
            <v>Nottinghamshire</v>
          </cell>
          <cell r="E11129" t="str">
            <v>Voluntary Aided School</v>
          </cell>
          <cell r="F11129" t="str">
            <v>Primary</v>
          </cell>
        </row>
        <row r="11130">
          <cell r="A11130">
            <v>3441002</v>
          </cell>
          <cell r="B11130">
            <v>104986</v>
          </cell>
          <cell r="C11130" t="str">
            <v>Ganney's Meadow Early Years Centre</v>
          </cell>
          <cell r="D11130" t="str">
            <v>Wirral</v>
          </cell>
          <cell r="E11130" t="str">
            <v>LA Nursery School</v>
          </cell>
          <cell r="F11130" t="str">
            <v>Nursery</v>
          </cell>
        </row>
        <row r="11131">
          <cell r="A11131">
            <v>9273157</v>
          </cell>
          <cell r="B11131">
            <v>129664</v>
          </cell>
          <cell r="C11131" t="str">
            <v>Ganton School</v>
          </cell>
          <cell r="D11131" t="str">
            <v>Pre LGR (1996) North Yorkshire</v>
          </cell>
          <cell r="E11131" t="str">
            <v>Voluntary Controlled School</v>
          </cell>
          <cell r="F11131" t="str">
            <v>Primary</v>
          </cell>
        </row>
        <row r="11132">
          <cell r="A11132">
            <v>8117028</v>
          </cell>
          <cell r="B11132">
            <v>118149</v>
          </cell>
          <cell r="C11132" t="str">
            <v>Ganton Special School</v>
          </cell>
          <cell r="D11132" t="str">
            <v>East Riding of Yorkshire</v>
          </cell>
          <cell r="E11132" t="str">
            <v>Community Special School</v>
          </cell>
          <cell r="F11132" t="str">
            <v>Special</v>
          </cell>
        </row>
        <row r="11133">
          <cell r="A11133">
            <v>8107028</v>
          </cell>
          <cell r="B11133">
            <v>134626</v>
          </cell>
          <cell r="C11133" t="str">
            <v>Ganton Special School</v>
          </cell>
          <cell r="D11133" t="str">
            <v>Kingston upon Hull City of</v>
          </cell>
          <cell r="E11133" t="str">
            <v>Community Special School</v>
          </cell>
          <cell r="F11133" t="str">
            <v>Special</v>
          </cell>
        </row>
        <row r="11134">
          <cell r="A11134">
            <v>8867068</v>
          </cell>
          <cell r="B11134">
            <v>119063</v>
          </cell>
          <cell r="C11134" t="str">
            <v>Gap House School</v>
          </cell>
          <cell r="D11134" t="str">
            <v>Kent</v>
          </cell>
          <cell r="E11134" t="str">
            <v>Community Special School</v>
          </cell>
          <cell r="F11134" t="str">
            <v>Special</v>
          </cell>
        </row>
        <row r="11135">
          <cell r="A11135">
            <v>9263032</v>
          </cell>
          <cell r="B11135">
            <v>121038</v>
          </cell>
          <cell r="C11135" t="str">
            <v>Garboldisham Church Primary School</v>
          </cell>
          <cell r="D11135" t="str">
            <v>Norfolk</v>
          </cell>
          <cell r="E11135" t="str">
            <v>Voluntary Controlled School</v>
          </cell>
          <cell r="F11135" t="str">
            <v>Primary</v>
          </cell>
        </row>
        <row r="11136">
          <cell r="A11136">
            <v>9192095</v>
          </cell>
          <cell r="B11136">
            <v>117139</v>
          </cell>
          <cell r="C11136" t="str">
            <v>Garden Fields Junior Mixed and Infant School</v>
          </cell>
          <cell r="D11136" t="str">
            <v>Hertfordshire</v>
          </cell>
          <cell r="E11136" t="str">
            <v>Community School</v>
          </cell>
          <cell r="F11136" t="str">
            <v>Primary</v>
          </cell>
        </row>
        <row r="11137">
          <cell r="A11137">
            <v>2076213</v>
          </cell>
          <cell r="B11137">
            <v>100522</v>
          </cell>
          <cell r="C11137" t="str">
            <v>Garden House School</v>
          </cell>
          <cell r="D11137" t="str">
            <v>Kensington and Chelsea</v>
          </cell>
          <cell r="E11137" t="str">
            <v>Other Independent School</v>
          </cell>
          <cell r="F11137" t="str">
            <v>Not applicable</v>
          </cell>
        </row>
        <row r="11138">
          <cell r="A11138">
            <v>3152093</v>
          </cell>
          <cell r="B11138">
            <v>132168</v>
          </cell>
          <cell r="C11138" t="str">
            <v>Garden Primary School</v>
          </cell>
          <cell r="D11138" t="str">
            <v>Merton</v>
          </cell>
          <cell r="E11138" t="str">
            <v>Community School</v>
          </cell>
          <cell r="F11138" t="str">
            <v>Primary</v>
          </cell>
        </row>
        <row r="11139">
          <cell r="A11139">
            <v>3022028</v>
          </cell>
          <cell r="B11139">
            <v>101282</v>
          </cell>
          <cell r="C11139" t="str">
            <v>Garden Suburb Infant School</v>
          </cell>
          <cell r="D11139" t="str">
            <v>Barnet</v>
          </cell>
          <cell r="E11139" t="str">
            <v>Community School</v>
          </cell>
          <cell r="F11139" t="str">
            <v>Primary</v>
          </cell>
        </row>
        <row r="11140">
          <cell r="A11140">
            <v>3022027</v>
          </cell>
          <cell r="B11140">
            <v>101281</v>
          </cell>
          <cell r="C11140" t="str">
            <v>Garden Suburb Junior School</v>
          </cell>
          <cell r="D11140" t="str">
            <v>Barnet</v>
          </cell>
          <cell r="E11140" t="str">
            <v>Community School</v>
          </cell>
          <cell r="F11140" t="str">
            <v>Primary</v>
          </cell>
        </row>
        <row r="11141">
          <cell r="A11141">
            <v>9162177</v>
          </cell>
          <cell r="B11141">
            <v>131249</v>
          </cell>
          <cell r="C11141" t="str">
            <v>Gardners Lane Primary School</v>
          </cell>
          <cell r="D11141" t="str">
            <v>Gloucestershire</v>
          </cell>
          <cell r="E11141" t="str">
            <v>Foundation School</v>
          </cell>
          <cell r="F11141" t="str">
            <v>Primary</v>
          </cell>
        </row>
        <row r="11142">
          <cell r="A11142">
            <v>3082032</v>
          </cell>
          <cell r="B11142">
            <v>101992</v>
          </cell>
          <cell r="C11142" t="str">
            <v>Garfield Primary School</v>
          </cell>
          <cell r="D11142" t="str">
            <v>Enfield</v>
          </cell>
          <cell r="E11142" t="str">
            <v>Community School</v>
          </cell>
          <cell r="F11142" t="str">
            <v>Primary</v>
          </cell>
        </row>
        <row r="11143">
          <cell r="A11143">
            <v>3152056</v>
          </cell>
          <cell r="B11143">
            <v>102629</v>
          </cell>
          <cell r="C11143" t="str">
            <v>Garfield Primary School</v>
          </cell>
          <cell r="D11143" t="str">
            <v>Merton</v>
          </cell>
          <cell r="E11143" t="str">
            <v>Community School</v>
          </cell>
          <cell r="F11143" t="str">
            <v>Primary</v>
          </cell>
        </row>
        <row r="11144">
          <cell r="A11144">
            <v>3834112</v>
          </cell>
          <cell r="B11144">
            <v>136343</v>
          </cell>
          <cell r="C11144" t="str">
            <v>Garforth Academy</v>
          </cell>
          <cell r="D11144" t="str">
            <v>Leeds</v>
          </cell>
          <cell r="E11144" t="str">
            <v>Academy Converters</v>
          </cell>
          <cell r="F11144" t="str">
            <v>Secondary</v>
          </cell>
        </row>
        <row r="11145">
          <cell r="A11145">
            <v>3832277</v>
          </cell>
          <cell r="B11145">
            <v>107814</v>
          </cell>
          <cell r="C11145" t="str">
            <v>Garforth Barley Hill Infant School</v>
          </cell>
          <cell r="D11145" t="str">
            <v>Leeds</v>
          </cell>
          <cell r="E11145" t="str">
            <v>Community School</v>
          </cell>
          <cell r="F11145" t="str">
            <v>Primary</v>
          </cell>
        </row>
        <row r="11146">
          <cell r="A11146">
            <v>3834112</v>
          </cell>
          <cell r="B11146">
            <v>108089</v>
          </cell>
          <cell r="C11146" t="str">
            <v>Garforth Community College</v>
          </cell>
          <cell r="D11146" t="str">
            <v>Leeds</v>
          </cell>
          <cell r="E11146" t="str">
            <v>Foundation School</v>
          </cell>
          <cell r="F11146" t="str">
            <v>Secondary</v>
          </cell>
        </row>
        <row r="11147">
          <cell r="A11147">
            <v>3832396</v>
          </cell>
          <cell r="B11147">
            <v>107872</v>
          </cell>
          <cell r="C11147" t="str">
            <v>Garforth Green Lane Primary School</v>
          </cell>
          <cell r="D11147" t="str">
            <v>Leeds</v>
          </cell>
          <cell r="E11147" t="str">
            <v>Foundation School</v>
          </cell>
          <cell r="F11147" t="str">
            <v>Primary</v>
          </cell>
        </row>
        <row r="11148">
          <cell r="A11148">
            <v>3833035</v>
          </cell>
          <cell r="B11148">
            <v>127919</v>
          </cell>
          <cell r="C11148" t="str">
            <v>Garforth Parochial CofE Junior School</v>
          </cell>
          <cell r="D11148" t="str">
            <v>Leeds</v>
          </cell>
          <cell r="E11148" t="str">
            <v>Voluntary Controlled School</v>
          </cell>
          <cell r="F11148" t="str">
            <v>Primary</v>
          </cell>
        </row>
        <row r="11149">
          <cell r="A11149">
            <v>8153285</v>
          </cell>
          <cell r="B11149">
            <v>121599</v>
          </cell>
          <cell r="C11149" t="str">
            <v>Gargrave Church of England Voluntary Controlled Primary School</v>
          </cell>
          <cell r="D11149" t="str">
            <v>North Yorkshire</v>
          </cell>
          <cell r="E11149" t="str">
            <v>Voluntary Controlled School</v>
          </cell>
          <cell r="F11149" t="str">
            <v>Primary</v>
          </cell>
        </row>
        <row r="11150">
          <cell r="A11150">
            <v>8914041</v>
          </cell>
          <cell r="B11150">
            <v>122830</v>
          </cell>
          <cell r="C11150" t="str">
            <v>Garibaldi College</v>
          </cell>
          <cell r="D11150" t="str">
            <v>Nottinghamshire</v>
          </cell>
          <cell r="E11150" t="str">
            <v>Community School</v>
          </cell>
          <cell r="F11150" t="str">
            <v>Secondary</v>
          </cell>
        </row>
        <row r="11151">
          <cell r="A11151">
            <v>8692125</v>
          </cell>
          <cell r="B11151">
            <v>109858</v>
          </cell>
          <cell r="C11151" t="str">
            <v>Garland Junior School</v>
          </cell>
          <cell r="D11151" t="str">
            <v>West Berkshire</v>
          </cell>
          <cell r="E11151" t="str">
            <v>Community School</v>
          </cell>
          <cell r="F11151" t="str">
            <v>Primary</v>
          </cell>
        </row>
        <row r="11152">
          <cell r="A11152">
            <v>8862334</v>
          </cell>
          <cell r="B11152">
            <v>118409</v>
          </cell>
          <cell r="C11152" t="str">
            <v>Garlinge Infant School</v>
          </cell>
          <cell r="D11152" t="str">
            <v>Kent</v>
          </cell>
          <cell r="E11152" t="str">
            <v>Community School</v>
          </cell>
          <cell r="F11152" t="str">
            <v>Primary</v>
          </cell>
        </row>
        <row r="11153">
          <cell r="A11153">
            <v>8862333</v>
          </cell>
          <cell r="B11153">
            <v>118408</v>
          </cell>
          <cell r="C11153" t="str">
            <v>Garlinge Junior School</v>
          </cell>
          <cell r="D11153" t="str">
            <v>Kent</v>
          </cell>
          <cell r="E11153" t="str">
            <v>Community School</v>
          </cell>
          <cell r="F11153" t="str">
            <v>Primary</v>
          </cell>
        </row>
        <row r="11154">
          <cell r="A11154">
            <v>8863917</v>
          </cell>
          <cell r="B11154">
            <v>135212</v>
          </cell>
          <cell r="C11154" t="str">
            <v>Garlinge Primary School and Nursery</v>
          </cell>
          <cell r="D11154" t="str">
            <v>Kent</v>
          </cell>
          <cell r="E11154" t="str">
            <v>Community School</v>
          </cell>
          <cell r="F11154" t="str">
            <v>Primary</v>
          </cell>
        </row>
        <row r="11155">
          <cell r="A11155">
            <v>6772193</v>
          </cell>
          <cell r="B11155">
            <v>401398</v>
          </cell>
          <cell r="C11155" t="str">
            <v>Garn Fach Infant School</v>
          </cell>
          <cell r="D11155" t="str">
            <v>Blaenau Gwent</v>
          </cell>
          <cell r="E11155" t="str">
            <v>Welsh Establishment</v>
          </cell>
          <cell r="F11155" t="str">
            <v>Primary</v>
          </cell>
        </row>
        <row r="11156">
          <cell r="A11156">
            <v>6692053</v>
          </cell>
          <cell r="B11156">
            <v>400756</v>
          </cell>
          <cell r="C11156" t="str">
            <v>Garnant Primary School</v>
          </cell>
          <cell r="D11156" t="str">
            <v>Carmarthenshire</v>
          </cell>
          <cell r="E11156" t="str">
            <v>Welsh Establishment</v>
          </cell>
          <cell r="F11156" t="str">
            <v>Primary</v>
          </cell>
        </row>
        <row r="11157">
          <cell r="A11157">
            <v>6772213</v>
          </cell>
          <cell r="B11157">
            <v>401402</v>
          </cell>
          <cell r="C11157" t="str">
            <v>Garnlydan Primary School</v>
          </cell>
          <cell r="D11157" t="str">
            <v>Blaenau Gwent</v>
          </cell>
          <cell r="E11157" t="str">
            <v>Welsh Establishment</v>
          </cell>
          <cell r="F11157" t="str">
            <v>Primary</v>
          </cell>
        </row>
        <row r="11158">
          <cell r="A11158">
            <v>6782315</v>
          </cell>
          <cell r="B11158">
            <v>401451</v>
          </cell>
          <cell r="C11158" t="str">
            <v>Garnteg Primary School</v>
          </cell>
          <cell r="D11158" t="str">
            <v>Torfaen</v>
          </cell>
          <cell r="E11158" t="str">
            <v>Welsh Establishment</v>
          </cell>
          <cell r="F11158" t="str">
            <v>Primary</v>
          </cell>
        </row>
        <row r="11159">
          <cell r="A11159">
            <v>9082114</v>
          </cell>
          <cell r="B11159">
            <v>111816</v>
          </cell>
          <cell r="C11159" t="str">
            <v>Garras Community Primary School</v>
          </cell>
          <cell r="D11159" t="str">
            <v>Cornwall</v>
          </cell>
          <cell r="E11159" t="str">
            <v>Community School</v>
          </cell>
          <cell r="F11159" t="str">
            <v>Primary</v>
          </cell>
        </row>
        <row r="11160">
          <cell r="A11160">
            <v>2127207</v>
          </cell>
          <cell r="B11160">
            <v>101103</v>
          </cell>
          <cell r="C11160" t="str">
            <v>Garratt Park School</v>
          </cell>
          <cell r="D11160" t="str">
            <v>Wandsworth</v>
          </cell>
          <cell r="E11160" t="str">
            <v>Community Special School</v>
          </cell>
          <cell r="F11160" t="str">
            <v>Special</v>
          </cell>
        </row>
        <row r="11161">
          <cell r="A11161">
            <v>3592058</v>
          </cell>
          <cell r="B11161">
            <v>106433</v>
          </cell>
          <cell r="C11161" t="str">
            <v>Garrett Hall Primary School</v>
          </cell>
          <cell r="D11161" t="str">
            <v>Wigan</v>
          </cell>
          <cell r="E11161" t="str">
            <v>Community School</v>
          </cell>
          <cell r="F11161" t="str">
            <v>Primary</v>
          </cell>
        </row>
        <row r="11162">
          <cell r="A11162">
            <v>3301006</v>
          </cell>
          <cell r="B11162">
            <v>103122</v>
          </cell>
          <cell r="C11162" t="str">
            <v>Garretts Green Nursery School</v>
          </cell>
          <cell r="D11162" t="str">
            <v>Birmingham</v>
          </cell>
          <cell r="E11162" t="str">
            <v>LA Nursery School</v>
          </cell>
          <cell r="F11162" t="str">
            <v>Nursery</v>
          </cell>
        </row>
        <row r="11163">
          <cell r="A11163">
            <v>9262384</v>
          </cell>
          <cell r="B11163">
            <v>121001</v>
          </cell>
          <cell r="C11163" t="str">
            <v>Garrick Green Infant School</v>
          </cell>
          <cell r="D11163" t="str">
            <v>Norfolk</v>
          </cell>
          <cell r="E11163" t="str">
            <v>Community School</v>
          </cell>
          <cell r="F11163" t="str">
            <v>Primary</v>
          </cell>
        </row>
        <row r="11164">
          <cell r="A11164">
            <v>9313167</v>
          </cell>
          <cell r="B11164">
            <v>123123</v>
          </cell>
          <cell r="C11164" t="str">
            <v>Garsington Church of England Primary School</v>
          </cell>
          <cell r="D11164" t="str">
            <v>Oxfordshire</v>
          </cell>
          <cell r="E11164" t="str">
            <v>Voluntary Controlled School</v>
          </cell>
          <cell r="F11164" t="str">
            <v>Primary</v>
          </cell>
        </row>
        <row r="11165">
          <cell r="A11165">
            <v>8882530</v>
          </cell>
          <cell r="B11165">
            <v>119300</v>
          </cell>
          <cell r="C11165" t="str">
            <v>Garstang Community Primary School</v>
          </cell>
          <cell r="D11165" t="str">
            <v>Lancashire</v>
          </cell>
          <cell r="E11165" t="str">
            <v>Community School</v>
          </cell>
          <cell r="F11165" t="str">
            <v>Primary</v>
          </cell>
        </row>
        <row r="11166">
          <cell r="A11166">
            <v>8884160</v>
          </cell>
          <cell r="B11166">
            <v>119747</v>
          </cell>
          <cell r="C11166" t="str">
            <v>Garstang High School : A Community Technology College</v>
          </cell>
          <cell r="D11166" t="str">
            <v>Lancashire</v>
          </cell>
          <cell r="E11166" t="str">
            <v>Community School</v>
          </cell>
          <cell r="F11166" t="str">
            <v>Secondary</v>
          </cell>
        </row>
        <row r="11167">
          <cell r="A11167">
            <v>8884160</v>
          </cell>
          <cell r="B11167">
            <v>137342</v>
          </cell>
          <cell r="C11167" t="str">
            <v>Garstang High School : A Community Technology College</v>
          </cell>
          <cell r="D11167" t="str">
            <v>Lancashire</v>
          </cell>
          <cell r="E11167" t="str">
            <v>Academy Converters</v>
          </cell>
          <cell r="F11167" t="str">
            <v>Secondary</v>
          </cell>
        </row>
        <row r="11168">
          <cell r="A11168">
            <v>8883526</v>
          </cell>
          <cell r="B11168">
            <v>119528</v>
          </cell>
          <cell r="C11168" t="str">
            <v>Garstang St Thomas' Church of England Primary School</v>
          </cell>
          <cell r="D11168" t="str">
            <v>Lancashire</v>
          </cell>
          <cell r="E11168" t="str">
            <v>Voluntary Aided School</v>
          </cell>
          <cell r="F11168" t="str">
            <v>Primary</v>
          </cell>
        </row>
        <row r="11169">
          <cell r="A11169">
            <v>3413302</v>
          </cell>
          <cell r="B11169">
            <v>104620</v>
          </cell>
          <cell r="C11169" t="str">
            <v>Garston Church of England Primary School</v>
          </cell>
          <cell r="D11169" t="str">
            <v>Liverpool</v>
          </cell>
          <cell r="E11169" t="str">
            <v>Voluntary Aided School</v>
          </cell>
          <cell r="F11169" t="str">
            <v>Primary</v>
          </cell>
        </row>
        <row r="11170">
          <cell r="A11170">
            <v>9192129</v>
          </cell>
          <cell r="B11170">
            <v>117164</v>
          </cell>
          <cell r="C11170" t="str">
            <v>Garston Infants' School</v>
          </cell>
          <cell r="D11170" t="str">
            <v>Hertfordshire</v>
          </cell>
          <cell r="E11170" t="str">
            <v>Community School</v>
          </cell>
          <cell r="F11170" t="str">
            <v>Primary</v>
          </cell>
        </row>
        <row r="11171">
          <cell r="A11171">
            <v>9197008</v>
          </cell>
          <cell r="B11171">
            <v>117667</v>
          </cell>
          <cell r="C11171" t="str">
            <v>Garston Manor School</v>
          </cell>
          <cell r="D11171" t="str">
            <v>Hertfordshire</v>
          </cell>
          <cell r="E11171" t="str">
            <v>Community Special School</v>
          </cell>
          <cell r="F11171" t="str">
            <v>Special</v>
          </cell>
        </row>
        <row r="11172">
          <cell r="A11172">
            <v>3422061</v>
          </cell>
          <cell r="B11172">
            <v>104778</v>
          </cell>
          <cell r="C11172" t="str">
            <v>Garswood Primary School</v>
          </cell>
          <cell r="D11172" t="str">
            <v>St. Helens</v>
          </cell>
          <cell r="E11172" t="str">
            <v>Community School</v>
          </cell>
          <cell r="F11172" t="str">
            <v>Primary</v>
          </cell>
        </row>
        <row r="11173">
          <cell r="A11173">
            <v>6722129</v>
          </cell>
          <cell r="B11173">
            <v>401036</v>
          </cell>
          <cell r="C11173" t="str">
            <v>Garth  Primary School</v>
          </cell>
          <cell r="D11173" t="str">
            <v>Bridgend</v>
          </cell>
          <cell r="E11173" t="str">
            <v>Welsh Establishment</v>
          </cell>
          <cell r="F11173" t="str">
            <v>Primary</v>
          </cell>
        </row>
        <row r="11174">
          <cell r="A11174">
            <v>6652138</v>
          </cell>
          <cell r="B11174">
            <v>400392</v>
          </cell>
          <cell r="C11174" t="str">
            <v>Garth C.P. School</v>
          </cell>
          <cell r="D11174" t="str">
            <v>Wrexham</v>
          </cell>
          <cell r="E11174" t="str">
            <v>Welsh Establishment</v>
          </cell>
          <cell r="F11174" t="str">
            <v>Primary</v>
          </cell>
        </row>
        <row r="11175">
          <cell r="A11175">
            <v>8674059</v>
          </cell>
          <cell r="B11175">
            <v>110069</v>
          </cell>
          <cell r="C11175" t="str">
            <v>Garth Hill College</v>
          </cell>
          <cell r="D11175" t="str">
            <v>Bracknell Forest</v>
          </cell>
          <cell r="E11175" t="str">
            <v>Community School</v>
          </cell>
          <cell r="F11175" t="str">
            <v>Secondary</v>
          </cell>
        </row>
        <row r="11176">
          <cell r="A11176">
            <v>9092155</v>
          </cell>
          <cell r="B11176">
            <v>112148</v>
          </cell>
          <cell r="C11176" t="str">
            <v>Garth Infant School</v>
          </cell>
          <cell r="D11176" t="str">
            <v>Cumbria</v>
          </cell>
          <cell r="E11176" t="str">
            <v>Community School</v>
          </cell>
          <cell r="F11176" t="str">
            <v>Primary</v>
          </cell>
        </row>
        <row r="11177">
          <cell r="A11177">
            <v>8113022</v>
          </cell>
          <cell r="B11177">
            <v>117977</v>
          </cell>
          <cell r="C11177" t="str">
            <v>Garton-on-the-Wolds Church of England Voluntary Controlled Primary School</v>
          </cell>
          <cell r="D11177" t="str">
            <v>East Riding of Yorkshire</v>
          </cell>
          <cell r="E11177" t="str">
            <v>Voluntary Controlled School</v>
          </cell>
          <cell r="F11177" t="str">
            <v>Primary</v>
          </cell>
        </row>
        <row r="11178">
          <cell r="A11178">
            <v>8554041</v>
          </cell>
          <cell r="B11178">
            <v>120262</v>
          </cell>
          <cell r="C11178" t="str">
            <v>Gartree High School Oadby</v>
          </cell>
          <cell r="D11178" t="str">
            <v>Leicestershire</v>
          </cell>
          <cell r="E11178" t="str">
            <v>Community School</v>
          </cell>
          <cell r="F11178" t="str">
            <v>Middle Deemed Secondary</v>
          </cell>
        </row>
        <row r="11179">
          <cell r="A11179">
            <v>9262067</v>
          </cell>
          <cell r="B11179">
            <v>120810</v>
          </cell>
          <cell r="C11179" t="str">
            <v>Garvestone Community Primary School</v>
          </cell>
          <cell r="D11179" t="str">
            <v>Norfolk</v>
          </cell>
          <cell r="E11179" t="str">
            <v>Community School</v>
          </cell>
          <cell r="F11179" t="str">
            <v>Primary</v>
          </cell>
        </row>
        <row r="11180">
          <cell r="A11180">
            <v>8842053</v>
          </cell>
          <cell r="B11180">
            <v>116677</v>
          </cell>
          <cell r="C11180" t="str">
            <v>Garway Primary School</v>
          </cell>
          <cell r="D11180" t="str">
            <v>Herefordshire</v>
          </cell>
          <cell r="E11180" t="str">
            <v>Community School</v>
          </cell>
          <cell r="F11180" t="str">
            <v>Primary</v>
          </cell>
        </row>
        <row r="11181">
          <cell r="A11181">
            <v>3012008</v>
          </cell>
          <cell r="B11181">
            <v>101191</v>
          </cell>
          <cell r="C11181" t="str">
            <v>Gascoigne Infants' School</v>
          </cell>
          <cell r="D11181" t="str">
            <v>Barking and Dagenham</v>
          </cell>
          <cell r="E11181" t="str">
            <v>Community School</v>
          </cell>
          <cell r="F11181" t="str">
            <v>Primary</v>
          </cell>
        </row>
        <row r="11182">
          <cell r="A11182">
            <v>3012007</v>
          </cell>
          <cell r="B11182">
            <v>101190</v>
          </cell>
          <cell r="C11182" t="str">
            <v>Gascoigne Junior School</v>
          </cell>
          <cell r="D11182" t="str">
            <v>Barking and Dagenham</v>
          </cell>
          <cell r="E11182" t="str">
            <v>Community School</v>
          </cell>
          <cell r="F11182" t="str">
            <v>Primary</v>
          </cell>
        </row>
        <row r="11183">
          <cell r="A11183">
            <v>3012075</v>
          </cell>
          <cell r="B11183">
            <v>131775</v>
          </cell>
          <cell r="C11183" t="str">
            <v>Gascoigne Primary School</v>
          </cell>
          <cell r="D11183" t="str">
            <v>Barking and Dagenham</v>
          </cell>
          <cell r="E11183" t="str">
            <v>Community School</v>
          </cell>
          <cell r="F11183" t="str">
            <v>Primary</v>
          </cell>
        </row>
        <row r="11184">
          <cell r="A11184">
            <v>9192037</v>
          </cell>
          <cell r="B11184">
            <v>117104</v>
          </cell>
          <cell r="C11184" t="str">
            <v>Gascoyne Cecil Junior School</v>
          </cell>
          <cell r="D11184" t="str">
            <v>Hertfordshire</v>
          </cell>
          <cell r="E11184" t="str">
            <v>Community School</v>
          </cell>
          <cell r="F11184" t="str">
            <v>Primary</v>
          </cell>
        </row>
        <row r="11185">
          <cell r="A11185">
            <v>3502014</v>
          </cell>
          <cell r="B11185">
            <v>105155</v>
          </cell>
          <cell r="C11185" t="str">
            <v>Gaskell Community Primary School</v>
          </cell>
          <cell r="D11185" t="str">
            <v>Bolton</v>
          </cell>
          <cell r="E11185" t="str">
            <v>Community School</v>
          </cell>
          <cell r="F11185" t="str">
            <v>Primary</v>
          </cell>
        </row>
        <row r="11186">
          <cell r="A11186">
            <v>9162137</v>
          </cell>
          <cell r="B11186">
            <v>115573</v>
          </cell>
          <cell r="C11186" t="str">
            <v>Gastrells Community Primary School</v>
          </cell>
          <cell r="D11186" t="str">
            <v>Gloucestershire</v>
          </cell>
          <cell r="E11186" t="str">
            <v>Community School</v>
          </cell>
          <cell r="F11186" t="str">
            <v>Primary</v>
          </cell>
        </row>
        <row r="11187">
          <cell r="A11187">
            <v>8512690</v>
          </cell>
          <cell r="B11187">
            <v>116204</v>
          </cell>
          <cell r="C11187" t="str">
            <v>Gatcombe Park Primary School</v>
          </cell>
          <cell r="D11187" t="str">
            <v>Portsmouth</v>
          </cell>
          <cell r="E11187" t="str">
            <v>Community School</v>
          </cell>
          <cell r="F11187" t="str">
            <v>Primary</v>
          </cell>
        </row>
        <row r="11188">
          <cell r="A11188">
            <v>3413305</v>
          </cell>
          <cell r="B11188">
            <v>127290</v>
          </cell>
          <cell r="C11188" t="str">
            <v>Gateacre CofE Primary School</v>
          </cell>
          <cell r="D11188" t="str">
            <v>Liverpool</v>
          </cell>
          <cell r="E11188" t="str">
            <v>Voluntary Aided School</v>
          </cell>
          <cell r="F11188" t="str">
            <v>Primary</v>
          </cell>
        </row>
        <row r="11189">
          <cell r="A11189">
            <v>3414429</v>
          </cell>
          <cell r="B11189">
            <v>104700</v>
          </cell>
          <cell r="C11189" t="str">
            <v>Gateacre Community Comprehensive School</v>
          </cell>
          <cell r="D11189" t="str">
            <v>Liverpool</v>
          </cell>
          <cell r="E11189" t="str">
            <v>Community School</v>
          </cell>
          <cell r="F11189" t="str">
            <v>Secondary</v>
          </cell>
        </row>
        <row r="11190">
          <cell r="A11190">
            <v>8912941</v>
          </cell>
          <cell r="B11190">
            <v>131722</v>
          </cell>
          <cell r="C11190" t="str">
            <v>Gateford Park Primary School</v>
          </cell>
          <cell r="D11190" t="str">
            <v>Nottinghamshire</v>
          </cell>
          <cell r="E11190" t="str">
            <v>Community School</v>
          </cell>
          <cell r="F11190" t="str">
            <v>Primary</v>
          </cell>
        </row>
        <row r="11191">
          <cell r="A11191">
            <v>8782475</v>
          </cell>
          <cell r="B11191">
            <v>113244</v>
          </cell>
          <cell r="C11191" t="str">
            <v>Gatehouse Primary School</v>
          </cell>
          <cell r="D11191" t="str">
            <v>Devon</v>
          </cell>
          <cell r="E11191" t="str">
            <v>Community School</v>
          </cell>
          <cell r="F11191" t="str">
            <v>Primary</v>
          </cell>
        </row>
        <row r="11192">
          <cell r="A11192">
            <v>2116089</v>
          </cell>
          <cell r="B11192">
            <v>100980</v>
          </cell>
          <cell r="C11192" t="str">
            <v>Gatehouse School</v>
          </cell>
          <cell r="D11192" t="str">
            <v>Tower Hamlets</v>
          </cell>
          <cell r="E11192" t="str">
            <v>Other Independent School</v>
          </cell>
          <cell r="F11192" t="str">
            <v>Not applicable</v>
          </cell>
        </row>
        <row r="11193">
          <cell r="A11193">
            <v>3908001</v>
          </cell>
          <cell r="B11193">
            <v>130551</v>
          </cell>
          <cell r="C11193" t="str">
            <v>Gateshead College</v>
          </cell>
          <cell r="D11193" t="str">
            <v>Gateshead</v>
          </cell>
          <cell r="E11193" t="str">
            <v>Further Education</v>
          </cell>
          <cell r="F11193" t="str">
            <v>16 Plus</v>
          </cell>
        </row>
        <row r="11194">
          <cell r="A11194">
            <v>3906002</v>
          </cell>
          <cell r="B11194">
            <v>108414</v>
          </cell>
          <cell r="C11194" t="str">
            <v>Gateshead Jewish Boarding School</v>
          </cell>
          <cell r="D11194" t="str">
            <v>Gateshead</v>
          </cell>
          <cell r="E11194" t="str">
            <v>Other Independent School</v>
          </cell>
          <cell r="F11194" t="str">
            <v>Not applicable</v>
          </cell>
        </row>
        <row r="11195">
          <cell r="A11195">
            <v>3906005</v>
          </cell>
          <cell r="B11195">
            <v>108417</v>
          </cell>
          <cell r="C11195" t="str">
            <v>Gateshead Jewish High School for Girls Ltd</v>
          </cell>
          <cell r="D11195" t="str">
            <v>Gateshead</v>
          </cell>
          <cell r="E11195" t="str">
            <v>Other Independent School</v>
          </cell>
          <cell r="F11195" t="str">
            <v>Not applicable</v>
          </cell>
        </row>
        <row r="11196">
          <cell r="A11196">
            <v>3906007</v>
          </cell>
          <cell r="B11196">
            <v>108419</v>
          </cell>
          <cell r="C11196" t="str">
            <v>Gateshead Jewish Nursery School</v>
          </cell>
          <cell r="D11196" t="str">
            <v>Gateshead</v>
          </cell>
          <cell r="E11196" t="str">
            <v>Other Independent School</v>
          </cell>
          <cell r="F11196" t="str">
            <v>Not applicable</v>
          </cell>
        </row>
        <row r="11197">
          <cell r="A11197">
            <v>3906004</v>
          </cell>
          <cell r="B11197">
            <v>108416</v>
          </cell>
          <cell r="C11197" t="str">
            <v>Gateshead Jewish Primary School</v>
          </cell>
          <cell r="D11197" t="str">
            <v>Gateshead</v>
          </cell>
          <cell r="E11197" t="str">
            <v>Other Independent School</v>
          </cell>
          <cell r="F11197" t="str">
            <v>Not applicable</v>
          </cell>
        </row>
        <row r="11198">
          <cell r="A11198">
            <v>8306017</v>
          </cell>
          <cell r="B11198">
            <v>113025</v>
          </cell>
          <cell r="C11198" t="str">
            <v>Gateway Christian School</v>
          </cell>
          <cell r="D11198" t="str">
            <v>Derbyshire</v>
          </cell>
          <cell r="E11198" t="str">
            <v>Other Independent School</v>
          </cell>
          <cell r="F11198" t="str">
            <v>Not applicable</v>
          </cell>
        </row>
        <row r="11199">
          <cell r="A11199">
            <v>2132244</v>
          </cell>
          <cell r="B11199">
            <v>101112</v>
          </cell>
          <cell r="C11199" t="str">
            <v>Gateway Primary School</v>
          </cell>
          <cell r="D11199" t="str">
            <v>Westminster</v>
          </cell>
          <cell r="E11199" t="str">
            <v>Community School</v>
          </cell>
          <cell r="F11199" t="str">
            <v>Primary</v>
          </cell>
        </row>
        <row r="11200">
          <cell r="A11200">
            <v>9312254</v>
          </cell>
          <cell r="B11200">
            <v>123016</v>
          </cell>
          <cell r="C11200" t="str">
            <v>Gateway Primary School</v>
          </cell>
          <cell r="D11200" t="str">
            <v>Oxfordshire</v>
          </cell>
          <cell r="E11200" t="str">
            <v>Community School</v>
          </cell>
          <cell r="F11200" t="str">
            <v>Primary</v>
          </cell>
        </row>
        <row r="11201">
          <cell r="A11201">
            <v>8256000</v>
          </cell>
          <cell r="B11201">
            <v>110556</v>
          </cell>
          <cell r="C11201" t="str">
            <v>Gateway School</v>
          </cell>
          <cell r="D11201" t="str">
            <v>Buckinghamshire</v>
          </cell>
          <cell r="E11201" t="str">
            <v>Other Independent School</v>
          </cell>
          <cell r="F11201" t="str">
            <v>Not applicable</v>
          </cell>
        </row>
        <row r="11202">
          <cell r="A11202">
            <v>9244214</v>
          </cell>
          <cell r="B11202">
            <v>129542</v>
          </cell>
          <cell r="C11202" t="str">
            <v>Gateway Sixth Form College</v>
          </cell>
          <cell r="D11202" t="str">
            <v>Pre LGR (1997) Leicestershire</v>
          </cell>
          <cell r="E11202" t="str">
            <v>Community School</v>
          </cell>
          <cell r="F11202" t="str">
            <v>Secondary</v>
          </cell>
        </row>
        <row r="11203">
          <cell r="A11203">
            <v>8568600</v>
          </cell>
          <cell r="B11203">
            <v>130755</v>
          </cell>
          <cell r="C11203" t="str">
            <v>Gateway Sixth Form College</v>
          </cell>
          <cell r="D11203" t="str">
            <v>Leicester</v>
          </cell>
          <cell r="E11203" t="str">
            <v>Further Education</v>
          </cell>
          <cell r="F11203" t="str">
            <v>16 Plus</v>
          </cell>
        </row>
        <row r="11204">
          <cell r="A11204">
            <v>3836007</v>
          </cell>
          <cell r="B11204">
            <v>108104</v>
          </cell>
          <cell r="C11204" t="str">
            <v>Gateways School</v>
          </cell>
          <cell r="D11204" t="str">
            <v>Leeds</v>
          </cell>
          <cell r="E11204" t="str">
            <v>Other Independent School</v>
          </cell>
          <cell r="F11204" t="str">
            <v>Not applicable</v>
          </cell>
        </row>
        <row r="11205">
          <cell r="A11205">
            <v>3562035</v>
          </cell>
          <cell r="B11205">
            <v>106047</v>
          </cell>
          <cell r="C11205" t="str">
            <v>Gatley Primary School</v>
          </cell>
          <cell r="D11205" t="str">
            <v>Stockport</v>
          </cell>
          <cell r="E11205" t="str">
            <v>Community School</v>
          </cell>
          <cell r="F11205" t="str">
            <v>Primary</v>
          </cell>
        </row>
        <row r="11206">
          <cell r="A11206">
            <v>9212005</v>
          </cell>
          <cell r="B11206">
            <v>118158</v>
          </cell>
          <cell r="C11206" t="str">
            <v>Gatten and Lake Primary School</v>
          </cell>
          <cell r="D11206" t="str">
            <v>Isle of Wight</v>
          </cell>
          <cell r="E11206" t="str">
            <v>Community School</v>
          </cell>
          <cell r="F11206" t="str">
            <v>Primary</v>
          </cell>
        </row>
        <row r="11207">
          <cell r="A11207">
            <v>2122005</v>
          </cell>
          <cell r="B11207">
            <v>134041</v>
          </cell>
          <cell r="C11207" t="str">
            <v>Gatton (VA) Primary School</v>
          </cell>
          <cell r="D11207" t="str">
            <v>Wandsworth</v>
          </cell>
          <cell r="E11207" t="str">
            <v>Voluntary Aided School</v>
          </cell>
          <cell r="F11207" t="str">
            <v>Primary</v>
          </cell>
        </row>
        <row r="11208">
          <cell r="A11208">
            <v>3702109</v>
          </cell>
          <cell r="B11208">
            <v>106603</v>
          </cell>
          <cell r="C11208" t="str">
            <v>Gawber Primary School</v>
          </cell>
          <cell r="D11208" t="str">
            <v>Barnsley</v>
          </cell>
          <cell r="E11208" t="str">
            <v>Community School</v>
          </cell>
          <cell r="F11208" t="str">
            <v>Primary</v>
          </cell>
        </row>
        <row r="11209">
          <cell r="A11209">
            <v>8952154</v>
          </cell>
          <cell r="B11209">
            <v>111025</v>
          </cell>
          <cell r="C11209" t="str">
            <v>Gawsworth Primary School</v>
          </cell>
          <cell r="D11209" t="str">
            <v>Cheshire East</v>
          </cell>
          <cell r="E11209" t="str">
            <v>Community School</v>
          </cell>
          <cell r="F11209" t="str">
            <v>Primary</v>
          </cell>
        </row>
        <row r="11210">
          <cell r="A11210">
            <v>3842061</v>
          </cell>
          <cell r="B11210">
            <v>137643</v>
          </cell>
          <cell r="C11210" t="str">
            <v>Gawthorpe Community Academy</v>
          </cell>
          <cell r="D11210" t="str">
            <v>Wakefield</v>
          </cell>
          <cell r="E11210" t="str">
            <v>Academy Converters</v>
          </cell>
          <cell r="F11210" t="str">
            <v>Primary</v>
          </cell>
        </row>
        <row r="11211">
          <cell r="A11211">
            <v>3842061</v>
          </cell>
          <cell r="B11211">
            <v>108153</v>
          </cell>
          <cell r="C11211" t="str">
            <v>Gawthorpe Community Primary School</v>
          </cell>
          <cell r="D11211" t="str">
            <v>Wakefield</v>
          </cell>
          <cell r="E11211" t="str">
            <v>Foundation School</v>
          </cell>
          <cell r="F11211" t="str">
            <v>Primary</v>
          </cell>
        </row>
        <row r="11212">
          <cell r="A11212">
            <v>8012325</v>
          </cell>
          <cell r="B11212">
            <v>109129</v>
          </cell>
          <cell r="C11212" t="str">
            <v>Gay Elms Primary School</v>
          </cell>
          <cell r="D11212" t="str">
            <v>Bristol City of</v>
          </cell>
          <cell r="E11212" t="str">
            <v>Community School</v>
          </cell>
          <cell r="F11212" t="str">
            <v>Primary</v>
          </cell>
        </row>
        <row r="11213">
          <cell r="A11213">
            <v>2042534</v>
          </cell>
          <cell r="B11213">
            <v>130303</v>
          </cell>
          <cell r="C11213" t="str">
            <v>Gayhurst Community School</v>
          </cell>
          <cell r="D11213" t="str">
            <v>Hackney</v>
          </cell>
          <cell r="E11213" t="str">
            <v>Community School</v>
          </cell>
          <cell r="F11213" t="str">
            <v>Primary</v>
          </cell>
        </row>
        <row r="11214">
          <cell r="A11214">
            <v>2042246</v>
          </cell>
          <cell r="B11214">
            <v>100227</v>
          </cell>
          <cell r="C11214" t="str">
            <v>Gayhurst Infants' School</v>
          </cell>
          <cell r="D11214" t="str">
            <v>Hackney</v>
          </cell>
          <cell r="E11214" t="str">
            <v>Community School</v>
          </cell>
          <cell r="F11214" t="str">
            <v>Primary</v>
          </cell>
        </row>
        <row r="11215">
          <cell r="A11215">
            <v>2042245</v>
          </cell>
          <cell r="B11215">
            <v>100226</v>
          </cell>
          <cell r="C11215" t="str">
            <v>Gayhurst Junior School</v>
          </cell>
          <cell r="D11215" t="str">
            <v>Hackney</v>
          </cell>
          <cell r="E11215" t="str">
            <v>Community School</v>
          </cell>
          <cell r="F11215" t="str">
            <v>Primary</v>
          </cell>
        </row>
        <row r="11216">
          <cell r="A11216">
            <v>8256005</v>
          </cell>
          <cell r="B11216">
            <v>110541</v>
          </cell>
          <cell r="C11216" t="str">
            <v>Gayhurst School</v>
          </cell>
          <cell r="D11216" t="str">
            <v>Buckinghamshire</v>
          </cell>
          <cell r="E11216" t="str">
            <v>Other Independent School</v>
          </cell>
          <cell r="F11216" t="str">
            <v>Not applicable</v>
          </cell>
        </row>
        <row r="11217">
          <cell r="A11217">
            <v>3114026</v>
          </cell>
          <cell r="B11217">
            <v>102344</v>
          </cell>
          <cell r="C11217" t="str">
            <v>Gaynes School</v>
          </cell>
          <cell r="D11217" t="str">
            <v>Havering</v>
          </cell>
          <cell r="E11217" t="str">
            <v>Community School</v>
          </cell>
          <cell r="F11217" t="str">
            <v>Secondary</v>
          </cell>
        </row>
        <row r="11218">
          <cell r="A11218">
            <v>9283029</v>
          </cell>
          <cell r="B11218">
            <v>121971</v>
          </cell>
          <cell r="C11218" t="str">
            <v>Gayton Church of England Primary School</v>
          </cell>
          <cell r="D11218" t="str">
            <v>Northamptonshire</v>
          </cell>
          <cell r="E11218" t="str">
            <v>Voluntary Controlled School</v>
          </cell>
          <cell r="F11218" t="str">
            <v>Primary</v>
          </cell>
        </row>
        <row r="11219">
          <cell r="A11219">
            <v>9263106</v>
          </cell>
          <cell r="B11219">
            <v>121071</v>
          </cell>
          <cell r="C11219" t="str">
            <v>Gayton Church of England Voluntary Controlled Primary School</v>
          </cell>
          <cell r="D11219" t="str">
            <v>Norfolk</v>
          </cell>
          <cell r="E11219" t="str">
            <v>Voluntary Controlled School</v>
          </cell>
          <cell r="F11219" t="str">
            <v>Primary</v>
          </cell>
        </row>
        <row r="11220">
          <cell r="A11220">
            <v>8312457</v>
          </cell>
          <cell r="B11220">
            <v>112756</v>
          </cell>
          <cell r="C11220" t="str">
            <v>Gayton Community Junior School</v>
          </cell>
          <cell r="D11220" t="str">
            <v>Derby</v>
          </cell>
          <cell r="E11220" t="str">
            <v>Community School</v>
          </cell>
          <cell r="F11220" t="str">
            <v>Primary</v>
          </cell>
        </row>
        <row r="11221">
          <cell r="A11221">
            <v>3442238</v>
          </cell>
          <cell r="B11221">
            <v>105034</v>
          </cell>
          <cell r="C11221" t="str">
            <v>Gayton Primary School</v>
          </cell>
          <cell r="D11221" t="str">
            <v>Wirral</v>
          </cell>
          <cell r="E11221" t="str">
            <v>Community School</v>
          </cell>
          <cell r="F11221" t="str">
            <v>Primary</v>
          </cell>
        </row>
        <row r="11222">
          <cell r="A11222">
            <v>9262427</v>
          </cell>
          <cell r="B11222">
            <v>133402</v>
          </cell>
          <cell r="C11222" t="str">
            <v>Gaywood Community Primary School</v>
          </cell>
          <cell r="D11222" t="str">
            <v>Norfolk</v>
          </cell>
          <cell r="E11222" t="str">
            <v>Community School</v>
          </cell>
          <cell r="F11222" t="str">
            <v>Primary</v>
          </cell>
        </row>
        <row r="11223">
          <cell r="A11223">
            <v>9262244</v>
          </cell>
          <cell r="B11223">
            <v>120898</v>
          </cell>
          <cell r="C11223" t="str">
            <v>Gaywood Junior School</v>
          </cell>
          <cell r="D11223" t="str">
            <v>Norfolk</v>
          </cell>
          <cell r="E11223" t="str">
            <v>Community School</v>
          </cell>
          <cell r="F11223" t="str">
            <v>Primary</v>
          </cell>
        </row>
        <row r="11224">
          <cell r="A11224">
            <v>9353024</v>
          </cell>
          <cell r="B11224">
            <v>124696</v>
          </cell>
          <cell r="C11224" t="str">
            <v>Gazeley Church of England Voluntary Controlled Primary School</v>
          </cell>
          <cell r="D11224" t="str">
            <v>Suffolk</v>
          </cell>
          <cell r="E11224" t="str">
            <v>Voluntary Controlled School</v>
          </cell>
          <cell r="F11224" t="str">
            <v>Primary</v>
          </cell>
        </row>
        <row r="11225">
          <cell r="A11225">
            <v>3172020</v>
          </cell>
          <cell r="B11225">
            <v>102804</v>
          </cell>
          <cell r="C11225" t="str">
            <v>Gearies Infants' School</v>
          </cell>
          <cell r="D11225" t="str">
            <v>Redbridge</v>
          </cell>
          <cell r="E11225" t="str">
            <v>Community School</v>
          </cell>
          <cell r="F11225" t="str">
            <v>Primary</v>
          </cell>
        </row>
        <row r="11226">
          <cell r="A11226">
            <v>3173519</v>
          </cell>
          <cell r="B11226">
            <v>133934</v>
          </cell>
          <cell r="C11226" t="str">
            <v>Gearies Infants' School</v>
          </cell>
          <cell r="D11226" t="str">
            <v>Redbridge</v>
          </cell>
          <cell r="E11226" t="str">
            <v>Community School</v>
          </cell>
          <cell r="F11226" t="str">
            <v>Primary</v>
          </cell>
        </row>
        <row r="11227">
          <cell r="A11227">
            <v>3172019</v>
          </cell>
          <cell r="B11227">
            <v>102803</v>
          </cell>
          <cell r="C11227" t="str">
            <v>Gearies Junior School</v>
          </cell>
          <cell r="D11227" t="str">
            <v>Redbridge</v>
          </cell>
          <cell r="E11227" t="str">
            <v>Community School</v>
          </cell>
          <cell r="F11227" t="str">
            <v>Primary</v>
          </cell>
        </row>
        <row r="11228">
          <cell r="A11228">
            <v>3173518</v>
          </cell>
          <cell r="B11228">
            <v>133933</v>
          </cell>
          <cell r="C11228" t="str">
            <v>Gearies Junior School</v>
          </cell>
          <cell r="D11228" t="str">
            <v>Redbridge</v>
          </cell>
          <cell r="E11228" t="str">
            <v>Community School</v>
          </cell>
          <cell r="F11228" t="str">
            <v>Primary</v>
          </cell>
        </row>
        <row r="11229">
          <cell r="A11229">
            <v>9283030</v>
          </cell>
          <cell r="B11229">
            <v>121972</v>
          </cell>
          <cell r="C11229" t="str">
            <v>Geddington Church of England Primary School</v>
          </cell>
          <cell r="D11229" t="str">
            <v>Northamptonshire</v>
          </cell>
          <cell r="E11229" t="str">
            <v>Voluntary Controlled School</v>
          </cell>
          <cell r="F11229" t="str">
            <v>Primary</v>
          </cell>
        </row>
        <row r="11230">
          <cell r="A11230">
            <v>9252088</v>
          </cell>
          <cell r="B11230">
            <v>120409</v>
          </cell>
          <cell r="C11230" t="str">
            <v>Gedney Church End Primary School</v>
          </cell>
          <cell r="D11230" t="str">
            <v>Lincolnshire</v>
          </cell>
          <cell r="E11230" t="str">
            <v>Community School</v>
          </cell>
          <cell r="F11230" t="str">
            <v>Primary</v>
          </cell>
        </row>
        <row r="11231">
          <cell r="A11231">
            <v>9252089</v>
          </cell>
          <cell r="B11231">
            <v>120410</v>
          </cell>
          <cell r="C11231" t="str">
            <v>Gedney Drove End Primary School</v>
          </cell>
          <cell r="D11231" t="str">
            <v>Lincolnshire</v>
          </cell>
          <cell r="E11231" t="str">
            <v>Community School</v>
          </cell>
          <cell r="F11231" t="str">
            <v>Primary</v>
          </cell>
        </row>
        <row r="11232">
          <cell r="A11232">
            <v>3573000</v>
          </cell>
          <cell r="B11232">
            <v>106226</v>
          </cell>
          <cell r="C11232" t="str">
            <v>Gee Cross Holy Trinity CofE Primary School</v>
          </cell>
          <cell r="D11232" t="str">
            <v>Tameside</v>
          </cell>
          <cell r="E11232" t="str">
            <v>Voluntary Controlled School</v>
          </cell>
          <cell r="F11232" t="str">
            <v>Primary</v>
          </cell>
        </row>
        <row r="11233">
          <cell r="A11233">
            <v>3916038</v>
          </cell>
          <cell r="B11233">
            <v>128137</v>
          </cell>
          <cell r="C11233" t="str">
            <v>Gefrin Midgard School</v>
          </cell>
          <cell r="D11233" t="str">
            <v>Newcastle upon Tyne</v>
          </cell>
          <cell r="E11233" t="str">
            <v>Other Independent School</v>
          </cell>
          <cell r="F11233" t="str">
            <v>Not applicable</v>
          </cell>
        </row>
        <row r="11234">
          <cell r="A11234">
            <v>6742119</v>
          </cell>
          <cell r="B11234">
            <v>401173</v>
          </cell>
          <cell r="C11234" t="str">
            <v>Gelli Primary School</v>
          </cell>
          <cell r="D11234" t="str">
            <v>Rhondda, Cynon, Taff</v>
          </cell>
          <cell r="E11234" t="str">
            <v>Welsh Establishment</v>
          </cell>
          <cell r="F11234" t="str">
            <v>Primary</v>
          </cell>
        </row>
        <row r="11235">
          <cell r="A11235">
            <v>6752010</v>
          </cell>
          <cell r="B11235">
            <v>401274</v>
          </cell>
          <cell r="C11235" t="str">
            <v>Gellifaelog Primary School</v>
          </cell>
          <cell r="D11235" t="str">
            <v>Merthyr Tydfil</v>
          </cell>
          <cell r="E11235" t="str">
            <v>Welsh Establishment</v>
          </cell>
          <cell r="F11235" t="str">
            <v>Primary</v>
          </cell>
        </row>
        <row r="11236">
          <cell r="A11236">
            <v>6632164</v>
          </cell>
          <cell r="B11236">
            <v>400283</v>
          </cell>
          <cell r="C11236" t="str">
            <v>Gellifor C.P. School</v>
          </cell>
          <cell r="D11236" t="str">
            <v>Denbighshire</v>
          </cell>
          <cell r="E11236" t="str">
            <v>Welsh Establishment</v>
          </cell>
          <cell r="F11236" t="str">
            <v>Primary</v>
          </cell>
        </row>
        <row r="11237">
          <cell r="A11237">
            <v>8112723</v>
          </cell>
          <cell r="B11237">
            <v>117843</v>
          </cell>
          <cell r="C11237" t="str">
            <v>Gembling Primary School</v>
          </cell>
          <cell r="D11237" t="str">
            <v>East Riding of Yorkshire</v>
          </cell>
          <cell r="E11237" t="str">
            <v>Community School</v>
          </cell>
          <cell r="F11237" t="str">
            <v>Primary</v>
          </cell>
        </row>
        <row r="11238">
          <cell r="A11238">
            <v>9086002</v>
          </cell>
          <cell r="B11238">
            <v>112069</v>
          </cell>
          <cell r="C11238" t="str">
            <v>Gems Bolitho School</v>
          </cell>
          <cell r="D11238" t="str">
            <v>Cornwall</v>
          </cell>
          <cell r="E11238" t="str">
            <v>Other Independent School</v>
          </cell>
          <cell r="F11238" t="str">
            <v>Not applicable</v>
          </cell>
        </row>
        <row r="11239">
          <cell r="A11239">
            <v>2076055</v>
          </cell>
          <cell r="B11239">
            <v>101163</v>
          </cell>
          <cell r="C11239" t="str">
            <v>Gems Hampshire School</v>
          </cell>
          <cell r="D11239" t="str">
            <v>Kensington and Chelsea</v>
          </cell>
          <cell r="E11239" t="str">
            <v>Other Independent School</v>
          </cell>
          <cell r="F11239" t="str">
            <v>Not applicable</v>
          </cell>
        </row>
        <row r="11240">
          <cell r="A11240">
            <v>6702021</v>
          </cell>
          <cell r="B11240">
            <v>400869</v>
          </cell>
          <cell r="C11240" t="str">
            <v>Gendros Primary School</v>
          </cell>
          <cell r="D11240" t="str">
            <v>Swansea</v>
          </cell>
          <cell r="E11240" t="str">
            <v>Welsh Establishment</v>
          </cell>
          <cell r="F11240" t="str">
            <v>Primary</v>
          </cell>
        </row>
        <row r="11241">
          <cell r="A11241">
            <v>9342232</v>
          </cell>
          <cell r="B11241">
            <v>129884</v>
          </cell>
          <cell r="C11241" t="str">
            <v>Gentleshaw First School</v>
          </cell>
          <cell r="D11241" t="str">
            <v>Pre LGR (1997) Staffordshire</v>
          </cell>
          <cell r="E11241" t="str">
            <v>Community School</v>
          </cell>
          <cell r="F11241" t="str">
            <v>Primary</v>
          </cell>
        </row>
        <row r="11242">
          <cell r="A11242">
            <v>8602414</v>
          </cell>
          <cell r="B11242">
            <v>124210</v>
          </cell>
          <cell r="C11242" t="str">
            <v>Gentleshaw Primary School</v>
          </cell>
          <cell r="D11242" t="str">
            <v>Staffordshire</v>
          </cell>
          <cell r="E11242" t="str">
            <v>Community School</v>
          </cell>
          <cell r="F11242" t="str">
            <v>Primary</v>
          </cell>
        </row>
        <row r="11243">
          <cell r="A11243">
            <v>6726091</v>
          </cell>
          <cell r="B11243">
            <v>402258</v>
          </cell>
          <cell r="C11243" t="str">
            <v>Genus Education School</v>
          </cell>
          <cell r="D11243" t="str">
            <v>Bridgend</v>
          </cell>
          <cell r="E11243" t="str">
            <v>Welsh Establishment</v>
          </cell>
          <cell r="F11243" t="str">
            <v>Not applicable</v>
          </cell>
        </row>
        <row r="11244">
          <cell r="A11244">
            <v>2104313</v>
          </cell>
          <cell r="B11244">
            <v>100847</v>
          </cell>
          <cell r="C11244" t="str">
            <v>Geoffrey Chaucer Technology College</v>
          </cell>
          <cell r="D11244" t="str">
            <v>Southwark</v>
          </cell>
          <cell r="E11244" t="str">
            <v>Community School</v>
          </cell>
          <cell r="F11244" t="str">
            <v>Secondary</v>
          </cell>
        </row>
        <row r="11245">
          <cell r="A11245">
            <v>8702008</v>
          </cell>
          <cell r="B11245">
            <v>109782</v>
          </cell>
          <cell r="C11245" t="str">
            <v>Geoffrey Field Infant School</v>
          </cell>
          <cell r="D11245" t="str">
            <v>Reading</v>
          </cell>
          <cell r="E11245" t="str">
            <v>Community School</v>
          </cell>
          <cell r="F11245" t="str">
            <v>Primary</v>
          </cell>
        </row>
        <row r="11246">
          <cell r="A11246">
            <v>8702007</v>
          </cell>
          <cell r="B11246">
            <v>109781</v>
          </cell>
          <cell r="C11246" t="str">
            <v>Geoffrey Field Junior School</v>
          </cell>
          <cell r="D11246" t="str">
            <v>Reading</v>
          </cell>
          <cell r="E11246" t="str">
            <v>Community School</v>
          </cell>
          <cell r="F11246" t="str">
            <v>Primary</v>
          </cell>
        </row>
        <row r="11247">
          <cell r="A11247">
            <v>9364456</v>
          </cell>
          <cell r="B11247">
            <v>125265</v>
          </cell>
          <cell r="C11247" t="str">
            <v>George Abbot School</v>
          </cell>
          <cell r="D11247" t="str">
            <v>Surrey</v>
          </cell>
          <cell r="E11247" t="str">
            <v>Community School</v>
          </cell>
          <cell r="F11247" t="str">
            <v>Secondary</v>
          </cell>
        </row>
        <row r="11248">
          <cell r="A11248">
            <v>9364456</v>
          </cell>
          <cell r="B11248">
            <v>136906</v>
          </cell>
          <cell r="C11248" t="str">
            <v>George Abbot School</v>
          </cell>
          <cell r="D11248" t="str">
            <v>Surrey</v>
          </cell>
          <cell r="E11248" t="str">
            <v>Academy Converters</v>
          </cell>
          <cell r="F11248" t="str">
            <v>Secondary</v>
          </cell>
        </row>
        <row r="11249">
          <cell r="A11249">
            <v>3307011</v>
          </cell>
          <cell r="B11249">
            <v>103602</v>
          </cell>
          <cell r="C11249" t="str">
            <v>George Auden School</v>
          </cell>
          <cell r="D11249" t="str">
            <v>Birmingham</v>
          </cell>
          <cell r="E11249" t="str">
            <v>Community Special School</v>
          </cell>
          <cell r="F11249" t="str">
            <v>Special</v>
          </cell>
        </row>
        <row r="11250">
          <cell r="A11250">
            <v>3332126</v>
          </cell>
          <cell r="B11250">
            <v>103944</v>
          </cell>
          <cell r="C11250" t="str">
            <v>George Betts Primary School</v>
          </cell>
          <cell r="D11250" t="str">
            <v>Sandwell</v>
          </cell>
          <cell r="E11250" t="str">
            <v>Community School</v>
          </cell>
          <cell r="F11250" t="str">
            <v>Primary</v>
          </cell>
        </row>
        <row r="11251">
          <cell r="A11251">
            <v>3013507</v>
          </cell>
          <cell r="B11251">
            <v>136431</v>
          </cell>
          <cell r="C11251" t="str">
            <v>George Carey Church of England Primary School</v>
          </cell>
          <cell r="D11251" t="str">
            <v>Barking and Dagenham</v>
          </cell>
          <cell r="E11251" t="str">
            <v>Voluntary Aided School</v>
          </cell>
          <cell r="F11251" t="str">
            <v>Primary</v>
          </cell>
        </row>
        <row r="11252">
          <cell r="A11252">
            <v>3334026</v>
          </cell>
          <cell r="B11252">
            <v>104009</v>
          </cell>
          <cell r="C11252" t="str">
            <v>George Collegiate Academy</v>
          </cell>
          <cell r="D11252" t="str">
            <v>Sandwell</v>
          </cell>
          <cell r="E11252" t="str">
            <v>Community School</v>
          </cell>
          <cell r="F11252" t="str">
            <v>Secondary</v>
          </cell>
        </row>
        <row r="11253">
          <cell r="A11253">
            <v>8411031</v>
          </cell>
          <cell r="B11253">
            <v>113983</v>
          </cell>
          <cell r="C11253" t="str">
            <v>George Dent Nursery School</v>
          </cell>
          <cell r="D11253" t="str">
            <v>Darlington</v>
          </cell>
          <cell r="E11253" t="str">
            <v>LA Nursery School</v>
          </cell>
          <cell r="F11253" t="str">
            <v>Nursery</v>
          </cell>
        </row>
        <row r="11254">
          <cell r="A11254">
            <v>3305412</v>
          </cell>
          <cell r="B11254">
            <v>103559</v>
          </cell>
          <cell r="C11254" t="str">
            <v>George Dixon International School and Sixth Form Centre</v>
          </cell>
          <cell r="D11254" t="str">
            <v>Birmingham</v>
          </cell>
          <cell r="E11254" t="str">
            <v>Foundation School</v>
          </cell>
          <cell r="F11254" t="str">
            <v>Secondary</v>
          </cell>
        </row>
        <row r="11255">
          <cell r="A11255">
            <v>3302079</v>
          </cell>
          <cell r="B11255">
            <v>103200</v>
          </cell>
          <cell r="C11255" t="str">
            <v>George Dixon Junior and Infant School</v>
          </cell>
          <cell r="D11255" t="str">
            <v>Birmingham</v>
          </cell>
          <cell r="E11255" t="str">
            <v>Community School</v>
          </cell>
          <cell r="F11255" t="str">
            <v>Primary</v>
          </cell>
        </row>
        <row r="11256">
          <cell r="A11256">
            <v>9374156</v>
          </cell>
          <cell r="B11256">
            <v>125743</v>
          </cell>
          <cell r="C11256" t="str">
            <v>George Eliot Community School</v>
          </cell>
          <cell r="D11256" t="str">
            <v>Warwickshire</v>
          </cell>
          <cell r="E11256" t="str">
            <v>Community School</v>
          </cell>
          <cell r="F11256" t="str">
            <v>Secondary</v>
          </cell>
        </row>
        <row r="11257">
          <cell r="A11257">
            <v>2132826</v>
          </cell>
          <cell r="B11257">
            <v>101118</v>
          </cell>
          <cell r="C11257" t="str">
            <v>George Eliot Infants' School</v>
          </cell>
          <cell r="D11257" t="str">
            <v>Westminster</v>
          </cell>
          <cell r="E11257" t="str">
            <v>Community School</v>
          </cell>
          <cell r="F11257" t="str">
            <v>Primary</v>
          </cell>
        </row>
        <row r="11258">
          <cell r="A11258">
            <v>2132778</v>
          </cell>
          <cell r="B11258">
            <v>101115</v>
          </cell>
          <cell r="C11258" t="str">
            <v>George Eliot Primary School</v>
          </cell>
          <cell r="D11258" t="str">
            <v>Westminster</v>
          </cell>
          <cell r="E11258" t="str">
            <v>Community School</v>
          </cell>
          <cell r="F11258" t="str">
            <v>Primary</v>
          </cell>
        </row>
        <row r="11259">
          <cell r="A11259">
            <v>9254029</v>
          </cell>
          <cell r="B11259">
            <v>120644</v>
          </cell>
          <cell r="C11259" t="str">
            <v>George Farmer Technology and Language College</v>
          </cell>
          <cell r="D11259" t="str">
            <v>Lincolnshire</v>
          </cell>
          <cell r="E11259" t="str">
            <v>Community School</v>
          </cell>
          <cell r="F11259" t="str">
            <v>Secondary</v>
          </cell>
        </row>
        <row r="11260">
          <cell r="A11260">
            <v>3343311</v>
          </cell>
          <cell r="B11260">
            <v>104094</v>
          </cell>
          <cell r="C11260" t="str">
            <v>George Fentham Endowed School</v>
          </cell>
          <cell r="D11260" t="str">
            <v>Solihull</v>
          </cell>
          <cell r="E11260" t="str">
            <v>Voluntary Aided School</v>
          </cell>
          <cell r="F11260" t="str">
            <v>Primary</v>
          </cell>
        </row>
        <row r="11261">
          <cell r="A11261">
            <v>9236020</v>
          </cell>
          <cell r="B11261">
            <v>129506</v>
          </cell>
          <cell r="C11261" t="str">
            <v>George Fox School</v>
          </cell>
          <cell r="D11261" t="str">
            <v>Pre LGR (1998) Lancashire</v>
          </cell>
          <cell r="E11261" t="str">
            <v>Other Independent School</v>
          </cell>
          <cell r="F11261" t="str">
            <v>Not applicable</v>
          </cell>
        </row>
        <row r="11262">
          <cell r="A11262">
            <v>2114505</v>
          </cell>
          <cell r="B11262">
            <v>100974</v>
          </cell>
          <cell r="C11262" t="str">
            <v>George Green's School</v>
          </cell>
          <cell r="D11262" t="str">
            <v>Tower Hamlets</v>
          </cell>
          <cell r="E11262" t="str">
            <v>Voluntary Controlled School</v>
          </cell>
          <cell r="F11262" t="str">
            <v>Secondary</v>
          </cell>
        </row>
        <row r="11263">
          <cell r="A11263">
            <v>9097017</v>
          </cell>
          <cell r="B11263">
            <v>112467</v>
          </cell>
          <cell r="C11263" t="str">
            <v>George Hastwell School</v>
          </cell>
          <cell r="D11263" t="str">
            <v>Cumbria</v>
          </cell>
          <cell r="E11263" t="str">
            <v>Foundation Special School</v>
          </cell>
          <cell r="F11263" t="str">
            <v>Special</v>
          </cell>
        </row>
        <row r="11264">
          <cell r="A11264">
            <v>3204062</v>
          </cell>
          <cell r="B11264">
            <v>103096</v>
          </cell>
          <cell r="C11264" t="str">
            <v>George Mitchell School</v>
          </cell>
          <cell r="D11264" t="str">
            <v>Waltham Forest</v>
          </cell>
          <cell r="E11264" t="str">
            <v>Community School</v>
          </cell>
          <cell r="F11264" t="str">
            <v>Middle Deemed Secondary</v>
          </cell>
        </row>
        <row r="11265">
          <cell r="A11265">
            <v>2064309</v>
          </cell>
          <cell r="B11265">
            <v>100456</v>
          </cell>
          <cell r="C11265" t="str">
            <v>George Orwell School</v>
          </cell>
          <cell r="D11265" t="str">
            <v>Islington</v>
          </cell>
          <cell r="E11265" t="str">
            <v>Community School</v>
          </cell>
          <cell r="F11265" t="str">
            <v>Secondary</v>
          </cell>
        </row>
        <row r="11266">
          <cell r="A11266">
            <v>8702010</v>
          </cell>
          <cell r="B11266">
            <v>109784</v>
          </cell>
          <cell r="C11266" t="str">
            <v>George Palmer Infant and Nursery School</v>
          </cell>
          <cell r="D11266" t="str">
            <v>Reading</v>
          </cell>
          <cell r="E11266" t="str">
            <v>Community School</v>
          </cell>
          <cell r="F11266" t="str">
            <v>Primary</v>
          </cell>
        </row>
        <row r="11267">
          <cell r="A11267">
            <v>8702009</v>
          </cell>
          <cell r="B11267">
            <v>109783</v>
          </cell>
          <cell r="C11267" t="str">
            <v>George Palmer Junior School</v>
          </cell>
          <cell r="D11267" t="str">
            <v>Reading</v>
          </cell>
          <cell r="E11267" t="str">
            <v>Community School</v>
          </cell>
          <cell r="F11267" t="str">
            <v>Primary</v>
          </cell>
        </row>
        <row r="11268">
          <cell r="A11268">
            <v>8702255</v>
          </cell>
          <cell r="B11268">
            <v>133423</v>
          </cell>
          <cell r="C11268" t="str">
            <v>George Palmer Primary School</v>
          </cell>
          <cell r="D11268" t="str">
            <v>Reading</v>
          </cell>
          <cell r="E11268" t="str">
            <v>Community School</v>
          </cell>
          <cell r="F11268" t="str">
            <v>Primary</v>
          </cell>
        </row>
        <row r="11269">
          <cell r="A11269">
            <v>8154069</v>
          </cell>
          <cell r="B11269">
            <v>121674</v>
          </cell>
          <cell r="C11269" t="str">
            <v>George Pindar Community Sports College</v>
          </cell>
          <cell r="D11269" t="str">
            <v>North Yorkshire</v>
          </cell>
          <cell r="E11269" t="str">
            <v>Foundation School</v>
          </cell>
          <cell r="F11269" t="str">
            <v>Secondary</v>
          </cell>
        </row>
        <row r="11270">
          <cell r="A11270">
            <v>2087086</v>
          </cell>
          <cell r="B11270">
            <v>100657</v>
          </cell>
          <cell r="C11270" t="str">
            <v>George Rainey School</v>
          </cell>
          <cell r="D11270" t="str">
            <v>Lambeth</v>
          </cell>
          <cell r="E11270" t="str">
            <v>Community Special School</v>
          </cell>
          <cell r="F11270" t="str">
            <v>Special</v>
          </cell>
        </row>
        <row r="11271">
          <cell r="A11271">
            <v>9092701</v>
          </cell>
          <cell r="B11271">
            <v>112234</v>
          </cell>
          <cell r="C11271" t="str">
            <v>George Romney Junior School</v>
          </cell>
          <cell r="D11271" t="str">
            <v>Cumbria</v>
          </cell>
          <cell r="E11271" t="str">
            <v>Community School</v>
          </cell>
          <cell r="F11271" t="str">
            <v>Primary</v>
          </cell>
        </row>
        <row r="11272">
          <cell r="A11272">
            <v>3336907</v>
          </cell>
          <cell r="B11272">
            <v>135234</v>
          </cell>
          <cell r="C11272" t="str">
            <v>George Salter Academy</v>
          </cell>
          <cell r="D11272" t="str">
            <v>Sandwell</v>
          </cell>
          <cell r="E11272" t="str">
            <v>Academy Sponsor Led</v>
          </cell>
          <cell r="F11272" t="str">
            <v>Secondary</v>
          </cell>
        </row>
        <row r="11273">
          <cell r="A11273">
            <v>8915401</v>
          </cell>
          <cell r="B11273">
            <v>136291</v>
          </cell>
          <cell r="C11273" t="str">
            <v>George Spencer Academy and Technology College</v>
          </cell>
          <cell r="D11273" t="str">
            <v>Nottinghamshire</v>
          </cell>
          <cell r="E11273" t="str">
            <v>Academy Converters</v>
          </cell>
          <cell r="F11273" t="str">
            <v>Secondary</v>
          </cell>
        </row>
        <row r="11274">
          <cell r="A11274">
            <v>8915401</v>
          </cell>
          <cell r="B11274">
            <v>122903</v>
          </cell>
          <cell r="C11274" t="str">
            <v>George Spencer Foundation School and Technology College</v>
          </cell>
          <cell r="D11274" t="str">
            <v>Nottinghamshire</v>
          </cell>
          <cell r="E11274" t="str">
            <v>Foundation School</v>
          </cell>
          <cell r="F11274" t="str">
            <v>Secondary</v>
          </cell>
        </row>
        <row r="11275">
          <cell r="A11275">
            <v>3082033</v>
          </cell>
          <cell r="B11275">
            <v>101993</v>
          </cell>
          <cell r="C11275" t="str">
            <v>George Spicer Primary School</v>
          </cell>
          <cell r="D11275" t="str">
            <v>Enfield</v>
          </cell>
          <cell r="E11275" t="str">
            <v>Community School</v>
          </cell>
          <cell r="F11275" t="str">
            <v>Primary</v>
          </cell>
        </row>
        <row r="11276">
          <cell r="A11276">
            <v>8862294</v>
          </cell>
          <cell r="B11276">
            <v>118383</v>
          </cell>
          <cell r="C11276" t="str">
            <v>George Spurgen Community Primary School</v>
          </cell>
          <cell r="D11276" t="str">
            <v>Kent</v>
          </cell>
          <cell r="E11276" t="str">
            <v>Community School</v>
          </cell>
          <cell r="F11276" t="str">
            <v>Primary</v>
          </cell>
        </row>
        <row r="11277">
          <cell r="A11277">
            <v>3924030</v>
          </cell>
          <cell r="B11277">
            <v>108639</v>
          </cell>
          <cell r="C11277" t="str">
            <v>George Stephenson High School</v>
          </cell>
          <cell r="D11277" t="str">
            <v>North Tyneside</v>
          </cell>
          <cell r="E11277" t="str">
            <v>Foundation School</v>
          </cell>
          <cell r="F11277" t="str">
            <v>Secondary</v>
          </cell>
        </row>
        <row r="11278">
          <cell r="A11278">
            <v>3902061</v>
          </cell>
          <cell r="B11278">
            <v>108335</v>
          </cell>
          <cell r="C11278" t="str">
            <v>George Street Junior and Infant School</v>
          </cell>
          <cell r="D11278" t="str">
            <v>Gateshead</v>
          </cell>
          <cell r="E11278" t="str">
            <v>Community School</v>
          </cell>
          <cell r="F11278" t="str">
            <v>Primary</v>
          </cell>
        </row>
        <row r="11279">
          <cell r="A11279">
            <v>9192040</v>
          </cell>
          <cell r="B11279">
            <v>117106</v>
          </cell>
          <cell r="C11279" t="str">
            <v>George Street Primary School</v>
          </cell>
          <cell r="D11279" t="str">
            <v>Hertfordshire</v>
          </cell>
          <cell r="E11279" t="str">
            <v>Community School</v>
          </cell>
          <cell r="F11279" t="str">
            <v>Primary</v>
          </cell>
        </row>
        <row r="11280">
          <cell r="A11280">
            <v>6782308</v>
          </cell>
          <cell r="B11280">
            <v>401449</v>
          </cell>
          <cell r="C11280" t="str">
            <v>George Street Primary School</v>
          </cell>
          <cell r="D11280" t="str">
            <v>Torfaen</v>
          </cell>
          <cell r="E11280" t="str">
            <v>Welsh Establishment</v>
          </cell>
          <cell r="F11280" t="str">
            <v>Primary</v>
          </cell>
        </row>
        <row r="11281">
          <cell r="A11281">
            <v>3072099</v>
          </cell>
          <cell r="B11281">
            <v>126841</v>
          </cell>
          <cell r="C11281" t="str">
            <v>George Tomlinson First School</v>
          </cell>
          <cell r="D11281" t="str">
            <v>Ealing</v>
          </cell>
          <cell r="E11281" t="str">
            <v>Community School</v>
          </cell>
          <cell r="F11281" t="str">
            <v>Primary</v>
          </cell>
        </row>
        <row r="11282">
          <cell r="A11282">
            <v>3072100</v>
          </cell>
          <cell r="B11282">
            <v>126842</v>
          </cell>
          <cell r="C11282" t="str">
            <v>George Tomlinson Middle School</v>
          </cell>
          <cell r="D11282" t="str">
            <v>Ealing</v>
          </cell>
          <cell r="E11282" t="str">
            <v>Community School</v>
          </cell>
          <cell r="F11282" t="str">
            <v>Middle Deemed Primary</v>
          </cell>
        </row>
        <row r="11283">
          <cell r="A11283">
            <v>3202072</v>
          </cell>
          <cell r="B11283">
            <v>103075</v>
          </cell>
          <cell r="C11283" t="str">
            <v>George Tomlinson Primary School</v>
          </cell>
          <cell r="D11283" t="str">
            <v>Waltham Forest</v>
          </cell>
          <cell r="E11283" t="str">
            <v>Community School</v>
          </cell>
          <cell r="F11283" t="str">
            <v>Primary</v>
          </cell>
        </row>
        <row r="11284">
          <cell r="A11284">
            <v>3505402</v>
          </cell>
          <cell r="B11284">
            <v>105268</v>
          </cell>
          <cell r="C11284" t="str">
            <v>George Tomlinson School</v>
          </cell>
          <cell r="D11284" t="str">
            <v>Bolton</v>
          </cell>
          <cell r="E11284" t="str">
            <v>Foundation School</v>
          </cell>
          <cell r="F11284" t="str">
            <v>Secondary</v>
          </cell>
        </row>
        <row r="11285">
          <cell r="A11285">
            <v>3942339</v>
          </cell>
          <cell r="B11285">
            <v>133473</v>
          </cell>
          <cell r="C11285" t="str">
            <v>George Washington Primary School</v>
          </cell>
          <cell r="D11285" t="str">
            <v>Sunderland</v>
          </cell>
          <cell r="E11285" t="str">
            <v>Community School</v>
          </cell>
          <cell r="F11285" t="str">
            <v>Primary</v>
          </cell>
        </row>
        <row r="11286">
          <cell r="A11286">
            <v>9262303</v>
          </cell>
          <cell r="B11286">
            <v>120940</v>
          </cell>
          <cell r="C11286" t="str">
            <v>George White Junior School</v>
          </cell>
          <cell r="D11286" t="str">
            <v>Norfolk</v>
          </cell>
          <cell r="E11286" t="str">
            <v>Community School</v>
          </cell>
          <cell r="F11286" t="str">
            <v>Primary</v>
          </cell>
        </row>
        <row r="11287">
          <cell r="A11287">
            <v>8783059</v>
          </cell>
          <cell r="B11287">
            <v>113375</v>
          </cell>
          <cell r="C11287" t="str">
            <v>Georgeham Church of England (VC) Primary School</v>
          </cell>
          <cell r="D11287" t="str">
            <v>Devon</v>
          </cell>
          <cell r="E11287" t="str">
            <v>Voluntary Controlled School</v>
          </cell>
          <cell r="F11287" t="str">
            <v>Primary</v>
          </cell>
        </row>
        <row r="11288">
          <cell r="A11288">
            <v>6772074</v>
          </cell>
          <cell r="B11288">
            <v>401390</v>
          </cell>
          <cell r="C11288" t="str">
            <v>Georgetown C.P. School</v>
          </cell>
          <cell r="D11288" t="str">
            <v>Blaenau Gwent</v>
          </cell>
          <cell r="E11288" t="str">
            <v>Welsh Establishment</v>
          </cell>
          <cell r="F11288" t="str">
            <v>Primary</v>
          </cell>
        </row>
        <row r="11289">
          <cell r="A11289">
            <v>9382237</v>
          </cell>
          <cell r="B11289">
            <v>125959</v>
          </cell>
          <cell r="C11289" t="str">
            <v>Georgian Gardens Community Primary School</v>
          </cell>
          <cell r="D11289" t="str">
            <v>West Sussex</v>
          </cell>
          <cell r="E11289" t="str">
            <v>Community School</v>
          </cell>
          <cell r="F11289" t="str">
            <v>Primary</v>
          </cell>
        </row>
        <row r="11290">
          <cell r="A11290">
            <v>9026017</v>
          </cell>
          <cell r="B11290">
            <v>109719</v>
          </cell>
          <cell r="C11290" t="str">
            <v>Georgina Perkins School</v>
          </cell>
          <cell r="D11290" t="str">
            <v>Pre LGR (1997) Bedfordshire</v>
          </cell>
          <cell r="E11290" t="str">
            <v>Other Independent School</v>
          </cell>
          <cell r="F11290" t="str">
            <v>Not applicable</v>
          </cell>
        </row>
        <row r="11291">
          <cell r="A11291">
            <v>3423825</v>
          </cell>
          <cell r="B11291">
            <v>104822</v>
          </cell>
          <cell r="C11291" t="str">
            <v>Gerard RC Infant School</v>
          </cell>
          <cell r="D11291" t="str">
            <v>St. Helens</v>
          </cell>
          <cell r="E11291" t="str">
            <v>Voluntary Aided School</v>
          </cell>
          <cell r="F11291" t="str">
            <v>Primary</v>
          </cell>
        </row>
        <row r="11292">
          <cell r="A11292">
            <v>8262316</v>
          </cell>
          <cell r="B11292">
            <v>110375</v>
          </cell>
          <cell r="C11292" t="str">
            <v>Germander Park School</v>
          </cell>
          <cell r="D11292" t="str">
            <v>Milton Keynes</v>
          </cell>
          <cell r="E11292" t="str">
            <v>Foundation School</v>
          </cell>
          <cell r="F11292" t="str">
            <v>Primary</v>
          </cell>
        </row>
        <row r="11293">
          <cell r="A11293">
            <v>9082109</v>
          </cell>
          <cell r="B11293">
            <v>111813</v>
          </cell>
          <cell r="C11293" t="str">
            <v>Germoe Community Primary School</v>
          </cell>
          <cell r="D11293" t="str">
            <v>Cornwall</v>
          </cell>
          <cell r="E11293" t="str">
            <v>Community School</v>
          </cell>
          <cell r="F11293" t="str">
            <v>Primary</v>
          </cell>
        </row>
        <row r="11294">
          <cell r="A11294">
            <v>9082301</v>
          </cell>
          <cell r="B11294">
            <v>111860</v>
          </cell>
          <cell r="C11294" t="str">
            <v>Gerrans School</v>
          </cell>
          <cell r="D11294" t="str">
            <v>Cornwall</v>
          </cell>
          <cell r="E11294" t="str">
            <v>Community School</v>
          </cell>
          <cell r="F11294" t="str">
            <v>Primary</v>
          </cell>
        </row>
        <row r="11295">
          <cell r="A11295">
            <v>9296002</v>
          </cell>
          <cell r="B11295">
            <v>137385</v>
          </cell>
          <cell r="C11295" t="str">
            <v>Get U Started Training</v>
          </cell>
          <cell r="D11295" t="str">
            <v>Northumberland</v>
          </cell>
          <cell r="E11295" t="str">
            <v>Other Independent Special School</v>
          </cell>
          <cell r="F11295" t="str">
            <v>Not applicable</v>
          </cell>
        </row>
        <row r="11296">
          <cell r="A11296">
            <v>2046405</v>
          </cell>
          <cell r="B11296">
            <v>132041</v>
          </cell>
          <cell r="C11296" t="str">
            <v>Getters Talmud Torah</v>
          </cell>
          <cell r="D11296" t="str">
            <v>Hackney</v>
          </cell>
          <cell r="E11296" t="str">
            <v>Other Independent School</v>
          </cell>
          <cell r="F11296" t="str">
            <v>Not applicable</v>
          </cell>
        </row>
        <row r="11297">
          <cell r="A11297">
            <v>8886033</v>
          </cell>
          <cell r="B11297">
            <v>131337</v>
          </cell>
          <cell r="C11297" t="str">
            <v>Ghausia Girls' High School</v>
          </cell>
          <cell r="D11297" t="str">
            <v>Lancashire</v>
          </cell>
          <cell r="E11297" t="str">
            <v>Other Independent School</v>
          </cell>
          <cell r="F11297" t="str">
            <v>Not applicable</v>
          </cell>
        </row>
        <row r="11298">
          <cell r="A11298">
            <v>9262395</v>
          </cell>
          <cell r="B11298">
            <v>121006</v>
          </cell>
          <cell r="C11298" t="str">
            <v>Ghost Hill Infant &amp; Nursery School</v>
          </cell>
          <cell r="D11298" t="str">
            <v>Norfolk</v>
          </cell>
          <cell r="E11298" t="str">
            <v>Community School</v>
          </cell>
          <cell r="F11298" t="str">
            <v>Primary</v>
          </cell>
        </row>
        <row r="11299">
          <cell r="A11299">
            <v>3806017</v>
          </cell>
          <cell r="B11299">
            <v>107449</v>
          </cell>
          <cell r="C11299" t="str">
            <v>Ghyll Royd School</v>
          </cell>
          <cell r="D11299" t="str">
            <v>Bradford</v>
          </cell>
          <cell r="E11299" t="str">
            <v>Other Independent School</v>
          </cell>
          <cell r="F11299" t="str">
            <v>Not applicable</v>
          </cell>
        </row>
        <row r="11300">
          <cell r="A11300">
            <v>8812621</v>
          </cell>
          <cell r="B11300">
            <v>114919</v>
          </cell>
          <cell r="C11300" t="str">
            <v>Ghyllgrove Community Infant School</v>
          </cell>
          <cell r="D11300" t="str">
            <v>Essex</v>
          </cell>
          <cell r="E11300" t="str">
            <v>Community School</v>
          </cell>
          <cell r="F11300" t="str">
            <v>Primary</v>
          </cell>
        </row>
        <row r="11301">
          <cell r="A11301">
            <v>8812611</v>
          </cell>
          <cell r="B11301">
            <v>114914</v>
          </cell>
          <cell r="C11301" t="str">
            <v>Ghyllgrove Community Junior School</v>
          </cell>
          <cell r="D11301" t="str">
            <v>Essex</v>
          </cell>
          <cell r="E11301" t="str">
            <v>Community School</v>
          </cell>
          <cell r="F11301" t="str">
            <v>Primary</v>
          </cell>
        </row>
        <row r="11302">
          <cell r="A11302">
            <v>9092318</v>
          </cell>
          <cell r="B11302">
            <v>112187</v>
          </cell>
          <cell r="C11302" t="str">
            <v>Ghyllside Primary School</v>
          </cell>
          <cell r="D11302" t="str">
            <v>Cumbria</v>
          </cell>
          <cell r="E11302" t="str">
            <v>Community School</v>
          </cell>
          <cell r="F11302" t="str">
            <v>Primary</v>
          </cell>
        </row>
        <row r="11303">
          <cell r="A11303">
            <v>2057205</v>
          </cell>
          <cell r="B11303">
            <v>100383</v>
          </cell>
          <cell r="C11303" t="str">
            <v>Gibbs Green School</v>
          </cell>
          <cell r="D11303" t="str">
            <v>Hammersmith and Fulham</v>
          </cell>
          <cell r="E11303" t="str">
            <v>Community Special School</v>
          </cell>
          <cell r="F11303" t="str">
            <v>Special</v>
          </cell>
        </row>
        <row r="11304">
          <cell r="A11304">
            <v>3361001</v>
          </cell>
          <cell r="B11304">
            <v>104277</v>
          </cell>
          <cell r="C11304" t="str">
            <v>Gibbs Street Nursery School</v>
          </cell>
          <cell r="D11304" t="str">
            <v>Wolverhampton</v>
          </cell>
          <cell r="E11304" t="str">
            <v>LA Nursery School</v>
          </cell>
          <cell r="F11304" t="str">
            <v>Nursery</v>
          </cell>
        </row>
        <row r="11305">
          <cell r="A11305">
            <v>3907007</v>
          </cell>
          <cell r="B11305">
            <v>131213</v>
          </cell>
          <cell r="C11305" t="str">
            <v>Gibside School</v>
          </cell>
          <cell r="D11305" t="str">
            <v>Gateshead</v>
          </cell>
          <cell r="E11305" t="str">
            <v>Community Special School</v>
          </cell>
          <cell r="F11305" t="str">
            <v>Special</v>
          </cell>
        </row>
        <row r="11306">
          <cell r="A11306">
            <v>3832370</v>
          </cell>
          <cell r="B11306">
            <v>107864</v>
          </cell>
          <cell r="C11306" t="str">
            <v>Gibson Lane Junior School</v>
          </cell>
          <cell r="D11306" t="str">
            <v>Leeds</v>
          </cell>
          <cell r="E11306" t="str">
            <v>Community School</v>
          </cell>
          <cell r="F11306" t="str">
            <v>Primary</v>
          </cell>
        </row>
        <row r="11307">
          <cell r="A11307">
            <v>3116052</v>
          </cell>
          <cell r="B11307">
            <v>102355</v>
          </cell>
          <cell r="C11307" t="str">
            <v>Gidea Park College</v>
          </cell>
          <cell r="D11307" t="str">
            <v>Havering</v>
          </cell>
          <cell r="E11307" t="str">
            <v>Other Independent School</v>
          </cell>
          <cell r="F11307" t="str">
            <v>Not applicable</v>
          </cell>
        </row>
        <row r="11308">
          <cell r="A11308">
            <v>3112069</v>
          </cell>
          <cell r="B11308">
            <v>102308</v>
          </cell>
          <cell r="C11308" t="str">
            <v>Gidea Park Primary School</v>
          </cell>
          <cell r="D11308" t="str">
            <v>Havering</v>
          </cell>
          <cell r="E11308" t="str">
            <v>Community School</v>
          </cell>
          <cell r="F11308" t="str">
            <v>Primary</v>
          </cell>
        </row>
        <row r="11309">
          <cell r="A11309">
            <v>2127111</v>
          </cell>
          <cell r="B11309">
            <v>101097</v>
          </cell>
          <cell r="C11309" t="str">
            <v>Gideon School</v>
          </cell>
          <cell r="D11309" t="str">
            <v>Wandsworth</v>
          </cell>
          <cell r="E11309" t="str">
            <v>Community Special School</v>
          </cell>
          <cell r="F11309" t="str">
            <v>Special</v>
          </cell>
        </row>
        <row r="11310">
          <cell r="A11310">
            <v>3594000</v>
          </cell>
          <cell r="B11310">
            <v>127555</v>
          </cell>
          <cell r="C11310" t="str">
            <v>Gidlow Middle School</v>
          </cell>
          <cell r="D11310" t="str">
            <v>Wigan</v>
          </cell>
          <cell r="E11310" t="str">
            <v>Community School</v>
          </cell>
          <cell r="F11310" t="str">
            <v>Middle Deemed Secondary</v>
          </cell>
        </row>
        <row r="11311">
          <cell r="A11311">
            <v>8262323</v>
          </cell>
          <cell r="B11311">
            <v>110381</v>
          </cell>
          <cell r="C11311" t="str">
            <v>Giffard Park Primary School</v>
          </cell>
          <cell r="D11311" t="str">
            <v>Milton Keynes</v>
          </cell>
          <cell r="E11311" t="str">
            <v>Community School</v>
          </cell>
          <cell r="F11311" t="str">
            <v>Primary</v>
          </cell>
        </row>
        <row r="11312">
          <cell r="A11312">
            <v>8832972</v>
          </cell>
          <cell r="B11312">
            <v>115051</v>
          </cell>
          <cell r="C11312" t="str">
            <v>Giffards Infant School</v>
          </cell>
          <cell r="D11312" t="str">
            <v>Thurrock</v>
          </cell>
          <cell r="E11312" t="str">
            <v>Community School</v>
          </cell>
          <cell r="F11312" t="str">
            <v>Primary</v>
          </cell>
        </row>
        <row r="11313">
          <cell r="A11313">
            <v>8832942</v>
          </cell>
          <cell r="B11313">
            <v>115046</v>
          </cell>
          <cell r="C11313" t="str">
            <v>Giffards Primary School</v>
          </cell>
          <cell r="D11313" t="str">
            <v>Thurrock</v>
          </cell>
          <cell r="E11313" t="str">
            <v>Community School</v>
          </cell>
          <cell r="F11313" t="str">
            <v>Primary</v>
          </cell>
        </row>
        <row r="11314">
          <cell r="A11314">
            <v>3072101</v>
          </cell>
          <cell r="B11314">
            <v>126843</v>
          </cell>
          <cell r="C11314" t="str">
            <v>Gifford First School</v>
          </cell>
          <cell r="D11314" t="str">
            <v>Ealing</v>
          </cell>
          <cell r="E11314" t="str">
            <v>Community School</v>
          </cell>
          <cell r="F11314" t="str">
            <v>Primary</v>
          </cell>
        </row>
        <row r="11315">
          <cell r="A11315">
            <v>3072102</v>
          </cell>
          <cell r="B11315">
            <v>126844</v>
          </cell>
          <cell r="C11315" t="str">
            <v>Gifford Middle School</v>
          </cell>
          <cell r="D11315" t="str">
            <v>Ealing</v>
          </cell>
          <cell r="E11315" t="str">
            <v>Community School</v>
          </cell>
          <cell r="F11315" t="str">
            <v>Middle Deemed Primary</v>
          </cell>
        </row>
        <row r="11316">
          <cell r="A11316">
            <v>3072168</v>
          </cell>
          <cell r="B11316">
            <v>101898</v>
          </cell>
          <cell r="C11316" t="str">
            <v>Gifford Primary School</v>
          </cell>
          <cell r="D11316" t="str">
            <v>Ealing</v>
          </cell>
          <cell r="E11316" t="str">
            <v>Community School</v>
          </cell>
          <cell r="F11316" t="str">
            <v>Primary</v>
          </cell>
        </row>
        <row r="11317">
          <cell r="A11317">
            <v>3322145</v>
          </cell>
          <cell r="B11317">
            <v>103822</v>
          </cell>
          <cell r="C11317" t="str">
            <v>Gig Mill Primary School</v>
          </cell>
          <cell r="D11317" t="str">
            <v>Dudley</v>
          </cell>
          <cell r="E11317" t="str">
            <v>Community School</v>
          </cell>
          <cell r="F11317" t="str">
            <v>Primary</v>
          </cell>
        </row>
        <row r="11318">
          <cell r="A11318">
            <v>8152324</v>
          </cell>
          <cell r="B11318">
            <v>121392</v>
          </cell>
          <cell r="C11318" t="str">
            <v>Giggleswick Primary School</v>
          </cell>
          <cell r="D11318" t="str">
            <v>North Yorkshire</v>
          </cell>
          <cell r="E11318" t="str">
            <v>Community School</v>
          </cell>
          <cell r="F11318" t="str">
            <v>Primary</v>
          </cell>
        </row>
        <row r="11319">
          <cell r="A11319">
            <v>8156011</v>
          </cell>
          <cell r="B11319">
            <v>121740</v>
          </cell>
          <cell r="C11319" t="str">
            <v>Giggleswick School</v>
          </cell>
          <cell r="D11319" t="str">
            <v>North Yorkshire</v>
          </cell>
          <cell r="E11319" t="str">
            <v>Other Independent School</v>
          </cell>
          <cell r="F11319" t="str">
            <v>Not applicable</v>
          </cell>
        </row>
        <row r="11320">
          <cell r="A11320">
            <v>8112724</v>
          </cell>
          <cell r="B11320">
            <v>117844</v>
          </cell>
          <cell r="C11320" t="str">
            <v>Gilberdyke Primary School</v>
          </cell>
          <cell r="D11320" t="str">
            <v>East Riding of Yorkshire</v>
          </cell>
          <cell r="E11320" t="str">
            <v>Community School</v>
          </cell>
          <cell r="F11320" t="str">
            <v>Primary</v>
          </cell>
        </row>
        <row r="11321">
          <cell r="A11321">
            <v>3172021</v>
          </cell>
          <cell r="B11321">
            <v>102805</v>
          </cell>
          <cell r="C11321" t="str">
            <v>Gilbert Colvin Primary School</v>
          </cell>
          <cell r="D11321" t="str">
            <v>Redbridge</v>
          </cell>
          <cell r="E11321" t="str">
            <v>Community School</v>
          </cell>
          <cell r="F11321" t="str">
            <v>Primary</v>
          </cell>
        </row>
        <row r="11322">
          <cell r="A11322">
            <v>8302287</v>
          </cell>
          <cell r="B11322">
            <v>112662</v>
          </cell>
          <cell r="C11322" t="str">
            <v>Gilbert Heathcote Nursery and Infant School</v>
          </cell>
          <cell r="D11322" t="str">
            <v>Derbyshire</v>
          </cell>
          <cell r="E11322" t="str">
            <v>Community School</v>
          </cell>
          <cell r="F11322" t="str">
            <v>Primary</v>
          </cell>
        </row>
        <row r="11323">
          <cell r="A11323">
            <v>8234073</v>
          </cell>
          <cell r="B11323">
            <v>109667</v>
          </cell>
          <cell r="C11323" t="str">
            <v>Gilbert Inglefield Middle School</v>
          </cell>
          <cell r="D11323" t="str">
            <v>Central Bedfordshire</v>
          </cell>
          <cell r="E11323" t="str">
            <v>Community School</v>
          </cell>
          <cell r="F11323" t="str">
            <v>Middle Deemed Secondary</v>
          </cell>
        </row>
        <row r="11324">
          <cell r="A11324">
            <v>3062018</v>
          </cell>
          <cell r="B11324">
            <v>101723</v>
          </cell>
          <cell r="C11324" t="str">
            <v>Gilbert Scott Infant Community School</v>
          </cell>
          <cell r="D11324" t="str">
            <v>Croydon</v>
          </cell>
          <cell r="E11324" t="str">
            <v>Community School</v>
          </cell>
          <cell r="F11324" t="str">
            <v>Primary</v>
          </cell>
        </row>
        <row r="11325">
          <cell r="A11325">
            <v>3062017</v>
          </cell>
          <cell r="B11325">
            <v>101722</v>
          </cell>
          <cell r="C11325" t="str">
            <v>Gilbert Scott Junior Community School</v>
          </cell>
          <cell r="D11325" t="str">
            <v>Croydon</v>
          </cell>
          <cell r="E11325" t="str">
            <v>Community School</v>
          </cell>
          <cell r="F11325" t="str">
            <v>Primary</v>
          </cell>
        </row>
        <row r="11326">
          <cell r="A11326">
            <v>3063416</v>
          </cell>
          <cell r="B11326">
            <v>135151</v>
          </cell>
          <cell r="C11326" t="str">
            <v>Gilbert Scott Primary School</v>
          </cell>
          <cell r="D11326" t="str">
            <v>Croydon</v>
          </cell>
          <cell r="E11326" t="str">
            <v>Community School</v>
          </cell>
          <cell r="F11326" t="str">
            <v>Primary</v>
          </cell>
        </row>
        <row r="11327">
          <cell r="A11327">
            <v>8662107</v>
          </cell>
          <cell r="B11327">
            <v>126217</v>
          </cell>
          <cell r="C11327" t="str">
            <v>Gilberts Hill Infant School</v>
          </cell>
          <cell r="D11327" t="str">
            <v>Swindon</v>
          </cell>
          <cell r="E11327" t="str">
            <v>Community School</v>
          </cell>
          <cell r="F11327" t="str">
            <v>Primary</v>
          </cell>
        </row>
        <row r="11328">
          <cell r="A11328">
            <v>3302081</v>
          </cell>
          <cell r="B11328">
            <v>103201</v>
          </cell>
          <cell r="C11328" t="str">
            <v>Gilbertstone Primary School</v>
          </cell>
          <cell r="D11328" t="str">
            <v>Birmingham</v>
          </cell>
          <cell r="E11328" t="str">
            <v>Community School</v>
          </cell>
          <cell r="F11328" t="str">
            <v>Primary</v>
          </cell>
        </row>
        <row r="11329">
          <cell r="A11329">
            <v>3447010</v>
          </cell>
          <cell r="B11329">
            <v>105134</v>
          </cell>
          <cell r="C11329" t="str">
            <v>Gilbrook School</v>
          </cell>
          <cell r="D11329" t="str">
            <v>Wirral</v>
          </cell>
          <cell r="E11329" t="str">
            <v>Community Special School</v>
          </cell>
          <cell r="F11329" t="str">
            <v>Special</v>
          </cell>
        </row>
        <row r="11330">
          <cell r="A11330">
            <v>3592053</v>
          </cell>
          <cell r="B11330">
            <v>106431</v>
          </cell>
          <cell r="C11330" t="str">
            <v>Gilded Hollins Community School</v>
          </cell>
          <cell r="D11330" t="str">
            <v>Wigan</v>
          </cell>
          <cell r="E11330" t="str">
            <v>Community School</v>
          </cell>
          <cell r="F11330" t="str">
            <v>Primary</v>
          </cell>
        </row>
        <row r="11331">
          <cell r="A11331">
            <v>3832336</v>
          </cell>
          <cell r="B11331">
            <v>107848</v>
          </cell>
          <cell r="C11331" t="str">
            <v>Gildersome Primary School</v>
          </cell>
          <cell r="D11331" t="str">
            <v>Leeds</v>
          </cell>
          <cell r="E11331" t="str">
            <v>Community School</v>
          </cell>
          <cell r="F11331" t="str">
            <v>Primary</v>
          </cell>
        </row>
        <row r="11332">
          <cell r="A11332">
            <v>9116158</v>
          </cell>
          <cell r="B11332">
            <v>113631</v>
          </cell>
          <cell r="C11332" t="str">
            <v>Gilead Foundation Christian School</v>
          </cell>
          <cell r="D11332" t="str">
            <v>Pre LGR (1998) Devon</v>
          </cell>
          <cell r="E11332" t="str">
            <v>Other Independent School</v>
          </cell>
          <cell r="F11332" t="str">
            <v>Not applicable</v>
          </cell>
        </row>
        <row r="11333">
          <cell r="A11333">
            <v>8263376</v>
          </cell>
          <cell r="B11333">
            <v>134073</v>
          </cell>
          <cell r="C11333" t="str">
            <v>Giles Brook Primary School</v>
          </cell>
          <cell r="D11333" t="str">
            <v>Milton Keynes</v>
          </cell>
          <cell r="E11333" t="str">
            <v>Community School</v>
          </cell>
          <cell r="F11333" t="str">
            <v>Primary</v>
          </cell>
        </row>
        <row r="11334">
          <cell r="A11334">
            <v>9192381</v>
          </cell>
          <cell r="B11334">
            <v>117306</v>
          </cell>
          <cell r="C11334" t="str">
            <v>Giles Junior School</v>
          </cell>
          <cell r="D11334" t="str">
            <v>Hertfordshire</v>
          </cell>
          <cell r="E11334" t="str">
            <v>Community School</v>
          </cell>
          <cell r="F11334" t="str">
            <v>Primary</v>
          </cell>
        </row>
        <row r="11335">
          <cell r="A11335">
            <v>9132485</v>
          </cell>
          <cell r="B11335">
            <v>132888</v>
          </cell>
          <cell r="C11335" t="str">
            <v>Gilesgate Junior School</v>
          </cell>
          <cell r="D11335" t="str">
            <v>Pre LGR (1997) Durham</v>
          </cell>
          <cell r="E11335" t="str">
            <v>Community School</v>
          </cell>
          <cell r="F11335" t="str">
            <v>Primary</v>
          </cell>
        </row>
        <row r="11336">
          <cell r="A11336">
            <v>9131004</v>
          </cell>
          <cell r="B11336">
            <v>132928</v>
          </cell>
          <cell r="C11336" t="str">
            <v>Gilesgate Nursery School</v>
          </cell>
          <cell r="D11336" t="str">
            <v>Pre LGR (1997) Durham</v>
          </cell>
          <cell r="E11336" t="str">
            <v>LA Nursery School</v>
          </cell>
          <cell r="F11336" t="str">
            <v>Nursery</v>
          </cell>
        </row>
        <row r="11337">
          <cell r="A11337">
            <v>6761016</v>
          </cell>
          <cell r="B11337">
            <v>400026</v>
          </cell>
          <cell r="C11337" t="str">
            <v>Gilfach Fargoed Nursery School</v>
          </cell>
          <cell r="D11337" t="str">
            <v>Caerphilly</v>
          </cell>
          <cell r="E11337" t="str">
            <v>Welsh Establishment</v>
          </cell>
          <cell r="F11337" t="str">
            <v>Not applicable</v>
          </cell>
        </row>
        <row r="11338">
          <cell r="A11338">
            <v>6762121</v>
          </cell>
          <cell r="B11338">
            <v>401319</v>
          </cell>
          <cell r="C11338" t="str">
            <v>Gilfach Fargoed Primary School</v>
          </cell>
          <cell r="D11338" t="str">
            <v>Caerphilly</v>
          </cell>
          <cell r="E11338" t="str">
            <v>Welsh Establishment</v>
          </cell>
          <cell r="F11338" t="str">
            <v>Primary</v>
          </cell>
        </row>
        <row r="11339">
          <cell r="A11339">
            <v>6742087</v>
          </cell>
          <cell r="B11339">
            <v>401154</v>
          </cell>
          <cell r="C11339" t="str">
            <v>Gilfach Goch Infants School</v>
          </cell>
          <cell r="D11339" t="str">
            <v>Rhondda, Cynon, Taff</v>
          </cell>
          <cell r="E11339" t="str">
            <v>Welsh Establishment</v>
          </cell>
          <cell r="F11339" t="str">
            <v>Primary</v>
          </cell>
        </row>
        <row r="11340">
          <cell r="A11340">
            <v>8153040</v>
          </cell>
          <cell r="B11340">
            <v>121493</v>
          </cell>
          <cell r="C11340" t="str">
            <v>Gillamoor Church of England Voluntary Controlled Primary School</v>
          </cell>
          <cell r="D11340" t="str">
            <v>North Yorkshire</v>
          </cell>
          <cell r="E11340" t="str">
            <v>Voluntary Controlled School</v>
          </cell>
          <cell r="F11340" t="str">
            <v>Primary</v>
          </cell>
        </row>
        <row r="11341">
          <cell r="A11341">
            <v>3942131</v>
          </cell>
          <cell r="B11341">
            <v>128195</v>
          </cell>
          <cell r="C11341" t="str">
            <v>Gillas Lane Infant School</v>
          </cell>
          <cell r="D11341" t="str">
            <v>Sunderland</v>
          </cell>
          <cell r="E11341" t="str">
            <v>Community School</v>
          </cell>
          <cell r="F11341" t="str">
            <v>Primary</v>
          </cell>
        </row>
        <row r="11342">
          <cell r="A11342">
            <v>3942175</v>
          </cell>
          <cell r="B11342">
            <v>108829</v>
          </cell>
          <cell r="C11342" t="str">
            <v>Gillas Lane Primary School</v>
          </cell>
          <cell r="D11342" t="str">
            <v>Sunderland</v>
          </cell>
          <cell r="E11342" t="str">
            <v>Community School</v>
          </cell>
          <cell r="F11342" t="str">
            <v>Primary</v>
          </cell>
        </row>
        <row r="11343">
          <cell r="A11343">
            <v>8074002</v>
          </cell>
          <cell r="B11343">
            <v>137709</v>
          </cell>
          <cell r="C11343" t="str">
            <v>Gillbrook Academy</v>
          </cell>
          <cell r="D11343" t="str">
            <v>Redcar and Cleveland</v>
          </cell>
          <cell r="E11343" t="str">
            <v>Academy Sponsor Led</v>
          </cell>
          <cell r="F11343" t="str">
            <v>Secondary</v>
          </cell>
        </row>
        <row r="11344">
          <cell r="A11344">
            <v>8074120</v>
          </cell>
          <cell r="B11344">
            <v>111739</v>
          </cell>
          <cell r="C11344" t="str">
            <v>Gillbrook College</v>
          </cell>
          <cell r="D11344" t="str">
            <v>Redcar and Cleveland</v>
          </cell>
          <cell r="E11344" t="str">
            <v>Community School</v>
          </cell>
          <cell r="F11344" t="str">
            <v>Secondary</v>
          </cell>
        </row>
        <row r="11345">
          <cell r="A11345">
            <v>2062251</v>
          </cell>
          <cell r="B11345">
            <v>100405</v>
          </cell>
          <cell r="C11345" t="str">
            <v>Gillespie Primary School</v>
          </cell>
          <cell r="D11345" t="str">
            <v>Islington</v>
          </cell>
          <cell r="E11345" t="str">
            <v>Community School</v>
          </cell>
          <cell r="F11345" t="str">
            <v>Primary</v>
          </cell>
        </row>
        <row r="11346">
          <cell r="A11346">
            <v>9091100</v>
          </cell>
          <cell r="B11346">
            <v>112095</v>
          </cell>
          <cell r="C11346" t="str">
            <v>Gillford Centre</v>
          </cell>
          <cell r="D11346" t="str">
            <v>Cumbria</v>
          </cell>
          <cell r="E11346" t="str">
            <v>Pupil Referral Unit</v>
          </cell>
          <cell r="F11346" t="str">
            <v>PRU</v>
          </cell>
        </row>
        <row r="11347">
          <cell r="A11347">
            <v>8882679</v>
          </cell>
          <cell r="B11347">
            <v>119324</v>
          </cell>
          <cell r="C11347" t="str">
            <v>Gillibrand Primary School</v>
          </cell>
          <cell r="D11347" t="str">
            <v>Lancashire</v>
          </cell>
          <cell r="E11347" t="str">
            <v>Community School</v>
          </cell>
          <cell r="F11347" t="str">
            <v>Primary</v>
          </cell>
        </row>
        <row r="11348">
          <cell r="A11348">
            <v>8153041</v>
          </cell>
          <cell r="B11348">
            <v>121494</v>
          </cell>
          <cell r="C11348" t="str">
            <v>Gilling (Richmond) CofE Primary School</v>
          </cell>
          <cell r="D11348" t="str">
            <v>North Yorkshire</v>
          </cell>
          <cell r="E11348" t="str">
            <v>Voluntary Controlled School</v>
          </cell>
          <cell r="F11348" t="str">
            <v>Primary</v>
          </cell>
        </row>
        <row r="11349">
          <cell r="A11349">
            <v>9273041</v>
          </cell>
          <cell r="B11349">
            <v>132911</v>
          </cell>
          <cell r="C11349" t="str">
            <v>Gilling (Richmond) CofE Primary School</v>
          </cell>
          <cell r="D11349" t="str">
            <v>Pre LGR (1996) North Yorkshire</v>
          </cell>
          <cell r="E11349" t="str">
            <v>Community School</v>
          </cell>
          <cell r="F11349" t="str">
            <v>Primary</v>
          </cell>
        </row>
        <row r="11350">
          <cell r="A11350">
            <v>8352017</v>
          </cell>
          <cell r="B11350">
            <v>113666</v>
          </cell>
          <cell r="C11350" t="str">
            <v>Gillingham Primary School</v>
          </cell>
          <cell r="D11350" t="str">
            <v>Dorset</v>
          </cell>
          <cell r="E11350" t="str">
            <v>Community School</v>
          </cell>
          <cell r="F11350" t="str">
            <v>Primary</v>
          </cell>
        </row>
        <row r="11351">
          <cell r="A11351">
            <v>8354503</v>
          </cell>
          <cell r="B11351">
            <v>113882</v>
          </cell>
          <cell r="C11351" t="str">
            <v>Gillingham School</v>
          </cell>
          <cell r="D11351" t="str">
            <v>Dorset</v>
          </cell>
          <cell r="E11351" t="str">
            <v>Voluntary Controlled School</v>
          </cell>
          <cell r="F11351" t="str">
            <v>Secondary</v>
          </cell>
        </row>
        <row r="11352">
          <cell r="A11352">
            <v>9263396</v>
          </cell>
          <cell r="B11352">
            <v>121140</v>
          </cell>
          <cell r="C11352" t="str">
            <v>Gillingham St Michael's Church of England Primary School</v>
          </cell>
          <cell r="D11352" t="str">
            <v>Norfolk</v>
          </cell>
          <cell r="E11352" t="str">
            <v>Voluntary Aided School</v>
          </cell>
          <cell r="F11352" t="str">
            <v>Primary</v>
          </cell>
        </row>
        <row r="11353">
          <cell r="A11353">
            <v>8032322</v>
          </cell>
          <cell r="B11353">
            <v>109126</v>
          </cell>
          <cell r="C11353" t="str">
            <v>Gillingstool Primary School</v>
          </cell>
          <cell r="D11353" t="str">
            <v>South Gloucestershire</v>
          </cell>
          <cell r="E11353" t="str">
            <v>Community School</v>
          </cell>
          <cell r="F11353" t="str">
            <v>Primary</v>
          </cell>
        </row>
        <row r="11354">
          <cell r="A11354">
            <v>9314055</v>
          </cell>
          <cell r="B11354">
            <v>123240</v>
          </cell>
          <cell r="C11354" t="str">
            <v>Gillotts School</v>
          </cell>
          <cell r="D11354" t="str">
            <v>Oxfordshire</v>
          </cell>
          <cell r="E11354" t="str">
            <v>Community School</v>
          </cell>
          <cell r="F11354" t="str">
            <v>Secondary</v>
          </cell>
        </row>
        <row r="11355">
          <cell r="A11355">
            <v>8102081</v>
          </cell>
          <cell r="B11355">
            <v>117720</v>
          </cell>
          <cell r="C11355" t="str">
            <v>Gillshill Primary School</v>
          </cell>
          <cell r="D11355" t="str">
            <v>Kingston upon Hull City of</v>
          </cell>
          <cell r="E11355" t="str">
            <v>Community School</v>
          </cell>
          <cell r="F11355" t="str">
            <v>Primary</v>
          </cell>
        </row>
        <row r="11356">
          <cell r="A11356">
            <v>8553325</v>
          </cell>
          <cell r="B11356">
            <v>120203</v>
          </cell>
          <cell r="C11356" t="str">
            <v>Gilmorton Chandler Church of England Primary School</v>
          </cell>
          <cell r="D11356" t="str">
            <v>Leicestershire</v>
          </cell>
          <cell r="E11356" t="str">
            <v>Voluntary Aided School</v>
          </cell>
          <cell r="F11356" t="str">
            <v>Primary</v>
          </cell>
        </row>
        <row r="11357">
          <cell r="A11357">
            <v>3412064</v>
          </cell>
          <cell r="B11357">
            <v>104544</v>
          </cell>
          <cell r="C11357" t="str">
            <v>Gilmour (Southbank) Infant School</v>
          </cell>
          <cell r="D11357" t="str">
            <v>Liverpool</v>
          </cell>
          <cell r="E11357" t="str">
            <v>Community School</v>
          </cell>
          <cell r="F11357" t="str">
            <v>Primary</v>
          </cell>
        </row>
        <row r="11358">
          <cell r="A11358">
            <v>3412063</v>
          </cell>
          <cell r="B11358">
            <v>104543</v>
          </cell>
          <cell r="C11358" t="str">
            <v>Gilmour Junior School</v>
          </cell>
          <cell r="D11358" t="str">
            <v>Liverpool</v>
          </cell>
          <cell r="E11358" t="str">
            <v>Community School</v>
          </cell>
          <cell r="F11358" t="str">
            <v>Primary</v>
          </cell>
        </row>
        <row r="11359">
          <cell r="A11359">
            <v>3502078</v>
          </cell>
          <cell r="B11359">
            <v>105198</v>
          </cell>
          <cell r="C11359" t="str">
            <v>Gilnow Primary School</v>
          </cell>
          <cell r="D11359" t="str">
            <v>Bolton</v>
          </cell>
          <cell r="E11359" t="str">
            <v>Community School</v>
          </cell>
          <cell r="F11359" t="str">
            <v>Primary</v>
          </cell>
        </row>
        <row r="11360">
          <cell r="A11360">
            <v>9095216</v>
          </cell>
          <cell r="B11360">
            <v>112418</v>
          </cell>
          <cell r="C11360" t="str">
            <v>Gilsland CofE Primary School</v>
          </cell>
          <cell r="D11360" t="str">
            <v>Cumbria</v>
          </cell>
          <cell r="E11360" t="str">
            <v>Foundation School</v>
          </cell>
          <cell r="F11360" t="str">
            <v>Primary</v>
          </cell>
        </row>
        <row r="11361">
          <cell r="A11361">
            <v>3804089</v>
          </cell>
          <cell r="B11361">
            <v>107405</v>
          </cell>
          <cell r="C11361" t="str">
            <v>Gilstead Middle School</v>
          </cell>
          <cell r="D11361" t="str">
            <v>Bradford</v>
          </cell>
          <cell r="E11361" t="str">
            <v>Community School</v>
          </cell>
          <cell r="F11361" t="str">
            <v>Middle Deemed Secondary</v>
          </cell>
        </row>
        <row r="11362">
          <cell r="A11362">
            <v>8912414</v>
          </cell>
          <cell r="B11362">
            <v>122574</v>
          </cell>
          <cell r="C11362" t="str">
            <v>Gilthill Primary School</v>
          </cell>
          <cell r="D11362" t="str">
            <v>Nottinghamshire</v>
          </cell>
          <cell r="E11362" t="str">
            <v>Community School</v>
          </cell>
          <cell r="F11362" t="str">
            <v>Primary</v>
          </cell>
        </row>
        <row r="11363">
          <cell r="A11363">
            <v>3822139</v>
          </cell>
          <cell r="B11363">
            <v>107688</v>
          </cell>
          <cell r="C11363" t="str">
            <v>Gilthwaites First School</v>
          </cell>
          <cell r="D11363" t="str">
            <v>Kirklees</v>
          </cell>
          <cell r="E11363" t="str">
            <v>Community School</v>
          </cell>
          <cell r="F11363" t="str">
            <v>Primary</v>
          </cell>
        </row>
        <row r="11364">
          <cell r="A11364">
            <v>6792057</v>
          </cell>
          <cell r="B11364">
            <v>401462</v>
          </cell>
          <cell r="C11364" t="str">
            <v>Gilwern C.P. School</v>
          </cell>
          <cell r="D11364" t="str">
            <v>Monmouthshire</v>
          </cell>
          <cell r="E11364" t="str">
            <v>Welsh Establishment</v>
          </cell>
          <cell r="F11364" t="str">
            <v>Primary</v>
          </cell>
        </row>
        <row r="11365">
          <cell r="A11365">
            <v>9252157</v>
          </cell>
          <cell r="B11365">
            <v>120449</v>
          </cell>
          <cell r="C11365" t="str">
            <v>Gipsey Bridge Primary School</v>
          </cell>
          <cell r="D11365" t="str">
            <v>Lincolnshire</v>
          </cell>
          <cell r="E11365" t="str">
            <v>Community School</v>
          </cell>
          <cell r="F11365" t="str">
            <v>Primary</v>
          </cell>
        </row>
        <row r="11366">
          <cell r="A11366">
            <v>3802182</v>
          </cell>
          <cell r="B11366">
            <v>107293</v>
          </cell>
          <cell r="C11366" t="str">
            <v>Girlington Primary School</v>
          </cell>
          <cell r="D11366" t="str">
            <v>Bradford</v>
          </cell>
          <cell r="E11366" t="str">
            <v>Community School</v>
          </cell>
          <cell r="F11366" t="str">
            <v>Primary</v>
          </cell>
        </row>
        <row r="11367">
          <cell r="A11367">
            <v>8732015</v>
          </cell>
          <cell r="B11367">
            <v>110610</v>
          </cell>
          <cell r="C11367" t="str">
            <v>Girton Glebe Primary School</v>
          </cell>
          <cell r="D11367" t="str">
            <v>Cambridgeshire</v>
          </cell>
          <cell r="E11367" t="str">
            <v>Community School</v>
          </cell>
          <cell r="F11367" t="str">
            <v>Primary</v>
          </cell>
        </row>
        <row r="11368">
          <cell r="A11368">
            <v>8883053</v>
          </cell>
          <cell r="B11368">
            <v>119373</v>
          </cell>
          <cell r="C11368" t="str">
            <v>Gisburn Forest Tosside Parochial Church of England Primary School</v>
          </cell>
          <cell r="D11368" t="str">
            <v>Lancashire</v>
          </cell>
          <cell r="E11368" t="str">
            <v>Voluntary Controlled School</v>
          </cell>
          <cell r="F11368" t="str">
            <v>Primary</v>
          </cell>
        </row>
        <row r="11369">
          <cell r="A11369">
            <v>8882266</v>
          </cell>
          <cell r="B11369">
            <v>119270</v>
          </cell>
          <cell r="C11369" t="str">
            <v>Gisburn Primary School</v>
          </cell>
          <cell r="D11369" t="str">
            <v>Lancashire</v>
          </cell>
          <cell r="E11369" t="str">
            <v>Community School</v>
          </cell>
          <cell r="F11369" t="str">
            <v>Primary</v>
          </cell>
        </row>
        <row r="11370">
          <cell r="A11370">
            <v>8882238</v>
          </cell>
          <cell r="B11370">
            <v>119265</v>
          </cell>
          <cell r="C11370" t="str">
            <v>Gisburn Road Community Primary School</v>
          </cell>
          <cell r="D11370" t="str">
            <v>Lancashire</v>
          </cell>
          <cell r="E11370" t="str">
            <v>Community School</v>
          </cell>
          <cell r="F11370" t="str">
            <v>Primary</v>
          </cell>
        </row>
        <row r="11371">
          <cell r="A11371">
            <v>9354063</v>
          </cell>
          <cell r="B11371">
            <v>124823</v>
          </cell>
          <cell r="C11371" t="str">
            <v>Gisleham Middle School</v>
          </cell>
          <cell r="D11371" t="str">
            <v>Suffolk</v>
          </cell>
          <cell r="E11371" t="str">
            <v>Community School</v>
          </cell>
          <cell r="F11371" t="str">
            <v>Middle Deemed Secondary</v>
          </cell>
        </row>
        <row r="11372">
          <cell r="A11372">
            <v>9353116</v>
          </cell>
          <cell r="B11372">
            <v>124753</v>
          </cell>
          <cell r="C11372" t="str">
            <v>Gislingham Church of England Voluntary Controlled Primary School</v>
          </cell>
          <cell r="D11372" t="str">
            <v>Suffolk</v>
          </cell>
          <cell r="E11372" t="str">
            <v>Voluntary Controlled School</v>
          </cell>
          <cell r="F11372" t="str">
            <v>Primary</v>
          </cell>
        </row>
        <row r="11373">
          <cell r="A11373">
            <v>8922360</v>
          </cell>
          <cell r="B11373">
            <v>122561</v>
          </cell>
          <cell r="C11373" t="str">
            <v>Glade Hill Primary School</v>
          </cell>
          <cell r="D11373" t="str">
            <v>Nottingham</v>
          </cell>
          <cell r="E11373" t="str">
            <v>Community School</v>
          </cell>
          <cell r="F11373" t="str">
            <v>Primary</v>
          </cell>
        </row>
        <row r="11374">
          <cell r="A11374">
            <v>9382111</v>
          </cell>
          <cell r="B11374">
            <v>125879</v>
          </cell>
          <cell r="C11374" t="str">
            <v>Glade Infant School, Bognor Regis</v>
          </cell>
          <cell r="D11374" t="str">
            <v>West Sussex</v>
          </cell>
          <cell r="E11374" t="str">
            <v>Community School</v>
          </cell>
          <cell r="F11374" t="str">
            <v>Primary</v>
          </cell>
        </row>
        <row r="11375">
          <cell r="A11375">
            <v>3172022</v>
          </cell>
          <cell r="B11375">
            <v>102806</v>
          </cell>
          <cell r="C11375" t="str">
            <v>Glade Primary School</v>
          </cell>
          <cell r="D11375" t="str">
            <v>Redbridge</v>
          </cell>
          <cell r="E11375" t="str">
            <v>Community School</v>
          </cell>
          <cell r="F11375" t="str">
            <v>Primary</v>
          </cell>
        </row>
        <row r="11376">
          <cell r="A11376">
            <v>3094033</v>
          </cell>
          <cell r="B11376">
            <v>102157</v>
          </cell>
          <cell r="C11376" t="str">
            <v>Gladesmore Community School</v>
          </cell>
          <cell r="D11376" t="str">
            <v>Haringey</v>
          </cell>
          <cell r="E11376" t="str">
            <v>Community School</v>
          </cell>
          <cell r="F11376" t="str">
            <v>Secondary</v>
          </cell>
        </row>
        <row r="11377">
          <cell r="A11377">
            <v>6663026</v>
          </cell>
          <cell r="B11377">
            <v>400546</v>
          </cell>
          <cell r="C11377" t="str">
            <v>Gladestry C.I.W. School</v>
          </cell>
          <cell r="D11377" t="str">
            <v>Powys</v>
          </cell>
          <cell r="E11377" t="str">
            <v>Welsh Establishment</v>
          </cell>
          <cell r="F11377" t="str">
            <v>Primary</v>
          </cell>
        </row>
        <row r="11378">
          <cell r="A11378">
            <v>6731110</v>
          </cell>
          <cell r="B11378">
            <v>401959</v>
          </cell>
          <cell r="C11378" t="str">
            <v>Gladstone College PRU</v>
          </cell>
          <cell r="D11378" t="str">
            <v>The Vale of Glamorgan</v>
          </cell>
          <cell r="E11378" t="str">
            <v>Welsh Establishment</v>
          </cell>
          <cell r="F11378" t="str">
            <v>Not applicable</v>
          </cell>
        </row>
        <row r="11379">
          <cell r="A11379">
            <v>3042016</v>
          </cell>
          <cell r="B11379">
            <v>126769</v>
          </cell>
          <cell r="C11379" t="str">
            <v>Gladstone Park Infant School</v>
          </cell>
          <cell r="D11379" t="str">
            <v>Brent</v>
          </cell>
          <cell r="E11379" t="str">
            <v>Community School</v>
          </cell>
          <cell r="F11379" t="str">
            <v>Primary</v>
          </cell>
        </row>
        <row r="11380">
          <cell r="A11380">
            <v>3042015</v>
          </cell>
          <cell r="B11380">
            <v>126768</v>
          </cell>
          <cell r="C11380" t="str">
            <v>Gladstone Park Junior School</v>
          </cell>
          <cell r="D11380" t="str">
            <v>Brent</v>
          </cell>
          <cell r="E11380" t="str">
            <v>Community School</v>
          </cell>
          <cell r="F11380" t="str">
            <v>Primary</v>
          </cell>
        </row>
        <row r="11381">
          <cell r="A11381">
            <v>3042072</v>
          </cell>
          <cell r="B11381">
            <v>101529</v>
          </cell>
          <cell r="C11381" t="str">
            <v>Gladstone Park School</v>
          </cell>
          <cell r="D11381" t="str">
            <v>Brent</v>
          </cell>
          <cell r="E11381" t="str">
            <v>Community School</v>
          </cell>
          <cell r="F11381" t="str">
            <v>Primary</v>
          </cell>
        </row>
        <row r="11382">
          <cell r="A11382">
            <v>8612117</v>
          </cell>
          <cell r="B11382">
            <v>124031</v>
          </cell>
          <cell r="C11382" t="str">
            <v>Gladstone Primary</v>
          </cell>
          <cell r="D11382" t="str">
            <v>Stoke-on-Trent</v>
          </cell>
          <cell r="E11382" t="str">
            <v>Community School</v>
          </cell>
          <cell r="F11382" t="str">
            <v>Primary</v>
          </cell>
        </row>
        <row r="11383">
          <cell r="A11383">
            <v>6812309</v>
          </cell>
          <cell r="B11383">
            <v>401638</v>
          </cell>
          <cell r="C11383" t="str">
            <v>Gladstone Primary</v>
          </cell>
          <cell r="D11383" t="str">
            <v>Cardiff</v>
          </cell>
          <cell r="E11383" t="str">
            <v>Welsh Establishment</v>
          </cell>
          <cell r="F11383" t="str">
            <v>Primary</v>
          </cell>
        </row>
        <row r="11384">
          <cell r="A11384">
            <v>8742326</v>
          </cell>
          <cell r="B11384">
            <v>110757</v>
          </cell>
          <cell r="C11384" t="str">
            <v>Gladstone Primary School</v>
          </cell>
          <cell r="D11384" t="str">
            <v>Peterborough</v>
          </cell>
          <cell r="E11384" t="str">
            <v>Community School</v>
          </cell>
          <cell r="F11384" t="str">
            <v>Primary</v>
          </cell>
        </row>
        <row r="11385">
          <cell r="A11385">
            <v>6732118</v>
          </cell>
          <cell r="B11385">
            <v>401092</v>
          </cell>
          <cell r="C11385" t="str">
            <v>Gladstone Primary School</v>
          </cell>
          <cell r="D11385" t="str">
            <v>The Vale of Glamorgan</v>
          </cell>
          <cell r="E11385" t="str">
            <v>Welsh Establishment</v>
          </cell>
          <cell r="F11385" t="str">
            <v>Primary</v>
          </cell>
        </row>
        <row r="11386">
          <cell r="A11386">
            <v>8152117</v>
          </cell>
          <cell r="B11386">
            <v>121319</v>
          </cell>
          <cell r="C11386" t="str">
            <v>Gladstone Road Infant School</v>
          </cell>
          <cell r="D11386" t="str">
            <v>North Yorkshire</v>
          </cell>
          <cell r="E11386" t="str">
            <v>Community School</v>
          </cell>
          <cell r="F11386" t="str">
            <v>Primary</v>
          </cell>
        </row>
        <row r="11387">
          <cell r="A11387">
            <v>8152116</v>
          </cell>
          <cell r="B11387">
            <v>121318</v>
          </cell>
          <cell r="C11387" t="str">
            <v>Gladstone Road Junior School</v>
          </cell>
          <cell r="D11387" t="str">
            <v>North Yorkshire</v>
          </cell>
          <cell r="E11387" t="str">
            <v>Community School</v>
          </cell>
          <cell r="F11387" t="str">
            <v>Primary</v>
          </cell>
        </row>
        <row r="11388">
          <cell r="A11388">
            <v>6702023</v>
          </cell>
          <cell r="B11388">
            <v>400870</v>
          </cell>
          <cell r="C11388" t="str">
            <v>Glais Primary School</v>
          </cell>
          <cell r="D11388" t="str">
            <v>Swansea</v>
          </cell>
          <cell r="E11388" t="str">
            <v>Welsh Establishment</v>
          </cell>
          <cell r="F11388" t="str">
            <v>Primary</v>
          </cell>
        </row>
        <row r="11389">
          <cell r="A11389">
            <v>8152041</v>
          </cell>
          <cell r="B11389">
            <v>121294</v>
          </cell>
          <cell r="C11389" t="str">
            <v>Glaisdale Primary School</v>
          </cell>
          <cell r="D11389" t="str">
            <v>North Yorkshire</v>
          </cell>
          <cell r="E11389" t="str">
            <v>Community School</v>
          </cell>
          <cell r="F11389" t="str">
            <v>Primary</v>
          </cell>
        </row>
        <row r="11390">
          <cell r="A11390">
            <v>3196055</v>
          </cell>
          <cell r="B11390">
            <v>103018</v>
          </cell>
          <cell r="C11390" t="str">
            <v>Glaisdale School</v>
          </cell>
          <cell r="D11390" t="str">
            <v>Sutton</v>
          </cell>
          <cell r="E11390" t="str">
            <v>Other Independent School</v>
          </cell>
          <cell r="F11390" t="str">
            <v>Not applicable</v>
          </cell>
        </row>
        <row r="11391">
          <cell r="A11391">
            <v>8924048</v>
          </cell>
          <cell r="B11391">
            <v>122832</v>
          </cell>
          <cell r="C11391" t="str">
            <v>Glaisdale School</v>
          </cell>
          <cell r="D11391" t="str">
            <v>Nottingham</v>
          </cell>
          <cell r="E11391" t="str">
            <v>Community School</v>
          </cell>
          <cell r="F11391" t="str">
            <v>Secondary</v>
          </cell>
        </row>
        <row r="11392">
          <cell r="A11392">
            <v>6714052</v>
          </cell>
          <cell r="B11392">
            <v>401779</v>
          </cell>
          <cell r="C11392" t="str">
            <v>Glan Afan Comprehensive School</v>
          </cell>
          <cell r="D11392" t="str">
            <v>Neath Port Talbot</v>
          </cell>
          <cell r="E11392" t="str">
            <v>Welsh Establishment</v>
          </cell>
          <cell r="F11392" t="str">
            <v>Secondary</v>
          </cell>
        </row>
        <row r="11393">
          <cell r="A11393">
            <v>6814040</v>
          </cell>
          <cell r="B11393">
            <v>401875</v>
          </cell>
          <cell r="C11393" t="str">
            <v>Glan Ely High School</v>
          </cell>
          <cell r="D11393" t="str">
            <v>Cardiff</v>
          </cell>
          <cell r="E11393" t="str">
            <v>Welsh Establishment</v>
          </cell>
          <cell r="F11393" t="str">
            <v>Not applicable</v>
          </cell>
        </row>
        <row r="11394">
          <cell r="A11394">
            <v>6802319</v>
          </cell>
          <cell r="B11394">
            <v>402195</v>
          </cell>
          <cell r="C11394" t="str">
            <v>Glan Usk Primary School</v>
          </cell>
          <cell r="D11394" t="str">
            <v>Newport</v>
          </cell>
          <cell r="E11394" t="str">
            <v>Welsh Establishment</v>
          </cell>
          <cell r="F11394" t="str">
            <v>Primary</v>
          </cell>
        </row>
        <row r="11395">
          <cell r="A11395">
            <v>6691108</v>
          </cell>
          <cell r="B11395">
            <v>402175</v>
          </cell>
          <cell r="C11395" t="str">
            <v>Glanaman Home Tution Centre</v>
          </cell>
          <cell r="D11395" t="str">
            <v>Carmarthenshire</v>
          </cell>
          <cell r="E11395" t="str">
            <v>Welsh Establishment</v>
          </cell>
          <cell r="F11395" t="str">
            <v>Not applicable</v>
          </cell>
        </row>
        <row r="11396">
          <cell r="A11396">
            <v>6692047</v>
          </cell>
          <cell r="B11396">
            <v>400752</v>
          </cell>
          <cell r="C11396" t="str">
            <v>Glanamman C.P. School</v>
          </cell>
          <cell r="D11396" t="str">
            <v>Carmarthenshire</v>
          </cell>
          <cell r="E11396" t="str">
            <v>Welsh Establishment</v>
          </cell>
          <cell r="F11396" t="str">
            <v>Primary</v>
          </cell>
        </row>
        <row r="11397">
          <cell r="A11397">
            <v>6742091</v>
          </cell>
          <cell r="B11397">
            <v>401156</v>
          </cell>
          <cell r="C11397" t="str">
            <v>Glanffrwd Infant School</v>
          </cell>
          <cell r="D11397" t="str">
            <v>Rhondda, Cynon, Taff</v>
          </cell>
          <cell r="E11397" t="str">
            <v>Welsh Establishment</v>
          </cell>
          <cell r="F11397" t="str">
            <v>Primary</v>
          </cell>
        </row>
        <row r="11398">
          <cell r="A11398">
            <v>6772070</v>
          </cell>
          <cell r="B11398">
            <v>401387</v>
          </cell>
          <cell r="C11398" t="str">
            <v>Glanhowy Primary School</v>
          </cell>
          <cell r="D11398" t="str">
            <v>Blaenau Gwent</v>
          </cell>
          <cell r="E11398" t="str">
            <v>Welsh Establishment</v>
          </cell>
          <cell r="F11398" t="str">
            <v>Primary</v>
          </cell>
        </row>
        <row r="11399">
          <cell r="A11399">
            <v>6662105</v>
          </cell>
          <cell r="B11399">
            <v>400520</v>
          </cell>
          <cell r="C11399" t="str">
            <v>Glanrhyd C.P. School</v>
          </cell>
          <cell r="D11399" t="str">
            <v>Powys</v>
          </cell>
          <cell r="E11399" t="str">
            <v>Welsh Establishment</v>
          </cell>
          <cell r="F11399" t="str">
            <v>Primary</v>
          </cell>
        </row>
        <row r="11400">
          <cell r="A11400">
            <v>6742095</v>
          </cell>
          <cell r="B11400">
            <v>401159</v>
          </cell>
          <cell r="C11400" t="str">
            <v>Glantaf Infant School</v>
          </cell>
          <cell r="D11400" t="str">
            <v>Rhondda, Cynon, Taff</v>
          </cell>
          <cell r="E11400" t="str">
            <v>Welsh Establishment</v>
          </cell>
          <cell r="F11400" t="str">
            <v>Primary</v>
          </cell>
        </row>
        <row r="11401">
          <cell r="A11401">
            <v>6712145</v>
          </cell>
          <cell r="B11401">
            <v>400978</v>
          </cell>
          <cell r="C11401" t="str">
            <v>Glanymor Primary School</v>
          </cell>
          <cell r="D11401" t="str">
            <v>Neath Port Talbot</v>
          </cell>
          <cell r="E11401" t="str">
            <v>Welsh Establishment</v>
          </cell>
          <cell r="F11401" t="str">
            <v>Primary</v>
          </cell>
        </row>
        <row r="11402">
          <cell r="A11402">
            <v>6762128</v>
          </cell>
          <cell r="B11402">
            <v>401320</v>
          </cell>
          <cell r="C11402" t="str">
            <v>Glan-Y-Nant Infants School</v>
          </cell>
          <cell r="D11402" t="str">
            <v>Caerphilly</v>
          </cell>
          <cell r="E11402" t="str">
            <v>Welsh Establishment</v>
          </cell>
          <cell r="F11402" t="str">
            <v>Not applicable</v>
          </cell>
        </row>
        <row r="11403">
          <cell r="A11403">
            <v>6761104</v>
          </cell>
          <cell r="B11403">
            <v>402051</v>
          </cell>
          <cell r="C11403" t="str">
            <v>Glanynant Learning Centre (PRU)</v>
          </cell>
          <cell r="D11403" t="str">
            <v>Caerphilly</v>
          </cell>
          <cell r="E11403" t="str">
            <v>Welsh Establishment</v>
          </cell>
          <cell r="F11403" t="str">
            <v>Not applicable</v>
          </cell>
        </row>
        <row r="11404">
          <cell r="A11404">
            <v>6812310</v>
          </cell>
          <cell r="B11404">
            <v>401639</v>
          </cell>
          <cell r="C11404" t="str">
            <v>Glan-Yr-Afon Primary</v>
          </cell>
          <cell r="D11404" t="str">
            <v>Cardiff</v>
          </cell>
          <cell r="E11404" t="str">
            <v>Welsh Establishment</v>
          </cell>
          <cell r="F11404" t="str">
            <v>Primary</v>
          </cell>
        </row>
        <row r="11405">
          <cell r="A11405">
            <v>9283031</v>
          </cell>
          <cell r="B11405">
            <v>121973</v>
          </cell>
          <cell r="C11405" t="str">
            <v>Glapthorn Church of England Lower School</v>
          </cell>
          <cell r="D11405" t="str">
            <v>Northamptonshire</v>
          </cell>
          <cell r="E11405" t="str">
            <v>Voluntary Controlled School</v>
          </cell>
          <cell r="F11405" t="str">
            <v>Primary</v>
          </cell>
        </row>
        <row r="11406">
          <cell r="A11406">
            <v>8922907</v>
          </cell>
          <cell r="B11406">
            <v>122712</v>
          </cell>
          <cell r="C11406" t="str">
            <v>Glapton Primary and Nursery School</v>
          </cell>
          <cell r="D11406" t="str">
            <v>Nottingham</v>
          </cell>
          <cell r="E11406" t="str">
            <v>Community School</v>
          </cell>
          <cell r="F11406" t="str">
            <v>Primary</v>
          </cell>
        </row>
        <row r="11407">
          <cell r="A11407">
            <v>6663314</v>
          </cell>
          <cell r="B11407">
            <v>400565</v>
          </cell>
          <cell r="C11407" t="str">
            <v>Glasbury C.I.W.(A) School</v>
          </cell>
          <cell r="D11407" t="str">
            <v>Powys</v>
          </cell>
          <cell r="E11407" t="str">
            <v>Welsh Establishment</v>
          </cell>
          <cell r="F11407" t="str">
            <v>Primary</v>
          </cell>
        </row>
        <row r="11408">
          <cell r="A11408">
            <v>8602373</v>
          </cell>
          <cell r="B11408">
            <v>124178</v>
          </cell>
          <cell r="C11408" t="str">
            <v>Glascote Heath Primary School</v>
          </cell>
          <cell r="D11408" t="str">
            <v>Staffordshire</v>
          </cell>
          <cell r="E11408" t="str">
            <v>Community School</v>
          </cell>
          <cell r="F11408" t="str">
            <v>Primary</v>
          </cell>
        </row>
        <row r="11409">
          <cell r="A11409">
            <v>6802039</v>
          </cell>
          <cell r="B11409">
            <v>401524</v>
          </cell>
          <cell r="C11409" t="str">
            <v>Glasllwch C.P. School</v>
          </cell>
          <cell r="D11409" t="str">
            <v>Newport</v>
          </cell>
          <cell r="E11409" t="str">
            <v>Welsh Establishment</v>
          </cell>
          <cell r="F11409" t="str">
            <v>Primary</v>
          </cell>
        </row>
        <row r="11410">
          <cell r="A11410">
            <v>3327904</v>
          </cell>
          <cell r="B11410">
            <v>132004</v>
          </cell>
          <cell r="C11410" t="str">
            <v>Glasshouse College</v>
          </cell>
          <cell r="D11410" t="str">
            <v>Dudley</v>
          </cell>
          <cell r="E11410" t="str">
            <v>Special College</v>
          </cell>
          <cell r="F11410" t="str">
            <v>16 Plus</v>
          </cell>
        </row>
        <row r="11411">
          <cell r="A11411">
            <v>8152338</v>
          </cell>
          <cell r="B11411">
            <v>121404</v>
          </cell>
          <cell r="C11411" t="str">
            <v>Glasshouses Community Primary School</v>
          </cell>
          <cell r="D11411" t="str">
            <v>North Yorkshire</v>
          </cell>
          <cell r="E11411" t="str">
            <v>Community School</v>
          </cell>
          <cell r="F11411" t="str">
            <v>Primary</v>
          </cell>
        </row>
        <row r="11412">
          <cell r="A11412">
            <v>8262347</v>
          </cell>
          <cell r="B11412">
            <v>110400</v>
          </cell>
          <cell r="C11412" t="str">
            <v>Glastonbury Thorn School</v>
          </cell>
          <cell r="D11412" t="str">
            <v>Milton Keynes</v>
          </cell>
          <cell r="E11412" t="str">
            <v>Foundation School</v>
          </cell>
          <cell r="F11412" t="str">
            <v>Primary</v>
          </cell>
        </row>
        <row r="11413">
          <cell r="A11413">
            <v>8773600</v>
          </cell>
          <cell r="B11413">
            <v>111362</v>
          </cell>
          <cell r="C11413" t="str">
            <v>Glazebury CofE (Aided) Primary School</v>
          </cell>
          <cell r="D11413" t="str">
            <v>Warrington</v>
          </cell>
          <cell r="E11413" t="str">
            <v>Voluntary Aided School</v>
          </cell>
          <cell r="F11413" t="str">
            <v>Primary</v>
          </cell>
        </row>
        <row r="11414">
          <cell r="A11414">
            <v>3732036</v>
          </cell>
          <cell r="B11414">
            <v>106991</v>
          </cell>
          <cell r="C11414" t="str">
            <v>Gleadless Primary School</v>
          </cell>
          <cell r="D11414" t="str">
            <v>Sheffield</v>
          </cell>
          <cell r="E11414" t="str">
            <v>Community School</v>
          </cell>
          <cell r="F11414" t="str">
            <v>Primary</v>
          </cell>
        </row>
        <row r="11415">
          <cell r="A11415">
            <v>3734239</v>
          </cell>
          <cell r="B11415">
            <v>107133</v>
          </cell>
          <cell r="C11415" t="str">
            <v>Gleadless Valley School</v>
          </cell>
          <cell r="D11415" t="str">
            <v>Sheffield</v>
          </cell>
          <cell r="E11415" t="str">
            <v>Community School</v>
          </cell>
          <cell r="F11415" t="str">
            <v>Secondary</v>
          </cell>
        </row>
        <row r="11416">
          <cell r="A11416">
            <v>3546003</v>
          </cell>
          <cell r="B11416">
            <v>105856</v>
          </cell>
          <cell r="C11416" t="str">
            <v>Glebe House School</v>
          </cell>
          <cell r="D11416" t="str">
            <v>Rochdale</v>
          </cell>
          <cell r="E11416" t="str">
            <v>Other Independent School</v>
          </cell>
          <cell r="F11416" t="str">
            <v>Not applicable</v>
          </cell>
        </row>
        <row r="11417">
          <cell r="A11417">
            <v>9266004</v>
          </cell>
          <cell r="B11417">
            <v>121223</v>
          </cell>
          <cell r="C11417" t="str">
            <v>Glebe House School</v>
          </cell>
          <cell r="D11417" t="str">
            <v>Norfolk</v>
          </cell>
          <cell r="E11417" t="str">
            <v>Other Independent School</v>
          </cell>
          <cell r="F11417" t="str">
            <v>Not applicable</v>
          </cell>
        </row>
        <row r="11418">
          <cell r="A11418">
            <v>3942151</v>
          </cell>
          <cell r="B11418">
            <v>128201</v>
          </cell>
          <cell r="C11418" t="str">
            <v>Glebe Infant School</v>
          </cell>
          <cell r="D11418" t="str">
            <v>Sunderland</v>
          </cell>
          <cell r="E11418" t="str">
            <v>Community School</v>
          </cell>
          <cell r="F11418" t="str">
            <v>Primary</v>
          </cell>
        </row>
        <row r="11419">
          <cell r="A11419">
            <v>8812551</v>
          </cell>
          <cell r="B11419">
            <v>114889</v>
          </cell>
          <cell r="C11419" t="str">
            <v>Glebe Infant School and Unit for Hearing Impaired</v>
          </cell>
          <cell r="D11419" t="str">
            <v>Essex</v>
          </cell>
          <cell r="E11419" t="str">
            <v>Community School</v>
          </cell>
          <cell r="F11419" t="str">
            <v>Primary</v>
          </cell>
        </row>
        <row r="11420">
          <cell r="A11420">
            <v>9165211</v>
          </cell>
          <cell r="B11420">
            <v>115741</v>
          </cell>
          <cell r="C11420" t="str">
            <v>Glebe Infants' School</v>
          </cell>
          <cell r="D11420" t="str">
            <v>Gloucestershire</v>
          </cell>
          <cell r="E11420" t="str">
            <v>Foundation School</v>
          </cell>
          <cell r="F11420" t="str">
            <v>Primary</v>
          </cell>
        </row>
        <row r="11421">
          <cell r="A11421">
            <v>8302228</v>
          </cell>
          <cell r="B11421">
            <v>112624</v>
          </cell>
          <cell r="C11421" t="str">
            <v>Glebe Junior School</v>
          </cell>
          <cell r="D11421" t="str">
            <v>Derbyshire</v>
          </cell>
          <cell r="E11421" t="str">
            <v>Community School</v>
          </cell>
          <cell r="F11421" t="str">
            <v>Primary</v>
          </cell>
        </row>
        <row r="11422">
          <cell r="A11422">
            <v>3942150</v>
          </cell>
          <cell r="B11422">
            <v>128200</v>
          </cell>
          <cell r="C11422" t="str">
            <v>Glebe Junior School</v>
          </cell>
          <cell r="D11422" t="str">
            <v>Sunderland</v>
          </cell>
          <cell r="E11422" t="str">
            <v>Community School</v>
          </cell>
          <cell r="F11422" t="str">
            <v>Primary</v>
          </cell>
        </row>
        <row r="11423">
          <cell r="A11423">
            <v>8812731</v>
          </cell>
          <cell r="B11423">
            <v>114971</v>
          </cell>
          <cell r="C11423" t="str">
            <v>Glebe Junior School and Unit for Hearing Impaired</v>
          </cell>
          <cell r="D11423" t="str">
            <v>Essex</v>
          </cell>
          <cell r="E11423" t="str">
            <v>Community School</v>
          </cell>
          <cell r="F11423" t="str">
            <v>Primary</v>
          </cell>
        </row>
        <row r="11424">
          <cell r="A11424">
            <v>3071001</v>
          </cell>
          <cell r="B11424">
            <v>101859</v>
          </cell>
          <cell r="C11424" t="str">
            <v>Glebe Nursery School</v>
          </cell>
          <cell r="D11424" t="str">
            <v>Ealing</v>
          </cell>
          <cell r="E11424" t="str">
            <v>LA Nursery School</v>
          </cell>
          <cell r="F11424" t="str">
            <v>Nursery</v>
          </cell>
        </row>
        <row r="11425">
          <cell r="A11425">
            <v>3102098</v>
          </cell>
          <cell r="B11425">
            <v>102224</v>
          </cell>
          <cell r="C11425" t="str">
            <v>Glebe Primary School</v>
          </cell>
          <cell r="D11425" t="str">
            <v>Harrow</v>
          </cell>
          <cell r="E11425" t="str">
            <v>Community School</v>
          </cell>
          <cell r="F11425" t="str">
            <v>Primary</v>
          </cell>
        </row>
        <row r="11426">
          <cell r="A11426">
            <v>3122020</v>
          </cell>
          <cell r="B11426">
            <v>102380</v>
          </cell>
          <cell r="C11426" t="str">
            <v>Glebe Primary School</v>
          </cell>
          <cell r="D11426" t="str">
            <v>Hillingdon</v>
          </cell>
          <cell r="E11426" t="str">
            <v>Community School</v>
          </cell>
          <cell r="F11426" t="str">
            <v>Primary</v>
          </cell>
        </row>
        <row r="11427">
          <cell r="A11427">
            <v>8612069</v>
          </cell>
          <cell r="B11427">
            <v>124004</v>
          </cell>
          <cell r="C11427" t="str">
            <v>Glebe Primary School</v>
          </cell>
          <cell r="D11427" t="str">
            <v>Stoke-on-Trent</v>
          </cell>
          <cell r="E11427" t="str">
            <v>Community School</v>
          </cell>
          <cell r="F11427" t="str">
            <v>Primary</v>
          </cell>
        </row>
        <row r="11428">
          <cell r="A11428">
            <v>3055950</v>
          </cell>
          <cell r="B11428">
            <v>101700</v>
          </cell>
          <cell r="C11428" t="str">
            <v>Glebe School</v>
          </cell>
          <cell r="D11428" t="str">
            <v>Bromley</v>
          </cell>
          <cell r="E11428" t="str">
            <v>Foundation Special School</v>
          </cell>
          <cell r="F11428" t="str">
            <v>Special</v>
          </cell>
        </row>
        <row r="11429">
          <cell r="A11429">
            <v>3947010</v>
          </cell>
          <cell r="B11429">
            <v>128212</v>
          </cell>
          <cell r="C11429" t="str">
            <v>Glebe School</v>
          </cell>
          <cell r="D11429" t="str">
            <v>Sunderland</v>
          </cell>
          <cell r="E11429" t="str">
            <v>Community Special School</v>
          </cell>
          <cell r="F11429" t="str">
            <v>Special</v>
          </cell>
        </row>
        <row r="11430">
          <cell r="A11430">
            <v>9137002</v>
          </cell>
          <cell r="B11430">
            <v>128827</v>
          </cell>
          <cell r="C11430" t="str">
            <v>Glebe School</v>
          </cell>
          <cell r="D11430" t="str">
            <v>Pre LGR (1997) Durham</v>
          </cell>
          <cell r="E11430" t="str">
            <v>Community Special School</v>
          </cell>
          <cell r="F11430" t="str">
            <v>Special</v>
          </cell>
        </row>
        <row r="11431">
          <cell r="A11431">
            <v>3942180</v>
          </cell>
          <cell r="B11431">
            <v>108834</v>
          </cell>
          <cell r="C11431" t="str">
            <v>Glebe Village Primary School and Nursery</v>
          </cell>
          <cell r="D11431" t="str">
            <v>Sunderland</v>
          </cell>
          <cell r="E11431" t="str">
            <v>Community School</v>
          </cell>
          <cell r="F11431" t="str">
            <v>Primary</v>
          </cell>
        </row>
        <row r="11432">
          <cell r="A11432">
            <v>3332075</v>
          </cell>
          <cell r="B11432">
            <v>103925</v>
          </cell>
          <cell r="C11432" t="str">
            <v>Glebefields Primary School</v>
          </cell>
          <cell r="D11432" t="str">
            <v>Sandwell</v>
          </cell>
          <cell r="E11432" t="str">
            <v>Community School</v>
          </cell>
          <cell r="F11432" t="str">
            <v>Primary</v>
          </cell>
        </row>
        <row r="11433">
          <cell r="A11433">
            <v>9262412</v>
          </cell>
          <cell r="B11433">
            <v>121014</v>
          </cell>
          <cell r="C11433" t="str">
            <v>Glebeland Community Primary School</v>
          </cell>
          <cell r="D11433" t="str">
            <v>Norfolk</v>
          </cell>
          <cell r="E11433" t="str">
            <v>Community School</v>
          </cell>
          <cell r="F11433" t="str">
            <v>Primary</v>
          </cell>
        </row>
        <row r="11434">
          <cell r="A11434">
            <v>8732448</v>
          </cell>
          <cell r="B11434">
            <v>110777</v>
          </cell>
          <cell r="C11434" t="str">
            <v>Glebelands Primary School</v>
          </cell>
          <cell r="D11434" t="str">
            <v>Cambridgeshire</v>
          </cell>
          <cell r="E11434" t="str">
            <v>Community School</v>
          </cell>
          <cell r="F11434" t="str">
            <v>Primary</v>
          </cell>
        </row>
        <row r="11435">
          <cell r="A11435">
            <v>8562379</v>
          </cell>
          <cell r="B11435">
            <v>131513</v>
          </cell>
          <cell r="C11435" t="str">
            <v>Glebelands Primary School</v>
          </cell>
          <cell r="D11435" t="str">
            <v>Leicester</v>
          </cell>
          <cell r="E11435" t="str">
            <v>Community School</v>
          </cell>
          <cell r="F11435" t="str">
            <v>Primary</v>
          </cell>
        </row>
        <row r="11436">
          <cell r="A11436">
            <v>9364162</v>
          </cell>
          <cell r="B11436">
            <v>125259</v>
          </cell>
          <cell r="C11436" t="str">
            <v>Glebelands School</v>
          </cell>
          <cell r="D11436" t="str">
            <v>Surrey</v>
          </cell>
          <cell r="E11436" t="str">
            <v>Community School</v>
          </cell>
          <cell r="F11436" t="str">
            <v>Secondary</v>
          </cell>
        </row>
        <row r="11437">
          <cell r="A11437">
            <v>3832222</v>
          </cell>
          <cell r="B11437">
            <v>127861</v>
          </cell>
          <cell r="C11437" t="str">
            <v>Gledhow First School</v>
          </cell>
          <cell r="D11437" t="str">
            <v>Leeds</v>
          </cell>
          <cell r="E11437" t="str">
            <v>Community School</v>
          </cell>
          <cell r="F11437" t="str">
            <v>Primary</v>
          </cell>
        </row>
        <row r="11438">
          <cell r="A11438">
            <v>3832428</v>
          </cell>
          <cell r="B11438">
            <v>107904</v>
          </cell>
          <cell r="C11438" t="str">
            <v>Gledhow Primary School</v>
          </cell>
          <cell r="D11438" t="str">
            <v>Leeds</v>
          </cell>
          <cell r="E11438" t="str">
            <v>Community School</v>
          </cell>
          <cell r="F11438" t="str">
            <v>Primary</v>
          </cell>
        </row>
        <row r="11439">
          <cell r="A11439">
            <v>9254025</v>
          </cell>
          <cell r="B11439">
            <v>120641</v>
          </cell>
          <cell r="C11439" t="str">
            <v>Gleed Boys' School</v>
          </cell>
          <cell r="D11439" t="str">
            <v>Lincolnshire</v>
          </cell>
          <cell r="E11439" t="str">
            <v>Community School</v>
          </cell>
          <cell r="F11439" t="str">
            <v>Secondary</v>
          </cell>
        </row>
        <row r="11440">
          <cell r="A11440">
            <v>9352008</v>
          </cell>
          <cell r="B11440">
            <v>124535</v>
          </cell>
          <cell r="C11440" t="str">
            <v>Glemsford Community Primary School</v>
          </cell>
          <cell r="D11440" t="str">
            <v>Suffolk</v>
          </cell>
          <cell r="E11440" t="str">
            <v>Community School</v>
          </cell>
          <cell r="F11440" t="str">
            <v>Primary</v>
          </cell>
        </row>
        <row r="11441">
          <cell r="A11441">
            <v>8552322</v>
          </cell>
          <cell r="B11441">
            <v>120052</v>
          </cell>
          <cell r="C11441" t="str">
            <v>Glen Hills Primary School</v>
          </cell>
          <cell r="D11441" t="str">
            <v>Leicestershire</v>
          </cell>
          <cell r="E11441" t="str">
            <v>Community School</v>
          </cell>
          <cell r="F11441" t="str">
            <v>Primary</v>
          </cell>
        </row>
        <row r="11442">
          <cell r="A11442">
            <v>3816008</v>
          </cell>
          <cell r="B11442">
            <v>107587</v>
          </cell>
          <cell r="C11442" t="str">
            <v>Glen House Montessori School</v>
          </cell>
          <cell r="D11442" t="str">
            <v>Calderdale</v>
          </cell>
          <cell r="E11442" t="str">
            <v>Other Independent School</v>
          </cell>
          <cell r="F11442" t="str">
            <v>Not applicable</v>
          </cell>
        </row>
        <row r="11443">
          <cell r="A11443">
            <v>8792705</v>
          </cell>
          <cell r="B11443">
            <v>113326</v>
          </cell>
          <cell r="C11443" t="str">
            <v>Glen Park Primary School</v>
          </cell>
          <cell r="D11443" t="str">
            <v>Plymouth</v>
          </cell>
          <cell r="E11443" t="str">
            <v>Community School</v>
          </cell>
          <cell r="F11443" t="str">
            <v>Primary</v>
          </cell>
        </row>
        <row r="11444">
          <cell r="A11444">
            <v>3802157</v>
          </cell>
          <cell r="B11444">
            <v>107280</v>
          </cell>
          <cell r="C11444" t="str">
            <v>Glenaire Primary School</v>
          </cell>
          <cell r="D11444" t="str">
            <v>Bradford</v>
          </cell>
          <cell r="E11444" t="str">
            <v>Community School</v>
          </cell>
          <cell r="F11444" t="str">
            <v>Primary</v>
          </cell>
        </row>
        <row r="11445">
          <cell r="A11445">
            <v>3176056</v>
          </cell>
          <cell r="B11445">
            <v>102870</v>
          </cell>
          <cell r="C11445" t="str">
            <v>Glenarm College</v>
          </cell>
          <cell r="D11445" t="str">
            <v>Redbridge</v>
          </cell>
          <cell r="E11445" t="str">
            <v>Other Independent School</v>
          </cell>
          <cell r="F11445" t="str">
            <v>Not applicable</v>
          </cell>
        </row>
        <row r="11446">
          <cell r="A11446">
            <v>6742244</v>
          </cell>
          <cell r="B11446">
            <v>401231</v>
          </cell>
          <cell r="C11446" t="str">
            <v>Glenboi Primary School</v>
          </cell>
          <cell r="D11446" t="str">
            <v>Rhondda, Cynon, Taff</v>
          </cell>
          <cell r="E11446" t="str">
            <v>Welsh Establishment</v>
          </cell>
          <cell r="F11446" t="str">
            <v>Primary</v>
          </cell>
        </row>
        <row r="11447">
          <cell r="A11447">
            <v>9302119</v>
          </cell>
          <cell r="B11447">
            <v>129713</v>
          </cell>
          <cell r="C11447" t="str">
            <v>Glenbrook Infant School</v>
          </cell>
          <cell r="D11447" t="str">
            <v>Pre LGR (1998) Nottinghamshire</v>
          </cell>
          <cell r="E11447" t="str">
            <v>Community School</v>
          </cell>
          <cell r="F11447" t="str">
            <v>Primary</v>
          </cell>
        </row>
        <row r="11448">
          <cell r="A11448">
            <v>9302179</v>
          </cell>
          <cell r="B11448">
            <v>129716</v>
          </cell>
          <cell r="C11448" t="str">
            <v>Glenbrook Junior School</v>
          </cell>
          <cell r="D11448" t="str">
            <v>Pre LGR (1998) Nottinghamshire</v>
          </cell>
          <cell r="E11448" t="str">
            <v>Community School</v>
          </cell>
          <cell r="F11448" t="str">
            <v>Primary</v>
          </cell>
        </row>
        <row r="11449">
          <cell r="A11449">
            <v>8922932</v>
          </cell>
          <cell r="B11449">
            <v>122736</v>
          </cell>
          <cell r="C11449" t="str">
            <v>Glenbrook Primary and Nursery School</v>
          </cell>
          <cell r="D11449" t="str">
            <v>Nottingham</v>
          </cell>
          <cell r="E11449" t="str">
            <v>Community School</v>
          </cell>
          <cell r="F11449" t="str">
            <v>Primary</v>
          </cell>
        </row>
        <row r="11450">
          <cell r="A11450">
            <v>2082669</v>
          </cell>
          <cell r="B11450">
            <v>100592</v>
          </cell>
          <cell r="C11450" t="str">
            <v>Glenbrook Primary School</v>
          </cell>
          <cell r="D11450" t="str">
            <v>Lambeth</v>
          </cell>
          <cell r="E11450" t="str">
            <v>Community School</v>
          </cell>
          <cell r="F11450" t="str">
            <v>Primary</v>
          </cell>
        </row>
        <row r="11451">
          <cell r="A11451">
            <v>2082836</v>
          </cell>
          <cell r="B11451">
            <v>100601</v>
          </cell>
          <cell r="C11451" t="str">
            <v>Glenbrook Primary School</v>
          </cell>
          <cell r="D11451" t="str">
            <v>Lambeth</v>
          </cell>
          <cell r="E11451" t="str">
            <v>Community School</v>
          </cell>
          <cell r="F11451" t="str">
            <v>Primary</v>
          </cell>
        </row>
        <row r="11452">
          <cell r="A11452">
            <v>3442211</v>
          </cell>
          <cell r="B11452">
            <v>105014</v>
          </cell>
          <cell r="C11452" t="str">
            <v>Glenburn Infant School</v>
          </cell>
          <cell r="D11452" t="str">
            <v>Wirral</v>
          </cell>
          <cell r="E11452" t="str">
            <v>Community School</v>
          </cell>
          <cell r="F11452" t="str">
            <v>Primary</v>
          </cell>
        </row>
        <row r="11453">
          <cell r="A11453">
            <v>8884200</v>
          </cell>
          <cell r="B11453">
            <v>119758</v>
          </cell>
          <cell r="C11453" t="str">
            <v>Glenburn Sports College</v>
          </cell>
          <cell r="D11453" t="str">
            <v>Lancashire</v>
          </cell>
          <cell r="E11453" t="str">
            <v>Foundation School</v>
          </cell>
          <cell r="F11453" t="str">
            <v>Secondary</v>
          </cell>
        </row>
        <row r="11454">
          <cell r="A11454">
            <v>8872196</v>
          </cell>
          <cell r="B11454">
            <v>118316</v>
          </cell>
          <cell r="C11454" t="str">
            <v>Glencoe Junior School</v>
          </cell>
          <cell r="D11454" t="str">
            <v>Medway</v>
          </cell>
          <cell r="E11454" t="str">
            <v>Community School</v>
          </cell>
          <cell r="F11454" t="str">
            <v>Primary</v>
          </cell>
        </row>
        <row r="11455">
          <cell r="A11455">
            <v>7057001</v>
          </cell>
          <cell r="B11455">
            <v>132535</v>
          </cell>
          <cell r="C11455" t="str">
            <v>Glencrutchery Special School</v>
          </cell>
          <cell r="D11455" t="str">
            <v>Isle of Man Offshore Establishments</v>
          </cell>
          <cell r="E11455" t="str">
            <v>Offshore Schools</v>
          </cell>
          <cell r="F11455" t="str">
            <v>Not applicable</v>
          </cell>
        </row>
        <row r="11456">
          <cell r="A11456">
            <v>8306032</v>
          </cell>
          <cell r="B11456">
            <v>131195</v>
          </cell>
          <cell r="C11456" t="str">
            <v>Glendale House</v>
          </cell>
          <cell r="D11456" t="str">
            <v>Derbyshire</v>
          </cell>
          <cell r="E11456" t="str">
            <v>Other Independent Special School</v>
          </cell>
          <cell r="F11456" t="str">
            <v>Not applicable</v>
          </cell>
        </row>
        <row r="11457">
          <cell r="A11457">
            <v>9372585</v>
          </cell>
          <cell r="B11457">
            <v>125595</v>
          </cell>
          <cell r="C11457" t="str">
            <v>Glendale Infant School</v>
          </cell>
          <cell r="D11457" t="str">
            <v>Warwickshire</v>
          </cell>
          <cell r="E11457" t="str">
            <v>Community School</v>
          </cell>
          <cell r="F11457" t="str">
            <v>Primary</v>
          </cell>
        </row>
        <row r="11458">
          <cell r="A11458">
            <v>9294370</v>
          </cell>
          <cell r="B11458">
            <v>122352</v>
          </cell>
          <cell r="C11458" t="str">
            <v>Glendale Middle School</v>
          </cell>
          <cell r="D11458" t="str">
            <v>Northumberland</v>
          </cell>
          <cell r="E11458" t="str">
            <v>Community School</v>
          </cell>
          <cell r="F11458" t="str">
            <v>Middle Deemed Secondary</v>
          </cell>
        </row>
        <row r="11459">
          <cell r="A11459">
            <v>8407029</v>
          </cell>
          <cell r="B11459">
            <v>114346</v>
          </cell>
          <cell r="C11459" t="str">
            <v>Glendene School</v>
          </cell>
          <cell r="D11459" t="str">
            <v>Durham</v>
          </cell>
          <cell r="E11459" t="str">
            <v>Community Special School</v>
          </cell>
          <cell r="F11459" t="str">
            <v>Special</v>
          </cell>
        </row>
        <row r="11460">
          <cell r="A11460">
            <v>2076004</v>
          </cell>
          <cell r="B11460">
            <v>100508</v>
          </cell>
          <cell r="C11460" t="str">
            <v>Glendower Preparatory School</v>
          </cell>
          <cell r="D11460" t="str">
            <v>Kensington and Chelsea</v>
          </cell>
          <cell r="E11460" t="str">
            <v>Other Independent School</v>
          </cell>
          <cell r="F11460" t="str">
            <v>Not applicable</v>
          </cell>
        </row>
        <row r="11461">
          <cell r="A11461">
            <v>9366181</v>
          </cell>
          <cell r="B11461">
            <v>125377</v>
          </cell>
          <cell r="C11461" t="str">
            <v>Glenesk School</v>
          </cell>
          <cell r="D11461" t="str">
            <v>Surrey</v>
          </cell>
          <cell r="E11461" t="str">
            <v>Other Independent School</v>
          </cell>
          <cell r="F11461" t="str">
            <v>Not applicable</v>
          </cell>
        </row>
        <row r="11462">
          <cell r="A11462">
            <v>9162142</v>
          </cell>
          <cell r="B11462">
            <v>115577</v>
          </cell>
          <cell r="C11462" t="str">
            <v>Glenfall Community Primary School</v>
          </cell>
          <cell r="D11462" t="str">
            <v>Gloucestershire</v>
          </cell>
          <cell r="E11462" t="str">
            <v>Community School</v>
          </cell>
          <cell r="F11462" t="str">
            <v>Primary</v>
          </cell>
        </row>
        <row r="11463">
          <cell r="A11463">
            <v>8522437</v>
          </cell>
          <cell r="B11463">
            <v>116115</v>
          </cell>
          <cell r="C11463" t="str">
            <v>Glenfield Infant School</v>
          </cell>
          <cell r="D11463" t="str">
            <v>Southampton</v>
          </cell>
          <cell r="E11463" t="str">
            <v>Community School</v>
          </cell>
          <cell r="F11463" t="str">
            <v>Primary</v>
          </cell>
        </row>
        <row r="11464">
          <cell r="A11464">
            <v>8552349</v>
          </cell>
          <cell r="B11464">
            <v>120074</v>
          </cell>
          <cell r="C11464" t="str">
            <v>Glenfield Primary School Plus Speech and Language Unit</v>
          </cell>
          <cell r="D11464" t="str">
            <v>Leicestershire</v>
          </cell>
          <cell r="E11464" t="str">
            <v>Community School</v>
          </cell>
          <cell r="F11464" t="str">
            <v>Primary</v>
          </cell>
        </row>
        <row r="11465">
          <cell r="A11465">
            <v>9247211</v>
          </cell>
          <cell r="B11465">
            <v>129554</v>
          </cell>
          <cell r="C11465" t="str">
            <v>Glenfrith Hospital School</v>
          </cell>
          <cell r="D11465" t="str">
            <v>Pre LGR (1997) Leicestershire</v>
          </cell>
          <cell r="E11465" t="str">
            <v>Community Special School</v>
          </cell>
          <cell r="F11465" t="str">
            <v>Special</v>
          </cell>
        </row>
        <row r="11466">
          <cell r="A11466">
            <v>8012037</v>
          </cell>
          <cell r="B11466">
            <v>108931</v>
          </cell>
          <cell r="C11466" t="str">
            <v>Glenfrome Primary School</v>
          </cell>
          <cell r="D11466" t="str">
            <v>Bristol City of</v>
          </cell>
          <cell r="E11466" t="str">
            <v>Community School</v>
          </cell>
          <cell r="F11466" t="str">
            <v>Primary</v>
          </cell>
        </row>
        <row r="11467">
          <cell r="A11467">
            <v>3567001</v>
          </cell>
          <cell r="B11467">
            <v>127522</v>
          </cell>
          <cell r="C11467" t="str">
            <v>Glengarth Special School</v>
          </cell>
          <cell r="D11467" t="str">
            <v>Stockport</v>
          </cell>
          <cell r="E11467" t="str">
            <v>Community Special School</v>
          </cell>
          <cell r="F11467" t="str">
            <v>Special</v>
          </cell>
        </row>
        <row r="11468">
          <cell r="A11468">
            <v>9146051</v>
          </cell>
          <cell r="B11468">
            <v>128849</v>
          </cell>
          <cell r="C11468" t="str">
            <v>Glengorse and Hydneye School</v>
          </cell>
          <cell r="D11468" t="str">
            <v>Pre LGR (1997) East Sussex</v>
          </cell>
          <cell r="E11468" t="str">
            <v>Other Independent School</v>
          </cell>
          <cell r="F11468" t="str">
            <v>Not applicable</v>
          </cell>
        </row>
        <row r="11469">
          <cell r="A11469">
            <v>9076007</v>
          </cell>
          <cell r="B11469">
            <v>128524</v>
          </cell>
          <cell r="C11469" t="str">
            <v>Glenhow Preparatory School</v>
          </cell>
          <cell r="D11469" t="str">
            <v>Pre LGR (1996) Cleveland</v>
          </cell>
          <cell r="E11469" t="str">
            <v>Other Independent School</v>
          </cell>
          <cell r="F11469" t="str">
            <v>Not applicable</v>
          </cell>
        </row>
        <row r="11470">
          <cell r="A11470">
            <v>8506025</v>
          </cell>
          <cell r="B11470">
            <v>116556</v>
          </cell>
          <cell r="C11470" t="str">
            <v>Glenhurst School</v>
          </cell>
          <cell r="D11470" t="str">
            <v>Hampshire</v>
          </cell>
          <cell r="E11470" t="str">
            <v>Other Independent School</v>
          </cell>
          <cell r="F11470" t="str">
            <v>Not applicable</v>
          </cell>
        </row>
        <row r="11471">
          <cell r="A11471">
            <v>3302296</v>
          </cell>
          <cell r="B11471">
            <v>103320</v>
          </cell>
          <cell r="C11471" t="str">
            <v>Glenmead Primary School</v>
          </cell>
          <cell r="D11471" t="str">
            <v>Birmingham</v>
          </cell>
          <cell r="E11471" t="str">
            <v>Community School</v>
          </cell>
          <cell r="F11471" t="str">
            <v>Primary</v>
          </cell>
        </row>
        <row r="11472">
          <cell r="A11472">
            <v>8552138</v>
          </cell>
          <cell r="B11472">
            <v>119962</v>
          </cell>
          <cell r="C11472" t="str">
            <v>Glenmere Community Primary School</v>
          </cell>
          <cell r="D11472" t="str">
            <v>Leicestershire</v>
          </cell>
          <cell r="E11472" t="str">
            <v>Community School</v>
          </cell>
          <cell r="F11472" t="str">
            <v>Primary</v>
          </cell>
        </row>
        <row r="11473">
          <cell r="A11473">
            <v>8374172</v>
          </cell>
          <cell r="B11473">
            <v>113871</v>
          </cell>
          <cell r="C11473" t="str">
            <v>Glenmoor School</v>
          </cell>
          <cell r="D11473" t="str">
            <v>Bournemouth</v>
          </cell>
          <cell r="E11473" t="str">
            <v>Foundation School</v>
          </cell>
          <cell r="F11473" t="str">
            <v>Secondary</v>
          </cell>
        </row>
        <row r="11474">
          <cell r="A11474">
            <v>330626</v>
          </cell>
          <cell r="B11474">
            <v>132959</v>
          </cell>
          <cell r="C11474" t="str">
            <v>Glenthorne Centre</v>
          </cell>
          <cell r="D11474" t="str">
            <v>Birmingham</v>
          </cell>
          <cell r="E11474" t="str">
            <v>Secure Units</v>
          </cell>
          <cell r="F11474" t="str">
            <v>Not applicable</v>
          </cell>
        </row>
        <row r="11475">
          <cell r="A11475">
            <v>8602342</v>
          </cell>
          <cell r="B11475">
            <v>124162</v>
          </cell>
          <cell r="C11475" t="str">
            <v>Glenthorne Community Primary School</v>
          </cell>
          <cell r="D11475" t="str">
            <v>Staffordshire</v>
          </cell>
          <cell r="E11475" t="str">
            <v>Community School</v>
          </cell>
          <cell r="F11475" t="str">
            <v>Primary</v>
          </cell>
        </row>
        <row r="11476">
          <cell r="A11476">
            <v>3194011</v>
          </cell>
          <cell r="B11476">
            <v>103002</v>
          </cell>
          <cell r="C11476" t="str">
            <v>Glenthorne High School</v>
          </cell>
          <cell r="D11476" t="str">
            <v>Sutton</v>
          </cell>
          <cell r="E11476" t="str">
            <v>Foundation School</v>
          </cell>
          <cell r="F11476" t="str">
            <v>Secondary</v>
          </cell>
        </row>
        <row r="11477">
          <cell r="A11477">
            <v>3194011</v>
          </cell>
          <cell r="B11477">
            <v>136914</v>
          </cell>
          <cell r="C11477" t="str">
            <v>Glenthorne High School</v>
          </cell>
          <cell r="D11477" t="str">
            <v>Sutton</v>
          </cell>
          <cell r="E11477" t="str">
            <v>Academy Converters</v>
          </cell>
          <cell r="F11477" t="str">
            <v>Secondary</v>
          </cell>
        </row>
        <row r="11478">
          <cell r="A11478">
            <v>3337005</v>
          </cell>
          <cell r="B11478">
            <v>104028</v>
          </cell>
          <cell r="C11478" t="str">
            <v>Glenvale School</v>
          </cell>
          <cell r="D11478" t="str">
            <v>Sandwell</v>
          </cell>
          <cell r="E11478" t="str">
            <v>Community Special School</v>
          </cell>
          <cell r="F11478" t="str">
            <v>Special</v>
          </cell>
        </row>
        <row r="11479">
          <cell r="A11479">
            <v>8237017</v>
          </cell>
          <cell r="B11479">
            <v>109746</v>
          </cell>
          <cell r="C11479" t="str">
            <v>Glenwood School</v>
          </cell>
          <cell r="D11479" t="str">
            <v>Central Bedfordshire</v>
          </cell>
          <cell r="E11479" t="str">
            <v>Community Special School</v>
          </cell>
          <cell r="F11479" t="str">
            <v>Special</v>
          </cell>
        </row>
        <row r="11480">
          <cell r="A11480">
            <v>8817054</v>
          </cell>
          <cell r="B11480">
            <v>115469</v>
          </cell>
          <cell r="C11480" t="str">
            <v>Glenwood School</v>
          </cell>
          <cell r="D11480" t="str">
            <v>Essex</v>
          </cell>
          <cell r="E11480" t="str">
            <v>Community Special School</v>
          </cell>
          <cell r="F11480" t="str">
            <v>Special</v>
          </cell>
        </row>
        <row r="11481">
          <cell r="A11481">
            <v>8507072</v>
          </cell>
          <cell r="B11481">
            <v>116639</v>
          </cell>
          <cell r="C11481" t="str">
            <v>Glenwood School</v>
          </cell>
          <cell r="D11481" t="str">
            <v>Hampshire</v>
          </cell>
          <cell r="E11481" t="str">
            <v>Community Special School</v>
          </cell>
          <cell r="F11481" t="str">
            <v>Special</v>
          </cell>
        </row>
        <row r="11482">
          <cell r="A11482">
            <v>8037026</v>
          </cell>
          <cell r="B11482">
            <v>109402</v>
          </cell>
          <cell r="C11482" t="str">
            <v>Glevum School</v>
          </cell>
          <cell r="D11482" t="str">
            <v>South Gloucestershire</v>
          </cell>
          <cell r="E11482" t="str">
            <v>Community Special School</v>
          </cell>
          <cell r="F11482" t="str">
            <v>Special</v>
          </cell>
        </row>
        <row r="11483">
          <cell r="A11483">
            <v>3572013</v>
          </cell>
          <cell r="B11483">
            <v>106186</v>
          </cell>
          <cell r="C11483" t="str">
            <v>Globe Lane Primary School</v>
          </cell>
          <cell r="D11483" t="str">
            <v>Tameside</v>
          </cell>
          <cell r="E11483" t="str">
            <v>Community School</v>
          </cell>
          <cell r="F11483" t="str">
            <v>Primary</v>
          </cell>
        </row>
        <row r="11484">
          <cell r="A11484">
            <v>2112254</v>
          </cell>
          <cell r="B11484">
            <v>100902</v>
          </cell>
          <cell r="C11484" t="str">
            <v>Globe Primary School</v>
          </cell>
          <cell r="D11484" t="str">
            <v>Tower Hamlets</v>
          </cell>
          <cell r="E11484" t="str">
            <v>Community School</v>
          </cell>
          <cell r="F11484" t="str">
            <v>Primary</v>
          </cell>
        </row>
        <row r="11485">
          <cell r="A11485">
            <v>3532047</v>
          </cell>
          <cell r="B11485">
            <v>105645</v>
          </cell>
          <cell r="C11485" t="str">
            <v>Glodwick Infant and Nursery School</v>
          </cell>
          <cell r="D11485" t="str">
            <v>Oldham</v>
          </cell>
          <cell r="E11485" t="str">
            <v>Community School</v>
          </cell>
          <cell r="F11485" t="str">
            <v>Primary</v>
          </cell>
        </row>
        <row r="11486">
          <cell r="A11486">
            <v>9311028</v>
          </cell>
          <cell r="B11486">
            <v>129747</v>
          </cell>
          <cell r="C11486" t="str">
            <v>Glory Farm Nursery School</v>
          </cell>
          <cell r="D11486" t="str">
            <v>Oxfordshire</v>
          </cell>
          <cell r="E11486" t="str">
            <v>LA Nursery School</v>
          </cell>
          <cell r="F11486" t="str">
            <v>Nursery</v>
          </cell>
        </row>
        <row r="11487">
          <cell r="A11487">
            <v>9312211</v>
          </cell>
          <cell r="B11487">
            <v>123012</v>
          </cell>
          <cell r="C11487" t="str">
            <v>Glory Farm Primary School</v>
          </cell>
          <cell r="D11487" t="str">
            <v>Oxfordshire</v>
          </cell>
          <cell r="E11487" t="str">
            <v>Community School</v>
          </cell>
          <cell r="F11487" t="str">
            <v>Primary</v>
          </cell>
        </row>
        <row r="11488">
          <cell r="A11488">
            <v>9104037</v>
          </cell>
          <cell r="B11488">
            <v>128640</v>
          </cell>
          <cell r="C11488" t="str">
            <v>Glossop School</v>
          </cell>
          <cell r="D11488" t="str">
            <v>Pre LGR (1997) Derbyshire</v>
          </cell>
          <cell r="E11488" t="str">
            <v>Community School</v>
          </cell>
          <cell r="F11488" t="str">
            <v>Secondary</v>
          </cell>
        </row>
        <row r="11489">
          <cell r="A11489">
            <v>8304191</v>
          </cell>
          <cell r="B11489">
            <v>112957</v>
          </cell>
          <cell r="C11489" t="str">
            <v>Glossopdale Community College</v>
          </cell>
          <cell r="D11489" t="str">
            <v>Derbyshire</v>
          </cell>
          <cell r="E11489" t="str">
            <v>Community School</v>
          </cell>
          <cell r="F11489" t="str">
            <v>Secondary</v>
          </cell>
        </row>
        <row r="11490">
          <cell r="A11490">
            <v>3546025</v>
          </cell>
          <cell r="B11490">
            <v>131436</v>
          </cell>
          <cell r="C11490" t="str">
            <v>Gloucester - Green Corns</v>
          </cell>
          <cell r="D11490" t="str">
            <v>Rochdale</v>
          </cell>
          <cell r="E11490" t="str">
            <v>Other Independent Special School</v>
          </cell>
          <cell r="F11490" t="str">
            <v>Not applicable</v>
          </cell>
        </row>
        <row r="11491">
          <cell r="A11491">
            <v>9166906</v>
          </cell>
          <cell r="B11491">
            <v>136199</v>
          </cell>
          <cell r="C11491" t="str">
            <v>Gloucester Academy</v>
          </cell>
          <cell r="D11491" t="str">
            <v>Gloucestershire</v>
          </cell>
          <cell r="E11491" t="str">
            <v>Academy Sponsor Led</v>
          </cell>
          <cell r="F11491" t="str">
            <v>Secondary</v>
          </cell>
        </row>
        <row r="11492">
          <cell r="A11492">
            <v>9161106</v>
          </cell>
          <cell r="B11492">
            <v>135330</v>
          </cell>
          <cell r="C11492" t="str">
            <v>Gloucester and Forest Pupil Referral Services</v>
          </cell>
          <cell r="D11492" t="str">
            <v>Gloucestershire</v>
          </cell>
          <cell r="E11492" t="str">
            <v>Pupil Referral Unit</v>
          </cell>
          <cell r="F11492" t="str">
            <v>PRU</v>
          </cell>
        </row>
        <row r="11493">
          <cell r="A11493">
            <v>2026401</v>
          </cell>
          <cell r="B11493">
            <v>135167</v>
          </cell>
          <cell r="C11493" t="str">
            <v>Gloucester House the Tavistock Children's Day Unit</v>
          </cell>
          <cell r="D11493" t="str">
            <v>Camden</v>
          </cell>
          <cell r="E11493" t="str">
            <v>Other Independent Special School</v>
          </cell>
          <cell r="F11493" t="str">
            <v>Not applicable</v>
          </cell>
        </row>
        <row r="11494">
          <cell r="A11494">
            <v>9281005</v>
          </cell>
          <cell r="B11494">
            <v>121785</v>
          </cell>
          <cell r="C11494" t="str">
            <v>Gloucester Nursery School and Childrens Centre</v>
          </cell>
          <cell r="D11494" t="str">
            <v>Northamptonshire</v>
          </cell>
          <cell r="E11494" t="str">
            <v>LA Nursery School</v>
          </cell>
          <cell r="F11494" t="str">
            <v>Nursery</v>
          </cell>
        </row>
        <row r="11495">
          <cell r="A11495">
            <v>9162150</v>
          </cell>
          <cell r="B11495">
            <v>115585</v>
          </cell>
          <cell r="C11495" t="str">
            <v>Gloucester Road Primary School</v>
          </cell>
          <cell r="D11495" t="str">
            <v>Gloucestershire</v>
          </cell>
          <cell r="E11495" t="str">
            <v>Community School</v>
          </cell>
          <cell r="F11495" t="str">
            <v>Primary</v>
          </cell>
        </row>
        <row r="11496">
          <cell r="A11496">
            <v>2102255</v>
          </cell>
          <cell r="B11496">
            <v>100789</v>
          </cell>
          <cell r="C11496" t="str">
            <v>Gloucester School</v>
          </cell>
          <cell r="D11496" t="str">
            <v>Southwark</v>
          </cell>
          <cell r="E11496" t="str">
            <v>Community School</v>
          </cell>
          <cell r="F11496" t="str">
            <v>Primary</v>
          </cell>
        </row>
        <row r="11497">
          <cell r="A11497">
            <v>7024008</v>
          </cell>
          <cell r="B11497">
            <v>132380</v>
          </cell>
          <cell r="C11497" t="str">
            <v>Gloucester School</v>
          </cell>
          <cell r="D11497" t="str">
            <v>BFPO Overseas Establishments</v>
          </cell>
          <cell r="E11497" t="str">
            <v>Service Childrens Education</v>
          </cell>
          <cell r="F11497" t="str">
            <v>Not applicable</v>
          </cell>
        </row>
        <row r="11498">
          <cell r="A11498">
            <v>9168000</v>
          </cell>
          <cell r="B11498">
            <v>130683</v>
          </cell>
          <cell r="C11498" t="str">
            <v>Gloucestershire College</v>
          </cell>
          <cell r="D11498" t="str">
            <v>Gloucestershire</v>
          </cell>
          <cell r="E11498" t="str">
            <v>Further Education</v>
          </cell>
          <cell r="F11498" t="str">
            <v>16 Plus</v>
          </cell>
        </row>
        <row r="11499">
          <cell r="A11499">
            <v>9161104</v>
          </cell>
          <cell r="B11499">
            <v>131367</v>
          </cell>
          <cell r="C11499" t="str">
            <v>Gloucestershire Hospital Education Service</v>
          </cell>
          <cell r="D11499" t="str">
            <v>Gloucestershire</v>
          </cell>
          <cell r="E11499" t="str">
            <v>Pupil Referral Unit</v>
          </cell>
          <cell r="F11499" t="str">
            <v>PRU</v>
          </cell>
        </row>
        <row r="11500">
          <cell r="A11500">
            <v>9161103</v>
          </cell>
          <cell r="B11500">
            <v>133674</v>
          </cell>
          <cell r="C11500" t="str">
            <v>Gloucestershire Reintegration Service</v>
          </cell>
          <cell r="D11500" t="str">
            <v>Gloucestershire</v>
          </cell>
          <cell r="E11500" t="str">
            <v>Pupil Referral Unit</v>
          </cell>
          <cell r="F11500" t="str">
            <v>PRU</v>
          </cell>
        </row>
        <row r="11501">
          <cell r="A11501">
            <v>8152393</v>
          </cell>
          <cell r="B11501">
            <v>121447</v>
          </cell>
          <cell r="C11501" t="str">
            <v>Glusburn Community Primary School</v>
          </cell>
          <cell r="D11501" t="str">
            <v>North Yorkshire</v>
          </cell>
          <cell r="E11501" t="str">
            <v>Community School</v>
          </cell>
          <cell r="F11501" t="str">
            <v>Primary</v>
          </cell>
        </row>
        <row r="11502">
          <cell r="A11502">
            <v>6814035</v>
          </cell>
          <cell r="B11502">
            <v>401873</v>
          </cell>
          <cell r="C11502" t="str">
            <v>Glyn Derw High School</v>
          </cell>
          <cell r="D11502" t="str">
            <v>Cardiff</v>
          </cell>
          <cell r="E11502" t="str">
            <v>Welsh Establishment</v>
          </cell>
          <cell r="F11502" t="str">
            <v>Secondary</v>
          </cell>
        </row>
        <row r="11503">
          <cell r="A11503">
            <v>9365404</v>
          </cell>
          <cell r="B11503">
            <v>136534</v>
          </cell>
          <cell r="C11503" t="str">
            <v>Glyn School</v>
          </cell>
          <cell r="D11503" t="str">
            <v>Surrey</v>
          </cell>
          <cell r="E11503" t="str">
            <v>Academy Converters</v>
          </cell>
          <cell r="F11503" t="str">
            <v>Secondary</v>
          </cell>
        </row>
        <row r="11504">
          <cell r="A11504">
            <v>9365404</v>
          </cell>
          <cell r="B11504">
            <v>125304</v>
          </cell>
          <cell r="C11504" t="str">
            <v>Glyn Technology School</v>
          </cell>
          <cell r="D11504" t="str">
            <v>Surrey</v>
          </cell>
          <cell r="E11504" t="str">
            <v>Foundation School</v>
          </cell>
          <cell r="F11504" t="str">
            <v>Secondary</v>
          </cell>
        </row>
        <row r="11505">
          <cell r="A11505">
            <v>6774045</v>
          </cell>
          <cell r="B11505">
            <v>401846</v>
          </cell>
          <cell r="C11505" t="str">
            <v>Glyncoed  Comprehensive School</v>
          </cell>
          <cell r="D11505" t="str">
            <v>Blaenau Gwent</v>
          </cell>
          <cell r="E11505" t="str">
            <v>Welsh Establishment</v>
          </cell>
          <cell r="F11505" t="str">
            <v>Secondary</v>
          </cell>
        </row>
        <row r="11506">
          <cell r="A11506">
            <v>6812105</v>
          </cell>
          <cell r="B11506">
            <v>401613</v>
          </cell>
          <cell r="C11506" t="str">
            <v>Glyncoed Infant School</v>
          </cell>
          <cell r="D11506" t="str">
            <v>Cardiff</v>
          </cell>
          <cell r="E11506" t="str">
            <v>Welsh Establishment</v>
          </cell>
          <cell r="F11506" t="str">
            <v>Primary</v>
          </cell>
        </row>
        <row r="11507">
          <cell r="A11507">
            <v>6812106</v>
          </cell>
          <cell r="B11507">
            <v>401614</v>
          </cell>
          <cell r="C11507" t="str">
            <v>Glyncoed Junior School</v>
          </cell>
          <cell r="D11507" t="str">
            <v>Cardiff</v>
          </cell>
          <cell r="E11507" t="str">
            <v>Welsh Establishment</v>
          </cell>
          <cell r="F11507" t="str">
            <v>Primary</v>
          </cell>
        </row>
        <row r="11508">
          <cell r="A11508">
            <v>6772309</v>
          </cell>
          <cell r="B11508">
            <v>401414</v>
          </cell>
          <cell r="C11508" t="str">
            <v>Glyncoed Primary School</v>
          </cell>
          <cell r="D11508" t="str">
            <v>Blaenau Gwent</v>
          </cell>
          <cell r="E11508" t="str">
            <v>Welsh Establishment</v>
          </cell>
          <cell r="F11508" t="str">
            <v>Primary</v>
          </cell>
        </row>
        <row r="11509">
          <cell r="A11509">
            <v>6812328</v>
          </cell>
          <cell r="B11509">
            <v>402273</v>
          </cell>
          <cell r="C11509" t="str">
            <v>Glyncoed Primary School</v>
          </cell>
          <cell r="D11509" t="str">
            <v>Cardiff</v>
          </cell>
          <cell r="E11509" t="str">
            <v>Welsh Establishment</v>
          </cell>
          <cell r="F11509" t="str">
            <v>Primary</v>
          </cell>
        </row>
        <row r="11510">
          <cell r="A11510">
            <v>6702226</v>
          </cell>
          <cell r="B11510">
            <v>400939</v>
          </cell>
          <cell r="C11510" t="str">
            <v>Glyncollen Primary School</v>
          </cell>
          <cell r="D11510" t="str">
            <v>Swansea</v>
          </cell>
          <cell r="E11510" t="str">
            <v>Welsh Establishment</v>
          </cell>
          <cell r="F11510" t="str">
            <v>Primary</v>
          </cell>
        </row>
        <row r="11511">
          <cell r="A11511">
            <v>6712148</v>
          </cell>
          <cell r="B11511">
            <v>400979</v>
          </cell>
          <cell r="C11511" t="str">
            <v>Glyncorrwg Primary School</v>
          </cell>
          <cell r="D11511" t="str">
            <v>Neath Port Talbot</v>
          </cell>
          <cell r="E11511" t="str">
            <v>Welsh Establishment</v>
          </cell>
          <cell r="F11511" t="str">
            <v>Primary</v>
          </cell>
        </row>
        <row r="11512">
          <cell r="A11512">
            <v>8457017</v>
          </cell>
          <cell r="B11512">
            <v>114686</v>
          </cell>
          <cell r="C11512" t="str">
            <v>Glyne Gap School</v>
          </cell>
          <cell r="D11512" t="str">
            <v>East Sussex</v>
          </cell>
          <cell r="E11512" t="str">
            <v>Community Special School</v>
          </cell>
          <cell r="F11512" t="str">
            <v>Special</v>
          </cell>
        </row>
        <row r="11513">
          <cell r="A11513">
            <v>6762380</v>
          </cell>
          <cell r="B11513">
            <v>401384</v>
          </cell>
          <cell r="C11513" t="str">
            <v>Glyn-Gaer CP School</v>
          </cell>
          <cell r="D11513" t="str">
            <v>Caerphilly</v>
          </cell>
          <cell r="E11513" t="str">
            <v>Welsh Establishment</v>
          </cell>
          <cell r="F11513" t="str">
            <v>Primary</v>
          </cell>
        </row>
        <row r="11514">
          <cell r="A11514">
            <v>6742157</v>
          </cell>
          <cell r="B11514">
            <v>401190</v>
          </cell>
          <cell r="C11514" t="str">
            <v>Glynhafod Junior School</v>
          </cell>
          <cell r="D11514" t="str">
            <v>Rhondda, Cynon, Taff</v>
          </cell>
          <cell r="E11514" t="str">
            <v>Welsh Establishment</v>
          </cell>
          <cell r="F11514" t="str">
            <v>Primary</v>
          </cell>
        </row>
        <row r="11515">
          <cell r="A11515">
            <v>6741024</v>
          </cell>
          <cell r="B11515">
            <v>400020</v>
          </cell>
          <cell r="C11515" t="str">
            <v>Glynhafod Nursery School</v>
          </cell>
          <cell r="D11515" t="str">
            <v>Rhondda, Cynon, Taff</v>
          </cell>
          <cell r="E11515" t="str">
            <v>Welsh Establishment</v>
          </cell>
          <cell r="F11515" t="str">
            <v>Not applicable</v>
          </cell>
        </row>
        <row r="11516">
          <cell r="A11516">
            <v>9081105</v>
          </cell>
          <cell r="B11516">
            <v>134756</v>
          </cell>
          <cell r="C11516" t="str">
            <v>Glynn House Short Stay School</v>
          </cell>
          <cell r="D11516" t="str">
            <v>Cornwall</v>
          </cell>
          <cell r="E11516" t="str">
            <v>Pupil Referral Unit</v>
          </cell>
          <cell r="F11516" t="str">
            <v>PRU</v>
          </cell>
        </row>
        <row r="11517">
          <cell r="A11517">
            <v>3322155</v>
          </cell>
          <cell r="B11517">
            <v>103832</v>
          </cell>
          <cell r="C11517" t="str">
            <v>Glynne Primary School</v>
          </cell>
          <cell r="D11517" t="str">
            <v>Dudley</v>
          </cell>
          <cell r="E11517" t="str">
            <v>Community School</v>
          </cell>
          <cell r="F11517" t="str">
            <v>Primary</v>
          </cell>
        </row>
        <row r="11518">
          <cell r="A11518">
            <v>3902225</v>
          </cell>
          <cell r="B11518">
            <v>108372</v>
          </cell>
          <cell r="C11518" t="str">
            <v>Glynwood Community Primary School</v>
          </cell>
          <cell r="D11518" t="str">
            <v>Gateshead</v>
          </cell>
          <cell r="E11518" t="str">
            <v>Community School</v>
          </cell>
          <cell r="F11518" t="str">
            <v>Primary</v>
          </cell>
        </row>
        <row r="11519">
          <cell r="A11519">
            <v>6712144</v>
          </cell>
          <cell r="B11519">
            <v>400977</v>
          </cell>
          <cell r="C11519" t="str">
            <v>Gnoll Primary School</v>
          </cell>
          <cell r="D11519" t="str">
            <v>Neath Port Talbot</v>
          </cell>
          <cell r="E11519" t="str">
            <v>Welsh Establishment</v>
          </cell>
          <cell r="F11519" t="str">
            <v>Primary</v>
          </cell>
        </row>
        <row r="11520">
          <cell r="A11520">
            <v>8152043</v>
          </cell>
          <cell r="B11520">
            <v>121296</v>
          </cell>
          <cell r="C11520" t="str">
            <v>Goathland Primary School</v>
          </cell>
          <cell r="D11520" t="str">
            <v>North Yorkshire</v>
          </cell>
          <cell r="E11520" t="str">
            <v>Community School</v>
          </cell>
          <cell r="F11520" t="str">
            <v>Primary</v>
          </cell>
        </row>
        <row r="11521">
          <cell r="A11521">
            <v>3112045</v>
          </cell>
          <cell r="B11521">
            <v>102296</v>
          </cell>
          <cell r="C11521" t="str">
            <v>Gobions Primary School</v>
          </cell>
          <cell r="D11521" t="str">
            <v>Havering</v>
          </cell>
          <cell r="E11521" t="str">
            <v>Community School</v>
          </cell>
          <cell r="F11521" t="str">
            <v>Primary</v>
          </cell>
        </row>
        <row r="11522">
          <cell r="A11522">
            <v>8932046</v>
          </cell>
          <cell r="B11522">
            <v>123366</v>
          </cell>
          <cell r="C11522" t="str">
            <v>Gobowen Primary School</v>
          </cell>
          <cell r="D11522" t="str">
            <v>Shropshire</v>
          </cell>
          <cell r="E11522" t="str">
            <v>Community School</v>
          </cell>
          <cell r="F11522" t="str">
            <v>Primary</v>
          </cell>
        </row>
        <row r="11523">
          <cell r="A11523">
            <v>9364056</v>
          </cell>
          <cell r="B11523">
            <v>130097</v>
          </cell>
          <cell r="C11523" t="str">
            <v>Godalming College</v>
          </cell>
          <cell r="D11523" t="str">
            <v>Surrey</v>
          </cell>
          <cell r="E11523" t="str">
            <v>Community School</v>
          </cell>
          <cell r="F11523" t="str">
            <v>Secondary</v>
          </cell>
        </row>
        <row r="11524">
          <cell r="A11524">
            <v>9368600</v>
          </cell>
          <cell r="B11524">
            <v>130828</v>
          </cell>
          <cell r="C11524" t="str">
            <v>Godalming College</v>
          </cell>
          <cell r="D11524" t="str">
            <v>Surrey</v>
          </cell>
          <cell r="E11524" t="str">
            <v>Further Education</v>
          </cell>
          <cell r="F11524" t="str">
            <v>16 Plus</v>
          </cell>
        </row>
        <row r="11525">
          <cell r="A11525">
            <v>9362400</v>
          </cell>
          <cell r="B11525">
            <v>125044</v>
          </cell>
          <cell r="C11525" t="str">
            <v>Godalming Junior School</v>
          </cell>
          <cell r="D11525" t="str">
            <v>Surrey</v>
          </cell>
          <cell r="E11525" t="str">
            <v>Community School</v>
          </cell>
          <cell r="F11525" t="str">
            <v>Primary</v>
          </cell>
        </row>
        <row r="11526">
          <cell r="A11526">
            <v>8662212</v>
          </cell>
          <cell r="B11526">
            <v>126282</v>
          </cell>
          <cell r="C11526" t="str">
            <v>Goddard Park Community Primary School</v>
          </cell>
          <cell r="D11526" t="str">
            <v>Swindon</v>
          </cell>
          <cell r="E11526" t="str">
            <v>Community School</v>
          </cell>
          <cell r="F11526" t="str">
            <v>Primary</v>
          </cell>
        </row>
        <row r="11527">
          <cell r="A11527">
            <v>8662212</v>
          </cell>
          <cell r="B11527">
            <v>136293</v>
          </cell>
          <cell r="C11527" t="str">
            <v>Goddard Park Community Primary School</v>
          </cell>
          <cell r="D11527" t="str">
            <v>Swindon</v>
          </cell>
          <cell r="E11527" t="str">
            <v>Academy Converters</v>
          </cell>
          <cell r="F11527" t="str">
            <v>Primary</v>
          </cell>
        </row>
        <row r="11528">
          <cell r="A11528">
            <v>3057010</v>
          </cell>
          <cell r="B11528">
            <v>101701</v>
          </cell>
          <cell r="C11528" t="str">
            <v>Goddington School</v>
          </cell>
          <cell r="D11528" t="str">
            <v>Bromley</v>
          </cell>
          <cell r="E11528" t="str">
            <v>Community Special School</v>
          </cell>
          <cell r="F11528" t="str">
            <v>Special</v>
          </cell>
        </row>
        <row r="11529">
          <cell r="A11529">
            <v>3553506</v>
          </cell>
          <cell r="B11529">
            <v>105946</v>
          </cell>
          <cell r="C11529" t="str">
            <v>Godfrey Ermen Memorial CofE Primary School</v>
          </cell>
          <cell r="D11529" t="str">
            <v>Salford</v>
          </cell>
          <cell r="E11529" t="str">
            <v>Voluntary Aided School</v>
          </cell>
          <cell r="F11529" t="str">
            <v>Primary</v>
          </cell>
        </row>
        <row r="11530">
          <cell r="A11530">
            <v>8862625</v>
          </cell>
          <cell r="B11530">
            <v>118546</v>
          </cell>
          <cell r="C11530" t="str">
            <v>Godinton Primary School</v>
          </cell>
          <cell r="D11530" t="str">
            <v>Kent</v>
          </cell>
          <cell r="E11530" t="str">
            <v>Community School</v>
          </cell>
          <cell r="F11530" t="str">
            <v>Primary</v>
          </cell>
        </row>
        <row r="11531">
          <cell r="A11531">
            <v>3572034</v>
          </cell>
          <cell r="B11531">
            <v>106199</v>
          </cell>
          <cell r="C11531" t="str">
            <v>Godley Community Primary School</v>
          </cell>
          <cell r="D11531" t="str">
            <v>Tameside</v>
          </cell>
          <cell r="E11531" t="str">
            <v>Community School</v>
          </cell>
          <cell r="F11531" t="str">
            <v>Primary</v>
          </cell>
        </row>
        <row r="11532">
          <cell r="A11532">
            <v>8732209</v>
          </cell>
          <cell r="B11532">
            <v>110677</v>
          </cell>
          <cell r="C11532" t="str">
            <v>Godmanchester Primary School</v>
          </cell>
          <cell r="D11532" t="str">
            <v>Cambridgeshire</v>
          </cell>
          <cell r="E11532" t="str">
            <v>Community School</v>
          </cell>
          <cell r="F11532" t="str">
            <v>Primary</v>
          </cell>
        </row>
        <row r="11533">
          <cell r="A11533">
            <v>8712196</v>
          </cell>
          <cell r="B11533">
            <v>109903</v>
          </cell>
          <cell r="C11533" t="str">
            <v>Godolphin Infant School</v>
          </cell>
          <cell r="D11533" t="str">
            <v>Slough</v>
          </cell>
          <cell r="E11533" t="str">
            <v>Community School</v>
          </cell>
          <cell r="F11533" t="str">
            <v>Primary</v>
          </cell>
        </row>
        <row r="11534">
          <cell r="A11534">
            <v>8712221</v>
          </cell>
          <cell r="B11534">
            <v>109917</v>
          </cell>
          <cell r="C11534" t="str">
            <v>Godolphin Junior School</v>
          </cell>
          <cell r="D11534" t="str">
            <v>Slough</v>
          </cell>
          <cell r="E11534" t="str">
            <v>Community School</v>
          </cell>
          <cell r="F11534" t="str">
            <v>Primary</v>
          </cell>
        </row>
        <row r="11535">
          <cell r="A11535">
            <v>8656031</v>
          </cell>
          <cell r="B11535">
            <v>131460</v>
          </cell>
          <cell r="C11535" t="str">
            <v>Godolphin Preparatory School</v>
          </cell>
          <cell r="D11535" t="str">
            <v>Wiltshire</v>
          </cell>
          <cell r="E11535" t="str">
            <v>Other Independent School</v>
          </cell>
          <cell r="F11535" t="str">
            <v>Not applicable</v>
          </cell>
        </row>
        <row r="11536">
          <cell r="A11536">
            <v>9082100</v>
          </cell>
          <cell r="B11536">
            <v>111809</v>
          </cell>
          <cell r="C11536" t="str">
            <v>Godolphin Primary School</v>
          </cell>
          <cell r="D11536" t="str">
            <v>Cornwall</v>
          </cell>
          <cell r="E11536" t="str">
            <v>Community School</v>
          </cell>
          <cell r="F11536" t="str">
            <v>Primary</v>
          </cell>
        </row>
        <row r="11537">
          <cell r="A11537">
            <v>6712140</v>
          </cell>
          <cell r="B11537">
            <v>400974</v>
          </cell>
          <cell r="C11537" t="str">
            <v>Godre'rgraig Primary School</v>
          </cell>
          <cell r="D11537" t="str">
            <v>Neath Port Talbot</v>
          </cell>
          <cell r="E11537" t="str">
            <v>Welsh Establishment</v>
          </cell>
          <cell r="F11537" t="str">
            <v>Primary</v>
          </cell>
        </row>
        <row r="11538">
          <cell r="A11538">
            <v>9212006</v>
          </cell>
          <cell r="B11538">
            <v>118159</v>
          </cell>
          <cell r="C11538" t="str">
            <v>Godshill Primary School</v>
          </cell>
          <cell r="D11538" t="str">
            <v>Isle of Wight</v>
          </cell>
          <cell r="E11538" t="str">
            <v>Community School</v>
          </cell>
          <cell r="F11538" t="str">
            <v>Primary</v>
          </cell>
        </row>
        <row r="11539">
          <cell r="A11539">
            <v>9365218</v>
          </cell>
          <cell r="B11539">
            <v>125021</v>
          </cell>
          <cell r="C11539" t="str">
            <v>Godstone Village School</v>
          </cell>
          <cell r="D11539" t="str">
            <v>Surrey</v>
          </cell>
          <cell r="E11539" t="str">
            <v>Foundation School</v>
          </cell>
          <cell r="F11539" t="str">
            <v>Primary</v>
          </cell>
        </row>
        <row r="11540">
          <cell r="A11540">
            <v>8256007</v>
          </cell>
          <cell r="B11540">
            <v>110546</v>
          </cell>
          <cell r="C11540" t="str">
            <v>Godstowe School</v>
          </cell>
          <cell r="D11540" t="str">
            <v>Buckinghamshire</v>
          </cell>
          <cell r="E11540" t="str">
            <v>Other Independent School</v>
          </cell>
          <cell r="F11540" t="str">
            <v>Not applicable</v>
          </cell>
        </row>
        <row r="11541">
          <cell r="A11541">
            <v>3012032</v>
          </cell>
          <cell r="B11541">
            <v>101205</v>
          </cell>
          <cell r="C11541" t="str">
            <v>Godwin Infants' School</v>
          </cell>
          <cell r="D11541" t="str">
            <v>Barking and Dagenham</v>
          </cell>
          <cell r="E11541" t="str">
            <v>Community School</v>
          </cell>
          <cell r="F11541" t="str">
            <v>Primary</v>
          </cell>
        </row>
        <row r="11542">
          <cell r="A11542">
            <v>3012031</v>
          </cell>
          <cell r="B11542">
            <v>101204</v>
          </cell>
          <cell r="C11542" t="str">
            <v>Godwin Junior School</v>
          </cell>
          <cell r="D11542" t="str">
            <v>Barking and Dagenham</v>
          </cell>
          <cell r="E11542" t="str">
            <v>Community School</v>
          </cell>
          <cell r="F11542" t="str">
            <v>Primary</v>
          </cell>
        </row>
        <row r="11543">
          <cell r="A11543">
            <v>3162024</v>
          </cell>
          <cell r="B11543">
            <v>102721</v>
          </cell>
          <cell r="C11543" t="str">
            <v>Godwin Junior School</v>
          </cell>
          <cell r="D11543" t="str">
            <v>Newham</v>
          </cell>
          <cell r="E11543" t="str">
            <v>Community School</v>
          </cell>
          <cell r="F11543" t="str">
            <v>Primary</v>
          </cell>
        </row>
        <row r="11544">
          <cell r="A11544">
            <v>3012072</v>
          </cell>
          <cell r="B11544">
            <v>130919</v>
          </cell>
          <cell r="C11544" t="str">
            <v>Godwin Primary School</v>
          </cell>
          <cell r="D11544" t="str">
            <v>Barking and Dagenham</v>
          </cell>
          <cell r="E11544" t="str">
            <v>Community School</v>
          </cell>
          <cell r="F11544" t="str">
            <v>Primary</v>
          </cell>
        </row>
        <row r="11545">
          <cell r="A11545">
            <v>6752036</v>
          </cell>
          <cell r="B11545">
            <v>401285</v>
          </cell>
          <cell r="C11545" t="str">
            <v>Goetre Infants School</v>
          </cell>
          <cell r="D11545" t="str">
            <v>Merthyr Tydfil</v>
          </cell>
          <cell r="E11545" t="str">
            <v>Welsh Establishment</v>
          </cell>
          <cell r="F11545" t="str">
            <v>Primary</v>
          </cell>
        </row>
        <row r="11546">
          <cell r="A11546">
            <v>6752035</v>
          </cell>
          <cell r="B11546">
            <v>401284</v>
          </cell>
          <cell r="C11546" t="str">
            <v>Goetre Junior School</v>
          </cell>
          <cell r="D11546" t="str">
            <v>Merthyr Tydfil</v>
          </cell>
          <cell r="E11546" t="str">
            <v>Welsh Establishment</v>
          </cell>
          <cell r="F11546" t="str">
            <v>Primary</v>
          </cell>
        </row>
        <row r="11547">
          <cell r="A11547">
            <v>6752356</v>
          </cell>
          <cell r="B11547">
            <v>402259</v>
          </cell>
          <cell r="C11547" t="str">
            <v>Goetre Primary School</v>
          </cell>
          <cell r="D11547" t="str">
            <v>Merthyr Tydfil</v>
          </cell>
          <cell r="E11547" t="str">
            <v>Welsh Establishment</v>
          </cell>
          <cell r="F11547" t="str">
            <v>Primary</v>
          </cell>
        </row>
        <row r="11548">
          <cell r="A11548">
            <v>9192263</v>
          </cell>
          <cell r="B11548">
            <v>117243</v>
          </cell>
          <cell r="C11548" t="str">
            <v>Goffs Oak Primary School</v>
          </cell>
          <cell r="D11548" t="str">
            <v>Hertfordshire</v>
          </cell>
          <cell r="E11548" t="str">
            <v>Community School</v>
          </cell>
          <cell r="F11548" t="str">
            <v>Primary</v>
          </cell>
        </row>
        <row r="11549">
          <cell r="A11549">
            <v>9195415</v>
          </cell>
          <cell r="B11549">
            <v>117587</v>
          </cell>
          <cell r="C11549" t="str">
            <v>Goffs School</v>
          </cell>
          <cell r="D11549" t="str">
            <v>Hertfordshire</v>
          </cell>
          <cell r="E11549" t="str">
            <v>Foundation School</v>
          </cell>
          <cell r="F11549" t="str">
            <v>Secondary</v>
          </cell>
        </row>
        <row r="11550">
          <cell r="A11550">
            <v>9195415</v>
          </cell>
          <cell r="B11550">
            <v>137532</v>
          </cell>
          <cell r="C11550" t="str">
            <v>Goffs School</v>
          </cell>
          <cell r="D11550" t="str">
            <v>Hertfordshire</v>
          </cell>
          <cell r="E11550" t="str">
            <v>Academy Converters</v>
          </cell>
          <cell r="F11550" t="str">
            <v>Secondary</v>
          </cell>
        </row>
        <row r="11551">
          <cell r="A11551">
            <v>2071010</v>
          </cell>
          <cell r="B11551">
            <v>100472</v>
          </cell>
          <cell r="C11551" t="str">
            <v>Golborne Children's Centre</v>
          </cell>
          <cell r="D11551" t="str">
            <v>Kensington and Chelsea</v>
          </cell>
          <cell r="E11551" t="str">
            <v>LA Nursery School</v>
          </cell>
          <cell r="F11551" t="str">
            <v>Nursery</v>
          </cell>
        </row>
        <row r="11552">
          <cell r="A11552">
            <v>3592037</v>
          </cell>
          <cell r="B11552">
            <v>106420</v>
          </cell>
          <cell r="C11552" t="str">
            <v>Golborne Community Primary School</v>
          </cell>
          <cell r="D11552" t="str">
            <v>Wigan</v>
          </cell>
          <cell r="E11552" t="str">
            <v>Community School</v>
          </cell>
          <cell r="F11552" t="str">
            <v>Primary</v>
          </cell>
        </row>
        <row r="11553">
          <cell r="A11553">
            <v>3594022</v>
          </cell>
          <cell r="B11553">
            <v>106525</v>
          </cell>
          <cell r="C11553" t="str">
            <v>Golborne High School</v>
          </cell>
          <cell r="D11553" t="str">
            <v>Wigan</v>
          </cell>
          <cell r="E11553" t="str">
            <v>Foundation School</v>
          </cell>
          <cell r="F11553" t="str">
            <v>Secondary</v>
          </cell>
        </row>
        <row r="11554">
          <cell r="A11554">
            <v>3822151</v>
          </cell>
          <cell r="B11554">
            <v>107696</v>
          </cell>
          <cell r="C11554" t="str">
            <v>Golcar Junior Infant and Nursery School</v>
          </cell>
          <cell r="D11554" t="str">
            <v>Kirklees</v>
          </cell>
          <cell r="E11554" t="str">
            <v>Community School</v>
          </cell>
          <cell r="F11554" t="str">
            <v>Primary</v>
          </cell>
        </row>
        <row r="11555">
          <cell r="A11555">
            <v>3022029</v>
          </cell>
          <cell r="B11555">
            <v>101283</v>
          </cell>
          <cell r="C11555" t="str">
            <v>Goldbeaters Primary School</v>
          </cell>
          <cell r="D11555" t="str">
            <v>Barnet</v>
          </cell>
          <cell r="E11555" t="str">
            <v>Community School</v>
          </cell>
          <cell r="F11555" t="str">
            <v>Primary</v>
          </cell>
        </row>
        <row r="11556">
          <cell r="A11556">
            <v>8052126</v>
          </cell>
          <cell r="B11556">
            <v>111581</v>
          </cell>
          <cell r="C11556" t="str">
            <v>Golden Flatts Primary School</v>
          </cell>
          <cell r="D11556" t="str">
            <v>Hartlepool</v>
          </cell>
          <cell r="E11556" t="str">
            <v>Community School</v>
          </cell>
          <cell r="F11556" t="str">
            <v>Primary</v>
          </cell>
        </row>
        <row r="11557">
          <cell r="A11557">
            <v>8881103</v>
          </cell>
          <cell r="B11557">
            <v>119106</v>
          </cell>
          <cell r="C11557" t="str">
            <v>Golden Hill Pupil Referral Unit</v>
          </cell>
          <cell r="D11557" t="str">
            <v>Lancashire</v>
          </cell>
          <cell r="E11557" t="str">
            <v>Pupil Referral Unit</v>
          </cell>
          <cell r="F11557" t="str">
            <v>PRU</v>
          </cell>
        </row>
        <row r="11558">
          <cell r="A11558">
            <v>3304138</v>
          </cell>
          <cell r="B11558">
            <v>103495</v>
          </cell>
          <cell r="C11558" t="str">
            <v>Golden Hillock School. A Specialist College for Sport</v>
          </cell>
          <cell r="D11558" t="str">
            <v>Birmingham</v>
          </cell>
          <cell r="E11558" t="str">
            <v>Community School</v>
          </cell>
          <cell r="F11558" t="str">
            <v>Secondary</v>
          </cell>
        </row>
        <row r="11559">
          <cell r="A11559">
            <v>6682269</v>
          </cell>
          <cell r="B11559">
            <v>400690</v>
          </cell>
          <cell r="C11559" t="str">
            <v>Golden Manor C.P. Infant</v>
          </cell>
          <cell r="D11559" t="str">
            <v>Pembrokeshire</v>
          </cell>
          <cell r="E11559" t="str">
            <v>Welsh Establishment</v>
          </cell>
          <cell r="F11559" t="str">
            <v>Not applicable</v>
          </cell>
        </row>
        <row r="11560">
          <cell r="A11560">
            <v>8022295</v>
          </cell>
          <cell r="B11560">
            <v>109108</v>
          </cell>
          <cell r="C11560" t="str">
            <v>Golden Valley Primary School</v>
          </cell>
          <cell r="D11560" t="str">
            <v>North Somerset</v>
          </cell>
          <cell r="E11560" t="str">
            <v>Community School</v>
          </cell>
          <cell r="F11560" t="str">
            <v>Primary</v>
          </cell>
        </row>
        <row r="11561">
          <cell r="A11561">
            <v>8612009</v>
          </cell>
          <cell r="B11561">
            <v>123977</v>
          </cell>
          <cell r="C11561" t="str">
            <v>Goldenhill Primary School</v>
          </cell>
          <cell r="D11561" t="str">
            <v>Stoke-on-Trent</v>
          </cell>
          <cell r="E11561" t="str">
            <v>Community School</v>
          </cell>
          <cell r="F11561" t="str">
            <v>Primary</v>
          </cell>
        </row>
        <row r="11562">
          <cell r="A11562">
            <v>3026063</v>
          </cell>
          <cell r="B11562">
            <v>101377</v>
          </cell>
          <cell r="C11562" t="str">
            <v>Golders Hill School</v>
          </cell>
          <cell r="D11562" t="str">
            <v>Barnet</v>
          </cell>
          <cell r="E11562" t="str">
            <v>Other Independent School</v>
          </cell>
          <cell r="F11562" t="str">
            <v>Not applicable</v>
          </cell>
        </row>
        <row r="11563">
          <cell r="A11563">
            <v>9192322</v>
          </cell>
          <cell r="B11563">
            <v>117274</v>
          </cell>
          <cell r="C11563" t="str">
            <v>Goldfield Infants' and Nursery School</v>
          </cell>
          <cell r="D11563" t="str">
            <v>Hertfordshire</v>
          </cell>
          <cell r="E11563" t="str">
            <v>Community School</v>
          </cell>
          <cell r="F11563" t="str">
            <v>Primary</v>
          </cell>
        </row>
        <row r="11564">
          <cell r="A11564">
            <v>9284072</v>
          </cell>
          <cell r="B11564">
            <v>122080</v>
          </cell>
          <cell r="C11564" t="str">
            <v>Goldings Middle School</v>
          </cell>
          <cell r="D11564" t="str">
            <v>Northamptonshire</v>
          </cell>
          <cell r="E11564" t="str">
            <v>Community School</v>
          </cell>
          <cell r="F11564" t="str">
            <v>Middle Deemed Secondary</v>
          </cell>
        </row>
        <row r="11565">
          <cell r="A11565">
            <v>8224000</v>
          </cell>
          <cell r="B11565">
            <v>136552</v>
          </cell>
          <cell r="C11565" t="str">
            <v>Goldington Academy</v>
          </cell>
          <cell r="D11565" t="str">
            <v>Bedford</v>
          </cell>
          <cell r="E11565" t="str">
            <v>Academy Converters</v>
          </cell>
          <cell r="F11565" t="str">
            <v>Middle Deemed Secondary</v>
          </cell>
        </row>
        <row r="11566">
          <cell r="A11566">
            <v>8222008</v>
          </cell>
          <cell r="B11566">
            <v>109434</v>
          </cell>
          <cell r="C11566" t="str">
            <v>Goldington Green Lower School</v>
          </cell>
          <cell r="D11566" t="str">
            <v>Bedford</v>
          </cell>
          <cell r="E11566" t="str">
            <v>Foundation School</v>
          </cell>
          <cell r="F11566" t="str">
            <v>Primary</v>
          </cell>
        </row>
        <row r="11567">
          <cell r="A11567">
            <v>8224000</v>
          </cell>
          <cell r="B11567">
            <v>109642</v>
          </cell>
          <cell r="C11567" t="str">
            <v>Goldington Middle School</v>
          </cell>
          <cell r="D11567" t="str">
            <v>Bedford</v>
          </cell>
          <cell r="E11567" t="str">
            <v>Foundation School</v>
          </cell>
          <cell r="F11567" t="str">
            <v>Middle Deemed Secondary</v>
          </cell>
        </row>
        <row r="11568">
          <cell r="A11568">
            <v>8153240</v>
          </cell>
          <cell r="B11568">
            <v>121562</v>
          </cell>
          <cell r="C11568" t="str">
            <v>Goldsborough Church of England Primary School</v>
          </cell>
          <cell r="D11568" t="str">
            <v>North Yorkshire</v>
          </cell>
          <cell r="E11568" t="str">
            <v>Voluntary Controlled School</v>
          </cell>
          <cell r="F11568" t="str">
            <v>Primary</v>
          </cell>
        </row>
        <row r="11569">
          <cell r="A11569">
            <v>8512637</v>
          </cell>
          <cell r="B11569">
            <v>116182</v>
          </cell>
          <cell r="C11569" t="str">
            <v>Goldsmith Infant School</v>
          </cell>
          <cell r="D11569" t="str">
            <v>Portsmouth</v>
          </cell>
          <cell r="E11569" t="str">
            <v>Community School</v>
          </cell>
          <cell r="F11569" t="str">
            <v>Primary</v>
          </cell>
        </row>
        <row r="11570">
          <cell r="A11570">
            <v>209</v>
          </cell>
          <cell r="B11570">
            <v>133877</v>
          </cell>
          <cell r="C11570" t="str">
            <v>Goldsmiths College, University of London</v>
          </cell>
          <cell r="D11570" t="str">
            <v>Lewisham</v>
          </cell>
          <cell r="E11570" t="str">
            <v>Higher Education Institutions</v>
          </cell>
          <cell r="F11570" t="str">
            <v>Not applicable</v>
          </cell>
        </row>
        <row r="11571">
          <cell r="A11571">
            <v>8462065</v>
          </cell>
          <cell r="B11571">
            <v>114398</v>
          </cell>
          <cell r="C11571" t="str">
            <v>Goldstone Primary School</v>
          </cell>
          <cell r="D11571" t="str">
            <v>Brighton and Hove</v>
          </cell>
          <cell r="E11571" t="str">
            <v>Community School</v>
          </cell>
          <cell r="F11571" t="str">
            <v>Primary</v>
          </cell>
        </row>
        <row r="11572">
          <cell r="A11572">
            <v>9362273</v>
          </cell>
          <cell r="B11572">
            <v>130033</v>
          </cell>
          <cell r="C11572" t="str">
            <v>Goldsworth First School</v>
          </cell>
          <cell r="D11572" t="str">
            <v>Surrey</v>
          </cell>
          <cell r="E11572" t="str">
            <v>Community School</v>
          </cell>
          <cell r="F11572" t="str">
            <v>Primary</v>
          </cell>
        </row>
        <row r="11573">
          <cell r="A11573">
            <v>9362490</v>
          </cell>
          <cell r="B11573">
            <v>130058</v>
          </cell>
          <cell r="C11573" t="str">
            <v>Goldsworth Middle School</v>
          </cell>
          <cell r="D11573" t="str">
            <v>Surrey</v>
          </cell>
          <cell r="E11573" t="str">
            <v>Community School</v>
          </cell>
          <cell r="F11573" t="str">
            <v>Middle Deemed Primary</v>
          </cell>
        </row>
        <row r="11574">
          <cell r="A11574">
            <v>9362943</v>
          </cell>
          <cell r="B11574">
            <v>125119</v>
          </cell>
          <cell r="C11574" t="str">
            <v>Goldsworth Primary School</v>
          </cell>
          <cell r="D11574" t="str">
            <v>Surrey</v>
          </cell>
          <cell r="E11574" t="str">
            <v>Community School</v>
          </cell>
          <cell r="F11574" t="str">
            <v>Primary</v>
          </cell>
        </row>
        <row r="11575">
          <cell r="A11575">
            <v>3362075</v>
          </cell>
          <cell r="B11575">
            <v>104331</v>
          </cell>
          <cell r="C11575" t="str">
            <v>Goldthorn Park Primary School</v>
          </cell>
          <cell r="D11575" t="str">
            <v>Wolverhampton</v>
          </cell>
          <cell r="E11575" t="str">
            <v>Community School</v>
          </cell>
          <cell r="F11575" t="str">
            <v>Primary</v>
          </cell>
        </row>
        <row r="11576">
          <cell r="A11576">
            <v>8867041</v>
          </cell>
          <cell r="B11576">
            <v>119042</v>
          </cell>
          <cell r="C11576" t="str">
            <v>Goldwyn Community Special School</v>
          </cell>
          <cell r="D11576" t="str">
            <v>Kent</v>
          </cell>
          <cell r="E11576" t="str">
            <v>Community Special School</v>
          </cell>
          <cell r="F11576" t="str">
            <v>Special</v>
          </cell>
        </row>
        <row r="11577">
          <cell r="A11577">
            <v>6642077</v>
          </cell>
          <cell r="B11577">
            <v>400355</v>
          </cell>
          <cell r="C11577" t="str">
            <v>Golftyn C.P. School</v>
          </cell>
          <cell r="D11577" t="str">
            <v>Flintshire</v>
          </cell>
          <cell r="E11577" t="str">
            <v>Welsh Establishment</v>
          </cell>
          <cell r="F11577" t="str">
            <v>Primary</v>
          </cell>
        </row>
        <row r="11578">
          <cell r="A11578">
            <v>8652045</v>
          </cell>
          <cell r="B11578">
            <v>126195</v>
          </cell>
          <cell r="C11578" t="str">
            <v>Gomeldon Primary School</v>
          </cell>
          <cell r="D11578" t="str">
            <v>Wiltshire</v>
          </cell>
          <cell r="E11578" t="str">
            <v>Community School</v>
          </cell>
          <cell r="F11578" t="str">
            <v>Primary</v>
          </cell>
        </row>
        <row r="11579">
          <cell r="A11579">
            <v>8502625</v>
          </cell>
          <cell r="B11579">
            <v>116176</v>
          </cell>
          <cell r="C11579" t="str">
            <v>Gomer Infant School</v>
          </cell>
          <cell r="D11579" t="str">
            <v>Hampshire</v>
          </cell>
          <cell r="E11579" t="str">
            <v>Community School</v>
          </cell>
          <cell r="F11579" t="str">
            <v>Primary</v>
          </cell>
        </row>
        <row r="11580">
          <cell r="A11580">
            <v>8502631</v>
          </cell>
          <cell r="B11580">
            <v>116181</v>
          </cell>
          <cell r="C11580" t="str">
            <v>Gomer Junior School</v>
          </cell>
          <cell r="D11580" t="str">
            <v>Hampshire</v>
          </cell>
          <cell r="E11580" t="str">
            <v>Community School</v>
          </cell>
          <cell r="F11580" t="str">
            <v>Primary</v>
          </cell>
        </row>
        <row r="11581">
          <cell r="A11581">
            <v>3824501</v>
          </cell>
          <cell r="B11581">
            <v>107781</v>
          </cell>
          <cell r="C11581" t="str">
            <v>Gomersal Church of England Voluntary Controlled Middle School</v>
          </cell>
          <cell r="D11581" t="str">
            <v>Kirklees</v>
          </cell>
          <cell r="E11581" t="str">
            <v>Voluntary Controlled School</v>
          </cell>
          <cell r="F11581" t="str">
            <v>Middle Deemed Secondary</v>
          </cell>
        </row>
        <row r="11582">
          <cell r="A11582">
            <v>3822099</v>
          </cell>
          <cell r="B11582">
            <v>107666</v>
          </cell>
          <cell r="C11582" t="str">
            <v>Gomersal Primary School</v>
          </cell>
          <cell r="D11582" t="str">
            <v>Kirklees</v>
          </cell>
          <cell r="E11582" t="str">
            <v>Community School</v>
          </cell>
          <cell r="F11582" t="str">
            <v>Primary</v>
          </cell>
        </row>
        <row r="11583">
          <cell r="A11583">
            <v>3823332</v>
          </cell>
          <cell r="B11583">
            <v>107747</v>
          </cell>
          <cell r="C11583" t="str">
            <v>Gomersal St Mary's Church of England Voluntary Aided First and Nursery School</v>
          </cell>
          <cell r="D11583" t="str">
            <v>Kirklees</v>
          </cell>
          <cell r="E11583" t="str">
            <v>Voluntary Aided School</v>
          </cell>
          <cell r="F11583" t="str">
            <v>Primary</v>
          </cell>
        </row>
        <row r="11584">
          <cell r="A11584">
            <v>3062019</v>
          </cell>
          <cell r="B11584">
            <v>101724</v>
          </cell>
          <cell r="C11584" t="str">
            <v>Gonville Primary School</v>
          </cell>
          <cell r="D11584" t="str">
            <v>Croydon</v>
          </cell>
          <cell r="E11584" t="str">
            <v>Community School</v>
          </cell>
          <cell r="F11584" t="str">
            <v>Primary</v>
          </cell>
        </row>
        <row r="11585">
          <cell r="A11585">
            <v>3062019</v>
          </cell>
          <cell r="B11585">
            <v>136714</v>
          </cell>
          <cell r="C11585" t="str">
            <v>Gonville Primary School</v>
          </cell>
          <cell r="D11585" t="str">
            <v>Croydon</v>
          </cell>
          <cell r="E11585" t="str">
            <v>Academy Converters</v>
          </cell>
          <cell r="F11585" t="str">
            <v>Primary</v>
          </cell>
        </row>
        <row r="11586">
          <cell r="A11586">
            <v>9166082</v>
          </cell>
          <cell r="B11586">
            <v>135360</v>
          </cell>
          <cell r="C11586" t="str">
            <v>Good Hope School</v>
          </cell>
          <cell r="D11586" t="str">
            <v>Gloucestershire</v>
          </cell>
          <cell r="E11586" t="str">
            <v>Other Independent School</v>
          </cell>
          <cell r="F11586" t="str">
            <v>Not applicable</v>
          </cell>
        </row>
        <row r="11587">
          <cell r="A11587">
            <v>3063400</v>
          </cell>
          <cell r="B11587">
            <v>101794</v>
          </cell>
          <cell r="C11587" t="str">
            <v>Good Shepherd Catholic Primary School</v>
          </cell>
          <cell r="D11587" t="str">
            <v>Croydon</v>
          </cell>
          <cell r="E11587" t="str">
            <v>Voluntary Aided School</v>
          </cell>
          <cell r="F11587" t="str">
            <v>Primary</v>
          </cell>
        </row>
        <row r="11588">
          <cell r="A11588">
            <v>3313414</v>
          </cell>
          <cell r="B11588">
            <v>103716</v>
          </cell>
          <cell r="C11588" t="str">
            <v>Good Shepherd Catholic School</v>
          </cell>
          <cell r="D11588" t="str">
            <v>Coventry</v>
          </cell>
          <cell r="E11588" t="str">
            <v>Voluntary Aided School</v>
          </cell>
          <cell r="F11588" t="str">
            <v>Primary</v>
          </cell>
        </row>
        <row r="11589">
          <cell r="A11589">
            <v>2053602</v>
          </cell>
          <cell r="B11589">
            <v>100354</v>
          </cell>
          <cell r="C11589" t="str">
            <v>Good Shepherd RC Primary School</v>
          </cell>
          <cell r="D11589" t="str">
            <v>Hammersmith and Fulham</v>
          </cell>
          <cell r="E11589" t="str">
            <v>Voluntary Aided School</v>
          </cell>
          <cell r="F11589" t="str">
            <v>Primary</v>
          </cell>
        </row>
        <row r="11590">
          <cell r="A11590">
            <v>2093344</v>
          </cell>
          <cell r="B11590">
            <v>100722</v>
          </cell>
          <cell r="C11590" t="str">
            <v>Good Shepherd RC School</v>
          </cell>
          <cell r="D11590" t="str">
            <v>Lewisham</v>
          </cell>
          <cell r="E11590" t="str">
            <v>Voluntary Aided School</v>
          </cell>
          <cell r="F11590" t="str">
            <v>Primary</v>
          </cell>
        </row>
        <row r="11591">
          <cell r="A11591">
            <v>9263327</v>
          </cell>
          <cell r="B11591">
            <v>121118</v>
          </cell>
          <cell r="C11591" t="str">
            <v>Gooderstone Church of England Voluntary Aided Primary School</v>
          </cell>
          <cell r="D11591" t="str">
            <v>Norfolk</v>
          </cell>
          <cell r="E11591" t="str">
            <v>Voluntary Aided School</v>
          </cell>
          <cell r="F11591" t="str">
            <v>Primary</v>
          </cell>
        </row>
        <row r="11592">
          <cell r="A11592">
            <v>8783060</v>
          </cell>
          <cell r="B11592">
            <v>113376</v>
          </cell>
          <cell r="C11592" t="str">
            <v>Goodleigh Church of England Primary School</v>
          </cell>
          <cell r="D11592" t="str">
            <v>Devon</v>
          </cell>
          <cell r="E11592" t="str">
            <v>Voluntary Controlled School</v>
          </cell>
          <cell r="F11592" t="str">
            <v>Primary</v>
          </cell>
        </row>
        <row r="11593">
          <cell r="A11593">
            <v>9092322</v>
          </cell>
          <cell r="B11593">
            <v>112191</v>
          </cell>
          <cell r="C11593" t="str">
            <v>Goodly Dale Primary School</v>
          </cell>
          <cell r="D11593" t="str">
            <v>Cumbria</v>
          </cell>
          <cell r="E11593" t="str">
            <v>Community School</v>
          </cell>
          <cell r="F11593" t="str">
            <v>Primary</v>
          </cell>
        </row>
        <row r="11594">
          <cell r="A11594">
            <v>3172023</v>
          </cell>
          <cell r="B11594">
            <v>102807</v>
          </cell>
          <cell r="C11594" t="str">
            <v>Goodmayes Primary School</v>
          </cell>
          <cell r="D11594" t="str">
            <v>Redbridge</v>
          </cell>
          <cell r="E11594" t="str">
            <v>Community School</v>
          </cell>
          <cell r="F11594" t="str">
            <v>Primary</v>
          </cell>
        </row>
        <row r="11595">
          <cell r="A11595">
            <v>3174900</v>
          </cell>
          <cell r="B11595">
            <v>132956</v>
          </cell>
          <cell r="C11595" t="str">
            <v>Goodmayes Sixth Form Centre</v>
          </cell>
          <cell r="D11595" t="str">
            <v>Redbridge</v>
          </cell>
          <cell r="E11595" t="str">
            <v>Sixth Form Centres</v>
          </cell>
          <cell r="F11595" t="str">
            <v>16 Plus</v>
          </cell>
        </row>
        <row r="11596">
          <cell r="A11596">
            <v>8863168</v>
          </cell>
          <cell r="B11596">
            <v>118686</v>
          </cell>
          <cell r="C11596" t="str">
            <v>Goodnestone Church of England Primary School</v>
          </cell>
          <cell r="D11596" t="str">
            <v>Kent</v>
          </cell>
          <cell r="E11596" t="str">
            <v>Voluntary Controlled School</v>
          </cell>
          <cell r="F11596" t="str">
            <v>Primary</v>
          </cell>
        </row>
        <row r="11597">
          <cell r="A11597">
            <v>8843046</v>
          </cell>
          <cell r="B11597">
            <v>116813</v>
          </cell>
          <cell r="C11597" t="str">
            <v>Goodrich CofE Primary School</v>
          </cell>
          <cell r="D11597" t="str">
            <v>Herefordshire</v>
          </cell>
          <cell r="E11597" t="str">
            <v>Voluntary Controlled School</v>
          </cell>
          <cell r="F11597" t="str">
            <v>Primary</v>
          </cell>
        </row>
        <row r="11598">
          <cell r="A11598">
            <v>2102257</v>
          </cell>
          <cell r="B11598">
            <v>100790</v>
          </cell>
          <cell r="C11598" t="str">
            <v>Goodrich Community Primary School</v>
          </cell>
          <cell r="D11598" t="str">
            <v>Southwark</v>
          </cell>
          <cell r="E11598" t="str">
            <v>Community School</v>
          </cell>
          <cell r="F11598" t="str">
            <v>Primary</v>
          </cell>
        </row>
        <row r="11599">
          <cell r="A11599">
            <v>3116053</v>
          </cell>
          <cell r="B11599">
            <v>102356</v>
          </cell>
          <cell r="C11599" t="str">
            <v>Goodrington School</v>
          </cell>
          <cell r="D11599" t="str">
            <v>Havering</v>
          </cell>
          <cell r="E11599" t="str">
            <v>Other Independent School</v>
          </cell>
          <cell r="F11599" t="str">
            <v>Not applicable</v>
          </cell>
        </row>
        <row r="11600">
          <cell r="A11600">
            <v>3301015</v>
          </cell>
          <cell r="B11600">
            <v>103128</v>
          </cell>
          <cell r="C11600" t="str">
            <v>Goodway Nursery School</v>
          </cell>
          <cell r="D11600" t="str">
            <v>Birmingham</v>
          </cell>
          <cell r="E11600" t="str">
            <v>LA Nursery School</v>
          </cell>
          <cell r="F11600" t="str">
            <v>Nursery</v>
          </cell>
        </row>
        <row r="11601">
          <cell r="A11601">
            <v>3026064</v>
          </cell>
          <cell r="B11601">
            <v>101378</v>
          </cell>
          <cell r="C11601" t="str">
            <v>Goodwyn School</v>
          </cell>
          <cell r="D11601" t="str">
            <v>Barnet</v>
          </cell>
          <cell r="E11601" t="str">
            <v>Other Independent School</v>
          </cell>
          <cell r="F11601" t="str">
            <v>Not applicable</v>
          </cell>
        </row>
        <row r="11602">
          <cell r="A11602">
            <v>9362321</v>
          </cell>
          <cell r="B11602">
            <v>130040</v>
          </cell>
          <cell r="C11602" t="str">
            <v>Goodwyns County First School</v>
          </cell>
          <cell r="D11602" t="str">
            <v>Surrey</v>
          </cell>
          <cell r="E11602" t="str">
            <v>Community School</v>
          </cell>
          <cell r="F11602" t="str">
            <v>Primary</v>
          </cell>
        </row>
        <row r="11603">
          <cell r="A11603">
            <v>9372013</v>
          </cell>
          <cell r="B11603">
            <v>125504</v>
          </cell>
          <cell r="C11603" t="str">
            <v>Goodyers End First School</v>
          </cell>
          <cell r="D11603" t="str">
            <v>Warwickshire</v>
          </cell>
          <cell r="E11603" t="str">
            <v>Community School</v>
          </cell>
          <cell r="F11603" t="str">
            <v>Primary</v>
          </cell>
        </row>
        <row r="11604">
          <cell r="A11604">
            <v>9372070</v>
          </cell>
          <cell r="B11604">
            <v>125531</v>
          </cell>
          <cell r="C11604" t="str">
            <v>Goodyers End Middle School</v>
          </cell>
          <cell r="D11604" t="str">
            <v>Warwickshire</v>
          </cell>
          <cell r="E11604" t="str">
            <v>Community School</v>
          </cell>
          <cell r="F11604" t="str">
            <v>Middle Deemed Primary</v>
          </cell>
        </row>
        <row r="11605">
          <cell r="A11605">
            <v>9372634</v>
          </cell>
          <cell r="B11605">
            <v>130897</v>
          </cell>
          <cell r="C11605" t="str">
            <v>Goodyers End Primary School</v>
          </cell>
          <cell r="D11605" t="str">
            <v>Warwickshire</v>
          </cell>
          <cell r="E11605" t="str">
            <v>Community School</v>
          </cell>
          <cell r="F11605" t="str">
            <v>Primary</v>
          </cell>
        </row>
        <row r="11606">
          <cell r="A11606">
            <v>9204101</v>
          </cell>
          <cell r="B11606">
            <v>129273</v>
          </cell>
          <cell r="C11606" t="str">
            <v>Goole Grammar School</v>
          </cell>
          <cell r="D11606" t="str">
            <v>Pre LGR (1996) Humberside</v>
          </cell>
          <cell r="E11606" t="str">
            <v>Community School</v>
          </cell>
          <cell r="F11606" t="str">
            <v>Secondary</v>
          </cell>
        </row>
        <row r="11607">
          <cell r="A11607">
            <v>8114007</v>
          </cell>
          <cell r="B11607">
            <v>118064</v>
          </cell>
          <cell r="C11607" t="str">
            <v>Goole High School</v>
          </cell>
          <cell r="D11607" t="str">
            <v>East Riding of Yorkshire</v>
          </cell>
          <cell r="E11607" t="str">
            <v>Community School</v>
          </cell>
          <cell r="F11607" t="str">
            <v>Secondary</v>
          </cell>
        </row>
        <row r="11608">
          <cell r="A11608">
            <v>8114007</v>
          </cell>
          <cell r="B11608">
            <v>137316</v>
          </cell>
          <cell r="C11608" t="str">
            <v>Goole High School</v>
          </cell>
          <cell r="D11608" t="str">
            <v>East Riding of Yorkshire</v>
          </cell>
          <cell r="E11608" t="str">
            <v>Academy Converters</v>
          </cell>
          <cell r="F11608" t="str">
            <v>Secondary</v>
          </cell>
        </row>
        <row r="11609">
          <cell r="A11609">
            <v>9082307</v>
          </cell>
          <cell r="B11609">
            <v>111864</v>
          </cell>
          <cell r="C11609" t="str">
            <v>Goonhavern Primary School</v>
          </cell>
          <cell r="D11609" t="str">
            <v>Cornwall</v>
          </cell>
          <cell r="E11609" t="str">
            <v>Community School</v>
          </cell>
          <cell r="F11609" t="str">
            <v>Primary</v>
          </cell>
        </row>
        <row r="11610">
          <cell r="A11610">
            <v>2102859</v>
          </cell>
          <cell r="B11610">
            <v>132022</v>
          </cell>
          <cell r="C11610" t="str">
            <v>Goose Green Primary School</v>
          </cell>
          <cell r="D11610" t="str">
            <v>Southwark</v>
          </cell>
          <cell r="E11610" t="str">
            <v>Community School</v>
          </cell>
          <cell r="F11610" t="str">
            <v>Primary</v>
          </cell>
        </row>
        <row r="11611">
          <cell r="A11611">
            <v>3702108</v>
          </cell>
          <cell r="B11611">
            <v>127585</v>
          </cell>
          <cell r="C11611" t="str">
            <v>Gooseacre Infant School</v>
          </cell>
          <cell r="D11611" t="str">
            <v>Barnsley</v>
          </cell>
          <cell r="E11611" t="str">
            <v>Community School</v>
          </cell>
          <cell r="F11611" t="str">
            <v>Primary</v>
          </cell>
        </row>
        <row r="11612">
          <cell r="A11612">
            <v>3702106</v>
          </cell>
          <cell r="B11612">
            <v>127584</v>
          </cell>
          <cell r="C11612" t="str">
            <v>Gooseacre Junior School</v>
          </cell>
          <cell r="D11612" t="str">
            <v>Barnsley</v>
          </cell>
          <cell r="E11612" t="str">
            <v>Community School</v>
          </cell>
          <cell r="F11612" t="str">
            <v>Primary</v>
          </cell>
        </row>
        <row r="11613">
          <cell r="A11613">
            <v>3702013</v>
          </cell>
          <cell r="B11613">
            <v>106559</v>
          </cell>
          <cell r="C11613" t="str">
            <v>Gooseacre Primary School</v>
          </cell>
          <cell r="D11613" t="str">
            <v>Barnsley</v>
          </cell>
          <cell r="E11613" t="str">
            <v>Community School</v>
          </cell>
          <cell r="F11613" t="str">
            <v>Primary</v>
          </cell>
        </row>
        <row r="11614">
          <cell r="A11614">
            <v>9112689</v>
          </cell>
          <cell r="B11614">
            <v>128704</v>
          </cell>
          <cell r="C11614" t="str">
            <v>Goosewell Infant School</v>
          </cell>
          <cell r="D11614" t="str">
            <v>Pre LGR (1998) Devon</v>
          </cell>
          <cell r="E11614" t="str">
            <v>Community School</v>
          </cell>
          <cell r="F11614" t="str">
            <v>Primary</v>
          </cell>
        </row>
        <row r="11615">
          <cell r="A11615">
            <v>9112690</v>
          </cell>
          <cell r="B11615">
            <v>128705</v>
          </cell>
          <cell r="C11615" t="str">
            <v>Goosewell Junior School</v>
          </cell>
          <cell r="D11615" t="str">
            <v>Pre LGR (1998) Devon</v>
          </cell>
          <cell r="E11615" t="str">
            <v>Community School</v>
          </cell>
          <cell r="F11615" t="str">
            <v>Primary</v>
          </cell>
        </row>
        <row r="11616">
          <cell r="A11616">
            <v>8792725</v>
          </cell>
          <cell r="B11616">
            <v>113345</v>
          </cell>
          <cell r="C11616" t="str">
            <v>Goosewell Primary School</v>
          </cell>
          <cell r="D11616" t="str">
            <v>Plymouth</v>
          </cell>
          <cell r="E11616" t="str">
            <v>Community School</v>
          </cell>
          <cell r="F11616" t="str">
            <v>Primary</v>
          </cell>
        </row>
        <row r="11617">
          <cell r="A11617">
            <v>8883579</v>
          </cell>
          <cell r="B11617">
            <v>119564</v>
          </cell>
          <cell r="C11617" t="str">
            <v>Goosnargh Oliverson's Church of England Primary School</v>
          </cell>
          <cell r="D11617" t="str">
            <v>Lancashire</v>
          </cell>
          <cell r="E11617" t="str">
            <v>Voluntary Aided School</v>
          </cell>
          <cell r="F11617" t="str">
            <v>Primary</v>
          </cell>
        </row>
        <row r="11618">
          <cell r="A11618">
            <v>8882053</v>
          </cell>
          <cell r="B11618">
            <v>119154</v>
          </cell>
          <cell r="C11618" t="str">
            <v>Goosnargh Whitechapel Primary School</v>
          </cell>
          <cell r="D11618" t="str">
            <v>Lancashire</v>
          </cell>
          <cell r="E11618" t="str">
            <v>Community School</v>
          </cell>
          <cell r="F11618" t="str">
            <v>Primary</v>
          </cell>
        </row>
        <row r="11619">
          <cell r="A11619">
            <v>8952378</v>
          </cell>
          <cell r="B11619">
            <v>111171</v>
          </cell>
          <cell r="C11619" t="str">
            <v>Goostrey Community Primary School</v>
          </cell>
          <cell r="D11619" t="str">
            <v>Cheshire East</v>
          </cell>
          <cell r="E11619" t="str">
            <v>Community School</v>
          </cell>
          <cell r="F11619" t="str">
            <v>Primary</v>
          </cell>
        </row>
        <row r="11620">
          <cell r="A11620">
            <v>8024135</v>
          </cell>
          <cell r="B11620">
            <v>131374</v>
          </cell>
          <cell r="C11620" t="str">
            <v>Gordano School</v>
          </cell>
          <cell r="D11620" t="str">
            <v>North Somerset</v>
          </cell>
          <cell r="E11620" t="str">
            <v>Foundation School</v>
          </cell>
          <cell r="F11620" t="str">
            <v>Secondary</v>
          </cell>
        </row>
        <row r="11621">
          <cell r="A11621">
            <v>8024135</v>
          </cell>
          <cell r="B11621">
            <v>136856</v>
          </cell>
          <cell r="C11621" t="str">
            <v>Gordano School</v>
          </cell>
          <cell r="D11621" t="str">
            <v>North Somerset</v>
          </cell>
          <cell r="E11621" t="str">
            <v>Academy Converters</v>
          </cell>
          <cell r="F11621" t="str">
            <v>Secondary</v>
          </cell>
        </row>
        <row r="11622">
          <cell r="A11622">
            <v>6631108</v>
          </cell>
          <cell r="B11622">
            <v>402182</v>
          </cell>
          <cell r="C11622" t="str">
            <v>Gorden Ave Centre</v>
          </cell>
          <cell r="D11622" t="str">
            <v>Denbighshire</v>
          </cell>
          <cell r="E11622" t="str">
            <v>Welsh Establishment</v>
          </cell>
          <cell r="F11622" t="str">
            <v>Not applicable</v>
          </cell>
        </row>
        <row r="11623">
          <cell r="A11623">
            <v>8872220</v>
          </cell>
          <cell r="B11623">
            <v>118332</v>
          </cell>
          <cell r="C11623" t="str">
            <v>Gordon Infant School</v>
          </cell>
          <cell r="D11623" t="str">
            <v>Medway</v>
          </cell>
          <cell r="E11623" t="str">
            <v>Community School</v>
          </cell>
          <cell r="F11623" t="str">
            <v>Primary</v>
          </cell>
        </row>
        <row r="11624">
          <cell r="A11624">
            <v>3172025</v>
          </cell>
          <cell r="B11624">
            <v>102808</v>
          </cell>
          <cell r="C11624" t="str">
            <v>Gordon Infants' School</v>
          </cell>
          <cell r="D11624" t="str">
            <v>Redbridge</v>
          </cell>
          <cell r="E11624" t="str">
            <v>Community School</v>
          </cell>
          <cell r="F11624" t="str">
            <v>Primary</v>
          </cell>
        </row>
        <row r="11625">
          <cell r="A11625">
            <v>8872218</v>
          </cell>
          <cell r="B11625">
            <v>118331</v>
          </cell>
          <cell r="C11625" t="str">
            <v>Gordon Junior School</v>
          </cell>
          <cell r="D11625" t="str">
            <v>Medway</v>
          </cell>
          <cell r="E11625" t="str">
            <v>Community School</v>
          </cell>
          <cell r="F11625" t="str">
            <v>Primary</v>
          </cell>
        </row>
        <row r="11626">
          <cell r="A11626">
            <v>2032258</v>
          </cell>
          <cell r="B11626">
            <v>100127</v>
          </cell>
          <cell r="C11626" t="str">
            <v>Gordon Primary School</v>
          </cell>
          <cell r="D11626" t="str">
            <v>Greenwich</v>
          </cell>
          <cell r="E11626" t="str">
            <v>Community School</v>
          </cell>
          <cell r="F11626" t="str">
            <v>Primary</v>
          </cell>
        </row>
        <row r="11627">
          <cell r="A11627">
            <v>2092260</v>
          </cell>
          <cell r="B11627">
            <v>126656</v>
          </cell>
          <cell r="C11627" t="str">
            <v>Gordonbrock Infant School</v>
          </cell>
          <cell r="D11627" t="str">
            <v>Lewisham</v>
          </cell>
          <cell r="E11627" t="str">
            <v>Community School</v>
          </cell>
          <cell r="F11627" t="str">
            <v>Primary</v>
          </cell>
        </row>
        <row r="11628">
          <cell r="A11628">
            <v>2092259</v>
          </cell>
          <cell r="B11628">
            <v>100684</v>
          </cell>
          <cell r="C11628" t="str">
            <v>Gordonbrock Primary School</v>
          </cell>
          <cell r="D11628" t="str">
            <v>Lewisham</v>
          </cell>
          <cell r="E11628" t="str">
            <v>Community School</v>
          </cell>
          <cell r="F11628" t="str">
            <v>Primary</v>
          </cell>
        </row>
        <row r="11629">
          <cell r="A11629">
            <v>9365403</v>
          </cell>
          <cell r="B11629">
            <v>125303</v>
          </cell>
          <cell r="C11629" t="str">
            <v>Gordon's School</v>
          </cell>
          <cell r="D11629" t="str">
            <v>Surrey</v>
          </cell>
          <cell r="E11629" t="str">
            <v>Voluntary Aided School</v>
          </cell>
          <cell r="F11629" t="str">
            <v>Secondary</v>
          </cell>
        </row>
        <row r="11630">
          <cell r="A11630">
            <v>8732069</v>
          </cell>
          <cell r="B11630">
            <v>110634</v>
          </cell>
          <cell r="C11630" t="str">
            <v>Gorefield Primary School</v>
          </cell>
          <cell r="D11630" t="str">
            <v>Cambridgeshire</v>
          </cell>
          <cell r="E11630" t="str">
            <v>Community School</v>
          </cell>
          <cell r="F11630" t="str">
            <v>Primary</v>
          </cell>
        </row>
        <row r="11631">
          <cell r="A11631">
            <v>9313803</v>
          </cell>
          <cell r="B11631">
            <v>123201</v>
          </cell>
          <cell r="C11631" t="str">
            <v>Goring Church of England Aided Primary School</v>
          </cell>
          <cell r="D11631" t="str">
            <v>Oxfordshire</v>
          </cell>
          <cell r="E11631" t="str">
            <v>Voluntary Aided School</v>
          </cell>
          <cell r="F11631" t="str">
            <v>Primary</v>
          </cell>
        </row>
        <row r="11632">
          <cell r="A11632">
            <v>9386105</v>
          </cell>
          <cell r="B11632">
            <v>130190</v>
          </cell>
          <cell r="C11632" t="str">
            <v>Goring Hall School</v>
          </cell>
          <cell r="D11632" t="str">
            <v>West Sussex</v>
          </cell>
          <cell r="E11632" t="str">
            <v>Other Independent School</v>
          </cell>
          <cell r="F11632" t="str">
            <v>Not applicable</v>
          </cell>
        </row>
        <row r="11633">
          <cell r="A11633">
            <v>9383339</v>
          </cell>
          <cell r="B11633">
            <v>126045</v>
          </cell>
          <cell r="C11633" t="str">
            <v>Goring-by-Sea CofE First School</v>
          </cell>
          <cell r="D11633" t="str">
            <v>West Sussex</v>
          </cell>
          <cell r="E11633" t="str">
            <v>Voluntary Aided School</v>
          </cell>
          <cell r="F11633" t="str">
            <v>Primary</v>
          </cell>
        </row>
        <row r="11634">
          <cell r="A11634">
            <v>9082403</v>
          </cell>
          <cell r="B11634">
            <v>111882</v>
          </cell>
          <cell r="C11634" t="str">
            <v>Gorran School</v>
          </cell>
          <cell r="D11634" t="str">
            <v>Cornwall</v>
          </cell>
          <cell r="E11634" t="str">
            <v>Community School</v>
          </cell>
          <cell r="F11634" t="str">
            <v>Primary</v>
          </cell>
        </row>
        <row r="11635">
          <cell r="A11635">
            <v>3154032</v>
          </cell>
          <cell r="B11635">
            <v>126955</v>
          </cell>
          <cell r="C11635" t="str">
            <v>Gorringe Park Middle School</v>
          </cell>
          <cell r="D11635" t="str">
            <v>Merton</v>
          </cell>
          <cell r="E11635" t="str">
            <v>Community School</v>
          </cell>
          <cell r="F11635" t="str">
            <v>Middle Deemed Secondary</v>
          </cell>
        </row>
        <row r="11636">
          <cell r="A11636">
            <v>3152083</v>
          </cell>
          <cell r="B11636">
            <v>102654</v>
          </cell>
          <cell r="C11636" t="str">
            <v>Gorringe Park Primary School</v>
          </cell>
          <cell r="D11636" t="str">
            <v>Merton</v>
          </cell>
          <cell r="E11636" t="str">
            <v>Community School</v>
          </cell>
          <cell r="F11636" t="str">
            <v>Primary</v>
          </cell>
        </row>
        <row r="11637">
          <cell r="A11637">
            <v>6702233</v>
          </cell>
          <cell r="B11637">
            <v>400943</v>
          </cell>
          <cell r="C11637" t="str">
            <v>Gors Community Primary School</v>
          </cell>
          <cell r="D11637" t="str">
            <v>Swansea</v>
          </cell>
          <cell r="E11637" t="str">
            <v>Welsh Establishment</v>
          </cell>
          <cell r="F11637" t="str">
            <v>Primary</v>
          </cell>
        </row>
        <row r="11638">
          <cell r="A11638">
            <v>3537000</v>
          </cell>
          <cell r="B11638">
            <v>105749</v>
          </cell>
          <cell r="C11638" t="str">
            <v>Gorse Bank Community Special School</v>
          </cell>
          <cell r="D11638" t="str">
            <v>Oldham</v>
          </cell>
          <cell r="E11638" t="str">
            <v>Community Special School</v>
          </cell>
          <cell r="F11638" t="str">
            <v>Special</v>
          </cell>
        </row>
        <row r="11639">
          <cell r="A11639">
            <v>8772687</v>
          </cell>
          <cell r="B11639">
            <v>111208</v>
          </cell>
          <cell r="C11639" t="str">
            <v>Gorse Covert Primary School</v>
          </cell>
          <cell r="D11639" t="str">
            <v>Warrington</v>
          </cell>
          <cell r="E11639" t="str">
            <v>Community School</v>
          </cell>
          <cell r="F11639" t="str">
            <v>Primary</v>
          </cell>
        </row>
        <row r="11640">
          <cell r="A11640">
            <v>3332168</v>
          </cell>
          <cell r="B11640">
            <v>127165</v>
          </cell>
          <cell r="C11640" t="str">
            <v>Gorse Farm Primary School</v>
          </cell>
          <cell r="D11640" t="str">
            <v>Sandwell</v>
          </cell>
          <cell r="E11640" t="str">
            <v>Community School</v>
          </cell>
          <cell r="F11640" t="str">
            <v>Primary</v>
          </cell>
        </row>
        <row r="11641">
          <cell r="A11641">
            <v>3572018</v>
          </cell>
          <cell r="B11641">
            <v>106188</v>
          </cell>
          <cell r="C11641" t="str">
            <v>Gorse Hall Primary and Nursery School</v>
          </cell>
          <cell r="D11641" t="str">
            <v>Tameside</v>
          </cell>
          <cell r="E11641" t="str">
            <v>Community School</v>
          </cell>
          <cell r="F11641" t="str">
            <v>Primary</v>
          </cell>
        </row>
        <row r="11642">
          <cell r="A11642">
            <v>8852167</v>
          </cell>
          <cell r="B11642">
            <v>116752</v>
          </cell>
          <cell r="C11642" t="str">
            <v>Gorse Hill Community Primary School</v>
          </cell>
          <cell r="D11642" t="str">
            <v>Worcestershire</v>
          </cell>
          <cell r="E11642" t="str">
            <v>Community School</v>
          </cell>
          <cell r="F11642" t="str">
            <v>Primary</v>
          </cell>
        </row>
        <row r="11643">
          <cell r="A11643">
            <v>8662109</v>
          </cell>
          <cell r="B11643">
            <v>126219</v>
          </cell>
          <cell r="C11643" t="str">
            <v>Gorse Hill Infant School</v>
          </cell>
          <cell r="D11643" t="str">
            <v>Swindon</v>
          </cell>
          <cell r="E11643" t="str">
            <v>Community School</v>
          </cell>
          <cell r="F11643" t="str">
            <v>Primary</v>
          </cell>
        </row>
        <row r="11644">
          <cell r="A11644">
            <v>8662108</v>
          </cell>
          <cell r="B11644">
            <v>126218</v>
          </cell>
          <cell r="C11644" t="str">
            <v>Gorse Hill Junior School</v>
          </cell>
          <cell r="D11644" t="str">
            <v>Swindon</v>
          </cell>
          <cell r="E11644" t="str">
            <v>Community School</v>
          </cell>
          <cell r="F11644" t="str">
            <v>Primary</v>
          </cell>
        </row>
        <row r="11645">
          <cell r="A11645">
            <v>3582047</v>
          </cell>
          <cell r="B11645">
            <v>106321</v>
          </cell>
          <cell r="C11645" t="str">
            <v>Gorse Hill Primary School</v>
          </cell>
          <cell r="D11645" t="str">
            <v>Trafford</v>
          </cell>
          <cell r="E11645" t="str">
            <v>Community School</v>
          </cell>
          <cell r="F11645" t="str">
            <v>Primary</v>
          </cell>
        </row>
        <row r="11646">
          <cell r="A11646">
            <v>8663467</v>
          </cell>
          <cell r="B11646">
            <v>136370</v>
          </cell>
          <cell r="C11646" t="str">
            <v>Gorse Hill Primary School</v>
          </cell>
          <cell r="D11646" t="str">
            <v>Swindon</v>
          </cell>
          <cell r="E11646" t="str">
            <v>Community School</v>
          </cell>
          <cell r="F11646" t="str">
            <v>Primary</v>
          </cell>
        </row>
        <row r="11647">
          <cell r="A11647">
            <v>3584018</v>
          </cell>
          <cell r="B11647">
            <v>127542</v>
          </cell>
          <cell r="C11647" t="str">
            <v>Gorse Park School</v>
          </cell>
          <cell r="D11647" t="str">
            <v>Trafford</v>
          </cell>
          <cell r="E11647" t="str">
            <v>Community School</v>
          </cell>
          <cell r="F11647" t="str">
            <v>Secondary</v>
          </cell>
        </row>
        <row r="11648">
          <cell r="A11648">
            <v>8722232</v>
          </cell>
          <cell r="B11648">
            <v>109924</v>
          </cell>
          <cell r="C11648" t="str">
            <v>Gorse Ride Infants' School</v>
          </cell>
          <cell r="D11648" t="str">
            <v>Wokingham</v>
          </cell>
          <cell r="E11648" t="str">
            <v>Community School</v>
          </cell>
          <cell r="F11648" t="str">
            <v>Primary</v>
          </cell>
        </row>
        <row r="11649">
          <cell r="A11649">
            <v>8722148</v>
          </cell>
          <cell r="B11649">
            <v>109877</v>
          </cell>
          <cell r="C11649" t="str">
            <v>Gorse Ride Junior School</v>
          </cell>
          <cell r="D11649" t="str">
            <v>Wokingham</v>
          </cell>
          <cell r="E11649" t="str">
            <v>Community School</v>
          </cell>
          <cell r="F11649" t="str">
            <v>Primary</v>
          </cell>
        </row>
        <row r="11650">
          <cell r="A11650">
            <v>3512044</v>
          </cell>
          <cell r="B11650">
            <v>105312</v>
          </cell>
          <cell r="C11650" t="str">
            <v>Gorsefield Primary School</v>
          </cell>
          <cell r="D11650" t="str">
            <v>Bury</v>
          </cell>
          <cell r="E11650" t="str">
            <v>Community School</v>
          </cell>
          <cell r="F11650" t="str">
            <v>Primary</v>
          </cell>
        </row>
        <row r="11651">
          <cell r="A11651">
            <v>6702143</v>
          </cell>
          <cell r="B11651">
            <v>400917</v>
          </cell>
          <cell r="C11651" t="str">
            <v>Gorseinon  Junior School</v>
          </cell>
          <cell r="D11651" t="str">
            <v>Swansea</v>
          </cell>
          <cell r="E11651" t="str">
            <v>Welsh Establishment</v>
          </cell>
          <cell r="F11651" t="str">
            <v>Primary</v>
          </cell>
        </row>
        <row r="11652">
          <cell r="A11652">
            <v>6702146</v>
          </cell>
          <cell r="B11652">
            <v>400918</v>
          </cell>
          <cell r="C11652" t="str">
            <v>Gorseinon Infant and Nursery School</v>
          </cell>
          <cell r="D11652" t="str">
            <v>Swansea</v>
          </cell>
          <cell r="E11652" t="str">
            <v>Welsh Establishment</v>
          </cell>
          <cell r="F11652" t="str">
            <v>Primary</v>
          </cell>
        </row>
        <row r="11653">
          <cell r="A11653">
            <v>9352132</v>
          </cell>
          <cell r="B11653">
            <v>124625</v>
          </cell>
          <cell r="C11653" t="str">
            <v>Gorseland Primary School</v>
          </cell>
          <cell r="D11653" t="str">
            <v>Suffolk</v>
          </cell>
          <cell r="E11653" t="str">
            <v>Community School</v>
          </cell>
          <cell r="F11653" t="str">
            <v>Primary</v>
          </cell>
        </row>
        <row r="11654">
          <cell r="A11654">
            <v>8602386</v>
          </cell>
          <cell r="B11654">
            <v>124183</v>
          </cell>
          <cell r="C11654" t="str">
            <v>Gorsemoor Primary School</v>
          </cell>
          <cell r="D11654" t="str">
            <v>Staffordshire</v>
          </cell>
          <cell r="E11654" t="str">
            <v>Community School</v>
          </cell>
          <cell r="F11654" t="str">
            <v>Primary</v>
          </cell>
        </row>
        <row r="11655">
          <cell r="A11655">
            <v>8762383</v>
          </cell>
          <cell r="B11655">
            <v>111176</v>
          </cell>
          <cell r="C11655" t="str">
            <v>Gorsewood Primary School</v>
          </cell>
          <cell r="D11655" t="str">
            <v>Halton</v>
          </cell>
          <cell r="E11655" t="str">
            <v>Community School</v>
          </cell>
          <cell r="F11655" t="str">
            <v>Primary</v>
          </cell>
        </row>
        <row r="11656">
          <cell r="A11656">
            <v>8952137</v>
          </cell>
          <cell r="B11656">
            <v>111013</v>
          </cell>
          <cell r="C11656" t="str">
            <v>Gorsey Bank Primary School</v>
          </cell>
          <cell r="D11656" t="str">
            <v>Cheshire East</v>
          </cell>
          <cell r="E11656" t="str">
            <v>Community School</v>
          </cell>
          <cell r="F11656" t="str">
            <v>Primary</v>
          </cell>
        </row>
        <row r="11657">
          <cell r="A11657">
            <v>8302380</v>
          </cell>
          <cell r="B11657">
            <v>112711</v>
          </cell>
          <cell r="C11657" t="str">
            <v>Gorseybrigg Infant School</v>
          </cell>
          <cell r="D11657" t="str">
            <v>Derbyshire</v>
          </cell>
          <cell r="E11657" t="str">
            <v>Community School</v>
          </cell>
          <cell r="F11657" t="str">
            <v>Primary</v>
          </cell>
        </row>
        <row r="11658">
          <cell r="A11658">
            <v>8302374</v>
          </cell>
          <cell r="B11658">
            <v>112707</v>
          </cell>
          <cell r="C11658" t="str">
            <v>Gorseybrigg Junior School</v>
          </cell>
          <cell r="D11658" t="str">
            <v>Derbyshire</v>
          </cell>
          <cell r="E11658" t="str">
            <v>Community School</v>
          </cell>
          <cell r="F11658" t="str">
            <v>Primary</v>
          </cell>
        </row>
        <row r="11659">
          <cell r="A11659">
            <v>8302012</v>
          </cell>
          <cell r="B11659">
            <v>133516</v>
          </cell>
          <cell r="C11659" t="str">
            <v>Gorseybrigg Primary School and Nursery</v>
          </cell>
          <cell r="D11659" t="str">
            <v>Derbyshire</v>
          </cell>
          <cell r="E11659" t="str">
            <v>Community School</v>
          </cell>
          <cell r="F11659" t="str">
            <v>Primary</v>
          </cell>
        </row>
        <row r="11660">
          <cell r="A11660">
            <v>8843047</v>
          </cell>
          <cell r="B11660">
            <v>116814</v>
          </cell>
          <cell r="C11660" t="str">
            <v>Gorsley Goffs Primary School</v>
          </cell>
          <cell r="D11660" t="str">
            <v>Herefordshire</v>
          </cell>
          <cell r="E11660" t="str">
            <v>Voluntary Controlled School</v>
          </cell>
          <cell r="F11660" t="str">
            <v>Primary</v>
          </cell>
        </row>
        <row r="11661">
          <cell r="A11661">
            <v>8752704</v>
          </cell>
          <cell r="B11661">
            <v>111221</v>
          </cell>
          <cell r="C11661" t="str">
            <v>Gorsthills Community Primary School</v>
          </cell>
          <cell r="D11661" t="str">
            <v>Pre LGR (2009) Cheshire</v>
          </cell>
          <cell r="E11661" t="str">
            <v>Community School</v>
          </cell>
          <cell r="F11661" t="str">
            <v>Primary</v>
          </cell>
        </row>
        <row r="11662">
          <cell r="A11662">
            <v>9062314</v>
          </cell>
          <cell r="B11662">
            <v>128432</v>
          </cell>
          <cell r="C11662" t="str">
            <v>Gorsthills County Infant School</v>
          </cell>
          <cell r="D11662" t="str">
            <v>Pre LGR (1998) Cheshire</v>
          </cell>
          <cell r="E11662" t="str">
            <v>Community School</v>
          </cell>
          <cell r="F11662" t="str">
            <v>Primary</v>
          </cell>
        </row>
        <row r="11663">
          <cell r="A11663">
            <v>9062320</v>
          </cell>
          <cell r="B11663">
            <v>128433</v>
          </cell>
          <cell r="C11663" t="str">
            <v>Gorsthills County Junior School</v>
          </cell>
          <cell r="D11663" t="str">
            <v>Pre LGR (1998) Cheshire</v>
          </cell>
          <cell r="E11663" t="str">
            <v>Community School</v>
          </cell>
          <cell r="F11663" t="str">
            <v>Primary</v>
          </cell>
        </row>
        <row r="11664">
          <cell r="A11664">
            <v>3527051</v>
          </cell>
          <cell r="B11664">
            <v>105618</v>
          </cell>
          <cell r="C11664" t="str">
            <v>Gorton Brook School</v>
          </cell>
          <cell r="D11664" t="str">
            <v>Manchester</v>
          </cell>
          <cell r="E11664" t="str">
            <v>Community Special School</v>
          </cell>
          <cell r="F11664" t="str">
            <v>Special</v>
          </cell>
        </row>
        <row r="11665">
          <cell r="A11665">
            <v>3522108</v>
          </cell>
          <cell r="B11665">
            <v>105415</v>
          </cell>
          <cell r="C11665" t="str">
            <v>Gorton Mount Junior School</v>
          </cell>
          <cell r="D11665" t="str">
            <v>Manchester</v>
          </cell>
          <cell r="E11665" t="str">
            <v>Community School</v>
          </cell>
          <cell r="F11665" t="str">
            <v>Primary</v>
          </cell>
        </row>
        <row r="11666">
          <cell r="A11666">
            <v>3522109</v>
          </cell>
          <cell r="B11666">
            <v>105416</v>
          </cell>
          <cell r="C11666" t="str">
            <v>Gorton Mount Primary School</v>
          </cell>
          <cell r="D11666" t="str">
            <v>Manchester</v>
          </cell>
          <cell r="E11666" t="str">
            <v>Community School</v>
          </cell>
          <cell r="F11666" t="str">
            <v>Primary</v>
          </cell>
        </row>
        <row r="11667">
          <cell r="A11667">
            <v>8812054</v>
          </cell>
          <cell r="B11667">
            <v>114742</v>
          </cell>
          <cell r="C11667" t="str">
            <v>Gosbecks Primary School</v>
          </cell>
          <cell r="D11667" t="str">
            <v>Essex</v>
          </cell>
          <cell r="E11667" t="str">
            <v>Community School</v>
          </cell>
          <cell r="F11667" t="str">
            <v>Primary</v>
          </cell>
        </row>
        <row r="11668">
          <cell r="A11668">
            <v>9252090</v>
          </cell>
          <cell r="B11668">
            <v>120411</v>
          </cell>
          <cell r="C11668" t="str">
            <v>Gosberton Community Primary School</v>
          </cell>
          <cell r="D11668" t="str">
            <v>Lincolnshire</v>
          </cell>
          <cell r="E11668" t="str">
            <v>Foundation School</v>
          </cell>
          <cell r="F11668" t="str">
            <v>Primary</v>
          </cell>
        </row>
        <row r="11669">
          <cell r="A11669">
            <v>9257008</v>
          </cell>
          <cell r="B11669">
            <v>120749</v>
          </cell>
          <cell r="C11669" t="str">
            <v>Gosberton House School</v>
          </cell>
          <cell r="D11669" t="str">
            <v>Lincolnshire</v>
          </cell>
          <cell r="E11669" t="str">
            <v>Community Special School</v>
          </cell>
          <cell r="F11669" t="str">
            <v>Special</v>
          </cell>
        </row>
        <row r="11670">
          <cell r="A11670">
            <v>9367003</v>
          </cell>
          <cell r="B11670">
            <v>125452</v>
          </cell>
          <cell r="C11670" t="str">
            <v>Gosden House School</v>
          </cell>
          <cell r="D11670" t="str">
            <v>Surrey</v>
          </cell>
          <cell r="E11670" t="str">
            <v>Community Special School</v>
          </cell>
          <cell r="F11670" t="str">
            <v>Special</v>
          </cell>
        </row>
        <row r="11671">
          <cell r="A11671">
            <v>8812036</v>
          </cell>
          <cell r="B11671">
            <v>114727</v>
          </cell>
          <cell r="C11671" t="str">
            <v>Gosfield Community Primary School</v>
          </cell>
          <cell r="D11671" t="str">
            <v>Essex</v>
          </cell>
          <cell r="E11671" t="str">
            <v>Community School</v>
          </cell>
          <cell r="F11671" t="str">
            <v>Primary</v>
          </cell>
        </row>
        <row r="11672">
          <cell r="A11672">
            <v>8816010</v>
          </cell>
          <cell r="B11672">
            <v>115396</v>
          </cell>
          <cell r="C11672" t="str">
            <v>Gosfield School</v>
          </cell>
          <cell r="D11672" t="str">
            <v>Essex</v>
          </cell>
          <cell r="E11672" t="str">
            <v>Other Independent School</v>
          </cell>
          <cell r="F11672" t="str">
            <v>Not applicable</v>
          </cell>
        </row>
        <row r="11673">
          <cell r="A11673">
            <v>9314060</v>
          </cell>
          <cell r="B11673">
            <v>123241</v>
          </cell>
          <cell r="C11673" t="str">
            <v>Gosford Hill School</v>
          </cell>
          <cell r="D11673" t="str">
            <v>Oxfordshire</v>
          </cell>
          <cell r="E11673" t="str">
            <v>Community School</v>
          </cell>
          <cell r="F11673" t="str">
            <v>Secondary</v>
          </cell>
        </row>
        <row r="11674">
          <cell r="A11674">
            <v>3312021</v>
          </cell>
          <cell r="B11674">
            <v>103643</v>
          </cell>
          <cell r="C11674" t="str">
            <v>Gosford Park Primary School</v>
          </cell>
          <cell r="D11674" t="str">
            <v>Coventry</v>
          </cell>
          <cell r="E11674" t="str">
            <v>Community School</v>
          </cell>
          <cell r="F11674" t="str">
            <v>Primary</v>
          </cell>
        </row>
        <row r="11675">
          <cell r="A11675">
            <v>3176073</v>
          </cell>
          <cell r="B11675">
            <v>133393</v>
          </cell>
          <cell r="C11675" t="str">
            <v>Gosford Preparatory School</v>
          </cell>
          <cell r="D11675" t="str">
            <v>Redbridge</v>
          </cell>
          <cell r="E11675" t="str">
            <v>Other Independent School</v>
          </cell>
          <cell r="F11675" t="str">
            <v>Not applicable</v>
          </cell>
        </row>
        <row r="11676">
          <cell r="A11676">
            <v>3914429</v>
          </cell>
          <cell r="B11676">
            <v>136352</v>
          </cell>
          <cell r="C11676" t="str">
            <v>Gosforth Academy</v>
          </cell>
          <cell r="D11676" t="str">
            <v>Newcastle upon Tyne</v>
          </cell>
          <cell r="E11676" t="str">
            <v>Academy Converters</v>
          </cell>
          <cell r="F11676" t="str">
            <v>Secondary</v>
          </cell>
        </row>
        <row r="11677">
          <cell r="A11677">
            <v>3914190</v>
          </cell>
          <cell r="B11677">
            <v>108519</v>
          </cell>
          <cell r="C11677" t="str">
            <v>Gosforth Central Middle School</v>
          </cell>
          <cell r="D11677" t="str">
            <v>Newcastle upon Tyne</v>
          </cell>
          <cell r="E11677" t="str">
            <v>Community School</v>
          </cell>
          <cell r="F11677" t="str">
            <v>Middle Deemed Secondary</v>
          </cell>
        </row>
        <row r="11678">
          <cell r="A11678">
            <v>9093206</v>
          </cell>
          <cell r="B11678">
            <v>112294</v>
          </cell>
          <cell r="C11678" t="str">
            <v>Gosforth CofE School</v>
          </cell>
          <cell r="D11678" t="str">
            <v>Cumbria</v>
          </cell>
          <cell r="E11678" t="str">
            <v>Voluntary Controlled School</v>
          </cell>
          <cell r="F11678" t="str">
            <v>Primary</v>
          </cell>
        </row>
        <row r="11679">
          <cell r="A11679">
            <v>3914305</v>
          </cell>
          <cell r="B11679">
            <v>108521</v>
          </cell>
          <cell r="C11679" t="str">
            <v>Gosforth East Middle School</v>
          </cell>
          <cell r="D11679" t="str">
            <v>Newcastle upon Tyne</v>
          </cell>
          <cell r="E11679" t="str">
            <v>Community School</v>
          </cell>
          <cell r="F11679" t="str">
            <v>Middle Deemed Secondary</v>
          </cell>
        </row>
        <row r="11680">
          <cell r="A11680">
            <v>3914429</v>
          </cell>
          <cell r="B11680">
            <v>108523</v>
          </cell>
          <cell r="C11680" t="str">
            <v>Gosforth High School</v>
          </cell>
          <cell r="D11680" t="str">
            <v>Newcastle upon Tyne</v>
          </cell>
          <cell r="E11680" t="str">
            <v>Community School</v>
          </cell>
          <cell r="F11680" t="str">
            <v>Secondary</v>
          </cell>
        </row>
        <row r="11681">
          <cell r="A11681">
            <v>3914303</v>
          </cell>
          <cell r="B11681">
            <v>136348</v>
          </cell>
          <cell r="C11681" t="str">
            <v>Gosforth Junior High Academy</v>
          </cell>
          <cell r="D11681" t="str">
            <v>Newcastle upon Tyne</v>
          </cell>
          <cell r="E11681" t="str">
            <v>Academy Converters</v>
          </cell>
          <cell r="F11681" t="str">
            <v>Middle Deemed Secondary</v>
          </cell>
        </row>
        <row r="11682">
          <cell r="A11682">
            <v>3914303</v>
          </cell>
          <cell r="B11682">
            <v>108520</v>
          </cell>
          <cell r="C11682" t="str">
            <v>Gosforth Junior High School</v>
          </cell>
          <cell r="D11682" t="str">
            <v>Newcastle upon Tyne</v>
          </cell>
          <cell r="E11682" t="str">
            <v>Community School</v>
          </cell>
          <cell r="F11682" t="str">
            <v>Middle Deemed Secondary</v>
          </cell>
        </row>
        <row r="11683">
          <cell r="A11683">
            <v>3912005</v>
          </cell>
          <cell r="B11683">
            <v>108442</v>
          </cell>
          <cell r="C11683" t="str">
            <v>Gosforth Park First School</v>
          </cell>
          <cell r="D11683" t="str">
            <v>Newcastle upon Tyne</v>
          </cell>
          <cell r="E11683" t="str">
            <v>Community School</v>
          </cell>
          <cell r="F11683" t="str">
            <v>Primary</v>
          </cell>
        </row>
        <row r="11684">
          <cell r="A11684">
            <v>2022775</v>
          </cell>
          <cell r="B11684">
            <v>100025</v>
          </cell>
          <cell r="C11684" t="str">
            <v>Gospel Oak Primary School</v>
          </cell>
          <cell r="D11684" t="str">
            <v>Camden</v>
          </cell>
          <cell r="E11684" t="str">
            <v>Community School</v>
          </cell>
          <cell r="F11684" t="str">
            <v>Primary</v>
          </cell>
        </row>
        <row r="11685">
          <cell r="A11685">
            <v>3302448</v>
          </cell>
          <cell r="B11685">
            <v>103375</v>
          </cell>
          <cell r="C11685" t="str">
            <v>Gossey Lane Junior Infant and Nursery School</v>
          </cell>
          <cell r="D11685" t="str">
            <v>Birmingham</v>
          </cell>
          <cell r="E11685" t="str">
            <v>Community School</v>
          </cell>
          <cell r="F11685" t="str">
            <v>Primary</v>
          </cell>
        </row>
        <row r="11686">
          <cell r="A11686">
            <v>9382119</v>
          </cell>
          <cell r="B11686">
            <v>125881</v>
          </cell>
          <cell r="C11686" t="str">
            <v>Gossops Green Community First School</v>
          </cell>
          <cell r="D11686" t="str">
            <v>West Sussex</v>
          </cell>
          <cell r="E11686" t="str">
            <v>Community School</v>
          </cell>
          <cell r="F11686" t="str">
            <v>Primary</v>
          </cell>
        </row>
        <row r="11687">
          <cell r="A11687">
            <v>9382096</v>
          </cell>
          <cell r="B11687">
            <v>125870</v>
          </cell>
          <cell r="C11687" t="str">
            <v>Gossops Green Community Middle School</v>
          </cell>
          <cell r="D11687" t="str">
            <v>West Sussex</v>
          </cell>
          <cell r="E11687" t="str">
            <v>Community School</v>
          </cell>
          <cell r="F11687" t="str">
            <v>Middle Deemed Primary</v>
          </cell>
        </row>
        <row r="11688">
          <cell r="A11688">
            <v>9383361</v>
          </cell>
          <cell r="B11688">
            <v>133970</v>
          </cell>
          <cell r="C11688" t="str">
            <v>Gossops Green Community Primary</v>
          </cell>
          <cell r="D11688" t="str">
            <v>West Sussex</v>
          </cell>
          <cell r="E11688" t="str">
            <v>Community School</v>
          </cell>
          <cell r="F11688" t="str">
            <v>Primary</v>
          </cell>
        </row>
        <row r="11689">
          <cell r="A11689">
            <v>8912748</v>
          </cell>
          <cell r="B11689">
            <v>122644</v>
          </cell>
          <cell r="C11689" t="str">
            <v>Gotham Primary School</v>
          </cell>
          <cell r="D11689" t="str">
            <v>Nottinghamshire</v>
          </cell>
          <cell r="E11689" t="str">
            <v>Community School</v>
          </cell>
          <cell r="F11689" t="str">
            <v>Primary</v>
          </cell>
        </row>
        <row r="11690">
          <cell r="A11690">
            <v>9162069</v>
          </cell>
          <cell r="B11690">
            <v>115524</v>
          </cell>
          <cell r="C11690" t="str">
            <v>Gotherington Primary School</v>
          </cell>
          <cell r="D11690" t="str">
            <v>Gloucestershire</v>
          </cell>
          <cell r="E11690" t="str">
            <v>Community School</v>
          </cell>
          <cell r="F11690" t="str">
            <v>Primary</v>
          </cell>
        </row>
        <row r="11691">
          <cell r="A11691">
            <v>9162069</v>
          </cell>
          <cell r="B11691">
            <v>137207</v>
          </cell>
          <cell r="C11691" t="str">
            <v>Gotherington Primary School</v>
          </cell>
          <cell r="D11691" t="str">
            <v>Gloucestershire</v>
          </cell>
          <cell r="E11691" t="str">
            <v>Academy Converters</v>
          </cell>
          <cell r="F11691" t="str">
            <v>Primary</v>
          </cell>
        </row>
        <row r="11692">
          <cell r="A11692">
            <v>8232000</v>
          </cell>
          <cell r="B11692">
            <v>109427</v>
          </cell>
          <cell r="C11692" t="str">
            <v>Gothic Mede Lower School</v>
          </cell>
          <cell r="D11692" t="str">
            <v>Central Bedfordshire</v>
          </cell>
          <cell r="E11692" t="str">
            <v>Foundation School</v>
          </cell>
          <cell r="F11692" t="str">
            <v>Primary</v>
          </cell>
        </row>
        <row r="11693">
          <cell r="A11693">
            <v>8863029</v>
          </cell>
          <cell r="B11693">
            <v>118601</v>
          </cell>
          <cell r="C11693" t="str">
            <v>Goudhurst and Kilndown Church of England Primary School</v>
          </cell>
          <cell r="D11693" t="str">
            <v>Kent</v>
          </cell>
          <cell r="E11693" t="str">
            <v>Voluntary Controlled School</v>
          </cell>
          <cell r="F11693" t="str">
            <v>Primary</v>
          </cell>
        </row>
        <row r="11694">
          <cell r="A11694">
            <v>7086007</v>
          </cell>
          <cell r="B11694">
            <v>132357</v>
          </cell>
          <cell r="C11694" t="str">
            <v>Governor's Meadow First School</v>
          </cell>
          <cell r="D11694" t="str">
            <v>Gibraltar Overseas Establishments</v>
          </cell>
          <cell r="E11694" t="str">
            <v>Service Childrens Education</v>
          </cell>
          <cell r="F11694" t="str">
            <v>Not applicable</v>
          </cell>
        </row>
        <row r="11695">
          <cell r="A11695">
            <v>6792242</v>
          </cell>
          <cell r="B11695">
            <v>401477</v>
          </cell>
          <cell r="C11695" t="str">
            <v>Govilon C.P. School</v>
          </cell>
          <cell r="D11695" t="str">
            <v>Monmouthshire</v>
          </cell>
          <cell r="E11695" t="str">
            <v>Welsh Establishment</v>
          </cell>
          <cell r="F11695" t="str">
            <v>Primary</v>
          </cell>
        </row>
        <row r="11696">
          <cell r="A11696">
            <v>3046053</v>
          </cell>
          <cell r="B11696">
            <v>101570</v>
          </cell>
          <cell r="C11696" t="str">
            <v>Gower House School</v>
          </cell>
          <cell r="D11696" t="str">
            <v>Brent</v>
          </cell>
          <cell r="E11696" t="str">
            <v>Other Independent School</v>
          </cell>
          <cell r="F11696" t="str">
            <v>Not applicable</v>
          </cell>
        </row>
        <row r="11697">
          <cell r="A11697">
            <v>6702240</v>
          </cell>
          <cell r="B11697">
            <v>402249</v>
          </cell>
          <cell r="C11697" t="str">
            <v>Gowerton Primary School</v>
          </cell>
          <cell r="D11697" t="str">
            <v>Swansea</v>
          </cell>
          <cell r="E11697" t="str">
            <v>Welsh Establishment</v>
          </cell>
          <cell r="F11697" t="str">
            <v>Primary</v>
          </cell>
        </row>
        <row r="11698">
          <cell r="A11698">
            <v>6704063</v>
          </cell>
          <cell r="B11698">
            <v>401770</v>
          </cell>
          <cell r="C11698" t="str">
            <v>Gowerton School</v>
          </cell>
          <cell r="D11698" t="str">
            <v>Swansea</v>
          </cell>
          <cell r="E11698" t="str">
            <v>Welsh Establishment</v>
          </cell>
          <cell r="F11698" t="str">
            <v>Secondary</v>
          </cell>
        </row>
        <row r="11699">
          <cell r="A11699">
            <v>8132118</v>
          </cell>
          <cell r="B11699">
            <v>117737</v>
          </cell>
          <cell r="C11699" t="str">
            <v>Goxhill Primary School</v>
          </cell>
          <cell r="D11699" t="str">
            <v>North Lincolnshire</v>
          </cell>
          <cell r="E11699" t="str">
            <v>Community School</v>
          </cell>
          <cell r="F11699" t="str">
            <v>Primary</v>
          </cell>
        </row>
        <row r="11700">
          <cell r="A11700">
            <v>6792134</v>
          </cell>
          <cell r="B11700">
            <v>401463</v>
          </cell>
          <cell r="C11700" t="str">
            <v>Goytre Fawr Primary School</v>
          </cell>
          <cell r="D11700" t="str">
            <v>Monmouthshire</v>
          </cell>
          <cell r="E11700" t="str">
            <v>Welsh Establishment</v>
          </cell>
          <cell r="F11700" t="str">
            <v>Primary</v>
          </cell>
        </row>
        <row r="11701">
          <cell r="A11701">
            <v>3306011</v>
          </cell>
          <cell r="B11701">
            <v>134105</v>
          </cell>
          <cell r="C11701" t="str">
            <v>Grace Academy</v>
          </cell>
          <cell r="D11701" t="str">
            <v>Birmingham</v>
          </cell>
          <cell r="E11701" t="str">
            <v>Other Independent School</v>
          </cell>
          <cell r="F11701" t="str">
            <v>Not applicable</v>
          </cell>
        </row>
        <row r="11702">
          <cell r="A11702">
            <v>3316905</v>
          </cell>
          <cell r="B11702">
            <v>135335</v>
          </cell>
          <cell r="C11702" t="str">
            <v>Grace Academy Coventry</v>
          </cell>
          <cell r="D11702" t="str">
            <v>Coventry</v>
          </cell>
          <cell r="E11702" t="str">
            <v>Academy Sponsor Led</v>
          </cell>
          <cell r="F11702" t="str">
            <v>Secondary</v>
          </cell>
        </row>
        <row r="11703">
          <cell r="A11703">
            <v>3356907</v>
          </cell>
          <cell r="B11703">
            <v>135956</v>
          </cell>
          <cell r="C11703" t="str">
            <v>Grace Academy Darlaston</v>
          </cell>
          <cell r="D11703" t="str">
            <v>Walsall</v>
          </cell>
          <cell r="E11703" t="str">
            <v>Academy Sponsor Led</v>
          </cell>
          <cell r="F11703" t="str">
            <v>Secondary</v>
          </cell>
        </row>
        <row r="11704">
          <cell r="A11704">
            <v>3346905</v>
          </cell>
          <cell r="B11704">
            <v>129342</v>
          </cell>
          <cell r="C11704" t="str">
            <v>Grace Academy Solihull</v>
          </cell>
          <cell r="D11704" t="str">
            <v>Solihull</v>
          </cell>
          <cell r="E11704" t="str">
            <v>Academy Sponsor Led</v>
          </cell>
          <cell r="F11704" t="str">
            <v>Secondary</v>
          </cell>
        </row>
        <row r="11705">
          <cell r="A11705">
            <v>8556007</v>
          </cell>
          <cell r="B11705">
            <v>120318</v>
          </cell>
          <cell r="C11705" t="str">
            <v>Grace Dieu Manor School</v>
          </cell>
          <cell r="D11705" t="str">
            <v>Leicestershire</v>
          </cell>
          <cell r="E11705" t="str">
            <v>Other Independent School</v>
          </cell>
          <cell r="F11705" t="str">
            <v>Not applicable</v>
          </cell>
        </row>
        <row r="11706">
          <cell r="A11706">
            <v>3332127</v>
          </cell>
          <cell r="B11706">
            <v>103945</v>
          </cell>
          <cell r="C11706" t="str">
            <v>Grace Mary Primary School</v>
          </cell>
          <cell r="D11706" t="str">
            <v>Sandwell</v>
          </cell>
          <cell r="E11706" t="str">
            <v>Community School</v>
          </cell>
          <cell r="F11706" t="str">
            <v>Primary</v>
          </cell>
        </row>
        <row r="11707">
          <cell r="A11707">
            <v>3731002</v>
          </cell>
          <cell r="B11707">
            <v>106975</v>
          </cell>
          <cell r="C11707" t="str">
            <v>Grace Owen Nursery School</v>
          </cell>
          <cell r="D11707" t="str">
            <v>Sheffield</v>
          </cell>
          <cell r="E11707" t="str">
            <v>LA Nursery School</v>
          </cell>
          <cell r="F11707" t="str">
            <v>Nursery</v>
          </cell>
        </row>
        <row r="11708">
          <cell r="A11708">
            <v>9226418</v>
          </cell>
          <cell r="B11708">
            <v>129458</v>
          </cell>
          <cell r="C11708" t="str">
            <v>Grace School</v>
          </cell>
          <cell r="D11708" t="str">
            <v>Pre LGR (1998) Kent</v>
          </cell>
          <cell r="E11708" t="str">
            <v>Other Independent School</v>
          </cell>
          <cell r="F11708" t="str">
            <v>Not applicable</v>
          </cell>
        </row>
        <row r="11709">
          <cell r="A11709">
            <v>8866082</v>
          </cell>
          <cell r="B11709">
            <v>131716</v>
          </cell>
          <cell r="C11709" t="str">
            <v>Grace School</v>
          </cell>
          <cell r="D11709" t="str">
            <v>Kent</v>
          </cell>
          <cell r="E11709" t="str">
            <v>Other Independent School</v>
          </cell>
          <cell r="F11709" t="str">
            <v>Not applicable</v>
          </cell>
        </row>
        <row r="11710">
          <cell r="A11710">
            <v>8016009</v>
          </cell>
          <cell r="B11710">
            <v>109343</v>
          </cell>
          <cell r="C11710" t="str">
            <v>Gracefield School</v>
          </cell>
          <cell r="D11710" t="str">
            <v>Bristol City of</v>
          </cell>
          <cell r="E11710" t="str">
            <v>Other Independent School</v>
          </cell>
          <cell r="F11710" t="str">
            <v>Not applicable</v>
          </cell>
        </row>
        <row r="11711">
          <cell r="A11711">
            <v>3301022</v>
          </cell>
          <cell r="B11711">
            <v>103135</v>
          </cell>
          <cell r="C11711" t="str">
            <v>Gracelands Nursery School</v>
          </cell>
          <cell r="D11711" t="str">
            <v>Birmingham</v>
          </cell>
          <cell r="E11711" t="str">
            <v>LA Nursery School</v>
          </cell>
          <cell r="F11711" t="str">
            <v>Nursery</v>
          </cell>
        </row>
        <row r="11712">
          <cell r="A11712">
            <v>9083034</v>
          </cell>
          <cell r="B11712">
            <v>111989</v>
          </cell>
          <cell r="C11712" t="str">
            <v>Grade-Ruan CofE School</v>
          </cell>
          <cell r="D11712" t="str">
            <v>Cornwall</v>
          </cell>
          <cell r="E11712" t="str">
            <v>Voluntary Controlled School</v>
          </cell>
          <cell r="F11712" t="str">
            <v>Primary</v>
          </cell>
        </row>
        <row r="11713">
          <cell r="A11713">
            <v>9382029</v>
          </cell>
          <cell r="B11713">
            <v>125831</v>
          </cell>
          <cell r="C11713" t="str">
            <v>Graffham Infant School</v>
          </cell>
          <cell r="D11713" t="str">
            <v>West Sussex</v>
          </cell>
          <cell r="E11713" t="str">
            <v>Community School</v>
          </cell>
          <cell r="F11713" t="str">
            <v>Primary</v>
          </cell>
        </row>
        <row r="11714">
          <cell r="A11714">
            <v>9367067</v>
          </cell>
          <cell r="B11714">
            <v>125482</v>
          </cell>
          <cell r="C11714" t="str">
            <v>Grafham Grange School</v>
          </cell>
          <cell r="D11714" t="str">
            <v>Surrey</v>
          </cell>
          <cell r="E11714" t="str">
            <v>Non-Maintained Special School</v>
          </cell>
          <cell r="F11714" t="str">
            <v>Special</v>
          </cell>
        </row>
        <row r="11715">
          <cell r="A11715">
            <v>8653078</v>
          </cell>
          <cell r="B11715">
            <v>126326</v>
          </cell>
          <cell r="C11715" t="str">
            <v>Grafton CofE Primary School</v>
          </cell>
          <cell r="D11715" t="str">
            <v>Wiltshire</v>
          </cell>
          <cell r="E11715" t="str">
            <v>Voluntary Controlled School</v>
          </cell>
          <cell r="F11715" t="str">
            <v>Primary</v>
          </cell>
        </row>
        <row r="11716">
          <cell r="A11716">
            <v>9236098</v>
          </cell>
          <cell r="B11716">
            <v>130277</v>
          </cell>
          <cell r="C11716" t="str">
            <v>Grafton House Preparatory School</v>
          </cell>
          <cell r="D11716" t="str">
            <v>Pre LGR (1998) Lancashire</v>
          </cell>
          <cell r="E11716" t="str">
            <v>Other Independent School</v>
          </cell>
          <cell r="F11716" t="str">
            <v>Not applicable</v>
          </cell>
        </row>
        <row r="11717">
          <cell r="A11717">
            <v>3576001</v>
          </cell>
          <cell r="B11717">
            <v>130399</v>
          </cell>
          <cell r="C11717" t="str">
            <v>Grafton House Preparatory School</v>
          </cell>
          <cell r="D11717" t="str">
            <v>Tameside</v>
          </cell>
          <cell r="E11717" t="str">
            <v>Other Independent School</v>
          </cell>
          <cell r="F11717" t="str">
            <v>Not applicable</v>
          </cell>
        </row>
        <row r="11718">
          <cell r="A11718">
            <v>3012034</v>
          </cell>
          <cell r="B11718">
            <v>101207</v>
          </cell>
          <cell r="C11718" t="str">
            <v>Grafton Infants' School</v>
          </cell>
          <cell r="D11718" t="str">
            <v>Barking and Dagenham</v>
          </cell>
          <cell r="E11718" t="str">
            <v>Community School</v>
          </cell>
          <cell r="F11718" t="str">
            <v>Primary</v>
          </cell>
        </row>
        <row r="11719">
          <cell r="A11719">
            <v>3012033</v>
          </cell>
          <cell r="B11719">
            <v>101206</v>
          </cell>
          <cell r="C11719" t="str">
            <v>Grafton Junior School</v>
          </cell>
          <cell r="D11719" t="str">
            <v>Barking and Dagenham</v>
          </cell>
          <cell r="E11719" t="str">
            <v>Community School</v>
          </cell>
          <cell r="F11719" t="str">
            <v>Primary</v>
          </cell>
        </row>
        <row r="11720">
          <cell r="A11720">
            <v>2062261</v>
          </cell>
          <cell r="B11720">
            <v>100406</v>
          </cell>
          <cell r="C11720" t="str">
            <v>Grafton Primary School</v>
          </cell>
          <cell r="D11720" t="str">
            <v>Islington</v>
          </cell>
          <cell r="E11720" t="str">
            <v>Community School</v>
          </cell>
          <cell r="F11720" t="str">
            <v>Primary</v>
          </cell>
        </row>
        <row r="11721">
          <cell r="A11721">
            <v>8932047</v>
          </cell>
          <cell r="B11721">
            <v>123367</v>
          </cell>
          <cell r="C11721" t="str">
            <v>Grafton Primary School</v>
          </cell>
          <cell r="D11721" t="str">
            <v>Shropshire</v>
          </cell>
          <cell r="E11721" t="str">
            <v>Community School</v>
          </cell>
          <cell r="F11721" t="str">
            <v>Primary</v>
          </cell>
        </row>
        <row r="11722">
          <cell r="A11722">
            <v>3837065</v>
          </cell>
          <cell r="B11722">
            <v>108126</v>
          </cell>
          <cell r="C11722" t="str">
            <v>Grafton School</v>
          </cell>
          <cell r="D11722" t="str">
            <v>Leeds</v>
          </cell>
          <cell r="E11722" t="str">
            <v>Community Special School</v>
          </cell>
          <cell r="F11722" t="str">
            <v>Special</v>
          </cell>
        </row>
        <row r="11723">
          <cell r="A11723">
            <v>3837002</v>
          </cell>
          <cell r="B11723">
            <v>128045</v>
          </cell>
          <cell r="C11723" t="str">
            <v>Grafton School</v>
          </cell>
          <cell r="D11723" t="str">
            <v>Leeds</v>
          </cell>
          <cell r="E11723" t="str">
            <v>Community Special School</v>
          </cell>
          <cell r="F11723" t="str">
            <v>Special</v>
          </cell>
        </row>
        <row r="11724">
          <cell r="A11724">
            <v>9344110</v>
          </cell>
          <cell r="B11724">
            <v>129936</v>
          </cell>
          <cell r="C11724" t="str">
            <v>Graham Balfour High School</v>
          </cell>
          <cell r="D11724" t="str">
            <v>Pre LGR (1997) Staffordshire</v>
          </cell>
          <cell r="E11724" t="str">
            <v>Community School</v>
          </cell>
          <cell r="F11724" t="str">
            <v>Secondary</v>
          </cell>
        </row>
        <row r="11725">
          <cell r="A11725">
            <v>9152754</v>
          </cell>
          <cell r="B11725">
            <v>128895</v>
          </cell>
          <cell r="C11725" t="str">
            <v>Graham James County Infant School</v>
          </cell>
          <cell r="D11725" t="str">
            <v>Pre LGR (1998) Essex</v>
          </cell>
          <cell r="E11725" t="str">
            <v>Community School</v>
          </cell>
          <cell r="F11725" t="str">
            <v>Primary</v>
          </cell>
        </row>
        <row r="11726">
          <cell r="A11726">
            <v>9152764</v>
          </cell>
          <cell r="B11726">
            <v>128896</v>
          </cell>
          <cell r="C11726" t="str">
            <v>Graham James County Junior School</v>
          </cell>
          <cell r="D11726" t="str">
            <v>Pre LGR (1998) Essex</v>
          </cell>
          <cell r="E11726" t="str">
            <v>Community School</v>
          </cell>
          <cell r="F11726" t="str">
            <v>Primary</v>
          </cell>
        </row>
        <row r="11727">
          <cell r="A11727">
            <v>8832137</v>
          </cell>
          <cell r="B11727">
            <v>114796</v>
          </cell>
          <cell r="C11727" t="str">
            <v>Graham James Primary School</v>
          </cell>
          <cell r="D11727" t="str">
            <v>Thurrock</v>
          </cell>
          <cell r="E11727" t="str">
            <v>Community School</v>
          </cell>
          <cell r="F11727" t="str">
            <v>Primary</v>
          </cell>
        </row>
        <row r="11728">
          <cell r="A11728">
            <v>8154070</v>
          </cell>
          <cell r="B11728">
            <v>121675</v>
          </cell>
          <cell r="C11728" t="str">
            <v>Graham School Science College</v>
          </cell>
          <cell r="D11728" t="str">
            <v>North Yorkshire</v>
          </cell>
          <cell r="E11728" t="str">
            <v>Community School</v>
          </cell>
          <cell r="F11728" t="str">
            <v>Secondary</v>
          </cell>
        </row>
        <row r="11729">
          <cell r="A11729">
            <v>3022068</v>
          </cell>
          <cell r="B11729">
            <v>101310</v>
          </cell>
          <cell r="C11729" t="str">
            <v>Grahame Park Infant School</v>
          </cell>
          <cell r="D11729" t="str">
            <v>Barnet</v>
          </cell>
          <cell r="E11729" t="str">
            <v>Community School</v>
          </cell>
          <cell r="F11729" t="str">
            <v>Primary</v>
          </cell>
        </row>
        <row r="11730">
          <cell r="A11730">
            <v>3022065</v>
          </cell>
          <cell r="B11730">
            <v>101308</v>
          </cell>
          <cell r="C11730" t="str">
            <v>Grahame Park Junior School</v>
          </cell>
          <cell r="D11730" t="str">
            <v>Barnet</v>
          </cell>
          <cell r="E11730" t="str">
            <v>Community School</v>
          </cell>
          <cell r="F11730" t="str">
            <v>Primary</v>
          </cell>
        </row>
        <row r="11731">
          <cell r="A11731">
            <v>6702026</v>
          </cell>
          <cell r="B11731">
            <v>400871</v>
          </cell>
          <cell r="C11731" t="str">
            <v>Graig Infants School</v>
          </cell>
          <cell r="D11731" t="str">
            <v>Swansea</v>
          </cell>
          <cell r="E11731" t="str">
            <v>Welsh Establishment</v>
          </cell>
          <cell r="F11731" t="str">
            <v>Primary</v>
          </cell>
        </row>
        <row r="11732">
          <cell r="A11732">
            <v>6762328</v>
          </cell>
          <cell r="B11732">
            <v>401368</v>
          </cell>
          <cell r="C11732" t="str">
            <v>Graig-Y-Rhacca Primary  and Nursery Community School</v>
          </cell>
          <cell r="D11732" t="str">
            <v>Caerphilly</v>
          </cell>
          <cell r="E11732" t="str">
            <v>Welsh Establishment</v>
          </cell>
          <cell r="F11732" t="str">
            <v>Primary</v>
          </cell>
        </row>
        <row r="11733">
          <cell r="A11733">
            <v>6742098</v>
          </cell>
          <cell r="B11733">
            <v>401161</v>
          </cell>
          <cell r="C11733" t="str">
            <v>Graig-Y-Wion Primary School</v>
          </cell>
          <cell r="D11733" t="str">
            <v>Rhondda, Cynon, Taff</v>
          </cell>
          <cell r="E11733" t="str">
            <v>Welsh Establishment</v>
          </cell>
          <cell r="F11733" t="str">
            <v>Primary</v>
          </cell>
        </row>
        <row r="11734">
          <cell r="A11734">
            <v>3916000</v>
          </cell>
          <cell r="B11734">
            <v>108537</v>
          </cell>
          <cell r="C11734" t="str">
            <v>Grainger Grammar School</v>
          </cell>
          <cell r="D11734" t="str">
            <v>Newcastle upon Tyne</v>
          </cell>
          <cell r="E11734" t="str">
            <v>Other Independent School</v>
          </cell>
          <cell r="F11734" t="str">
            <v>Not applicable</v>
          </cell>
        </row>
        <row r="11735">
          <cell r="A11735">
            <v>9252158</v>
          </cell>
          <cell r="B11735">
            <v>120450</v>
          </cell>
          <cell r="C11735" t="str">
            <v>Grainthorpe School</v>
          </cell>
          <cell r="D11735" t="str">
            <v>Lincolnshire</v>
          </cell>
          <cell r="E11735" t="str">
            <v>Community School</v>
          </cell>
          <cell r="F11735" t="str">
            <v>Primary</v>
          </cell>
        </row>
        <row r="11736">
          <cell r="A11736">
            <v>7074002</v>
          </cell>
          <cell r="B11736">
            <v>132519</v>
          </cell>
          <cell r="C11736" t="str">
            <v>Grainville School</v>
          </cell>
          <cell r="D11736" t="str">
            <v>Jersey Offshore Establishments</v>
          </cell>
          <cell r="E11736" t="str">
            <v>Offshore Schools</v>
          </cell>
          <cell r="F11736" t="str">
            <v>Not applicable</v>
          </cell>
        </row>
        <row r="11737">
          <cell r="A11737">
            <v>3362030</v>
          </cell>
          <cell r="B11737">
            <v>104302</v>
          </cell>
          <cell r="C11737" t="str">
            <v>Graiseley Primary School</v>
          </cell>
          <cell r="D11737" t="str">
            <v>Wolverhampton</v>
          </cell>
          <cell r="E11737" t="str">
            <v>Community School</v>
          </cell>
          <cell r="F11737" t="str">
            <v>Primary</v>
          </cell>
        </row>
        <row r="11738">
          <cell r="A11738">
            <v>8806003</v>
          </cell>
          <cell r="B11738">
            <v>113584</v>
          </cell>
          <cell r="C11738" t="str">
            <v>Gramercy Hall School</v>
          </cell>
          <cell r="D11738" t="str">
            <v>Torbay</v>
          </cell>
          <cell r="E11738" t="str">
            <v>Other Independent School</v>
          </cell>
          <cell r="F11738" t="str">
            <v>Not applicable</v>
          </cell>
        </row>
        <row r="11739">
          <cell r="A11739">
            <v>8312515</v>
          </cell>
          <cell r="B11739">
            <v>112776</v>
          </cell>
          <cell r="C11739" t="str">
            <v>Grampian Primary School</v>
          </cell>
          <cell r="D11739" t="str">
            <v>Derby</v>
          </cell>
          <cell r="E11739" t="str">
            <v>Community School</v>
          </cell>
          <cell r="F11739" t="str">
            <v>Primary</v>
          </cell>
        </row>
        <row r="11740">
          <cell r="A11740">
            <v>9083542</v>
          </cell>
          <cell r="B11740">
            <v>112009</v>
          </cell>
          <cell r="C11740" t="str">
            <v>Grampound Road Village CofE School</v>
          </cell>
          <cell r="D11740" t="str">
            <v>Cornwall</v>
          </cell>
          <cell r="E11740" t="str">
            <v>Voluntary Aided School</v>
          </cell>
          <cell r="F11740" t="str">
            <v>Primary</v>
          </cell>
        </row>
        <row r="11741">
          <cell r="A11741">
            <v>9083621</v>
          </cell>
          <cell r="B11741">
            <v>112013</v>
          </cell>
          <cell r="C11741" t="str">
            <v>Grampound-with-Creed CofE School</v>
          </cell>
          <cell r="D11741" t="str">
            <v>Cornwall</v>
          </cell>
          <cell r="E11741" t="str">
            <v>Voluntary Aided School</v>
          </cell>
          <cell r="F11741" t="str">
            <v>Primary</v>
          </cell>
        </row>
        <row r="11742">
          <cell r="A11742">
            <v>2122838</v>
          </cell>
          <cell r="B11742">
            <v>126692</v>
          </cell>
          <cell r="C11742" t="str">
            <v>Granard Infant School</v>
          </cell>
          <cell r="D11742" t="str">
            <v>Wandsworth</v>
          </cell>
          <cell r="E11742" t="str">
            <v>Community School</v>
          </cell>
          <cell r="F11742" t="str">
            <v>Primary</v>
          </cell>
        </row>
        <row r="11743">
          <cell r="A11743">
            <v>2122781</v>
          </cell>
          <cell r="B11743">
            <v>101028</v>
          </cell>
          <cell r="C11743" t="str">
            <v>Granard Primary School</v>
          </cell>
          <cell r="D11743" t="str">
            <v>Wandsworth</v>
          </cell>
          <cell r="E11743" t="str">
            <v>Community School</v>
          </cell>
          <cell r="F11743" t="str">
            <v>Primary</v>
          </cell>
        </row>
        <row r="11744">
          <cell r="A11744">
            <v>3412067</v>
          </cell>
          <cell r="B11744">
            <v>104546</v>
          </cell>
          <cell r="C11744" t="str">
            <v>Granby Junior Mixed and Infant School</v>
          </cell>
          <cell r="D11744" t="str">
            <v>Liverpool</v>
          </cell>
          <cell r="E11744" t="str">
            <v>Community School</v>
          </cell>
          <cell r="F11744" t="str">
            <v>Primary</v>
          </cell>
        </row>
        <row r="11745">
          <cell r="A11745">
            <v>8302141</v>
          </cell>
          <cell r="B11745">
            <v>112571</v>
          </cell>
          <cell r="C11745" t="str">
            <v>Granby Junior School</v>
          </cell>
          <cell r="D11745" t="str">
            <v>Derbyshire</v>
          </cell>
          <cell r="E11745" t="str">
            <v>Community School</v>
          </cell>
          <cell r="F11745" t="str">
            <v>Primary</v>
          </cell>
        </row>
        <row r="11746">
          <cell r="A11746">
            <v>8562228</v>
          </cell>
          <cell r="B11746">
            <v>120006</v>
          </cell>
          <cell r="C11746" t="str">
            <v>Granby Primary School</v>
          </cell>
          <cell r="D11746" t="str">
            <v>Leicester</v>
          </cell>
          <cell r="E11746" t="str">
            <v>Community School</v>
          </cell>
          <cell r="F11746" t="str">
            <v>Primary</v>
          </cell>
        </row>
        <row r="11747">
          <cell r="A11747">
            <v>3142033</v>
          </cell>
          <cell r="B11747">
            <v>102580</v>
          </cell>
          <cell r="C11747" t="str">
            <v>Grand Avenue Primary and Nursery School</v>
          </cell>
          <cell r="D11747" t="str">
            <v>Kingston upon Thames</v>
          </cell>
          <cell r="E11747" t="str">
            <v>Community School</v>
          </cell>
          <cell r="F11747" t="str">
            <v>Primary</v>
          </cell>
        </row>
        <row r="11748">
          <cell r="A11748">
            <v>926942</v>
          </cell>
          <cell r="B11748">
            <v>135609</v>
          </cell>
          <cell r="C11748" t="str">
            <v>Grand Slam Learning Centre</v>
          </cell>
          <cell r="D11748" t="str">
            <v>Norfolk</v>
          </cell>
          <cell r="E11748" t="str">
            <v>Playing for Success Centres</v>
          </cell>
          <cell r="F11748" t="str">
            <v>Not applicable</v>
          </cell>
        </row>
        <row r="11749">
          <cell r="A11749">
            <v>9311010</v>
          </cell>
          <cell r="B11749">
            <v>122969</v>
          </cell>
          <cell r="C11749" t="str">
            <v>Grandpont Nursery School</v>
          </cell>
          <cell r="D11749" t="str">
            <v>Oxfordshire</v>
          </cell>
          <cell r="E11749" t="str">
            <v>LA Nursery School</v>
          </cell>
          <cell r="F11749" t="str">
            <v>Nursery</v>
          </cell>
        </row>
        <row r="11750">
          <cell r="A11750">
            <v>7072003</v>
          </cell>
          <cell r="B11750">
            <v>132503</v>
          </cell>
          <cell r="C11750" t="str">
            <v>Grands Vaux School</v>
          </cell>
          <cell r="D11750" t="str">
            <v>Jersey Offshore Establishments</v>
          </cell>
          <cell r="E11750" t="str">
            <v>Offshore Schools</v>
          </cell>
          <cell r="F11750" t="str">
            <v>Not applicable</v>
          </cell>
        </row>
        <row r="11751">
          <cell r="A11751">
            <v>9093123</v>
          </cell>
          <cell r="B11751">
            <v>112280</v>
          </cell>
          <cell r="C11751" t="str">
            <v>Grange CofE Primary School</v>
          </cell>
          <cell r="D11751" t="str">
            <v>Cumbria</v>
          </cell>
          <cell r="E11751" t="str">
            <v>Voluntary Controlled School</v>
          </cell>
          <cell r="F11751" t="str">
            <v>Primary</v>
          </cell>
        </row>
        <row r="11752">
          <cell r="A11752">
            <v>8502521</v>
          </cell>
          <cell r="B11752">
            <v>116147</v>
          </cell>
          <cell r="C11752" t="str">
            <v>Grange Community Junior School</v>
          </cell>
          <cell r="D11752" t="str">
            <v>Hampshire</v>
          </cell>
          <cell r="E11752" t="str">
            <v>Community School</v>
          </cell>
          <cell r="F11752" t="str">
            <v>Primary</v>
          </cell>
        </row>
        <row r="11753">
          <cell r="A11753">
            <v>8962179</v>
          </cell>
          <cell r="B11753">
            <v>111048</v>
          </cell>
          <cell r="C11753" t="str">
            <v>Grange Community Primary School</v>
          </cell>
          <cell r="D11753" t="str">
            <v>Cheshire West and Chester</v>
          </cell>
          <cell r="E11753" t="str">
            <v>Community School</v>
          </cell>
          <cell r="F11753" t="str">
            <v>Primary</v>
          </cell>
        </row>
        <row r="11754">
          <cell r="A11754">
            <v>9352137</v>
          </cell>
          <cell r="B11754">
            <v>124630</v>
          </cell>
          <cell r="C11754" t="str">
            <v>Grange Community Primary School</v>
          </cell>
          <cell r="D11754" t="str">
            <v>Suffolk</v>
          </cell>
          <cell r="E11754" t="str">
            <v>Community School</v>
          </cell>
          <cell r="F11754" t="str">
            <v>Primary</v>
          </cell>
        </row>
        <row r="11755">
          <cell r="A11755">
            <v>9282113</v>
          </cell>
          <cell r="B11755">
            <v>121880</v>
          </cell>
          <cell r="C11755" t="str">
            <v>Grange Community School</v>
          </cell>
          <cell r="D11755" t="str">
            <v>Northamptonshire</v>
          </cell>
          <cell r="E11755" t="str">
            <v>Community School</v>
          </cell>
          <cell r="F11755" t="str">
            <v>Primary</v>
          </cell>
        </row>
        <row r="11756">
          <cell r="A11756">
            <v>8764104</v>
          </cell>
          <cell r="B11756">
            <v>111401</v>
          </cell>
          <cell r="C11756" t="str">
            <v>Grange Comprehensive School</v>
          </cell>
          <cell r="D11756" t="str">
            <v>Halton</v>
          </cell>
          <cell r="E11756" t="str">
            <v>Community School</v>
          </cell>
          <cell r="F11756" t="str">
            <v>Middle Deemed Secondary</v>
          </cell>
        </row>
        <row r="11757">
          <cell r="A11757">
            <v>8812766</v>
          </cell>
          <cell r="B11757">
            <v>114987</v>
          </cell>
          <cell r="C11757" t="str">
            <v>Grange County Infant School</v>
          </cell>
          <cell r="D11757" t="str">
            <v>Essex</v>
          </cell>
          <cell r="E11757" t="str">
            <v>Community School</v>
          </cell>
          <cell r="F11757" t="str">
            <v>Primary</v>
          </cell>
        </row>
        <row r="11758">
          <cell r="A11758">
            <v>8812756</v>
          </cell>
          <cell r="B11758">
            <v>114982</v>
          </cell>
          <cell r="C11758" t="str">
            <v>Grange County Junior School</v>
          </cell>
          <cell r="D11758" t="str">
            <v>Essex</v>
          </cell>
          <cell r="E11758" t="str">
            <v>Community School</v>
          </cell>
          <cell r="F11758" t="str">
            <v>Primary</v>
          </cell>
        </row>
        <row r="11759">
          <cell r="A11759">
            <v>3832086</v>
          </cell>
          <cell r="B11759">
            <v>127824</v>
          </cell>
          <cell r="C11759" t="str">
            <v>Grange Farm First School</v>
          </cell>
          <cell r="D11759" t="str">
            <v>Leeds</v>
          </cell>
          <cell r="E11759" t="str">
            <v>Community School</v>
          </cell>
          <cell r="F11759" t="str">
            <v>Primary</v>
          </cell>
        </row>
        <row r="11760">
          <cell r="A11760">
            <v>3312092</v>
          </cell>
          <cell r="B11760">
            <v>103664</v>
          </cell>
          <cell r="C11760" t="str">
            <v>Grange Farm Primary School</v>
          </cell>
          <cell r="D11760" t="str">
            <v>Coventry</v>
          </cell>
          <cell r="E11760" t="str">
            <v>Community School</v>
          </cell>
          <cell r="F11760" t="str">
            <v>Primary</v>
          </cell>
        </row>
        <row r="11761">
          <cell r="A11761">
            <v>3832447</v>
          </cell>
          <cell r="B11761">
            <v>107923</v>
          </cell>
          <cell r="C11761" t="str">
            <v>Grange Farm Primary School</v>
          </cell>
          <cell r="D11761" t="str">
            <v>Leeds</v>
          </cell>
          <cell r="E11761" t="str">
            <v>Community School</v>
          </cell>
          <cell r="F11761" t="str">
            <v>Primary</v>
          </cell>
        </row>
        <row r="11762">
          <cell r="A11762">
            <v>9202326</v>
          </cell>
          <cell r="B11762">
            <v>129222</v>
          </cell>
          <cell r="C11762" t="str">
            <v>Grange First and Nursery School</v>
          </cell>
          <cell r="D11762" t="str">
            <v>Pre LGR (1996) Humberside</v>
          </cell>
          <cell r="E11762" t="str">
            <v>Community School</v>
          </cell>
          <cell r="F11762" t="str">
            <v>Primary</v>
          </cell>
        </row>
        <row r="11763">
          <cell r="A11763">
            <v>3912009</v>
          </cell>
          <cell r="B11763">
            <v>108444</v>
          </cell>
          <cell r="C11763" t="str">
            <v>Grange First School</v>
          </cell>
          <cell r="D11763" t="str">
            <v>Newcastle upon Tyne</v>
          </cell>
          <cell r="E11763" t="str">
            <v>Community School</v>
          </cell>
          <cell r="F11763" t="str">
            <v>Primary</v>
          </cell>
        </row>
        <row r="11764">
          <cell r="A11764">
            <v>3702020</v>
          </cell>
          <cell r="B11764">
            <v>106562</v>
          </cell>
          <cell r="C11764" t="str">
            <v>Grange Gate Junior School</v>
          </cell>
          <cell r="D11764" t="str">
            <v>Barnsley</v>
          </cell>
          <cell r="E11764" t="str">
            <v>Community School</v>
          </cell>
          <cell r="F11764" t="str">
            <v>Primary</v>
          </cell>
        </row>
        <row r="11765">
          <cell r="A11765">
            <v>9186114</v>
          </cell>
          <cell r="B11765">
            <v>117043</v>
          </cell>
          <cell r="C11765" t="str">
            <v>Grange House School</v>
          </cell>
          <cell r="D11765" t="str">
            <v>Pre LGR (1998) Hereford &amp; Worcester</v>
          </cell>
          <cell r="E11765" t="str">
            <v>Other Independent School</v>
          </cell>
          <cell r="F11765" t="str">
            <v>Not applicable</v>
          </cell>
        </row>
        <row r="11766">
          <cell r="A11766">
            <v>8846012</v>
          </cell>
          <cell r="B11766">
            <v>131445</v>
          </cell>
          <cell r="C11766" t="str">
            <v>Grange House School</v>
          </cell>
          <cell r="D11766" t="str">
            <v>Herefordshire</v>
          </cell>
          <cell r="E11766" t="str">
            <v>Other Independent School</v>
          </cell>
          <cell r="F11766" t="str">
            <v>Not applicable</v>
          </cell>
        </row>
        <row r="11767">
          <cell r="A11767">
            <v>8122919</v>
          </cell>
          <cell r="B11767">
            <v>117946</v>
          </cell>
          <cell r="C11767" t="str">
            <v>Grange Infant and Nursery School</v>
          </cell>
          <cell r="D11767" t="str">
            <v>North East Lincolnshire</v>
          </cell>
          <cell r="E11767" t="str">
            <v>Community School</v>
          </cell>
          <cell r="F11767" t="str">
            <v>Primary</v>
          </cell>
        </row>
        <row r="11768">
          <cell r="A11768">
            <v>3072103</v>
          </cell>
          <cell r="B11768">
            <v>101882</v>
          </cell>
          <cell r="C11768" t="str">
            <v>Grange Infant School</v>
          </cell>
          <cell r="D11768" t="str">
            <v>Ealing</v>
          </cell>
          <cell r="E11768" t="str">
            <v>Community School</v>
          </cell>
          <cell r="F11768" t="str">
            <v>Primary</v>
          </cell>
        </row>
        <row r="11769">
          <cell r="A11769">
            <v>9162018</v>
          </cell>
          <cell r="B11769">
            <v>115489</v>
          </cell>
          <cell r="C11769" t="str">
            <v>Grange Infant School</v>
          </cell>
          <cell r="D11769" t="str">
            <v>Gloucestershire</v>
          </cell>
          <cell r="E11769" t="str">
            <v>Community School</v>
          </cell>
          <cell r="F11769" t="str">
            <v>Primary</v>
          </cell>
        </row>
        <row r="11770">
          <cell r="A11770">
            <v>8502620</v>
          </cell>
          <cell r="B11770">
            <v>116171</v>
          </cell>
          <cell r="C11770" t="str">
            <v>Grange Infant School</v>
          </cell>
          <cell r="D11770" t="str">
            <v>Hampshire</v>
          </cell>
          <cell r="E11770" t="str">
            <v>Community School</v>
          </cell>
          <cell r="F11770" t="str">
            <v>Primary</v>
          </cell>
        </row>
        <row r="11771">
          <cell r="A11771">
            <v>8602124</v>
          </cell>
          <cell r="B11771">
            <v>124035</v>
          </cell>
          <cell r="C11771" t="str">
            <v>Grange Infant School</v>
          </cell>
          <cell r="D11771" t="str">
            <v>Staffordshire</v>
          </cell>
          <cell r="E11771" t="str">
            <v>Community School</v>
          </cell>
          <cell r="F11771" t="str">
            <v>Primary</v>
          </cell>
        </row>
        <row r="11772">
          <cell r="A11772">
            <v>9072185</v>
          </cell>
          <cell r="B11772">
            <v>128504</v>
          </cell>
          <cell r="C11772" t="str">
            <v>Grange Infant School</v>
          </cell>
          <cell r="D11772" t="str">
            <v>Pre LGR (1996) Cleveland</v>
          </cell>
          <cell r="E11772" t="str">
            <v>Community School</v>
          </cell>
          <cell r="F11772" t="str">
            <v>Primary</v>
          </cell>
        </row>
        <row r="11773">
          <cell r="A11773">
            <v>8662093</v>
          </cell>
          <cell r="B11773">
            <v>126208</v>
          </cell>
          <cell r="C11773" t="str">
            <v>Grange Infants' School</v>
          </cell>
          <cell r="D11773" t="str">
            <v>Swindon</v>
          </cell>
          <cell r="E11773" t="str">
            <v>Community School</v>
          </cell>
          <cell r="F11773" t="str">
            <v>Primary</v>
          </cell>
        </row>
        <row r="11774">
          <cell r="A11774">
            <v>3072104</v>
          </cell>
          <cell r="B11774">
            <v>101883</v>
          </cell>
          <cell r="C11774" t="str">
            <v>Grange Junior School</v>
          </cell>
          <cell r="D11774" t="str">
            <v>Ealing</v>
          </cell>
          <cell r="E11774" t="str">
            <v>Community School</v>
          </cell>
          <cell r="F11774" t="str">
            <v>Primary</v>
          </cell>
        </row>
        <row r="11775">
          <cell r="A11775">
            <v>9162027</v>
          </cell>
          <cell r="B11775">
            <v>115493</v>
          </cell>
          <cell r="C11775" t="str">
            <v>Grange Junior School</v>
          </cell>
          <cell r="D11775" t="str">
            <v>Gloucestershire</v>
          </cell>
          <cell r="E11775" t="str">
            <v>Community School</v>
          </cell>
          <cell r="F11775" t="str">
            <v>Primary</v>
          </cell>
        </row>
        <row r="11776">
          <cell r="A11776">
            <v>8502619</v>
          </cell>
          <cell r="B11776">
            <v>116170</v>
          </cell>
          <cell r="C11776" t="str">
            <v>Grange Junior School</v>
          </cell>
          <cell r="D11776" t="str">
            <v>Hampshire</v>
          </cell>
          <cell r="E11776" t="str">
            <v>Community School</v>
          </cell>
          <cell r="F11776" t="str">
            <v>Primary</v>
          </cell>
        </row>
        <row r="11777">
          <cell r="A11777">
            <v>9192068</v>
          </cell>
          <cell r="B11777">
            <v>117122</v>
          </cell>
          <cell r="C11777" t="str">
            <v>Grange Junior School</v>
          </cell>
          <cell r="D11777" t="str">
            <v>Hertfordshire</v>
          </cell>
          <cell r="E11777" t="str">
            <v>Community School</v>
          </cell>
          <cell r="F11777" t="str">
            <v>Primary</v>
          </cell>
        </row>
        <row r="11778">
          <cell r="A11778">
            <v>8122920</v>
          </cell>
          <cell r="B11778">
            <v>117947</v>
          </cell>
          <cell r="C11778" t="str">
            <v>Grange Junior School</v>
          </cell>
          <cell r="D11778" t="str">
            <v>North East Lincolnshire</v>
          </cell>
          <cell r="E11778" t="str">
            <v>Community School</v>
          </cell>
          <cell r="F11778" t="str">
            <v>Primary</v>
          </cell>
        </row>
        <row r="11779">
          <cell r="A11779">
            <v>8662092</v>
          </cell>
          <cell r="B11779">
            <v>126207</v>
          </cell>
          <cell r="C11779" t="str">
            <v>Grange Junior School</v>
          </cell>
          <cell r="D11779" t="str">
            <v>Swindon</v>
          </cell>
          <cell r="E11779" t="str">
            <v>Community School</v>
          </cell>
          <cell r="F11779" t="str">
            <v>Primary</v>
          </cell>
        </row>
        <row r="11780">
          <cell r="A11780">
            <v>9072184</v>
          </cell>
          <cell r="B11780">
            <v>128503</v>
          </cell>
          <cell r="C11780" t="str">
            <v>Grange Junior School</v>
          </cell>
          <cell r="D11780" t="str">
            <v>Pre LGR (1996) Cleveland</v>
          </cell>
          <cell r="E11780" t="str">
            <v>Community School</v>
          </cell>
          <cell r="F11780" t="str">
            <v>Primary</v>
          </cell>
        </row>
        <row r="11781">
          <cell r="A11781">
            <v>9066079</v>
          </cell>
          <cell r="B11781">
            <v>131148</v>
          </cell>
          <cell r="C11781" t="str">
            <v>Grange Junior School</v>
          </cell>
          <cell r="D11781" t="str">
            <v>Pre LGR (1998) Cheshire</v>
          </cell>
          <cell r="E11781" t="str">
            <v>Other Independent School</v>
          </cell>
          <cell r="F11781" t="str">
            <v>Not applicable</v>
          </cell>
        </row>
        <row r="11782">
          <cell r="A11782">
            <v>3712110</v>
          </cell>
          <cell r="B11782">
            <v>106696</v>
          </cell>
          <cell r="C11782" t="str">
            <v>Grange Lane Infant School</v>
          </cell>
          <cell r="D11782" t="str">
            <v>Doncaster</v>
          </cell>
          <cell r="E11782" t="str">
            <v>Community School</v>
          </cell>
          <cell r="F11782" t="str">
            <v>Primary</v>
          </cell>
        </row>
        <row r="11783">
          <cell r="A11783">
            <v>8132147</v>
          </cell>
          <cell r="B11783">
            <v>117760</v>
          </cell>
          <cell r="C11783" t="str">
            <v>Grange Lane Infant School</v>
          </cell>
          <cell r="D11783" t="str">
            <v>North Lincolnshire</v>
          </cell>
          <cell r="E11783" t="str">
            <v>Community School</v>
          </cell>
          <cell r="F11783" t="str">
            <v>Primary</v>
          </cell>
        </row>
        <row r="11784">
          <cell r="A11784">
            <v>3712110</v>
          </cell>
          <cell r="B11784">
            <v>137482</v>
          </cell>
          <cell r="C11784" t="str">
            <v>Grange Lane Infant School</v>
          </cell>
          <cell r="D11784" t="str">
            <v>Doncaster</v>
          </cell>
          <cell r="E11784" t="str">
            <v>Academy Converters</v>
          </cell>
          <cell r="F11784" t="str">
            <v>Primary</v>
          </cell>
        </row>
        <row r="11785">
          <cell r="A11785">
            <v>8132148</v>
          </cell>
          <cell r="B11785">
            <v>117761</v>
          </cell>
          <cell r="C11785" t="str">
            <v>Grange Lane Junior School</v>
          </cell>
          <cell r="D11785" t="str">
            <v>North Lincolnshire</v>
          </cell>
          <cell r="E11785" t="str">
            <v>Community School</v>
          </cell>
          <cell r="F11785" t="str">
            <v>Primary</v>
          </cell>
        </row>
        <row r="11786">
          <cell r="A11786">
            <v>3804003</v>
          </cell>
          <cell r="B11786">
            <v>107352</v>
          </cell>
          <cell r="C11786" t="str">
            <v>Grange Middle School</v>
          </cell>
          <cell r="D11786" t="str">
            <v>Bradford</v>
          </cell>
          <cell r="E11786" t="str">
            <v>Community School</v>
          </cell>
          <cell r="F11786" t="str">
            <v>Middle Deemed Secondary</v>
          </cell>
        </row>
        <row r="11787">
          <cell r="A11787">
            <v>9202325</v>
          </cell>
          <cell r="B11787">
            <v>129221</v>
          </cell>
          <cell r="C11787" t="str">
            <v>Grange Middle School</v>
          </cell>
          <cell r="D11787" t="str">
            <v>Pre LGR (1996) Humberside</v>
          </cell>
          <cell r="E11787" t="str">
            <v>Community School</v>
          </cell>
          <cell r="F11787" t="str">
            <v>Middle Deemed Primary</v>
          </cell>
        </row>
        <row r="11788">
          <cell r="A11788">
            <v>3822096</v>
          </cell>
          <cell r="B11788">
            <v>107664</v>
          </cell>
          <cell r="C11788" t="str">
            <v>Grange Moor Primary School</v>
          </cell>
          <cell r="D11788" t="str">
            <v>Kirklees</v>
          </cell>
          <cell r="E11788" t="str">
            <v>Community School</v>
          </cell>
          <cell r="F11788" t="str">
            <v>Primary</v>
          </cell>
        </row>
        <row r="11789">
          <cell r="A11789">
            <v>3102088</v>
          </cell>
          <cell r="B11789">
            <v>102217</v>
          </cell>
          <cell r="C11789" t="str">
            <v>Grange Nursery and Infant School</v>
          </cell>
          <cell r="D11789" t="str">
            <v>Harrow</v>
          </cell>
          <cell r="E11789" t="str">
            <v>Community School</v>
          </cell>
          <cell r="F11789" t="str">
            <v>Primary</v>
          </cell>
        </row>
        <row r="11790">
          <cell r="A11790">
            <v>8761008</v>
          </cell>
          <cell r="B11790">
            <v>110960</v>
          </cell>
          <cell r="C11790" t="str">
            <v>Grange Nursery School</v>
          </cell>
          <cell r="D11790" t="str">
            <v>Halton</v>
          </cell>
          <cell r="E11790" t="str">
            <v>LA Nursery School</v>
          </cell>
          <cell r="F11790" t="str">
            <v>Nursery</v>
          </cell>
        </row>
        <row r="11791">
          <cell r="A11791">
            <v>8611010</v>
          </cell>
          <cell r="B11791">
            <v>123956</v>
          </cell>
          <cell r="C11791" t="str">
            <v>Grange Nursery School</v>
          </cell>
          <cell r="D11791" t="str">
            <v>Stoke-on-Trent</v>
          </cell>
          <cell r="E11791" t="str">
            <v>LA Nursery School</v>
          </cell>
          <cell r="F11791" t="str">
            <v>Nursery</v>
          </cell>
        </row>
        <row r="11792">
          <cell r="A11792">
            <v>3424003</v>
          </cell>
          <cell r="B11792">
            <v>127356</v>
          </cell>
          <cell r="C11792" t="str">
            <v>Grange Park Community High School</v>
          </cell>
          <cell r="D11792" t="str">
            <v>St. Helens</v>
          </cell>
          <cell r="E11792" t="str">
            <v>Community School</v>
          </cell>
          <cell r="F11792" t="str">
            <v>Secondary</v>
          </cell>
        </row>
        <row r="11793">
          <cell r="A11793">
            <v>8902205</v>
          </cell>
          <cell r="B11793">
            <v>119243</v>
          </cell>
          <cell r="C11793" t="str">
            <v>Grange Park Community Junior School</v>
          </cell>
          <cell r="D11793" t="str">
            <v>Blackpool</v>
          </cell>
          <cell r="E11793" t="str">
            <v>Community School</v>
          </cell>
          <cell r="F11793" t="str">
            <v>Primary</v>
          </cell>
        </row>
        <row r="11794">
          <cell r="A11794">
            <v>8902206</v>
          </cell>
          <cell r="B11794">
            <v>119244</v>
          </cell>
          <cell r="C11794" t="str">
            <v>Grange Park Community Nursery/Infant School</v>
          </cell>
          <cell r="D11794" t="str">
            <v>Blackpool</v>
          </cell>
          <cell r="E11794" t="str">
            <v>Community School</v>
          </cell>
          <cell r="F11794" t="str">
            <v>Primary</v>
          </cell>
        </row>
        <row r="11795">
          <cell r="A11795">
            <v>3125203</v>
          </cell>
          <cell r="B11795">
            <v>102433</v>
          </cell>
          <cell r="C11795" t="str">
            <v>Grange Park Infant and Nursery School</v>
          </cell>
          <cell r="D11795" t="str">
            <v>Hillingdon</v>
          </cell>
          <cell r="E11795" t="str">
            <v>Foundation School</v>
          </cell>
          <cell r="F11795" t="str">
            <v>Primary</v>
          </cell>
        </row>
        <row r="11796">
          <cell r="A11796">
            <v>3125202</v>
          </cell>
          <cell r="B11796">
            <v>102432</v>
          </cell>
          <cell r="C11796" t="str">
            <v>Grange Park Junior School</v>
          </cell>
          <cell r="D11796" t="str">
            <v>Hillingdon</v>
          </cell>
          <cell r="E11796" t="str">
            <v>Foundation School</v>
          </cell>
          <cell r="F11796" t="str">
            <v>Primary</v>
          </cell>
        </row>
        <row r="11797">
          <cell r="A11797">
            <v>3086052</v>
          </cell>
          <cell r="B11797">
            <v>102062</v>
          </cell>
          <cell r="C11797" t="str">
            <v>Grange Park Preparatory School</v>
          </cell>
          <cell r="D11797" t="str">
            <v>Enfield</v>
          </cell>
          <cell r="E11797" t="str">
            <v>Other Independent School</v>
          </cell>
          <cell r="F11797" t="str">
            <v>Not applicable</v>
          </cell>
        </row>
        <row r="11798">
          <cell r="A11798">
            <v>3082076</v>
          </cell>
          <cell r="B11798">
            <v>102016</v>
          </cell>
          <cell r="C11798" t="str">
            <v>Grange Park Primary School</v>
          </cell>
          <cell r="D11798" t="str">
            <v>Enfield</v>
          </cell>
          <cell r="E11798" t="str">
            <v>Community School</v>
          </cell>
          <cell r="F11798" t="str">
            <v>Primary</v>
          </cell>
        </row>
        <row r="11799">
          <cell r="A11799">
            <v>3942021</v>
          </cell>
          <cell r="B11799">
            <v>108765</v>
          </cell>
          <cell r="C11799" t="str">
            <v>Grange Park Primary School</v>
          </cell>
          <cell r="D11799" t="str">
            <v>Sunderland</v>
          </cell>
          <cell r="E11799" t="str">
            <v>Community School</v>
          </cell>
          <cell r="F11799" t="str">
            <v>Primary</v>
          </cell>
        </row>
        <row r="11800">
          <cell r="A11800">
            <v>8943369</v>
          </cell>
          <cell r="B11800">
            <v>136154</v>
          </cell>
          <cell r="C11800" t="str">
            <v>Grange Park Primary School</v>
          </cell>
          <cell r="D11800" t="str">
            <v>Telford and Wrekin</v>
          </cell>
          <cell r="E11800" t="str">
            <v>Foundation School</v>
          </cell>
          <cell r="F11800" t="str">
            <v>Primary</v>
          </cell>
        </row>
        <row r="11801">
          <cell r="A11801">
            <v>8867052</v>
          </cell>
          <cell r="B11801">
            <v>119051</v>
          </cell>
          <cell r="C11801" t="str">
            <v>Grange Park School</v>
          </cell>
          <cell r="D11801" t="str">
            <v>Kent</v>
          </cell>
          <cell r="E11801" t="str">
            <v>Community Special School</v>
          </cell>
          <cell r="F11801" t="str">
            <v>Special</v>
          </cell>
        </row>
        <row r="11802">
          <cell r="A11802">
            <v>8933362</v>
          </cell>
          <cell r="B11802">
            <v>135775</v>
          </cell>
          <cell r="C11802" t="str">
            <v>Grange Primary</v>
          </cell>
          <cell r="D11802" t="str">
            <v>Shropshire</v>
          </cell>
          <cell r="E11802" t="str">
            <v>Community School</v>
          </cell>
          <cell r="F11802" t="str">
            <v>Primary</v>
          </cell>
        </row>
        <row r="11803">
          <cell r="A11803">
            <v>2102263</v>
          </cell>
          <cell r="B11803">
            <v>100791</v>
          </cell>
          <cell r="C11803" t="str">
            <v>Grange Primary School</v>
          </cell>
          <cell r="D11803" t="str">
            <v>Southwark</v>
          </cell>
          <cell r="E11803" t="str">
            <v>Community School</v>
          </cell>
          <cell r="F11803" t="str">
            <v>Primary</v>
          </cell>
        </row>
        <row r="11804">
          <cell r="A11804">
            <v>3102071</v>
          </cell>
          <cell r="B11804">
            <v>102202</v>
          </cell>
          <cell r="C11804" t="str">
            <v>Grange Primary School</v>
          </cell>
          <cell r="D11804" t="str">
            <v>Harrow</v>
          </cell>
          <cell r="E11804" t="str">
            <v>Community School</v>
          </cell>
          <cell r="F11804" t="str">
            <v>Primary</v>
          </cell>
        </row>
        <row r="11805">
          <cell r="A11805">
            <v>3162026</v>
          </cell>
          <cell r="B11805">
            <v>102723</v>
          </cell>
          <cell r="C11805" t="str">
            <v>Grange Primary School</v>
          </cell>
          <cell r="D11805" t="str">
            <v>Newham</v>
          </cell>
          <cell r="E11805" t="str">
            <v>Community School</v>
          </cell>
          <cell r="F11805" t="str">
            <v>Primary</v>
          </cell>
        </row>
        <row r="11806">
          <cell r="A11806">
            <v>8052364</v>
          </cell>
          <cell r="B11806">
            <v>111661</v>
          </cell>
          <cell r="C11806" t="str">
            <v>Grange Primary School</v>
          </cell>
          <cell r="D11806" t="str">
            <v>Hartlepool</v>
          </cell>
          <cell r="E11806" t="str">
            <v>Community School</v>
          </cell>
          <cell r="F11806" t="str">
            <v>Primary</v>
          </cell>
        </row>
        <row r="11807">
          <cell r="A11807">
            <v>8302160</v>
          </cell>
          <cell r="B11807">
            <v>112584</v>
          </cell>
          <cell r="C11807" t="str">
            <v>Grange Primary School</v>
          </cell>
          <cell r="D11807" t="str">
            <v>Derbyshire</v>
          </cell>
          <cell r="E11807" t="str">
            <v>Community School</v>
          </cell>
          <cell r="F11807" t="str">
            <v>Primary</v>
          </cell>
        </row>
        <row r="11808">
          <cell r="A11808">
            <v>3072187</v>
          </cell>
          <cell r="B11808">
            <v>131144</v>
          </cell>
          <cell r="C11808" t="str">
            <v>Grange Primary School</v>
          </cell>
          <cell r="D11808" t="str">
            <v>Ealing</v>
          </cell>
          <cell r="E11808" t="str">
            <v>Community School</v>
          </cell>
          <cell r="F11808" t="str">
            <v>Primary</v>
          </cell>
        </row>
        <row r="11809">
          <cell r="A11809">
            <v>8123519</v>
          </cell>
          <cell r="B11809">
            <v>131231</v>
          </cell>
          <cell r="C11809" t="str">
            <v>Grange Primary School</v>
          </cell>
          <cell r="D11809" t="str">
            <v>North East Lincolnshire</v>
          </cell>
          <cell r="E11809" t="str">
            <v>Community School</v>
          </cell>
          <cell r="F11809" t="str">
            <v>Primary</v>
          </cell>
        </row>
        <row r="11810">
          <cell r="A11810">
            <v>8812005</v>
          </cell>
          <cell r="B11810">
            <v>131579</v>
          </cell>
          <cell r="C11810" t="str">
            <v>Grange Primary School</v>
          </cell>
          <cell r="D11810" t="str">
            <v>Essex</v>
          </cell>
          <cell r="E11810" t="str">
            <v>Community School</v>
          </cell>
          <cell r="F11810" t="str">
            <v>Primary</v>
          </cell>
        </row>
        <row r="11811">
          <cell r="A11811">
            <v>9163369</v>
          </cell>
          <cell r="B11811">
            <v>134527</v>
          </cell>
          <cell r="C11811" t="str">
            <v>Grange Primary School</v>
          </cell>
          <cell r="D11811" t="str">
            <v>Gloucestershire</v>
          </cell>
          <cell r="E11811" t="str">
            <v>Foundation School</v>
          </cell>
          <cell r="F11811" t="str">
            <v>Primary</v>
          </cell>
        </row>
        <row r="11812">
          <cell r="A11812">
            <v>6702027</v>
          </cell>
          <cell r="B11812">
            <v>400872</v>
          </cell>
          <cell r="C11812" t="str">
            <v>Grange Primary School</v>
          </cell>
          <cell r="D11812" t="str">
            <v>Swansea</v>
          </cell>
          <cell r="E11812" t="str">
            <v>Welsh Establishment</v>
          </cell>
          <cell r="F11812" t="str">
            <v>Primary</v>
          </cell>
        </row>
        <row r="11813">
          <cell r="A11813">
            <v>3527055</v>
          </cell>
          <cell r="B11813">
            <v>105622</v>
          </cell>
          <cell r="C11813" t="str">
            <v>Grange School</v>
          </cell>
          <cell r="D11813" t="str">
            <v>Manchester</v>
          </cell>
          <cell r="E11813" t="str">
            <v>Community Special School</v>
          </cell>
          <cell r="F11813" t="str">
            <v>Special</v>
          </cell>
        </row>
        <row r="11814">
          <cell r="A11814">
            <v>3534005</v>
          </cell>
          <cell r="B11814">
            <v>105729</v>
          </cell>
          <cell r="C11814" t="str">
            <v>Grange School</v>
          </cell>
          <cell r="D11814" t="str">
            <v>Oldham</v>
          </cell>
          <cell r="E11814" t="str">
            <v>Community School</v>
          </cell>
          <cell r="F11814" t="str">
            <v>Secondary</v>
          </cell>
        </row>
        <row r="11815">
          <cell r="A11815">
            <v>8227005</v>
          </cell>
          <cell r="B11815">
            <v>109735</v>
          </cell>
          <cell r="C11815" t="str">
            <v>Grange School</v>
          </cell>
          <cell r="D11815" t="str">
            <v>Bedford</v>
          </cell>
          <cell r="E11815" t="str">
            <v>Foundation Special School</v>
          </cell>
          <cell r="F11815" t="str">
            <v>Special</v>
          </cell>
        </row>
        <row r="11816">
          <cell r="A11816">
            <v>9284086</v>
          </cell>
          <cell r="B11816">
            <v>129699</v>
          </cell>
          <cell r="C11816" t="str">
            <v>Grange School</v>
          </cell>
          <cell r="D11816" t="str">
            <v>Northamptonshire</v>
          </cell>
          <cell r="E11816" t="str">
            <v>Community School</v>
          </cell>
          <cell r="F11816" t="str">
            <v>Secondary</v>
          </cell>
        </row>
        <row r="11817">
          <cell r="A11817">
            <v>3804101</v>
          </cell>
          <cell r="B11817">
            <v>107414</v>
          </cell>
          <cell r="C11817" t="str">
            <v>Grange Technology College</v>
          </cell>
          <cell r="D11817" t="str">
            <v>Bradford</v>
          </cell>
          <cell r="E11817" t="str">
            <v>Community School</v>
          </cell>
          <cell r="F11817" t="str">
            <v>Secondary</v>
          </cell>
        </row>
        <row r="11818">
          <cell r="A11818">
            <v>6812311</v>
          </cell>
          <cell r="B11818">
            <v>402054</v>
          </cell>
          <cell r="C11818" t="str">
            <v>Grange Town Primary</v>
          </cell>
          <cell r="D11818" t="str">
            <v>Cardiff</v>
          </cell>
          <cell r="E11818" t="str">
            <v>Welsh Establishment</v>
          </cell>
          <cell r="F11818" t="str">
            <v>Primary</v>
          </cell>
        </row>
        <row r="11819">
          <cell r="A11819">
            <v>3422053</v>
          </cell>
          <cell r="B11819">
            <v>104774</v>
          </cell>
          <cell r="C11819" t="str">
            <v>Grange Valley Primary School</v>
          </cell>
          <cell r="D11819" t="str">
            <v>St. Helens</v>
          </cell>
          <cell r="E11819" t="str">
            <v>Community School</v>
          </cell>
          <cell r="F11819" t="str">
            <v>Primary</v>
          </cell>
        </row>
        <row r="11820">
          <cell r="A11820">
            <v>9293923</v>
          </cell>
          <cell r="B11820">
            <v>135634</v>
          </cell>
          <cell r="C11820" t="str">
            <v>Grange View Church of England Voluntary Controlled First School</v>
          </cell>
          <cell r="D11820" t="str">
            <v>Northumberland</v>
          </cell>
          <cell r="E11820" t="str">
            <v>Voluntary Controlled School</v>
          </cell>
          <cell r="F11820" t="str">
            <v>Primary</v>
          </cell>
        </row>
        <row r="11821">
          <cell r="A11821">
            <v>9292245</v>
          </cell>
          <cell r="B11821">
            <v>122231</v>
          </cell>
          <cell r="C11821" t="str">
            <v>Grange View First School</v>
          </cell>
          <cell r="D11821" t="str">
            <v>Northumberland</v>
          </cell>
          <cell r="E11821" t="str">
            <v>Community School</v>
          </cell>
          <cell r="F11821" t="str">
            <v>Primary</v>
          </cell>
        </row>
        <row r="11822">
          <cell r="A11822">
            <v>9162181</v>
          </cell>
          <cell r="B11822">
            <v>131784</v>
          </cell>
          <cell r="C11822" t="str">
            <v>Grangefield Primary School</v>
          </cell>
          <cell r="D11822" t="str">
            <v>Gloucestershire</v>
          </cell>
          <cell r="E11822" t="str">
            <v>Community School</v>
          </cell>
          <cell r="F11822" t="str">
            <v>Primary</v>
          </cell>
        </row>
        <row r="11823">
          <cell r="A11823">
            <v>8084138</v>
          </cell>
          <cell r="B11823">
            <v>111753</v>
          </cell>
          <cell r="C11823" t="str">
            <v>Grangefield School and Technology College</v>
          </cell>
          <cell r="D11823" t="str">
            <v>Stockton-on-Tees</v>
          </cell>
          <cell r="E11823" t="str">
            <v>Community School</v>
          </cell>
          <cell r="F11823" t="str">
            <v>Secondary</v>
          </cell>
        </row>
        <row r="11824">
          <cell r="A11824">
            <v>3312091</v>
          </cell>
          <cell r="B11824">
            <v>103663</v>
          </cell>
          <cell r="C11824" t="str">
            <v>Grangehurst Primary School</v>
          </cell>
          <cell r="D11824" t="str">
            <v>Coventry</v>
          </cell>
          <cell r="E11824" t="str">
            <v>Community School</v>
          </cell>
          <cell r="F11824" t="str">
            <v>Primary</v>
          </cell>
        </row>
        <row r="11825">
          <cell r="A11825">
            <v>8501119</v>
          </cell>
          <cell r="B11825">
            <v>134869</v>
          </cell>
          <cell r="C11825" t="str">
            <v>Grangeside</v>
          </cell>
          <cell r="D11825" t="str">
            <v>Hampshire</v>
          </cell>
          <cell r="E11825" t="str">
            <v>Pupil Referral Unit</v>
          </cell>
          <cell r="F11825" t="str">
            <v>PRU</v>
          </cell>
        </row>
        <row r="11826">
          <cell r="A11826">
            <v>8507002</v>
          </cell>
          <cell r="B11826">
            <v>135939</v>
          </cell>
          <cell r="C11826" t="str">
            <v>Grangeside School</v>
          </cell>
          <cell r="D11826" t="str">
            <v>Hampshire</v>
          </cell>
          <cell r="E11826" t="str">
            <v>Community Special School</v>
          </cell>
          <cell r="F11826" t="str">
            <v>Special</v>
          </cell>
        </row>
        <row r="11827">
          <cell r="A11827">
            <v>6812024</v>
          </cell>
          <cell r="B11827">
            <v>401568</v>
          </cell>
          <cell r="C11827" t="str">
            <v>Grangetown Infants School</v>
          </cell>
          <cell r="D11827" t="str">
            <v>Cardiff</v>
          </cell>
          <cell r="E11827" t="str">
            <v>Welsh Establishment</v>
          </cell>
          <cell r="F11827" t="str">
            <v>Not applicable</v>
          </cell>
        </row>
        <row r="11828">
          <cell r="A11828">
            <v>6812023</v>
          </cell>
          <cell r="B11828">
            <v>401567</v>
          </cell>
          <cell r="C11828" t="str">
            <v>Grangetown Junior School</v>
          </cell>
          <cell r="D11828" t="str">
            <v>Cardiff</v>
          </cell>
          <cell r="E11828" t="str">
            <v>Welsh Establishment</v>
          </cell>
          <cell r="F11828" t="str">
            <v>Not applicable</v>
          </cell>
        </row>
        <row r="11829">
          <cell r="A11829">
            <v>6811003</v>
          </cell>
          <cell r="B11829">
            <v>400035</v>
          </cell>
          <cell r="C11829" t="str">
            <v>Grangetown Nursery School</v>
          </cell>
          <cell r="D11829" t="str">
            <v>Cardiff</v>
          </cell>
          <cell r="E11829" t="str">
            <v>Welsh Establishment</v>
          </cell>
          <cell r="F11829" t="str">
            <v>Nursery</v>
          </cell>
        </row>
        <row r="11830">
          <cell r="A11830">
            <v>3942010</v>
          </cell>
          <cell r="B11830">
            <v>108758</v>
          </cell>
          <cell r="C11830" t="str">
            <v>Grangetown Primary School</v>
          </cell>
          <cell r="D11830" t="str">
            <v>Sunderland</v>
          </cell>
          <cell r="E11830" t="str">
            <v>Community School</v>
          </cell>
          <cell r="F11830" t="str">
            <v>Primary</v>
          </cell>
        </row>
        <row r="11831">
          <cell r="A11831">
            <v>8072349</v>
          </cell>
          <cell r="B11831">
            <v>111647</v>
          </cell>
          <cell r="C11831" t="str">
            <v>Grangetown Primary School</v>
          </cell>
          <cell r="D11831" t="str">
            <v>Redcar and Cleveland</v>
          </cell>
          <cell r="E11831" t="str">
            <v>Community School</v>
          </cell>
          <cell r="F11831" t="str">
            <v>Primary</v>
          </cell>
        </row>
        <row r="11832">
          <cell r="A11832">
            <v>9126102</v>
          </cell>
          <cell r="B11832">
            <v>113933</v>
          </cell>
          <cell r="C11832" t="str">
            <v>Grangewood Hall School</v>
          </cell>
          <cell r="D11832" t="str">
            <v>Pre LGR (1997) Dorset</v>
          </cell>
          <cell r="E11832" t="str">
            <v>Other Independent School</v>
          </cell>
          <cell r="F11832" t="str">
            <v>Not applicable</v>
          </cell>
        </row>
        <row r="11833">
          <cell r="A11833">
            <v>3166051</v>
          </cell>
          <cell r="B11833">
            <v>102789</v>
          </cell>
          <cell r="C11833" t="str">
            <v>Grangewood Independent School</v>
          </cell>
          <cell r="D11833" t="str">
            <v>Newham</v>
          </cell>
          <cell r="E11833" t="str">
            <v>Other Independent School</v>
          </cell>
          <cell r="F11833" t="str">
            <v>Not applicable</v>
          </cell>
        </row>
        <row r="11834">
          <cell r="A11834">
            <v>9192361</v>
          </cell>
          <cell r="B11834">
            <v>129133</v>
          </cell>
          <cell r="C11834" t="str">
            <v>Grangewood Infants' School</v>
          </cell>
          <cell r="D11834" t="str">
            <v>Hertfordshire</v>
          </cell>
          <cell r="E11834" t="str">
            <v>Community School</v>
          </cell>
          <cell r="F11834" t="str">
            <v>Primary</v>
          </cell>
        </row>
        <row r="11835">
          <cell r="A11835">
            <v>3127012</v>
          </cell>
          <cell r="B11835">
            <v>102467</v>
          </cell>
          <cell r="C11835" t="str">
            <v>Grangewood School</v>
          </cell>
          <cell r="D11835" t="str">
            <v>Hillingdon</v>
          </cell>
          <cell r="E11835" t="str">
            <v>Community Special School</v>
          </cell>
          <cell r="F11835" t="str">
            <v>Special</v>
          </cell>
        </row>
        <row r="11836">
          <cell r="A11836">
            <v>8737025</v>
          </cell>
          <cell r="B11836">
            <v>134937</v>
          </cell>
          <cell r="C11836" t="str">
            <v>Granta School</v>
          </cell>
          <cell r="D11836" t="str">
            <v>Cambridgeshire</v>
          </cell>
          <cell r="E11836" t="str">
            <v>Community Special School</v>
          </cell>
          <cell r="F11836" t="str">
            <v>Special</v>
          </cell>
        </row>
        <row r="11837">
          <cell r="A11837">
            <v>9366233</v>
          </cell>
          <cell r="B11837">
            <v>125383</v>
          </cell>
          <cell r="C11837" t="str">
            <v>Grantchester House School</v>
          </cell>
          <cell r="D11837" t="str">
            <v>Surrey</v>
          </cell>
          <cell r="E11837" t="str">
            <v>Other Independent School</v>
          </cell>
          <cell r="F11837" t="str">
            <v>Not applicable</v>
          </cell>
        </row>
        <row r="11838">
          <cell r="A11838">
            <v>9258000</v>
          </cell>
          <cell r="B11838">
            <v>130759</v>
          </cell>
          <cell r="C11838" t="str">
            <v>Grantham College</v>
          </cell>
          <cell r="D11838" t="str">
            <v>Lincolnshire</v>
          </cell>
          <cell r="E11838" t="str">
            <v>Further Education</v>
          </cell>
          <cell r="F11838" t="str">
            <v>16 Plus</v>
          </cell>
        </row>
        <row r="11839">
          <cell r="A11839">
            <v>8506079</v>
          </cell>
          <cell r="B11839">
            <v>133964</v>
          </cell>
          <cell r="C11839" t="str">
            <v>Grantham Farm Montessori School</v>
          </cell>
          <cell r="D11839" t="str">
            <v>Hampshire</v>
          </cell>
          <cell r="E11839" t="str">
            <v>Other Independent School</v>
          </cell>
          <cell r="F11839" t="str">
            <v>Not applicable</v>
          </cell>
        </row>
        <row r="11840">
          <cell r="A11840">
            <v>9256031</v>
          </cell>
          <cell r="B11840">
            <v>120738</v>
          </cell>
          <cell r="C11840" t="str">
            <v>Grantham Preparatory School</v>
          </cell>
          <cell r="D11840" t="str">
            <v>Lincolnshire</v>
          </cell>
          <cell r="E11840" t="str">
            <v>Other Independent School</v>
          </cell>
          <cell r="F11840" t="str">
            <v>Not applicable</v>
          </cell>
        </row>
        <row r="11841">
          <cell r="A11841">
            <v>9253027</v>
          </cell>
          <cell r="B11841">
            <v>120523</v>
          </cell>
          <cell r="C11841" t="str">
            <v>Grantham Spitalgate CofE Primary School</v>
          </cell>
          <cell r="D11841" t="str">
            <v>Lincolnshire</v>
          </cell>
          <cell r="E11841" t="str">
            <v>Foundation School</v>
          </cell>
          <cell r="F11841" t="str">
            <v>Primary</v>
          </cell>
        </row>
        <row r="11842">
          <cell r="A11842">
            <v>9254019</v>
          </cell>
          <cell r="B11842">
            <v>120639</v>
          </cell>
          <cell r="C11842" t="str">
            <v>Grantham the Walton Girls' High School &amp; Sixth Form</v>
          </cell>
          <cell r="D11842" t="str">
            <v>Lincolnshire</v>
          </cell>
          <cell r="E11842" t="str">
            <v>Foundation School</v>
          </cell>
          <cell r="F11842" t="str">
            <v>Secondary</v>
          </cell>
        </row>
        <row r="11843">
          <cell r="A11843">
            <v>9272326</v>
          </cell>
          <cell r="B11843">
            <v>129652</v>
          </cell>
          <cell r="C11843" t="str">
            <v>Grantley County Primary School</v>
          </cell>
          <cell r="D11843" t="str">
            <v>Pre LGR (1996) North Yorkshire</v>
          </cell>
          <cell r="E11843" t="str">
            <v>Community School</v>
          </cell>
          <cell r="F11843" t="str">
            <v>Primary</v>
          </cell>
        </row>
        <row r="11844">
          <cell r="A11844">
            <v>2082265</v>
          </cell>
          <cell r="B11844">
            <v>100564</v>
          </cell>
          <cell r="C11844" t="str">
            <v>Granton Primary School</v>
          </cell>
          <cell r="D11844" t="str">
            <v>Lambeth</v>
          </cell>
          <cell r="E11844" t="str">
            <v>Community School</v>
          </cell>
          <cell r="F11844" t="str">
            <v>Primary</v>
          </cell>
        </row>
        <row r="11845">
          <cell r="A11845">
            <v>3417044</v>
          </cell>
          <cell r="B11845">
            <v>104743</v>
          </cell>
          <cell r="C11845" t="str">
            <v>Grantside School</v>
          </cell>
          <cell r="D11845" t="str">
            <v>Liverpool</v>
          </cell>
          <cell r="E11845" t="str">
            <v>Community Special School</v>
          </cell>
          <cell r="F11845" t="str">
            <v>Special</v>
          </cell>
        </row>
        <row r="11846">
          <cell r="A11846">
            <v>9071009</v>
          </cell>
          <cell r="B11846">
            <v>133243</v>
          </cell>
          <cell r="C11846" t="str">
            <v>Grantully County Nursery School</v>
          </cell>
          <cell r="D11846" t="str">
            <v>Pre LGR (1996) Cleveland</v>
          </cell>
          <cell r="E11846" t="str">
            <v>LA Nursery School</v>
          </cell>
          <cell r="F11846" t="str">
            <v>Nursery</v>
          </cell>
        </row>
        <row r="11847">
          <cell r="A11847">
            <v>8886102</v>
          </cell>
          <cell r="B11847">
            <v>135446</v>
          </cell>
          <cell r="C11847" t="str">
            <v>Granville Greencorns</v>
          </cell>
          <cell r="D11847" t="str">
            <v>Lancashire</v>
          </cell>
          <cell r="E11847" t="str">
            <v>Other Independent Special School</v>
          </cell>
          <cell r="F11847" t="str">
            <v>Not applicable</v>
          </cell>
        </row>
        <row r="11848">
          <cell r="A11848">
            <v>3566015</v>
          </cell>
          <cell r="B11848">
            <v>127519</v>
          </cell>
          <cell r="C11848" t="str">
            <v>Granville House Special School</v>
          </cell>
          <cell r="D11848" t="str">
            <v>Stockport</v>
          </cell>
          <cell r="E11848" t="str">
            <v>Other Independent School</v>
          </cell>
          <cell r="F11848" t="str">
            <v>Not applicable</v>
          </cell>
        </row>
        <row r="11849">
          <cell r="A11849">
            <v>3041004</v>
          </cell>
          <cell r="B11849">
            <v>101492</v>
          </cell>
          <cell r="C11849" t="str">
            <v>Granville Plus Children's Centre</v>
          </cell>
          <cell r="D11849" t="str">
            <v>Brent</v>
          </cell>
          <cell r="E11849" t="str">
            <v>LA Nursery School</v>
          </cell>
          <cell r="F11849" t="str">
            <v>Nursery</v>
          </cell>
        </row>
        <row r="11850">
          <cell r="A11850">
            <v>8304097</v>
          </cell>
          <cell r="B11850">
            <v>112940</v>
          </cell>
          <cell r="C11850" t="str">
            <v>Granville Sports College</v>
          </cell>
          <cell r="D11850" t="str">
            <v>Derbyshire</v>
          </cell>
          <cell r="E11850" t="str">
            <v>Community School</v>
          </cell>
          <cell r="F11850" t="str">
            <v>Secondary</v>
          </cell>
        </row>
        <row r="11851">
          <cell r="A11851">
            <v>8777103</v>
          </cell>
          <cell r="B11851">
            <v>111501</v>
          </cell>
          <cell r="C11851" t="str">
            <v>Grappenhall Hall School</v>
          </cell>
          <cell r="D11851" t="str">
            <v>Warrington</v>
          </cell>
          <cell r="E11851" t="str">
            <v>Community Special School</v>
          </cell>
          <cell r="F11851" t="str">
            <v>Special</v>
          </cell>
        </row>
        <row r="11852">
          <cell r="A11852">
            <v>8772730</v>
          </cell>
          <cell r="B11852">
            <v>132768</v>
          </cell>
          <cell r="C11852" t="str">
            <v>Grappenhall Heys Community Primary School</v>
          </cell>
          <cell r="D11852" t="str">
            <v>Warrington</v>
          </cell>
          <cell r="E11852" t="str">
            <v>Community School</v>
          </cell>
          <cell r="F11852" t="str">
            <v>Primary</v>
          </cell>
        </row>
        <row r="11853">
          <cell r="A11853">
            <v>8773505</v>
          </cell>
          <cell r="B11853">
            <v>111315</v>
          </cell>
          <cell r="C11853" t="str">
            <v>Grappenhall St Wilfrid's CofE Primary School</v>
          </cell>
          <cell r="D11853" t="str">
            <v>Warrington</v>
          </cell>
          <cell r="E11853" t="str">
            <v>Voluntary Aided School</v>
          </cell>
          <cell r="F11853" t="str">
            <v>Primary</v>
          </cell>
        </row>
        <row r="11854">
          <cell r="A11854">
            <v>9093360</v>
          </cell>
          <cell r="B11854">
            <v>112319</v>
          </cell>
          <cell r="C11854" t="str">
            <v>Grasmere CofE Primary School</v>
          </cell>
          <cell r="D11854" t="str">
            <v>Cumbria</v>
          </cell>
          <cell r="E11854" t="str">
            <v>Voluntary Aided School</v>
          </cell>
          <cell r="F11854" t="str">
            <v>Primary</v>
          </cell>
        </row>
        <row r="11855">
          <cell r="A11855">
            <v>8211015</v>
          </cell>
          <cell r="B11855">
            <v>109420</v>
          </cell>
          <cell r="C11855" t="str">
            <v>Grasmere Nursery School</v>
          </cell>
          <cell r="D11855" t="str">
            <v>Luton</v>
          </cell>
          <cell r="E11855" t="str">
            <v>LA Nursery School</v>
          </cell>
          <cell r="F11855" t="str">
            <v>Nursery</v>
          </cell>
        </row>
        <row r="11856">
          <cell r="A11856">
            <v>2042856</v>
          </cell>
          <cell r="B11856">
            <v>100252</v>
          </cell>
          <cell r="C11856" t="str">
            <v>Grasmere Primary School</v>
          </cell>
          <cell r="D11856" t="str">
            <v>Hackney</v>
          </cell>
          <cell r="E11856" t="str">
            <v>Community School</v>
          </cell>
          <cell r="F11856" t="str">
            <v>Primary</v>
          </cell>
        </row>
        <row r="11857">
          <cell r="A11857">
            <v>3706003</v>
          </cell>
          <cell r="B11857">
            <v>134270</v>
          </cell>
          <cell r="C11857" t="str">
            <v>Grasmere School</v>
          </cell>
          <cell r="D11857" t="str">
            <v>Barnsley</v>
          </cell>
          <cell r="E11857" t="str">
            <v>Other Independent Special School</v>
          </cell>
          <cell r="F11857" t="str">
            <v>Not applicable</v>
          </cell>
        </row>
        <row r="11858">
          <cell r="A11858">
            <v>9332319</v>
          </cell>
          <cell r="B11858">
            <v>123729</v>
          </cell>
          <cell r="C11858" t="str">
            <v>Grass Royal Junior School</v>
          </cell>
          <cell r="D11858" t="str">
            <v>Somerset</v>
          </cell>
          <cell r="E11858" t="str">
            <v>Community School</v>
          </cell>
          <cell r="F11858" t="str">
            <v>Primary</v>
          </cell>
        </row>
        <row r="11859">
          <cell r="A11859">
            <v>3536011</v>
          </cell>
          <cell r="B11859">
            <v>105744</v>
          </cell>
          <cell r="C11859" t="str">
            <v>Grasscroft Independent School</v>
          </cell>
          <cell r="D11859" t="str">
            <v>Oldham</v>
          </cell>
          <cell r="E11859" t="str">
            <v>Other Independent School</v>
          </cell>
          <cell r="F11859" t="str">
            <v>Not applicable</v>
          </cell>
        </row>
        <row r="11860">
          <cell r="A11860">
            <v>8153241</v>
          </cell>
          <cell r="B11860">
            <v>121563</v>
          </cell>
          <cell r="C11860" t="str">
            <v>Grassington Church of England Voluntary Controlled Primary School</v>
          </cell>
          <cell r="D11860" t="str">
            <v>North Yorkshire</v>
          </cell>
          <cell r="E11860" t="str">
            <v>Voluntary Controlled School</v>
          </cell>
          <cell r="F11860" t="str">
            <v>Primary</v>
          </cell>
        </row>
        <row r="11861">
          <cell r="A11861">
            <v>9092117</v>
          </cell>
          <cell r="B11861">
            <v>112132</v>
          </cell>
          <cell r="C11861" t="str">
            <v>Grasslot Infant School</v>
          </cell>
          <cell r="D11861" t="str">
            <v>Cumbria</v>
          </cell>
          <cell r="E11861" t="str">
            <v>Community School</v>
          </cell>
          <cell r="F11861" t="str">
            <v>Primary</v>
          </cell>
        </row>
        <row r="11862">
          <cell r="A11862">
            <v>8302113</v>
          </cell>
          <cell r="B11862">
            <v>112553</v>
          </cell>
          <cell r="C11862" t="str">
            <v>Grassmoor Primary School</v>
          </cell>
          <cell r="D11862" t="str">
            <v>Derbyshire</v>
          </cell>
          <cell r="E11862" t="str">
            <v>Community School</v>
          </cell>
          <cell r="F11862" t="str">
            <v>Primary</v>
          </cell>
        </row>
        <row r="11863">
          <cell r="A11863">
            <v>3022030</v>
          </cell>
          <cell r="B11863">
            <v>101284</v>
          </cell>
          <cell r="C11863" t="str">
            <v>Grasvenor Avenue Infant School</v>
          </cell>
          <cell r="D11863" t="str">
            <v>Barnet</v>
          </cell>
          <cell r="E11863" t="str">
            <v>Community School</v>
          </cell>
          <cell r="F11863" t="str">
            <v>Primary</v>
          </cell>
        </row>
        <row r="11864">
          <cell r="A11864">
            <v>8506058</v>
          </cell>
          <cell r="B11864">
            <v>116588</v>
          </cell>
          <cell r="C11864" t="str">
            <v>Grateley House School</v>
          </cell>
          <cell r="D11864" t="str">
            <v>Hampshire</v>
          </cell>
          <cell r="E11864" t="str">
            <v>Other Independent Special School</v>
          </cell>
          <cell r="F11864" t="str">
            <v>Not applicable</v>
          </cell>
        </row>
        <row r="11865">
          <cell r="A11865">
            <v>8502085</v>
          </cell>
          <cell r="B11865">
            <v>115897</v>
          </cell>
          <cell r="C11865" t="str">
            <v>Grateley Primary School</v>
          </cell>
          <cell r="D11865" t="str">
            <v>Hampshire</v>
          </cell>
          <cell r="E11865" t="str">
            <v>Community School</v>
          </cell>
          <cell r="F11865" t="str">
            <v>Primary</v>
          </cell>
        </row>
        <row r="11866">
          <cell r="A11866">
            <v>3032006</v>
          </cell>
          <cell r="B11866">
            <v>101407</v>
          </cell>
          <cell r="C11866" t="str">
            <v>Gravel Hill Primary School</v>
          </cell>
          <cell r="D11866" t="str">
            <v>Bexley</v>
          </cell>
          <cell r="E11866" t="str">
            <v>Community School</v>
          </cell>
          <cell r="F11866" t="str">
            <v>Primary</v>
          </cell>
        </row>
        <row r="11867">
          <cell r="A11867">
            <v>9193018</v>
          </cell>
          <cell r="B11867">
            <v>117395</v>
          </cell>
          <cell r="C11867" t="str">
            <v>Graveley Primary School</v>
          </cell>
          <cell r="D11867" t="str">
            <v>Hertfordshire</v>
          </cell>
          <cell r="E11867" t="str">
            <v>Voluntary Controlled School</v>
          </cell>
          <cell r="F11867" t="str">
            <v>Primary</v>
          </cell>
        </row>
        <row r="11868">
          <cell r="A11868">
            <v>8862229</v>
          </cell>
          <cell r="B11868">
            <v>118339</v>
          </cell>
          <cell r="C11868" t="str">
            <v>Graveney Primary School</v>
          </cell>
          <cell r="D11868" t="str">
            <v>Kent</v>
          </cell>
          <cell r="E11868" t="str">
            <v>Community School</v>
          </cell>
          <cell r="F11868" t="str">
            <v>Primary</v>
          </cell>
        </row>
        <row r="11869">
          <cell r="A11869">
            <v>2125400</v>
          </cell>
          <cell r="B11869">
            <v>101058</v>
          </cell>
          <cell r="C11869" t="str">
            <v>Graveney School</v>
          </cell>
          <cell r="D11869" t="str">
            <v>Wandsworth</v>
          </cell>
          <cell r="E11869" t="str">
            <v>Foundation School</v>
          </cell>
          <cell r="F11869" t="str">
            <v>Secondary</v>
          </cell>
        </row>
        <row r="11870">
          <cell r="A11870">
            <v>2125400</v>
          </cell>
          <cell r="B11870">
            <v>137005</v>
          </cell>
          <cell r="C11870" t="str">
            <v>Graveney School</v>
          </cell>
          <cell r="D11870" t="str">
            <v>Wandsworth</v>
          </cell>
          <cell r="E11870" t="str">
            <v>Academy Converters</v>
          </cell>
          <cell r="F11870" t="str">
            <v>Secondary</v>
          </cell>
        </row>
        <row r="11871">
          <cell r="A11871">
            <v>8232051</v>
          </cell>
          <cell r="B11871">
            <v>109453</v>
          </cell>
          <cell r="C11871" t="str">
            <v>Gravenhurst Lower School</v>
          </cell>
          <cell r="D11871" t="str">
            <v>Central Bedfordshire</v>
          </cell>
          <cell r="E11871" t="str">
            <v>Community School</v>
          </cell>
          <cell r="F11871" t="str">
            <v>Primary</v>
          </cell>
        </row>
        <row r="11872">
          <cell r="A11872">
            <v>8865465</v>
          </cell>
          <cell r="B11872">
            <v>118936</v>
          </cell>
          <cell r="C11872" t="str">
            <v>Gravesend Grammar School</v>
          </cell>
          <cell r="D11872" t="str">
            <v>Kent</v>
          </cell>
          <cell r="E11872" t="str">
            <v>Foundation School</v>
          </cell>
          <cell r="F11872" t="str">
            <v>Secondary</v>
          </cell>
        </row>
        <row r="11873">
          <cell r="A11873">
            <v>8865465</v>
          </cell>
          <cell r="B11873">
            <v>137099</v>
          </cell>
          <cell r="C11873" t="str">
            <v>Gravesend Grammar School</v>
          </cell>
          <cell r="D11873" t="str">
            <v>Kent</v>
          </cell>
          <cell r="E11873" t="str">
            <v>Academy Converters</v>
          </cell>
          <cell r="F11873" t="str">
            <v>Secondary</v>
          </cell>
        </row>
        <row r="11874">
          <cell r="A11874">
            <v>9093361</v>
          </cell>
          <cell r="B11874">
            <v>112320</v>
          </cell>
          <cell r="C11874" t="str">
            <v>Grayrigg CofE School</v>
          </cell>
          <cell r="D11874" t="str">
            <v>Cumbria</v>
          </cell>
          <cell r="E11874" t="str">
            <v>Voluntary Aided School</v>
          </cell>
          <cell r="F11874" t="str">
            <v>Primary</v>
          </cell>
        </row>
        <row r="11875">
          <cell r="A11875">
            <v>8834733</v>
          </cell>
          <cell r="B11875">
            <v>115239</v>
          </cell>
          <cell r="C11875" t="str">
            <v>Grays Convent High School</v>
          </cell>
          <cell r="D11875" t="str">
            <v>Thurrock</v>
          </cell>
          <cell r="E11875" t="str">
            <v>Voluntary Aided School</v>
          </cell>
          <cell r="F11875" t="str">
            <v>Secondary</v>
          </cell>
        </row>
        <row r="11876">
          <cell r="A11876">
            <v>3052063</v>
          </cell>
          <cell r="B11876">
            <v>101632</v>
          </cell>
          <cell r="C11876" t="str">
            <v>Gray's Farm Primary School</v>
          </cell>
          <cell r="D11876" t="str">
            <v>Bromley</v>
          </cell>
          <cell r="E11876" t="str">
            <v>Community School</v>
          </cell>
          <cell r="F11876" t="str">
            <v>Primary</v>
          </cell>
        </row>
        <row r="11877">
          <cell r="A11877">
            <v>8452112</v>
          </cell>
          <cell r="B11877">
            <v>114441</v>
          </cell>
          <cell r="C11877" t="str">
            <v>Grays Infant School</v>
          </cell>
          <cell r="D11877" t="str">
            <v>East Sussex</v>
          </cell>
          <cell r="E11877" t="str">
            <v>Community School</v>
          </cell>
          <cell r="F11877" t="str">
            <v>Primary</v>
          </cell>
        </row>
        <row r="11878">
          <cell r="A11878">
            <v>8503067</v>
          </cell>
          <cell r="B11878">
            <v>116290</v>
          </cell>
          <cell r="C11878" t="str">
            <v>Grayshott Church of England Controlled Primary School</v>
          </cell>
          <cell r="D11878" t="str">
            <v>Hampshire</v>
          </cell>
          <cell r="E11878" t="str">
            <v>Voluntary Controlled School</v>
          </cell>
          <cell r="F11878" t="str">
            <v>Primary</v>
          </cell>
        </row>
        <row r="11879">
          <cell r="A11879">
            <v>9363927</v>
          </cell>
          <cell r="B11879">
            <v>125245</v>
          </cell>
          <cell r="C11879" t="str">
            <v>Grayswood CofE Aided Infant School</v>
          </cell>
          <cell r="D11879" t="str">
            <v>Surrey</v>
          </cell>
          <cell r="E11879" t="str">
            <v>Voluntary Aided School</v>
          </cell>
          <cell r="F11879" t="str">
            <v>Primary</v>
          </cell>
        </row>
        <row r="11880">
          <cell r="A11880">
            <v>2042864</v>
          </cell>
          <cell r="B11880">
            <v>100258</v>
          </cell>
          <cell r="C11880" t="str">
            <v>Grazebrook Primary School</v>
          </cell>
          <cell r="D11880" t="str">
            <v>Hackney</v>
          </cell>
          <cell r="E11880" t="str">
            <v>Community School</v>
          </cell>
          <cell r="F11880" t="str">
            <v>Primary</v>
          </cell>
        </row>
        <row r="11881">
          <cell r="A11881">
            <v>8723319</v>
          </cell>
          <cell r="B11881">
            <v>110015</v>
          </cell>
          <cell r="C11881" t="str">
            <v>Grazeley Parochial Church of England Aided Primary School</v>
          </cell>
          <cell r="D11881" t="str">
            <v>Wokingham</v>
          </cell>
          <cell r="E11881" t="str">
            <v>Voluntary Aided School</v>
          </cell>
          <cell r="F11881" t="str">
            <v>Primary</v>
          </cell>
        </row>
        <row r="11882">
          <cell r="A11882">
            <v>3721105</v>
          </cell>
          <cell r="B11882">
            <v>130027</v>
          </cell>
          <cell r="C11882" t="str">
            <v>Greasbrough Centre</v>
          </cell>
          <cell r="D11882" t="str">
            <v>Rotherham</v>
          </cell>
          <cell r="E11882" t="str">
            <v>Pupil Referral Unit</v>
          </cell>
          <cell r="F11882" t="str">
            <v>PRU</v>
          </cell>
        </row>
        <row r="11883">
          <cell r="A11883">
            <v>3722135</v>
          </cell>
          <cell r="B11883">
            <v>106927</v>
          </cell>
          <cell r="C11883" t="str">
            <v>Greasbrough Primary School</v>
          </cell>
          <cell r="D11883" t="str">
            <v>Rotherham</v>
          </cell>
          <cell r="E11883" t="str">
            <v>Community School</v>
          </cell>
          <cell r="F11883" t="str">
            <v>Primary</v>
          </cell>
        </row>
        <row r="11884">
          <cell r="A11884">
            <v>3442220</v>
          </cell>
          <cell r="B11884">
            <v>105022</v>
          </cell>
          <cell r="C11884" t="str">
            <v>Greasby Infant School</v>
          </cell>
          <cell r="D11884" t="str">
            <v>Wirral</v>
          </cell>
          <cell r="E11884" t="str">
            <v>Community School</v>
          </cell>
          <cell r="F11884" t="str">
            <v>Primary</v>
          </cell>
        </row>
        <row r="11885">
          <cell r="A11885">
            <v>3442225</v>
          </cell>
          <cell r="B11885">
            <v>105026</v>
          </cell>
          <cell r="C11885" t="str">
            <v>Greasby Junior School</v>
          </cell>
          <cell r="D11885" t="str">
            <v>Wirral</v>
          </cell>
          <cell r="E11885" t="str">
            <v>Community School</v>
          </cell>
          <cell r="F11885" t="str">
            <v>Primary</v>
          </cell>
        </row>
        <row r="11886">
          <cell r="A11886">
            <v>8912412</v>
          </cell>
          <cell r="B11886">
            <v>122572</v>
          </cell>
          <cell r="C11886" t="str">
            <v>Greasley Beauvale D H Lawrence Infant School</v>
          </cell>
          <cell r="D11886" t="str">
            <v>Nottinghamshire</v>
          </cell>
          <cell r="E11886" t="str">
            <v>Community School</v>
          </cell>
          <cell r="F11886" t="str">
            <v>Primary</v>
          </cell>
        </row>
        <row r="11887">
          <cell r="A11887">
            <v>8912413</v>
          </cell>
          <cell r="B11887">
            <v>122573</v>
          </cell>
          <cell r="C11887" t="str">
            <v>Greasley Beauvale Junior School</v>
          </cell>
          <cell r="D11887" t="str">
            <v>Nottinghamshire</v>
          </cell>
          <cell r="E11887" t="str">
            <v>Community School</v>
          </cell>
          <cell r="F11887" t="str">
            <v>Primary</v>
          </cell>
        </row>
        <row r="11888">
          <cell r="A11888">
            <v>8913795</v>
          </cell>
          <cell r="B11888">
            <v>135433</v>
          </cell>
          <cell r="C11888" t="str">
            <v>Greasley Beauvale Primary School</v>
          </cell>
          <cell r="D11888" t="str">
            <v>Nottinghamshire</v>
          </cell>
          <cell r="E11888" t="str">
            <v>Community School</v>
          </cell>
          <cell r="F11888" t="str">
            <v>Primary</v>
          </cell>
        </row>
        <row r="11889">
          <cell r="A11889">
            <v>8732016</v>
          </cell>
          <cell r="B11889">
            <v>110611</v>
          </cell>
          <cell r="C11889" t="str">
            <v>Great Abington Primary School</v>
          </cell>
          <cell r="D11889" t="str">
            <v>Cambridgeshire</v>
          </cell>
          <cell r="E11889" t="str">
            <v>Community School</v>
          </cell>
          <cell r="F11889" t="str">
            <v>Primary</v>
          </cell>
        </row>
        <row r="11890">
          <cell r="A11890">
            <v>9283316</v>
          </cell>
          <cell r="B11890">
            <v>122021</v>
          </cell>
          <cell r="C11890" t="str">
            <v>Great Addington Church of England Primary School</v>
          </cell>
          <cell r="D11890" t="str">
            <v>Northamptonshire</v>
          </cell>
          <cell r="E11890" t="str">
            <v>Voluntary Aided School</v>
          </cell>
          <cell r="F11890" t="str">
            <v>Primary</v>
          </cell>
        </row>
        <row r="11891">
          <cell r="A11891">
            <v>9372024</v>
          </cell>
          <cell r="B11891">
            <v>125511</v>
          </cell>
          <cell r="C11891" t="str">
            <v>Great Alne Primary School</v>
          </cell>
          <cell r="D11891" t="str">
            <v>Warwickshire</v>
          </cell>
          <cell r="E11891" t="str">
            <v>Community School</v>
          </cell>
          <cell r="F11891" t="str">
            <v>Primary</v>
          </cell>
        </row>
        <row r="11892">
          <cell r="A11892">
            <v>3833036</v>
          </cell>
          <cell r="B11892">
            <v>107988</v>
          </cell>
          <cell r="C11892" t="str">
            <v>Great and Little Preston Church of England Voluntary Controlled Infant School</v>
          </cell>
          <cell r="D11892" t="str">
            <v>Leeds</v>
          </cell>
          <cell r="E11892" t="str">
            <v>Voluntary Controlled School</v>
          </cell>
          <cell r="F11892" t="str">
            <v>Primary</v>
          </cell>
        </row>
        <row r="11893">
          <cell r="A11893">
            <v>3832282</v>
          </cell>
          <cell r="B11893">
            <v>107816</v>
          </cell>
          <cell r="C11893" t="str">
            <v>Great and Little Preston Junior School</v>
          </cell>
          <cell r="D11893" t="str">
            <v>Leeds</v>
          </cell>
          <cell r="E11893" t="str">
            <v>Community School</v>
          </cell>
          <cell r="F11893" t="str">
            <v>Primary</v>
          </cell>
        </row>
        <row r="11894">
          <cell r="A11894">
            <v>8733310</v>
          </cell>
          <cell r="B11894">
            <v>110831</v>
          </cell>
          <cell r="C11894" t="str">
            <v>Great and Little Shelford CofE (Aided) Primary School</v>
          </cell>
          <cell r="D11894" t="str">
            <v>Cambridgeshire</v>
          </cell>
          <cell r="E11894" t="str">
            <v>Voluntary Aided School</v>
          </cell>
          <cell r="F11894" t="str">
            <v>Primary</v>
          </cell>
        </row>
        <row r="11895">
          <cell r="A11895">
            <v>8887040</v>
          </cell>
          <cell r="B11895">
            <v>119878</v>
          </cell>
          <cell r="C11895" t="str">
            <v>Great Arley School</v>
          </cell>
          <cell r="D11895" t="str">
            <v>Lancashire</v>
          </cell>
          <cell r="E11895" t="str">
            <v>Community Special School</v>
          </cell>
          <cell r="F11895" t="str">
            <v>Special</v>
          </cell>
        </row>
        <row r="11896">
          <cell r="A11896">
            <v>8814390</v>
          </cell>
          <cell r="B11896">
            <v>115223</v>
          </cell>
          <cell r="C11896" t="str">
            <v>Great Baddow High School</v>
          </cell>
          <cell r="D11896" t="str">
            <v>Essex</v>
          </cell>
          <cell r="E11896" t="str">
            <v>Community School</v>
          </cell>
          <cell r="F11896" t="str">
            <v>Secondary</v>
          </cell>
        </row>
        <row r="11897">
          <cell r="A11897">
            <v>8814390</v>
          </cell>
          <cell r="B11897">
            <v>136904</v>
          </cell>
          <cell r="C11897" t="str">
            <v>Great Baddow High School</v>
          </cell>
          <cell r="D11897" t="str">
            <v>Essex</v>
          </cell>
          <cell r="E11897" t="str">
            <v>Academy Converters</v>
          </cell>
          <cell r="F11897" t="str">
            <v>Secondary</v>
          </cell>
        </row>
        <row r="11898">
          <cell r="A11898">
            <v>9386174</v>
          </cell>
          <cell r="B11898">
            <v>126130</v>
          </cell>
          <cell r="C11898" t="str">
            <v>Great Ballard School</v>
          </cell>
          <cell r="D11898" t="str">
            <v>West Sussex</v>
          </cell>
          <cell r="E11898" t="str">
            <v>Other Independent School</v>
          </cell>
          <cell r="F11898" t="str">
            <v>Not applicable</v>
          </cell>
        </row>
        <row r="11899">
          <cell r="A11899">
            <v>8812380</v>
          </cell>
          <cell r="B11899">
            <v>114835</v>
          </cell>
          <cell r="C11899" t="str">
            <v>Great Bardfield Primary School</v>
          </cell>
          <cell r="D11899" t="str">
            <v>Essex</v>
          </cell>
          <cell r="E11899" t="str">
            <v>Community School</v>
          </cell>
          <cell r="F11899" t="str">
            <v>Primary</v>
          </cell>
        </row>
        <row r="11900">
          <cell r="A11900">
            <v>8222052</v>
          </cell>
          <cell r="B11900">
            <v>109454</v>
          </cell>
          <cell r="C11900" t="str">
            <v>Great Barford Lower School</v>
          </cell>
          <cell r="D11900" t="str">
            <v>Bedford</v>
          </cell>
          <cell r="E11900" t="str">
            <v>Community School</v>
          </cell>
          <cell r="F11900" t="str">
            <v>Primary</v>
          </cell>
        </row>
        <row r="11901">
          <cell r="A11901">
            <v>3302450</v>
          </cell>
          <cell r="B11901">
            <v>103377</v>
          </cell>
          <cell r="C11901" t="str">
            <v>Great Barr Primary School</v>
          </cell>
          <cell r="D11901" t="str">
            <v>Birmingham</v>
          </cell>
          <cell r="E11901" t="str">
            <v>Community School</v>
          </cell>
          <cell r="F11901" t="str">
            <v>Primary</v>
          </cell>
        </row>
        <row r="11902">
          <cell r="A11902">
            <v>3305403</v>
          </cell>
          <cell r="B11902">
            <v>103550</v>
          </cell>
          <cell r="C11902" t="str">
            <v>Great Barr School</v>
          </cell>
          <cell r="D11902" t="str">
            <v>Birmingham</v>
          </cell>
          <cell r="E11902" t="str">
            <v>Foundation School</v>
          </cell>
          <cell r="F11902" t="str">
            <v>Secondary</v>
          </cell>
        </row>
        <row r="11903">
          <cell r="A11903">
            <v>9353025</v>
          </cell>
          <cell r="B11903">
            <v>124697</v>
          </cell>
          <cell r="C11903" t="str">
            <v>Great Barton Church of England Voluntary Controlled Primary School</v>
          </cell>
          <cell r="D11903" t="str">
            <v>Suffolk</v>
          </cell>
          <cell r="E11903" t="str">
            <v>Voluntary Controlled School</v>
          </cell>
          <cell r="F11903" t="str">
            <v>Primary</v>
          </cell>
        </row>
        <row r="11904">
          <cell r="A11904">
            <v>8653243</v>
          </cell>
          <cell r="B11904">
            <v>126391</v>
          </cell>
          <cell r="C11904" t="str">
            <v>Great Bedwyn Church of England School</v>
          </cell>
          <cell r="D11904" t="str">
            <v>Wiltshire</v>
          </cell>
          <cell r="E11904" t="str">
            <v>Voluntary Controlled School</v>
          </cell>
          <cell r="F11904" t="str">
            <v>Primary</v>
          </cell>
        </row>
        <row r="11905">
          <cell r="A11905">
            <v>9393079</v>
          </cell>
          <cell r="B11905">
            <v>130217</v>
          </cell>
          <cell r="C11905" t="str">
            <v>Great Bedwyn CofE Primary School</v>
          </cell>
          <cell r="D11905" t="str">
            <v>Pre LGR (1997) Wiltshire</v>
          </cell>
          <cell r="E11905" t="str">
            <v>Voluntary Controlled School</v>
          </cell>
          <cell r="F11905" t="str">
            <v>Primary</v>
          </cell>
        </row>
        <row r="11906">
          <cell r="A11906">
            <v>8812045</v>
          </cell>
          <cell r="B11906">
            <v>114736</v>
          </cell>
          <cell r="C11906" t="str">
            <v>Great Bentley Primary School</v>
          </cell>
          <cell r="D11906" t="str">
            <v>Essex</v>
          </cell>
          <cell r="E11906" t="str">
            <v>Community School</v>
          </cell>
          <cell r="F11906" t="str">
            <v>Primary</v>
          </cell>
        </row>
        <row r="11907">
          <cell r="A11907">
            <v>8812598</v>
          </cell>
          <cell r="B11907">
            <v>114908</v>
          </cell>
          <cell r="C11907" t="str">
            <v>Great Berry Primary School</v>
          </cell>
          <cell r="D11907" t="str">
            <v>Essex</v>
          </cell>
          <cell r="E11907" t="str">
            <v>Community School</v>
          </cell>
          <cell r="F11907" t="str">
            <v>Primary</v>
          </cell>
        </row>
        <row r="11908">
          <cell r="A11908">
            <v>8812598</v>
          </cell>
          <cell r="B11908">
            <v>137226</v>
          </cell>
          <cell r="C11908" t="str">
            <v>Great Berry Primary School</v>
          </cell>
          <cell r="D11908" t="str">
            <v>Essex</v>
          </cell>
          <cell r="E11908" t="str">
            <v>Academy Converters</v>
          </cell>
          <cell r="F11908" t="str">
            <v>Primary</v>
          </cell>
        </row>
        <row r="11909">
          <cell r="A11909">
            <v>8502011</v>
          </cell>
          <cell r="B11909">
            <v>132212</v>
          </cell>
          <cell r="C11909" t="str">
            <v>Great Binfields Primary School</v>
          </cell>
          <cell r="D11909" t="str">
            <v>Hampshire</v>
          </cell>
          <cell r="E11909" t="str">
            <v>Community School</v>
          </cell>
          <cell r="F11909" t="str">
            <v>Primary</v>
          </cell>
        </row>
        <row r="11910">
          <cell r="A11910">
            <v>9362324</v>
          </cell>
          <cell r="B11910">
            <v>125016</v>
          </cell>
          <cell r="C11910" t="str">
            <v>Great Bookham County Infant School</v>
          </cell>
          <cell r="D11910" t="str">
            <v>Surrey</v>
          </cell>
          <cell r="E11910" t="str">
            <v>Community School</v>
          </cell>
          <cell r="F11910" t="str">
            <v>Primary</v>
          </cell>
        </row>
        <row r="11911">
          <cell r="A11911">
            <v>8553059</v>
          </cell>
          <cell r="B11911">
            <v>120145</v>
          </cell>
          <cell r="C11911" t="str">
            <v>Great Bowden Church of England Primary School</v>
          </cell>
          <cell r="D11911" t="str">
            <v>Leicestershire</v>
          </cell>
          <cell r="E11911" t="str">
            <v>Voluntary Controlled School</v>
          </cell>
          <cell r="F11911" t="str">
            <v>Primary</v>
          </cell>
        </row>
        <row r="11912">
          <cell r="A11912">
            <v>8812769</v>
          </cell>
          <cell r="B11912">
            <v>114989</v>
          </cell>
          <cell r="C11912" t="str">
            <v>Great Bradfords Infant and Nursery School</v>
          </cell>
          <cell r="D11912" t="str">
            <v>Essex</v>
          </cell>
          <cell r="E11912" t="str">
            <v>Community School</v>
          </cell>
          <cell r="F11912" t="str">
            <v>Primary</v>
          </cell>
        </row>
        <row r="11913">
          <cell r="A11913">
            <v>8812759</v>
          </cell>
          <cell r="B11913">
            <v>114984</v>
          </cell>
          <cell r="C11913" t="str">
            <v>Great Bradfords Junior School</v>
          </cell>
          <cell r="D11913" t="str">
            <v>Essex</v>
          </cell>
          <cell r="E11913" t="str">
            <v>Community School</v>
          </cell>
          <cell r="F11913" t="str">
            <v>Primary</v>
          </cell>
        </row>
        <row r="11914">
          <cell r="A11914">
            <v>3332056</v>
          </cell>
          <cell r="B11914">
            <v>103915</v>
          </cell>
          <cell r="C11914" t="str">
            <v>Great Bridge Primary School</v>
          </cell>
          <cell r="D11914" t="str">
            <v>Sandwell</v>
          </cell>
          <cell r="E11914" t="str">
            <v>Community School</v>
          </cell>
          <cell r="F11914" t="str">
            <v>Primary</v>
          </cell>
        </row>
        <row r="11915">
          <cell r="A11915">
            <v>9197020</v>
          </cell>
          <cell r="B11915">
            <v>117677</v>
          </cell>
          <cell r="C11915" t="str">
            <v>Great Brookmead School</v>
          </cell>
          <cell r="D11915" t="str">
            <v>Hertfordshire</v>
          </cell>
          <cell r="E11915" t="str">
            <v>Community Special School</v>
          </cell>
          <cell r="F11915" t="str">
            <v>Special</v>
          </cell>
        </row>
        <row r="11916">
          <cell r="A11916">
            <v>8963104</v>
          </cell>
          <cell r="B11916">
            <v>111248</v>
          </cell>
          <cell r="C11916" t="str">
            <v>Great Budworth CofE Primary School</v>
          </cell>
          <cell r="D11916" t="str">
            <v>Cheshire West and Chester</v>
          </cell>
          <cell r="E11916" t="str">
            <v>Voluntary Controlled School</v>
          </cell>
          <cell r="F11916" t="str">
            <v>Primary</v>
          </cell>
        </row>
        <row r="11917">
          <cell r="A11917">
            <v>8573120</v>
          </cell>
          <cell r="B11917">
            <v>120185</v>
          </cell>
          <cell r="C11917" t="str">
            <v>Great Casterton CofE Primary School</v>
          </cell>
          <cell r="D11917" t="str">
            <v>Rutland</v>
          </cell>
          <cell r="E11917" t="str">
            <v>Voluntary Controlled School</v>
          </cell>
          <cell r="F11917" t="str">
            <v>Primary</v>
          </cell>
        </row>
        <row r="11918">
          <cell r="A11918">
            <v>8862282</v>
          </cell>
          <cell r="B11918">
            <v>118375</v>
          </cell>
          <cell r="C11918" t="str">
            <v>Great Chart Primary School</v>
          </cell>
          <cell r="D11918" t="str">
            <v>Kent</v>
          </cell>
          <cell r="E11918" t="str">
            <v>Community School</v>
          </cell>
          <cell r="F11918" t="str">
            <v>Primary</v>
          </cell>
        </row>
        <row r="11919">
          <cell r="A11919">
            <v>8813710</v>
          </cell>
          <cell r="B11919">
            <v>115190</v>
          </cell>
          <cell r="C11919" t="str">
            <v>Great Chesterford Church of England Voluntary Aided Primary School</v>
          </cell>
          <cell r="D11919" t="str">
            <v>Essex</v>
          </cell>
          <cell r="E11919" t="str">
            <v>Voluntary Aided School</v>
          </cell>
          <cell r="F11919" t="str">
            <v>Primary</v>
          </cell>
        </row>
        <row r="11920">
          <cell r="A11920">
            <v>8813710</v>
          </cell>
          <cell r="B11920">
            <v>137516</v>
          </cell>
          <cell r="C11920" t="str">
            <v>Great Chesterford Church of England Voluntary Aided Primary School</v>
          </cell>
          <cell r="D11920" t="str">
            <v>Essex</v>
          </cell>
          <cell r="E11920" t="str">
            <v>Academy Converters</v>
          </cell>
          <cell r="F11920" t="str">
            <v>Primary</v>
          </cell>
        </row>
        <row r="11921">
          <cell r="A11921">
            <v>8813831</v>
          </cell>
          <cell r="B11921">
            <v>134718</v>
          </cell>
          <cell r="C11921" t="str">
            <v>Great Clacton Church of England (Voluntary Aided) Junior School</v>
          </cell>
          <cell r="D11921" t="str">
            <v>Essex</v>
          </cell>
          <cell r="E11921" t="str">
            <v>Voluntary Aided School</v>
          </cell>
          <cell r="F11921" t="str">
            <v>Primary</v>
          </cell>
        </row>
        <row r="11922">
          <cell r="A11922">
            <v>8815277</v>
          </cell>
          <cell r="B11922">
            <v>114748</v>
          </cell>
          <cell r="C11922" t="str">
            <v>Great Clacton Junior School</v>
          </cell>
          <cell r="D11922" t="str">
            <v>Essex</v>
          </cell>
          <cell r="E11922" t="str">
            <v>Foundation School</v>
          </cell>
          <cell r="F11922" t="str">
            <v>Primary</v>
          </cell>
        </row>
        <row r="11923">
          <cell r="A11923">
            <v>9092118</v>
          </cell>
          <cell r="B11923">
            <v>128572</v>
          </cell>
          <cell r="C11923" t="str">
            <v>Great Clifton Infant School</v>
          </cell>
          <cell r="D11923" t="str">
            <v>Cumbria</v>
          </cell>
          <cell r="E11923" t="str">
            <v>Community School</v>
          </cell>
          <cell r="F11923" t="str">
            <v>Primary</v>
          </cell>
        </row>
        <row r="11924">
          <cell r="A11924">
            <v>9202339</v>
          </cell>
          <cell r="B11924">
            <v>129234</v>
          </cell>
          <cell r="C11924" t="str">
            <v>Great Coates First School</v>
          </cell>
          <cell r="D11924" t="str">
            <v>Pre LGR (1996) Humberside</v>
          </cell>
          <cell r="E11924" t="str">
            <v>Community School</v>
          </cell>
          <cell r="F11924" t="str">
            <v>Primary</v>
          </cell>
        </row>
        <row r="11925">
          <cell r="A11925">
            <v>9202338</v>
          </cell>
          <cell r="B11925">
            <v>129233</v>
          </cell>
          <cell r="C11925" t="str">
            <v>Great Coates Middle School</v>
          </cell>
          <cell r="D11925" t="str">
            <v>Pre LGR (1996) Humberside</v>
          </cell>
          <cell r="E11925" t="str">
            <v>Community School</v>
          </cell>
          <cell r="F11925" t="str">
            <v>Middle Deemed Primary</v>
          </cell>
        </row>
        <row r="11926">
          <cell r="A11926">
            <v>8122897</v>
          </cell>
          <cell r="B11926">
            <v>117924</v>
          </cell>
          <cell r="C11926" t="str">
            <v>Great Coates Primary School</v>
          </cell>
          <cell r="D11926" t="str">
            <v>North East Lincolnshire</v>
          </cell>
          <cell r="E11926" t="str">
            <v>Community School</v>
          </cell>
          <cell r="F11926" t="str">
            <v>Primary</v>
          </cell>
        </row>
        <row r="11927">
          <cell r="A11927">
            <v>8121007</v>
          </cell>
          <cell r="B11927">
            <v>117697</v>
          </cell>
          <cell r="C11927" t="str">
            <v>Great Coates Village Nursery School</v>
          </cell>
          <cell r="D11927" t="str">
            <v>North East Lincolnshire</v>
          </cell>
          <cell r="E11927" t="str">
            <v>LA Nursery School</v>
          </cell>
          <cell r="F11927" t="str">
            <v>Nursery</v>
          </cell>
        </row>
        <row r="11928">
          <cell r="A11928">
            <v>9092026</v>
          </cell>
          <cell r="B11928">
            <v>112109</v>
          </cell>
          <cell r="C11928" t="str">
            <v>Great Corby Primary School</v>
          </cell>
          <cell r="D11928" t="str">
            <v>Cumbria</v>
          </cell>
          <cell r="E11928" t="str">
            <v>Community School</v>
          </cell>
          <cell r="F11928" t="str">
            <v>Primary</v>
          </cell>
        </row>
        <row r="11929">
          <cell r="A11929">
            <v>9354028</v>
          </cell>
          <cell r="B11929">
            <v>124805</v>
          </cell>
          <cell r="C11929" t="str">
            <v>Great Cornard Middle School</v>
          </cell>
          <cell r="D11929" t="str">
            <v>Suffolk</v>
          </cell>
          <cell r="E11929" t="str">
            <v>Community School</v>
          </cell>
          <cell r="F11929" t="str">
            <v>Middle Deemed Secondary</v>
          </cell>
        </row>
        <row r="11930">
          <cell r="A11930">
            <v>9354019</v>
          </cell>
          <cell r="B11930">
            <v>124797</v>
          </cell>
          <cell r="C11930" t="str">
            <v>Great Cornard Upper School and Technology College</v>
          </cell>
          <cell r="D11930" t="str">
            <v>Suffolk</v>
          </cell>
          <cell r="E11930" t="str">
            <v>Foundation School</v>
          </cell>
          <cell r="F11930" t="str">
            <v>Secondary</v>
          </cell>
        </row>
        <row r="11931">
          <cell r="A11931">
            <v>9282040</v>
          </cell>
          <cell r="B11931">
            <v>121820</v>
          </cell>
          <cell r="C11931" t="str">
            <v>Great Creaton Primary School</v>
          </cell>
          <cell r="D11931" t="str">
            <v>Northamptonshire</v>
          </cell>
          <cell r="E11931" t="str">
            <v>Community School</v>
          </cell>
          <cell r="F11931" t="str">
            <v>Primary</v>
          </cell>
        </row>
        <row r="11932">
          <cell r="A11932">
            <v>9263033</v>
          </cell>
          <cell r="B11932">
            <v>129619</v>
          </cell>
          <cell r="C11932" t="str">
            <v>Great Cressingham VC Primary School</v>
          </cell>
          <cell r="D11932" t="str">
            <v>Norfolk</v>
          </cell>
          <cell r="E11932" t="str">
            <v>Voluntary Controlled School</v>
          </cell>
          <cell r="F11932" t="str">
            <v>Primary</v>
          </cell>
        </row>
        <row r="11933">
          <cell r="A11933">
            <v>3433353</v>
          </cell>
          <cell r="B11933">
            <v>104926</v>
          </cell>
          <cell r="C11933" t="str">
            <v>Great Crosby Catholic Primary School</v>
          </cell>
          <cell r="D11933" t="str">
            <v>Sefton</v>
          </cell>
          <cell r="E11933" t="str">
            <v>Voluntary Aided School</v>
          </cell>
          <cell r="F11933" t="str">
            <v>Primary</v>
          </cell>
        </row>
        <row r="11934">
          <cell r="A11934">
            <v>8552018</v>
          </cell>
          <cell r="B11934">
            <v>119911</v>
          </cell>
          <cell r="C11934" t="str">
            <v>Great Dalby School</v>
          </cell>
          <cell r="D11934" t="str">
            <v>Leicestershire</v>
          </cell>
          <cell r="E11934" t="str">
            <v>Community School</v>
          </cell>
          <cell r="F11934" t="str">
            <v>Primary</v>
          </cell>
        </row>
        <row r="11935">
          <cell r="A11935">
            <v>9282041</v>
          </cell>
          <cell r="B11935">
            <v>121821</v>
          </cell>
          <cell r="C11935" t="str">
            <v>Great Doddington Primary</v>
          </cell>
          <cell r="D11935" t="str">
            <v>Northamptonshire</v>
          </cell>
          <cell r="E11935" t="str">
            <v>Community School</v>
          </cell>
          <cell r="F11935" t="str">
            <v>Primary</v>
          </cell>
        </row>
        <row r="11936">
          <cell r="A11936">
            <v>9262069</v>
          </cell>
          <cell r="B11936">
            <v>120811</v>
          </cell>
          <cell r="C11936" t="str">
            <v>Great Dunham Primary School</v>
          </cell>
          <cell r="D11936" t="str">
            <v>Norfolk</v>
          </cell>
          <cell r="E11936" t="str">
            <v>Community School</v>
          </cell>
          <cell r="F11936" t="str">
            <v>Primary</v>
          </cell>
        </row>
        <row r="11937">
          <cell r="A11937">
            <v>8815258</v>
          </cell>
          <cell r="B11937">
            <v>115298</v>
          </cell>
          <cell r="C11937" t="str">
            <v>Great Dunmow Primary School</v>
          </cell>
          <cell r="D11937" t="str">
            <v>Essex</v>
          </cell>
          <cell r="E11937" t="str">
            <v>Foundation School</v>
          </cell>
          <cell r="F11937" t="str">
            <v>Primary</v>
          </cell>
        </row>
        <row r="11938">
          <cell r="A11938">
            <v>8813570</v>
          </cell>
          <cell r="B11938">
            <v>115177</v>
          </cell>
          <cell r="C11938" t="str">
            <v>Great Easton Church of England Voluntary Aided Primary School</v>
          </cell>
          <cell r="D11938" t="str">
            <v>Essex</v>
          </cell>
          <cell r="E11938" t="str">
            <v>Voluntary Aided School</v>
          </cell>
          <cell r="F11938" t="str">
            <v>Primary</v>
          </cell>
        </row>
        <row r="11939">
          <cell r="A11939">
            <v>8883554</v>
          </cell>
          <cell r="B11939">
            <v>119549</v>
          </cell>
          <cell r="C11939" t="str">
            <v>Great Eccleston Copp CofE Primary School</v>
          </cell>
          <cell r="D11939" t="str">
            <v>Lancashire</v>
          </cell>
          <cell r="E11939" t="str">
            <v>Voluntary Aided School</v>
          </cell>
          <cell r="F11939" t="str">
            <v>Primary</v>
          </cell>
        </row>
        <row r="11940">
          <cell r="A11940">
            <v>9262070</v>
          </cell>
          <cell r="B11940">
            <v>120812</v>
          </cell>
          <cell r="C11940" t="str">
            <v>Great Ellingham Primary School</v>
          </cell>
          <cell r="D11940" t="str">
            <v>Norfolk</v>
          </cell>
          <cell r="E11940" t="str">
            <v>Community School</v>
          </cell>
          <cell r="F11940" t="str">
            <v>Primary</v>
          </cell>
        </row>
        <row r="11941">
          <cell r="A11941">
            <v>9353090</v>
          </cell>
          <cell r="B11941">
            <v>124732</v>
          </cell>
          <cell r="C11941" t="str">
            <v>Great Finborough Church of England Voluntary Controlled Primary School</v>
          </cell>
          <cell r="D11941" t="str">
            <v>Suffolk</v>
          </cell>
          <cell r="E11941" t="str">
            <v>Voluntary Controlled School</v>
          </cell>
          <cell r="F11941" t="str">
            <v>Primary</v>
          </cell>
        </row>
        <row r="11942">
          <cell r="A11942">
            <v>9193335</v>
          </cell>
          <cell r="B11942">
            <v>117433</v>
          </cell>
          <cell r="C11942" t="str">
            <v>Great Gaddesden Church of England Primary School</v>
          </cell>
          <cell r="D11942" t="str">
            <v>Hertfordshire</v>
          </cell>
          <cell r="E11942" t="str">
            <v>Voluntary Aided School</v>
          </cell>
          <cell r="F11942" t="str">
            <v>Primary</v>
          </cell>
        </row>
        <row r="11943">
          <cell r="A11943">
            <v>8733066</v>
          </cell>
          <cell r="B11943">
            <v>110813</v>
          </cell>
          <cell r="C11943" t="str">
            <v>Great Gidding CofE Primary School</v>
          </cell>
          <cell r="D11943" t="str">
            <v>Cambridgeshire</v>
          </cell>
          <cell r="E11943" t="str">
            <v>Voluntary Controlled School</v>
          </cell>
          <cell r="F11943" t="str">
            <v>Primary</v>
          </cell>
        </row>
        <row r="11944">
          <cell r="A11944">
            <v>8553037</v>
          </cell>
          <cell r="B11944">
            <v>120131</v>
          </cell>
          <cell r="C11944" t="str">
            <v>Great Glen St Cuthbert's Church of England Primary School</v>
          </cell>
          <cell r="D11944" t="str">
            <v>Leicestershire</v>
          </cell>
          <cell r="E11944" t="str">
            <v>Voluntary Controlled School</v>
          </cell>
          <cell r="F11944" t="str">
            <v>Primary</v>
          </cell>
        </row>
        <row r="11945">
          <cell r="A11945">
            <v>9253030</v>
          </cell>
          <cell r="B11945">
            <v>129579</v>
          </cell>
          <cell r="C11945" t="str">
            <v>Great Hale CofE Primary School</v>
          </cell>
          <cell r="D11945" t="str">
            <v>Lincolnshire</v>
          </cell>
          <cell r="E11945" t="str">
            <v>Voluntary Controlled School</v>
          </cell>
          <cell r="F11945" t="str">
            <v>Primary</v>
          </cell>
        </row>
        <row r="11946">
          <cell r="A11946">
            <v>9233672</v>
          </cell>
          <cell r="B11946">
            <v>129484</v>
          </cell>
          <cell r="C11946" t="str">
            <v>Great Harwood Parish CofE Infant School</v>
          </cell>
          <cell r="D11946" t="str">
            <v>Pre LGR (1998) Lancashire</v>
          </cell>
          <cell r="E11946" t="str">
            <v>Voluntary Aided School</v>
          </cell>
          <cell r="F11946" t="str">
            <v>Primary</v>
          </cell>
        </row>
        <row r="11947">
          <cell r="A11947">
            <v>8882067</v>
          </cell>
          <cell r="B11947">
            <v>119162</v>
          </cell>
          <cell r="C11947" t="str">
            <v>Great Harwood Primary School</v>
          </cell>
          <cell r="D11947" t="str">
            <v>Lancashire</v>
          </cell>
          <cell r="E11947" t="str">
            <v>Community School</v>
          </cell>
          <cell r="F11947" t="str">
            <v>Primary</v>
          </cell>
        </row>
        <row r="11948">
          <cell r="A11948">
            <v>8883307</v>
          </cell>
          <cell r="B11948">
            <v>119420</v>
          </cell>
          <cell r="C11948" t="str">
            <v>Great Harwood St Bartholomew's Parish Church of England Voluntary Aided Primary School</v>
          </cell>
          <cell r="D11948" t="str">
            <v>Lancashire</v>
          </cell>
          <cell r="E11948" t="str">
            <v>Voluntary Aided School</v>
          </cell>
          <cell r="F11948" t="str">
            <v>Primary</v>
          </cell>
        </row>
        <row r="11949">
          <cell r="A11949">
            <v>8883308</v>
          </cell>
          <cell r="B11949">
            <v>119421</v>
          </cell>
          <cell r="C11949" t="str">
            <v>Great Harwood St John's Church of England Primary School</v>
          </cell>
          <cell r="D11949" t="str">
            <v>Lancashire</v>
          </cell>
          <cell r="E11949" t="str">
            <v>Voluntary Aided School</v>
          </cell>
          <cell r="F11949" t="str">
            <v>Primary</v>
          </cell>
        </row>
        <row r="11950">
          <cell r="A11950">
            <v>9352046</v>
          </cell>
          <cell r="B11950">
            <v>124562</v>
          </cell>
          <cell r="C11950" t="str">
            <v>Great Heath Primary School</v>
          </cell>
          <cell r="D11950" t="str">
            <v>Suffolk</v>
          </cell>
          <cell r="E11950" t="str">
            <v>Community School</v>
          </cell>
          <cell r="F11950" t="str">
            <v>Primary</v>
          </cell>
        </row>
        <row r="11951">
          <cell r="A11951">
            <v>9262084</v>
          </cell>
          <cell r="B11951">
            <v>120819</v>
          </cell>
          <cell r="C11951" t="str">
            <v>Great Hockham Primary School</v>
          </cell>
          <cell r="D11951" t="str">
            <v>Norfolk</v>
          </cell>
          <cell r="E11951" t="str">
            <v>Community School</v>
          </cell>
          <cell r="F11951" t="str">
            <v>Primary</v>
          </cell>
        </row>
        <row r="11952">
          <cell r="A11952">
            <v>8672151</v>
          </cell>
          <cell r="B11952">
            <v>109880</v>
          </cell>
          <cell r="C11952" t="str">
            <v>Great Hollands Infant and Nursery School</v>
          </cell>
          <cell r="D11952" t="str">
            <v>Bracknell Forest</v>
          </cell>
          <cell r="E11952" t="str">
            <v>Community School</v>
          </cell>
          <cell r="F11952" t="str">
            <v>Primary</v>
          </cell>
        </row>
        <row r="11953">
          <cell r="A11953">
            <v>8672150</v>
          </cell>
          <cell r="B11953">
            <v>109879</v>
          </cell>
          <cell r="C11953" t="str">
            <v>Great Hollands Junior School</v>
          </cell>
          <cell r="D11953" t="str">
            <v>Bracknell Forest</v>
          </cell>
          <cell r="E11953" t="str">
            <v>Community School</v>
          </cell>
          <cell r="F11953" t="str">
            <v>Primary</v>
          </cell>
        </row>
        <row r="11954">
          <cell r="A11954">
            <v>8672815</v>
          </cell>
          <cell r="B11954">
            <v>134304</v>
          </cell>
          <cell r="C11954" t="str">
            <v>Great Hollands Primary School</v>
          </cell>
          <cell r="D11954" t="str">
            <v>Bracknell Forest</v>
          </cell>
          <cell r="E11954" t="str">
            <v>Community School</v>
          </cell>
          <cell r="F11954" t="str">
            <v>Primary</v>
          </cell>
        </row>
        <row r="11955">
          <cell r="A11955">
            <v>3804005</v>
          </cell>
          <cell r="B11955">
            <v>107353</v>
          </cell>
          <cell r="C11955" t="str">
            <v>Great Horton Middle School</v>
          </cell>
          <cell r="D11955" t="str">
            <v>Bradford</v>
          </cell>
          <cell r="E11955" t="str">
            <v>Community School</v>
          </cell>
          <cell r="F11955" t="str">
            <v>Middle Deemed Secondary</v>
          </cell>
        </row>
        <row r="11956">
          <cell r="A11956">
            <v>8253063</v>
          </cell>
          <cell r="B11956">
            <v>110441</v>
          </cell>
          <cell r="C11956" t="str">
            <v>Great Horwood Church of England Combined School</v>
          </cell>
          <cell r="D11956" t="str">
            <v>Buckinghamshire</v>
          </cell>
          <cell r="E11956" t="str">
            <v>Voluntary Controlled School</v>
          </cell>
          <cell r="F11956" t="str">
            <v>Primary</v>
          </cell>
        </row>
        <row r="11957">
          <cell r="A11957">
            <v>3703001</v>
          </cell>
          <cell r="B11957">
            <v>127587</v>
          </cell>
          <cell r="C11957" t="str">
            <v>Great Houghton CofE Junior and Infant School</v>
          </cell>
          <cell r="D11957" t="str">
            <v>Barnsley</v>
          </cell>
          <cell r="E11957" t="str">
            <v>Voluntary Controlled School</v>
          </cell>
          <cell r="F11957" t="str">
            <v>Primary</v>
          </cell>
        </row>
        <row r="11958">
          <cell r="A11958">
            <v>9286037</v>
          </cell>
          <cell r="B11958">
            <v>122135</v>
          </cell>
          <cell r="C11958" t="str">
            <v>Great Houghton Preparatory School</v>
          </cell>
          <cell r="D11958" t="str">
            <v>Northamptonshire</v>
          </cell>
          <cell r="E11958" t="str">
            <v>Other Independent School</v>
          </cell>
          <cell r="F11958" t="str">
            <v>Not applicable</v>
          </cell>
        </row>
        <row r="11959">
          <cell r="A11959">
            <v>3546033</v>
          </cell>
          <cell r="B11959">
            <v>135660</v>
          </cell>
          <cell r="C11959" t="str">
            <v>Great Howarth College</v>
          </cell>
          <cell r="D11959" t="str">
            <v>Rochdale</v>
          </cell>
          <cell r="E11959" t="str">
            <v>Other Independent Special School</v>
          </cell>
          <cell r="F11959" t="str">
            <v>Not applicable</v>
          </cell>
        </row>
        <row r="11960">
          <cell r="A11960">
            <v>8303037</v>
          </cell>
          <cell r="B11960">
            <v>112819</v>
          </cell>
          <cell r="C11960" t="str">
            <v>Great Hucklow CE Primary</v>
          </cell>
          <cell r="D11960" t="str">
            <v>Derbyshire</v>
          </cell>
          <cell r="E11960" t="str">
            <v>Voluntary Controlled School</v>
          </cell>
          <cell r="F11960" t="str">
            <v>Primary</v>
          </cell>
        </row>
        <row r="11961">
          <cell r="A11961">
            <v>8253039</v>
          </cell>
          <cell r="B11961">
            <v>110430</v>
          </cell>
          <cell r="C11961" t="str">
            <v>Great Kimble Church of England School</v>
          </cell>
          <cell r="D11961" t="str">
            <v>Buckinghamshire</v>
          </cell>
          <cell r="E11961" t="str">
            <v>Voluntary Controlled School</v>
          </cell>
          <cell r="F11961" t="str">
            <v>Primary</v>
          </cell>
        </row>
        <row r="11962">
          <cell r="A11962">
            <v>8253040</v>
          </cell>
          <cell r="B11962">
            <v>110431</v>
          </cell>
          <cell r="C11962" t="str">
            <v>Great Kingshill Church of England Combined School</v>
          </cell>
          <cell r="D11962" t="str">
            <v>Buckinghamshire</v>
          </cell>
          <cell r="E11962" t="str">
            <v>Voluntary Aided School</v>
          </cell>
          <cell r="F11962" t="str">
            <v>Primary</v>
          </cell>
        </row>
        <row r="11963">
          <cell r="A11963">
            <v>855940</v>
          </cell>
          <cell r="B11963">
            <v>133454</v>
          </cell>
          <cell r="C11963" t="str">
            <v>Great Learning Centre</v>
          </cell>
          <cell r="D11963" t="str">
            <v>Leicestershire</v>
          </cell>
          <cell r="E11963" t="str">
            <v>Playing for Success Centres</v>
          </cell>
          <cell r="F11963" t="str">
            <v>Not applicable</v>
          </cell>
        </row>
        <row r="11964">
          <cell r="A11964">
            <v>8812450</v>
          </cell>
          <cell r="B11964">
            <v>114852</v>
          </cell>
          <cell r="C11964" t="str">
            <v>Great Leighs Primary School</v>
          </cell>
          <cell r="D11964" t="str">
            <v>Essex</v>
          </cell>
          <cell r="E11964" t="str">
            <v>Community School</v>
          </cell>
          <cell r="F11964" t="str">
            <v>Primary</v>
          </cell>
        </row>
        <row r="11965">
          <cell r="A11965">
            <v>8262303</v>
          </cell>
          <cell r="B11965">
            <v>110366</v>
          </cell>
          <cell r="C11965" t="str">
            <v>Great Linford Primary School</v>
          </cell>
          <cell r="D11965" t="str">
            <v>Milton Keynes</v>
          </cell>
          <cell r="E11965" t="str">
            <v>Community School</v>
          </cell>
          <cell r="F11965" t="str">
            <v>Primary</v>
          </cell>
        </row>
        <row r="11966">
          <cell r="A11966">
            <v>8852105</v>
          </cell>
          <cell r="B11966">
            <v>116709</v>
          </cell>
          <cell r="C11966" t="str">
            <v>Great Malvern Primary School</v>
          </cell>
          <cell r="D11966" t="str">
            <v>Worcestershire</v>
          </cell>
          <cell r="E11966" t="str">
            <v>Community School</v>
          </cell>
          <cell r="F11966" t="str">
            <v>Primary</v>
          </cell>
        </row>
        <row r="11967">
          <cell r="A11967">
            <v>8852105</v>
          </cell>
          <cell r="B11967">
            <v>136984</v>
          </cell>
          <cell r="C11967" t="str">
            <v>Great Malvern Primary School</v>
          </cell>
          <cell r="D11967" t="str">
            <v>Worcestershire</v>
          </cell>
          <cell r="E11967" t="str">
            <v>Academy Converters</v>
          </cell>
          <cell r="F11967" t="str">
            <v>Primary</v>
          </cell>
        </row>
        <row r="11968">
          <cell r="A11968">
            <v>8255409</v>
          </cell>
          <cell r="B11968">
            <v>110535</v>
          </cell>
          <cell r="C11968" t="str">
            <v>Great Marlow School</v>
          </cell>
          <cell r="D11968" t="str">
            <v>Buckinghamshire</v>
          </cell>
          <cell r="E11968" t="str">
            <v>Foundation School</v>
          </cell>
          <cell r="F11968" t="str">
            <v>Secondary</v>
          </cell>
        </row>
        <row r="11969">
          <cell r="A11969">
            <v>8255409</v>
          </cell>
          <cell r="B11969">
            <v>136964</v>
          </cell>
          <cell r="C11969" t="str">
            <v>Great Marlow School</v>
          </cell>
          <cell r="D11969" t="str">
            <v>Buckinghamshire</v>
          </cell>
          <cell r="E11969" t="str">
            <v>Academy Converters</v>
          </cell>
          <cell r="F11969" t="str">
            <v>Secondary</v>
          </cell>
        </row>
        <row r="11970">
          <cell r="A11970">
            <v>8883328</v>
          </cell>
          <cell r="B11970">
            <v>119436</v>
          </cell>
          <cell r="C11970" t="str">
            <v>Great Marsden St John's Church of England Primary School</v>
          </cell>
          <cell r="D11970" t="str">
            <v>Lancashire</v>
          </cell>
          <cell r="E11970" t="str">
            <v>Voluntary Aided School</v>
          </cell>
          <cell r="F11970" t="str">
            <v>Primary</v>
          </cell>
        </row>
        <row r="11971">
          <cell r="A11971">
            <v>9263127</v>
          </cell>
          <cell r="B11971">
            <v>121087</v>
          </cell>
          <cell r="C11971" t="str">
            <v>Great Massingham CofE Primary School</v>
          </cell>
          <cell r="D11971" t="str">
            <v>Norfolk</v>
          </cell>
          <cell r="E11971" t="str">
            <v>Voluntary Controlled School</v>
          </cell>
          <cell r="F11971" t="str">
            <v>Primary</v>
          </cell>
        </row>
        <row r="11972">
          <cell r="A11972">
            <v>3442234</v>
          </cell>
          <cell r="B11972">
            <v>105033</v>
          </cell>
          <cell r="C11972" t="str">
            <v>Great Meols Primary School</v>
          </cell>
          <cell r="D11972" t="str">
            <v>Wirral</v>
          </cell>
          <cell r="E11972" t="str">
            <v>Community School</v>
          </cell>
          <cell r="F11972" t="str">
            <v>Primary</v>
          </cell>
        </row>
        <row r="11973">
          <cell r="A11973">
            <v>9313187</v>
          </cell>
          <cell r="B11973">
            <v>123130</v>
          </cell>
          <cell r="C11973" t="str">
            <v>Great Milton Church of England Primary School</v>
          </cell>
          <cell r="D11973" t="str">
            <v>Oxfordshire</v>
          </cell>
          <cell r="E11973" t="str">
            <v>Voluntary Controlled School</v>
          </cell>
          <cell r="F11973" t="str">
            <v>Primary</v>
          </cell>
        </row>
        <row r="11974">
          <cell r="A11974">
            <v>8253036</v>
          </cell>
          <cell r="B11974">
            <v>110427</v>
          </cell>
          <cell r="C11974" t="str">
            <v>Great Missenden CofE Combined School</v>
          </cell>
          <cell r="D11974" t="str">
            <v>Buckinghamshire</v>
          </cell>
          <cell r="E11974" t="str">
            <v>Voluntary Controlled School</v>
          </cell>
          <cell r="F11974" t="str">
            <v>Primary</v>
          </cell>
        </row>
        <row r="11975">
          <cell r="A11975">
            <v>3562037</v>
          </cell>
          <cell r="B11975">
            <v>106048</v>
          </cell>
          <cell r="C11975" t="str">
            <v>Great Moor Infant School</v>
          </cell>
          <cell r="D11975" t="str">
            <v>Stockport</v>
          </cell>
          <cell r="E11975" t="str">
            <v>Community School</v>
          </cell>
          <cell r="F11975" t="str">
            <v>Primary</v>
          </cell>
        </row>
        <row r="11976">
          <cell r="A11976">
            <v>3562038</v>
          </cell>
          <cell r="B11976">
            <v>106049</v>
          </cell>
          <cell r="C11976" t="str">
            <v>Great Moor Junior School</v>
          </cell>
          <cell r="D11976" t="str">
            <v>Stockport</v>
          </cell>
          <cell r="E11976" t="str">
            <v>Community School</v>
          </cell>
          <cell r="F11976" t="str">
            <v>Primary</v>
          </cell>
        </row>
        <row r="11977">
          <cell r="A11977">
            <v>8527036</v>
          </cell>
          <cell r="B11977">
            <v>116621</v>
          </cell>
          <cell r="C11977" t="str">
            <v>Great Oaks School</v>
          </cell>
          <cell r="D11977" t="str">
            <v>Southampton</v>
          </cell>
          <cell r="E11977" t="str">
            <v>Foundation Special School</v>
          </cell>
          <cell r="F11977" t="str">
            <v>Special</v>
          </cell>
        </row>
        <row r="11978">
          <cell r="A11978">
            <v>8866093</v>
          </cell>
          <cell r="B11978">
            <v>133539</v>
          </cell>
          <cell r="C11978" t="str">
            <v>Great Oaks Small School</v>
          </cell>
          <cell r="D11978" t="str">
            <v>Kent</v>
          </cell>
          <cell r="E11978" t="str">
            <v>Other Independent Special School</v>
          </cell>
          <cell r="F11978" t="str">
            <v>Not applicable</v>
          </cell>
        </row>
        <row r="11979">
          <cell r="A11979">
            <v>9092027</v>
          </cell>
          <cell r="B11979">
            <v>112110</v>
          </cell>
          <cell r="C11979" t="str">
            <v>Great Orton Primary School</v>
          </cell>
          <cell r="D11979" t="str">
            <v>Cumbria</v>
          </cell>
          <cell r="E11979" t="str">
            <v>Community School</v>
          </cell>
          <cell r="F11979" t="str">
            <v>Primary</v>
          </cell>
        </row>
        <row r="11980">
          <cell r="A11980">
            <v>8152327</v>
          </cell>
          <cell r="B11980">
            <v>121393</v>
          </cell>
          <cell r="C11980" t="str">
            <v>Great Ouseburn Community Primary School</v>
          </cell>
          <cell r="D11980" t="str">
            <v>North Yorkshire</v>
          </cell>
          <cell r="E11980" t="str">
            <v>Community School</v>
          </cell>
          <cell r="F11980" t="str">
            <v>Primary</v>
          </cell>
        </row>
        <row r="11981">
          <cell r="A11981">
            <v>8733068</v>
          </cell>
          <cell r="B11981">
            <v>110815</v>
          </cell>
          <cell r="C11981" t="str">
            <v>Great Paxton CofE Primary School</v>
          </cell>
          <cell r="D11981" t="str">
            <v>Cambridgeshire</v>
          </cell>
          <cell r="E11981" t="str">
            <v>Voluntary Controlled School</v>
          </cell>
          <cell r="F11981" t="str">
            <v>Primary</v>
          </cell>
        </row>
        <row r="11982">
          <cell r="A11982">
            <v>9253314</v>
          </cell>
          <cell r="B11982">
            <v>120602</v>
          </cell>
          <cell r="C11982" t="str">
            <v>Great Ponton Church of England School</v>
          </cell>
          <cell r="D11982" t="str">
            <v>Lincolnshire</v>
          </cell>
          <cell r="E11982" t="str">
            <v>Voluntary Aided School</v>
          </cell>
          <cell r="F11982" t="str">
            <v>Primary</v>
          </cell>
        </row>
        <row r="11983">
          <cell r="A11983">
            <v>3833925</v>
          </cell>
          <cell r="B11983">
            <v>134913</v>
          </cell>
          <cell r="C11983" t="str">
            <v>Great Preston VC CofE Primary School</v>
          </cell>
          <cell r="D11983" t="str">
            <v>Leeds</v>
          </cell>
          <cell r="E11983" t="str">
            <v>Voluntary Controlled School</v>
          </cell>
          <cell r="F11983" t="str">
            <v>Primary</v>
          </cell>
        </row>
        <row r="11984">
          <cell r="A11984">
            <v>9162070</v>
          </cell>
          <cell r="B11984">
            <v>115525</v>
          </cell>
          <cell r="C11984" t="str">
            <v>Great Rissington Primary School</v>
          </cell>
          <cell r="D11984" t="str">
            <v>Gloucestershire</v>
          </cell>
          <cell r="E11984" t="str">
            <v>Community School</v>
          </cell>
          <cell r="F11984" t="str">
            <v>Primary</v>
          </cell>
        </row>
        <row r="11985">
          <cell r="A11985">
            <v>9313408</v>
          </cell>
          <cell r="B11985">
            <v>123183</v>
          </cell>
          <cell r="C11985" t="str">
            <v>Great Rollright Church of England (Aided) Primary School</v>
          </cell>
          <cell r="D11985" t="str">
            <v>Oxfordshire</v>
          </cell>
          <cell r="E11985" t="str">
            <v>Voluntary Aided School</v>
          </cell>
          <cell r="F11985" t="str">
            <v>Primary</v>
          </cell>
        </row>
        <row r="11986">
          <cell r="A11986">
            <v>8812730</v>
          </cell>
          <cell r="B11986">
            <v>114970</v>
          </cell>
          <cell r="C11986" t="str">
            <v>Great Sampford Community Primary School</v>
          </cell>
          <cell r="D11986" t="str">
            <v>Essex</v>
          </cell>
          <cell r="E11986" t="str">
            <v>Community School</v>
          </cell>
          <cell r="F11986" t="str">
            <v>Primary</v>
          </cell>
        </row>
        <row r="11987">
          <cell r="A11987">
            <v>8774206</v>
          </cell>
          <cell r="B11987">
            <v>111434</v>
          </cell>
          <cell r="C11987" t="str">
            <v>Great Sankey High School</v>
          </cell>
          <cell r="D11987" t="str">
            <v>Warrington</v>
          </cell>
          <cell r="E11987" t="str">
            <v>Community School</v>
          </cell>
          <cell r="F11987" t="str">
            <v>Secondary</v>
          </cell>
        </row>
        <row r="11988">
          <cell r="A11988">
            <v>9062435</v>
          </cell>
          <cell r="B11988">
            <v>128445</v>
          </cell>
          <cell r="C11988" t="str">
            <v>Great Sankey Lingley County Infant School</v>
          </cell>
          <cell r="D11988" t="str">
            <v>Pre LGR (1998) Cheshire</v>
          </cell>
          <cell r="E11988" t="str">
            <v>Community School</v>
          </cell>
          <cell r="F11988" t="str">
            <v>Primary</v>
          </cell>
        </row>
        <row r="11989">
          <cell r="A11989">
            <v>8772403</v>
          </cell>
          <cell r="B11989">
            <v>111181</v>
          </cell>
          <cell r="C11989" t="str">
            <v>Great Sankey Primary School</v>
          </cell>
          <cell r="D11989" t="str">
            <v>Warrington</v>
          </cell>
          <cell r="E11989" t="str">
            <v>Community School</v>
          </cell>
          <cell r="F11989" t="str">
            <v>Primary</v>
          </cell>
        </row>
        <row r="11990">
          <cell r="A11990">
            <v>8152047</v>
          </cell>
          <cell r="B11990">
            <v>121297</v>
          </cell>
          <cell r="C11990" t="str">
            <v>Great Smeaton Community Primary School</v>
          </cell>
          <cell r="D11990" t="str">
            <v>North Yorkshire</v>
          </cell>
          <cell r="E11990" t="str">
            <v>Community School</v>
          </cell>
          <cell r="F11990" t="str">
            <v>Primary</v>
          </cell>
        </row>
        <row r="11991">
          <cell r="A11991">
            <v>8152047</v>
          </cell>
          <cell r="B11991">
            <v>137348</v>
          </cell>
          <cell r="C11991" t="str">
            <v>Great Smeaton Community Primary School</v>
          </cell>
          <cell r="D11991" t="str">
            <v>North Yorkshire</v>
          </cell>
          <cell r="E11991" t="str">
            <v>Academy Converters</v>
          </cell>
          <cell r="F11991" t="str">
            <v>Primary</v>
          </cell>
        </row>
        <row r="11992">
          <cell r="A11992">
            <v>8732210</v>
          </cell>
          <cell r="B11992">
            <v>110678</v>
          </cell>
          <cell r="C11992" t="str">
            <v>Great Staughton Primary School</v>
          </cell>
          <cell r="D11992" t="str">
            <v>Cambridgeshire</v>
          </cell>
          <cell r="E11992" t="str">
            <v>Community School</v>
          </cell>
          <cell r="F11992" t="str">
            <v>Primary</v>
          </cell>
        </row>
        <row r="11993">
          <cell r="A11993">
            <v>9252159</v>
          </cell>
          <cell r="B11993">
            <v>120451</v>
          </cell>
          <cell r="C11993" t="str">
            <v>Great Steeping Primary School</v>
          </cell>
          <cell r="D11993" t="str">
            <v>Lincolnshire</v>
          </cell>
          <cell r="E11993" t="str">
            <v>Community School</v>
          </cell>
          <cell r="F11993" t="str">
            <v>Primary</v>
          </cell>
        </row>
        <row r="11994">
          <cell r="A11994">
            <v>3584017</v>
          </cell>
          <cell r="B11994">
            <v>127541</v>
          </cell>
          <cell r="C11994" t="str">
            <v>Great Stone Boys' School</v>
          </cell>
          <cell r="D11994" t="str">
            <v>Trafford</v>
          </cell>
          <cell r="E11994" t="str">
            <v>Community School</v>
          </cell>
          <cell r="F11994" t="str">
            <v>Secondary</v>
          </cell>
        </row>
        <row r="11995">
          <cell r="A11995">
            <v>2047074</v>
          </cell>
          <cell r="B11995">
            <v>126612</v>
          </cell>
          <cell r="C11995" t="str">
            <v>Great Stony School</v>
          </cell>
          <cell r="D11995" t="str">
            <v>Hackney</v>
          </cell>
          <cell r="E11995" t="str">
            <v>Community Special School</v>
          </cell>
          <cell r="F11995" t="str">
            <v>Special</v>
          </cell>
        </row>
        <row r="11996">
          <cell r="A11996">
            <v>9312104</v>
          </cell>
          <cell r="B11996">
            <v>123002</v>
          </cell>
          <cell r="C11996" t="str">
            <v>Great Tew County Primary School</v>
          </cell>
          <cell r="D11996" t="str">
            <v>Oxfordshire</v>
          </cell>
          <cell r="E11996" t="str">
            <v>Community School</v>
          </cell>
          <cell r="F11996" t="str">
            <v>Primary</v>
          </cell>
        </row>
        <row r="11997">
          <cell r="A11997">
            <v>8813025</v>
          </cell>
          <cell r="B11997">
            <v>115079</v>
          </cell>
          <cell r="C11997" t="str">
            <v>Great Tey Church of England Voluntary Controlled Primary School</v>
          </cell>
          <cell r="D11997" t="str">
            <v>Essex</v>
          </cell>
          <cell r="E11997" t="str">
            <v>Voluntary Controlled School</v>
          </cell>
          <cell r="F11997" t="str">
            <v>Primary</v>
          </cell>
        </row>
        <row r="11998">
          <cell r="A11998">
            <v>8783061</v>
          </cell>
          <cell r="B11998">
            <v>113377</v>
          </cell>
          <cell r="C11998" t="str">
            <v>Great Torrington Bluecoat Church of England Infant and Nursery School</v>
          </cell>
          <cell r="D11998" t="str">
            <v>Devon</v>
          </cell>
          <cell r="E11998" t="str">
            <v>Voluntary Controlled School</v>
          </cell>
          <cell r="F11998" t="str">
            <v>Primary</v>
          </cell>
        </row>
        <row r="11999">
          <cell r="A11999">
            <v>8784055</v>
          </cell>
          <cell r="B11999">
            <v>113510</v>
          </cell>
          <cell r="C11999" t="str">
            <v>Great Torrington Community School and Sports College</v>
          </cell>
          <cell r="D11999" t="str">
            <v>Devon</v>
          </cell>
          <cell r="E11999" t="str">
            <v>Foundation School</v>
          </cell>
          <cell r="F11999" t="str">
            <v>Secondary</v>
          </cell>
        </row>
        <row r="12000">
          <cell r="A12000">
            <v>8782227</v>
          </cell>
          <cell r="B12000">
            <v>113150</v>
          </cell>
          <cell r="C12000" t="str">
            <v>Great Torrington Junior School</v>
          </cell>
          <cell r="D12000" t="str">
            <v>Devon</v>
          </cell>
          <cell r="E12000" t="str">
            <v>Community School</v>
          </cell>
          <cell r="F12000" t="str">
            <v>Primary</v>
          </cell>
        </row>
        <row r="12001">
          <cell r="A12001">
            <v>8784055</v>
          </cell>
          <cell r="B12001">
            <v>137228</v>
          </cell>
          <cell r="C12001" t="str">
            <v>Great Torrington School</v>
          </cell>
          <cell r="D12001" t="str">
            <v>Devon</v>
          </cell>
          <cell r="E12001" t="str">
            <v>Academy Converters</v>
          </cell>
          <cell r="F12001" t="str">
            <v>Secondary</v>
          </cell>
        </row>
        <row r="12002">
          <cell r="A12002">
            <v>8815204</v>
          </cell>
          <cell r="B12002">
            <v>115244</v>
          </cell>
          <cell r="C12002" t="str">
            <v>Great Totham Primary School</v>
          </cell>
          <cell r="D12002" t="str">
            <v>Essex</v>
          </cell>
          <cell r="E12002" t="str">
            <v>Foundation School</v>
          </cell>
          <cell r="F12002" t="str">
            <v>Primary</v>
          </cell>
        </row>
        <row r="12003">
          <cell r="A12003">
            <v>9152371</v>
          </cell>
          <cell r="B12003">
            <v>128888</v>
          </cell>
          <cell r="C12003" t="str">
            <v>Great Wakering County Primary School</v>
          </cell>
          <cell r="D12003" t="str">
            <v>Pre LGR (1998) Essex</v>
          </cell>
          <cell r="E12003" t="str">
            <v>Community School</v>
          </cell>
          <cell r="F12003" t="str">
            <v>Primary</v>
          </cell>
        </row>
        <row r="12004">
          <cell r="A12004">
            <v>8812130</v>
          </cell>
          <cell r="B12004">
            <v>114792</v>
          </cell>
          <cell r="C12004" t="str">
            <v>Great Wakering Primary School</v>
          </cell>
          <cell r="D12004" t="str">
            <v>Essex</v>
          </cell>
          <cell r="E12004" t="str">
            <v>Community School</v>
          </cell>
          <cell r="F12004" t="str">
            <v>Primary</v>
          </cell>
        </row>
        <row r="12005">
          <cell r="A12005">
            <v>9353027</v>
          </cell>
          <cell r="B12005">
            <v>124699</v>
          </cell>
          <cell r="C12005" t="str">
            <v>Great Waldingfield Church of England Voluntary Controlled Primary School</v>
          </cell>
          <cell r="D12005" t="str">
            <v>Suffolk</v>
          </cell>
          <cell r="E12005" t="str">
            <v>Voluntary Controlled School</v>
          </cell>
          <cell r="F12005" t="str">
            <v>Primary</v>
          </cell>
        </row>
        <row r="12006">
          <cell r="A12006">
            <v>9386203</v>
          </cell>
          <cell r="B12006">
            <v>126135</v>
          </cell>
          <cell r="C12006" t="str">
            <v>Great Walstead School</v>
          </cell>
          <cell r="D12006" t="str">
            <v>West Sussex</v>
          </cell>
          <cell r="E12006" t="str">
            <v>Other Independent School</v>
          </cell>
          <cell r="F12006" t="str">
            <v>Not applicable</v>
          </cell>
        </row>
        <row r="12007">
          <cell r="A12007">
            <v>8813217</v>
          </cell>
          <cell r="B12007">
            <v>115114</v>
          </cell>
          <cell r="C12007" t="str">
            <v>Great Waltham Church of England Voluntary Controlled Primary School</v>
          </cell>
          <cell r="D12007" t="str">
            <v>Essex</v>
          </cell>
          <cell r="E12007" t="str">
            <v>Voluntary Controlled School</v>
          </cell>
          <cell r="F12007" t="str">
            <v>Primary</v>
          </cell>
        </row>
        <row r="12008">
          <cell r="A12008">
            <v>9353028</v>
          </cell>
          <cell r="B12008">
            <v>124700</v>
          </cell>
          <cell r="C12008" t="str">
            <v>Great Whelnetham Church of England Voluntary Controlled Primary School</v>
          </cell>
          <cell r="D12008" t="str">
            <v>Suffolk</v>
          </cell>
          <cell r="E12008" t="str">
            <v>Voluntary Controlled School</v>
          </cell>
          <cell r="F12008" t="str">
            <v>Primary</v>
          </cell>
        </row>
        <row r="12009">
          <cell r="A12009">
            <v>8733017</v>
          </cell>
          <cell r="B12009">
            <v>110789</v>
          </cell>
          <cell r="C12009" t="str">
            <v>Great Wilbraham CofE Primary School</v>
          </cell>
          <cell r="D12009" t="str">
            <v>Cambridgeshire</v>
          </cell>
          <cell r="E12009" t="str">
            <v>Voluntary Controlled School</v>
          </cell>
          <cell r="F12009" t="str">
            <v>Primary</v>
          </cell>
        </row>
        <row r="12010">
          <cell r="A12010">
            <v>8653450</v>
          </cell>
          <cell r="B12010">
            <v>126436</v>
          </cell>
          <cell r="C12010" t="str">
            <v>Great Wishford CofE (VA) Primary School</v>
          </cell>
          <cell r="D12010" t="str">
            <v>Wiltshire</v>
          </cell>
          <cell r="E12010" t="str">
            <v>Voluntary Aided School</v>
          </cell>
          <cell r="F12010" t="str">
            <v>Primary</v>
          </cell>
        </row>
        <row r="12011">
          <cell r="A12011">
            <v>9263407</v>
          </cell>
          <cell r="B12011">
            <v>121148</v>
          </cell>
          <cell r="C12011" t="str">
            <v>Great Witchingham Church of England Primary School</v>
          </cell>
          <cell r="D12011" t="str">
            <v>Norfolk</v>
          </cell>
          <cell r="E12011" t="str">
            <v>Voluntary Aided School</v>
          </cell>
          <cell r="F12011" t="str">
            <v>Primary</v>
          </cell>
        </row>
        <row r="12012">
          <cell r="A12012">
            <v>8853328</v>
          </cell>
          <cell r="B12012">
            <v>116881</v>
          </cell>
          <cell r="C12012" t="str">
            <v>Great Witley CofE Primary School</v>
          </cell>
          <cell r="D12012" t="str">
            <v>Worcestershire</v>
          </cell>
          <cell r="E12012" t="str">
            <v>Voluntary Aided School</v>
          </cell>
          <cell r="F12012" t="str">
            <v>Primary</v>
          </cell>
        </row>
        <row r="12013">
          <cell r="A12013">
            <v>8602305</v>
          </cell>
          <cell r="B12013">
            <v>124138</v>
          </cell>
          <cell r="C12013" t="str">
            <v>Great Wood Community Primary School</v>
          </cell>
          <cell r="D12013" t="str">
            <v>Staffordshire</v>
          </cell>
          <cell r="E12013" t="str">
            <v>Community School</v>
          </cell>
          <cell r="F12013" t="str">
            <v>Primary</v>
          </cell>
        </row>
        <row r="12014">
          <cell r="A12014">
            <v>8882576</v>
          </cell>
          <cell r="B12014">
            <v>119311</v>
          </cell>
          <cell r="C12014" t="str">
            <v>Great Wood Primary School</v>
          </cell>
          <cell r="D12014" t="str">
            <v>Lancashire</v>
          </cell>
          <cell r="E12014" t="str">
            <v>Community School</v>
          </cell>
          <cell r="F12014" t="str">
            <v>Primary</v>
          </cell>
        </row>
        <row r="12015">
          <cell r="A12015">
            <v>8604079</v>
          </cell>
          <cell r="B12015">
            <v>124402</v>
          </cell>
          <cell r="C12015" t="str">
            <v>Great Wyrley Performing Arts High School</v>
          </cell>
          <cell r="D12015" t="str">
            <v>Staffordshire</v>
          </cell>
          <cell r="E12015" t="str">
            <v>Community School</v>
          </cell>
          <cell r="F12015" t="str">
            <v>Secondary</v>
          </cell>
        </row>
        <row r="12016">
          <cell r="A12016">
            <v>9265411</v>
          </cell>
          <cell r="B12016">
            <v>121219</v>
          </cell>
          <cell r="C12016" t="str">
            <v>Great Yarmouth (VA) High School</v>
          </cell>
          <cell r="D12016" t="str">
            <v>Norfolk</v>
          </cell>
          <cell r="E12016" t="str">
            <v>Voluntary Aided School</v>
          </cell>
          <cell r="F12016" t="str">
            <v>Secondary</v>
          </cell>
        </row>
        <row r="12017">
          <cell r="A12017">
            <v>9268005</v>
          </cell>
          <cell r="B12017">
            <v>130765</v>
          </cell>
          <cell r="C12017" t="str">
            <v>Great Yarmouth College</v>
          </cell>
          <cell r="D12017" t="str">
            <v>Norfolk</v>
          </cell>
          <cell r="E12017" t="str">
            <v>Further Education</v>
          </cell>
          <cell r="F12017" t="str">
            <v>16 Plus</v>
          </cell>
        </row>
        <row r="12018">
          <cell r="A12018">
            <v>8966027</v>
          </cell>
          <cell r="B12018">
            <v>131791</v>
          </cell>
          <cell r="C12018" t="str">
            <v>Greater Grace School of Christian Education</v>
          </cell>
          <cell r="D12018" t="str">
            <v>Cheshire West and Chester</v>
          </cell>
          <cell r="E12018" t="str">
            <v>Other Independent School</v>
          </cell>
          <cell r="F12018" t="str">
            <v>Not applicable</v>
          </cell>
        </row>
        <row r="12019">
          <cell r="A12019">
            <v>9162151</v>
          </cell>
          <cell r="B12019">
            <v>115586</v>
          </cell>
          <cell r="C12019" t="str">
            <v>Greatfield Park Primary School</v>
          </cell>
          <cell r="D12019" t="str">
            <v>Gloucestershire</v>
          </cell>
          <cell r="E12019" t="str">
            <v>Community School</v>
          </cell>
          <cell r="F12019" t="str">
            <v>Primary</v>
          </cell>
        </row>
        <row r="12020">
          <cell r="A12020">
            <v>8053006</v>
          </cell>
          <cell r="B12020">
            <v>111673</v>
          </cell>
          <cell r="C12020" t="str">
            <v>Greatham CofE Primary School</v>
          </cell>
          <cell r="D12020" t="str">
            <v>Hartlepool</v>
          </cell>
          <cell r="E12020" t="str">
            <v>Voluntary Controlled School</v>
          </cell>
          <cell r="F12020" t="str">
            <v>Primary</v>
          </cell>
        </row>
        <row r="12021">
          <cell r="A12021">
            <v>8502086</v>
          </cell>
          <cell r="B12021">
            <v>115898</v>
          </cell>
          <cell r="C12021" t="str">
            <v>Greatham Primary School</v>
          </cell>
          <cell r="D12021" t="str">
            <v>Hampshire</v>
          </cell>
          <cell r="E12021" t="str">
            <v>Community School</v>
          </cell>
          <cell r="F12021" t="str">
            <v>Primary</v>
          </cell>
        </row>
        <row r="12022">
          <cell r="A12022">
            <v>8865218</v>
          </cell>
          <cell r="B12022">
            <v>118864</v>
          </cell>
          <cell r="C12022" t="str">
            <v>Greatstone Primary School</v>
          </cell>
          <cell r="D12022" t="str">
            <v>Kent</v>
          </cell>
          <cell r="E12022" t="str">
            <v>Foundation School</v>
          </cell>
          <cell r="F12022" t="str">
            <v>Primary</v>
          </cell>
        </row>
        <row r="12023">
          <cell r="A12023">
            <v>9282042</v>
          </cell>
          <cell r="B12023">
            <v>121822</v>
          </cell>
          <cell r="C12023" t="str">
            <v>Greatworth Primary School</v>
          </cell>
          <cell r="D12023" t="str">
            <v>Northamptonshire</v>
          </cell>
          <cell r="E12023" t="str">
            <v>Community School</v>
          </cell>
          <cell r="F12023" t="str">
            <v>Primary</v>
          </cell>
        </row>
        <row r="12024">
          <cell r="A12024">
            <v>3562039</v>
          </cell>
          <cell r="B12024">
            <v>106050</v>
          </cell>
          <cell r="C12024" t="str">
            <v>Greave Primary School</v>
          </cell>
          <cell r="D12024" t="str">
            <v>Stockport</v>
          </cell>
          <cell r="E12024" t="str">
            <v>Community School</v>
          </cell>
          <cell r="F12024" t="str">
            <v>Primary</v>
          </cell>
        </row>
        <row r="12025">
          <cell r="A12025">
            <v>8881012</v>
          </cell>
          <cell r="B12025">
            <v>119075</v>
          </cell>
          <cell r="C12025" t="str">
            <v>Greaves Park Nursery School</v>
          </cell>
          <cell r="D12025" t="str">
            <v>Lancashire</v>
          </cell>
          <cell r="E12025" t="str">
            <v>LA Nursery School</v>
          </cell>
          <cell r="F12025" t="str">
            <v>Nursery</v>
          </cell>
        </row>
        <row r="12026">
          <cell r="A12026">
            <v>2076336</v>
          </cell>
          <cell r="B12026">
            <v>126645</v>
          </cell>
          <cell r="C12026" t="str">
            <v>Greek Embassy School</v>
          </cell>
          <cell r="D12026" t="str">
            <v>Kensington and Chelsea</v>
          </cell>
          <cell r="E12026" t="str">
            <v>Other Independent School</v>
          </cell>
          <cell r="F12026" t="str">
            <v>Not applicable</v>
          </cell>
        </row>
        <row r="12027">
          <cell r="A12027">
            <v>3076080</v>
          </cell>
          <cell r="B12027">
            <v>131788</v>
          </cell>
          <cell r="C12027" t="str">
            <v>Greek Primary School of London</v>
          </cell>
          <cell r="D12027" t="str">
            <v>Ealing</v>
          </cell>
          <cell r="E12027" t="str">
            <v>Other Independent School</v>
          </cell>
          <cell r="F12027" t="str">
            <v>Not applicable</v>
          </cell>
        </row>
        <row r="12028">
          <cell r="A12028">
            <v>3096081</v>
          </cell>
          <cell r="B12028">
            <v>101959</v>
          </cell>
          <cell r="C12028" t="str">
            <v>Greek Secondary School of London</v>
          </cell>
          <cell r="D12028" t="str">
            <v>Haringey</v>
          </cell>
          <cell r="E12028" t="str">
            <v>Other Independent School</v>
          </cell>
          <cell r="F12028" t="str">
            <v>Not applicable</v>
          </cell>
        </row>
        <row r="12029">
          <cell r="A12029">
            <v>3362050</v>
          </cell>
          <cell r="B12029">
            <v>104314</v>
          </cell>
          <cell r="C12029" t="str">
            <v>Green Acres Junior School</v>
          </cell>
          <cell r="D12029" t="str">
            <v>Wolverhampton</v>
          </cell>
          <cell r="E12029" t="str">
            <v>Community School</v>
          </cell>
          <cell r="F12029" t="str">
            <v>Primary</v>
          </cell>
        </row>
        <row r="12030">
          <cell r="A12030">
            <v>3352217</v>
          </cell>
          <cell r="B12030">
            <v>127193</v>
          </cell>
          <cell r="C12030" t="str">
            <v>Green Close County Primary School</v>
          </cell>
          <cell r="D12030" t="str">
            <v>Walsall</v>
          </cell>
          <cell r="E12030" t="str">
            <v>Community School</v>
          </cell>
          <cell r="F12030" t="str">
            <v>Primary</v>
          </cell>
        </row>
        <row r="12031">
          <cell r="A12031">
            <v>8916074</v>
          </cell>
          <cell r="B12031">
            <v>136425</v>
          </cell>
          <cell r="C12031" t="str">
            <v>Green Crescent Primary School</v>
          </cell>
          <cell r="D12031" t="str">
            <v>Nottinghamshire</v>
          </cell>
          <cell r="E12031" t="str">
            <v>Other Independent School</v>
          </cell>
          <cell r="F12031" t="str">
            <v>Not applicable</v>
          </cell>
        </row>
        <row r="12032">
          <cell r="A12032">
            <v>8507013</v>
          </cell>
          <cell r="B12032">
            <v>116602</v>
          </cell>
          <cell r="C12032" t="str">
            <v>Green Croft School</v>
          </cell>
          <cell r="D12032" t="str">
            <v>Hampshire</v>
          </cell>
          <cell r="E12032" t="str">
            <v>Community Special School</v>
          </cell>
          <cell r="F12032" t="str">
            <v>Special</v>
          </cell>
        </row>
        <row r="12033">
          <cell r="A12033">
            <v>3132067</v>
          </cell>
          <cell r="B12033">
            <v>102516</v>
          </cell>
          <cell r="C12033" t="str">
            <v>Green Dragon Infant and Nursery School</v>
          </cell>
          <cell r="D12033" t="str">
            <v>Hounslow</v>
          </cell>
          <cell r="E12033" t="str">
            <v>Community School</v>
          </cell>
          <cell r="F12033" t="str">
            <v>Primary</v>
          </cell>
        </row>
        <row r="12034">
          <cell r="A12034">
            <v>3132068</v>
          </cell>
          <cell r="B12034">
            <v>102517</v>
          </cell>
          <cell r="C12034" t="str">
            <v>Green Dragon Junior School</v>
          </cell>
          <cell r="D12034" t="str">
            <v>Hounslow</v>
          </cell>
          <cell r="E12034" t="str">
            <v>Community School</v>
          </cell>
          <cell r="F12034" t="str">
            <v>Primary</v>
          </cell>
        </row>
        <row r="12035">
          <cell r="A12035">
            <v>3132081</v>
          </cell>
          <cell r="B12035">
            <v>132266</v>
          </cell>
          <cell r="C12035" t="str">
            <v>Green Dragon Primary School</v>
          </cell>
          <cell r="D12035" t="str">
            <v>Hounslow</v>
          </cell>
          <cell r="E12035" t="str">
            <v>Community School</v>
          </cell>
          <cell r="F12035" t="str">
            <v>Primary</v>
          </cell>
        </row>
        <row r="12036">
          <cell r="A12036">
            <v>3522115</v>
          </cell>
          <cell r="B12036">
            <v>105419</v>
          </cell>
          <cell r="C12036" t="str">
            <v>Green End Infant School</v>
          </cell>
          <cell r="D12036" t="str">
            <v>Manchester</v>
          </cell>
          <cell r="E12036" t="str">
            <v>Community School</v>
          </cell>
          <cell r="F12036" t="str">
            <v>Primary</v>
          </cell>
        </row>
        <row r="12037">
          <cell r="A12037">
            <v>3522113</v>
          </cell>
          <cell r="B12037">
            <v>105418</v>
          </cell>
          <cell r="C12037" t="str">
            <v>Green End Primary School</v>
          </cell>
          <cell r="D12037" t="str">
            <v>Manchester</v>
          </cell>
          <cell r="E12037" t="str">
            <v>Community School</v>
          </cell>
          <cell r="F12037" t="str">
            <v>Primary</v>
          </cell>
        </row>
        <row r="12038">
          <cell r="A12038">
            <v>3507008</v>
          </cell>
          <cell r="B12038">
            <v>105281</v>
          </cell>
          <cell r="C12038" t="str">
            <v>Green Fold School</v>
          </cell>
          <cell r="D12038" t="str">
            <v>Bolton</v>
          </cell>
          <cell r="E12038" t="str">
            <v>Community Special School</v>
          </cell>
          <cell r="F12038" t="str">
            <v>Special</v>
          </cell>
        </row>
        <row r="12039">
          <cell r="A12039">
            <v>2116386</v>
          </cell>
          <cell r="B12039">
            <v>131198</v>
          </cell>
          <cell r="C12039" t="str">
            <v>Green Gables Montessori Primary School</v>
          </cell>
          <cell r="D12039" t="str">
            <v>Tower Hamlets</v>
          </cell>
          <cell r="E12039" t="str">
            <v>Other Independent School</v>
          </cell>
          <cell r="F12039" t="str">
            <v>Not applicable</v>
          </cell>
        </row>
        <row r="12040">
          <cell r="A12040">
            <v>8072218</v>
          </cell>
          <cell r="B12040">
            <v>111607</v>
          </cell>
          <cell r="C12040" t="str">
            <v>Green Gates Primary School</v>
          </cell>
          <cell r="D12040" t="str">
            <v>Redcar and Cleveland</v>
          </cell>
          <cell r="E12040" t="str">
            <v>Community School</v>
          </cell>
          <cell r="F12040" t="str">
            <v>Primary</v>
          </cell>
        </row>
        <row r="12041">
          <cell r="A12041">
            <v>3597014</v>
          </cell>
          <cell r="B12041">
            <v>132160</v>
          </cell>
          <cell r="C12041" t="str">
            <v>Green Hall Primary School</v>
          </cell>
          <cell r="D12041" t="str">
            <v>Wigan</v>
          </cell>
          <cell r="E12041" t="str">
            <v>Community Special School</v>
          </cell>
          <cell r="F12041" t="str">
            <v>Special</v>
          </cell>
        </row>
        <row r="12042">
          <cell r="A12042">
            <v>8153242</v>
          </cell>
          <cell r="B12042">
            <v>121564</v>
          </cell>
          <cell r="C12042" t="str">
            <v>Green Hammerton Church of England Primary School</v>
          </cell>
          <cell r="D12042" t="str">
            <v>North Yorkshire</v>
          </cell>
          <cell r="E12042" t="str">
            <v>Voluntary Controlled School</v>
          </cell>
          <cell r="F12042" t="str">
            <v>Primary</v>
          </cell>
        </row>
        <row r="12043">
          <cell r="A12043">
            <v>8883337</v>
          </cell>
          <cell r="B12043">
            <v>119442</v>
          </cell>
          <cell r="C12043" t="str">
            <v>Green Haworth Church of England Primary School</v>
          </cell>
          <cell r="D12043" t="str">
            <v>Lancashire</v>
          </cell>
          <cell r="E12043" t="str">
            <v>Voluntary Aided School</v>
          </cell>
          <cell r="F12043" t="str">
            <v>Primary</v>
          </cell>
        </row>
        <row r="12044">
          <cell r="A12044">
            <v>8737016</v>
          </cell>
          <cell r="B12044">
            <v>110945</v>
          </cell>
          <cell r="C12044" t="str">
            <v>Green Hedges School</v>
          </cell>
          <cell r="D12044" t="str">
            <v>Cambridgeshire</v>
          </cell>
          <cell r="E12044" t="str">
            <v>Community Special School</v>
          </cell>
          <cell r="F12044" t="str">
            <v>Special</v>
          </cell>
        </row>
        <row r="12045">
          <cell r="A12045">
            <v>8856004</v>
          </cell>
          <cell r="B12045">
            <v>117010</v>
          </cell>
          <cell r="C12045" t="str">
            <v>Green Hill School</v>
          </cell>
          <cell r="D12045" t="str">
            <v>Worcestershire</v>
          </cell>
          <cell r="E12045" t="str">
            <v>Other Independent School</v>
          </cell>
          <cell r="F12045" t="str">
            <v>Not applicable</v>
          </cell>
        </row>
        <row r="12046">
          <cell r="A12046">
            <v>8403121</v>
          </cell>
          <cell r="B12046">
            <v>114219</v>
          </cell>
          <cell r="C12046" t="str">
            <v>Green Lane Church of England Controlled Primary School</v>
          </cell>
          <cell r="D12046" t="str">
            <v>Durham</v>
          </cell>
          <cell r="E12046" t="str">
            <v>Voluntary Controlled School</v>
          </cell>
          <cell r="F12046" t="str">
            <v>Primary</v>
          </cell>
        </row>
        <row r="12047">
          <cell r="A12047">
            <v>8777001</v>
          </cell>
          <cell r="B12047">
            <v>111495</v>
          </cell>
          <cell r="C12047" t="str">
            <v>Green Lane Community Special School</v>
          </cell>
          <cell r="D12047" t="str">
            <v>Warrington</v>
          </cell>
          <cell r="E12047" t="str">
            <v>Community Special School</v>
          </cell>
          <cell r="F12047" t="str">
            <v>Special</v>
          </cell>
        </row>
        <row r="12048">
          <cell r="A12048">
            <v>8562229</v>
          </cell>
          <cell r="B12048">
            <v>120007</v>
          </cell>
          <cell r="C12048" t="str">
            <v>Green Lane Infant School</v>
          </cell>
          <cell r="D12048" t="str">
            <v>Leicester</v>
          </cell>
          <cell r="E12048" t="str">
            <v>Community School</v>
          </cell>
          <cell r="F12048" t="str">
            <v>Primary</v>
          </cell>
        </row>
        <row r="12049">
          <cell r="A12049">
            <v>9362924</v>
          </cell>
          <cell r="B12049">
            <v>125103</v>
          </cell>
          <cell r="C12049" t="str">
            <v>Green Lane Infant School</v>
          </cell>
          <cell r="D12049" t="str">
            <v>Surrey</v>
          </cell>
          <cell r="E12049" t="str">
            <v>Community School</v>
          </cell>
          <cell r="F12049" t="str">
            <v>Primary</v>
          </cell>
        </row>
        <row r="12050">
          <cell r="A12050">
            <v>3832355</v>
          </cell>
          <cell r="B12050">
            <v>127901</v>
          </cell>
          <cell r="C12050" t="str">
            <v>Green Lane Infant School</v>
          </cell>
          <cell r="D12050" t="str">
            <v>Leeds</v>
          </cell>
          <cell r="E12050" t="str">
            <v>Community School</v>
          </cell>
          <cell r="F12050" t="str">
            <v>Primary</v>
          </cell>
        </row>
        <row r="12051">
          <cell r="A12051">
            <v>3832352</v>
          </cell>
          <cell r="B12051">
            <v>127900</v>
          </cell>
          <cell r="C12051" t="str">
            <v>Green Lane Junior School</v>
          </cell>
          <cell r="D12051" t="str">
            <v>Leeds</v>
          </cell>
          <cell r="E12051" t="str">
            <v>Community School</v>
          </cell>
          <cell r="F12051" t="str">
            <v>Primary</v>
          </cell>
        </row>
        <row r="12052">
          <cell r="A12052">
            <v>3714050</v>
          </cell>
          <cell r="B12052">
            <v>106796</v>
          </cell>
          <cell r="C12052" t="str">
            <v>Green Lane Middle School</v>
          </cell>
          <cell r="D12052" t="str">
            <v>Doncaster</v>
          </cell>
          <cell r="E12052" t="str">
            <v>Community School</v>
          </cell>
          <cell r="F12052" t="str">
            <v>Middle Deemed Secondary</v>
          </cell>
        </row>
        <row r="12053">
          <cell r="A12053">
            <v>3832396</v>
          </cell>
          <cell r="B12053">
            <v>136326</v>
          </cell>
          <cell r="C12053" t="str">
            <v>Green Lane Primary Academy</v>
          </cell>
          <cell r="D12053" t="str">
            <v>Leeds</v>
          </cell>
          <cell r="E12053" t="str">
            <v>Academy Converters</v>
          </cell>
          <cell r="F12053" t="str">
            <v>Primary</v>
          </cell>
        </row>
        <row r="12054">
          <cell r="A12054">
            <v>3142008</v>
          </cell>
          <cell r="B12054">
            <v>102569</v>
          </cell>
          <cell r="C12054" t="str">
            <v>Green Lane Primary and Nursery School</v>
          </cell>
          <cell r="D12054" t="str">
            <v>Kingston upon Thames</v>
          </cell>
          <cell r="E12054" t="str">
            <v>Community School</v>
          </cell>
          <cell r="F12054" t="str">
            <v>Primary</v>
          </cell>
        </row>
        <row r="12055">
          <cell r="A12055">
            <v>3802034</v>
          </cell>
          <cell r="B12055">
            <v>107207</v>
          </cell>
          <cell r="C12055" t="str">
            <v>Green Lane Primary School</v>
          </cell>
          <cell r="D12055" t="str">
            <v>Bradford</v>
          </cell>
          <cell r="E12055" t="str">
            <v>Community School</v>
          </cell>
          <cell r="F12055" t="str">
            <v>Primary</v>
          </cell>
        </row>
        <row r="12056">
          <cell r="A12056">
            <v>8062347</v>
          </cell>
          <cell r="B12056">
            <v>111646</v>
          </cell>
          <cell r="C12056" t="str">
            <v>Green Lane Primary School</v>
          </cell>
          <cell r="D12056" t="str">
            <v>Middlesbrough</v>
          </cell>
          <cell r="E12056" t="str">
            <v>Community School</v>
          </cell>
          <cell r="F12056" t="str">
            <v>Primary</v>
          </cell>
        </row>
        <row r="12057">
          <cell r="A12057">
            <v>3342079</v>
          </cell>
          <cell r="B12057">
            <v>104072</v>
          </cell>
          <cell r="C12057" t="str">
            <v>Green Lanes Primary School</v>
          </cell>
          <cell r="D12057" t="str">
            <v>Solihull</v>
          </cell>
          <cell r="E12057" t="str">
            <v>Community School</v>
          </cell>
          <cell r="F12057" t="str">
            <v>Primary</v>
          </cell>
        </row>
        <row r="12058">
          <cell r="A12058">
            <v>9192039</v>
          </cell>
          <cell r="B12058">
            <v>117105</v>
          </cell>
          <cell r="C12058" t="str">
            <v>Green Lanes Primary School</v>
          </cell>
          <cell r="D12058" t="str">
            <v>Hertfordshire</v>
          </cell>
          <cell r="E12058" t="str">
            <v>Community School</v>
          </cell>
          <cell r="F12058" t="str">
            <v>Primary</v>
          </cell>
        </row>
        <row r="12059">
          <cell r="A12059">
            <v>8602240</v>
          </cell>
          <cell r="B12059">
            <v>124105</v>
          </cell>
          <cell r="C12059" t="str">
            <v>Green Lea First School</v>
          </cell>
          <cell r="D12059" t="str">
            <v>Staffordshire</v>
          </cell>
          <cell r="E12059" t="str">
            <v>Community School</v>
          </cell>
          <cell r="F12059" t="str">
            <v>Primary</v>
          </cell>
        </row>
        <row r="12060">
          <cell r="A12060">
            <v>3847051</v>
          </cell>
          <cell r="B12060">
            <v>108319</v>
          </cell>
          <cell r="C12060" t="str">
            <v>Green Leas School</v>
          </cell>
          <cell r="D12060" t="str">
            <v>Wakefield</v>
          </cell>
          <cell r="E12060" t="str">
            <v>Community Special School</v>
          </cell>
          <cell r="F12060" t="str">
            <v>Special</v>
          </cell>
        </row>
        <row r="12061">
          <cell r="A12061">
            <v>8776011</v>
          </cell>
          <cell r="B12061">
            <v>135998</v>
          </cell>
          <cell r="C12061" t="str">
            <v>Green Meadow Independent Primary School</v>
          </cell>
          <cell r="D12061" t="str">
            <v>Warrington</v>
          </cell>
          <cell r="E12061" t="str">
            <v>Other Independent School</v>
          </cell>
          <cell r="F12061" t="str">
            <v>Not applicable</v>
          </cell>
        </row>
        <row r="12062">
          <cell r="A12062">
            <v>3302451</v>
          </cell>
          <cell r="B12062">
            <v>103378</v>
          </cell>
          <cell r="C12062" t="str">
            <v>Green Meadow Primary School</v>
          </cell>
          <cell r="D12062" t="str">
            <v>Birmingham</v>
          </cell>
          <cell r="E12062" t="str">
            <v>Community School</v>
          </cell>
          <cell r="F12062" t="str">
            <v>Primary</v>
          </cell>
        </row>
        <row r="12063">
          <cell r="A12063">
            <v>9212039</v>
          </cell>
          <cell r="B12063">
            <v>118177</v>
          </cell>
          <cell r="C12063" t="str">
            <v>Green Mount Primary School</v>
          </cell>
          <cell r="D12063" t="str">
            <v>Isle of Wight</v>
          </cell>
          <cell r="E12063" t="str">
            <v>Community School</v>
          </cell>
          <cell r="F12063" t="str">
            <v>Primary</v>
          </cell>
        </row>
        <row r="12064">
          <cell r="A12064">
            <v>9363349</v>
          </cell>
          <cell r="B12064">
            <v>125185</v>
          </cell>
          <cell r="C12064" t="str">
            <v>Green Oak CofE Primary School and Nursery</v>
          </cell>
          <cell r="D12064" t="str">
            <v>Surrey</v>
          </cell>
          <cell r="E12064" t="str">
            <v>Voluntary Aided School</v>
          </cell>
          <cell r="F12064" t="str">
            <v>Primary</v>
          </cell>
        </row>
        <row r="12065">
          <cell r="A12065">
            <v>9282196</v>
          </cell>
          <cell r="B12065">
            <v>121938</v>
          </cell>
          <cell r="C12065" t="str">
            <v>Green Oaks Primary School</v>
          </cell>
          <cell r="D12065" t="str">
            <v>Northamptonshire</v>
          </cell>
          <cell r="E12065" t="str">
            <v>Community School</v>
          </cell>
          <cell r="F12065" t="str">
            <v>Primary</v>
          </cell>
        </row>
        <row r="12066">
          <cell r="A12066">
            <v>8863916</v>
          </cell>
          <cell r="B12066">
            <v>135197</v>
          </cell>
          <cell r="C12066" t="str">
            <v>Green Park Community Primary School</v>
          </cell>
          <cell r="D12066" t="str">
            <v>Kent</v>
          </cell>
          <cell r="E12066" t="str">
            <v>Community School</v>
          </cell>
          <cell r="F12066" t="str">
            <v>Primary</v>
          </cell>
        </row>
        <row r="12067">
          <cell r="A12067">
            <v>3432080</v>
          </cell>
          <cell r="B12067">
            <v>104884</v>
          </cell>
          <cell r="C12067" t="str">
            <v>Green Park Primary School</v>
          </cell>
          <cell r="D12067" t="str">
            <v>Sefton</v>
          </cell>
          <cell r="E12067" t="str">
            <v>Community School</v>
          </cell>
          <cell r="F12067" t="str">
            <v>Primary</v>
          </cell>
        </row>
        <row r="12068">
          <cell r="A12068">
            <v>3367008</v>
          </cell>
          <cell r="B12068">
            <v>104415</v>
          </cell>
          <cell r="C12068" t="str">
            <v>Green Park School</v>
          </cell>
          <cell r="D12068" t="str">
            <v>Wolverhampton</v>
          </cell>
          <cell r="E12068" t="str">
            <v>Community Special School</v>
          </cell>
          <cell r="F12068" t="str">
            <v>Special</v>
          </cell>
        </row>
        <row r="12069">
          <cell r="A12069">
            <v>8262337</v>
          </cell>
          <cell r="B12069">
            <v>110395</v>
          </cell>
          <cell r="C12069" t="str">
            <v>Green Park School</v>
          </cell>
          <cell r="D12069" t="str">
            <v>Milton Keynes</v>
          </cell>
          <cell r="E12069" t="str">
            <v>Foundation School</v>
          </cell>
          <cell r="F12069" t="str">
            <v>Primary</v>
          </cell>
        </row>
        <row r="12070">
          <cell r="A12070">
            <v>3352018</v>
          </cell>
          <cell r="B12070">
            <v>104154</v>
          </cell>
          <cell r="C12070" t="str">
            <v>Green Rock Primary School</v>
          </cell>
          <cell r="D12070" t="str">
            <v>Walsall</v>
          </cell>
          <cell r="E12070" t="str">
            <v>Community School</v>
          </cell>
          <cell r="F12070" t="str">
            <v>Primary</v>
          </cell>
        </row>
        <row r="12071">
          <cell r="A12071">
            <v>8252047</v>
          </cell>
          <cell r="B12071">
            <v>110232</v>
          </cell>
          <cell r="C12071" t="str">
            <v>Green Street First School</v>
          </cell>
          <cell r="D12071" t="str">
            <v>Buckinghamshire</v>
          </cell>
          <cell r="E12071" t="str">
            <v>Community School</v>
          </cell>
          <cell r="F12071" t="str">
            <v>Primary</v>
          </cell>
        </row>
        <row r="12072">
          <cell r="A12072">
            <v>3052043</v>
          </cell>
          <cell r="B12072">
            <v>101616</v>
          </cell>
          <cell r="C12072" t="str">
            <v>Green Street Green Primary School</v>
          </cell>
          <cell r="D12072" t="str">
            <v>Bromley</v>
          </cell>
          <cell r="E12072" t="str">
            <v>Community School</v>
          </cell>
          <cell r="F12072" t="str">
            <v>Primary</v>
          </cell>
        </row>
        <row r="12073">
          <cell r="A12073">
            <v>3052043</v>
          </cell>
          <cell r="B12073">
            <v>137067</v>
          </cell>
          <cell r="C12073" t="str">
            <v>Green Street Green Primary School</v>
          </cell>
          <cell r="D12073" t="str">
            <v>Bromley</v>
          </cell>
          <cell r="E12073" t="str">
            <v>Academy Converters</v>
          </cell>
          <cell r="F12073" t="str">
            <v>Primary</v>
          </cell>
        </row>
        <row r="12074">
          <cell r="A12074">
            <v>3712103</v>
          </cell>
          <cell r="B12074">
            <v>106692</v>
          </cell>
          <cell r="C12074" t="str">
            <v>Green Top First School</v>
          </cell>
          <cell r="D12074" t="str">
            <v>Doncaster</v>
          </cell>
          <cell r="E12074" t="str">
            <v>Community School</v>
          </cell>
          <cell r="F12074" t="str">
            <v>Primary</v>
          </cell>
        </row>
        <row r="12075">
          <cell r="A12075">
            <v>3192014</v>
          </cell>
          <cell r="B12075">
            <v>102968</v>
          </cell>
          <cell r="C12075" t="str">
            <v>Green Wrythe Primary School</v>
          </cell>
          <cell r="D12075" t="str">
            <v>Sutton</v>
          </cell>
          <cell r="E12075" t="str">
            <v>Community School</v>
          </cell>
          <cell r="F12075" t="str">
            <v>Primary</v>
          </cell>
        </row>
        <row r="12076">
          <cell r="A12076">
            <v>352942</v>
          </cell>
          <cell r="B12076">
            <v>135163</v>
          </cell>
          <cell r="C12076" t="str">
            <v>Green Zone</v>
          </cell>
          <cell r="D12076" t="str">
            <v>Manchester</v>
          </cell>
          <cell r="E12076" t="str">
            <v>Playing for Success Centres</v>
          </cell>
          <cell r="F12076" t="str">
            <v>Not applicable</v>
          </cell>
        </row>
        <row r="12077">
          <cell r="A12077">
            <v>3431005</v>
          </cell>
          <cell r="B12077">
            <v>104848</v>
          </cell>
          <cell r="C12077" t="str">
            <v>Greenacre Community Nursery School</v>
          </cell>
          <cell r="D12077" t="str">
            <v>Sefton</v>
          </cell>
          <cell r="E12077" t="str">
            <v>LA Nursery School</v>
          </cell>
          <cell r="F12077" t="str">
            <v>Nursery</v>
          </cell>
        </row>
        <row r="12078">
          <cell r="A12078">
            <v>9262404</v>
          </cell>
          <cell r="B12078">
            <v>129613</v>
          </cell>
          <cell r="C12078" t="str">
            <v>Greenacre First School</v>
          </cell>
          <cell r="D12078" t="str">
            <v>Norfolk</v>
          </cell>
          <cell r="E12078" t="str">
            <v>Community School</v>
          </cell>
          <cell r="F12078" t="str">
            <v>Primary</v>
          </cell>
        </row>
        <row r="12079">
          <cell r="A12079">
            <v>9262405</v>
          </cell>
          <cell r="B12079">
            <v>129614</v>
          </cell>
          <cell r="C12079" t="str">
            <v>Greenacre Middle School</v>
          </cell>
          <cell r="D12079" t="str">
            <v>Norfolk</v>
          </cell>
          <cell r="E12079" t="str">
            <v>Community School</v>
          </cell>
          <cell r="F12079" t="str">
            <v>Middle Deemed Primary</v>
          </cell>
        </row>
        <row r="12080">
          <cell r="A12080">
            <v>9262421</v>
          </cell>
          <cell r="B12080">
            <v>121023</v>
          </cell>
          <cell r="C12080" t="str">
            <v>Greenacre Primary &amp; Nursery School</v>
          </cell>
          <cell r="D12080" t="str">
            <v>Norfolk</v>
          </cell>
          <cell r="E12080" t="str">
            <v>Community School</v>
          </cell>
          <cell r="F12080" t="str">
            <v>Primary</v>
          </cell>
        </row>
        <row r="12081">
          <cell r="A12081">
            <v>8874174</v>
          </cell>
          <cell r="B12081">
            <v>118817</v>
          </cell>
          <cell r="C12081" t="str">
            <v>Greenacre School</v>
          </cell>
          <cell r="D12081" t="str">
            <v>Medway</v>
          </cell>
          <cell r="E12081" t="str">
            <v>Community School</v>
          </cell>
          <cell r="F12081" t="str">
            <v>Secondary</v>
          </cell>
        </row>
        <row r="12082">
          <cell r="A12082">
            <v>3707009</v>
          </cell>
          <cell r="B12082">
            <v>133394</v>
          </cell>
          <cell r="C12082" t="str">
            <v>Greenacre School</v>
          </cell>
          <cell r="D12082" t="str">
            <v>Barnsley</v>
          </cell>
          <cell r="E12082" t="str">
            <v>Community Special School</v>
          </cell>
          <cell r="F12082" t="str">
            <v>Special</v>
          </cell>
        </row>
        <row r="12083">
          <cell r="A12083">
            <v>9366001</v>
          </cell>
          <cell r="B12083">
            <v>125318</v>
          </cell>
          <cell r="C12083" t="str">
            <v>Greenacre School for Girls</v>
          </cell>
          <cell r="D12083" t="str">
            <v>Surrey</v>
          </cell>
          <cell r="E12083" t="str">
            <v>Other Independent School</v>
          </cell>
          <cell r="F12083" t="str">
            <v>Not applicable</v>
          </cell>
        </row>
        <row r="12084">
          <cell r="A12084">
            <v>3532011</v>
          </cell>
          <cell r="B12084">
            <v>132977</v>
          </cell>
          <cell r="C12084" t="str">
            <v>Greenacres Infant School</v>
          </cell>
          <cell r="D12084" t="str">
            <v>Oldham</v>
          </cell>
          <cell r="E12084" t="str">
            <v>Community School</v>
          </cell>
          <cell r="F12084" t="str">
            <v>Primary</v>
          </cell>
        </row>
        <row r="12085">
          <cell r="A12085">
            <v>3532010</v>
          </cell>
          <cell r="B12085">
            <v>105631</v>
          </cell>
          <cell r="C12085" t="str">
            <v>Greenacres Junior Infant and Nursery School</v>
          </cell>
          <cell r="D12085" t="str">
            <v>Oldham</v>
          </cell>
          <cell r="E12085" t="str">
            <v>Community School</v>
          </cell>
          <cell r="F12085" t="str">
            <v>Primary</v>
          </cell>
        </row>
        <row r="12086">
          <cell r="A12086">
            <v>8935202</v>
          </cell>
          <cell r="B12086">
            <v>123592</v>
          </cell>
          <cell r="C12086" t="str">
            <v>Greenacres Primary School</v>
          </cell>
          <cell r="D12086" t="str">
            <v>Shropshire</v>
          </cell>
          <cell r="E12086" t="str">
            <v>Foundation School</v>
          </cell>
          <cell r="F12086" t="str">
            <v>Primary</v>
          </cell>
        </row>
        <row r="12087">
          <cell r="A12087">
            <v>8602330</v>
          </cell>
          <cell r="B12087">
            <v>124153</v>
          </cell>
          <cell r="C12087" t="str">
            <v>Greenacres Primary School</v>
          </cell>
          <cell r="D12087" t="str">
            <v>Staffordshire</v>
          </cell>
          <cell r="E12087" t="str">
            <v>Community School</v>
          </cell>
          <cell r="F12087" t="str">
            <v>Primary</v>
          </cell>
        </row>
        <row r="12088">
          <cell r="A12088">
            <v>2032266</v>
          </cell>
          <cell r="B12088">
            <v>100128</v>
          </cell>
          <cell r="C12088" t="str">
            <v>Greenacres Primary School and Language Impairment Unit</v>
          </cell>
          <cell r="D12088" t="str">
            <v>Greenwich</v>
          </cell>
          <cell r="E12088" t="str">
            <v>Community School</v>
          </cell>
          <cell r="F12088" t="str">
            <v>Primary</v>
          </cell>
        </row>
        <row r="12089">
          <cell r="A12089">
            <v>8507025</v>
          </cell>
          <cell r="B12089">
            <v>116613</v>
          </cell>
          <cell r="C12089" t="str">
            <v>Greenacres School</v>
          </cell>
          <cell r="D12089" t="str">
            <v>Hampshire</v>
          </cell>
          <cell r="E12089" t="str">
            <v>Community Special School</v>
          </cell>
          <cell r="F12089" t="str">
            <v>Special</v>
          </cell>
        </row>
        <row r="12090">
          <cell r="A12090">
            <v>9247207</v>
          </cell>
          <cell r="B12090">
            <v>120358</v>
          </cell>
          <cell r="C12090" t="str">
            <v>Greenacres School</v>
          </cell>
          <cell r="D12090" t="str">
            <v>Pre LGR (1997) Leicestershire</v>
          </cell>
          <cell r="E12090" t="str">
            <v>Community Special School</v>
          </cell>
          <cell r="F12090" t="str">
            <v>Special</v>
          </cell>
        </row>
        <row r="12091">
          <cell r="A12091">
            <v>2031106</v>
          </cell>
          <cell r="B12091">
            <v>100108</v>
          </cell>
          <cell r="C12091" t="str">
            <v>Greenacres Tutorial Class</v>
          </cell>
          <cell r="D12091" t="str">
            <v>Greenwich</v>
          </cell>
          <cell r="E12091" t="str">
            <v>Pupil Referral Unit</v>
          </cell>
          <cell r="F12091" t="str">
            <v>PRU</v>
          </cell>
        </row>
        <row r="12092">
          <cell r="A12092">
            <v>3434109</v>
          </cell>
          <cell r="B12092">
            <v>104955</v>
          </cell>
          <cell r="C12092" t="str">
            <v>Greenbank High School</v>
          </cell>
          <cell r="D12092" t="str">
            <v>Sefton</v>
          </cell>
          <cell r="E12092" t="str">
            <v>Community School</v>
          </cell>
          <cell r="F12092" t="str">
            <v>Secondary</v>
          </cell>
        </row>
        <row r="12093">
          <cell r="A12093">
            <v>3434109</v>
          </cell>
          <cell r="B12093">
            <v>137604</v>
          </cell>
          <cell r="C12093" t="str">
            <v>Greenbank High School</v>
          </cell>
          <cell r="D12093" t="str">
            <v>Sefton</v>
          </cell>
          <cell r="E12093" t="str">
            <v>Academy Converters</v>
          </cell>
          <cell r="F12093" t="str">
            <v>Secondary</v>
          </cell>
        </row>
        <row r="12094">
          <cell r="A12094">
            <v>3542006</v>
          </cell>
          <cell r="B12094">
            <v>105768</v>
          </cell>
          <cell r="C12094" t="str">
            <v>Greenbank Primary School</v>
          </cell>
          <cell r="D12094" t="str">
            <v>Rochdale</v>
          </cell>
          <cell r="E12094" t="str">
            <v>Community School</v>
          </cell>
          <cell r="F12094" t="str">
            <v>Primary</v>
          </cell>
        </row>
        <row r="12095">
          <cell r="A12095">
            <v>3412235</v>
          </cell>
          <cell r="B12095">
            <v>133332</v>
          </cell>
          <cell r="C12095" t="str">
            <v>Greenbank Primary School</v>
          </cell>
          <cell r="D12095" t="str">
            <v>Liverpool</v>
          </cell>
          <cell r="E12095" t="str">
            <v>Community School</v>
          </cell>
          <cell r="F12095" t="str">
            <v>Primary</v>
          </cell>
        </row>
        <row r="12096">
          <cell r="A12096">
            <v>3566005</v>
          </cell>
          <cell r="B12096">
            <v>106148</v>
          </cell>
          <cell r="C12096" t="str">
            <v>Greenbank School</v>
          </cell>
          <cell r="D12096" t="str">
            <v>Stockport</v>
          </cell>
          <cell r="E12096" t="str">
            <v>Other Independent School</v>
          </cell>
          <cell r="F12096" t="str">
            <v>Not applicable</v>
          </cell>
        </row>
        <row r="12097">
          <cell r="A12097">
            <v>8967106</v>
          </cell>
          <cell r="B12097">
            <v>111503</v>
          </cell>
          <cell r="C12097" t="str">
            <v>Greenbank School</v>
          </cell>
          <cell r="D12097" t="str">
            <v>Cheshire West and Chester</v>
          </cell>
          <cell r="E12097" t="str">
            <v>Community Special School</v>
          </cell>
          <cell r="F12097" t="str">
            <v>Special</v>
          </cell>
        </row>
        <row r="12098">
          <cell r="A12098">
            <v>3537010</v>
          </cell>
          <cell r="B12098">
            <v>127435</v>
          </cell>
          <cell r="C12098" t="str">
            <v>Greenbank School</v>
          </cell>
          <cell r="D12098" t="str">
            <v>Oldham</v>
          </cell>
          <cell r="E12098" t="str">
            <v>Community Special School</v>
          </cell>
          <cell r="F12098" t="str">
            <v>Special</v>
          </cell>
        </row>
        <row r="12099">
          <cell r="A12099">
            <v>3522112</v>
          </cell>
          <cell r="B12099">
            <v>105417</v>
          </cell>
          <cell r="C12099" t="str">
            <v>Greenbrow Infant School</v>
          </cell>
          <cell r="D12099" t="str">
            <v>Manchester</v>
          </cell>
          <cell r="E12099" t="str">
            <v>Community School</v>
          </cell>
          <cell r="F12099" t="str">
            <v>Primary</v>
          </cell>
        </row>
        <row r="12100">
          <cell r="A12100">
            <v>8404092</v>
          </cell>
          <cell r="B12100">
            <v>114292</v>
          </cell>
          <cell r="C12100" t="str">
            <v>Greencroft Business and Enterprise Community School</v>
          </cell>
          <cell r="D12100" t="str">
            <v>Durham</v>
          </cell>
          <cell r="E12100" t="str">
            <v>Community School</v>
          </cell>
          <cell r="F12100" t="str">
            <v>Secondary</v>
          </cell>
        </row>
        <row r="12101">
          <cell r="A12101">
            <v>8922914</v>
          </cell>
          <cell r="B12101">
            <v>122718</v>
          </cell>
          <cell r="C12101" t="str">
            <v>Greencroft Primary School</v>
          </cell>
          <cell r="D12101" t="str">
            <v>Nottingham</v>
          </cell>
          <cell r="E12101" t="str">
            <v>Community School</v>
          </cell>
          <cell r="F12101" t="str">
            <v>Primary</v>
          </cell>
        </row>
        <row r="12102">
          <cell r="A12102">
            <v>8664086</v>
          </cell>
          <cell r="B12102">
            <v>126467</v>
          </cell>
          <cell r="C12102" t="str">
            <v>Greendown Community School</v>
          </cell>
          <cell r="D12102" t="str">
            <v>Swindon</v>
          </cell>
          <cell r="E12102" t="str">
            <v>Community School</v>
          </cell>
          <cell r="F12102" t="str">
            <v>Secondary</v>
          </cell>
        </row>
        <row r="12103">
          <cell r="A12103">
            <v>8664086</v>
          </cell>
          <cell r="B12103">
            <v>137264</v>
          </cell>
          <cell r="C12103" t="str">
            <v>Greendown Community School</v>
          </cell>
          <cell r="D12103" t="str">
            <v>Swindon</v>
          </cell>
          <cell r="E12103" t="str">
            <v>Academy Converters</v>
          </cell>
          <cell r="F12103" t="str">
            <v>Secondary</v>
          </cell>
        </row>
        <row r="12104">
          <cell r="A12104">
            <v>8233007</v>
          </cell>
          <cell r="B12104">
            <v>137290</v>
          </cell>
          <cell r="C12104" t="str">
            <v>Greenfield and Pulloxhill Academy</v>
          </cell>
          <cell r="D12104" t="str">
            <v>Central Bedfordshire</v>
          </cell>
          <cell r="E12104" t="str">
            <v>Academy Converters</v>
          </cell>
          <cell r="F12104" t="str">
            <v>Primary</v>
          </cell>
        </row>
        <row r="12105">
          <cell r="A12105">
            <v>8232154</v>
          </cell>
          <cell r="B12105">
            <v>137291</v>
          </cell>
          <cell r="C12105" t="str">
            <v>Greenfield and Pulloxhill Academy</v>
          </cell>
          <cell r="D12105" t="str">
            <v>Central Bedfordshire</v>
          </cell>
          <cell r="E12105" t="str">
            <v>Academy Converters</v>
          </cell>
          <cell r="F12105" t="str">
            <v>Primary</v>
          </cell>
        </row>
        <row r="12106">
          <cell r="A12106">
            <v>6642018</v>
          </cell>
          <cell r="B12106">
            <v>400324</v>
          </cell>
          <cell r="C12106" t="str">
            <v>Greenfield C.P. School</v>
          </cell>
          <cell r="D12106" t="str">
            <v>Flintshire</v>
          </cell>
          <cell r="E12106" t="str">
            <v>Welsh Establishment</v>
          </cell>
          <cell r="F12106" t="str">
            <v>Primary</v>
          </cell>
        </row>
        <row r="12107">
          <cell r="A12107">
            <v>8233007</v>
          </cell>
          <cell r="B12107">
            <v>109600</v>
          </cell>
          <cell r="C12107" t="str">
            <v>Greenfield CofE VC Lower School</v>
          </cell>
          <cell r="D12107" t="str">
            <v>Central Bedfordshire</v>
          </cell>
          <cell r="E12107" t="str">
            <v>Voluntary Controlled School</v>
          </cell>
          <cell r="F12107" t="str">
            <v>Primary</v>
          </cell>
        </row>
        <row r="12108">
          <cell r="A12108">
            <v>8404176</v>
          </cell>
          <cell r="B12108">
            <v>114305</v>
          </cell>
          <cell r="C12108" t="str">
            <v>Greenfield Community College, A Specialist Arts and Science School</v>
          </cell>
          <cell r="D12108" t="str">
            <v>Durham</v>
          </cell>
          <cell r="E12108" t="str">
            <v>Foundation School</v>
          </cell>
          <cell r="F12108" t="str">
            <v>Secondary</v>
          </cell>
        </row>
        <row r="12109">
          <cell r="A12109">
            <v>9191003</v>
          </cell>
          <cell r="B12109">
            <v>117067</v>
          </cell>
          <cell r="C12109" t="str">
            <v>Greenfield Nursery School</v>
          </cell>
          <cell r="D12109" t="str">
            <v>Hertfordshire</v>
          </cell>
          <cell r="E12109" t="str">
            <v>LA Nursery School</v>
          </cell>
          <cell r="F12109" t="str">
            <v>Nursery</v>
          </cell>
        </row>
        <row r="12110">
          <cell r="A12110">
            <v>3322109</v>
          </cell>
          <cell r="B12110">
            <v>103799</v>
          </cell>
          <cell r="C12110" t="str">
            <v>Greenfield Primary School</v>
          </cell>
          <cell r="D12110" t="str">
            <v>Dudley</v>
          </cell>
          <cell r="E12110" t="str">
            <v>Community School</v>
          </cell>
          <cell r="F12110" t="str">
            <v>Primary</v>
          </cell>
        </row>
        <row r="12111">
          <cell r="A12111">
            <v>3352239</v>
          </cell>
          <cell r="B12111">
            <v>104216</v>
          </cell>
          <cell r="C12111" t="str">
            <v>Greenfield Primary School</v>
          </cell>
          <cell r="D12111" t="str">
            <v>Walsall</v>
          </cell>
          <cell r="E12111" t="str">
            <v>Community School</v>
          </cell>
          <cell r="F12111" t="str">
            <v>Primary</v>
          </cell>
        </row>
        <row r="12112">
          <cell r="A12112">
            <v>3532077</v>
          </cell>
          <cell r="B12112">
            <v>105667</v>
          </cell>
          <cell r="C12112" t="str">
            <v>Greenfield Primary School</v>
          </cell>
          <cell r="D12112" t="str">
            <v>Oldham</v>
          </cell>
          <cell r="E12112" t="str">
            <v>Community School</v>
          </cell>
          <cell r="F12112" t="str">
            <v>Primary</v>
          </cell>
        </row>
        <row r="12113">
          <cell r="A12113">
            <v>3702100</v>
          </cell>
          <cell r="B12113">
            <v>106599</v>
          </cell>
          <cell r="C12113" t="str">
            <v>Greenfield Primary School</v>
          </cell>
          <cell r="D12113" t="str">
            <v>Barnsley</v>
          </cell>
          <cell r="E12113" t="str">
            <v>Community School</v>
          </cell>
          <cell r="F12113" t="str">
            <v>Primary</v>
          </cell>
        </row>
        <row r="12114">
          <cell r="A12114">
            <v>8552003</v>
          </cell>
          <cell r="B12114">
            <v>132226</v>
          </cell>
          <cell r="C12114" t="str">
            <v>Greenfield Primary School</v>
          </cell>
          <cell r="D12114" t="str">
            <v>Leicestershire</v>
          </cell>
          <cell r="E12114" t="str">
            <v>Community School</v>
          </cell>
          <cell r="F12114" t="str">
            <v>Primary</v>
          </cell>
        </row>
        <row r="12115">
          <cell r="A12115">
            <v>8013431</v>
          </cell>
          <cell r="B12115">
            <v>134862</v>
          </cell>
          <cell r="C12115" t="str">
            <v>Greenfield Primary School</v>
          </cell>
          <cell r="D12115" t="str">
            <v>Bristol City of</v>
          </cell>
          <cell r="E12115" t="str">
            <v>Community School</v>
          </cell>
          <cell r="F12115" t="str">
            <v>Primary</v>
          </cell>
        </row>
        <row r="12116">
          <cell r="A12116">
            <v>3572001</v>
          </cell>
          <cell r="B12116">
            <v>106178</v>
          </cell>
          <cell r="C12116" t="str">
            <v>Greenfield Primary School and Early Years Centre</v>
          </cell>
          <cell r="D12116" t="str">
            <v>Tameside</v>
          </cell>
          <cell r="E12116" t="str">
            <v>Community School</v>
          </cell>
          <cell r="F12116" t="str">
            <v>Primary</v>
          </cell>
        </row>
        <row r="12117">
          <cell r="A12117">
            <v>3807010</v>
          </cell>
          <cell r="B12117">
            <v>107467</v>
          </cell>
          <cell r="C12117" t="str">
            <v>Greenfield School</v>
          </cell>
          <cell r="D12117" t="str">
            <v>Bradford</v>
          </cell>
          <cell r="E12117" t="str">
            <v>Community Special School</v>
          </cell>
          <cell r="F12117" t="str">
            <v>Special</v>
          </cell>
        </row>
        <row r="12118">
          <cell r="A12118">
            <v>9366401</v>
          </cell>
          <cell r="B12118">
            <v>125399</v>
          </cell>
          <cell r="C12118" t="str">
            <v>Greenfield School</v>
          </cell>
          <cell r="D12118" t="str">
            <v>Surrey</v>
          </cell>
          <cell r="E12118" t="str">
            <v>Other Independent School</v>
          </cell>
          <cell r="F12118" t="str">
            <v>Not applicable</v>
          </cell>
        </row>
        <row r="12119">
          <cell r="A12119">
            <v>6757013</v>
          </cell>
          <cell r="B12119">
            <v>401923</v>
          </cell>
          <cell r="C12119" t="str">
            <v>Greenfield Special School</v>
          </cell>
          <cell r="D12119" t="str">
            <v>Merthyr Tydfil</v>
          </cell>
          <cell r="E12119" t="str">
            <v>Welsh Establishment</v>
          </cell>
          <cell r="F12119" t="str">
            <v>Not applicable</v>
          </cell>
        </row>
        <row r="12120">
          <cell r="A12120">
            <v>3533366</v>
          </cell>
          <cell r="B12120">
            <v>105723</v>
          </cell>
          <cell r="C12120" t="str">
            <v>Greenfield St Mary's CofE School</v>
          </cell>
          <cell r="D12120" t="str">
            <v>Oldham</v>
          </cell>
          <cell r="E12120" t="str">
            <v>Voluntary Aided School</v>
          </cell>
          <cell r="F12120" t="str">
            <v>Primary</v>
          </cell>
        </row>
        <row r="12121">
          <cell r="A12121">
            <v>8016131</v>
          </cell>
          <cell r="B12121">
            <v>131194</v>
          </cell>
          <cell r="C12121" t="str">
            <v>Greenfields</v>
          </cell>
          <cell r="D12121" t="str">
            <v>Bristol City of</v>
          </cell>
          <cell r="E12121" t="str">
            <v>Other Independent Special School</v>
          </cell>
          <cell r="F12121" t="str">
            <v>Not applicable</v>
          </cell>
        </row>
        <row r="12122">
          <cell r="A12122">
            <v>6796016</v>
          </cell>
          <cell r="B12122">
            <v>402124</v>
          </cell>
          <cell r="C12122" t="str">
            <v>Greenfields Adolescent Development Ltd</v>
          </cell>
          <cell r="D12122" t="str">
            <v>Monmouthshire</v>
          </cell>
          <cell r="E12122" t="str">
            <v>Welsh Establishment</v>
          </cell>
          <cell r="F12122" t="str">
            <v>Not applicable</v>
          </cell>
        </row>
        <row r="12123">
          <cell r="A12123">
            <v>3071007</v>
          </cell>
          <cell r="B12123">
            <v>101862</v>
          </cell>
          <cell r="C12123" t="str">
            <v>Greenfields Childrens Centre</v>
          </cell>
          <cell r="D12123" t="str">
            <v>Ealing</v>
          </cell>
          <cell r="E12123" t="str">
            <v>LA Nursery School</v>
          </cell>
          <cell r="F12123" t="str">
            <v>Nursery</v>
          </cell>
        </row>
        <row r="12124">
          <cell r="A12124">
            <v>3922083</v>
          </cell>
          <cell r="B12124">
            <v>108609</v>
          </cell>
          <cell r="C12124" t="str">
            <v>Greenfields Community Primary School</v>
          </cell>
          <cell r="D12124" t="str">
            <v>North Tyneside</v>
          </cell>
          <cell r="E12124" t="str">
            <v>Foundation School</v>
          </cell>
          <cell r="F12124" t="str">
            <v>Primary</v>
          </cell>
        </row>
        <row r="12125">
          <cell r="A12125">
            <v>9282060</v>
          </cell>
          <cell r="B12125">
            <v>121838</v>
          </cell>
          <cell r="C12125" t="str">
            <v>Greenfields Community Primary School</v>
          </cell>
          <cell r="D12125" t="str">
            <v>Northamptonshire</v>
          </cell>
          <cell r="E12125" t="str">
            <v>Community School</v>
          </cell>
          <cell r="F12125" t="str">
            <v>Primary</v>
          </cell>
        </row>
        <row r="12126">
          <cell r="A12126">
            <v>8863898</v>
          </cell>
          <cell r="B12126">
            <v>134857</v>
          </cell>
          <cell r="C12126" t="str">
            <v>Greenfields Community Primary School</v>
          </cell>
          <cell r="D12126" t="str">
            <v>Kent</v>
          </cell>
          <cell r="E12126" t="str">
            <v>Community School</v>
          </cell>
          <cell r="F12126" t="str">
            <v>Primary</v>
          </cell>
        </row>
        <row r="12127">
          <cell r="A12127">
            <v>8923324</v>
          </cell>
          <cell r="B12127">
            <v>134842</v>
          </cell>
          <cell r="C12127" t="str">
            <v>Greenfields Community School</v>
          </cell>
          <cell r="D12127" t="str">
            <v>Nottingham</v>
          </cell>
          <cell r="E12127" t="str">
            <v>Community School</v>
          </cell>
          <cell r="F12127" t="str">
            <v>Primary</v>
          </cell>
        </row>
        <row r="12128">
          <cell r="A12128">
            <v>8502376</v>
          </cell>
          <cell r="B12128">
            <v>116071</v>
          </cell>
          <cell r="C12128" t="str">
            <v>Greenfields Junior School</v>
          </cell>
          <cell r="D12128" t="str">
            <v>Hampshire</v>
          </cell>
          <cell r="E12128" t="str">
            <v>Community School</v>
          </cell>
          <cell r="F12128" t="str">
            <v>Primary</v>
          </cell>
        </row>
        <row r="12129">
          <cell r="A12129">
            <v>8962289</v>
          </cell>
          <cell r="B12129">
            <v>111120</v>
          </cell>
          <cell r="C12129" t="str">
            <v>Greenfields Primary School</v>
          </cell>
          <cell r="D12129" t="str">
            <v>Cheshire West and Chester</v>
          </cell>
          <cell r="E12129" t="str">
            <v>Community School</v>
          </cell>
          <cell r="F12129" t="str">
            <v>Primary</v>
          </cell>
        </row>
        <row r="12130">
          <cell r="A12130">
            <v>9192177</v>
          </cell>
          <cell r="B12130">
            <v>117193</v>
          </cell>
          <cell r="C12130" t="str">
            <v>Greenfields Primary School</v>
          </cell>
          <cell r="D12130" t="str">
            <v>Hertfordshire</v>
          </cell>
          <cell r="E12130" t="str">
            <v>Community School</v>
          </cell>
          <cell r="F12130" t="str">
            <v>Primary</v>
          </cell>
        </row>
        <row r="12131">
          <cell r="A12131">
            <v>8932178</v>
          </cell>
          <cell r="B12131">
            <v>123446</v>
          </cell>
          <cell r="C12131" t="str">
            <v>Greenfields Primary School</v>
          </cell>
          <cell r="D12131" t="str">
            <v>Shropshire</v>
          </cell>
          <cell r="E12131" t="str">
            <v>Community School</v>
          </cell>
          <cell r="F12131" t="str">
            <v>Primary</v>
          </cell>
        </row>
        <row r="12132">
          <cell r="A12132">
            <v>3097007</v>
          </cell>
          <cell r="B12132">
            <v>102179</v>
          </cell>
          <cell r="C12132" t="str">
            <v>Greenfields School</v>
          </cell>
          <cell r="D12132" t="str">
            <v>Haringey</v>
          </cell>
          <cell r="E12132" t="str">
            <v>Community Special School</v>
          </cell>
          <cell r="F12132" t="str">
            <v>Special</v>
          </cell>
        </row>
        <row r="12133">
          <cell r="A12133">
            <v>3937005</v>
          </cell>
          <cell r="B12133">
            <v>108742</v>
          </cell>
          <cell r="C12133" t="str">
            <v>Greenfields School</v>
          </cell>
          <cell r="D12133" t="str">
            <v>South Tyneside</v>
          </cell>
          <cell r="E12133" t="str">
            <v>Community Special School</v>
          </cell>
          <cell r="F12133" t="str">
            <v>Special</v>
          </cell>
        </row>
        <row r="12134">
          <cell r="A12134">
            <v>8456017</v>
          </cell>
          <cell r="B12134">
            <v>114659</v>
          </cell>
          <cell r="C12134" t="str">
            <v>Greenfields School</v>
          </cell>
          <cell r="D12134" t="str">
            <v>East Sussex</v>
          </cell>
          <cell r="E12134" t="str">
            <v>Other Independent School</v>
          </cell>
          <cell r="F12134" t="str">
            <v>Not applicable</v>
          </cell>
        </row>
        <row r="12135">
          <cell r="A12135">
            <v>8866074</v>
          </cell>
          <cell r="B12135">
            <v>131307</v>
          </cell>
          <cell r="C12135" t="str">
            <v>Greenfields School</v>
          </cell>
          <cell r="D12135" t="str">
            <v>Kent</v>
          </cell>
          <cell r="E12135" t="str">
            <v>Other Independent School</v>
          </cell>
          <cell r="F12135" t="str">
            <v>Not applicable</v>
          </cell>
        </row>
        <row r="12136">
          <cell r="A12136">
            <v>8866084</v>
          </cell>
          <cell r="B12136">
            <v>131780</v>
          </cell>
          <cell r="C12136" t="str">
            <v>Greenfields School</v>
          </cell>
          <cell r="D12136" t="str">
            <v>Kent</v>
          </cell>
          <cell r="E12136" t="str">
            <v>Other Independent Special School</v>
          </cell>
          <cell r="F12136" t="str">
            <v>Not applicable</v>
          </cell>
        </row>
        <row r="12137">
          <cell r="A12137">
            <v>9287019</v>
          </cell>
          <cell r="B12137">
            <v>122163</v>
          </cell>
          <cell r="C12137" t="str">
            <v>Greenfields School and Sports College</v>
          </cell>
          <cell r="D12137" t="str">
            <v>Northamptonshire</v>
          </cell>
          <cell r="E12137" t="str">
            <v>Community Special School</v>
          </cell>
          <cell r="F12137" t="str">
            <v>Special</v>
          </cell>
        </row>
        <row r="12138">
          <cell r="A12138">
            <v>2116000</v>
          </cell>
          <cell r="B12138">
            <v>136950</v>
          </cell>
          <cell r="C12138" t="str">
            <v>Greenfields School of Development</v>
          </cell>
          <cell r="D12138" t="str">
            <v>Tower Hamlets</v>
          </cell>
          <cell r="E12138" t="str">
            <v>Other Independent Special School</v>
          </cell>
          <cell r="F12138" t="str">
            <v>Not applicable</v>
          </cell>
        </row>
        <row r="12139">
          <cell r="A12139">
            <v>8866091</v>
          </cell>
          <cell r="B12139">
            <v>133347</v>
          </cell>
          <cell r="C12139" t="str">
            <v>Greenfinch Farm Education Centre</v>
          </cell>
          <cell r="D12139" t="str">
            <v>Kent</v>
          </cell>
          <cell r="E12139" t="str">
            <v>Other Independent Special School</v>
          </cell>
          <cell r="F12139" t="str">
            <v>Not applicable</v>
          </cell>
        </row>
        <row r="12140">
          <cell r="A12140">
            <v>3075401</v>
          </cell>
          <cell r="B12140">
            <v>101940</v>
          </cell>
          <cell r="C12140" t="str">
            <v>Greenford High School</v>
          </cell>
          <cell r="D12140" t="str">
            <v>Ealing</v>
          </cell>
          <cell r="E12140" t="str">
            <v>Foundation School</v>
          </cell>
          <cell r="F12140" t="str">
            <v>Secondary</v>
          </cell>
        </row>
        <row r="12141">
          <cell r="A12141">
            <v>9333066</v>
          </cell>
          <cell r="B12141">
            <v>123764</v>
          </cell>
          <cell r="C12141" t="str">
            <v>Greenfylde Church of England First School</v>
          </cell>
          <cell r="D12141" t="str">
            <v>Somerset</v>
          </cell>
          <cell r="E12141" t="str">
            <v>Voluntary Controlled School</v>
          </cell>
          <cell r="F12141" t="str">
            <v>Primary</v>
          </cell>
        </row>
        <row r="12142">
          <cell r="A12142">
            <v>9092508</v>
          </cell>
          <cell r="B12142">
            <v>112205</v>
          </cell>
          <cell r="C12142" t="str">
            <v>Greengate Infant School</v>
          </cell>
          <cell r="D12142" t="str">
            <v>Cumbria</v>
          </cell>
          <cell r="E12142" t="str">
            <v>Community School</v>
          </cell>
          <cell r="F12142" t="str">
            <v>Primary</v>
          </cell>
        </row>
        <row r="12143">
          <cell r="A12143">
            <v>9092509</v>
          </cell>
          <cell r="B12143">
            <v>112206</v>
          </cell>
          <cell r="C12143" t="str">
            <v>Greengate Junior School</v>
          </cell>
          <cell r="D12143" t="str">
            <v>Cumbria</v>
          </cell>
          <cell r="E12143" t="str">
            <v>Community School</v>
          </cell>
          <cell r="F12143" t="str">
            <v>Primary</v>
          </cell>
        </row>
        <row r="12144">
          <cell r="A12144">
            <v>3732305</v>
          </cell>
          <cell r="B12144">
            <v>107056</v>
          </cell>
          <cell r="C12144" t="str">
            <v>Greengate Lane Primary School</v>
          </cell>
          <cell r="D12144" t="str">
            <v>Sheffield</v>
          </cell>
          <cell r="E12144" t="str">
            <v>Community School</v>
          </cell>
          <cell r="F12144" t="str">
            <v>Primary</v>
          </cell>
        </row>
        <row r="12145">
          <cell r="A12145">
            <v>3557750</v>
          </cell>
          <cell r="B12145">
            <v>127494</v>
          </cell>
          <cell r="C12145" t="str">
            <v>Greengate School</v>
          </cell>
          <cell r="D12145" t="str">
            <v>Salford</v>
          </cell>
          <cell r="E12145" t="str">
            <v>Community Special School</v>
          </cell>
          <cell r="F12145" t="str">
            <v>Special</v>
          </cell>
        </row>
        <row r="12146">
          <cell r="A12146">
            <v>8081100</v>
          </cell>
          <cell r="B12146">
            <v>132087</v>
          </cell>
          <cell r="C12146" t="str">
            <v>Greengates Primary Pupil Support Centre</v>
          </cell>
          <cell r="D12146" t="str">
            <v>Stockton-on-Tees</v>
          </cell>
          <cell r="E12146" t="str">
            <v>Pupil Referral Unit</v>
          </cell>
          <cell r="F12146" t="str">
            <v>PRU</v>
          </cell>
        </row>
        <row r="12147">
          <cell r="A12147">
            <v>3802033</v>
          </cell>
          <cell r="B12147">
            <v>107206</v>
          </cell>
          <cell r="C12147" t="str">
            <v>Greengates Primary School</v>
          </cell>
          <cell r="D12147" t="str">
            <v>Bradford</v>
          </cell>
          <cell r="E12147" t="str">
            <v>Community School</v>
          </cell>
          <cell r="F12147" t="str">
            <v>Primary</v>
          </cell>
        </row>
        <row r="12148">
          <cell r="A12148">
            <v>8607750</v>
          </cell>
          <cell r="B12148">
            <v>124524</v>
          </cell>
          <cell r="C12148" t="str">
            <v>Greenhall Nursery</v>
          </cell>
          <cell r="D12148" t="str">
            <v>Staffordshire</v>
          </cell>
          <cell r="E12148" t="str">
            <v>Community Special School</v>
          </cell>
          <cell r="F12148" t="str">
            <v>Special</v>
          </cell>
        </row>
        <row r="12149">
          <cell r="A12149">
            <v>8692152</v>
          </cell>
          <cell r="B12149">
            <v>109881</v>
          </cell>
          <cell r="C12149" t="str">
            <v>Greenham Court Community Primary School</v>
          </cell>
          <cell r="D12149" t="str">
            <v>West Berkshire</v>
          </cell>
          <cell r="E12149" t="str">
            <v>Community School</v>
          </cell>
          <cell r="F12149" t="str">
            <v>Primary</v>
          </cell>
        </row>
        <row r="12150">
          <cell r="A12150">
            <v>9292234</v>
          </cell>
          <cell r="B12150">
            <v>122226</v>
          </cell>
          <cell r="C12150" t="str">
            <v>Greenhaugh First School</v>
          </cell>
          <cell r="D12150" t="str">
            <v>Northumberland</v>
          </cell>
          <cell r="E12150" t="str">
            <v>Community School</v>
          </cell>
          <cell r="F12150" t="str">
            <v>Primary</v>
          </cell>
        </row>
        <row r="12151">
          <cell r="A12151">
            <v>3056058</v>
          </cell>
          <cell r="B12151">
            <v>101689</v>
          </cell>
          <cell r="C12151" t="str">
            <v>Greenhayes School for Boys</v>
          </cell>
          <cell r="D12151" t="str">
            <v>Bromley</v>
          </cell>
          <cell r="E12151" t="str">
            <v>Other Independent School</v>
          </cell>
          <cell r="F12151" t="str">
            <v>Not applicable</v>
          </cell>
        </row>
        <row r="12152">
          <cell r="A12152">
            <v>9293349</v>
          </cell>
          <cell r="B12152">
            <v>122284</v>
          </cell>
          <cell r="C12152" t="str">
            <v>Greenhead Church of England First School</v>
          </cell>
          <cell r="D12152" t="str">
            <v>Northumberland</v>
          </cell>
          <cell r="E12152" t="str">
            <v>Voluntary Aided School</v>
          </cell>
          <cell r="F12152" t="str">
            <v>Primary</v>
          </cell>
        </row>
        <row r="12153">
          <cell r="A12153">
            <v>3824001</v>
          </cell>
          <cell r="B12153">
            <v>127792</v>
          </cell>
          <cell r="C12153" t="str">
            <v>Greenhead College</v>
          </cell>
          <cell r="D12153" t="str">
            <v>Kirklees</v>
          </cell>
          <cell r="E12153" t="str">
            <v>Community School</v>
          </cell>
          <cell r="F12153" t="str">
            <v>Secondary</v>
          </cell>
        </row>
        <row r="12154">
          <cell r="A12154">
            <v>3828600</v>
          </cell>
          <cell r="B12154">
            <v>130538</v>
          </cell>
          <cell r="C12154" t="str">
            <v>Greenhead College</v>
          </cell>
          <cell r="D12154" t="str">
            <v>Kirklees</v>
          </cell>
          <cell r="E12154" t="str">
            <v>Further Education</v>
          </cell>
          <cell r="F12154" t="str">
            <v>16 Plus</v>
          </cell>
        </row>
        <row r="12155">
          <cell r="A12155">
            <v>3804066</v>
          </cell>
          <cell r="B12155">
            <v>107388</v>
          </cell>
          <cell r="C12155" t="str">
            <v>Greenhead High School</v>
          </cell>
          <cell r="D12155" t="str">
            <v>Bradford</v>
          </cell>
          <cell r="E12155" t="str">
            <v>Community School</v>
          </cell>
          <cell r="F12155" t="str">
            <v>Secondary</v>
          </cell>
        </row>
        <row r="12156">
          <cell r="A12156">
            <v>3108003</v>
          </cell>
          <cell r="B12156">
            <v>130441</v>
          </cell>
          <cell r="C12156" t="str">
            <v>Greenhill College, Harrow</v>
          </cell>
          <cell r="D12156" t="str">
            <v>Harrow</v>
          </cell>
          <cell r="E12156" t="str">
            <v>Further Education</v>
          </cell>
          <cell r="F12156" t="str">
            <v>16 Plus</v>
          </cell>
        </row>
        <row r="12157">
          <cell r="A12157">
            <v>3732205</v>
          </cell>
          <cell r="B12157">
            <v>127674</v>
          </cell>
          <cell r="C12157" t="str">
            <v>Greenhill County Infant School</v>
          </cell>
          <cell r="D12157" t="str">
            <v>Sheffield</v>
          </cell>
          <cell r="E12157" t="str">
            <v>Community School</v>
          </cell>
          <cell r="F12157" t="str">
            <v>Primary</v>
          </cell>
        </row>
        <row r="12158">
          <cell r="A12158">
            <v>3732204</v>
          </cell>
          <cell r="B12158">
            <v>127673</v>
          </cell>
          <cell r="C12158" t="str">
            <v>Greenhill Junior School</v>
          </cell>
          <cell r="D12158" t="str">
            <v>Sheffield</v>
          </cell>
          <cell r="E12158" t="str">
            <v>Community School</v>
          </cell>
          <cell r="F12158" t="str">
            <v>Primary</v>
          </cell>
        </row>
        <row r="12159">
          <cell r="A12159">
            <v>3834029</v>
          </cell>
          <cell r="B12159">
            <v>127974</v>
          </cell>
          <cell r="C12159" t="str">
            <v>Greenhill Middle School</v>
          </cell>
          <cell r="D12159" t="str">
            <v>Leeds</v>
          </cell>
          <cell r="E12159" t="str">
            <v>Community School</v>
          </cell>
          <cell r="F12159" t="str">
            <v>Middle Deemed Secondary</v>
          </cell>
        </row>
        <row r="12160">
          <cell r="A12160">
            <v>3841006</v>
          </cell>
          <cell r="B12160">
            <v>108138</v>
          </cell>
          <cell r="C12160" t="str">
            <v>Greenhill Nursery School</v>
          </cell>
          <cell r="D12160" t="str">
            <v>Wakefield</v>
          </cell>
          <cell r="E12160" t="str">
            <v>LA Nursery School</v>
          </cell>
          <cell r="F12160" t="str">
            <v>Nursery</v>
          </cell>
        </row>
        <row r="12161">
          <cell r="A12161">
            <v>3512012</v>
          </cell>
          <cell r="B12161">
            <v>105290</v>
          </cell>
          <cell r="C12161" t="str">
            <v>Greenhill Primary School</v>
          </cell>
          <cell r="D12161" t="str">
            <v>Bury</v>
          </cell>
          <cell r="E12161" t="str">
            <v>Community School</v>
          </cell>
          <cell r="F12161" t="str">
            <v>Primary</v>
          </cell>
        </row>
        <row r="12162">
          <cell r="A12162">
            <v>3532097</v>
          </cell>
          <cell r="B12162">
            <v>105678</v>
          </cell>
          <cell r="C12162" t="str">
            <v>Greenhill Primary School</v>
          </cell>
          <cell r="D12162" t="str">
            <v>Oldham</v>
          </cell>
          <cell r="E12162" t="str">
            <v>Community School</v>
          </cell>
          <cell r="F12162" t="str">
            <v>Primary</v>
          </cell>
        </row>
        <row r="12163">
          <cell r="A12163">
            <v>3732341</v>
          </cell>
          <cell r="B12163">
            <v>107084</v>
          </cell>
          <cell r="C12163" t="str">
            <v>Greenhill Primary School</v>
          </cell>
          <cell r="D12163" t="str">
            <v>Sheffield</v>
          </cell>
          <cell r="E12163" t="str">
            <v>Community School</v>
          </cell>
          <cell r="F12163" t="str">
            <v>Primary</v>
          </cell>
        </row>
        <row r="12164">
          <cell r="A12164">
            <v>3832499</v>
          </cell>
          <cell r="B12164">
            <v>107975</v>
          </cell>
          <cell r="C12164" t="str">
            <v>Greenhill Primary School</v>
          </cell>
          <cell r="D12164" t="str">
            <v>Leeds</v>
          </cell>
          <cell r="E12164" t="str">
            <v>Community School</v>
          </cell>
          <cell r="F12164" t="str">
            <v>Primary</v>
          </cell>
        </row>
        <row r="12165">
          <cell r="A12165">
            <v>6762278</v>
          </cell>
          <cell r="B12165">
            <v>401349</v>
          </cell>
          <cell r="C12165" t="str">
            <v>Greenhill Primary School</v>
          </cell>
          <cell r="D12165" t="str">
            <v>Caerphilly</v>
          </cell>
          <cell r="E12165" t="str">
            <v>Welsh Establishment</v>
          </cell>
          <cell r="F12165" t="str">
            <v>Primary</v>
          </cell>
        </row>
        <row r="12166">
          <cell r="A12166">
            <v>8506027</v>
          </cell>
          <cell r="B12166">
            <v>116599</v>
          </cell>
          <cell r="C12166" t="str">
            <v>Greenhill School</v>
          </cell>
          <cell r="D12166" t="str">
            <v>Hampshire</v>
          </cell>
          <cell r="E12166" t="str">
            <v>Other Independent School</v>
          </cell>
          <cell r="F12166" t="str">
            <v>Not applicable</v>
          </cell>
        </row>
        <row r="12167">
          <cell r="A12167">
            <v>6817001</v>
          </cell>
          <cell r="B12167">
            <v>401929</v>
          </cell>
          <cell r="C12167" t="str">
            <v>Greenhill Special School</v>
          </cell>
          <cell r="D12167" t="str">
            <v>Cardiff</v>
          </cell>
          <cell r="E12167" t="str">
            <v>Welsh Establishment</v>
          </cell>
          <cell r="F12167" t="str">
            <v>Not applicable</v>
          </cell>
        </row>
        <row r="12168">
          <cell r="A12168">
            <v>3544001</v>
          </cell>
          <cell r="B12168">
            <v>127440</v>
          </cell>
          <cell r="C12168" t="str">
            <v>Greenhill Upper School</v>
          </cell>
          <cell r="D12168" t="str">
            <v>Rochdale</v>
          </cell>
          <cell r="E12168" t="str">
            <v>Community School</v>
          </cell>
          <cell r="F12168" t="str">
            <v>Secondary</v>
          </cell>
        </row>
        <row r="12169">
          <cell r="A12169">
            <v>3302085</v>
          </cell>
          <cell r="B12169">
            <v>103203</v>
          </cell>
          <cell r="C12169" t="str">
            <v>Greenholm Primary School</v>
          </cell>
          <cell r="D12169" t="str">
            <v>Birmingham</v>
          </cell>
          <cell r="E12169" t="str">
            <v>Community School</v>
          </cell>
          <cell r="F12169" t="str">
            <v>Primary</v>
          </cell>
        </row>
        <row r="12170">
          <cell r="A12170">
            <v>8926000</v>
          </cell>
          <cell r="B12170">
            <v>122910</v>
          </cell>
          <cell r="C12170" t="str">
            <v>Greenholme School</v>
          </cell>
          <cell r="D12170" t="str">
            <v>Nottingham</v>
          </cell>
          <cell r="E12170" t="str">
            <v>Other Independent School</v>
          </cell>
          <cell r="F12170" t="str">
            <v>Not applicable</v>
          </cell>
        </row>
        <row r="12171">
          <cell r="A12171">
            <v>8403526</v>
          </cell>
          <cell r="B12171">
            <v>135336</v>
          </cell>
          <cell r="C12171" t="str">
            <v>Greenland Community Primary School</v>
          </cell>
          <cell r="D12171" t="str">
            <v>Durham</v>
          </cell>
          <cell r="E12171" t="str">
            <v>Community School</v>
          </cell>
          <cell r="F12171" t="str">
            <v>Primary</v>
          </cell>
        </row>
        <row r="12172">
          <cell r="A12172">
            <v>8402224</v>
          </cell>
          <cell r="B12172">
            <v>114029</v>
          </cell>
          <cell r="C12172" t="str">
            <v>Greenland Infant School</v>
          </cell>
          <cell r="D12172" t="str">
            <v>Durham</v>
          </cell>
          <cell r="E12172" t="str">
            <v>Community School</v>
          </cell>
          <cell r="F12172" t="str">
            <v>Primary</v>
          </cell>
        </row>
        <row r="12173">
          <cell r="A12173">
            <v>8402223</v>
          </cell>
          <cell r="B12173">
            <v>114028</v>
          </cell>
          <cell r="C12173" t="str">
            <v>Greenland Junior School</v>
          </cell>
          <cell r="D12173" t="str">
            <v>Durham</v>
          </cell>
          <cell r="E12173" t="str">
            <v>Community School</v>
          </cell>
          <cell r="F12173" t="str">
            <v>Primary</v>
          </cell>
        </row>
        <row r="12174">
          <cell r="A12174">
            <v>3732129</v>
          </cell>
          <cell r="B12174">
            <v>107019</v>
          </cell>
          <cell r="C12174" t="str">
            <v>Greenlands Junior School</v>
          </cell>
          <cell r="D12174" t="str">
            <v>Sheffield</v>
          </cell>
          <cell r="E12174" t="str">
            <v>Community School</v>
          </cell>
          <cell r="F12174" t="str">
            <v>Primary</v>
          </cell>
        </row>
        <row r="12175">
          <cell r="A12175">
            <v>3732131</v>
          </cell>
          <cell r="B12175">
            <v>107020</v>
          </cell>
          <cell r="C12175" t="str">
            <v>Greenlands Nursery Infant School</v>
          </cell>
          <cell r="D12175" t="str">
            <v>Sheffield</v>
          </cell>
          <cell r="E12175" t="str">
            <v>Community School</v>
          </cell>
          <cell r="F12175" t="str">
            <v>Primary</v>
          </cell>
        </row>
        <row r="12176">
          <cell r="A12176">
            <v>6782128</v>
          </cell>
          <cell r="B12176">
            <v>401425</v>
          </cell>
          <cell r="C12176" t="str">
            <v>Greenlawn Junior School</v>
          </cell>
          <cell r="D12176" t="str">
            <v>Torfaen</v>
          </cell>
          <cell r="E12176" t="str">
            <v>Welsh Establishment</v>
          </cell>
          <cell r="F12176" t="str">
            <v>Primary</v>
          </cell>
        </row>
        <row r="12177">
          <cell r="A12177">
            <v>3202031</v>
          </cell>
          <cell r="B12177">
            <v>103054</v>
          </cell>
          <cell r="C12177" t="str">
            <v>Greenleaf Primary School</v>
          </cell>
          <cell r="D12177" t="str">
            <v>Waltham Forest</v>
          </cell>
          <cell r="E12177" t="str">
            <v>Community School</v>
          </cell>
          <cell r="F12177" t="str">
            <v>Primary</v>
          </cell>
        </row>
        <row r="12178">
          <cell r="A12178">
            <v>8232289</v>
          </cell>
          <cell r="B12178">
            <v>109591</v>
          </cell>
          <cell r="C12178" t="str">
            <v>Greenleas Lower School</v>
          </cell>
          <cell r="D12178" t="str">
            <v>Central Bedfordshire</v>
          </cell>
          <cell r="E12178" t="str">
            <v>Community School</v>
          </cell>
          <cell r="F12178" t="str">
            <v>Primary</v>
          </cell>
        </row>
        <row r="12179">
          <cell r="A12179">
            <v>3442117</v>
          </cell>
          <cell r="B12179">
            <v>105004</v>
          </cell>
          <cell r="C12179" t="str">
            <v>Greenleas Primary School</v>
          </cell>
          <cell r="D12179" t="str">
            <v>Wirral</v>
          </cell>
          <cell r="E12179" t="str">
            <v>Community School</v>
          </cell>
          <cell r="F12179" t="str">
            <v>Primary</v>
          </cell>
        </row>
        <row r="12180">
          <cell r="A12180">
            <v>8262272</v>
          </cell>
          <cell r="B12180">
            <v>110345</v>
          </cell>
          <cell r="C12180" t="str">
            <v>Greenleys Infant School</v>
          </cell>
          <cell r="D12180" t="str">
            <v>Milton Keynes</v>
          </cell>
          <cell r="E12180" t="str">
            <v>Community School</v>
          </cell>
          <cell r="F12180" t="str">
            <v>Primary</v>
          </cell>
        </row>
        <row r="12181">
          <cell r="A12181">
            <v>8262305</v>
          </cell>
          <cell r="B12181">
            <v>110367</v>
          </cell>
          <cell r="C12181" t="str">
            <v>Greenleys Junior School</v>
          </cell>
          <cell r="D12181" t="str">
            <v>Milton Keynes</v>
          </cell>
          <cell r="E12181" t="str">
            <v>Community School</v>
          </cell>
          <cell r="F12181" t="str">
            <v>Primary</v>
          </cell>
        </row>
        <row r="12182">
          <cell r="A12182">
            <v>2127123</v>
          </cell>
          <cell r="B12182">
            <v>101099</v>
          </cell>
          <cell r="C12182" t="str">
            <v>Greenmead School</v>
          </cell>
          <cell r="D12182" t="str">
            <v>Wandsworth</v>
          </cell>
          <cell r="E12182" t="str">
            <v>Community Special School</v>
          </cell>
          <cell r="F12182" t="str">
            <v>Special</v>
          </cell>
        </row>
        <row r="12183">
          <cell r="A12183">
            <v>8662164</v>
          </cell>
          <cell r="B12183">
            <v>126251</v>
          </cell>
          <cell r="C12183" t="str">
            <v>Greenmeadow Primary School</v>
          </cell>
          <cell r="D12183" t="str">
            <v>Swindon</v>
          </cell>
          <cell r="E12183" t="str">
            <v>Community School</v>
          </cell>
          <cell r="F12183" t="str">
            <v>Primary</v>
          </cell>
        </row>
        <row r="12184">
          <cell r="A12184">
            <v>6782249</v>
          </cell>
          <cell r="B12184">
            <v>401441</v>
          </cell>
          <cell r="C12184" t="str">
            <v>Greenmeadow Primary School</v>
          </cell>
          <cell r="D12184" t="str">
            <v>Torfaen</v>
          </cell>
          <cell r="E12184" t="str">
            <v>Welsh Establishment</v>
          </cell>
          <cell r="F12184" t="str">
            <v>Primary</v>
          </cell>
        </row>
        <row r="12185">
          <cell r="A12185">
            <v>9312559</v>
          </cell>
          <cell r="B12185">
            <v>123058</v>
          </cell>
          <cell r="C12185" t="str">
            <v>Greenmere Primary School</v>
          </cell>
          <cell r="D12185" t="str">
            <v>Oxfordshire</v>
          </cell>
          <cell r="E12185" t="str">
            <v>Community School</v>
          </cell>
          <cell r="F12185" t="str">
            <v>Primary</v>
          </cell>
        </row>
        <row r="12186">
          <cell r="A12186">
            <v>3832073</v>
          </cell>
          <cell r="B12186">
            <v>127822</v>
          </cell>
          <cell r="C12186" t="str">
            <v>Greenmount First School</v>
          </cell>
          <cell r="D12186" t="str">
            <v>Leeds</v>
          </cell>
          <cell r="E12186" t="str">
            <v>Community School</v>
          </cell>
          <cell r="F12186" t="str">
            <v>Primary</v>
          </cell>
        </row>
        <row r="12187">
          <cell r="A12187">
            <v>3512032</v>
          </cell>
          <cell r="B12187">
            <v>105301</v>
          </cell>
          <cell r="C12187" t="str">
            <v>Greenmount Primary School</v>
          </cell>
          <cell r="D12187" t="str">
            <v>Bury</v>
          </cell>
          <cell r="E12187" t="str">
            <v>Community School</v>
          </cell>
          <cell r="F12187" t="str">
            <v>Primary</v>
          </cell>
        </row>
        <row r="12188">
          <cell r="A12188">
            <v>3832473</v>
          </cell>
          <cell r="B12188">
            <v>107949</v>
          </cell>
          <cell r="C12188" t="str">
            <v>Greenmount Primary School</v>
          </cell>
          <cell r="D12188" t="str">
            <v>Leeds</v>
          </cell>
          <cell r="E12188" t="str">
            <v>Community School</v>
          </cell>
          <cell r="F12188" t="str">
            <v>Primary</v>
          </cell>
        </row>
        <row r="12189">
          <cell r="A12189">
            <v>6816089</v>
          </cell>
          <cell r="B12189">
            <v>402049</v>
          </cell>
          <cell r="C12189" t="str">
            <v>Greenpastures Christian Academy</v>
          </cell>
          <cell r="D12189" t="str">
            <v>Cardiff</v>
          </cell>
          <cell r="E12189" t="str">
            <v>Welsh Establishment</v>
          </cell>
          <cell r="F12189" t="str">
            <v>Not applicable</v>
          </cell>
        </row>
        <row r="12190">
          <cell r="A12190">
            <v>9283032</v>
          </cell>
          <cell r="B12190">
            <v>121974</v>
          </cell>
          <cell r="C12190" t="str">
            <v>Greens Norton Church of England Primary School</v>
          </cell>
          <cell r="D12190" t="str">
            <v>Northamptonshire</v>
          </cell>
          <cell r="E12190" t="str">
            <v>Voluntary Controlled School</v>
          </cell>
          <cell r="F12190" t="str">
            <v>Primary</v>
          </cell>
        </row>
        <row r="12191">
          <cell r="A12191">
            <v>3194007</v>
          </cell>
          <cell r="B12191">
            <v>103000</v>
          </cell>
          <cell r="C12191" t="str">
            <v>Greenshaw High School</v>
          </cell>
          <cell r="D12191" t="str">
            <v>Sutton</v>
          </cell>
          <cell r="E12191" t="str">
            <v>Community School</v>
          </cell>
          <cell r="F12191" t="str">
            <v>Secondary</v>
          </cell>
        </row>
        <row r="12192">
          <cell r="A12192">
            <v>3194007</v>
          </cell>
          <cell r="B12192">
            <v>136800</v>
          </cell>
          <cell r="C12192" t="str">
            <v>Greenshaw High School</v>
          </cell>
          <cell r="D12192" t="str">
            <v>Sutton</v>
          </cell>
          <cell r="E12192" t="str">
            <v>Academy Converters</v>
          </cell>
          <cell r="F12192" t="str">
            <v>Secondary</v>
          </cell>
        </row>
        <row r="12193">
          <cell r="A12193">
            <v>3822044</v>
          </cell>
          <cell r="B12193">
            <v>107629</v>
          </cell>
          <cell r="C12193" t="str">
            <v>Greenside Infant and Nursery School</v>
          </cell>
          <cell r="D12193" t="str">
            <v>Kirklees</v>
          </cell>
          <cell r="E12193" t="str">
            <v>Community School</v>
          </cell>
          <cell r="F12193" t="str">
            <v>Primary</v>
          </cell>
        </row>
        <row r="12194">
          <cell r="A12194">
            <v>2052913</v>
          </cell>
          <cell r="B12194">
            <v>100343</v>
          </cell>
          <cell r="C12194" t="str">
            <v>Greenside Primary School</v>
          </cell>
          <cell r="D12194" t="str">
            <v>Hammersmith and Fulham</v>
          </cell>
          <cell r="E12194" t="str">
            <v>Community School</v>
          </cell>
          <cell r="F12194" t="str">
            <v>Primary</v>
          </cell>
        </row>
        <row r="12195">
          <cell r="A12195">
            <v>3832303</v>
          </cell>
          <cell r="B12195">
            <v>107828</v>
          </cell>
          <cell r="C12195" t="str">
            <v>Greenside Primary School</v>
          </cell>
          <cell r="D12195" t="str">
            <v>Leeds</v>
          </cell>
          <cell r="E12195" t="str">
            <v>Community School</v>
          </cell>
          <cell r="F12195" t="str">
            <v>Primary</v>
          </cell>
        </row>
        <row r="12196">
          <cell r="A12196">
            <v>3902181</v>
          </cell>
          <cell r="B12196">
            <v>108348</v>
          </cell>
          <cell r="C12196" t="str">
            <v>Greenside Primary School</v>
          </cell>
          <cell r="D12196" t="str">
            <v>Gateshead</v>
          </cell>
          <cell r="E12196" t="str">
            <v>Community School</v>
          </cell>
          <cell r="F12196" t="str">
            <v>Primary</v>
          </cell>
        </row>
        <row r="12197">
          <cell r="A12197">
            <v>3572066</v>
          </cell>
          <cell r="B12197">
            <v>106218</v>
          </cell>
          <cell r="C12197" t="str">
            <v>Greenside Primary School and Children's Centre</v>
          </cell>
          <cell r="D12197" t="str">
            <v>Tameside</v>
          </cell>
          <cell r="E12197" t="str">
            <v>Community School</v>
          </cell>
          <cell r="F12197" t="str">
            <v>Primary</v>
          </cell>
        </row>
        <row r="12198">
          <cell r="A12198">
            <v>9197042</v>
          </cell>
          <cell r="B12198">
            <v>117690</v>
          </cell>
          <cell r="C12198" t="str">
            <v>Greenside School</v>
          </cell>
          <cell r="D12198" t="str">
            <v>Hertfordshire</v>
          </cell>
          <cell r="E12198" t="str">
            <v>Community Special School</v>
          </cell>
          <cell r="F12198" t="str">
            <v>Special</v>
          </cell>
        </row>
        <row r="12199">
          <cell r="A12199">
            <v>9197027</v>
          </cell>
          <cell r="B12199">
            <v>129183</v>
          </cell>
          <cell r="C12199" t="str">
            <v>Greenside School</v>
          </cell>
          <cell r="D12199" t="str">
            <v>Hertfordshire</v>
          </cell>
          <cell r="E12199" t="str">
            <v>Community Special School</v>
          </cell>
          <cell r="F12199" t="str">
            <v>Special</v>
          </cell>
        </row>
        <row r="12200">
          <cell r="A12200">
            <v>8022257</v>
          </cell>
          <cell r="B12200">
            <v>109078</v>
          </cell>
          <cell r="C12200" t="str">
            <v>Greenslade Infant School</v>
          </cell>
          <cell r="D12200" t="str">
            <v>North Somerset</v>
          </cell>
          <cell r="E12200" t="str">
            <v>Community School</v>
          </cell>
          <cell r="F12200" t="str">
            <v>Primary</v>
          </cell>
        </row>
        <row r="12201">
          <cell r="A12201">
            <v>2032915</v>
          </cell>
          <cell r="B12201">
            <v>100162</v>
          </cell>
          <cell r="C12201" t="str">
            <v>Greenslade Primary School</v>
          </cell>
          <cell r="D12201" t="str">
            <v>Greenwich</v>
          </cell>
          <cell r="E12201" t="str">
            <v>Community School</v>
          </cell>
          <cell r="F12201" t="str">
            <v>Primary</v>
          </cell>
        </row>
        <row r="12202">
          <cell r="A12202">
            <v>3306126</v>
          </cell>
          <cell r="B12202">
            <v>135527</v>
          </cell>
          <cell r="C12202" t="str">
            <v>Greenspring Training</v>
          </cell>
          <cell r="D12202" t="str">
            <v>Birmingham</v>
          </cell>
          <cell r="E12202" t="str">
            <v>Other Independent School</v>
          </cell>
          <cell r="F12202" t="str">
            <v>Not applicable</v>
          </cell>
        </row>
        <row r="12203">
          <cell r="A12203">
            <v>8812066</v>
          </cell>
          <cell r="B12203">
            <v>114754</v>
          </cell>
          <cell r="C12203" t="str">
            <v>Greenstead, St Andrew's Nursery and Infant School</v>
          </cell>
          <cell r="D12203" t="str">
            <v>Essex</v>
          </cell>
          <cell r="E12203" t="str">
            <v>Community School</v>
          </cell>
          <cell r="F12203" t="str">
            <v>Primary</v>
          </cell>
        </row>
        <row r="12204">
          <cell r="A12204">
            <v>8812481</v>
          </cell>
          <cell r="B12204">
            <v>114863</v>
          </cell>
          <cell r="C12204" t="str">
            <v>Greensted Infant School and Nursery</v>
          </cell>
          <cell r="D12204" t="str">
            <v>Essex</v>
          </cell>
          <cell r="E12204" t="str">
            <v>Community School</v>
          </cell>
          <cell r="F12204" t="str">
            <v>Primary</v>
          </cell>
        </row>
        <row r="12205">
          <cell r="A12205">
            <v>8812471</v>
          </cell>
          <cell r="B12205">
            <v>114859</v>
          </cell>
          <cell r="C12205" t="str">
            <v>Greensted Junior School</v>
          </cell>
          <cell r="D12205" t="str">
            <v>Essex</v>
          </cell>
          <cell r="E12205" t="str">
            <v>Community School</v>
          </cell>
          <cell r="F12205" t="str">
            <v>Primary</v>
          </cell>
        </row>
        <row r="12206">
          <cell r="A12206">
            <v>8816906</v>
          </cell>
          <cell r="B12206">
            <v>135652</v>
          </cell>
          <cell r="C12206" t="str">
            <v>Greensward Academy</v>
          </cell>
          <cell r="D12206" t="str">
            <v>Essex</v>
          </cell>
          <cell r="E12206" t="str">
            <v>Academy Sponsor Led</v>
          </cell>
          <cell r="F12206" t="str">
            <v>Secondary</v>
          </cell>
        </row>
        <row r="12207">
          <cell r="A12207">
            <v>8815435</v>
          </cell>
          <cell r="B12207">
            <v>115351</v>
          </cell>
          <cell r="C12207" t="str">
            <v>Greensward College</v>
          </cell>
          <cell r="D12207" t="str">
            <v>Essex</v>
          </cell>
          <cell r="E12207" t="str">
            <v>Foundation School</v>
          </cell>
          <cell r="F12207" t="str">
            <v>Secondary</v>
          </cell>
        </row>
        <row r="12208">
          <cell r="A12208">
            <v>8652004</v>
          </cell>
          <cell r="B12208">
            <v>132831</v>
          </cell>
          <cell r="C12208" t="str">
            <v>Greentrees Primary School</v>
          </cell>
          <cell r="D12208" t="str">
            <v>Wiltshire</v>
          </cell>
          <cell r="E12208" t="str">
            <v>Community School</v>
          </cell>
          <cell r="F12208" t="str">
            <v>Primary</v>
          </cell>
        </row>
        <row r="12209">
          <cell r="A12209">
            <v>8872198</v>
          </cell>
          <cell r="B12209">
            <v>118317</v>
          </cell>
          <cell r="C12209" t="str">
            <v>Greenvale Infant School</v>
          </cell>
          <cell r="D12209" t="str">
            <v>Medway</v>
          </cell>
          <cell r="E12209" t="str">
            <v>Community School</v>
          </cell>
          <cell r="F12209" t="str">
            <v>Primary</v>
          </cell>
        </row>
        <row r="12210">
          <cell r="A12210">
            <v>3062098</v>
          </cell>
          <cell r="B12210">
            <v>101781</v>
          </cell>
          <cell r="C12210" t="str">
            <v>Greenvale Primary School</v>
          </cell>
          <cell r="D12210" t="str">
            <v>Croydon</v>
          </cell>
          <cell r="E12210" t="str">
            <v>Community School</v>
          </cell>
          <cell r="F12210" t="str">
            <v>Primary</v>
          </cell>
        </row>
        <row r="12211">
          <cell r="A12211">
            <v>2097180</v>
          </cell>
          <cell r="B12211">
            <v>100765</v>
          </cell>
          <cell r="C12211" t="str">
            <v>Greenvale School</v>
          </cell>
          <cell r="D12211" t="str">
            <v>Lewisham</v>
          </cell>
          <cell r="E12211" t="str">
            <v>Community Special School</v>
          </cell>
          <cell r="F12211" t="str">
            <v>Special</v>
          </cell>
        </row>
        <row r="12212">
          <cell r="A12212">
            <v>9192326</v>
          </cell>
          <cell r="B12212">
            <v>117276</v>
          </cell>
          <cell r="C12212" t="str">
            <v>Greenway First and Nursery School</v>
          </cell>
          <cell r="D12212" t="str">
            <v>Hertfordshire</v>
          </cell>
          <cell r="E12212" t="str">
            <v>Community School</v>
          </cell>
          <cell r="F12212" t="str">
            <v>Primary</v>
          </cell>
        </row>
        <row r="12213">
          <cell r="A12213">
            <v>8766003</v>
          </cell>
          <cell r="B12213">
            <v>135352</v>
          </cell>
          <cell r="C12213" t="str">
            <v>Greenway Green Corns</v>
          </cell>
          <cell r="D12213" t="str">
            <v>Halton</v>
          </cell>
          <cell r="E12213" t="str">
            <v>Other Independent Special School</v>
          </cell>
          <cell r="F12213" t="str">
            <v>Not applicable</v>
          </cell>
        </row>
        <row r="12214">
          <cell r="A12214">
            <v>6812045</v>
          </cell>
          <cell r="B12214">
            <v>401583</v>
          </cell>
          <cell r="C12214" t="str">
            <v>Greenway Primary School</v>
          </cell>
          <cell r="D12214" t="str">
            <v>Cardiff</v>
          </cell>
          <cell r="E12214" t="str">
            <v>Welsh Establishment</v>
          </cell>
          <cell r="F12214" t="str">
            <v>Primary</v>
          </cell>
        </row>
        <row r="12215">
          <cell r="A12215">
            <v>8252183</v>
          </cell>
          <cell r="B12215">
            <v>110288</v>
          </cell>
          <cell r="C12215" t="str">
            <v>Greenway School</v>
          </cell>
          <cell r="D12215" t="str">
            <v>Buckinghamshire</v>
          </cell>
          <cell r="E12215" t="str">
            <v>Community School</v>
          </cell>
          <cell r="F12215" t="str">
            <v>Primary</v>
          </cell>
        </row>
        <row r="12216">
          <cell r="A12216">
            <v>9385200</v>
          </cell>
          <cell r="B12216">
            <v>126103</v>
          </cell>
          <cell r="C12216" t="str">
            <v>Greenway School</v>
          </cell>
          <cell r="D12216" t="str">
            <v>West Sussex</v>
          </cell>
          <cell r="E12216" t="str">
            <v>Foundation School</v>
          </cell>
          <cell r="F12216" t="str">
            <v>Primary</v>
          </cell>
        </row>
        <row r="12217">
          <cell r="A12217">
            <v>9366562</v>
          </cell>
          <cell r="B12217">
            <v>130133</v>
          </cell>
          <cell r="C12217" t="str">
            <v>Greenways</v>
          </cell>
          <cell r="D12217" t="str">
            <v>Surrey</v>
          </cell>
          <cell r="E12217" t="str">
            <v>Other Independent School</v>
          </cell>
          <cell r="F12217" t="str">
            <v>Not applicable</v>
          </cell>
        </row>
        <row r="12218">
          <cell r="A12218">
            <v>8612111</v>
          </cell>
          <cell r="B12218">
            <v>124025</v>
          </cell>
          <cell r="C12218" t="str">
            <v>Greenways Primary School</v>
          </cell>
          <cell r="D12218" t="str">
            <v>Stoke-on-Trent</v>
          </cell>
          <cell r="E12218" t="str">
            <v>Community School</v>
          </cell>
          <cell r="F12218" t="str">
            <v>Primary</v>
          </cell>
        </row>
        <row r="12219">
          <cell r="A12219">
            <v>3417040</v>
          </cell>
          <cell r="B12219">
            <v>104740</v>
          </cell>
          <cell r="C12219" t="str">
            <v>Greenways School</v>
          </cell>
          <cell r="D12219" t="str">
            <v>Liverpool</v>
          </cell>
          <cell r="E12219" t="str">
            <v>Community Special School</v>
          </cell>
          <cell r="F12219" t="str">
            <v>Special</v>
          </cell>
        </row>
        <row r="12220">
          <cell r="A12220">
            <v>2038047</v>
          </cell>
          <cell r="B12220">
            <v>130405</v>
          </cell>
          <cell r="C12220" t="str">
            <v>Greenwich Community College at Plumstead Centre</v>
          </cell>
          <cell r="D12220" t="str">
            <v>Greenwich</v>
          </cell>
          <cell r="E12220" t="str">
            <v>Further Education</v>
          </cell>
          <cell r="F12220" t="str">
            <v>16 Plus</v>
          </cell>
        </row>
        <row r="12221">
          <cell r="A12221">
            <v>9256038</v>
          </cell>
          <cell r="B12221">
            <v>120743</v>
          </cell>
          <cell r="C12221" t="str">
            <v>Greenwich House School</v>
          </cell>
          <cell r="D12221" t="str">
            <v>Lincolnshire</v>
          </cell>
          <cell r="E12221" t="str">
            <v>Other Independent School</v>
          </cell>
          <cell r="F12221" t="str">
            <v>Not applicable</v>
          </cell>
        </row>
        <row r="12222">
          <cell r="A12222">
            <v>2036299</v>
          </cell>
          <cell r="B12222">
            <v>132066</v>
          </cell>
          <cell r="C12222" t="str">
            <v>Greenwich Steiner School</v>
          </cell>
          <cell r="D12222" t="str">
            <v>Greenwich</v>
          </cell>
          <cell r="E12222" t="str">
            <v>Other Independent School</v>
          </cell>
          <cell r="F12222" t="str">
            <v>Not applicable</v>
          </cell>
        </row>
        <row r="12223">
          <cell r="A12223">
            <v>9261100</v>
          </cell>
          <cell r="B12223">
            <v>120768</v>
          </cell>
          <cell r="C12223" t="str">
            <v>Greenwood Centre</v>
          </cell>
          <cell r="D12223" t="str">
            <v>Norfolk</v>
          </cell>
          <cell r="E12223" t="str">
            <v>Pupil Referral Unit</v>
          </cell>
          <cell r="F12223" t="str">
            <v>PRU</v>
          </cell>
        </row>
        <row r="12224">
          <cell r="A12224">
            <v>8925402</v>
          </cell>
          <cell r="B12224">
            <v>122904</v>
          </cell>
          <cell r="C12224" t="str">
            <v>Greenwood Dale School</v>
          </cell>
          <cell r="D12224" t="str">
            <v>Nottingham</v>
          </cell>
          <cell r="E12224" t="str">
            <v>Foundation School</v>
          </cell>
          <cell r="F12224" t="str">
            <v>Secondary</v>
          </cell>
        </row>
        <row r="12225">
          <cell r="A12225">
            <v>3152078</v>
          </cell>
          <cell r="B12225">
            <v>102650</v>
          </cell>
          <cell r="C12225" t="str">
            <v>Greenwood First School</v>
          </cell>
          <cell r="D12225" t="str">
            <v>Merton</v>
          </cell>
          <cell r="E12225" t="str">
            <v>Community School</v>
          </cell>
          <cell r="F12225" t="str">
            <v>Primary</v>
          </cell>
        </row>
        <row r="12226">
          <cell r="A12226">
            <v>3072137</v>
          </cell>
          <cell r="B12226">
            <v>126861</v>
          </cell>
          <cell r="C12226" t="str">
            <v>Greenwood First School</v>
          </cell>
          <cell r="D12226" t="str">
            <v>Ealing</v>
          </cell>
          <cell r="E12226" t="str">
            <v>Community School</v>
          </cell>
          <cell r="F12226" t="str">
            <v>Primary</v>
          </cell>
        </row>
        <row r="12227">
          <cell r="A12227">
            <v>3072139</v>
          </cell>
          <cell r="B12227">
            <v>126862</v>
          </cell>
          <cell r="C12227" t="str">
            <v>Greenwood Middle School</v>
          </cell>
          <cell r="D12227" t="str">
            <v>Ealing</v>
          </cell>
          <cell r="E12227" t="str">
            <v>Community School</v>
          </cell>
          <cell r="F12227" t="str">
            <v>Middle Deemed Primary</v>
          </cell>
        </row>
        <row r="12228">
          <cell r="A12228">
            <v>8912919</v>
          </cell>
          <cell r="B12228">
            <v>122723</v>
          </cell>
          <cell r="C12228" t="str">
            <v>Greenwood Primary and Nursery School</v>
          </cell>
          <cell r="D12228" t="str">
            <v>Nottinghamshire</v>
          </cell>
          <cell r="E12228" t="str">
            <v>Community School</v>
          </cell>
          <cell r="F12228" t="str">
            <v>Primary</v>
          </cell>
        </row>
        <row r="12229">
          <cell r="A12229">
            <v>3072169</v>
          </cell>
          <cell r="B12229">
            <v>101899</v>
          </cell>
          <cell r="C12229" t="str">
            <v>Greenwood Primary School</v>
          </cell>
          <cell r="D12229" t="str">
            <v>Ealing</v>
          </cell>
          <cell r="E12229" t="str">
            <v>Community School</v>
          </cell>
          <cell r="F12229" t="str">
            <v>Primary</v>
          </cell>
        </row>
        <row r="12230">
          <cell r="A12230">
            <v>3832480</v>
          </cell>
          <cell r="B12230">
            <v>107956</v>
          </cell>
          <cell r="C12230" t="str">
            <v>Greenwood Primary School</v>
          </cell>
          <cell r="D12230" t="str">
            <v>Leeds</v>
          </cell>
          <cell r="E12230" t="str">
            <v>Community School</v>
          </cell>
          <cell r="F12230" t="str">
            <v>Primary</v>
          </cell>
        </row>
        <row r="12231">
          <cell r="A12231">
            <v>2037197</v>
          </cell>
          <cell r="B12231">
            <v>100210</v>
          </cell>
          <cell r="C12231" t="str">
            <v>Greenwood School</v>
          </cell>
          <cell r="D12231" t="str">
            <v>Greenwich</v>
          </cell>
          <cell r="E12231" t="str">
            <v>Community Special School</v>
          </cell>
          <cell r="F12231" t="str">
            <v>Special</v>
          </cell>
        </row>
        <row r="12232">
          <cell r="A12232">
            <v>3557024</v>
          </cell>
          <cell r="B12232">
            <v>106008</v>
          </cell>
          <cell r="C12232" t="str">
            <v>Greenwood School</v>
          </cell>
          <cell r="D12232" t="str">
            <v>Salford</v>
          </cell>
          <cell r="E12232" t="str">
            <v>Community Special School</v>
          </cell>
          <cell r="F12232" t="str">
            <v>Special</v>
          </cell>
        </row>
        <row r="12233">
          <cell r="A12233">
            <v>8817019</v>
          </cell>
          <cell r="B12233">
            <v>115448</v>
          </cell>
          <cell r="C12233" t="str">
            <v>Greenwood School</v>
          </cell>
          <cell r="D12233" t="str">
            <v>Essex</v>
          </cell>
          <cell r="E12233" t="str">
            <v>Non-Maintained Special School</v>
          </cell>
          <cell r="F12233" t="str">
            <v>Special</v>
          </cell>
        </row>
        <row r="12234">
          <cell r="A12234">
            <v>9036152</v>
          </cell>
          <cell r="B12234">
            <v>128301</v>
          </cell>
          <cell r="C12234" t="str">
            <v>Greenwood School</v>
          </cell>
          <cell r="D12234" t="str">
            <v>Pre LGR (1998) Berkshire</v>
          </cell>
          <cell r="E12234" t="str">
            <v>Other Independent School</v>
          </cell>
          <cell r="F12234" t="str">
            <v>Not applicable</v>
          </cell>
        </row>
        <row r="12235">
          <cell r="A12235">
            <v>8816046</v>
          </cell>
          <cell r="B12235">
            <v>131641</v>
          </cell>
          <cell r="C12235" t="str">
            <v>Greenwood School</v>
          </cell>
          <cell r="D12235" t="str">
            <v>Essex</v>
          </cell>
          <cell r="E12235" t="str">
            <v>Other Independent School</v>
          </cell>
          <cell r="F12235" t="str">
            <v>Not applicable</v>
          </cell>
        </row>
        <row r="12236">
          <cell r="A12236">
            <v>3302086</v>
          </cell>
          <cell r="B12236">
            <v>103204</v>
          </cell>
          <cell r="C12236" t="str">
            <v>Greet Primary School</v>
          </cell>
          <cell r="D12236" t="str">
            <v>Birmingham</v>
          </cell>
          <cell r="E12236" t="str">
            <v>Community School</v>
          </cell>
          <cell r="F12236" t="str">
            <v>Primary</v>
          </cell>
        </row>
        <row r="12237">
          <cell r="A12237">
            <v>3812049</v>
          </cell>
          <cell r="B12237">
            <v>107504</v>
          </cell>
          <cell r="C12237" t="str">
            <v>Greetland Primary School</v>
          </cell>
          <cell r="D12237" t="str">
            <v>Calderdale</v>
          </cell>
          <cell r="E12237" t="str">
            <v>Community School</v>
          </cell>
          <cell r="F12237" t="str">
            <v>Primary</v>
          </cell>
        </row>
        <row r="12238">
          <cell r="A12238">
            <v>8912881</v>
          </cell>
          <cell r="B12238">
            <v>122691</v>
          </cell>
          <cell r="C12238" t="str">
            <v>Greggs Mill First and Asquith Nursery School</v>
          </cell>
          <cell r="D12238" t="str">
            <v>Nottinghamshire</v>
          </cell>
          <cell r="E12238" t="str">
            <v>Community School</v>
          </cell>
          <cell r="F12238" t="str">
            <v>Primary</v>
          </cell>
        </row>
        <row r="12239">
          <cell r="A12239">
            <v>9253352</v>
          </cell>
          <cell r="B12239">
            <v>129587</v>
          </cell>
          <cell r="C12239" t="str">
            <v>Gregory Croft CofE Primary School</v>
          </cell>
          <cell r="D12239" t="str">
            <v>Lincolnshire</v>
          </cell>
          <cell r="E12239" t="str">
            <v>Voluntary Aided School</v>
          </cell>
          <cell r="F12239" t="str">
            <v>Primary</v>
          </cell>
        </row>
        <row r="12240">
          <cell r="A12240">
            <v>3804049</v>
          </cell>
          <cell r="B12240">
            <v>107373</v>
          </cell>
          <cell r="C12240" t="str">
            <v>Gregory Middle School</v>
          </cell>
          <cell r="D12240" t="str">
            <v>Bradford</v>
          </cell>
          <cell r="E12240" t="str">
            <v>Community School</v>
          </cell>
          <cell r="F12240" t="str">
            <v>Middle Deemed Secondary</v>
          </cell>
        </row>
        <row r="12241">
          <cell r="A12241">
            <v>3096905</v>
          </cell>
          <cell r="B12241">
            <v>133386</v>
          </cell>
          <cell r="C12241" t="str">
            <v>Greig City Academy</v>
          </cell>
          <cell r="D12241" t="str">
            <v>Haringey</v>
          </cell>
          <cell r="E12241" t="str">
            <v>Academy Sponsor Led</v>
          </cell>
          <cell r="F12241" t="str">
            <v>Secondary</v>
          </cell>
        </row>
        <row r="12242">
          <cell r="A12242">
            <v>9283033</v>
          </cell>
          <cell r="B12242">
            <v>121975</v>
          </cell>
          <cell r="C12242" t="str">
            <v>Grendon Church of England Primary School</v>
          </cell>
          <cell r="D12242" t="str">
            <v>Northamptonshire</v>
          </cell>
          <cell r="E12242" t="str">
            <v>Voluntary Controlled School</v>
          </cell>
          <cell r="F12242" t="str">
            <v>Primary</v>
          </cell>
        </row>
        <row r="12243">
          <cell r="A12243">
            <v>9373030</v>
          </cell>
          <cell r="B12243">
            <v>130155</v>
          </cell>
          <cell r="C12243" t="str">
            <v>Grendon CofE First School</v>
          </cell>
          <cell r="D12243" t="str">
            <v>Warwickshire</v>
          </cell>
          <cell r="E12243" t="str">
            <v>Voluntary Controlled School</v>
          </cell>
          <cell r="F12243" t="str">
            <v>Primary</v>
          </cell>
        </row>
        <row r="12244">
          <cell r="A12244">
            <v>3302087</v>
          </cell>
          <cell r="B12244">
            <v>103205</v>
          </cell>
          <cell r="C12244" t="str">
            <v>Grendon Junior and Infant School (NC)</v>
          </cell>
          <cell r="D12244" t="str">
            <v>Birmingham</v>
          </cell>
          <cell r="E12244" t="str">
            <v>Community School</v>
          </cell>
          <cell r="F12244" t="str">
            <v>Primary</v>
          </cell>
        </row>
        <row r="12245">
          <cell r="A12245">
            <v>8252167</v>
          </cell>
          <cell r="B12245">
            <v>110278</v>
          </cell>
          <cell r="C12245" t="str">
            <v>Grendon Underwood Combined School</v>
          </cell>
          <cell r="D12245" t="str">
            <v>Buckinghamshire</v>
          </cell>
          <cell r="E12245" t="str">
            <v>Community School</v>
          </cell>
          <cell r="F12245" t="str">
            <v>Primary</v>
          </cell>
        </row>
        <row r="12246">
          <cell r="A12246">
            <v>2117054</v>
          </cell>
          <cell r="B12246">
            <v>100984</v>
          </cell>
          <cell r="C12246" t="str">
            <v>Grenfell Special School</v>
          </cell>
          <cell r="D12246" t="str">
            <v>Tower Hamlets</v>
          </cell>
          <cell r="E12246" t="str">
            <v>Community Special School</v>
          </cell>
          <cell r="F12246" t="str">
            <v>Special</v>
          </cell>
        </row>
        <row r="12247">
          <cell r="A12247">
            <v>3732296</v>
          </cell>
          <cell r="B12247">
            <v>107051</v>
          </cell>
          <cell r="C12247" t="str">
            <v>Grenoside Community Primary School</v>
          </cell>
          <cell r="D12247" t="str">
            <v>Sheffield</v>
          </cell>
          <cell r="E12247" t="str">
            <v>Community School</v>
          </cell>
          <cell r="F12247" t="str">
            <v>Primary</v>
          </cell>
        </row>
        <row r="12248">
          <cell r="A12248">
            <v>8786022</v>
          </cell>
          <cell r="B12248">
            <v>113589</v>
          </cell>
          <cell r="C12248" t="str">
            <v>Grenville College</v>
          </cell>
          <cell r="D12248" t="str">
            <v>Devon</v>
          </cell>
          <cell r="E12248" t="str">
            <v>Other Independent School</v>
          </cell>
          <cell r="F12248" t="str">
            <v>Not applicable</v>
          </cell>
        </row>
        <row r="12249">
          <cell r="A12249">
            <v>8252339</v>
          </cell>
          <cell r="B12249">
            <v>110396</v>
          </cell>
          <cell r="C12249" t="str">
            <v>Grenville Combined School</v>
          </cell>
          <cell r="D12249" t="str">
            <v>Buckinghamshire</v>
          </cell>
          <cell r="E12249" t="str">
            <v>Community School</v>
          </cell>
          <cell r="F12249" t="str">
            <v>Primary</v>
          </cell>
        </row>
        <row r="12250">
          <cell r="A12250">
            <v>3062065</v>
          </cell>
          <cell r="B12250">
            <v>101758</v>
          </cell>
          <cell r="C12250" t="str">
            <v>Gresham Primary School</v>
          </cell>
          <cell r="D12250" t="str">
            <v>Croydon</v>
          </cell>
          <cell r="E12250" t="str">
            <v>Community School</v>
          </cell>
          <cell r="F12250" t="str">
            <v>Primary</v>
          </cell>
        </row>
        <row r="12251">
          <cell r="A12251">
            <v>9377021</v>
          </cell>
          <cell r="B12251">
            <v>130175</v>
          </cell>
          <cell r="C12251" t="str">
            <v>Gresham School</v>
          </cell>
          <cell r="D12251" t="str">
            <v>Warwickshire</v>
          </cell>
          <cell r="E12251" t="str">
            <v>Community Special School</v>
          </cell>
          <cell r="F12251" t="str">
            <v>Special</v>
          </cell>
        </row>
        <row r="12252">
          <cell r="A12252">
            <v>9265203</v>
          </cell>
          <cell r="B12252">
            <v>121193</v>
          </cell>
          <cell r="C12252" t="str">
            <v>Gresham Village School</v>
          </cell>
          <cell r="D12252" t="str">
            <v>Norfolk</v>
          </cell>
          <cell r="E12252" t="str">
            <v>Foundation School</v>
          </cell>
          <cell r="F12252" t="str">
            <v>Primary</v>
          </cell>
        </row>
        <row r="12253">
          <cell r="A12253">
            <v>9266003</v>
          </cell>
          <cell r="B12253">
            <v>121222</v>
          </cell>
          <cell r="C12253" t="str">
            <v>Gresham's School</v>
          </cell>
          <cell r="D12253" t="str">
            <v>Norfolk</v>
          </cell>
          <cell r="E12253" t="str">
            <v>Other Independent School</v>
          </cell>
          <cell r="F12253" t="str">
            <v>Not applicable</v>
          </cell>
        </row>
        <row r="12254">
          <cell r="A12254">
            <v>3302089</v>
          </cell>
          <cell r="B12254">
            <v>103207</v>
          </cell>
          <cell r="C12254" t="str">
            <v>Grestone Infant School</v>
          </cell>
          <cell r="D12254" t="str">
            <v>Birmingham</v>
          </cell>
          <cell r="E12254" t="str">
            <v>Community School</v>
          </cell>
          <cell r="F12254" t="str">
            <v>Primary</v>
          </cell>
        </row>
        <row r="12255">
          <cell r="A12255">
            <v>3302088</v>
          </cell>
          <cell r="B12255">
            <v>103206</v>
          </cell>
          <cell r="C12255" t="str">
            <v>Grestone Junior School</v>
          </cell>
          <cell r="D12255" t="str">
            <v>Birmingham</v>
          </cell>
          <cell r="E12255" t="str">
            <v>Community School</v>
          </cell>
          <cell r="F12255" t="str">
            <v>Primary</v>
          </cell>
        </row>
        <row r="12256">
          <cell r="A12256">
            <v>3302473</v>
          </cell>
          <cell r="B12256">
            <v>131593</v>
          </cell>
          <cell r="C12256" t="str">
            <v>Grestone Primary School</v>
          </cell>
          <cell r="D12256" t="str">
            <v>Birmingham</v>
          </cell>
          <cell r="E12256" t="str">
            <v>Community School</v>
          </cell>
          <cell r="F12256" t="str">
            <v>Primary</v>
          </cell>
        </row>
        <row r="12257">
          <cell r="A12257">
            <v>3521006</v>
          </cell>
          <cell r="B12257">
            <v>105383</v>
          </cell>
          <cell r="C12257" t="str">
            <v>Gresty Nursery School</v>
          </cell>
          <cell r="D12257" t="str">
            <v>Manchester</v>
          </cell>
          <cell r="E12257" t="str">
            <v>LA Nursery School</v>
          </cell>
          <cell r="F12257" t="str">
            <v>Nursery</v>
          </cell>
        </row>
        <row r="12258">
          <cell r="A12258">
            <v>3572068</v>
          </cell>
          <cell r="B12258">
            <v>106219</v>
          </cell>
          <cell r="C12258" t="str">
            <v>Greswell Primary School and Nursery</v>
          </cell>
          <cell r="D12258" t="str">
            <v>Tameside</v>
          </cell>
          <cell r="E12258" t="str">
            <v>Community School</v>
          </cell>
          <cell r="F12258" t="str">
            <v>Primary</v>
          </cell>
        </row>
        <row r="12259">
          <cell r="A12259">
            <v>3342090</v>
          </cell>
          <cell r="B12259">
            <v>104079</v>
          </cell>
          <cell r="C12259" t="str">
            <v>Greswold Primary School</v>
          </cell>
          <cell r="D12259" t="str">
            <v>Solihull</v>
          </cell>
          <cell r="E12259" t="str">
            <v>Community School</v>
          </cell>
          <cell r="F12259" t="str">
            <v>Primary</v>
          </cell>
        </row>
        <row r="12260">
          <cell r="A12260">
            <v>9162113</v>
          </cell>
          <cell r="B12260">
            <v>115558</v>
          </cell>
          <cell r="C12260" t="str">
            <v>Gretton Primary School</v>
          </cell>
          <cell r="D12260" t="str">
            <v>Gloucestershire</v>
          </cell>
          <cell r="E12260" t="str">
            <v>Community School</v>
          </cell>
          <cell r="F12260" t="str">
            <v>Primary</v>
          </cell>
        </row>
        <row r="12261">
          <cell r="A12261">
            <v>9282043</v>
          </cell>
          <cell r="B12261">
            <v>121823</v>
          </cell>
          <cell r="C12261" t="str">
            <v>Gretton Primary School</v>
          </cell>
          <cell r="D12261" t="str">
            <v>Northamptonshire</v>
          </cell>
          <cell r="E12261" t="str">
            <v>Community School</v>
          </cell>
          <cell r="F12261" t="str">
            <v>Primary</v>
          </cell>
        </row>
        <row r="12262">
          <cell r="A12262">
            <v>8736048</v>
          </cell>
          <cell r="B12262">
            <v>136047</v>
          </cell>
          <cell r="C12262" t="str">
            <v>Gretton School</v>
          </cell>
          <cell r="D12262" t="str">
            <v>Cambridgeshire</v>
          </cell>
          <cell r="E12262" t="str">
            <v>Other Independent Special School</v>
          </cell>
          <cell r="F12262" t="str">
            <v>Not applicable</v>
          </cell>
        </row>
        <row r="12263">
          <cell r="A12263">
            <v>8153243</v>
          </cell>
          <cell r="B12263">
            <v>121565</v>
          </cell>
          <cell r="C12263" t="str">
            <v>Grewelthorpe Church of England Primary School</v>
          </cell>
          <cell r="D12263" t="str">
            <v>North Yorkshire</v>
          </cell>
          <cell r="E12263" t="str">
            <v>Voluntary Controlled School</v>
          </cell>
          <cell r="F12263" t="str">
            <v>Primary</v>
          </cell>
        </row>
        <row r="12264">
          <cell r="A12264">
            <v>3184006</v>
          </cell>
          <cell r="B12264">
            <v>102922</v>
          </cell>
          <cell r="C12264" t="str">
            <v>Grey Court School</v>
          </cell>
          <cell r="D12264" t="str">
            <v>Richmond upon Thames</v>
          </cell>
          <cell r="E12264" t="str">
            <v>Community School</v>
          </cell>
          <cell r="F12264" t="str">
            <v>Secondary</v>
          </cell>
        </row>
        <row r="12265">
          <cell r="A12265">
            <v>8506029</v>
          </cell>
          <cell r="B12265">
            <v>116546</v>
          </cell>
          <cell r="C12265" t="str">
            <v>Grey House Preparatory School</v>
          </cell>
          <cell r="D12265" t="str">
            <v>Hampshire</v>
          </cell>
          <cell r="E12265" t="str">
            <v>Other Independent School</v>
          </cell>
          <cell r="F12265" t="str">
            <v>Not applicable</v>
          </cell>
        </row>
        <row r="12266">
          <cell r="A12266">
            <v>9296045</v>
          </cell>
          <cell r="B12266">
            <v>129709</v>
          </cell>
          <cell r="C12266" t="str">
            <v>Greybrooks School</v>
          </cell>
          <cell r="D12266" t="str">
            <v>Northumberland</v>
          </cell>
          <cell r="E12266" t="str">
            <v>Other Independent School</v>
          </cell>
          <cell r="F12266" t="str">
            <v>Not applicable</v>
          </cell>
        </row>
        <row r="12267">
          <cell r="A12267">
            <v>9316063</v>
          </cell>
          <cell r="B12267">
            <v>123289</v>
          </cell>
          <cell r="C12267" t="str">
            <v>Greycotes School</v>
          </cell>
          <cell r="D12267" t="str">
            <v>Oxfordshire</v>
          </cell>
          <cell r="E12267" t="str">
            <v>Other Independent School</v>
          </cell>
          <cell r="F12267" t="str">
            <v>Not applicable</v>
          </cell>
        </row>
        <row r="12268">
          <cell r="A12268">
            <v>9262419</v>
          </cell>
          <cell r="B12268">
            <v>121021</v>
          </cell>
          <cell r="C12268" t="str">
            <v>Greyfriars Primary School, King's Lynn</v>
          </cell>
          <cell r="D12268" t="str">
            <v>Norfolk</v>
          </cell>
          <cell r="E12268" t="str">
            <v>Community School</v>
          </cell>
          <cell r="F12268" t="str">
            <v>Primary</v>
          </cell>
        </row>
        <row r="12269">
          <cell r="A12269">
            <v>8806002</v>
          </cell>
          <cell r="B12269">
            <v>113576</v>
          </cell>
          <cell r="C12269" t="str">
            <v>Greylands School</v>
          </cell>
          <cell r="D12269" t="str">
            <v>Torbay</v>
          </cell>
          <cell r="E12269" t="str">
            <v>Other Independent School</v>
          </cell>
          <cell r="F12269" t="str">
            <v>Not applicable</v>
          </cell>
        </row>
        <row r="12270">
          <cell r="A12270">
            <v>8221104</v>
          </cell>
          <cell r="B12270">
            <v>134032</v>
          </cell>
          <cell r="C12270" t="str">
            <v>Greys Education Centre</v>
          </cell>
          <cell r="D12270" t="str">
            <v>Bedford</v>
          </cell>
          <cell r="E12270" t="str">
            <v>Pupil Referral Unit</v>
          </cell>
          <cell r="F12270" t="str">
            <v>PRU</v>
          </cell>
        </row>
        <row r="12271">
          <cell r="A12271">
            <v>8201101</v>
          </cell>
          <cell r="B12271">
            <v>109426</v>
          </cell>
          <cell r="C12271" t="str">
            <v>Greys House</v>
          </cell>
          <cell r="D12271" t="str">
            <v>Pre LGR (2009) Bedfordshire</v>
          </cell>
          <cell r="E12271" t="str">
            <v>Pupil Referral Unit</v>
          </cell>
          <cell r="F12271" t="str">
            <v>PRU</v>
          </cell>
        </row>
        <row r="12272">
          <cell r="A12272">
            <v>9027801</v>
          </cell>
          <cell r="B12272">
            <v>132863</v>
          </cell>
          <cell r="C12272" t="str">
            <v>Greys House Residential School</v>
          </cell>
          <cell r="D12272" t="str">
            <v>Pre LGR (1997) Bedfordshire</v>
          </cell>
          <cell r="E12272" t="str">
            <v>Miscellaneous</v>
          </cell>
          <cell r="F12272" t="str">
            <v>Not applicable</v>
          </cell>
        </row>
        <row r="12273">
          <cell r="A12273">
            <v>8602276</v>
          </cell>
          <cell r="B12273">
            <v>124126</v>
          </cell>
          <cell r="C12273" t="str">
            <v>Greysbrooke Primary School</v>
          </cell>
          <cell r="D12273" t="str">
            <v>Staffordshire</v>
          </cell>
          <cell r="E12273" t="str">
            <v>Community School</v>
          </cell>
          <cell r="F12273" t="str">
            <v>Primary</v>
          </cell>
        </row>
        <row r="12274">
          <cell r="A12274">
            <v>8552076</v>
          </cell>
          <cell r="B12274">
            <v>119941</v>
          </cell>
          <cell r="C12274" t="str">
            <v>Greystoke Primary School Narborough</v>
          </cell>
          <cell r="D12274" t="str">
            <v>Leicestershire</v>
          </cell>
          <cell r="E12274" t="str">
            <v>Community School</v>
          </cell>
          <cell r="F12274" t="str">
            <v>Primary</v>
          </cell>
        </row>
        <row r="12275">
          <cell r="A12275">
            <v>9092028</v>
          </cell>
          <cell r="B12275">
            <v>112111</v>
          </cell>
          <cell r="C12275" t="str">
            <v>Greystoke School</v>
          </cell>
          <cell r="D12275" t="str">
            <v>Cumbria</v>
          </cell>
          <cell r="E12275" t="str">
            <v>Community School</v>
          </cell>
          <cell r="F12275" t="str">
            <v>Primary</v>
          </cell>
        </row>
        <row r="12276">
          <cell r="A12276">
            <v>9096034</v>
          </cell>
          <cell r="B12276">
            <v>112454</v>
          </cell>
          <cell r="C12276" t="str">
            <v>Greystone House School</v>
          </cell>
          <cell r="D12276" t="str">
            <v>Cumbria</v>
          </cell>
          <cell r="E12276" t="str">
            <v>Other Independent School</v>
          </cell>
          <cell r="F12276" t="str">
            <v>Not applicable</v>
          </cell>
        </row>
        <row r="12277">
          <cell r="A12277">
            <v>9367040</v>
          </cell>
          <cell r="B12277">
            <v>130141</v>
          </cell>
          <cell r="C12277" t="str">
            <v>Greystone School</v>
          </cell>
          <cell r="D12277" t="str">
            <v>Surrey</v>
          </cell>
          <cell r="E12277" t="str">
            <v>Community Special School</v>
          </cell>
          <cell r="F12277" t="str">
            <v>Special</v>
          </cell>
        </row>
        <row r="12278">
          <cell r="A12278">
            <v>3732038</v>
          </cell>
          <cell r="B12278">
            <v>127645</v>
          </cell>
          <cell r="C12278" t="str">
            <v>Greystones First School</v>
          </cell>
          <cell r="D12278" t="str">
            <v>Sheffield</v>
          </cell>
          <cell r="E12278" t="str">
            <v>Community School</v>
          </cell>
          <cell r="F12278" t="str">
            <v>Primary</v>
          </cell>
        </row>
        <row r="12279">
          <cell r="A12279">
            <v>3732264</v>
          </cell>
          <cell r="B12279">
            <v>127701</v>
          </cell>
          <cell r="C12279" t="str">
            <v>Greystones Middle School</v>
          </cell>
          <cell r="D12279" t="str">
            <v>Sheffield</v>
          </cell>
          <cell r="E12279" t="str">
            <v>Community School</v>
          </cell>
          <cell r="F12279" t="str">
            <v>Middle Deemed Primary</v>
          </cell>
        </row>
        <row r="12280">
          <cell r="A12280">
            <v>3732356</v>
          </cell>
          <cell r="B12280">
            <v>107098</v>
          </cell>
          <cell r="C12280" t="str">
            <v>Greystones Primary School</v>
          </cell>
          <cell r="D12280" t="str">
            <v>Sheffield</v>
          </cell>
          <cell r="E12280" t="str">
            <v>Community School</v>
          </cell>
          <cell r="F12280" t="str">
            <v>Primary</v>
          </cell>
        </row>
        <row r="12281">
          <cell r="A12281">
            <v>8867047</v>
          </cell>
          <cell r="B12281">
            <v>119048</v>
          </cell>
          <cell r="C12281" t="str">
            <v>Greystones School</v>
          </cell>
          <cell r="D12281" t="str">
            <v>Kent</v>
          </cell>
          <cell r="E12281" t="str">
            <v>Community Special School</v>
          </cell>
          <cell r="F12281" t="str">
            <v>Special</v>
          </cell>
        </row>
        <row r="12282">
          <cell r="A12282">
            <v>8912931</v>
          </cell>
          <cell r="B12282">
            <v>122735</v>
          </cell>
          <cell r="C12282" t="str">
            <v>Greythorn Primary School</v>
          </cell>
          <cell r="D12282" t="str">
            <v>Nottinghamshire</v>
          </cell>
          <cell r="E12282" t="str">
            <v>Community School</v>
          </cell>
          <cell r="F12282" t="str">
            <v>Primary</v>
          </cell>
        </row>
        <row r="12283">
          <cell r="A12283">
            <v>8312002</v>
          </cell>
          <cell r="B12283">
            <v>131798</v>
          </cell>
          <cell r="C12283" t="str">
            <v>Griffe Field Primary School</v>
          </cell>
          <cell r="D12283" t="str">
            <v>Derby</v>
          </cell>
          <cell r="E12283" t="str">
            <v>Community School</v>
          </cell>
          <cell r="F12283" t="str">
            <v>Primary</v>
          </cell>
        </row>
        <row r="12284">
          <cell r="A12284">
            <v>313940</v>
          </cell>
          <cell r="B12284">
            <v>134411</v>
          </cell>
          <cell r="C12284" t="str">
            <v>Griffen Park Learning Zone</v>
          </cell>
          <cell r="D12284" t="str">
            <v>Hounslow</v>
          </cell>
          <cell r="E12284" t="str">
            <v>Playing for Success Centres</v>
          </cell>
          <cell r="F12284" t="str">
            <v>Not applicable</v>
          </cell>
        </row>
        <row r="12285">
          <cell r="A12285">
            <v>8256023</v>
          </cell>
          <cell r="B12285">
            <v>110558</v>
          </cell>
          <cell r="C12285" t="str">
            <v>Griffin House School</v>
          </cell>
          <cell r="D12285" t="str">
            <v>Buckinghamshire</v>
          </cell>
          <cell r="E12285" t="str">
            <v>Other Independent School</v>
          </cell>
          <cell r="F12285" t="str">
            <v>Not applicable</v>
          </cell>
        </row>
        <row r="12286">
          <cell r="A12286">
            <v>2037157</v>
          </cell>
          <cell r="B12286">
            <v>100206</v>
          </cell>
          <cell r="C12286" t="str">
            <v>Griffin Manor School</v>
          </cell>
          <cell r="D12286" t="str">
            <v>Greenwich</v>
          </cell>
          <cell r="E12286" t="str">
            <v>Community Special School</v>
          </cell>
          <cell r="F12286" t="str">
            <v>Special</v>
          </cell>
        </row>
        <row r="12287">
          <cell r="A12287">
            <v>8892001</v>
          </cell>
          <cell r="B12287">
            <v>119116</v>
          </cell>
          <cell r="C12287" t="str">
            <v>Griffin Park Primary School</v>
          </cell>
          <cell r="D12287" t="str">
            <v>Blackburn with Darwen</v>
          </cell>
          <cell r="E12287" t="str">
            <v>Community School</v>
          </cell>
          <cell r="F12287" t="str">
            <v>Primary</v>
          </cell>
        </row>
        <row r="12288">
          <cell r="A12288">
            <v>8102887</v>
          </cell>
          <cell r="B12288">
            <v>117914</v>
          </cell>
          <cell r="C12288" t="str">
            <v>Griffin Primary School</v>
          </cell>
          <cell r="D12288" t="str">
            <v>Kingston upon Hull City of</v>
          </cell>
          <cell r="E12288" t="str">
            <v>Community School</v>
          </cell>
          <cell r="F12288" t="str">
            <v>Primary</v>
          </cell>
        </row>
        <row r="12289">
          <cell r="A12289">
            <v>6782133</v>
          </cell>
          <cell r="B12289">
            <v>401427</v>
          </cell>
          <cell r="C12289" t="str">
            <v>Griffithstown Infant School</v>
          </cell>
          <cell r="D12289" t="str">
            <v>Torfaen</v>
          </cell>
          <cell r="E12289" t="str">
            <v>Welsh Establishment</v>
          </cell>
          <cell r="F12289" t="str">
            <v>Primary</v>
          </cell>
        </row>
        <row r="12290">
          <cell r="A12290">
            <v>6782283</v>
          </cell>
          <cell r="B12290">
            <v>401445</v>
          </cell>
          <cell r="C12290" t="str">
            <v>Griffithstown Junior School</v>
          </cell>
          <cell r="D12290" t="str">
            <v>Torfaen</v>
          </cell>
          <cell r="E12290" t="str">
            <v>Welsh Establishment</v>
          </cell>
          <cell r="F12290" t="str">
            <v>Primary</v>
          </cell>
        </row>
        <row r="12291">
          <cell r="A12291">
            <v>6782321</v>
          </cell>
          <cell r="B12291">
            <v>402135</v>
          </cell>
          <cell r="C12291" t="str">
            <v>Griffithstown Primary</v>
          </cell>
          <cell r="D12291" t="str">
            <v>Torfaen</v>
          </cell>
          <cell r="E12291" t="str">
            <v>Welsh Establishment</v>
          </cell>
          <cell r="F12291" t="str">
            <v>Primary</v>
          </cell>
        </row>
        <row r="12292">
          <cell r="A12292">
            <v>8552028</v>
          </cell>
          <cell r="B12292">
            <v>119918</v>
          </cell>
          <cell r="C12292" t="str">
            <v>Griffydam Primary School</v>
          </cell>
          <cell r="D12292" t="str">
            <v>Leicestershire</v>
          </cell>
          <cell r="E12292" t="str">
            <v>Community School</v>
          </cell>
          <cell r="F12292" t="str">
            <v>Primary</v>
          </cell>
        </row>
        <row r="12293">
          <cell r="A12293">
            <v>3832224</v>
          </cell>
          <cell r="B12293">
            <v>127862</v>
          </cell>
          <cell r="C12293" t="str">
            <v>Grimes Dyke First School</v>
          </cell>
          <cell r="D12293" t="str">
            <v>Leeds</v>
          </cell>
          <cell r="E12293" t="str">
            <v>Community School</v>
          </cell>
          <cell r="F12293" t="str">
            <v>Primary</v>
          </cell>
        </row>
        <row r="12294">
          <cell r="A12294">
            <v>3832448</v>
          </cell>
          <cell r="B12294">
            <v>107924</v>
          </cell>
          <cell r="C12294" t="str">
            <v>Grimes Dyke Primary School</v>
          </cell>
          <cell r="D12294" t="str">
            <v>Leeds</v>
          </cell>
          <cell r="E12294" t="str">
            <v>Community School</v>
          </cell>
          <cell r="F12294" t="str">
            <v>Primary</v>
          </cell>
        </row>
        <row r="12295">
          <cell r="A12295">
            <v>8853048</v>
          </cell>
          <cell r="B12295">
            <v>116815</v>
          </cell>
          <cell r="C12295" t="str">
            <v>Grimley and Holt CofE Primary School</v>
          </cell>
          <cell r="D12295" t="str">
            <v>Worcestershire</v>
          </cell>
          <cell r="E12295" t="str">
            <v>Voluntary Controlled School</v>
          </cell>
          <cell r="F12295" t="str">
            <v>Primary</v>
          </cell>
        </row>
        <row r="12296">
          <cell r="A12296">
            <v>9255217</v>
          </cell>
          <cell r="B12296">
            <v>120684</v>
          </cell>
          <cell r="C12296" t="str">
            <v>Grimoldby Primary School</v>
          </cell>
          <cell r="D12296" t="str">
            <v>Lincolnshire</v>
          </cell>
          <cell r="E12296" t="str">
            <v>Foundation School</v>
          </cell>
          <cell r="F12296" t="str">
            <v>Primary</v>
          </cell>
        </row>
        <row r="12297">
          <cell r="A12297">
            <v>8883580</v>
          </cell>
          <cell r="B12297">
            <v>119565</v>
          </cell>
          <cell r="C12297" t="str">
            <v>Grimsargh St Michael's Church of England Primary School</v>
          </cell>
          <cell r="D12297" t="str">
            <v>Lancashire</v>
          </cell>
          <cell r="E12297" t="str">
            <v>Voluntary Aided School</v>
          </cell>
          <cell r="F12297" t="str">
            <v>Primary</v>
          </cell>
        </row>
        <row r="12298">
          <cell r="A12298">
            <v>9312052</v>
          </cell>
          <cell r="B12298">
            <v>129748</v>
          </cell>
          <cell r="C12298" t="str">
            <v>Grimsbury Infant School</v>
          </cell>
          <cell r="D12298" t="str">
            <v>Oxfordshire</v>
          </cell>
          <cell r="E12298" t="str">
            <v>Community School</v>
          </cell>
          <cell r="F12298" t="str">
            <v>Primary</v>
          </cell>
        </row>
        <row r="12299">
          <cell r="A12299">
            <v>8128005</v>
          </cell>
          <cell r="B12299">
            <v>130585</v>
          </cell>
          <cell r="C12299" t="str">
            <v>Grimsby Institute of Further and Higher Education</v>
          </cell>
          <cell r="D12299" t="str">
            <v>North East Lincolnshire</v>
          </cell>
          <cell r="E12299" t="str">
            <v>Further Education</v>
          </cell>
          <cell r="F12299" t="str">
            <v>16 Plus</v>
          </cell>
        </row>
        <row r="12300">
          <cell r="A12300">
            <v>3102052</v>
          </cell>
          <cell r="B12300">
            <v>102187</v>
          </cell>
          <cell r="C12300" t="str">
            <v>Grimsdyke School</v>
          </cell>
          <cell r="D12300" t="str">
            <v>Harrow</v>
          </cell>
          <cell r="E12300" t="str">
            <v>Community School</v>
          </cell>
          <cell r="F12300" t="str">
            <v>Primary</v>
          </cell>
        </row>
        <row r="12301">
          <cell r="A12301">
            <v>9262381</v>
          </cell>
          <cell r="B12301">
            <v>120998</v>
          </cell>
          <cell r="C12301" t="str">
            <v>Grimston Junior School</v>
          </cell>
          <cell r="D12301" t="str">
            <v>Norfolk</v>
          </cell>
          <cell r="E12301" t="str">
            <v>Community School</v>
          </cell>
          <cell r="F12301" t="str">
            <v>Primary</v>
          </cell>
        </row>
        <row r="12302">
          <cell r="A12302">
            <v>8302106</v>
          </cell>
          <cell r="B12302">
            <v>112550</v>
          </cell>
          <cell r="C12302" t="str">
            <v>Grindleford Primary School</v>
          </cell>
          <cell r="D12302" t="str">
            <v>Derbyshire</v>
          </cell>
          <cell r="E12302" t="str">
            <v>Community School</v>
          </cell>
          <cell r="F12302" t="str">
            <v>Primary</v>
          </cell>
        </row>
        <row r="12303">
          <cell r="A12303">
            <v>8883807</v>
          </cell>
          <cell r="B12303">
            <v>119686</v>
          </cell>
          <cell r="C12303" t="str">
            <v>Grindleton Church of England Voluntary Aided Primary School</v>
          </cell>
          <cell r="D12303" t="str">
            <v>Lancashire</v>
          </cell>
          <cell r="E12303" t="str">
            <v>Voluntary Aided School</v>
          </cell>
          <cell r="F12303" t="str">
            <v>Primary</v>
          </cell>
        </row>
        <row r="12304">
          <cell r="A12304">
            <v>3946010</v>
          </cell>
          <cell r="B12304">
            <v>108875</v>
          </cell>
          <cell r="C12304" t="str">
            <v>Grindon Hall Christian School</v>
          </cell>
          <cell r="D12304" t="str">
            <v>Sunderland</v>
          </cell>
          <cell r="E12304" t="str">
            <v>Other Independent School</v>
          </cell>
          <cell r="F12304" t="str">
            <v>Not applicable</v>
          </cell>
        </row>
        <row r="12305">
          <cell r="A12305">
            <v>3942026</v>
          </cell>
          <cell r="B12305">
            <v>108766</v>
          </cell>
          <cell r="C12305" t="str">
            <v>Grindon Infant School</v>
          </cell>
          <cell r="D12305" t="str">
            <v>Sunderland</v>
          </cell>
          <cell r="E12305" t="str">
            <v>Community School</v>
          </cell>
          <cell r="F12305" t="str">
            <v>Primary</v>
          </cell>
        </row>
        <row r="12306">
          <cell r="A12306">
            <v>2092267</v>
          </cell>
          <cell r="B12306">
            <v>100685</v>
          </cell>
          <cell r="C12306" t="str">
            <v>Grinling Gibbons Primary School</v>
          </cell>
          <cell r="D12306" t="str">
            <v>Lewisham</v>
          </cell>
          <cell r="E12306" t="str">
            <v>Community School</v>
          </cell>
          <cell r="F12306" t="str">
            <v>Primary</v>
          </cell>
        </row>
        <row r="12307">
          <cell r="A12307">
            <v>8656018</v>
          </cell>
          <cell r="B12307">
            <v>126514</v>
          </cell>
          <cell r="C12307" t="str">
            <v>Grittleton House School</v>
          </cell>
          <cell r="D12307" t="str">
            <v>Wiltshire</v>
          </cell>
          <cell r="E12307" t="str">
            <v>Other Independent School</v>
          </cell>
          <cell r="F12307" t="str">
            <v>Not applicable</v>
          </cell>
        </row>
        <row r="12308">
          <cell r="A12308">
            <v>8554052</v>
          </cell>
          <cell r="B12308">
            <v>120270</v>
          </cell>
          <cell r="C12308" t="str">
            <v>Groby Community College</v>
          </cell>
          <cell r="D12308" t="str">
            <v>Leicestershire</v>
          </cell>
          <cell r="E12308" t="str">
            <v>Community School</v>
          </cell>
          <cell r="F12308" t="str">
            <v>Secondary</v>
          </cell>
        </row>
        <row r="12309">
          <cell r="A12309">
            <v>6712204</v>
          </cell>
          <cell r="B12309">
            <v>401006</v>
          </cell>
          <cell r="C12309" t="str">
            <v>Groes Primary  School</v>
          </cell>
          <cell r="D12309" t="str">
            <v>Neath Port Talbot</v>
          </cell>
          <cell r="E12309" t="str">
            <v>Welsh Establishment</v>
          </cell>
          <cell r="F12309" t="str">
            <v>Primary</v>
          </cell>
        </row>
        <row r="12310">
          <cell r="A12310">
            <v>8453332</v>
          </cell>
          <cell r="B12310">
            <v>114559</v>
          </cell>
          <cell r="C12310" t="str">
            <v>Groombridge St Thomas' Church of England Primary School</v>
          </cell>
          <cell r="D12310" t="str">
            <v>East Sussex</v>
          </cell>
          <cell r="E12310" t="str">
            <v>Voluntary Aided School</v>
          </cell>
          <cell r="F12310" t="str">
            <v>Primary</v>
          </cell>
        </row>
        <row r="12311">
          <cell r="A12311">
            <v>8153033</v>
          </cell>
          <cell r="B12311">
            <v>121489</v>
          </cell>
          <cell r="C12311" t="str">
            <v>Grosmont CofE Primary School</v>
          </cell>
          <cell r="D12311" t="str">
            <v>North Yorkshire</v>
          </cell>
          <cell r="E12311" t="str">
            <v>Voluntary Controlled School</v>
          </cell>
          <cell r="F12311" t="str">
            <v>Primary</v>
          </cell>
        </row>
        <row r="12312">
          <cell r="A12312">
            <v>3805516</v>
          </cell>
          <cell r="B12312">
            <v>127747</v>
          </cell>
          <cell r="C12312" t="str">
            <v>Grosvenor Centre School</v>
          </cell>
          <cell r="D12312" t="str">
            <v>Bradford</v>
          </cell>
          <cell r="E12312" t="str">
            <v>Legacy types</v>
          </cell>
          <cell r="F12312" t="str">
            <v>Not applicable</v>
          </cell>
        </row>
        <row r="12313">
          <cell r="A12313">
            <v>3551017</v>
          </cell>
          <cell r="B12313">
            <v>105879</v>
          </cell>
          <cell r="C12313" t="str">
            <v>Grosvenor Community Nursery Centre</v>
          </cell>
          <cell r="D12313" t="str">
            <v>Salford</v>
          </cell>
          <cell r="E12313" t="str">
            <v>LA Nursery School</v>
          </cell>
          <cell r="F12313" t="str">
            <v>Nursery</v>
          </cell>
        </row>
        <row r="12314">
          <cell r="A12314">
            <v>3802190</v>
          </cell>
          <cell r="B12314">
            <v>127739</v>
          </cell>
          <cell r="C12314" t="str">
            <v>Grosvenor First School</v>
          </cell>
          <cell r="D12314" t="str">
            <v>Bradford</v>
          </cell>
          <cell r="E12314" t="str">
            <v>Community School</v>
          </cell>
          <cell r="F12314" t="str">
            <v>Primary</v>
          </cell>
        </row>
        <row r="12315">
          <cell r="A12315">
            <v>9016064</v>
          </cell>
          <cell r="B12315">
            <v>128241</v>
          </cell>
          <cell r="C12315" t="str">
            <v>Grosvenor High School</v>
          </cell>
          <cell r="D12315" t="str">
            <v>Pre LGR (1996) Avon</v>
          </cell>
          <cell r="E12315" t="str">
            <v>Other Independent School</v>
          </cell>
          <cell r="F12315" t="str">
            <v>Not applicable</v>
          </cell>
        </row>
        <row r="12316">
          <cell r="A12316">
            <v>8861102</v>
          </cell>
          <cell r="B12316">
            <v>118232</v>
          </cell>
          <cell r="C12316" t="str">
            <v>Grosvenor House</v>
          </cell>
          <cell r="D12316" t="str">
            <v>Kent</v>
          </cell>
          <cell r="E12316" t="str">
            <v>Pupil Referral Unit</v>
          </cell>
          <cell r="F12316" t="str">
            <v>PRU</v>
          </cell>
        </row>
        <row r="12317">
          <cell r="A12317">
            <v>8861117</v>
          </cell>
          <cell r="B12317">
            <v>134326</v>
          </cell>
          <cell r="C12317" t="str">
            <v>Grosvenor House</v>
          </cell>
          <cell r="D12317" t="str">
            <v>Kent</v>
          </cell>
          <cell r="E12317" t="str">
            <v>Pupil Referral Unit</v>
          </cell>
          <cell r="F12317" t="str">
            <v>PRU</v>
          </cell>
        </row>
        <row r="12318">
          <cell r="A12318">
            <v>8156013</v>
          </cell>
          <cell r="B12318">
            <v>121742</v>
          </cell>
          <cell r="C12318" t="str">
            <v>Grosvenor House School</v>
          </cell>
          <cell r="D12318" t="str">
            <v>North Yorkshire</v>
          </cell>
          <cell r="E12318" t="str">
            <v>Other Independent School</v>
          </cell>
          <cell r="F12318" t="str">
            <v>Not applicable</v>
          </cell>
        </row>
        <row r="12319">
          <cell r="A12319">
            <v>3207008</v>
          </cell>
          <cell r="B12319">
            <v>127045</v>
          </cell>
          <cell r="C12319" t="str">
            <v>Grosvenor House School</v>
          </cell>
          <cell r="D12319" t="str">
            <v>Waltham Forest</v>
          </cell>
          <cell r="E12319" t="str">
            <v>Community Special School</v>
          </cell>
          <cell r="F12319" t="str">
            <v>Special</v>
          </cell>
        </row>
        <row r="12320">
          <cell r="A12320">
            <v>3501005</v>
          </cell>
          <cell r="B12320">
            <v>105144</v>
          </cell>
          <cell r="C12320" t="str">
            <v>Grosvenor Nursery School</v>
          </cell>
          <cell r="D12320" t="str">
            <v>Bolton</v>
          </cell>
          <cell r="E12320" t="str">
            <v>LA Nursery School</v>
          </cell>
          <cell r="F12320" t="str">
            <v>Nursery</v>
          </cell>
        </row>
        <row r="12321">
          <cell r="A12321">
            <v>3552069</v>
          </cell>
          <cell r="B12321">
            <v>105909</v>
          </cell>
          <cell r="C12321" t="str">
            <v>Grosvenor Road County Infant School</v>
          </cell>
          <cell r="D12321" t="str">
            <v>Salford</v>
          </cell>
          <cell r="E12321" t="str">
            <v>Community School</v>
          </cell>
          <cell r="F12321" t="str">
            <v>Primary</v>
          </cell>
        </row>
        <row r="12322">
          <cell r="A12322">
            <v>3552068</v>
          </cell>
          <cell r="B12322">
            <v>105908</v>
          </cell>
          <cell r="C12322" t="str">
            <v>Grosvenor Road Junior School</v>
          </cell>
          <cell r="D12322" t="str">
            <v>Salford</v>
          </cell>
          <cell r="E12322" t="str">
            <v>Community School</v>
          </cell>
          <cell r="F12322" t="str">
            <v>Primary</v>
          </cell>
        </row>
        <row r="12323">
          <cell r="A12323">
            <v>3552095</v>
          </cell>
          <cell r="B12323">
            <v>131037</v>
          </cell>
          <cell r="C12323" t="str">
            <v>Grosvenor Road Primary School</v>
          </cell>
          <cell r="D12323" t="str">
            <v>Salford</v>
          </cell>
          <cell r="E12323" t="str">
            <v>Community School</v>
          </cell>
          <cell r="F12323" t="str">
            <v>Primary</v>
          </cell>
        </row>
        <row r="12324">
          <cell r="A12324">
            <v>8916005</v>
          </cell>
          <cell r="B12324">
            <v>122921</v>
          </cell>
          <cell r="C12324" t="str">
            <v>Grosvenor School</v>
          </cell>
          <cell r="D12324" t="str">
            <v>Nottinghamshire</v>
          </cell>
          <cell r="E12324" t="str">
            <v>Other Independent School</v>
          </cell>
          <cell r="F12324" t="str">
            <v>Not applicable</v>
          </cell>
        </row>
        <row r="12325">
          <cell r="A12325">
            <v>8616005</v>
          </cell>
          <cell r="B12325">
            <v>137510</v>
          </cell>
          <cell r="C12325" t="str">
            <v>Groundwork West Midlands (Stoke-On-Trent &amp; Staffs)</v>
          </cell>
          <cell r="D12325" t="str">
            <v>Stoke-on-Trent</v>
          </cell>
          <cell r="E12325" t="str">
            <v>Other Independent School</v>
          </cell>
          <cell r="F12325" t="str">
            <v>Not applicable</v>
          </cell>
        </row>
        <row r="12326">
          <cell r="A12326">
            <v>7072004</v>
          </cell>
          <cell r="B12326">
            <v>132474</v>
          </cell>
          <cell r="C12326" t="str">
            <v>Grouville School</v>
          </cell>
          <cell r="D12326" t="str">
            <v>Jersey Offshore Establishments</v>
          </cell>
          <cell r="E12326" t="str">
            <v>Offshore Schools</v>
          </cell>
          <cell r="F12326" t="str">
            <v>Not applicable</v>
          </cell>
        </row>
        <row r="12327">
          <cell r="A12327">
            <v>8456050</v>
          </cell>
          <cell r="B12327">
            <v>133606</v>
          </cell>
          <cell r="C12327" t="str">
            <v>Grove Bridge Education</v>
          </cell>
          <cell r="D12327" t="str">
            <v>East Sussex</v>
          </cell>
          <cell r="E12327" t="str">
            <v>Other Independent Special School</v>
          </cell>
          <cell r="F12327" t="str">
            <v>Not applicable</v>
          </cell>
        </row>
        <row r="12328">
          <cell r="A12328">
            <v>2101050</v>
          </cell>
          <cell r="B12328">
            <v>100771</v>
          </cell>
          <cell r="C12328" t="str">
            <v>Grove Children &amp; Family Centre</v>
          </cell>
          <cell r="D12328" t="str">
            <v>Southwark</v>
          </cell>
          <cell r="E12328" t="str">
            <v>LA Nursery School</v>
          </cell>
          <cell r="F12328" t="str">
            <v>Nursery</v>
          </cell>
        </row>
        <row r="12329">
          <cell r="A12329">
            <v>9313228</v>
          </cell>
          <cell r="B12329">
            <v>123149</v>
          </cell>
          <cell r="C12329" t="str">
            <v>Grove Church of England School</v>
          </cell>
          <cell r="D12329" t="str">
            <v>Oxfordshire</v>
          </cell>
          <cell r="E12329" t="str">
            <v>Voluntary Controlled School</v>
          </cell>
          <cell r="F12329" t="str">
            <v>Primary</v>
          </cell>
        </row>
        <row r="12330">
          <cell r="A12330">
            <v>9372124</v>
          </cell>
          <cell r="B12330">
            <v>125546</v>
          </cell>
          <cell r="C12330" t="str">
            <v>Grove Farm First School</v>
          </cell>
          <cell r="D12330" t="str">
            <v>Warwickshire</v>
          </cell>
          <cell r="E12330" t="str">
            <v>Community School</v>
          </cell>
          <cell r="F12330" t="str">
            <v>Primary</v>
          </cell>
        </row>
        <row r="12331">
          <cell r="A12331">
            <v>3071002</v>
          </cell>
          <cell r="B12331">
            <v>101860</v>
          </cell>
          <cell r="C12331" t="str">
            <v>Grove House Children Centre</v>
          </cell>
          <cell r="D12331" t="str">
            <v>Ealing</v>
          </cell>
          <cell r="E12331" t="str">
            <v>LA Nursery School</v>
          </cell>
          <cell r="F12331" t="str">
            <v>Nursery</v>
          </cell>
        </row>
        <row r="12332">
          <cell r="A12332">
            <v>9262051</v>
          </cell>
          <cell r="B12332">
            <v>120804</v>
          </cell>
          <cell r="C12332" t="str">
            <v>Grove House Nursery and Infant Community School</v>
          </cell>
          <cell r="D12332" t="str">
            <v>Norfolk</v>
          </cell>
          <cell r="E12332" t="str">
            <v>Community School</v>
          </cell>
          <cell r="F12332" t="str">
            <v>Primary</v>
          </cell>
        </row>
        <row r="12333">
          <cell r="A12333">
            <v>3802093</v>
          </cell>
          <cell r="B12333">
            <v>107242</v>
          </cell>
          <cell r="C12333" t="str">
            <v>Grove House Primary School</v>
          </cell>
          <cell r="D12333" t="str">
            <v>Bradford</v>
          </cell>
          <cell r="E12333" t="str">
            <v>Community School</v>
          </cell>
          <cell r="F12333" t="str">
            <v>Primary</v>
          </cell>
        </row>
        <row r="12334">
          <cell r="A12334">
            <v>2087142</v>
          </cell>
          <cell r="B12334">
            <v>100662</v>
          </cell>
          <cell r="C12334" t="str">
            <v>Grove House School for the Hearing Impaired</v>
          </cell>
          <cell r="D12334" t="str">
            <v>Lambeth</v>
          </cell>
          <cell r="E12334" t="str">
            <v>Community Special School</v>
          </cell>
          <cell r="F12334" t="str">
            <v>Special</v>
          </cell>
        </row>
        <row r="12335">
          <cell r="A12335">
            <v>3302090</v>
          </cell>
          <cell r="B12335">
            <v>127049</v>
          </cell>
          <cell r="C12335" t="str">
            <v>Grove Infant and Nursery School</v>
          </cell>
          <cell r="D12335" t="str">
            <v>Birmingham</v>
          </cell>
          <cell r="E12335" t="str">
            <v>Community School</v>
          </cell>
          <cell r="F12335" t="str">
            <v>Primary</v>
          </cell>
        </row>
        <row r="12336">
          <cell r="A12336">
            <v>8352203</v>
          </cell>
          <cell r="B12336">
            <v>113710</v>
          </cell>
          <cell r="C12336" t="str">
            <v>Grove Infant School</v>
          </cell>
          <cell r="D12336" t="str">
            <v>Dorset</v>
          </cell>
          <cell r="E12336" t="str">
            <v>Community School</v>
          </cell>
          <cell r="F12336" t="str">
            <v>Primary</v>
          </cell>
        </row>
        <row r="12337">
          <cell r="A12337">
            <v>8815244</v>
          </cell>
          <cell r="B12337">
            <v>115284</v>
          </cell>
          <cell r="C12337" t="str">
            <v>Grove Infant School</v>
          </cell>
          <cell r="D12337" t="str">
            <v>Essex</v>
          </cell>
          <cell r="E12337" t="str">
            <v>Foundation School</v>
          </cell>
          <cell r="F12337" t="str">
            <v>Primary</v>
          </cell>
        </row>
        <row r="12338">
          <cell r="A12338">
            <v>3362086</v>
          </cell>
          <cell r="B12338">
            <v>127224</v>
          </cell>
          <cell r="C12338" t="str">
            <v>Grove Infant School</v>
          </cell>
          <cell r="D12338" t="str">
            <v>Wolverhampton</v>
          </cell>
          <cell r="E12338" t="str">
            <v>Community School</v>
          </cell>
          <cell r="F12338" t="str">
            <v>Primary</v>
          </cell>
        </row>
        <row r="12339">
          <cell r="A12339">
            <v>6682272</v>
          </cell>
          <cell r="B12339">
            <v>400693</v>
          </cell>
          <cell r="C12339" t="str">
            <v>Grove Junior C.P. School</v>
          </cell>
          <cell r="D12339" t="str">
            <v>Pembrokeshire</v>
          </cell>
          <cell r="E12339" t="str">
            <v>Welsh Establishment</v>
          </cell>
          <cell r="F12339" t="str">
            <v>Not applicable</v>
          </cell>
        </row>
        <row r="12340">
          <cell r="A12340">
            <v>8022261</v>
          </cell>
          <cell r="B12340">
            <v>109082</v>
          </cell>
          <cell r="C12340" t="str">
            <v>Grove Junior School</v>
          </cell>
          <cell r="D12340" t="str">
            <v>North Somerset</v>
          </cell>
          <cell r="E12340" t="str">
            <v>Community School</v>
          </cell>
          <cell r="F12340" t="str">
            <v>Primary</v>
          </cell>
        </row>
        <row r="12341">
          <cell r="A12341">
            <v>8815245</v>
          </cell>
          <cell r="B12341">
            <v>115285</v>
          </cell>
          <cell r="C12341" t="str">
            <v>Grove Junior School</v>
          </cell>
          <cell r="D12341" t="str">
            <v>Essex</v>
          </cell>
          <cell r="E12341" t="str">
            <v>Foundation School</v>
          </cell>
          <cell r="F12341" t="str">
            <v>Primary</v>
          </cell>
        </row>
        <row r="12342">
          <cell r="A12342">
            <v>8612118</v>
          </cell>
          <cell r="B12342">
            <v>124032</v>
          </cell>
          <cell r="C12342" t="str">
            <v>Grove Junior School</v>
          </cell>
          <cell r="D12342" t="str">
            <v>Stoke-on-Trent</v>
          </cell>
          <cell r="E12342" t="str">
            <v>Community School</v>
          </cell>
          <cell r="F12342" t="str">
            <v>Primary</v>
          </cell>
        </row>
        <row r="12343">
          <cell r="A12343">
            <v>3302258</v>
          </cell>
          <cell r="B12343">
            <v>127050</v>
          </cell>
          <cell r="C12343" t="str">
            <v>Grove Junior School</v>
          </cell>
          <cell r="D12343" t="str">
            <v>Birmingham</v>
          </cell>
          <cell r="E12343" t="str">
            <v>Community School</v>
          </cell>
          <cell r="F12343" t="str">
            <v>Primary</v>
          </cell>
        </row>
        <row r="12344">
          <cell r="A12344">
            <v>3362082</v>
          </cell>
          <cell r="B12344">
            <v>127221</v>
          </cell>
          <cell r="C12344" t="str">
            <v>Grove Junior School</v>
          </cell>
          <cell r="D12344" t="str">
            <v>Wolverhampton</v>
          </cell>
          <cell r="E12344" t="str">
            <v>Community School</v>
          </cell>
          <cell r="F12344" t="str">
            <v>Primary</v>
          </cell>
        </row>
        <row r="12345">
          <cell r="A12345">
            <v>3842107</v>
          </cell>
          <cell r="B12345">
            <v>108182</v>
          </cell>
          <cell r="C12345" t="str">
            <v>Grove Lea First School</v>
          </cell>
          <cell r="D12345" t="str">
            <v>Wakefield</v>
          </cell>
          <cell r="E12345" t="str">
            <v>Community School</v>
          </cell>
          <cell r="F12345" t="str">
            <v>Primary</v>
          </cell>
        </row>
        <row r="12346">
          <cell r="A12346">
            <v>8524273</v>
          </cell>
          <cell r="B12346">
            <v>116455</v>
          </cell>
          <cell r="C12346" t="str">
            <v>Grove Park Business and Enterprise College</v>
          </cell>
          <cell r="D12346" t="str">
            <v>Southampton</v>
          </cell>
          <cell r="E12346" t="str">
            <v>Community School</v>
          </cell>
          <cell r="F12346" t="str">
            <v>Secondary</v>
          </cell>
        </row>
        <row r="12347">
          <cell r="A12347">
            <v>8862595</v>
          </cell>
          <cell r="B12347">
            <v>118529</v>
          </cell>
          <cell r="C12347" t="str">
            <v>Grove Park Community Primary School</v>
          </cell>
          <cell r="D12347" t="str">
            <v>Kent</v>
          </cell>
          <cell r="E12347" t="str">
            <v>Community School</v>
          </cell>
          <cell r="F12347" t="str">
            <v>Primary</v>
          </cell>
        </row>
        <row r="12348">
          <cell r="A12348">
            <v>3132022</v>
          </cell>
          <cell r="B12348">
            <v>102485</v>
          </cell>
          <cell r="C12348" t="str">
            <v>Grove Park Primary School</v>
          </cell>
          <cell r="D12348" t="str">
            <v>Hounslow</v>
          </cell>
          <cell r="E12348" t="str">
            <v>Community School</v>
          </cell>
          <cell r="F12348" t="str">
            <v>Primary</v>
          </cell>
        </row>
        <row r="12349">
          <cell r="A12349">
            <v>3047003</v>
          </cell>
          <cell r="B12349">
            <v>101580</v>
          </cell>
          <cell r="C12349" t="str">
            <v>Grove Park School</v>
          </cell>
          <cell r="D12349" t="str">
            <v>Brent</v>
          </cell>
          <cell r="E12349" t="str">
            <v>Community Special School</v>
          </cell>
          <cell r="F12349" t="str">
            <v>Special</v>
          </cell>
        </row>
        <row r="12350">
          <cell r="A12350">
            <v>8457021</v>
          </cell>
          <cell r="B12350">
            <v>114688</v>
          </cell>
          <cell r="C12350" t="str">
            <v>Grove Park School</v>
          </cell>
          <cell r="D12350" t="str">
            <v>East Sussex</v>
          </cell>
          <cell r="E12350" t="str">
            <v>Community Special School</v>
          </cell>
          <cell r="F12350" t="str">
            <v>Special</v>
          </cell>
        </row>
        <row r="12351">
          <cell r="A12351">
            <v>3172057</v>
          </cell>
          <cell r="B12351">
            <v>102835</v>
          </cell>
          <cell r="C12351" t="str">
            <v>Grove Primary School</v>
          </cell>
          <cell r="D12351" t="str">
            <v>Redbridge</v>
          </cell>
          <cell r="E12351" t="str">
            <v>Community School</v>
          </cell>
          <cell r="F12351" t="str">
            <v>Primary</v>
          </cell>
        </row>
        <row r="12352">
          <cell r="A12352">
            <v>3362113</v>
          </cell>
          <cell r="B12352">
            <v>104352</v>
          </cell>
          <cell r="C12352" t="str">
            <v>Grove Primary School</v>
          </cell>
          <cell r="D12352" t="str">
            <v>Wolverhampton</v>
          </cell>
          <cell r="E12352" t="str">
            <v>Community School</v>
          </cell>
          <cell r="F12352" t="str">
            <v>Primary</v>
          </cell>
        </row>
        <row r="12353">
          <cell r="A12353">
            <v>9352926</v>
          </cell>
          <cell r="B12353">
            <v>124683</v>
          </cell>
          <cell r="C12353" t="str">
            <v>Grove Primary School</v>
          </cell>
          <cell r="D12353" t="str">
            <v>Suffolk</v>
          </cell>
          <cell r="E12353" t="str">
            <v>Community School</v>
          </cell>
          <cell r="F12353" t="str">
            <v>Primary</v>
          </cell>
        </row>
        <row r="12354">
          <cell r="A12354">
            <v>8652170</v>
          </cell>
          <cell r="B12354">
            <v>126255</v>
          </cell>
          <cell r="C12354" t="str">
            <v>Grove Primary School</v>
          </cell>
          <cell r="D12354" t="str">
            <v>Wiltshire</v>
          </cell>
          <cell r="E12354" t="str">
            <v>Community School</v>
          </cell>
          <cell r="F12354" t="str">
            <v>Primary</v>
          </cell>
        </row>
        <row r="12355">
          <cell r="A12355">
            <v>8853400</v>
          </cell>
          <cell r="B12355">
            <v>135067</v>
          </cell>
          <cell r="C12355" t="str">
            <v>Grove Primary School</v>
          </cell>
          <cell r="D12355" t="str">
            <v>Worcestershire</v>
          </cell>
          <cell r="E12355" t="str">
            <v>Community School</v>
          </cell>
          <cell r="F12355" t="str">
            <v>Primary</v>
          </cell>
        </row>
        <row r="12356">
          <cell r="A12356">
            <v>9192992</v>
          </cell>
          <cell r="B12356">
            <v>133065</v>
          </cell>
          <cell r="C12356" t="str">
            <v>Grove Road Infant School</v>
          </cell>
          <cell r="D12356" t="str">
            <v>Hertfordshire</v>
          </cell>
          <cell r="E12356" t="str">
            <v>Community School</v>
          </cell>
          <cell r="F12356" t="str">
            <v>Primary</v>
          </cell>
        </row>
        <row r="12357">
          <cell r="A12357">
            <v>9192420</v>
          </cell>
          <cell r="B12357">
            <v>129144</v>
          </cell>
          <cell r="C12357" t="str">
            <v>Grove Road Junior School</v>
          </cell>
          <cell r="D12357" t="str">
            <v>Hertfordshire</v>
          </cell>
          <cell r="E12357" t="str">
            <v>Community School</v>
          </cell>
          <cell r="F12357" t="str">
            <v>Primary</v>
          </cell>
        </row>
        <row r="12358">
          <cell r="A12358">
            <v>3132071</v>
          </cell>
          <cell r="B12358">
            <v>102519</v>
          </cell>
          <cell r="C12358" t="str">
            <v>Grove Road Primary School</v>
          </cell>
          <cell r="D12358" t="str">
            <v>Hounslow</v>
          </cell>
          <cell r="E12358" t="str">
            <v>Community School</v>
          </cell>
          <cell r="F12358" t="str">
            <v>Primary</v>
          </cell>
        </row>
        <row r="12359">
          <cell r="A12359">
            <v>9192436</v>
          </cell>
          <cell r="B12359">
            <v>117341</v>
          </cell>
          <cell r="C12359" t="str">
            <v>Grove Road Primary School</v>
          </cell>
          <cell r="D12359" t="str">
            <v>Hertfordshire</v>
          </cell>
          <cell r="E12359" t="str">
            <v>Community School</v>
          </cell>
          <cell r="F12359" t="str">
            <v>Primary</v>
          </cell>
        </row>
        <row r="12360">
          <cell r="A12360">
            <v>3302466</v>
          </cell>
          <cell r="B12360">
            <v>103392</v>
          </cell>
          <cell r="C12360" t="str">
            <v>Grove School</v>
          </cell>
          <cell r="D12360" t="str">
            <v>Birmingham</v>
          </cell>
          <cell r="E12360" t="str">
            <v>Community School</v>
          </cell>
          <cell r="F12360" t="str">
            <v>Primary</v>
          </cell>
        </row>
        <row r="12361">
          <cell r="A12361">
            <v>3587006</v>
          </cell>
          <cell r="B12361">
            <v>106395</v>
          </cell>
          <cell r="C12361" t="str">
            <v>Grove School</v>
          </cell>
          <cell r="D12361" t="str">
            <v>Trafford</v>
          </cell>
          <cell r="E12361" t="str">
            <v>Community Special School</v>
          </cell>
          <cell r="F12361" t="str">
            <v>Special</v>
          </cell>
        </row>
        <row r="12362">
          <cell r="A12362">
            <v>3442206</v>
          </cell>
          <cell r="B12362">
            <v>127381</v>
          </cell>
          <cell r="C12362" t="str">
            <v>Grove Street Infant School</v>
          </cell>
          <cell r="D12362" t="str">
            <v>Wirral</v>
          </cell>
          <cell r="E12362" t="str">
            <v>Community School</v>
          </cell>
          <cell r="F12362" t="str">
            <v>Primary</v>
          </cell>
        </row>
        <row r="12363">
          <cell r="A12363">
            <v>3442205</v>
          </cell>
          <cell r="B12363">
            <v>105011</v>
          </cell>
          <cell r="C12363" t="str">
            <v>Grove Street Primary School</v>
          </cell>
          <cell r="D12363" t="str">
            <v>Wirral</v>
          </cell>
          <cell r="E12363" t="str">
            <v>Community School</v>
          </cell>
          <cell r="F12363" t="str">
            <v>Primary</v>
          </cell>
        </row>
        <row r="12364">
          <cell r="A12364">
            <v>3332166</v>
          </cell>
          <cell r="B12364">
            <v>103972</v>
          </cell>
          <cell r="C12364" t="str">
            <v>Grove Vale Primary School</v>
          </cell>
          <cell r="D12364" t="str">
            <v>Sandwell</v>
          </cell>
          <cell r="E12364" t="str">
            <v>Community School</v>
          </cell>
          <cell r="F12364" t="str">
            <v>Primary</v>
          </cell>
        </row>
        <row r="12365">
          <cell r="A12365">
            <v>2102268</v>
          </cell>
          <cell r="B12365">
            <v>100792</v>
          </cell>
          <cell r="C12365" t="str">
            <v>Grove Vale School</v>
          </cell>
          <cell r="D12365" t="str">
            <v>Southwark</v>
          </cell>
          <cell r="E12365" t="str">
            <v>Community School</v>
          </cell>
          <cell r="F12365" t="str">
            <v>Primary</v>
          </cell>
        </row>
        <row r="12366">
          <cell r="A12366">
            <v>8813833</v>
          </cell>
          <cell r="B12366">
            <v>131329</v>
          </cell>
          <cell r="C12366" t="str">
            <v>Grove Wood Primary School</v>
          </cell>
          <cell r="D12366" t="str">
            <v>Essex</v>
          </cell>
          <cell r="E12366" t="str">
            <v>Foundation School</v>
          </cell>
          <cell r="F12366" t="str">
            <v>Primary</v>
          </cell>
        </row>
        <row r="12367">
          <cell r="A12367">
            <v>8452059</v>
          </cell>
          <cell r="B12367">
            <v>114393</v>
          </cell>
          <cell r="C12367" t="str">
            <v>Grovelands Community Primary School</v>
          </cell>
          <cell r="D12367" t="str">
            <v>East Sussex</v>
          </cell>
          <cell r="E12367" t="str">
            <v>Foundation School</v>
          </cell>
          <cell r="F12367" t="str">
            <v>Primary</v>
          </cell>
        </row>
        <row r="12368">
          <cell r="A12368">
            <v>9032011</v>
          </cell>
          <cell r="B12368">
            <v>128266</v>
          </cell>
          <cell r="C12368" t="str">
            <v>Grovelands County Infant School</v>
          </cell>
          <cell r="D12368" t="str">
            <v>Pre LGR (1998) Berkshire</v>
          </cell>
          <cell r="E12368" t="str">
            <v>Community School</v>
          </cell>
          <cell r="F12368" t="str">
            <v>Primary</v>
          </cell>
        </row>
        <row r="12369">
          <cell r="A12369">
            <v>9362428</v>
          </cell>
          <cell r="B12369">
            <v>125056</v>
          </cell>
          <cell r="C12369" t="str">
            <v>Grovelands Infant and Nursery School</v>
          </cell>
          <cell r="D12369" t="str">
            <v>Surrey</v>
          </cell>
          <cell r="E12369" t="str">
            <v>Community School</v>
          </cell>
          <cell r="F12369" t="str">
            <v>Primary</v>
          </cell>
        </row>
        <row r="12370">
          <cell r="A12370">
            <v>9352079</v>
          </cell>
          <cell r="B12370">
            <v>124584</v>
          </cell>
          <cell r="C12370" t="str">
            <v>Grundisburgh Primary School</v>
          </cell>
          <cell r="D12370" t="str">
            <v>Suffolk</v>
          </cell>
          <cell r="E12370" t="str">
            <v>Community School</v>
          </cell>
          <cell r="F12370" t="str">
            <v>Primary</v>
          </cell>
        </row>
        <row r="12371">
          <cell r="A12371">
            <v>3824064</v>
          </cell>
          <cell r="B12371">
            <v>107779</v>
          </cell>
          <cell r="C12371" t="str">
            <v>Grylls Community Middle School</v>
          </cell>
          <cell r="D12371" t="str">
            <v>Kirklees</v>
          </cell>
          <cell r="E12371" t="str">
            <v>Community School</v>
          </cell>
          <cell r="F12371" t="str">
            <v>Middle Deemed Secondary</v>
          </cell>
        </row>
        <row r="12372">
          <cell r="A12372">
            <v>8566021</v>
          </cell>
          <cell r="B12372">
            <v>135530</v>
          </cell>
          <cell r="C12372" t="str">
            <v>Gryphon School</v>
          </cell>
          <cell r="D12372" t="str">
            <v>Leicester</v>
          </cell>
          <cell r="E12372" t="str">
            <v>Other Independent Special School</v>
          </cell>
          <cell r="F12372" t="str">
            <v>Not applicable</v>
          </cell>
        </row>
        <row r="12373">
          <cell r="A12373">
            <v>812940</v>
          </cell>
          <cell r="B12373">
            <v>133979</v>
          </cell>
          <cell r="C12373" t="str">
            <v>GTFC Learn Gti Study Support Centre</v>
          </cell>
          <cell r="D12373" t="str">
            <v>North East Lincolnshire</v>
          </cell>
          <cell r="E12373" t="str">
            <v>Playing for Success Centres</v>
          </cell>
          <cell r="F12373" t="str">
            <v>Not applicable</v>
          </cell>
        </row>
        <row r="12374">
          <cell r="A12374">
            <v>3303316</v>
          </cell>
          <cell r="B12374">
            <v>103420</v>
          </cell>
          <cell r="C12374" t="str">
            <v>Guardian Angels Catholic Primary School</v>
          </cell>
          <cell r="D12374" t="str">
            <v>Birmingham</v>
          </cell>
          <cell r="E12374" t="str">
            <v>Voluntary Aided School</v>
          </cell>
          <cell r="F12374" t="str">
            <v>Primary</v>
          </cell>
        </row>
        <row r="12375">
          <cell r="A12375">
            <v>2113346</v>
          </cell>
          <cell r="B12375">
            <v>100945</v>
          </cell>
          <cell r="C12375" t="str">
            <v>Guardian Angels Roman Catholic Primary School</v>
          </cell>
          <cell r="D12375" t="str">
            <v>Tower Hamlets</v>
          </cell>
          <cell r="E12375" t="str">
            <v>Voluntary Aided School</v>
          </cell>
          <cell r="F12375" t="str">
            <v>Primary</v>
          </cell>
        </row>
        <row r="12376">
          <cell r="A12376">
            <v>3513320</v>
          </cell>
          <cell r="B12376">
            <v>105334</v>
          </cell>
          <cell r="C12376" t="str">
            <v>Guardian Angels Roman Catholic Primary School, Bury</v>
          </cell>
          <cell r="D12376" t="str">
            <v>Bury</v>
          </cell>
          <cell r="E12376" t="str">
            <v>Voluntary Aided School</v>
          </cell>
          <cell r="F12376" t="str">
            <v>Primary</v>
          </cell>
        </row>
        <row r="12377">
          <cell r="A12377">
            <v>8453324</v>
          </cell>
          <cell r="B12377">
            <v>114551</v>
          </cell>
          <cell r="C12377" t="str">
            <v>Guestling Bradshaw Church of England Primary School</v>
          </cell>
          <cell r="D12377" t="str">
            <v>East Sussex</v>
          </cell>
          <cell r="E12377" t="str">
            <v>Voluntary Aided School</v>
          </cell>
          <cell r="F12377" t="str">
            <v>Primary</v>
          </cell>
        </row>
        <row r="12378">
          <cell r="A12378">
            <v>3576002</v>
          </cell>
          <cell r="B12378">
            <v>135921</v>
          </cell>
          <cell r="C12378" t="str">
            <v>Guide Bridge Independent School</v>
          </cell>
          <cell r="D12378" t="str">
            <v>Tameside</v>
          </cell>
          <cell r="E12378" t="str">
            <v>Other Independent Special School</v>
          </cell>
          <cell r="F12378" t="str">
            <v>Not applicable</v>
          </cell>
        </row>
        <row r="12379">
          <cell r="A12379">
            <v>9294037</v>
          </cell>
          <cell r="B12379">
            <v>122324</v>
          </cell>
          <cell r="C12379" t="str">
            <v>Guide Post Middle School</v>
          </cell>
          <cell r="D12379" t="str">
            <v>Northumberland</v>
          </cell>
          <cell r="E12379" t="str">
            <v>Community School</v>
          </cell>
          <cell r="F12379" t="str">
            <v>Middle Deemed Secondary</v>
          </cell>
        </row>
        <row r="12380">
          <cell r="A12380">
            <v>9292370</v>
          </cell>
          <cell r="B12380">
            <v>122247</v>
          </cell>
          <cell r="C12380" t="str">
            <v>Guide Post Ringway First School</v>
          </cell>
          <cell r="D12380" t="str">
            <v>Northumberland</v>
          </cell>
          <cell r="E12380" t="str">
            <v>Community School</v>
          </cell>
          <cell r="F12380" t="str">
            <v>Primary</v>
          </cell>
        </row>
        <row r="12381">
          <cell r="A12381">
            <v>8733018</v>
          </cell>
          <cell r="B12381">
            <v>110790</v>
          </cell>
          <cell r="C12381" t="str">
            <v>Guilden Morden CofE Primary School</v>
          </cell>
          <cell r="D12381" t="str">
            <v>Cambridgeshire</v>
          </cell>
          <cell r="E12381" t="str">
            <v>Voluntary Controlled School</v>
          </cell>
          <cell r="F12381" t="str">
            <v>Primary</v>
          </cell>
        </row>
        <row r="12382">
          <cell r="A12382">
            <v>8963152</v>
          </cell>
          <cell r="B12382">
            <v>111273</v>
          </cell>
          <cell r="C12382" t="str">
            <v>Guilden Sutton CofE Primary School</v>
          </cell>
          <cell r="D12382" t="str">
            <v>Cheshire West and Chester</v>
          </cell>
          <cell r="E12382" t="str">
            <v>Voluntary Controlled School</v>
          </cell>
          <cell r="F12382" t="str">
            <v>Primary</v>
          </cell>
        </row>
        <row r="12383">
          <cell r="A12383">
            <v>9361107</v>
          </cell>
          <cell r="B12383">
            <v>124923</v>
          </cell>
          <cell r="C12383" t="str">
            <v>Guildford Centre</v>
          </cell>
          <cell r="D12383" t="str">
            <v>Surrey</v>
          </cell>
          <cell r="E12383" t="str">
            <v>Pupil Referral Unit</v>
          </cell>
          <cell r="F12383" t="str">
            <v>PRU</v>
          </cell>
        </row>
        <row r="12384">
          <cell r="A12384">
            <v>9361009</v>
          </cell>
          <cell r="B12384">
            <v>133731</v>
          </cell>
          <cell r="C12384" t="str">
            <v>Guildford Children's Centre</v>
          </cell>
          <cell r="D12384" t="str">
            <v>Surrey</v>
          </cell>
          <cell r="E12384" t="str">
            <v>LA Nursery School</v>
          </cell>
          <cell r="F12384" t="str">
            <v>Nursery</v>
          </cell>
        </row>
        <row r="12385">
          <cell r="A12385">
            <v>9368002</v>
          </cell>
          <cell r="B12385">
            <v>130823</v>
          </cell>
          <cell r="C12385" t="str">
            <v>Guildford College of Further and Higher Education</v>
          </cell>
          <cell r="D12385" t="str">
            <v>Surrey</v>
          </cell>
          <cell r="E12385" t="str">
            <v>Further Education</v>
          </cell>
          <cell r="F12385" t="str">
            <v>16 Plus</v>
          </cell>
        </row>
        <row r="12386">
          <cell r="A12386">
            <v>9365400</v>
          </cell>
          <cell r="B12386">
            <v>125300</v>
          </cell>
          <cell r="C12386" t="str">
            <v>Guildford County School</v>
          </cell>
          <cell r="D12386" t="str">
            <v>Surrey</v>
          </cell>
          <cell r="E12386" t="str">
            <v>Foundation School</v>
          </cell>
          <cell r="F12386" t="str">
            <v>Secondary</v>
          </cell>
        </row>
        <row r="12387">
          <cell r="A12387">
            <v>9362963</v>
          </cell>
          <cell r="B12387">
            <v>132758</v>
          </cell>
          <cell r="C12387" t="str">
            <v>Guildford Grove Primary School</v>
          </cell>
          <cell r="D12387" t="str">
            <v>Surrey</v>
          </cell>
          <cell r="E12387" t="str">
            <v>Community School</v>
          </cell>
          <cell r="F12387" t="str">
            <v>Primary</v>
          </cell>
        </row>
        <row r="12388">
          <cell r="A12388">
            <v>9366046</v>
          </cell>
          <cell r="B12388">
            <v>125342</v>
          </cell>
          <cell r="C12388" t="str">
            <v>Guildford High School</v>
          </cell>
          <cell r="D12388" t="str">
            <v>Surrey</v>
          </cell>
          <cell r="E12388" t="str">
            <v>Other Independent School</v>
          </cell>
          <cell r="F12388" t="str">
            <v>Not applicable</v>
          </cell>
        </row>
        <row r="12389">
          <cell r="A12389">
            <v>9352032</v>
          </cell>
          <cell r="B12389">
            <v>124550</v>
          </cell>
          <cell r="C12389" t="str">
            <v>Guildhall Feoffment Community Primary School</v>
          </cell>
          <cell r="D12389" t="str">
            <v>Suffolk</v>
          </cell>
          <cell r="E12389" t="str">
            <v>Community School</v>
          </cell>
          <cell r="F12389" t="str">
            <v>Primary</v>
          </cell>
        </row>
        <row r="12390">
          <cell r="A12390">
            <v>201</v>
          </cell>
          <cell r="B12390">
            <v>135412</v>
          </cell>
          <cell r="C12390" t="str">
            <v>Guildhall School of Music and Drama</v>
          </cell>
          <cell r="D12390" t="str">
            <v>City of London</v>
          </cell>
          <cell r="E12390" t="str">
            <v>Higher Education Institutions</v>
          </cell>
          <cell r="F12390" t="str">
            <v>Not applicable</v>
          </cell>
        </row>
        <row r="12391">
          <cell r="A12391">
            <v>8502533</v>
          </cell>
          <cell r="B12391">
            <v>116157</v>
          </cell>
          <cell r="C12391" t="str">
            <v>Guillemont Junior School</v>
          </cell>
          <cell r="D12391" t="str">
            <v>Hampshire</v>
          </cell>
          <cell r="E12391" t="str">
            <v>Community School</v>
          </cell>
          <cell r="F12391" t="str">
            <v>Primary</v>
          </cell>
        </row>
        <row r="12392">
          <cell r="A12392">
            <v>9283318</v>
          </cell>
          <cell r="B12392">
            <v>122022</v>
          </cell>
          <cell r="C12392" t="str">
            <v>Guilsborough Church of England (Aided) Primary School</v>
          </cell>
          <cell r="D12392" t="str">
            <v>Northamptonshire</v>
          </cell>
          <cell r="E12392" t="str">
            <v>Voluntary Aided School</v>
          </cell>
          <cell r="F12392" t="str">
            <v>Primary</v>
          </cell>
        </row>
        <row r="12393">
          <cell r="A12393">
            <v>9284042</v>
          </cell>
          <cell r="B12393">
            <v>122061</v>
          </cell>
          <cell r="C12393" t="str">
            <v>Guilsborough School</v>
          </cell>
          <cell r="D12393" t="str">
            <v>Northamptonshire</v>
          </cell>
          <cell r="E12393" t="str">
            <v>Community School</v>
          </cell>
          <cell r="F12393" t="str">
            <v>Secondary</v>
          </cell>
        </row>
        <row r="12394">
          <cell r="A12394">
            <v>9284042</v>
          </cell>
          <cell r="B12394">
            <v>136489</v>
          </cell>
          <cell r="C12394" t="str">
            <v>Guilsborough School</v>
          </cell>
          <cell r="D12394" t="str">
            <v>Northamptonshire</v>
          </cell>
          <cell r="E12394" t="str">
            <v>Academy Converters</v>
          </cell>
          <cell r="F12394" t="str">
            <v>Secondary</v>
          </cell>
        </row>
        <row r="12395">
          <cell r="A12395">
            <v>6662049</v>
          </cell>
          <cell r="B12395">
            <v>400486</v>
          </cell>
          <cell r="C12395" t="str">
            <v>Guilsfield C.P. School</v>
          </cell>
          <cell r="D12395" t="str">
            <v>Powys</v>
          </cell>
          <cell r="E12395" t="str">
            <v>Welsh Establishment</v>
          </cell>
          <cell r="F12395" t="str">
            <v>Primary</v>
          </cell>
        </row>
        <row r="12396">
          <cell r="A12396">
            <v>3832270</v>
          </cell>
          <cell r="B12396">
            <v>107809</v>
          </cell>
          <cell r="C12396" t="str">
            <v>Guiseley Infant and Nursery School</v>
          </cell>
          <cell r="D12396" t="str">
            <v>Leeds</v>
          </cell>
          <cell r="E12396" t="str">
            <v>Community School</v>
          </cell>
          <cell r="F12396" t="str">
            <v>Primary</v>
          </cell>
        </row>
        <row r="12397">
          <cell r="A12397">
            <v>3831001</v>
          </cell>
          <cell r="B12397">
            <v>127803</v>
          </cell>
          <cell r="C12397" t="str">
            <v>Guiseley Nursery School</v>
          </cell>
          <cell r="D12397" t="str">
            <v>Leeds</v>
          </cell>
          <cell r="E12397" t="str">
            <v>LA Nursery School</v>
          </cell>
          <cell r="F12397" t="str">
            <v>Nursery</v>
          </cell>
        </row>
        <row r="12398">
          <cell r="A12398">
            <v>3834108</v>
          </cell>
          <cell r="B12398">
            <v>108085</v>
          </cell>
          <cell r="C12398" t="str">
            <v>Guiseley School</v>
          </cell>
          <cell r="D12398" t="str">
            <v>Leeds</v>
          </cell>
          <cell r="E12398" t="str">
            <v>Community School</v>
          </cell>
          <cell r="F12398" t="str">
            <v>Secondary</v>
          </cell>
        </row>
        <row r="12399">
          <cell r="A12399">
            <v>9163332</v>
          </cell>
          <cell r="B12399">
            <v>128951</v>
          </cell>
          <cell r="C12399" t="str">
            <v>Guiting Power Parochial Primary School</v>
          </cell>
          <cell r="D12399" t="str">
            <v>Gloucestershire</v>
          </cell>
          <cell r="E12399" t="str">
            <v>Voluntary Aided School</v>
          </cell>
          <cell r="F12399" t="str">
            <v>Primary</v>
          </cell>
        </row>
        <row r="12400">
          <cell r="A12400">
            <v>9082005</v>
          </cell>
          <cell r="B12400">
            <v>111793</v>
          </cell>
          <cell r="C12400" t="str">
            <v>Gulval Community Primary School</v>
          </cell>
          <cell r="D12400" t="str">
            <v>Cornwall</v>
          </cell>
          <cell r="E12400" t="str">
            <v>Community School</v>
          </cell>
          <cell r="F12400" t="str">
            <v>Primary</v>
          </cell>
        </row>
        <row r="12401">
          <cell r="A12401">
            <v>8782604</v>
          </cell>
          <cell r="B12401">
            <v>113250</v>
          </cell>
          <cell r="C12401" t="str">
            <v>Gulworthy Primary School</v>
          </cell>
          <cell r="D12401" t="str">
            <v>Devon</v>
          </cell>
          <cell r="E12401" t="str">
            <v>Community School</v>
          </cell>
          <cell r="F12401" t="str">
            <v>Primary</v>
          </cell>
        </row>
        <row r="12402">
          <cell r="A12402">
            <v>9116086</v>
          </cell>
          <cell r="B12402">
            <v>128745</v>
          </cell>
          <cell r="C12402" t="str">
            <v>Gulworthy School</v>
          </cell>
          <cell r="D12402" t="str">
            <v>Pre LGR (1998) Devon</v>
          </cell>
          <cell r="E12402" t="str">
            <v>Other Independent School</v>
          </cell>
          <cell r="F12402" t="str">
            <v>Not applicable</v>
          </cell>
        </row>
        <row r="12403">
          <cell r="A12403">
            <v>3135400</v>
          </cell>
          <cell r="B12403">
            <v>102544</v>
          </cell>
          <cell r="C12403" t="str">
            <v>Gumley House RC Convent School, FCJ</v>
          </cell>
          <cell r="D12403" t="str">
            <v>Hounslow</v>
          </cell>
          <cell r="E12403" t="str">
            <v>Voluntary Aided School</v>
          </cell>
          <cell r="F12403" t="str">
            <v>Secondary</v>
          </cell>
        </row>
        <row r="12404">
          <cell r="A12404">
            <v>9372002</v>
          </cell>
          <cell r="B12404">
            <v>125501</v>
          </cell>
          <cell r="C12404" t="str">
            <v>Gun Hill Infant School</v>
          </cell>
          <cell r="D12404" t="str">
            <v>Warwickshire</v>
          </cell>
          <cell r="E12404" t="str">
            <v>Community School</v>
          </cell>
          <cell r="F12404" t="str">
            <v>Primary</v>
          </cell>
        </row>
        <row r="12405">
          <cell r="A12405">
            <v>6663005</v>
          </cell>
          <cell r="B12405">
            <v>400541</v>
          </cell>
          <cell r="C12405" t="str">
            <v>Gungrog C.I.W. Infant School</v>
          </cell>
          <cell r="D12405" t="str">
            <v>Powys</v>
          </cell>
          <cell r="E12405" t="str">
            <v>Welsh Establishment</v>
          </cell>
          <cell r="F12405" t="str">
            <v>Primary</v>
          </cell>
        </row>
        <row r="12406">
          <cell r="A12406">
            <v>3135401</v>
          </cell>
          <cell r="B12406">
            <v>102545</v>
          </cell>
          <cell r="C12406" t="str">
            <v>Gunnersbury Catholic School</v>
          </cell>
          <cell r="D12406" t="str">
            <v>Hounslow</v>
          </cell>
          <cell r="E12406" t="str">
            <v>Voluntary Aided School</v>
          </cell>
          <cell r="F12406" t="str">
            <v>Secondary</v>
          </cell>
        </row>
        <row r="12407">
          <cell r="A12407">
            <v>8153207</v>
          </cell>
          <cell r="B12407">
            <v>121542</v>
          </cell>
          <cell r="C12407" t="str">
            <v>Gunnerside Methodist Primary School</v>
          </cell>
          <cell r="D12407" t="str">
            <v>North Yorkshire</v>
          </cell>
          <cell r="E12407" t="str">
            <v>Voluntary Controlled School</v>
          </cell>
          <cell r="F12407" t="str">
            <v>Primary</v>
          </cell>
        </row>
        <row r="12408">
          <cell r="A12408">
            <v>8133063</v>
          </cell>
          <cell r="B12408">
            <v>118010</v>
          </cell>
          <cell r="C12408" t="str">
            <v>Gunness and Burringham CofE Primary School</v>
          </cell>
          <cell r="D12408" t="str">
            <v>North Lincolnshire</v>
          </cell>
          <cell r="E12408" t="str">
            <v>Voluntary Controlled School</v>
          </cell>
          <cell r="F12408" t="str">
            <v>Primary</v>
          </cell>
        </row>
        <row r="12409">
          <cell r="A12409">
            <v>9082703</v>
          </cell>
          <cell r="B12409">
            <v>111952</v>
          </cell>
          <cell r="C12409" t="str">
            <v>Gunnislake Primary School</v>
          </cell>
          <cell r="D12409" t="str">
            <v>Cornwall</v>
          </cell>
          <cell r="E12409" t="str">
            <v>Community School</v>
          </cell>
          <cell r="F12409" t="str">
            <v>Primary</v>
          </cell>
        </row>
        <row r="12410">
          <cell r="A12410">
            <v>3332012</v>
          </cell>
          <cell r="B12410">
            <v>103894</v>
          </cell>
          <cell r="C12410" t="str">
            <v>Guns Village Infant School</v>
          </cell>
          <cell r="D12410" t="str">
            <v>Sandwell</v>
          </cell>
          <cell r="E12410" t="str">
            <v>Community School</v>
          </cell>
          <cell r="F12410" t="str">
            <v>Primary</v>
          </cell>
        </row>
        <row r="12411">
          <cell r="A12411">
            <v>3332010</v>
          </cell>
          <cell r="B12411">
            <v>103893</v>
          </cell>
          <cell r="C12411" t="str">
            <v>Guns Village Junior School</v>
          </cell>
          <cell r="D12411" t="str">
            <v>Sandwell</v>
          </cell>
          <cell r="E12411" t="str">
            <v>Community School</v>
          </cell>
          <cell r="F12411" t="str">
            <v>Primary</v>
          </cell>
        </row>
        <row r="12412">
          <cell r="A12412">
            <v>3332181</v>
          </cell>
          <cell r="B12412">
            <v>131178</v>
          </cell>
          <cell r="C12412" t="str">
            <v>Guns Village Primary School</v>
          </cell>
          <cell r="D12412" t="str">
            <v>Sandwell</v>
          </cell>
          <cell r="E12412" t="str">
            <v>Community School</v>
          </cell>
          <cell r="F12412" t="str">
            <v>Primary</v>
          </cell>
        </row>
        <row r="12413">
          <cell r="A12413">
            <v>3302091</v>
          </cell>
          <cell r="B12413">
            <v>103208</v>
          </cell>
          <cell r="C12413" t="str">
            <v>Gunter Primary School</v>
          </cell>
          <cell r="D12413" t="str">
            <v>Birmingham</v>
          </cell>
          <cell r="E12413" t="str">
            <v>Community School</v>
          </cell>
          <cell r="F12413" t="str">
            <v>Primary</v>
          </cell>
        </row>
        <row r="12414">
          <cell r="A12414">
            <v>8913550</v>
          </cell>
          <cell r="B12414">
            <v>122803</v>
          </cell>
          <cell r="C12414" t="str">
            <v>Gunthorpe CofE Primary School</v>
          </cell>
          <cell r="D12414" t="str">
            <v>Nottinghamshire</v>
          </cell>
          <cell r="E12414" t="str">
            <v>Voluntary Aided School</v>
          </cell>
          <cell r="F12414" t="str">
            <v>Primary</v>
          </cell>
        </row>
        <row r="12415">
          <cell r="A12415">
            <v>8742279</v>
          </cell>
          <cell r="B12415">
            <v>110730</v>
          </cell>
          <cell r="C12415" t="str">
            <v>Gunthorpe Primary School</v>
          </cell>
          <cell r="D12415" t="str">
            <v>Peterborough</v>
          </cell>
          <cell r="E12415" t="str">
            <v>Community School</v>
          </cell>
          <cell r="F12415" t="str">
            <v>Primary</v>
          </cell>
        </row>
        <row r="12416">
          <cell r="A12416">
            <v>9352920</v>
          </cell>
          <cell r="B12416">
            <v>124677</v>
          </cell>
          <cell r="C12416" t="str">
            <v>Gunton Community Primary School</v>
          </cell>
          <cell r="D12416" t="str">
            <v>Suffolk</v>
          </cell>
          <cell r="E12416" t="str">
            <v>Community School</v>
          </cell>
          <cell r="F12416" t="str">
            <v>Primary</v>
          </cell>
        </row>
        <row r="12417">
          <cell r="A12417">
            <v>9212007</v>
          </cell>
          <cell r="B12417">
            <v>118160</v>
          </cell>
          <cell r="C12417" t="str">
            <v>Gurnard Primary School</v>
          </cell>
          <cell r="D12417" t="str">
            <v>Isle of Wight</v>
          </cell>
          <cell r="E12417" t="str">
            <v>Community School</v>
          </cell>
          <cell r="F12417" t="str">
            <v>Primary</v>
          </cell>
        </row>
        <row r="12418">
          <cell r="A12418">
            <v>3072078</v>
          </cell>
          <cell r="B12418">
            <v>126832</v>
          </cell>
          <cell r="C12418" t="str">
            <v>Gurnell Middle School</v>
          </cell>
          <cell r="D12418" t="str">
            <v>Ealing</v>
          </cell>
          <cell r="E12418" t="str">
            <v>Community School</v>
          </cell>
          <cell r="F12418" t="str">
            <v>Middle Deemed Primary</v>
          </cell>
        </row>
        <row r="12419">
          <cell r="A12419">
            <v>8412656</v>
          </cell>
          <cell r="B12419">
            <v>114172</v>
          </cell>
          <cell r="C12419" t="str">
            <v>Gurney Pease Primary School</v>
          </cell>
          <cell r="D12419" t="str">
            <v>Darlington</v>
          </cell>
          <cell r="E12419" t="str">
            <v>Community School</v>
          </cell>
          <cell r="F12419" t="str">
            <v>Primary</v>
          </cell>
        </row>
        <row r="12420">
          <cell r="A12420">
            <v>3167001</v>
          </cell>
          <cell r="B12420">
            <v>127005</v>
          </cell>
          <cell r="C12420" t="str">
            <v>Gurney School</v>
          </cell>
          <cell r="D12420" t="str">
            <v>Newham</v>
          </cell>
          <cell r="E12420" t="str">
            <v>Community Special School</v>
          </cell>
          <cell r="F12420" t="str">
            <v>Special</v>
          </cell>
        </row>
        <row r="12421">
          <cell r="A12421">
            <v>6662101</v>
          </cell>
          <cell r="B12421">
            <v>400517</v>
          </cell>
          <cell r="C12421" t="str">
            <v>Gurnos C.P. School</v>
          </cell>
          <cell r="D12421" t="str">
            <v>Powys</v>
          </cell>
          <cell r="E12421" t="str">
            <v>Welsh Establishment</v>
          </cell>
          <cell r="F12421" t="str">
            <v>Primary</v>
          </cell>
        </row>
        <row r="12422">
          <cell r="A12422">
            <v>6751027</v>
          </cell>
          <cell r="B12422">
            <v>400025</v>
          </cell>
          <cell r="C12422" t="str">
            <v>Gurnos Nursery School</v>
          </cell>
          <cell r="D12422" t="str">
            <v>Merthyr Tydfil</v>
          </cell>
          <cell r="E12422" t="str">
            <v>Welsh Establishment</v>
          </cell>
          <cell r="F12422" t="str">
            <v>Nursery</v>
          </cell>
        </row>
        <row r="12423">
          <cell r="A12423">
            <v>8816042</v>
          </cell>
          <cell r="B12423">
            <v>115437</v>
          </cell>
          <cell r="C12423" t="str">
            <v>Guru Gobind Singh Khalsa College</v>
          </cell>
          <cell r="D12423" t="str">
            <v>Essex</v>
          </cell>
          <cell r="E12423" t="str">
            <v>Other Independent School</v>
          </cell>
          <cell r="F12423" t="str">
            <v>Not applicable</v>
          </cell>
        </row>
        <row r="12424">
          <cell r="A12424">
            <v>3126061</v>
          </cell>
          <cell r="B12424">
            <v>102459</v>
          </cell>
          <cell r="C12424" t="str">
            <v>Guru Nanak Sikh College</v>
          </cell>
          <cell r="D12424" t="str">
            <v>Hillingdon</v>
          </cell>
          <cell r="E12424" t="str">
            <v>Other Independent School</v>
          </cell>
          <cell r="F12424" t="str">
            <v>Not applicable</v>
          </cell>
        </row>
        <row r="12425">
          <cell r="A12425">
            <v>3123409</v>
          </cell>
          <cell r="B12425">
            <v>131927</v>
          </cell>
          <cell r="C12425" t="str">
            <v>Guru Nanak Sikh Primary School</v>
          </cell>
          <cell r="D12425" t="str">
            <v>Hillingdon</v>
          </cell>
          <cell r="E12425" t="str">
            <v>Voluntary Aided School</v>
          </cell>
          <cell r="F12425" t="str">
            <v>Primary</v>
          </cell>
        </row>
        <row r="12426">
          <cell r="A12426">
            <v>3124654</v>
          </cell>
          <cell r="B12426">
            <v>131928</v>
          </cell>
          <cell r="C12426" t="str">
            <v>Guru Nanak Sikh Voluntary Aided Secondary School</v>
          </cell>
          <cell r="D12426" t="str">
            <v>Hillingdon</v>
          </cell>
          <cell r="E12426" t="str">
            <v>Voluntary Aided School</v>
          </cell>
          <cell r="F12426" t="str">
            <v>Secondary</v>
          </cell>
        </row>
        <row r="12427">
          <cell r="A12427">
            <v>3124654</v>
          </cell>
          <cell r="B12427">
            <v>136329</v>
          </cell>
          <cell r="C12427" t="str">
            <v>Guru Nanak Sikh Voluntary Aided Secondary School</v>
          </cell>
          <cell r="D12427" t="str">
            <v>Hillingdon</v>
          </cell>
          <cell r="E12427" t="str">
            <v>Academy Converters</v>
          </cell>
          <cell r="F12427" t="str">
            <v>Secondary</v>
          </cell>
        </row>
        <row r="12428">
          <cell r="A12428">
            <v>9352183</v>
          </cell>
          <cell r="B12428">
            <v>124667</v>
          </cell>
          <cell r="C12428" t="str">
            <v>Gusford Community Primary School</v>
          </cell>
          <cell r="D12428" t="str">
            <v>Suffolk</v>
          </cell>
          <cell r="E12428" t="str">
            <v>Community School</v>
          </cell>
          <cell r="F12428" t="str">
            <v>Primary</v>
          </cell>
        </row>
        <row r="12429">
          <cell r="A12429">
            <v>8863169</v>
          </cell>
          <cell r="B12429">
            <v>118687</v>
          </cell>
          <cell r="C12429" t="str">
            <v>Guston Church of England Primary School</v>
          </cell>
          <cell r="D12429" t="str">
            <v>Kent</v>
          </cell>
          <cell r="E12429" t="str">
            <v>Voluntary Controlled School</v>
          </cell>
          <cell r="F12429" t="str">
            <v>Primary</v>
          </cell>
        </row>
        <row r="12430">
          <cell r="A12430">
            <v>8554033</v>
          </cell>
          <cell r="B12430">
            <v>120256</v>
          </cell>
          <cell r="C12430" t="str">
            <v>Guthlaxton College Wigston</v>
          </cell>
          <cell r="D12430" t="str">
            <v>Leicestershire</v>
          </cell>
          <cell r="E12430" t="str">
            <v>Community School</v>
          </cell>
          <cell r="F12430" t="str">
            <v>Secondary</v>
          </cell>
        </row>
        <row r="12431">
          <cell r="A12431">
            <v>8733056</v>
          </cell>
          <cell r="B12431">
            <v>110806</v>
          </cell>
          <cell r="C12431" t="str">
            <v>Guyhirn CofE VC Primary School</v>
          </cell>
          <cell r="D12431" t="str">
            <v>Cambridgeshire</v>
          </cell>
          <cell r="E12431" t="str">
            <v>Voluntary Controlled School</v>
          </cell>
          <cell r="F12431" t="str">
            <v>Primary</v>
          </cell>
        </row>
        <row r="12432">
          <cell r="A12432">
            <v>6632133</v>
          </cell>
          <cell r="B12432">
            <v>400278</v>
          </cell>
          <cell r="C12432" t="str">
            <v>Gwaenynog Infants C.P. School</v>
          </cell>
          <cell r="D12432" t="str">
            <v>Denbighshire</v>
          </cell>
          <cell r="E12432" t="str">
            <v>Welsh Establishment</v>
          </cell>
          <cell r="F12432" t="str">
            <v>Primary</v>
          </cell>
        </row>
        <row r="12433">
          <cell r="A12433">
            <v>6742238</v>
          </cell>
          <cell r="B12433">
            <v>401227</v>
          </cell>
          <cell r="C12433" t="str">
            <v>Gwauncelyn Infants School</v>
          </cell>
          <cell r="D12433" t="str">
            <v>Rhondda, Cynon, Taff</v>
          </cell>
          <cell r="E12433" t="str">
            <v>Welsh Establishment</v>
          </cell>
          <cell r="F12433" t="str">
            <v>Not applicable</v>
          </cell>
        </row>
        <row r="12434">
          <cell r="A12434">
            <v>6742242</v>
          </cell>
          <cell r="B12434">
            <v>401229</v>
          </cell>
          <cell r="C12434" t="str">
            <v>Gwauncelyn Junior School</v>
          </cell>
          <cell r="D12434" t="str">
            <v>Rhondda, Cynon, Taff</v>
          </cell>
          <cell r="E12434" t="str">
            <v>Welsh Establishment</v>
          </cell>
          <cell r="F12434" t="str">
            <v>Not applicable</v>
          </cell>
        </row>
        <row r="12435">
          <cell r="A12435">
            <v>6742375</v>
          </cell>
          <cell r="B12435">
            <v>402057</v>
          </cell>
          <cell r="C12435" t="str">
            <v>Gwauncelyn Primary</v>
          </cell>
          <cell r="D12435" t="str">
            <v>Rhondda, Cynon, Taff</v>
          </cell>
          <cell r="E12435" t="str">
            <v>Welsh Establishment</v>
          </cell>
          <cell r="F12435" t="str">
            <v>Primary</v>
          </cell>
        </row>
        <row r="12436">
          <cell r="A12436">
            <v>6752020</v>
          </cell>
          <cell r="B12436">
            <v>401278</v>
          </cell>
          <cell r="C12436" t="str">
            <v>Gwaunfarren Primary School</v>
          </cell>
          <cell r="D12436" t="str">
            <v>Merthyr Tydfil</v>
          </cell>
          <cell r="E12436" t="str">
            <v>Welsh Establishment</v>
          </cell>
          <cell r="F12436" t="str">
            <v>Primary</v>
          </cell>
        </row>
        <row r="12437">
          <cell r="A12437">
            <v>6742260</v>
          </cell>
          <cell r="B12437">
            <v>401238</v>
          </cell>
          <cell r="C12437" t="str">
            <v>Gwaunmeisgyn Infants School</v>
          </cell>
          <cell r="D12437" t="str">
            <v>Rhondda, Cynon, Taff</v>
          </cell>
          <cell r="E12437" t="str">
            <v>Welsh Establishment</v>
          </cell>
          <cell r="F12437" t="str">
            <v>Not applicable</v>
          </cell>
        </row>
        <row r="12438">
          <cell r="A12438">
            <v>6742257</v>
          </cell>
          <cell r="B12438">
            <v>401236</v>
          </cell>
          <cell r="C12438" t="str">
            <v>Gwaunmeisgyn Junior School</v>
          </cell>
          <cell r="D12438" t="str">
            <v>Rhondda, Cynon, Taff</v>
          </cell>
          <cell r="E12438" t="str">
            <v>Welsh Establishment</v>
          </cell>
          <cell r="F12438" t="str">
            <v>Not applicable</v>
          </cell>
        </row>
        <row r="12439">
          <cell r="A12439">
            <v>6742374</v>
          </cell>
          <cell r="B12439">
            <v>402038</v>
          </cell>
          <cell r="C12439" t="str">
            <v>Gwaunmeisgyn Primary School</v>
          </cell>
          <cell r="D12439" t="str">
            <v>Rhondda, Cynon, Taff</v>
          </cell>
          <cell r="E12439" t="str">
            <v>Welsh Establishment</v>
          </cell>
          <cell r="F12439" t="str">
            <v>Primary</v>
          </cell>
        </row>
        <row r="12440">
          <cell r="A12440">
            <v>9082204</v>
          </cell>
          <cell r="B12440">
            <v>111835</v>
          </cell>
          <cell r="C12440" t="str">
            <v>Gweal-An-Top Infant and Nursery School</v>
          </cell>
          <cell r="D12440" t="str">
            <v>Cornwall</v>
          </cell>
          <cell r="E12440" t="str">
            <v>Community School</v>
          </cell>
          <cell r="F12440" t="str">
            <v>Primary</v>
          </cell>
        </row>
        <row r="12441">
          <cell r="A12441">
            <v>6733057</v>
          </cell>
          <cell r="B12441">
            <v>401122</v>
          </cell>
          <cell r="C12441" t="str">
            <v>Gwenfo C.I.W. Primary</v>
          </cell>
          <cell r="D12441" t="str">
            <v>The Vale of Glamorgan</v>
          </cell>
          <cell r="E12441" t="str">
            <v>Welsh Establishment</v>
          </cell>
          <cell r="F12441" t="str">
            <v>Primary</v>
          </cell>
        </row>
        <row r="12442">
          <cell r="A12442">
            <v>6652270</v>
          </cell>
          <cell r="B12442">
            <v>402149</v>
          </cell>
          <cell r="C12442" t="str">
            <v>Gwenfro Community Primary School</v>
          </cell>
          <cell r="D12442" t="str">
            <v>Wrexham</v>
          </cell>
          <cell r="E12442" t="str">
            <v>Welsh Establishment</v>
          </cell>
          <cell r="F12442" t="str">
            <v>Primary</v>
          </cell>
        </row>
        <row r="12443">
          <cell r="A12443">
            <v>6652198</v>
          </cell>
          <cell r="B12443">
            <v>400422</v>
          </cell>
          <cell r="C12443" t="str">
            <v>Gwenfro Infants  School</v>
          </cell>
          <cell r="D12443" t="str">
            <v>Wrexham</v>
          </cell>
          <cell r="E12443" t="str">
            <v>Welsh Establishment</v>
          </cell>
          <cell r="F12443" t="str">
            <v>Primary</v>
          </cell>
        </row>
        <row r="12444">
          <cell r="A12444">
            <v>6652199</v>
          </cell>
          <cell r="B12444">
            <v>400423</v>
          </cell>
          <cell r="C12444" t="str">
            <v>Gwenfro Junior C.P. School</v>
          </cell>
          <cell r="D12444" t="str">
            <v>Wrexham</v>
          </cell>
          <cell r="E12444" t="str">
            <v>Welsh Establishment</v>
          </cell>
          <cell r="F12444" t="str">
            <v>Primary</v>
          </cell>
        </row>
        <row r="12445">
          <cell r="A12445">
            <v>6672290</v>
          </cell>
          <cell r="B12445">
            <v>400580</v>
          </cell>
          <cell r="C12445" t="str">
            <v>Gwenlli C.P. School</v>
          </cell>
          <cell r="D12445" t="str">
            <v>Ceredigion</v>
          </cell>
          <cell r="E12445" t="str">
            <v>Welsh Establishment</v>
          </cell>
          <cell r="F12445" t="str">
            <v>Primary</v>
          </cell>
        </row>
        <row r="12446">
          <cell r="A12446">
            <v>6752037</v>
          </cell>
          <cell r="B12446">
            <v>401286</v>
          </cell>
          <cell r="C12446" t="str">
            <v>Gwernllwyn Junior School</v>
          </cell>
          <cell r="D12446" t="str">
            <v>Merthyr Tydfil</v>
          </cell>
          <cell r="E12446" t="str">
            <v>Welsh Establishment</v>
          </cell>
          <cell r="F12446" t="str">
            <v>Primary</v>
          </cell>
        </row>
        <row r="12447">
          <cell r="A12447">
            <v>6752355</v>
          </cell>
          <cell r="B12447">
            <v>402227</v>
          </cell>
          <cell r="C12447" t="str">
            <v>Gwernllwyn Primary School</v>
          </cell>
          <cell r="D12447" t="str">
            <v>Merthyr Tydfil</v>
          </cell>
          <cell r="E12447" t="str">
            <v>Welsh Establishment</v>
          </cell>
          <cell r="F12447" t="str">
            <v>Primary</v>
          </cell>
        </row>
        <row r="12448">
          <cell r="A12448">
            <v>6664023</v>
          </cell>
          <cell r="B12448">
            <v>401732</v>
          </cell>
          <cell r="C12448" t="str">
            <v>Gwernyfed High School</v>
          </cell>
          <cell r="D12448" t="str">
            <v>Powys</v>
          </cell>
          <cell r="E12448" t="str">
            <v>Welsh Establishment</v>
          </cell>
          <cell r="F12448" t="str">
            <v>Secondary</v>
          </cell>
        </row>
        <row r="12449">
          <cell r="A12449">
            <v>6642056</v>
          </cell>
          <cell r="B12449">
            <v>400345</v>
          </cell>
          <cell r="C12449" t="str">
            <v>Gwernymynydd C.P. School</v>
          </cell>
          <cell r="D12449" t="str">
            <v>Flintshire</v>
          </cell>
          <cell r="E12449" t="str">
            <v>Welsh Establishment</v>
          </cell>
          <cell r="F12449" t="str">
            <v>Primary</v>
          </cell>
        </row>
        <row r="12450">
          <cell r="A12450">
            <v>6652180</v>
          </cell>
          <cell r="B12450">
            <v>400411</v>
          </cell>
          <cell r="C12450" t="str">
            <v>Gwersyllt Junior C.P. School</v>
          </cell>
          <cell r="D12450" t="str">
            <v>Wrexham</v>
          </cell>
          <cell r="E12450" t="str">
            <v>Welsh Establishment</v>
          </cell>
          <cell r="F12450" t="str">
            <v>Primary</v>
          </cell>
        </row>
        <row r="12451">
          <cell r="A12451">
            <v>6652274</v>
          </cell>
          <cell r="B12451">
            <v>135681</v>
          </cell>
          <cell r="C12451" t="str">
            <v>Gwersyllt Primary</v>
          </cell>
          <cell r="D12451" t="str">
            <v>Wrexham</v>
          </cell>
          <cell r="E12451" t="str">
            <v>Welsh Establishment</v>
          </cell>
          <cell r="F12451" t="str">
            <v>Primary</v>
          </cell>
        </row>
        <row r="12452">
          <cell r="A12452">
            <v>6651102</v>
          </cell>
          <cell r="B12452">
            <v>401943</v>
          </cell>
          <cell r="C12452" t="str">
            <v>Gwersyllt Support centre</v>
          </cell>
          <cell r="D12452" t="str">
            <v>Wrexham</v>
          </cell>
          <cell r="E12452" t="str">
            <v>Welsh Establishment</v>
          </cell>
          <cell r="F12452" t="str">
            <v>Not applicable</v>
          </cell>
        </row>
        <row r="12453">
          <cell r="A12453">
            <v>9082227</v>
          </cell>
          <cell r="B12453">
            <v>111846</v>
          </cell>
          <cell r="C12453" t="str">
            <v>Gwinear Community Primary School</v>
          </cell>
          <cell r="D12453" t="str">
            <v>Cornwall</v>
          </cell>
          <cell r="E12453" t="str">
            <v>Community School</v>
          </cell>
          <cell r="F12453" t="str">
            <v>Primary</v>
          </cell>
        </row>
        <row r="12454">
          <cell r="A12454">
            <v>3412070</v>
          </cell>
          <cell r="B12454">
            <v>127264</v>
          </cell>
          <cell r="C12454" t="str">
            <v>Gwladys Street County Infant School</v>
          </cell>
          <cell r="D12454" t="str">
            <v>Liverpool</v>
          </cell>
          <cell r="E12454" t="str">
            <v>Community School</v>
          </cell>
          <cell r="F12454" t="str">
            <v>Primary</v>
          </cell>
        </row>
        <row r="12455">
          <cell r="A12455">
            <v>3412069</v>
          </cell>
          <cell r="B12455">
            <v>127263</v>
          </cell>
          <cell r="C12455" t="str">
            <v>Gwladys Street County Junior School</v>
          </cell>
          <cell r="D12455" t="str">
            <v>Liverpool</v>
          </cell>
          <cell r="E12455" t="str">
            <v>Community School</v>
          </cell>
          <cell r="F12455" t="str">
            <v>Primary</v>
          </cell>
        </row>
        <row r="12456">
          <cell r="A12456">
            <v>3412214</v>
          </cell>
          <cell r="B12456">
            <v>104610</v>
          </cell>
          <cell r="C12456" t="str">
            <v>Gwladys Street Primary and Nursery School</v>
          </cell>
          <cell r="D12456" t="str">
            <v>Liverpool</v>
          </cell>
          <cell r="E12456" t="str">
            <v>Community School</v>
          </cell>
          <cell r="F12456" t="str">
            <v>Primary</v>
          </cell>
        </row>
        <row r="12457">
          <cell r="A12457">
            <v>3202069</v>
          </cell>
          <cell r="B12457">
            <v>103074</v>
          </cell>
          <cell r="C12457" t="str">
            <v>Gwyn Jones Primary School</v>
          </cell>
          <cell r="D12457" t="str">
            <v>Waltham Forest</v>
          </cell>
          <cell r="E12457" t="str">
            <v>Community School</v>
          </cell>
          <cell r="F12457" t="str">
            <v>Primary</v>
          </cell>
        </row>
        <row r="12458">
          <cell r="A12458">
            <v>6642015</v>
          </cell>
          <cell r="B12458">
            <v>400322</v>
          </cell>
          <cell r="C12458" t="str">
            <v>Gwynedd C.P. School</v>
          </cell>
          <cell r="D12458" t="str">
            <v>Flintshire</v>
          </cell>
          <cell r="E12458" t="str">
            <v>Welsh Establishment</v>
          </cell>
          <cell r="F12458" t="str">
            <v>Primary</v>
          </cell>
        </row>
        <row r="12459">
          <cell r="A12459">
            <v>6692019</v>
          </cell>
          <cell r="B12459">
            <v>400740</v>
          </cell>
          <cell r="C12459" t="str">
            <v>Gwynfryn CP School</v>
          </cell>
          <cell r="D12459" t="str">
            <v>Carmarthenshire</v>
          </cell>
          <cell r="E12459" t="str">
            <v>Welsh Establishment</v>
          </cell>
          <cell r="F12459" t="str">
            <v>Primary</v>
          </cell>
        </row>
        <row r="12460">
          <cell r="A12460">
            <v>6702030</v>
          </cell>
          <cell r="B12460">
            <v>400874</v>
          </cell>
          <cell r="C12460" t="str">
            <v>Gwyrosydd Infants School</v>
          </cell>
          <cell r="D12460" t="str">
            <v>Swansea</v>
          </cell>
          <cell r="E12460" t="str">
            <v>Welsh Establishment</v>
          </cell>
          <cell r="F12460" t="str">
            <v>Primary</v>
          </cell>
        </row>
        <row r="12461">
          <cell r="A12461">
            <v>6702029</v>
          </cell>
          <cell r="B12461">
            <v>400873</v>
          </cell>
          <cell r="C12461" t="str">
            <v>Gwyrosydd Junior School</v>
          </cell>
          <cell r="D12461" t="str">
            <v>Swansea</v>
          </cell>
          <cell r="E12461" t="str">
            <v>Welsh Establishment</v>
          </cell>
          <cell r="F12461" t="str">
            <v>Primary</v>
          </cell>
        </row>
        <row r="12462">
          <cell r="A12462">
            <v>6702238</v>
          </cell>
          <cell r="B12462">
            <v>402088</v>
          </cell>
          <cell r="C12462" t="str">
            <v>Gwyrosydd Primary</v>
          </cell>
          <cell r="D12462" t="str">
            <v>Swansea</v>
          </cell>
          <cell r="E12462" t="str">
            <v>Welsh Establishment</v>
          </cell>
          <cell r="F12462" t="str">
            <v>Primary</v>
          </cell>
        </row>
        <row r="12463">
          <cell r="A12463">
            <v>6621102</v>
          </cell>
          <cell r="B12463">
            <v>402024</v>
          </cell>
          <cell r="C12463" t="str">
            <v>Gyffin Education Centre</v>
          </cell>
          <cell r="D12463" t="str">
            <v>Conwy</v>
          </cell>
          <cell r="E12463" t="str">
            <v>Welsh Establishment</v>
          </cell>
          <cell r="F12463" t="str">
            <v>Not applicable</v>
          </cell>
        </row>
        <row r="12464">
          <cell r="A12464">
            <v>8266003</v>
          </cell>
          <cell r="B12464">
            <v>110568</v>
          </cell>
          <cell r="C12464" t="str">
            <v>Gyosei International School Uk</v>
          </cell>
          <cell r="D12464" t="str">
            <v>Milton Keynes</v>
          </cell>
          <cell r="E12464" t="str">
            <v>Other Independent School</v>
          </cell>
          <cell r="F12464" t="str">
            <v>Not applicable</v>
          </cell>
        </row>
        <row r="12465">
          <cell r="A12465">
            <v>6796010</v>
          </cell>
          <cell r="B12465">
            <v>402009</v>
          </cell>
          <cell r="C12465" t="str">
            <v>Haberdashers' Agincourt School</v>
          </cell>
          <cell r="D12465" t="str">
            <v>Monmouthshire</v>
          </cell>
          <cell r="E12465" t="str">
            <v>Welsh Establishment</v>
          </cell>
          <cell r="F12465" t="str">
            <v>Not applicable</v>
          </cell>
        </row>
        <row r="12466">
          <cell r="A12466">
            <v>9196221</v>
          </cell>
          <cell r="B12466">
            <v>117648</v>
          </cell>
          <cell r="C12466" t="str">
            <v>Haberdashers' Aske's Boys' School</v>
          </cell>
          <cell r="D12466" t="str">
            <v>Hertfordshire</v>
          </cell>
          <cell r="E12466" t="str">
            <v>Other Independent School</v>
          </cell>
          <cell r="F12466" t="str">
            <v>Not applicable</v>
          </cell>
        </row>
        <row r="12467">
          <cell r="A12467">
            <v>3036907</v>
          </cell>
          <cell r="B12467">
            <v>135951</v>
          </cell>
          <cell r="C12467" t="str">
            <v>Haberdashers' Aske's Crayford Academy</v>
          </cell>
          <cell r="D12467" t="str">
            <v>Bexley</v>
          </cell>
          <cell r="E12467" t="str">
            <v>Academy Sponsor Led</v>
          </cell>
          <cell r="F12467" t="str">
            <v>Not applicable</v>
          </cell>
        </row>
        <row r="12468">
          <cell r="A12468">
            <v>2096900</v>
          </cell>
          <cell r="B12468">
            <v>100759</v>
          </cell>
          <cell r="C12468" t="str">
            <v>Haberdashers' Aske's Hatcham College</v>
          </cell>
          <cell r="D12468" t="str">
            <v>Lewisham</v>
          </cell>
          <cell r="E12468" t="str">
            <v>City Technology College</v>
          </cell>
          <cell r="F12468" t="str">
            <v>Not applicable</v>
          </cell>
        </row>
        <row r="12469">
          <cell r="A12469">
            <v>2096905</v>
          </cell>
          <cell r="B12469">
            <v>135073</v>
          </cell>
          <cell r="C12469" t="str">
            <v>Haberdashers' Aske's Hatcham College</v>
          </cell>
          <cell r="D12469" t="str">
            <v>Lewisham</v>
          </cell>
          <cell r="E12469" t="str">
            <v>Academy Sponsor Led</v>
          </cell>
          <cell r="F12469" t="str">
            <v>Not applicable</v>
          </cell>
        </row>
        <row r="12470">
          <cell r="A12470">
            <v>2096906</v>
          </cell>
          <cell r="B12470">
            <v>135070</v>
          </cell>
          <cell r="C12470" t="str">
            <v>Haberdashers' Aske's Knights Academy</v>
          </cell>
          <cell r="D12470" t="str">
            <v>Lewisham</v>
          </cell>
          <cell r="E12470" t="str">
            <v>Academy Sponsor Led</v>
          </cell>
          <cell r="F12470" t="str">
            <v>Not applicable</v>
          </cell>
        </row>
        <row r="12471">
          <cell r="A12471">
            <v>2094501</v>
          </cell>
          <cell r="B12471">
            <v>126661</v>
          </cell>
          <cell r="C12471" t="str">
            <v>Haberdashers Askes School</v>
          </cell>
          <cell r="D12471" t="str">
            <v>Lewisham</v>
          </cell>
          <cell r="E12471" t="str">
            <v>Voluntary Controlled School</v>
          </cell>
          <cell r="F12471" t="str">
            <v>Secondary</v>
          </cell>
        </row>
        <row r="12472">
          <cell r="A12472">
            <v>2094502</v>
          </cell>
          <cell r="B12472">
            <v>126662</v>
          </cell>
          <cell r="C12472" t="str">
            <v>Haberdashers Askes School</v>
          </cell>
          <cell r="D12472" t="str">
            <v>Lewisham</v>
          </cell>
          <cell r="E12472" t="str">
            <v>Voluntary Controlled School</v>
          </cell>
          <cell r="F12472" t="str">
            <v>Secondary</v>
          </cell>
        </row>
        <row r="12473">
          <cell r="A12473">
            <v>9196222</v>
          </cell>
          <cell r="B12473">
            <v>117649</v>
          </cell>
          <cell r="C12473" t="str">
            <v>Haberdashers' Aske's School for Girls</v>
          </cell>
          <cell r="D12473" t="str">
            <v>Hertfordshire</v>
          </cell>
          <cell r="E12473" t="str">
            <v>Other Independent School</v>
          </cell>
          <cell r="F12473" t="str">
            <v>Not applicable</v>
          </cell>
        </row>
        <row r="12474">
          <cell r="A12474">
            <v>6796009</v>
          </cell>
          <cell r="B12474">
            <v>402008</v>
          </cell>
          <cell r="C12474" t="str">
            <v>Haberdashers Monmouth School For Girls</v>
          </cell>
          <cell r="D12474" t="str">
            <v>Monmouthshire</v>
          </cell>
          <cell r="E12474" t="str">
            <v>Welsh Establishment</v>
          </cell>
          <cell r="F12474" t="str">
            <v>Not applicable</v>
          </cell>
        </row>
        <row r="12475">
          <cell r="A12475">
            <v>8846002</v>
          </cell>
          <cell r="B12475">
            <v>117004</v>
          </cell>
          <cell r="C12475" t="str">
            <v>Haberdashers Redcap School</v>
          </cell>
          <cell r="D12475" t="str">
            <v>Herefordshire</v>
          </cell>
          <cell r="E12475" t="str">
            <v>Other Independent School</v>
          </cell>
          <cell r="F12475" t="str">
            <v>Not applicable</v>
          </cell>
        </row>
        <row r="12476">
          <cell r="A12476">
            <v>3192018</v>
          </cell>
          <cell r="B12476">
            <v>102970</v>
          </cell>
          <cell r="C12476" t="str">
            <v>Hackbridge Infants' School</v>
          </cell>
          <cell r="D12476" t="str">
            <v>Sutton</v>
          </cell>
          <cell r="E12476" t="str">
            <v>Community School</v>
          </cell>
          <cell r="F12476" t="str">
            <v>Primary</v>
          </cell>
        </row>
        <row r="12477">
          <cell r="A12477">
            <v>3192016</v>
          </cell>
          <cell r="B12477">
            <v>102969</v>
          </cell>
          <cell r="C12477" t="str">
            <v>Hackbridge Primary School</v>
          </cell>
          <cell r="D12477" t="str">
            <v>Sutton</v>
          </cell>
          <cell r="E12477" t="str">
            <v>Community School</v>
          </cell>
          <cell r="F12477" t="str">
            <v>Primary</v>
          </cell>
        </row>
        <row r="12478">
          <cell r="A12478">
            <v>3732251</v>
          </cell>
          <cell r="B12478">
            <v>127692</v>
          </cell>
          <cell r="C12478" t="str">
            <v>Hackenthorpe Village Infant School</v>
          </cell>
          <cell r="D12478" t="str">
            <v>Sheffield</v>
          </cell>
          <cell r="E12478" t="str">
            <v>Community School</v>
          </cell>
          <cell r="F12478" t="str">
            <v>Primary</v>
          </cell>
        </row>
        <row r="12479">
          <cell r="A12479">
            <v>8153045</v>
          </cell>
          <cell r="B12479">
            <v>121496</v>
          </cell>
          <cell r="C12479" t="str">
            <v>Hackforth and Hornby Church of England Primary School</v>
          </cell>
          <cell r="D12479" t="str">
            <v>North Yorkshire</v>
          </cell>
          <cell r="E12479" t="str">
            <v>Voluntary Controlled School</v>
          </cell>
          <cell r="F12479" t="str">
            <v>Primary</v>
          </cell>
        </row>
        <row r="12480">
          <cell r="A12480">
            <v>9283511</v>
          </cell>
          <cell r="B12480">
            <v>135063</v>
          </cell>
          <cell r="C12480" t="str">
            <v>Hackleton CofE Primary School</v>
          </cell>
          <cell r="D12480" t="str">
            <v>Northamptonshire</v>
          </cell>
          <cell r="E12480" t="str">
            <v>Voluntary Aided School</v>
          </cell>
          <cell r="F12480" t="str">
            <v>Primary</v>
          </cell>
        </row>
        <row r="12481">
          <cell r="A12481">
            <v>9282044</v>
          </cell>
          <cell r="B12481">
            <v>121824</v>
          </cell>
          <cell r="C12481" t="str">
            <v>Hackleton Primary School</v>
          </cell>
          <cell r="D12481" t="str">
            <v>Northamptonshire</v>
          </cell>
          <cell r="E12481" t="str">
            <v>Community School</v>
          </cell>
          <cell r="F12481" t="str">
            <v>Primary</v>
          </cell>
        </row>
        <row r="12482">
          <cell r="A12482">
            <v>8153046</v>
          </cell>
          <cell r="B12482">
            <v>121497</v>
          </cell>
          <cell r="C12482" t="str">
            <v>Hackness Church of England Voluntary Controlled Primary School</v>
          </cell>
          <cell r="D12482" t="str">
            <v>North Yorkshire</v>
          </cell>
          <cell r="E12482" t="str">
            <v>Voluntary Controlled School</v>
          </cell>
          <cell r="F12482" t="str">
            <v>Primary</v>
          </cell>
        </row>
        <row r="12483">
          <cell r="A12483">
            <v>2048011</v>
          </cell>
          <cell r="B12483">
            <v>130407</v>
          </cell>
          <cell r="C12483" t="str">
            <v>Hackney Community College</v>
          </cell>
          <cell r="D12483" t="str">
            <v>Hackney</v>
          </cell>
          <cell r="E12483" t="str">
            <v>Further Education</v>
          </cell>
          <cell r="F12483" t="str">
            <v>16 Plus</v>
          </cell>
        </row>
        <row r="12484">
          <cell r="A12484">
            <v>2044099</v>
          </cell>
          <cell r="B12484">
            <v>100276</v>
          </cell>
          <cell r="C12484" t="str">
            <v>Hackney Downs School</v>
          </cell>
          <cell r="D12484" t="str">
            <v>Hackney</v>
          </cell>
          <cell r="E12484" t="str">
            <v>Community School</v>
          </cell>
          <cell r="F12484" t="str">
            <v>Secondary</v>
          </cell>
        </row>
        <row r="12485">
          <cell r="A12485">
            <v>2043349</v>
          </cell>
          <cell r="B12485">
            <v>126607</v>
          </cell>
          <cell r="C12485" t="str">
            <v>Hackney Free and Parochial Infant School</v>
          </cell>
          <cell r="D12485" t="str">
            <v>Hackney</v>
          </cell>
          <cell r="E12485" t="str">
            <v>Voluntary Aided School</v>
          </cell>
          <cell r="F12485" t="str">
            <v>Primary</v>
          </cell>
        </row>
        <row r="12486">
          <cell r="A12486">
            <v>2043348</v>
          </cell>
          <cell r="B12486">
            <v>126606</v>
          </cell>
          <cell r="C12486" t="str">
            <v>Hackney Free and Parochial Junior School</v>
          </cell>
          <cell r="D12486" t="str">
            <v>Hackney</v>
          </cell>
          <cell r="E12486" t="str">
            <v>Voluntary Aided School</v>
          </cell>
          <cell r="F12486" t="str">
            <v>Primary</v>
          </cell>
        </row>
        <row r="12487">
          <cell r="A12487">
            <v>2044900</v>
          </cell>
          <cell r="B12487">
            <v>132840</v>
          </cell>
          <cell r="C12487" t="str">
            <v>Hackney Sixth Form Centre</v>
          </cell>
          <cell r="D12487" t="str">
            <v>Hackney</v>
          </cell>
          <cell r="E12487" t="str">
            <v>Sixth Form Centres</v>
          </cell>
          <cell r="F12487" t="str">
            <v>16 Plus</v>
          </cell>
        </row>
        <row r="12488">
          <cell r="A12488">
            <v>3112015</v>
          </cell>
          <cell r="B12488">
            <v>102277</v>
          </cell>
          <cell r="C12488" t="str">
            <v>Hacton Primary School</v>
          </cell>
          <cell r="D12488" t="str">
            <v>Havering</v>
          </cell>
          <cell r="E12488" t="str">
            <v>Community School</v>
          </cell>
          <cell r="F12488" t="str">
            <v>Primary</v>
          </cell>
        </row>
        <row r="12489">
          <cell r="A12489">
            <v>8924461</v>
          </cell>
          <cell r="B12489">
            <v>133256</v>
          </cell>
          <cell r="C12489" t="str">
            <v>Hadden Park High School</v>
          </cell>
          <cell r="D12489" t="str">
            <v>Nottingham</v>
          </cell>
          <cell r="E12489" t="str">
            <v>Foundation School</v>
          </cell>
          <cell r="F12489" t="str">
            <v>Secondary</v>
          </cell>
        </row>
        <row r="12490">
          <cell r="A12490">
            <v>8252040</v>
          </cell>
          <cell r="B12490">
            <v>110229</v>
          </cell>
          <cell r="C12490" t="str">
            <v>Haddenham Infant School</v>
          </cell>
          <cell r="D12490" t="str">
            <v>Buckinghamshire</v>
          </cell>
          <cell r="E12490" t="str">
            <v>Community School</v>
          </cell>
          <cell r="F12490" t="str">
            <v>Primary</v>
          </cell>
        </row>
        <row r="12491">
          <cell r="A12491">
            <v>8252276</v>
          </cell>
          <cell r="B12491">
            <v>110347</v>
          </cell>
          <cell r="C12491" t="str">
            <v>Haddenham Junior School</v>
          </cell>
          <cell r="D12491" t="str">
            <v>Buckinghamshire</v>
          </cell>
          <cell r="E12491" t="str">
            <v>Community School</v>
          </cell>
          <cell r="F12491" t="str">
            <v>Primary</v>
          </cell>
        </row>
        <row r="12492">
          <cell r="A12492">
            <v>8253073</v>
          </cell>
          <cell r="B12492">
            <v>110446</v>
          </cell>
          <cell r="C12492" t="str">
            <v>Haddenham St Mary's Church of England School</v>
          </cell>
          <cell r="D12492" t="str">
            <v>Buckinghamshire</v>
          </cell>
          <cell r="E12492" t="str">
            <v>Voluntary Controlled School</v>
          </cell>
          <cell r="F12492" t="str">
            <v>Primary</v>
          </cell>
        </row>
        <row r="12493">
          <cell r="A12493">
            <v>8866022</v>
          </cell>
          <cell r="B12493">
            <v>118962</v>
          </cell>
          <cell r="C12493" t="str">
            <v>Haddon Dene School</v>
          </cell>
          <cell r="D12493" t="str">
            <v>Kent</v>
          </cell>
          <cell r="E12493" t="str">
            <v>Other Independent School</v>
          </cell>
          <cell r="F12493" t="str">
            <v>Not applicable</v>
          </cell>
        </row>
        <row r="12494">
          <cell r="A12494">
            <v>8912225</v>
          </cell>
          <cell r="B12494">
            <v>122522</v>
          </cell>
          <cell r="C12494" t="str">
            <v>Haddon Primary and Nursery School</v>
          </cell>
          <cell r="D12494" t="str">
            <v>Nottinghamshire</v>
          </cell>
          <cell r="E12494" t="str">
            <v>Community School</v>
          </cell>
          <cell r="F12494" t="str">
            <v>Primary</v>
          </cell>
        </row>
        <row r="12495">
          <cell r="A12495">
            <v>3822086</v>
          </cell>
          <cell r="B12495">
            <v>107656</v>
          </cell>
          <cell r="C12495" t="str">
            <v>Hade Edge Junior and Infant School</v>
          </cell>
          <cell r="D12495" t="str">
            <v>Kirklees</v>
          </cell>
          <cell r="E12495" t="str">
            <v>Community School</v>
          </cell>
          <cell r="F12495" t="str">
            <v>Primary</v>
          </cell>
        </row>
        <row r="12496">
          <cell r="A12496">
            <v>3336000</v>
          </cell>
          <cell r="B12496">
            <v>104023</v>
          </cell>
          <cell r="C12496" t="str">
            <v>Haden Hill School</v>
          </cell>
          <cell r="D12496" t="str">
            <v>Sandwell</v>
          </cell>
          <cell r="E12496" t="str">
            <v>Other Independent School</v>
          </cell>
          <cell r="F12496" t="str">
            <v>Not applicable</v>
          </cell>
        </row>
        <row r="12497">
          <cell r="A12497">
            <v>9104133</v>
          </cell>
          <cell r="B12497">
            <v>128649</v>
          </cell>
          <cell r="C12497" t="str">
            <v>Hadfield Community School</v>
          </cell>
          <cell r="D12497" t="str">
            <v>Pre LGR (1997) Derbyshire</v>
          </cell>
          <cell r="E12497" t="str">
            <v>Community School</v>
          </cell>
          <cell r="F12497" t="str">
            <v>Secondary</v>
          </cell>
        </row>
        <row r="12498">
          <cell r="A12498">
            <v>8302351</v>
          </cell>
          <cell r="B12498">
            <v>112692</v>
          </cell>
          <cell r="C12498" t="str">
            <v>Hadfield Infant School</v>
          </cell>
          <cell r="D12498" t="str">
            <v>Derbyshire</v>
          </cell>
          <cell r="E12498" t="str">
            <v>Community School</v>
          </cell>
          <cell r="F12498" t="str">
            <v>Primary</v>
          </cell>
        </row>
        <row r="12499">
          <cell r="A12499">
            <v>8301001</v>
          </cell>
          <cell r="B12499">
            <v>112469</v>
          </cell>
          <cell r="C12499" t="str">
            <v>Hadfield Nursery School</v>
          </cell>
          <cell r="D12499" t="str">
            <v>Derbyshire</v>
          </cell>
          <cell r="E12499" t="str">
            <v>LA Nursery School</v>
          </cell>
          <cell r="F12499" t="str">
            <v>Nursery</v>
          </cell>
        </row>
        <row r="12500">
          <cell r="A12500">
            <v>9194027</v>
          </cell>
          <cell r="B12500">
            <v>129152</v>
          </cell>
          <cell r="C12500" t="str">
            <v>Hadham Hall School</v>
          </cell>
          <cell r="D12500" t="str">
            <v>Hertfordshire</v>
          </cell>
          <cell r="E12500" t="str">
            <v>Community School</v>
          </cell>
          <cell r="F12500" t="str">
            <v>Secondary</v>
          </cell>
        </row>
        <row r="12501">
          <cell r="A12501">
            <v>9352042</v>
          </cell>
          <cell r="B12501">
            <v>124559</v>
          </cell>
          <cell r="C12501" t="str">
            <v>Hadleigh Community Primary School</v>
          </cell>
          <cell r="D12501" t="str">
            <v>Suffolk</v>
          </cell>
          <cell r="E12501" t="str">
            <v>Community School</v>
          </cell>
          <cell r="F12501" t="str">
            <v>Primary</v>
          </cell>
        </row>
        <row r="12502">
          <cell r="A12502">
            <v>9354017</v>
          </cell>
          <cell r="B12502">
            <v>124795</v>
          </cell>
          <cell r="C12502" t="str">
            <v>Hadleigh High School</v>
          </cell>
          <cell r="D12502" t="str">
            <v>Suffolk</v>
          </cell>
          <cell r="E12502" t="str">
            <v>Community School</v>
          </cell>
          <cell r="F12502" t="str">
            <v>Secondary</v>
          </cell>
        </row>
        <row r="12503">
          <cell r="A12503">
            <v>9354017</v>
          </cell>
          <cell r="B12503">
            <v>136918</v>
          </cell>
          <cell r="C12503" t="str">
            <v>Hadleigh High School</v>
          </cell>
          <cell r="D12503" t="str">
            <v>Suffolk</v>
          </cell>
          <cell r="E12503" t="str">
            <v>Academy Converters</v>
          </cell>
          <cell r="F12503" t="str">
            <v>Secondary</v>
          </cell>
        </row>
        <row r="12504">
          <cell r="A12504">
            <v>8815254</v>
          </cell>
          <cell r="B12504">
            <v>115294</v>
          </cell>
          <cell r="C12504" t="str">
            <v>Hadleigh Infant and Nursery School</v>
          </cell>
          <cell r="D12504" t="str">
            <v>Essex</v>
          </cell>
          <cell r="E12504" t="str">
            <v>Foundation School</v>
          </cell>
          <cell r="F12504" t="str">
            <v>Primary</v>
          </cell>
        </row>
        <row r="12505">
          <cell r="A12505">
            <v>8815254</v>
          </cell>
          <cell r="B12505">
            <v>137027</v>
          </cell>
          <cell r="C12505" t="str">
            <v>Hadleigh Infant and Nursery School</v>
          </cell>
          <cell r="D12505" t="str">
            <v>Essex</v>
          </cell>
          <cell r="E12505" t="str">
            <v>Academy Converters</v>
          </cell>
          <cell r="F12505" t="str">
            <v>Primary</v>
          </cell>
        </row>
        <row r="12506">
          <cell r="A12506">
            <v>8815251</v>
          </cell>
          <cell r="B12506">
            <v>115291</v>
          </cell>
          <cell r="C12506" t="str">
            <v>Hadleigh Junior School</v>
          </cell>
          <cell r="D12506" t="str">
            <v>Essex</v>
          </cell>
          <cell r="E12506" t="str">
            <v>Foundation School</v>
          </cell>
          <cell r="F12506" t="str">
            <v>Primary</v>
          </cell>
        </row>
        <row r="12507">
          <cell r="A12507">
            <v>8815251</v>
          </cell>
          <cell r="B12507">
            <v>137485</v>
          </cell>
          <cell r="C12507" t="str">
            <v>Hadleigh Junior School</v>
          </cell>
          <cell r="D12507" t="str">
            <v>Essex</v>
          </cell>
          <cell r="E12507" t="str">
            <v>Academy Converters</v>
          </cell>
          <cell r="F12507" t="str">
            <v>Primary</v>
          </cell>
        </row>
        <row r="12508">
          <cell r="A12508">
            <v>8942050</v>
          </cell>
          <cell r="B12508">
            <v>123369</v>
          </cell>
          <cell r="C12508" t="str">
            <v>Hadley Infant School</v>
          </cell>
          <cell r="D12508" t="str">
            <v>Telford and Wrekin</v>
          </cell>
          <cell r="E12508" t="str">
            <v>Community School</v>
          </cell>
          <cell r="F12508" t="str">
            <v>Primary</v>
          </cell>
        </row>
        <row r="12509">
          <cell r="A12509">
            <v>8942048</v>
          </cell>
          <cell r="B12509">
            <v>123368</v>
          </cell>
          <cell r="C12509" t="str">
            <v>Hadley Junior School</v>
          </cell>
          <cell r="D12509" t="str">
            <v>Telford and Wrekin</v>
          </cell>
          <cell r="E12509" t="str">
            <v>Community School</v>
          </cell>
          <cell r="F12509" t="str">
            <v>Primary</v>
          </cell>
        </row>
        <row r="12510">
          <cell r="A12510">
            <v>8942034</v>
          </cell>
          <cell r="B12510">
            <v>134262</v>
          </cell>
          <cell r="C12510" t="str">
            <v>Hadley Learning Community - Primary Phase</v>
          </cell>
          <cell r="D12510" t="str">
            <v>Telford and Wrekin</v>
          </cell>
          <cell r="E12510" t="str">
            <v>Community School</v>
          </cell>
          <cell r="F12510" t="str">
            <v>Primary</v>
          </cell>
        </row>
        <row r="12511">
          <cell r="A12511">
            <v>8944439</v>
          </cell>
          <cell r="B12511">
            <v>133708</v>
          </cell>
          <cell r="C12511" t="str">
            <v>Hadley Learning Community - Secondary Phase</v>
          </cell>
          <cell r="D12511" t="str">
            <v>Telford and Wrekin</v>
          </cell>
          <cell r="E12511" t="str">
            <v>Community School</v>
          </cell>
          <cell r="F12511" t="str">
            <v>Secondary</v>
          </cell>
        </row>
        <row r="12512">
          <cell r="A12512">
            <v>3082036</v>
          </cell>
          <cell r="B12512">
            <v>101994</v>
          </cell>
          <cell r="C12512" t="str">
            <v>Hadley Wood Primary School</v>
          </cell>
          <cell r="D12512" t="str">
            <v>Enfield</v>
          </cell>
          <cell r="E12512" t="str">
            <v>Community School</v>
          </cell>
          <cell r="F12512" t="str">
            <v>Primary</v>
          </cell>
        </row>
        <row r="12513">
          <cell r="A12513">
            <v>8868300</v>
          </cell>
          <cell r="B12513">
            <v>130733</v>
          </cell>
          <cell r="C12513" t="str">
            <v>Hadlow College</v>
          </cell>
          <cell r="D12513" t="str">
            <v>Kent</v>
          </cell>
          <cell r="E12513" t="str">
            <v>Further Education</v>
          </cell>
          <cell r="F12513" t="str">
            <v>16 Plus</v>
          </cell>
        </row>
        <row r="12514">
          <cell r="A12514">
            <v>8862132</v>
          </cell>
          <cell r="B12514">
            <v>118273</v>
          </cell>
          <cell r="C12514" t="str">
            <v>Hadlow School</v>
          </cell>
          <cell r="D12514" t="str">
            <v>Kent</v>
          </cell>
          <cell r="E12514" t="str">
            <v>Community School</v>
          </cell>
          <cell r="F12514" t="str">
            <v>Primary</v>
          </cell>
        </row>
        <row r="12515">
          <cell r="A12515">
            <v>8933046</v>
          </cell>
          <cell r="B12515">
            <v>123478</v>
          </cell>
          <cell r="C12515" t="str">
            <v>Hadnall CofE Primary School</v>
          </cell>
          <cell r="D12515" t="str">
            <v>Shropshire</v>
          </cell>
          <cell r="E12515" t="str">
            <v>Voluntary Controlled School</v>
          </cell>
          <cell r="F12515" t="str">
            <v>Primary</v>
          </cell>
        </row>
        <row r="12516">
          <cell r="A12516">
            <v>8232168</v>
          </cell>
          <cell r="B12516">
            <v>109505</v>
          </cell>
          <cell r="C12516" t="str">
            <v>Hadrian Lower School</v>
          </cell>
          <cell r="D12516" t="str">
            <v>Central Bedfordshire</v>
          </cell>
          <cell r="E12516" t="str">
            <v>Community School</v>
          </cell>
          <cell r="F12516" t="str">
            <v>Primary</v>
          </cell>
        </row>
        <row r="12517">
          <cell r="A12517">
            <v>3922071</v>
          </cell>
          <cell r="B12517">
            <v>108598</v>
          </cell>
          <cell r="C12517" t="str">
            <v>Hadrian Park First School</v>
          </cell>
          <cell r="D12517" t="str">
            <v>North Tyneside</v>
          </cell>
          <cell r="E12517" t="str">
            <v>Community School</v>
          </cell>
          <cell r="F12517" t="str">
            <v>Primary</v>
          </cell>
        </row>
        <row r="12518">
          <cell r="A12518">
            <v>3924037</v>
          </cell>
          <cell r="B12518">
            <v>108643</v>
          </cell>
          <cell r="C12518" t="str">
            <v>Hadrian Park Middle School</v>
          </cell>
          <cell r="D12518" t="str">
            <v>North Tyneside</v>
          </cell>
          <cell r="E12518" t="str">
            <v>Community School</v>
          </cell>
          <cell r="F12518" t="str">
            <v>Middle Deemed Secondary</v>
          </cell>
        </row>
        <row r="12519">
          <cell r="A12519">
            <v>3922087</v>
          </cell>
          <cell r="B12519">
            <v>132141</v>
          </cell>
          <cell r="C12519" t="str">
            <v>Hadrian Park Primary School</v>
          </cell>
          <cell r="D12519" t="str">
            <v>North Tyneside</v>
          </cell>
          <cell r="E12519" t="str">
            <v>Foundation School</v>
          </cell>
          <cell r="F12519" t="str">
            <v>Primary</v>
          </cell>
        </row>
        <row r="12520">
          <cell r="A12520">
            <v>3932000</v>
          </cell>
          <cell r="B12520">
            <v>108668</v>
          </cell>
          <cell r="C12520" t="str">
            <v>Hadrian Primary School</v>
          </cell>
          <cell r="D12520" t="str">
            <v>South Tyneside</v>
          </cell>
          <cell r="E12520" t="str">
            <v>Community School</v>
          </cell>
          <cell r="F12520" t="str">
            <v>Primary</v>
          </cell>
        </row>
        <row r="12521">
          <cell r="A12521">
            <v>3917034</v>
          </cell>
          <cell r="B12521">
            <v>131986</v>
          </cell>
          <cell r="C12521" t="str">
            <v>Hadrian School</v>
          </cell>
          <cell r="D12521" t="str">
            <v>Newcastle upon Tyne</v>
          </cell>
          <cell r="E12521" t="str">
            <v>Community Special School</v>
          </cell>
          <cell r="F12521" t="str">
            <v>Special</v>
          </cell>
        </row>
        <row r="12522">
          <cell r="A12522">
            <v>8302290</v>
          </cell>
          <cell r="B12522">
            <v>112665</v>
          </cell>
          <cell r="C12522" t="str">
            <v>Hady Primary School</v>
          </cell>
          <cell r="D12522" t="str">
            <v>Derbyshire</v>
          </cell>
          <cell r="E12522" t="str">
            <v>Community School</v>
          </cell>
          <cell r="F12522" t="str">
            <v>Primary</v>
          </cell>
        </row>
        <row r="12523">
          <cell r="A12523">
            <v>6652269</v>
          </cell>
          <cell r="B12523">
            <v>402148</v>
          </cell>
          <cell r="C12523" t="str">
            <v>Hafod - y - Wern Community Primary School</v>
          </cell>
          <cell r="D12523" t="str">
            <v>Wrexham</v>
          </cell>
          <cell r="E12523" t="str">
            <v>Welsh Establishment</v>
          </cell>
          <cell r="F12523" t="str">
            <v>Primary</v>
          </cell>
        </row>
        <row r="12524">
          <cell r="A12524">
            <v>6702032</v>
          </cell>
          <cell r="B12524">
            <v>400875</v>
          </cell>
          <cell r="C12524" t="str">
            <v>Hafod Primary School</v>
          </cell>
          <cell r="D12524" t="str">
            <v>Swansea</v>
          </cell>
          <cell r="E12524" t="str">
            <v>Welsh Establishment</v>
          </cell>
          <cell r="F12524" t="str">
            <v>Primary</v>
          </cell>
        </row>
        <row r="12525">
          <cell r="A12525">
            <v>6742127</v>
          </cell>
          <cell r="B12525">
            <v>401176</v>
          </cell>
          <cell r="C12525" t="str">
            <v>Hafod Primary School</v>
          </cell>
          <cell r="D12525" t="str">
            <v>Rhondda, Cynon, Taff</v>
          </cell>
          <cell r="E12525" t="str">
            <v>Welsh Establishment</v>
          </cell>
          <cell r="F12525" t="str">
            <v>Primary</v>
          </cell>
        </row>
        <row r="12526">
          <cell r="A12526">
            <v>6652196</v>
          </cell>
          <cell r="B12526">
            <v>400420</v>
          </cell>
          <cell r="C12526" t="str">
            <v>Hafod Y Wern Infants C.P. School</v>
          </cell>
          <cell r="D12526" t="str">
            <v>Wrexham</v>
          </cell>
          <cell r="E12526" t="str">
            <v>Welsh Establishment</v>
          </cell>
          <cell r="F12526" t="str">
            <v>Primary</v>
          </cell>
        </row>
        <row r="12527">
          <cell r="A12527">
            <v>6652197</v>
          </cell>
          <cell r="B12527">
            <v>400421</v>
          </cell>
          <cell r="C12527" t="str">
            <v>Hafod Y Wern Junior School</v>
          </cell>
          <cell r="D12527" t="str">
            <v>Wrexham</v>
          </cell>
          <cell r="E12527" t="str">
            <v>Welsh Establishment</v>
          </cell>
          <cell r="F12527" t="str">
            <v>Primary</v>
          </cell>
        </row>
        <row r="12528">
          <cell r="A12528">
            <v>6662056</v>
          </cell>
          <cell r="B12528">
            <v>400492</v>
          </cell>
          <cell r="C12528" t="str">
            <v>Hafren C.P. Junior School</v>
          </cell>
          <cell r="D12528" t="str">
            <v>Powys</v>
          </cell>
          <cell r="E12528" t="str">
            <v>Welsh Establishment</v>
          </cell>
          <cell r="F12528" t="str">
            <v>Primary</v>
          </cell>
        </row>
        <row r="12529">
          <cell r="A12529">
            <v>9313249</v>
          </cell>
          <cell r="B12529">
            <v>123168</v>
          </cell>
          <cell r="C12529" t="str">
            <v>Hagbourne Church of England Primary School</v>
          </cell>
          <cell r="D12529" t="str">
            <v>Oxfordshire</v>
          </cell>
          <cell r="E12529" t="str">
            <v>Voluntary Controlled School</v>
          </cell>
          <cell r="F12529" t="str">
            <v>Primary</v>
          </cell>
        </row>
        <row r="12530">
          <cell r="A12530">
            <v>2044283</v>
          </cell>
          <cell r="B12530">
            <v>100277</v>
          </cell>
          <cell r="C12530" t="str">
            <v>Haggerston School</v>
          </cell>
          <cell r="D12530" t="str">
            <v>Hackney</v>
          </cell>
          <cell r="E12530" t="str">
            <v>Community School</v>
          </cell>
          <cell r="F12530" t="str">
            <v>Secondary</v>
          </cell>
        </row>
        <row r="12531">
          <cell r="A12531">
            <v>8912614</v>
          </cell>
          <cell r="B12531">
            <v>122604</v>
          </cell>
          <cell r="C12531" t="str">
            <v>Haggonfields Primary and Nursery School</v>
          </cell>
          <cell r="D12531" t="str">
            <v>Nottinghamshire</v>
          </cell>
          <cell r="E12531" t="str">
            <v>Community School</v>
          </cell>
          <cell r="F12531" t="str">
            <v>Primary</v>
          </cell>
        </row>
        <row r="12532">
          <cell r="A12532">
            <v>8854800</v>
          </cell>
          <cell r="B12532">
            <v>116994</v>
          </cell>
          <cell r="C12532" t="str">
            <v>Hagley Catholic High School</v>
          </cell>
          <cell r="D12532" t="str">
            <v>Worcestershire</v>
          </cell>
          <cell r="E12532" t="str">
            <v>Voluntary Aided School</v>
          </cell>
          <cell r="F12532" t="str">
            <v>Secondary</v>
          </cell>
        </row>
        <row r="12533">
          <cell r="A12533">
            <v>8854411</v>
          </cell>
          <cell r="B12533">
            <v>116962</v>
          </cell>
          <cell r="C12533" t="str">
            <v>Hagley Middle School</v>
          </cell>
          <cell r="D12533" t="str">
            <v>Worcestershire</v>
          </cell>
          <cell r="E12533" t="str">
            <v>Community School</v>
          </cell>
          <cell r="F12533" t="str">
            <v>Middle Deemed Secondary</v>
          </cell>
        </row>
        <row r="12534">
          <cell r="A12534">
            <v>8604003</v>
          </cell>
          <cell r="B12534">
            <v>137103</v>
          </cell>
          <cell r="C12534" t="str">
            <v>Hagley Park Academy</v>
          </cell>
          <cell r="D12534" t="str">
            <v>Staffordshire</v>
          </cell>
          <cell r="E12534" t="str">
            <v>Academy Sponsor Led</v>
          </cell>
          <cell r="F12534" t="str">
            <v>Secondary</v>
          </cell>
        </row>
        <row r="12535">
          <cell r="A12535">
            <v>8604172</v>
          </cell>
          <cell r="B12535">
            <v>124439</v>
          </cell>
          <cell r="C12535" t="str">
            <v>Hagley Park Sports College</v>
          </cell>
          <cell r="D12535" t="str">
            <v>Staffordshire</v>
          </cell>
          <cell r="E12535" t="str">
            <v>Community School</v>
          </cell>
          <cell r="F12535" t="str">
            <v>Secondary</v>
          </cell>
        </row>
        <row r="12536">
          <cell r="A12536">
            <v>8852055</v>
          </cell>
          <cell r="B12536">
            <v>116678</v>
          </cell>
          <cell r="C12536" t="str">
            <v>Hagley Primary School</v>
          </cell>
          <cell r="D12536" t="str">
            <v>Worcestershire</v>
          </cell>
          <cell r="E12536" t="str">
            <v>Community School</v>
          </cell>
          <cell r="F12536" t="str">
            <v>Primary</v>
          </cell>
        </row>
        <row r="12537">
          <cell r="A12537">
            <v>8302180</v>
          </cell>
          <cell r="B12537">
            <v>112598</v>
          </cell>
          <cell r="C12537" t="str">
            <v>Hague Bar Primary School</v>
          </cell>
          <cell r="D12537" t="str">
            <v>Derbyshire</v>
          </cell>
          <cell r="E12537" t="str">
            <v>Community School</v>
          </cell>
          <cell r="F12537" t="str">
            <v>Primary</v>
          </cell>
        </row>
        <row r="12538">
          <cell r="A12538">
            <v>2112270</v>
          </cell>
          <cell r="B12538">
            <v>100903</v>
          </cell>
          <cell r="C12538" t="str">
            <v>Hague Primary School</v>
          </cell>
          <cell r="D12538" t="str">
            <v>Tower Hamlets</v>
          </cell>
          <cell r="E12538" t="str">
            <v>Community School</v>
          </cell>
          <cell r="F12538" t="str">
            <v>Primary</v>
          </cell>
        </row>
        <row r="12539">
          <cell r="A12539">
            <v>8652012</v>
          </cell>
          <cell r="B12539">
            <v>126179</v>
          </cell>
          <cell r="C12539" t="str">
            <v>Haig County Primary School</v>
          </cell>
          <cell r="D12539" t="str">
            <v>Wiltshire</v>
          </cell>
          <cell r="E12539" t="str">
            <v>Community School</v>
          </cell>
          <cell r="F12539" t="str">
            <v>Primary</v>
          </cell>
        </row>
        <row r="12540">
          <cell r="A12540">
            <v>7022020</v>
          </cell>
          <cell r="B12540">
            <v>132405</v>
          </cell>
          <cell r="C12540" t="str">
            <v>Haig Primary School</v>
          </cell>
          <cell r="D12540" t="str">
            <v>BFPO Overseas Establishments</v>
          </cell>
          <cell r="E12540" t="str">
            <v>Service Childrens Education</v>
          </cell>
          <cell r="F12540" t="str">
            <v>Not applicable</v>
          </cell>
        </row>
        <row r="12541">
          <cell r="A12541">
            <v>9313123</v>
          </cell>
          <cell r="B12541">
            <v>123108</v>
          </cell>
          <cell r="C12541" t="str">
            <v>Hailey Church of England Primary School</v>
          </cell>
          <cell r="D12541" t="str">
            <v>Oxfordshire</v>
          </cell>
          <cell r="E12541" t="str">
            <v>Voluntary Controlled School</v>
          </cell>
          <cell r="F12541" t="str">
            <v>Primary</v>
          </cell>
        </row>
        <row r="12542">
          <cell r="A12542">
            <v>9197014</v>
          </cell>
          <cell r="B12542">
            <v>117673</v>
          </cell>
          <cell r="C12542" t="str">
            <v>Hailey Hall School</v>
          </cell>
          <cell r="D12542" t="str">
            <v>Hertfordshire</v>
          </cell>
          <cell r="E12542" t="str">
            <v>Community Special School</v>
          </cell>
          <cell r="F12542" t="str">
            <v>Special</v>
          </cell>
        </row>
        <row r="12543">
          <cell r="A12543">
            <v>9196015</v>
          </cell>
          <cell r="B12543">
            <v>117607</v>
          </cell>
          <cell r="C12543" t="str">
            <v>Haileybury and Imperial Service College</v>
          </cell>
          <cell r="D12543" t="str">
            <v>Hertfordshire</v>
          </cell>
          <cell r="E12543" t="str">
            <v>Other Independent School</v>
          </cell>
          <cell r="F12543" t="str">
            <v>Not applicable</v>
          </cell>
        </row>
        <row r="12544">
          <cell r="A12544">
            <v>9036041</v>
          </cell>
          <cell r="B12544">
            <v>110129</v>
          </cell>
          <cell r="C12544" t="str">
            <v>Haileybury Junior School</v>
          </cell>
          <cell r="D12544" t="str">
            <v>Pre LGR (1998) Berkshire</v>
          </cell>
          <cell r="E12544" t="str">
            <v>Other Independent School</v>
          </cell>
          <cell r="F12544" t="str">
            <v>Not applicable</v>
          </cell>
        </row>
        <row r="12545">
          <cell r="A12545">
            <v>8454027</v>
          </cell>
          <cell r="B12545">
            <v>114586</v>
          </cell>
          <cell r="C12545" t="str">
            <v>Hailsham Community College</v>
          </cell>
          <cell r="D12545" t="str">
            <v>East Sussex</v>
          </cell>
          <cell r="E12545" t="str">
            <v>Foundation School</v>
          </cell>
          <cell r="F12545" t="str">
            <v>Secondary</v>
          </cell>
        </row>
        <row r="12546">
          <cell r="A12546">
            <v>2032271</v>
          </cell>
          <cell r="B12546">
            <v>100129</v>
          </cell>
          <cell r="C12546" t="str">
            <v>Haimo Primary School</v>
          </cell>
          <cell r="D12546" t="str">
            <v>Greenwich</v>
          </cell>
          <cell r="E12546" t="str">
            <v>Community School</v>
          </cell>
          <cell r="F12546" t="str">
            <v>Primary</v>
          </cell>
        </row>
        <row r="12547">
          <cell r="A12547">
            <v>3174036</v>
          </cell>
          <cell r="B12547">
            <v>102859</v>
          </cell>
          <cell r="C12547" t="str">
            <v>Hainault Forest High School</v>
          </cell>
          <cell r="D12547" t="str">
            <v>Redbridge</v>
          </cell>
          <cell r="E12547" t="str">
            <v>Community School</v>
          </cell>
          <cell r="F12547" t="str">
            <v>Secondary</v>
          </cell>
        </row>
        <row r="12548">
          <cell r="A12548">
            <v>9263041</v>
          </cell>
          <cell r="B12548">
            <v>121041</v>
          </cell>
          <cell r="C12548" t="str">
            <v>Hainford Primary Partnership School</v>
          </cell>
          <cell r="D12548" t="str">
            <v>Norfolk</v>
          </cell>
          <cell r="E12548" t="str">
            <v>Voluntary Controlled School</v>
          </cell>
          <cell r="F12548" t="str">
            <v>Primary</v>
          </cell>
        </row>
        <row r="12549">
          <cell r="A12549">
            <v>3804106</v>
          </cell>
          <cell r="B12549">
            <v>107419</v>
          </cell>
          <cell r="C12549" t="str">
            <v>Hainsworth Moor Middle School</v>
          </cell>
          <cell r="D12549" t="str">
            <v>Bradford</v>
          </cell>
          <cell r="E12549" t="str">
            <v>Community School</v>
          </cell>
          <cell r="F12549" t="str">
            <v>Middle Deemed Secondary</v>
          </cell>
        </row>
        <row r="12550">
          <cell r="A12550">
            <v>7046019</v>
          </cell>
          <cell r="B12550">
            <v>133992</v>
          </cell>
          <cell r="C12550" t="str">
            <v>Haizira School</v>
          </cell>
          <cell r="D12550" t="str">
            <v>Fieldwork Overseas Establishments</v>
          </cell>
          <cell r="E12550" t="str">
            <v>Service Childrens Education</v>
          </cell>
          <cell r="F12550" t="str">
            <v>Not applicable</v>
          </cell>
        </row>
        <row r="12551">
          <cell r="A12551">
            <v>6682236</v>
          </cell>
          <cell r="B12551">
            <v>400669</v>
          </cell>
          <cell r="C12551" t="str">
            <v>Hakin C.P. Infant and Nursery School</v>
          </cell>
          <cell r="D12551" t="str">
            <v>Pembrokeshire</v>
          </cell>
          <cell r="E12551" t="str">
            <v>Welsh Establishment</v>
          </cell>
          <cell r="F12551" t="str">
            <v>Primary</v>
          </cell>
        </row>
        <row r="12552">
          <cell r="A12552">
            <v>6682235</v>
          </cell>
          <cell r="B12552">
            <v>400668</v>
          </cell>
          <cell r="C12552" t="str">
            <v>Hakin C.P. Junior Mixed School</v>
          </cell>
          <cell r="D12552" t="str">
            <v>Pembrokeshire</v>
          </cell>
          <cell r="E12552" t="str">
            <v>Welsh Establishment</v>
          </cell>
          <cell r="F12552" t="str">
            <v>Primary</v>
          </cell>
        </row>
        <row r="12553">
          <cell r="A12553">
            <v>6682394</v>
          </cell>
          <cell r="B12553">
            <v>402257</v>
          </cell>
          <cell r="C12553" t="str">
            <v>Hakin Community Primary School</v>
          </cell>
          <cell r="D12553" t="str">
            <v>Pembrokeshire</v>
          </cell>
          <cell r="E12553" t="str">
            <v>Welsh Establishment</v>
          </cell>
          <cell r="F12553" t="str">
            <v>Primary</v>
          </cell>
        </row>
        <row r="12554">
          <cell r="A12554">
            <v>8913104</v>
          </cell>
          <cell r="B12554">
            <v>122761</v>
          </cell>
          <cell r="C12554" t="str">
            <v>Halam CofE Primary School</v>
          </cell>
          <cell r="D12554" t="str">
            <v>Nottinghamshire</v>
          </cell>
          <cell r="E12554" t="str">
            <v>Voluntary Controlled School</v>
          </cell>
          <cell r="F12554" t="str">
            <v>Primary</v>
          </cell>
        </row>
        <row r="12555">
          <cell r="A12555">
            <v>9112046</v>
          </cell>
          <cell r="B12555">
            <v>128687</v>
          </cell>
          <cell r="C12555" t="str">
            <v>Halberton First School</v>
          </cell>
          <cell r="D12555" t="str">
            <v>Pre LGR (1998) Devon</v>
          </cell>
          <cell r="E12555" t="str">
            <v>Community School</v>
          </cell>
          <cell r="F12555" t="str">
            <v>Primary</v>
          </cell>
        </row>
        <row r="12556">
          <cell r="A12556">
            <v>8782718</v>
          </cell>
          <cell r="B12556">
            <v>113338</v>
          </cell>
          <cell r="C12556" t="str">
            <v>Halberton Primary School</v>
          </cell>
          <cell r="D12556" t="str">
            <v>Devon</v>
          </cell>
          <cell r="E12556" t="str">
            <v>Community School</v>
          </cell>
          <cell r="F12556" t="str">
            <v>Primary</v>
          </cell>
        </row>
        <row r="12557">
          <cell r="A12557">
            <v>9332215</v>
          </cell>
          <cell r="B12557">
            <v>123707</v>
          </cell>
          <cell r="C12557" t="str">
            <v>Halcon Community Primary School</v>
          </cell>
          <cell r="D12557" t="str">
            <v>Somerset</v>
          </cell>
          <cell r="E12557" t="str">
            <v>Community School</v>
          </cell>
          <cell r="F12557" t="str">
            <v>Primary</v>
          </cell>
        </row>
        <row r="12558">
          <cell r="A12558">
            <v>8763176</v>
          </cell>
          <cell r="B12558">
            <v>111294</v>
          </cell>
          <cell r="C12558" t="str">
            <v>Hale Church of England Voluntary Controlled Primary School</v>
          </cell>
          <cell r="D12558" t="str">
            <v>Halton</v>
          </cell>
          <cell r="E12558" t="str">
            <v>Voluntary Controlled School</v>
          </cell>
          <cell r="F12558" t="str">
            <v>Primary</v>
          </cell>
        </row>
        <row r="12559">
          <cell r="A12559">
            <v>9063607</v>
          </cell>
          <cell r="B12559">
            <v>128457</v>
          </cell>
          <cell r="C12559" t="str">
            <v>Hale CofE Aided Primary School</v>
          </cell>
          <cell r="D12559" t="str">
            <v>Pre LGR (1998) Cheshire</v>
          </cell>
          <cell r="E12559" t="str">
            <v>Voluntary Aided School</v>
          </cell>
          <cell r="F12559" t="str">
            <v>Primary</v>
          </cell>
        </row>
        <row r="12560">
          <cell r="A12560">
            <v>9362112</v>
          </cell>
          <cell r="B12560">
            <v>130024</v>
          </cell>
          <cell r="C12560" t="str">
            <v>Hale First School</v>
          </cell>
          <cell r="D12560" t="str">
            <v>Surrey</v>
          </cell>
          <cell r="E12560" t="str">
            <v>Community School</v>
          </cell>
          <cell r="F12560" t="str">
            <v>Primary</v>
          </cell>
        </row>
        <row r="12561">
          <cell r="A12561">
            <v>9362111</v>
          </cell>
          <cell r="B12561">
            <v>130023</v>
          </cell>
          <cell r="C12561" t="str">
            <v>Hale Middle School</v>
          </cell>
          <cell r="D12561" t="str">
            <v>Surrey</v>
          </cell>
          <cell r="E12561" t="str">
            <v>Community School</v>
          </cell>
          <cell r="F12561" t="str">
            <v>Middle Deemed Primary</v>
          </cell>
        </row>
        <row r="12562">
          <cell r="A12562">
            <v>3586006</v>
          </cell>
          <cell r="B12562">
            <v>106383</v>
          </cell>
          <cell r="C12562" t="str">
            <v>Hale Preparatory School</v>
          </cell>
          <cell r="D12562" t="str">
            <v>Trafford</v>
          </cell>
          <cell r="E12562" t="str">
            <v>Other Independent School</v>
          </cell>
          <cell r="F12562" t="str">
            <v>Not applicable</v>
          </cell>
        </row>
        <row r="12563">
          <cell r="A12563">
            <v>8502090</v>
          </cell>
          <cell r="B12563">
            <v>115900</v>
          </cell>
          <cell r="C12563" t="str">
            <v>Hale Primary School</v>
          </cell>
          <cell r="D12563" t="str">
            <v>Hampshire</v>
          </cell>
          <cell r="E12563" t="str">
            <v>Community School</v>
          </cell>
          <cell r="F12563" t="str">
            <v>Primary</v>
          </cell>
        </row>
        <row r="12564">
          <cell r="A12564">
            <v>9362957</v>
          </cell>
          <cell r="B12564">
            <v>125133</v>
          </cell>
          <cell r="C12564" t="str">
            <v>Hale School</v>
          </cell>
          <cell r="D12564" t="str">
            <v>Surrey</v>
          </cell>
          <cell r="E12564" t="str">
            <v>Community School</v>
          </cell>
          <cell r="F12564" t="str">
            <v>Primary</v>
          </cell>
        </row>
        <row r="12565">
          <cell r="A12565">
            <v>8763050</v>
          </cell>
          <cell r="B12565">
            <v>111244</v>
          </cell>
          <cell r="C12565" t="str">
            <v>Halebank CofE (VC) Primary School</v>
          </cell>
          <cell r="D12565" t="str">
            <v>Halton</v>
          </cell>
          <cell r="E12565" t="str">
            <v>Voluntary Controlled School</v>
          </cell>
          <cell r="F12565" t="str">
            <v>Primary</v>
          </cell>
        </row>
        <row r="12566">
          <cell r="A12566">
            <v>3327005</v>
          </cell>
          <cell r="B12566">
            <v>103881</v>
          </cell>
          <cell r="C12566" t="str">
            <v>Halesbury School</v>
          </cell>
          <cell r="D12566" t="str">
            <v>Dudley</v>
          </cell>
          <cell r="E12566" t="str">
            <v>Community Special School</v>
          </cell>
          <cell r="F12566" t="str">
            <v>Special</v>
          </cell>
        </row>
        <row r="12567">
          <cell r="A12567">
            <v>3323352</v>
          </cell>
          <cell r="B12567">
            <v>103847</v>
          </cell>
          <cell r="C12567" t="str">
            <v>Halesowen CofE Primary School</v>
          </cell>
          <cell r="D12567" t="str">
            <v>Dudley</v>
          </cell>
          <cell r="E12567" t="str">
            <v>Voluntary Aided School</v>
          </cell>
          <cell r="F12567" t="str">
            <v>Primary</v>
          </cell>
        </row>
        <row r="12568">
          <cell r="A12568">
            <v>3328001</v>
          </cell>
          <cell r="B12568">
            <v>130476</v>
          </cell>
          <cell r="C12568" t="str">
            <v>Halesowen College</v>
          </cell>
          <cell r="D12568" t="str">
            <v>Dudley</v>
          </cell>
          <cell r="E12568" t="str">
            <v>Further Education</v>
          </cell>
          <cell r="F12568" t="str">
            <v>16 Plus</v>
          </cell>
        </row>
        <row r="12569">
          <cell r="A12569">
            <v>9354074</v>
          </cell>
          <cell r="B12569">
            <v>124834</v>
          </cell>
          <cell r="C12569" t="str">
            <v>Halesworth Middle School</v>
          </cell>
          <cell r="D12569" t="str">
            <v>Suffolk</v>
          </cell>
          <cell r="E12569" t="str">
            <v>Community School</v>
          </cell>
          <cell r="F12569" t="str">
            <v>Middle Deemed Secondary</v>
          </cell>
        </row>
        <row r="12570">
          <cell r="A12570">
            <v>3404611</v>
          </cell>
          <cell r="B12570">
            <v>135475</v>
          </cell>
          <cell r="C12570" t="str">
            <v>Halewood Centre for Learning (Community)</v>
          </cell>
          <cell r="D12570" t="str">
            <v>Knowsley</v>
          </cell>
          <cell r="E12570" t="str">
            <v>Community School</v>
          </cell>
          <cell r="F12570" t="str">
            <v>Secondary</v>
          </cell>
        </row>
        <row r="12571">
          <cell r="A12571">
            <v>3403301</v>
          </cell>
          <cell r="B12571">
            <v>104450</v>
          </cell>
          <cell r="C12571" t="str">
            <v>Halewood CofE Primary School</v>
          </cell>
          <cell r="D12571" t="str">
            <v>Knowsley</v>
          </cell>
          <cell r="E12571" t="str">
            <v>Voluntary Aided School</v>
          </cell>
          <cell r="F12571" t="str">
            <v>Primary</v>
          </cell>
        </row>
        <row r="12572">
          <cell r="A12572">
            <v>3404015</v>
          </cell>
          <cell r="B12572">
            <v>104488</v>
          </cell>
          <cell r="C12572" t="str">
            <v>Halewood College</v>
          </cell>
          <cell r="D12572" t="str">
            <v>Knowsley</v>
          </cell>
          <cell r="E12572" t="str">
            <v>Community School</v>
          </cell>
          <cell r="F12572" t="str">
            <v>Secondary</v>
          </cell>
        </row>
        <row r="12573">
          <cell r="A12573">
            <v>2052272</v>
          </cell>
          <cell r="B12573">
            <v>132961</v>
          </cell>
          <cell r="C12573" t="str">
            <v>Halford School</v>
          </cell>
          <cell r="D12573" t="str">
            <v>Hammersmith and Fulham</v>
          </cell>
          <cell r="E12573" t="str">
            <v>Miscellaneous</v>
          </cell>
          <cell r="F12573" t="str">
            <v>Not applicable</v>
          </cell>
        </row>
        <row r="12574">
          <cell r="A12574">
            <v>6692188</v>
          </cell>
          <cell r="B12574">
            <v>400825</v>
          </cell>
          <cell r="C12574" t="str">
            <v>Halfway C.P. School</v>
          </cell>
          <cell r="D12574" t="str">
            <v>Carmarthenshire</v>
          </cell>
          <cell r="E12574" t="str">
            <v>Welsh Establishment</v>
          </cell>
          <cell r="F12574" t="str">
            <v>Primary</v>
          </cell>
        </row>
        <row r="12575">
          <cell r="A12575">
            <v>8865220</v>
          </cell>
          <cell r="B12575">
            <v>118866</v>
          </cell>
          <cell r="C12575" t="str">
            <v>Halfway Houses Primary School</v>
          </cell>
          <cell r="D12575" t="str">
            <v>Kent</v>
          </cell>
          <cell r="E12575" t="str">
            <v>Foundation School</v>
          </cell>
          <cell r="F12575" t="str">
            <v>Primary</v>
          </cell>
        </row>
        <row r="12576">
          <cell r="A12576">
            <v>3732279</v>
          </cell>
          <cell r="B12576">
            <v>107046</v>
          </cell>
          <cell r="C12576" t="str">
            <v>Halfway Junior School</v>
          </cell>
          <cell r="D12576" t="str">
            <v>Sheffield</v>
          </cell>
          <cell r="E12576" t="str">
            <v>Community School</v>
          </cell>
          <cell r="F12576" t="str">
            <v>Primary</v>
          </cell>
        </row>
        <row r="12577">
          <cell r="A12577">
            <v>3732252</v>
          </cell>
          <cell r="B12577">
            <v>107038</v>
          </cell>
          <cell r="C12577" t="str">
            <v>Halfway Nursery Infant School</v>
          </cell>
          <cell r="D12577" t="str">
            <v>Sheffield</v>
          </cell>
          <cell r="E12577" t="str">
            <v>Community School</v>
          </cell>
          <cell r="F12577" t="str">
            <v>Primary</v>
          </cell>
        </row>
        <row r="12578">
          <cell r="A12578">
            <v>3814035</v>
          </cell>
          <cell r="B12578">
            <v>107566</v>
          </cell>
          <cell r="C12578" t="str">
            <v>Halifax High at Wellesley Park</v>
          </cell>
          <cell r="D12578" t="str">
            <v>Calderdale</v>
          </cell>
          <cell r="E12578" t="str">
            <v>Community School</v>
          </cell>
          <cell r="F12578" t="str">
            <v>Secondary</v>
          </cell>
        </row>
        <row r="12579">
          <cell r="A12579">
            <v>3813331</v>
          </cell>
          <cell r="B12579">
            <v>131176</v>
          </cell>
          <cell r="C12579" t="str">
            <v>Halifax Holy Trinity CofE (VA) Primary School</v>
          </cell>
          <cell r="D12579" t="str">
            <v>Calderdale</v>
          </cell>
          <cell r="E12579" t="str">
            <v>Voluntary Aided School</v>
          </cell>
          <cell r="F12579" t="str">
            <v>Primary</v>
          </cell>
        </row>
        <row r="12580">
          <cell r="A12580">
            <v>9352186</v>
          </cell>
          <cell r="B12580">
            <v>124670</v>
          </cell>
          <cell r="C12580" t="str">
            <v>Halifax Primary School</v>
          </cell>
          <cell r="D12580" t="str">
            <v>Suffolk</v>
          </cell>
          <cell r="E12580" t="str">
            <v>Community School</v>
          </cell>
          <cell r="F12580" t="str">
            <v>Primary</v>
          </cell>
        </row>
        <row r="12581">
          <cell r="A12581">
            <v>3064036</v>
          </cell>
          <cell r="B12581">
            <v>101809</v>
          </cell>
          <cell r="C12581" t="str">
            <v>Haling Manor High School</v>
          </cell>
          <cell r="D12581" t="str">
            <v>Croydon</v>
          </cell>
          <cell r="E12581" t="str">
            <v>Foundation School</v>
          </cell>
          <cell r="F12581" t="str">
            <v>Secondary</v>
          </cell>
        </row>
        <row r="12582">
          <cell r="A12582">
            <v>3714062</v>
          </cell>
          <cell r="B12582">
            <v>106808</v>
          </cell>
          <cell r="C12582" t="str">
            <v>Hall Cross School</v>
          </cell>
          <cell r="D12582" t="str">
            <v>Doncaster</v>
          </cell>
          <cell r="E12582" t="str">
            <v>Community School</v>
          </cell>
          <cell r="F12582" t="str">
            <v>Secondary</v>
          </cell>
        </row>
        <row r="12583">
          <cell r="A12583">
            <v>8064000</v>
          </cell>
          <cell r="B12583">
            <v>111722</v>
          </cell>
          <cell r="C12583" t="str">
            <v>Hall Garth Community Arts College</v>
          </cell>
          <cell r="D12583" t="str">
            <v>Middlesbrough</v>
          </cell>
          <cell r="E12583" t="str">
            <v>Foundation School</v>
          </cell>
          <cell r="F12583" t="str">
            <v>Secondary</v>
          </cell>
        </row>
        <row r="12584">
          <cell r="A12584">
            <v>3302093</v>
          </cell>
          <cell r="B12584">
            <v>103210</v>
          </cell>
          <cell r="C12584" t="str">
            <v>Hall Green Infant School</v>
          </cell>
          <cell r="D12584" t="str">
            <v>Birmingham</v>
          </cell>
          <cell r="E12584" t="str">
            <v>Community School</v>
          </cell>
          <cell r="F12584" t="str">
            <v>Primary</v>
          </cell>
        </row>
        <row r="12585">
          <cell r="A12585">
            <v>3332014</v>
          </cell>
          <cell r="B12585">
            <v>127153</v>
          </cell>
          <cell r="C12585" t="str">
            <v>Hall Green Infant School</v>
          </cell>
          <cell r="D12585" t="str">
            <v>Sandwell</v>
          </cell>
          <cell r="E12585" t="str">
            <v>Community School</v>
          </cell>
          <cell r="F12585" t="str">
            <v>Primary</v>
          </cell>
        </row>
        <row r="12586">
          <cell r="A12586">
            <v>3302092</v>
          </cell>
          <cell r="B12586">
            <v>103209</v>
          </cell>
          <cell r="C12586" t="str">
            <v>Hall Green Junior School</v>
          </cell>
          <cell r="D12586" t="str">
            <v>Birmingham</v>
          </cell>
          <cell r="E12586" t="str">
            <v>Community School</v>
          </cell>
          <cell r="F12586" t="str">
            <v>Primary</v>
          </cell>
        </row>
        <row r="12587">
          <cell r="A12587">
            <v>3332013</v>
          </cell>
          <cell r="B12587">
            <v>127152</v>
          </cell>
          <cell r="C12587" t="str">
            <v>Hall Green Junior School</v>
          </cell>
          <cell r="D12587" t="str">
            <v>Sandwell</v>
          </cell>
          <cell r="E12587" t="str">
            <v>Community School</v>
          </cell>
          <cell r="F12587" t="str">
            <v>Primary</v>
          </cell>
        </row>
        <row r="12588">
          <cell r="A12588">
            <v>3332172</v>
          </cell>
          <cell r="B12588">
            <v>103977</v>
          </cell>
          <cell r="C12588" t="str">
            <v>Hall Green Primary School</v>
          </cell>
          <cell r="D12588" t="str">
            <v>Sandwell</v>
          </cell>
          <cell r="E12588" t="str">
            <v>Community School</v>
          </cell>
          <cell r="F12588" t="str">
            <v>Primary</v>
          </cell>
        </row>
        <row r="12589">
          <cell r="A12589">
            <v>3305409</v>
          </cell>
          <cell r="B12589">
            <v>103556</v>
          </cell>
          <cell r="C12589" t="str">
            <v>Hall Green School</v>
          </cell>
          <cell r="D12589" t="str">
            <v>Birmingham</v>
          </cell>
          <cell r="E12589" t="str">
            <v>Foundation School</v>
          </cell>
          <cell r="F12589" t="str">
            <v>Secondary</v>
          </cell>
        </row>
        <row r="12590">
          <cell r="A12590">
            <v>9366444</v>
          </cell>
          <cell r="B12590">
            <v>125407</v>
          </cell>
          <cell r="C12590" t="str">
            <v>Hall Grove School</v>
          </cell>
          <cell r="D12590" t="str">
            <v>Surrey</v>
          </cell>
          <cell r="E12590" t="str">
            <v>Other Independent School</v>
          </cell>
          <cell r="F12590" t="str">
            <v>Not applicable</v>
          </cell>
        </row>
        <row r="12591">
          <cell r="A12591">
            <v>3114000</v>
          </cell>
          <cell r="B12591">
            <v>102337</v>
          </cell>
          <cell r="C12591" t="str">
            <v>Hall Mead School</v>
          </cell>
          <cell r="D12591" t="str">
            <v>Havering</v>
          </cell>
          <cell r="E12591" t="str">
            <v>Foundation School</v>
          </cell>
          <cell r="F12591" t="str">
            <v>Secondary</v>
          </cell>
        </row>
        <row r="12592">
          <cell r="A12592">
            <v>3114000</v>
          </cell>
          <cell r="B12592">
            <v>137197</v>
          </cell>
          <cell r="C12592" t="str">
            <v>Hall Mead School</v>
          </cell>
          <cell r="D12592" t="str">
            <v>Havering</v>
          </cell>
          <cell r="E12592" t="str">
            <v>Academy Converters</v>
          </cell>
          <cell r="F12592" t="str">
            <v>Secondary</v>
          </cell>
        </row>
        <row r="12593">
          <cell r="A12593">
            <v>9282227</v>
          </cell>
          <cell r="B12593">
            <v>132769</v>
          </cell>
          <cell r="C12593" t="str">
            <v>Hall Meadow Primary School</v>
          </cell>
          <cell r="D12593" t="str">
            <v>Northamptonshire</v>
          </cell>
          <cell r="E12593" t="str">
            <v>Community School</v>
          </cell>
          <cell r="F12593" t="str">
            <v>Primary</v>
          </cell>
        </row>
        <row r="12594">
          <cell r="A12594">
            <v>9204300</v>
          </cell>
          <cell r="B12594">
            <v>129288</v>
          </cell>
          <cell r="C12594" t="str">
            <v>Hall Road Junior High School</v>
          </cell>
          <cell r="D12594" t="str">
            <v>Pre LGR (1996) Humberside</v>
          </cell>
          <cell r="E12594" t="str">
            <v>Community School</v>
          </cell>
          <cell r="F12594" t="str">
            <v>Secondary</v>
          </cell>
        </row>
        <row r="12595">
          <cell r="A12595">
            <v>8102280</v>
          </cell>
          <cell r="B12595">
            <v>117796</v>
          </cell>
          <cell r="C12595" t="str">
            <v>Hall Road Primary School</v>
          </cell>
          <cell r="D12595" t="str">
            <v>Kingston upon Hull City of</v>
          </cell>
          <cell r="E12595" t="str">
            <v>Community School</v>
          </cell>
          <cell r="F12595" t="str">
            <v>Primary</v>
          </cell>
        </row>
        <row r="12596">
          <cell r="A12596">
            <v>9267006</v>
          </cell>
          <cell r="B12596">
            <v>121257</v>
          </cell>
          <cell r="C12596" t="str">
            <v>Hall School</v>
          </cell>
          <cell r="D12596" t="str">
            <v>Norfolk</v>
          </cell>
          <cell r="E12596" t="str">
            <v>Community Special School</v>
          </cell>
          <cell r="F12596" t="str">
            <v>Special</v>
          </cell>
        </row>
        <row r="12597">
          <cell r="A12597">
            <v>3146073</v>
          </cell>
          <cell r="B12597">
            <v>126953</v>
          </cell>
          <cell r="C12597" t="str">
            <v>Hall School</v>
          </cell>
          <cell r="D12597" t="str">
            <v>Kingston upon Thames</v>
          </cell>
          <cell r="E12597" t="str">
            <v>Other Independent School</v>
          </cell>
          <cell r="F12597" t="str">
            <v>Not applicable</v>
          </cell>
        </row>
        <row r="12598">
          <cell r="A12598">
            <v>2126390</v>
          </cell>
          <cell r="B12598">
            <v>101086</v>
          </cell>
          <cell r="C12598" t="str">
            <v>Hall School Wimbledon</v>
          </cell>
          <cell r="D12598" t="str">
            <v>Wandsworth</v>
          </cell>
          <cell r="E12598" t="str">
            <v>Other Independent School</v>
          </cell>
          <cell r="F12598" t="str">
            <v>Not applicable</v>
          </cell>
        </row>
        <row r="12599">
          <cell r="A12599">
            <v>8302142</v>
          </cell>
          <cell r="B12599">
            <v>112572</v>
          </cell>
          <cell r="C12599" t="str">
            <v>Hallam Fields Junior School</v>
          </cell>
          <cell r="D12599" t="str">
            <v>Derbyshire</v>
          </cell>
          <cell r="E12599" t="str">
            <v>Community School</v>
          </cell>
          <cell r="F12599" t="str">
            <v>Primary</v>
          </cell>
        </row>
        <row r="12600">
          <cell r="A12600">
            <v>3732269</v>
          </cell>
          <cell r="B12600">
            <v>127702</v>
          </cell>
          <cell r="C12600" t="str">
            <v>Hallam First School</v>
          </cell>
          <cell r="D12600" t="str">
            <v>Sheffield</v>
          </cell>
          <cell r="E12600" t="str">
            <v>Community School</v>
          </cell>
          <cell r="F12600" t="str">
            <v>Primary</v>
          </cell>
        </row>
        <row r="12601">
          <cell r="A12601">
            <v>3332000</v>
          </cell>
          <cell r="B12601">
            <v>103891</v>
          </cell>
          <cell r="C12601" t="str">
            <v>Hallam Junior School</v>
          </cell>
          <cell r="D12601" t="str">
            <v>Sandwell</v>
          </cell>
          <cell r="E12601" t="str">
            <v>Community School</v>
          </cell>
          <cell r="F12601" t="str">
            <v>Primary</v>
          </cell>
        </row>
        <row r="12602">
          <cell r="A12602">
            <v>3732224</v>
          </cell>
          <cell r="B12602">
            <v>127684</v>
          </cell>
          <cell r="C12602" t="str">
            <v>Hallam Middle School</v>
          </cell>
          <cell r="D12602" t="str">
            <v>Sheffield</v>
          </cell>
          <cell r="E12602" t="str">
            <v>Community School</v>
          </cell>
          <cell r="F12602" t="str">
            <v>Middle Deemed Primary</v>
          </cell>
        </row>
        <row r="12603">
          <cell r="A12603">
            <v>3732357</v>
          </cell>
          <cell r="B12603">
            <v>107099</v>
          </cell>
          <cell r="C12603" t="str">
            <v>Hallam Primary School</v>
          </cell>
          <cell r="D12603" t="str">
            <v>Sheffield</v>
          </cell>
          <cell r="E12603" t="str">
            <v>Community School</v>
          </cell>
          <cell r="F12603" t="str">
            <v>Primary</v>
          </cell>
        </row>
        <row r="12604">
          <cell r="A12604">
            <v>8553107</v>
          </cell>
          <cell r="B12604">
            <v>120176</v>
          </cell>
          <cell r="C12604" t="str">
            <v>Hallaton Church of England Primary School</v>
          </cell>
          <cell r="D12604" t="str">
            <v>Leicestershire</v>
          </cell>
          <cell r="E12604" t="str">
            <v>Voluntary Controlled School</v>
          </cell>
          <cell r="F12604" t="str">
            <v>Primary</v>
          </cell>
        </row>
        <row r="12605">
          <cell r="A12605">
            <v>9095215</v>
          </cell>
          <cell r="B12605">
            <v>112417</v>
          </cell>
          <cell r="C12605" t="str">
            <v>Hallbankgate Village School</v>
          </cell>
          <cell r="D12605" t="str">
            <v>Cumbria</v>
          </cell>
          <cell r="E12605" t="str">
            <v>Foundation School</v>
          </cell>
          <cell r="F12605" t="str">
            <v>Primary</v>
          </cell>
        </row>
        <row r="12606">
          <cell r="A12606">
            <v>8552383</v>
          </cell>
          <cell r="B12606">
            <v>120105</v>
          </cell>
          <cell r="C12606" t="str">
            <v>Hallbrook Primary School Broughton Astley</v>
          </cell>
          <cell r="D12606" t="str">
            <v>Leicestershire</v>
          </cell>
          <cell r="E12606" t="str">
            <v>Community School</v>
          </cell>
          <cell r="F12606" t="str">
            <v>Primary</v>
          </cell>
        </row>
        <row r="12607">
          <cell r="A12607">
            <v>8912346</v>
          </cell>
          <cell r="B12607">
            <v>122556</v>
          </cell>
          <cell r="C12607" t="str">
            <v>Hallcroft Infant and Nursery School</v>
          </cell>
          <cell r="D12607" t="str">
            <v>Nottinghamshire</v>
          </cell>
          <cell r="E12607" t="str">
            <v>Community School</v>
          </cell>
          <cell r="F12607" t="str">
            <v>Primary</v>
          </cell>
        </row>
        <row r="12608">
          <cell r="A12608">
            <v>2112916</v>
          </cell>
          <cell r="B12608">
            <v>100938</v>
          </cell>
          <cell r="C12608" t="str">
            <v>Halley Primary School</v>
          </cell>
          <cell r="D12608" t="str">
            <v>Tower Hamlets</v>
          </cell>
          <cell r="E12608" t="str">
            <v>Community School</v>
          </cell>
          <cell r="F12608" t="str">
            <v>Primary</v>
          </cell>
        </row>
        <row r="12609">
          <cell r="A12609">
            <v>2132843</v>
          </cell>
          <cell r="B12609">
            <v>101119</v>
          </cell>
          <cell r="C12609" t="str">
            <v>Hallfield Infants' School</v>
          </cell>
          <cell r="D12609" t="str">
            <v>Westminster</v>
          </cell>
          <cell r="E12609" t="str">
            <v>Community School</v>
          </cell>
          <cell r="F12609" t="str">
            <v>Primary</v>
          </cell>
        </row>
        <row r="12610">
          <cell r="A12610">
            <v>2132799</v>
          </cell>
          <cell r="B12610">
            <v>101116</v>
          </cell>
          <cell r="C12610" t="str">
            <v>Hallfield Primary School</v>
          </cell>
          <cell r="D12610" t="str">
            <v>Westminster</v>
          </cell>
          <cell r="E12610" t="str">
            <v>Community School</v>
          </cell>
          <cell r="F12610" t="str">
            <v>Primary</v>
          </cell>
        </row>
        <row r="12611">
          <cell r="A12611">
            <v>3306004</v>
          </cell>
          <cell r="B12611">
            <v>103568</v>
          </cell>
          <cell r="C12611" t="str">
            <v>Hallfield School</v>
          </cell>
          <cell r="D12611" t="str">
            <v>Birmingham</v>
          </cell>
          <cell r="E12611" t="str">
            <v>Other Independent School</v>
          </cell>
          <cell r="F12611" t="str">
            <v>Not applicable</v>
          </cell>
        </row>
        <row r="12612">
          <cell r="A12612">
            <v>8112727</v>
          </cell>
          <cell r="B12612">
            <v>117847</v>
          </cell>
          <cell r="C12612" t="str">
            <v>Hallgate Infant School</v>
          </cell>
          <cell r="D12612" t="str">
            <v>East Riding of Yorkshire</v>
          </cell>
          <cell r="E12612" t="str">
            <v>Community School</v>
          </cell>
          <cell r="F12612" t="str">
            <v>Primary</v>
          </cell>
        </row>
        <row r="12613">
          <cell r="A12613">
            <v>8112726</v>
          </cell>
          <cell r="B12613">
            <v>117846</v>
          </cell>
          <cell r="C12613" t="str">
            <v>Hallgate Junior School</v>
          </cell>
          <cell r="D12613" t="str">
            <v>East Riding of Yorkshire</v>
          </cell>
          <cell r="E12613" t="str">
            <v>Community School</v>
          </cell>
          <cell r="F12613" t="str">
            <v>Primary</v>
          </cell>
        </row>
        <row r="12614">
          <cell r="A12614">
            <v>8113510</v>
          </cell>
          <cell r="B12614">
            <v>135078</v>
          </cell>
          <cell r="C12614" t="str">
            <v>Hallgate Primary School Cottingham</v>
          </cell>
          <cell r="D12614" t="str">
            <v>East Riding of Yorkshire</v>
          </cell>
          <cell r="E12614" t="str">
            <v>Community School</v>
          </cell>
          <cell r="F12614" t="str">
            <v>Primary</v>
          </cell>
        </row>
        <row r="12615">
          <cell r="A12615">
            <v>9366503</v>
          </cell>
          <cell r="B12615">
            <v>125411</v>
          </cell>
          <cell r="C12615" t="str">
            <v>Halliford School</v>
          </cell>
          <cell r="D12615" t="str">
            <v>Surrey</v>
          </cell>
          <cell r="E12615" t="str">
            <v>Other Independent School</v>
          </cell>
          <cell r="F12615" t="str">
            <v>Not applicable</v>
          </cell>
        </row>
        <row r="12616">
          <cell r="A12616">
            <v>9364950</v>
          </cell>
          <cell r="B12616">
            <v>132937</v>
          </cell>
          <cell r="C12616" t="str">
            <v>Halliford St David's</v>
          </cell>
          <cell r="D12616" t="str">
            <v>Surrey</v>
          </cell>
          <cell r="E12616" t="str">
            <v>Sixth Form Centres</v>
          </cell>
          <cell r="F12616" t="str">
            <v>16 Plus</v>
          </cell>
        </row>
        <row r="12617">
          <cell r="A12617">
            <v>8872211</v>
          </cell>
          <cell r="B12617">
            <v>118326</v>
          </cell>
          <cell r="C12617" t="str">
            <v>Halling Primary School</v>
          </cell>
          <cell r="D12617" t="str">
            <v>Medway</v>
          </cell>
          <cell r="E12617" t="str">
            <v>Community School</v>
          </cell>
          <cell r="F12617" t="str">
            <v>Primary</v>
          </cell>
        </row>
        <row r="12618">
          <cell r="A12618">
            <v>3307027</v>
          </cell>
          <cell r="B12618">
            <v>103610</v>
          </cell>
          <cell r="C12618" t="str">
            <v>Hallmoor School</v>
          </cell>
          <cell r="D12618" t="str">
            <v>Birmingham</v>
          </cell>
          <cell r="E12618" t="str">
            <v>Community Special School</v>
          </cell>
          <cell r="F12618" t="str">
            <v>Special</v>
          </cell>
        </row>
        <row r="12619">
          <cell r="A12619">
            <v>8853329</v>
          </cell>
          <cell r="B12619">
            <v>116882</v>
          </cell>
          <cell r="C12619" t="str">
            <v>Hallow CofE Primary School</v>
          </cell>
          <cell r="D12619" t="str">
            <v>Worcestershire</v>
          </cell>
          <cell r="E12619" t="str">
            <v>Voluntary Aided School</v>
          </cell>
          <cell r="F12619" t="str">
            <v>Primary</v>
          </cell>
        </row>
        <row r="12620">
          <cell r="A12620">
            <v>9186107</v>
          </cell>
          <cell r="B12620">
            <v>129103</v>
          </cell>
          <cell r="C12620" t="str">
            <v>Hallow Park School</v>
          </cell>
          <cell r="D12620" t="str">
            <v>Pre LGR (1998) Hereford &amp; Worcester</v>
          </cell>
          <cell r="E12620" t="str">
            <v>Other Independent School</v>
          </cell>
          <cell r="F12620" t="str">
            <v>Not applicable</v>
          </cell>
        </row>
        <row r="12621">
          <cell r="A12621">
            <v>3162031</v>
          </cell>
          <cell r="B12621">
            <v>126980</v>
          </cell>
          <cell r="C12621" t="str">
            <v>Hallsville Infant School</v>
          </cell>
          <cell r="D12621" t="str">
            <v>Newham</v>
          </cell>
          <cell r="E12621" t="str">
            <v>Community School</v>
          </cell>
          <cell r="F12621" t="str">
            <v>Primary</v>
          </cell>
        </row>
        <row r="12622">
          <cell r="A12622">
            <v>3162030</v>
          </cell>
          <cell r="B12622">
            <v>102724</v>
          </cell>
          <cell r="C12622" t="str">
            <v>Hallsville Primary School</v>
          </cell>
          <cell r="D12622" t="str">
            <v>Newham</v>
          </cell>
          <cell r="E12622" t="str">
            <v>Community School</v>
          </cell>
          <cell r="F12622" t="str">
            <v>Primary</v>
          </cell>
        </row>
        <row r="12623">
          <cell r="A12623">
            <v>8762689</v>
          </cell>
          <cell r="B12623">
            <v>111210</v>
          </cell>
          <cell r="C12623" t="str">
            <v>Hallwood Park Primary School and Nursery</v>
          </cell>
          <cell r="D12623" t="str">
            <v>Halton</v>
          </cell>
          <cell r="E12623" t="str">
            <v>Community School</v>
          </cell>
          <cell r="F12623" t="str">
            <v>Primary</v>
          </cell>
        </row>
        <row r="12624">
          <cell r="A12624">
            <v>8883420</v>
          </cell>
          <cell r="B12624">
            <v>119480</v>
          </cell>
          <cell r="C12624" t="str">
            <v>Halsall St Cuthbert's Church of England Primary School</v>
          </cell>
          <cell r="D12624" t="str">
            <v>Lancashire</v>
          </cell>
          <cell r="E12624" t="str">
            <v>Voluntary Aided School</v>
          </cell>
          <cell r="F12624" t="str">
            <v>Primary</v>
          </cell>
        </row>
        <row r="12625">
          <cell r="A12625">
            <v>9194108</v>
          </cell>
          <cell r="B12625">
            <v>129162</v>
          </cell>
          <cell r="C12625" t="str">
            <v>Halsey School</v>
          </cell>
          <cell r="D12625" t="str">
            <v>Hertfordshire</v>
          </cell>
          <cell r="E12625" t="str">
            <v>Community School</v>
          </cell>
          <cell r="F12625" t="str">
            <v>Secondary</v>
          </cell>
        </row>
        <row r="12626">
          <cell r="A12626">
            <v>9382210</v>
          </cell>
          <cell r="B12626">
            <v>125937</v>
          </cell>
          <cell r="C12626" t="str">
            <v>Halsford Park Primary School</v>
          </cell>
          <cell r="D12626" t="str">
            <v>West Sussex</v>
          </cell>
          <cell r="E12626" t="str">
            <v>Community School</v>
          </cell>
          <cell r="F12626" t="str">
            <v>Primary</v>
          </cell>
        </row>
        <row r="12627">
          <cell r="A12627">
            <v>3402012</v>
          </cell>
          <cell r="B12627">
            <v>104426</v>
          </cell>
          <cell r="C12627" t="str">
            <v>Halsnead Community Primary School</v>
          </cell>
          <cell r="D12627" t="str">
            <v>Knowsley</v>
          </cell>
          <cell r="E12627" t="str">
            <v>Community School</v>
          </cell>
          <cell r="F12627" t="str">
            <v>Primary</v>
          </cell>
        </row>
        <row r="12628">
          <cell r="A12628">
            <v>8862133</v>
          </cell>
          <cell r="B12628">
            <v>118274</v>
          </cell>
          <cell r="C12628" t="str">
            <v>Halstead Community Primary School</v>
          </cell>
          <cell r="D12628" t="str">
            <v>Kent</v>
          </cell>
          <cell r="E12628" t="str">
            <v>Community School</v>
          </cell>
          <cell r="F12628" t="str">
            <v>Primary</v>
          </cell>
        </row>
        <row r="12629">
          <cell r="A12629">
            <v>8867026</v>
          </cell>
          <cell r="B12629">
            <v>119033</v>
          </cell>
          <cell r="C12629" t="str">
            <v>Halstead Place School</v>
          </cell>
          <cell r="D12629" t="str">
            <v>Kent</v>
          </cell>
          <cell r="E12629" t="str">
            <v>Community Special School</v>
          </cell>
          <cell r="F12629" t="str">
            <v>Special</v>
          </cell>
        </row>
        <row r="12630">
          <cell r="A12630">
            <v>9366402</v>
          </cell>
          <cell r="B12630">
            <v>125400</v>
          </cell>
          <cell r="C12630" t="str">
            <v>Halstead School</v>
          </cell>
          <cell r="D12630" t="str">
            <v>Surrey</v>
          </cell>
          <cell r="E12630" t="str">
            <v>Other Independent School</v>
          </cell>
          <cell r="F12630" t="str">
            <v>Not applicable</v>
          </cell>
        </row>
        <row r="12631">
          <cell r="A12631">
            <v>2032275</v>
          </cell>
          <cell r="B12631">
            <v>100130</v>
          </cell>
          <cell r="C12631" t="str">
            <v>Halstow Primary School</v>
          </cell>
          <cell r="D12631" t="str">
            <v>Greenwich</v>
          </cell>
          <cell r="E12631" t="str">
            <v>Community School</v>
          </cell>
          <cell r="F12631" t="str">
            <v>Primary</v>
          </cell>
        </row>
        <row r="12632">
          <cell r="A12632">
            <v>8502312</v>
          </cell>
          <cell r="B12632">
            <v>116032</v>
          </cell>
          <cell r="C12632" t="str">
            <v>Halterworth Community Primary School</v>
          </cell>
          <cell r="D12632" t="str">
            <v>Hampshire</v>
          </cell>
          <cell r="E12632" t="str">
            <v>Community School</v>
          </cell>
          <cell r="F12632" t="str">
            <v>Primary</v>
          </cell>
        </row>
        <row r="12633">
          <cell r="A12633">
            <v>3552002</v>
          </cell>
          <cell r="B12633">
            <v>127463</v>
          </cell>
          <cell r="C12633" t="str">
            <v>Halton Bank School</v>
          </cell>
          <cell r="D12633" t="str">
            <v>Salford</v>
          </cell>
          <cell r="E12633" t="str">
            <v>Community School</v>
          </cell>
          <cell r="F12633" t="str">
            <v>Primary</v>
          </cell>
        </row>
        <row r="12634">
          <cell r="A12634">
            <v>8252333</v>
          </cell>
          <cell r="B12634">
            <v>110391</v>
          </cell>
          <cell r="C12634" t="str">
            <v>Halton Community Combined School</v>
          </cell>
          <cell r="D12634" t="str">
            <v>Buckinghamshire</v>
          </cell>
          <cell r="E12634" t="str">
            <v>Community School</v>
          </cell>
          <cell r="F12634" t="str">
            <v>Primary</v>
          </cell>
        </row>
        <row r="12635">
          <cell r="A12635">
            <v>3832190</v>
          </cell>
          <cell r="B12635">
            <v>127851</v>
          </cell>
          <cell r="C12635" t="str">
            <v>Halton First School</v>
          </cell>
          <cell r="D12635" t="str">
            <v>Leeds</v>
          </cell>
          <cell r="E12635" t="str">
            <v>Community School</v>
          </cell>
          <cell r="F12635" t="str">
            <v>Primary</v>
          </cell>
        </row>
        <row r="12636">
          <cell r="A12636">
            <v>8764218</v>
          </cell>
          <cell r="B12636">
            <v>132825</v>
          </cell>
          <cell r="C12636" t="str">
            <v>Halton High School</v>
          </cell>
          <cell r="D12636" t="str">
            <v>Halton</v>
          </cell>
          <cell r="E12636" t="str">
            <v>Community School</v>
          </cell>
          <cell r="F12636" t="str">
            <v>Secondary</v>
          </cell>
        </row>
        <row r="12637">
          <cell r="A12637">
            <v>9253125</v>
          </cell>
          <cell r="B12637">
            <v>120573</v>
          </cell>
          <cell r="C12637" t="str">
            <v>Halton Holegate CofE Primary School</v>
          </cell>
          <cell r="D12637" t="str">
            <v>Lincolnshire</v>
          </cell>
          <cell r="E12637" t="str">
            <v>Voluntary Controlled School</v>
          </cell>
          <cell r="F12637" t="str">
            <v>Primary</v>
          </cell>
        </row>
        <row r="12638">
          <cell r="A12638">
            <v>8766012</v>
          </cell>
          <cell r="B12638">
            <v>135512</v>
          </cell>
          <cell r="C12638" t="str">
            <v>Halton House School</v>
          </cell>
          <cell r="D12638" t="str">
            <v>Halton</v>
          </cell>
          <cell r="E12638" t="str">
            <v>Other Independent Special School</v>
          </cell>
          <cell r="F12638" t="str">
            <v>Not applicable</v>
          </cell>
        </row>
        <row r="12639">
          <cell r="A12639">
            <v>9062285</v>
          </cell>
          <cell r="B12639">
            <v>128423</v>
          </cell>
          <cell r="C12639" t="str">
            <v>Halton Lodge County Infant School</v>
          </cell>
          <cell r="D12639" t="str">
            <v>Pre LGR (1998) Cheshire</v>
          </cell>
          <cell r="E12639" t="str">
            <v>Community School</v>
          </cell>
          <cell r="F12639" t="str">
            <v>Primary</v>
          </cell>
        </row>
        <row r="12640">
          <cell r="A12640">
            <v>9062122</v>
          </cell>
          <cell r="B12640">
            <v>128398</v>
          </cell>
          <cell r="C12640" t="str">
            <v>Halton Lodge County Junior School</v>
          </cell>
          <cell r="D12640" t="str">
            <v>Pre LGR (1998) Cheshire</v>
          </cell>
          <cell r="E12640" t="str">
            <v>Community School</v>
          </cell>
          <cell r="F12640" t="str">
            <v>Primary</v>
          </cell>
        </row>
        <row r="12641">
          <cell r="A12641">
            <v>8762712</v>
          </cell>
          <cell r="B12641">
            <v>111229</v>
          </cell>
          <cell r="C12641" t="str">
            <v>Halton Lodge Primary School</v>
          </cell>
          <cell r="D12641" t="str">
            <v>Halton</v>
          </cell>
          <cell r="E12641" t="str">
            <v>Community School</v>
          </cell>
          <cell r="F12641" t="str">
            <v>Primary</v>
          </cell>
        </row>
        <row r="12642">
          <cell r="A12642">
            <v>3834012</v>
          </cell>
          <cell r="B12642">
            <v>127958</v>
          </cell>
          <cell r="C12642" t="str">
            <v>Halton Middle School</v>
          </cell>
          <cell r="D12642" t="str">
            <v>Leeds</v>
          </cell>
          <cell r="E12642" t="str">
            <v>Community School</v>
          </cell>
          <cell r="F12642" t="str">
            <v>Middle Deemed Secondary</v>
          </cell>
        </row>
        <row r="12643">
          <cell r="A12643">
            <v>8766000</v>
          </cell>
          <cell r="B12643">
            <v>133485</v>
          </cell>
          <cell r="C12643" t="str">
            <v>Halton School</v>
          </cell>
          <cell r="D12643" t="str">
            <v>Halton</v>
          </cell>
          <cell r="E12643" t="str">
            <v>Other Independent Special School</v>
          </cell>
          <cell r="F12643" t="str">
            <v>Not applicable</v>
          </cell>
        </row>
        <row r="12644">
          <cell r="A12644">
            <v>8766007</v>
          </cell>
          <cell r="B12644">
            <v>135357</v>
          </cell>
          <cell r="C12644" t="str">
            <v>Halton View Green Corns</v>
          </cell>
          <cell r="D12644" t="str">
            <v>Halton</v>
          </cell>
          <cell r="E12644" t="str">
            <v>Other Independent Special School</v>
          </cell>
          <cell r="F12644" t="str">
            <v>Not applicable</v>
          </cell>
        </row>
        <row r="12645">
          <cell r="A12645">
            <v>9292121</v>
          </cell>
          <cell r="B12645">
            <v>122201</v>
          </cell>
          <cell r="C12645" t="str">
            <v>Haltwhistle Community Campus Lower School</v>
          </cell>
          <cell r="D12645" t="str">
            <v>Northumberland</v>
          </cell>
          <cell r="E12645" t="str">
            <v>Community School</v>
          </cell>
          <cell r="F12645" t="str">
            <v>Primary</v>
          </cell>
        </row>
        <row r="12646">
          <cell r="A12646">
            <v>9294122</v>
          </cell>
          <cell r="B12646">
            <v>122327</v>
          </cell>
          <cell r="C12646" t="str">
            <v>Haltwhistle Community Campus Upper School</v>
          </cell>
          <cell r="D12646" t="str">
            <v>Northumberland</v>
          </cell>
          <cell r="E12646" t="str">
            <v>Community School</v>
          </cell>
          <cell r="F12646" t="str">
            <v>Middle Deemed Secondary</v>
          </cell>
        </row>
        <row r="12647">
          <cell r="A12647">
            <v>9262073</v>
          </cell>
          <cell r="B12647">
            <v>129604</v>
          </cell>
          <cell r="C12647" t="str">
            <v>Halvergate County Primary School</v>
          </cell>
          <cell r="D12647" t="str">
            <v>Norfolk</v>
          </cell>
          <cell r="E12647" t="str">
            <v>Community School</v>
          </cell>
          <cell r="F12647" t="str">
            <v>Primary</v>
          </cell>
        </row>
        <row r="12648">
          <cell r="A12648">
            <v>8782228</v>
          </cell>
          <cell r="B12648">
            <v>113151</v>
          </cell>
          <cell r="C12648" t="str">
            <v>Halwill Community Primary School</v>
          </cell>
          <cell r="D12648" t="str">
            <v>Devon</v>
          </cell>
          <cell r="E12648" t="str">
            <v>Community School</v>
          </cell>
          <cell r="F12648" t="str">
            <v>Primary</v>
          </cell>
        </row>
        <row r="12649">
          <cell r="A12649">
            <v>9082128</v>
          </cell>
          <cell r="B12649">
            <v>111828</v>
          </cell>
          <cell r="C12649" t="str">
            <v>Halwin School</v>
          </cell>
          <cell r="D12649" t="str">
            <v>Cornwall</v>
          </cell>
          <cell r="E12649" t="str">
            <v>Community School</v>
          </cell>
          <cell r="F12649" t="str">
            <v>Primary</v>
          </cell>
        </row>
        <row r="12650">
          <cell r="A12650">
            <v>8214105</v>
          </cell>
          <cell r="B12650">
            <v>109684</v>
          </cell>
          <cell r="C12650" t="str">
            <v>Halyard High School</v>
          </cell>
          <cell r="D12650" t="str">
            <v>Luton</v>
          </cell>
          <cell r="E12650" t="str">
            <v>Community School</v>
          </cell>
          <cell r="F12650" t="str">
            <v>Secondary</v>
          </cell>
        </row>
        <row r="12651">
          <cell r="A12651">
            <v>3322125</v>
          </cell>
          <cell r="B12651">
            <v>103808</v>
          </cell>
          <cell r="C12651" t="str">
            <v>Ham Dingle Primary School</v>
          </cell>
          <cell r="D12651" t="str">
            <v>Dudley</v>
          </cell>
          <cell r="E12651" t="str">
            <v>Community School</v>
          </cell>
          <cell r="F12651" t="str">
            <v>Primary</v>
          </cell>
        </row>
        <row r="12652">
          <cell r="A12652">
            <v>8791008</v>
          </cell>
          <cell r="B12652">
            <v>113051</v>
          </cell>
          <cell r="C12652" t="str">
            <v>Ham Drive Nursery School</v>
          </cell>
          <cell r="D12652" t="str">
            <v>Plymouth</v>
          </cell>
          <cell r="E12652" t="str">
            <v>LA Nursery School</v>
          </cell>
          <cell r="F12652" t="str">
            <v>Nursery</v>
          </cell>
        </row>
        <row r="12653">
          <cell r="A12653">
            <v>8504119</v>
          </cell>
          <cell r="B12653">
            <v>116413</v>
          </cell>
          <cell r="C12653" t="str">
            <v>Hamble Community Sports College</v>
          </cell>
          <cell r="D12653" t="str">
            <v>Hampshire</v>
          </cell>
          <cell r="E12653" t="str">
            <v>Community School</v>
          </cell>
          <cell r="F12653" t="str">
            <v>Secondary</v>
          </cell>
        </row>
        <row r="12654">
          <cell r="A12654">
            <v>8502091</v>
          </cell>
          <cell r="B12654">
            <v>115901</v>
          </cell>
          <cell r="C12654" t="str">
            <v>Hamble Primary School</v>
          </cell>
          <cell r="D12654" t="str">
            <v>Hampshire</v>
          </cell>
          <cell r="E12654" t="str">
            <v>Community School</v>
          </cell>
          <cell r="F12654" t="str">
            <v>Primary</v>
          </cell>
        </row>
        <row r="12655">
          <cell r="A12655">
            <v>9043332</v>
          </cell>
          <cell r="B12655">
            <v>128342</v>
          </cell>
          <cell r="C12655" t="str">
            <v>Hambledon CofE Combined School</v>
          </cell>
          <cell r="D12655" t="str">
            <v>Pre LGR (1997) Buckinghamshire</v>
          </cell>
          <cell r="E12655" t="str">
            <v>Voluntary Aided School</v>
          </cell>
          <cell r="F12655" t="str">
            <v>Primary</v>
          </cell>
        </row>
        <row r="12656">
          <cell r="A12656">
            <v>3802004</v>
          </cell>
          <cell r="B12656">
            <v>107194</v>
          </cell>
          <cell r="C12656" t="str">
            <v>Hambledon First School</v>
          </cell>
          <cell r="D12656" t="str">
            <v>Bradford</v>
          </cell>
          <cell r="E12656" t="str">
            <v>Community School</v>
          </cell>
          <cell r="F12656" t="str">
            <v>Primary</v>
          </cell>
        </row>
        <row r="12657">
          <cell r="A12657">
            <v>8502092</v>
          </cell>
          <cell r="B12657">
            <v>115902</v>
          </cell>
          <cell r="C12657" t="str">
            <v>Hambledon Infant School</v>
          </cell>
          <cell r="D12657" t="str">
            <v>Hampshire</v>
          </cell>
          <cell r="E12657" t="str">
            <v>Community School</v>
          </cell>
          <cell r="F12657" t="str">
            <v>Primary</v>
          </cell>
        </row>
        <row r="12658">
          <cell r="A12658">
            <v>8153244</v>
          </cell>
          <cell r="B12658">
            <v>121566</v>
          </cell>
          <cell r="C12658" t="str">
            <v>Hambleton Church of England Voluntary Controlled Primary School</v>
          </cell>
          <cell r="D12658" t="str">
            <v>North Yorkshire</v>
          </cell>
          <cell r="E12658" t="str">
            <v>Voluntary Controlled School</v>
          </cell>
          <cell r="F12658" t="str">
            <v>Primary</v>
          </cell>
        </row>
        <row r="12659">
          <cell r="A12659">
            <v>8882040</v>
          </cell>
          <cell r="B12659">
            <v>136365</v>
          </cell>
          <cell r="C12659" t="str">
            <v>Hambleton Primary Academy</v>
          </cell>
          <cell r="D12659" t="str">
            <v>Lancashire</v>
          </cell>
          <cell r="E12659" t="str">
            <v>Academy Converters</v>
          </cell>
          <cell r="F12659" t="str">
            <v>Primary</v>
          </cell>
        </row>
        <row r="12660">
          <cell r="A12660">
            <v>8882040</v>
          </cell>
          <cell r="B12660">
            <v>119144</v>
          </cell>
          <cell r="C12660" t="str">
            <v>Hambleton Primary School</v>
          </cell>
          <cell r="D12660" t="str">
            <v>Lancashire</v>
          </cell>
          <cell r="E12660" t="str">
            <v>Community School</v>
          </cell>
          <cell r="F12660" t="str">
            <v>Primary</v>
          </cell>
        </row>
        <row r="12661">
          <cell r="A12661">
            <v>8151102</v>
          </cell>
          <cell r="B12661">
            <v>135850</v>
          </cell>
          <cell r="C12661" t="str">
            <v>Hambleton/Richmondshire Pupil Referral Service</v>
          </cell>
          <cell r="D12661" t="str">
            <v>North Yorkshire</v>
          </cell>
          <cell r="E12661" t="str">
            <v>Pupil Referral Unit</v>
          </cell>
          <cell r="F12661" t="str">
            <v>PRU</v>
          </cell>
        </row>
        <row r="12662">
          <cell r="A12662">
            <v>3427001</v>
          </cell>
          <cell r="B12662">
            <v>104841</v>
          </cell>
          <cell r="C12662" t="str">
            <v>Hamblett School</v>
          </cell>
          <cell r="D12662" t="str">
            <v>St. Helens</v>
          </cell>
          <cell r="E12662" t="str">
            <v>Community Special School</v>
          </cell>
          <cell r="F12662" t="str">
            <v>Special</v>
          </cell>
        </row>
        <row r="12663">
          <cell r="A12663">
            <v>9256050</v>
          </cell>
          <cell r="B12663">
            <v>134912</v>
          </cell>
          <cell r="C12663" t="str">
            <v>Hambling School</v>
          </cell>
          <cell r="D12663" t="str">
            <v>Lincolnshire</v>
          </cell>
          <cell r="E12663" t="str">
            <v>Other Independent Special School</v>
          </cell>
          <cell r="F12663" t="str">
            <v>Not applicable</v>
          </cell>
        </row>
        <row r="12664">
          <cell r="A12664">
            <v>9332029</v>
          </cell>
          <cell r="B12664">
            <v>123645</v>
          </cell>
          <cell r="C12664" t="str">
            <v>Hambridge Community Primary School</v>
          </cell>
          <cell r="D12664" t="str">
            <v>Somerset</v>
          </cell>
          <cell r="E12664" t="str">
            <v>Foundation School</v>
          </cell>
          <cell r="F12664" t="str">
            <v>Primary</v>
          </cell>
        </row>
        <row r="12665">
          <cell r="A12665">
            <v>8032186</v>
          </cell>
          <cell r="B12665">
            <v>109024</v>
          </cell>
          <cell r="C12665" t="str">
            <v>Hambrook Primary School</v>
          </cell>
          <cell r="D12665" t="str">
            <v>South Gloucestershire</v>
          </cell>
          <cell r="E12665" t="str">
            <v>Community School</v>
          </cell>
          <cell r="F12665" t="str">
            <v>Primary</v>
          </cell>
        </row>
        <row r="12666">
          <cell r="A12666">
            <v>3072150</v>
          </cell>
          <cell r="B12666">
            <v>101887</v>
          </cell>
          <cell r="C12666" t="str">
            <v>Hambrough Primary School</v>
          </cell>
          <cell r="D12666" t="str">
            <v>Ealing</v>
          </cell>
          <cell r="E12666" t="str">
            <v>Community School</v>
          </cell>
          <cell r="F12666" t="str">
            <v>Primary</v>
          </cell>
        </row>
        <row r="12667">
          <cell r="A12667">
            <v>3306097</v>
          </cell>
          <cell r="B12667">
            <v>131687</v>
          </cell>
          <cell r="C12667" t="str">
            <v>Hamd House Preparatory School</v>
          </cell>
          <cell r="D12667" t="str">
            <v>Birmingham</v>
          </cell>
          <cell r="E12667" t="str">
            <v>Other Independent School</v>
          </cell>
          <cell r="F12667" t="str">
            <v>Not applicable</v>
          </cell>
        </row>
        <row r="12668">
          <cell r="A12668">
            <v>8884802</v>
          </cell>
          <cell r="B12668">
            <v>134995</v>
          </cell>
          <cell r="C12668" t="str">
            <v>Hameldon Community College</v>
          </cell>
          <cell r="D12668" t="str">
            <v>Lancashire</v>
          </cell>
          <cell r="E12668" t="str">
            <v>Community School</v>
          </cell>
          <cell r="F12668" t="str">
            <v>Secondary</v>
          </cell>
        </row>
        <row r="12669">
          <cell r="A12669">
            <v>3542065</v>
          </cell>
          <cell r="B12669">
            <v>105800</v>
          </cell>
          <cell r="C12669" t="str">
            <v>Hamer Community Primary School</v>
          </cell>
          <cell r="D12669" t="str">
            <v>Rochdale</v>
          </cell>
          <cell r="E12669" t="str">
            <v>Community School</v>
          </cell>
          <cell r="F12669" t="str">
            <v>Primary</v>
          </cell>
        </row>
        <row r="12670">
          <cell r="A12670">
            <v>8812076</v>
          </cell>
          <cell r="B12670">
            <v>114762</v>
          </cell>
          <cell r="C12670" t="str">
            <v>Hamford Primary School</v>
          </cell>
          <cell r="D12670" t="str">
            <v>Essex</v>
          </cell>
          <cell r="E12670" t="str">
            <v>Community School</v>
          </cell>
          <cell r="F12670" t="str">
            <v>Primary</v>
          </cell>
        </row>
        <row r="12671">
          <cell r="A12671">
            <v>8564249</v>
          </cell>
          <cell r="B12671">
            <v>120285</v>
          </cell>
          <cell r="C12671" t="str">
            <v>Hamilton Community College</v>
          </cell>
          <cell r="D12671" t="str">
            <v>Leicester</v>
          </cell>
          <cell r="E12671" t="str">
            <v>Community School</v>
          </cell>
          <cell r="F12671" t="str">
            <v>Secondary</v>
          </cell>
        </row>
        <row r="12672">
          <cell r="A12672">
            <v>3832255</v>
          </cell>
          <cell r="B12672">
            <v>127875</v>
          </cell>
          <cell r="C12672" t="str">
            <v>Hamilton First School</v>
          </cell>
          <cell r="D12672" t="str">
            <v>Leeds</v>
          </cell>
          <cell r="E12672" t="str">
            <v>Community School</v>
          </cell>
          <cell r="F12672" t="str">
            <v>Primary</v>
          </cell>
        </row>
        <row r="12673">
          <cell r="A12673">
            <v>8612048</v>
          </cell>
          <cell r="B12673">
            <v>123994</v>
          </cell>
          <cell r="C12673" t="str">
            <v>Hamilton Infants' School</v>
          </cell>
          <cell r="D12673" t="str">
            <v>Stoke-on-Trent</v>
          </cell>
          <cell r="E12673" t="str">
            <v>Community School</v>
          </cell>
          <cell r="F12673" t="str">
            <v>Primary</v>
          </cell>
        </row>
        <row r="12674">
          <cell r="A12674">
            <v>8467003</v>
          </cell>
          <cell r="B12674">
            <v>114619</v>
          </cell>
          <cell r="C12674" t="str">
            <v>Hamilton Lodge School for Deaf Children</v>
          </cell>
          <cell r="D12674" t="str">
            <v>Brighton and Hove</v>
          </cell>
          <cell r="E12674" t="str">
            <v>Non-Maintained Special School</v>
          </cell>
          <cell r="F12674" t="str">
            <v>Special</v>
          </cell>
        </row>
        <row r="12675">
          <cell r="A12675">
            <v>8255202</v>
          </cell>
          <cell r="B12675">
            <v>110520</v>
          </cell>
          <cell r="C12675" t="str">
            <v>Hamilton Primary School</v>
          </cell>
          <cell r="D12675" t="str">
            <v>Buckinghamshire</v>
          </cell>
          <cell r="E12675" t="str">
            <v>Foundation School</v>
          </cell>
          <cell r="F12675" t="str">
            <v>Primary</v>
          </cell>
        </row>
        <row r="12676">
          <cell r="A12676">
            <v>8812003</v>
          </cell>
          <cell r="B12676">
            <v>114706</v>
          </cell>
          <cell r="C12676" t="str">
            <v>Hamilton Primary School</v>
          </cell>
          <cell r="D12676" t="str">
            <v>Essex</v>
          </cell>
          <cell r="E12676" t="str">
            <v>Community School</v>
          </cell>
          <cell r="F12676" t="str">
            <v>Primary</v>
          </cell>
        </row>
        <row r="12677">
          <cell r="A12677">
            <v>3307006</v>
          </cell>
          <cell r="B12677">
            <v>103600</v>
          </cell>
          <cell r="C12677" t="str">
            <v>Hamilton School</v>
          </cell>
          <cell r="D12677" t="str">
            <v>Birmingham</v>
          </cell>
          <cell r="E12677" t="str">
            <v>Community Special School</v>
          </cell>
          <cell r="F12677" t="str">
            <v>Special</v>
          </cell>
        </row>
        <row r="12678">
          <cell r="A12678">
            <v>2056906</v>
          </cell>
          <cell r="B12678">
            <v>136172</v>
          </cell>
          <cell r="C12678" t="str">
            <v>Hammersmith Academy</v>
          </cell>
          <cell r="D12678" t="str">
            <v>Hammersmith and Fulham</v>
          </cell>
          <cell r="E12678" t="str">
            <v>Academy Sponsor Led</v>
          </cell>
          <cell r="F12678" t="str">
            <v>Secondary</v>
          </cell>
        </row>
        <row r="12679">
          <cell r="A12679">
            <v>9362918</v>
          </cell>
          <cell r="B12679">
            <v>125100</v>
          </cell>
          <cell r="C12679" t="str">
            <v>Hammond Community Junior School</v>
          </cell>
          <cell r="D12679" t="str">
            <v>Surrey</v>
          </cell>
          <cell r="E12679" t="str">
            <v>Community School</v>
          </cell>
          <cell r="F12679" t="str">
            <v>Primary</v>
          </cell>
        </row>
        <row r="12680">
          <cell r="A12680">
            <v>8966016</v>
          </cell>
          <cell r="B12680">
            <v>111482</v>
          </cell>
          <cell r="C12680" t="str">
            <v>Hammond School</v>
          </cell>
          <cell r="D12680" t="str">
            <v>Cheshire West and Chester</v>
          </cell>
          <cell r="E12680" t="str">
            <v>Other Independent School</v>
          </cell>
          <cell r="F12680" t="str">
            <v>Not applicable</v>
          </cell>
        </row>
        <row r="12681">
          <cell r="A12681">
            <v>9332156</v>
          </cell>
          <cell r="B12681">
            <v>123680</v>
          </cell>
          <cell r="C12681" t="str">
            <v>Hamp Community Junior School</v>
          </cell>
          <cell r="D12681" t="str">
            <v>Somerset</v>
          </cell>
          <cell r="E12681" t="str">
            <v>Community School</v>
          </cell>
          <cell r="F12681" t="str">
            <v>Primary</v>
          </cell>
        </row>
        <row r="12682">
          <cell r="A12682">
            <v>9332157</v>
          </cell>
          <cell r="B12682">
            <v>123681</v>
          </cell>
          <cell r="C12682" t="str">
            <v>Hamp Nursery and Infants' School</v>
          </cell>
          <cell r="D12682" t="str">
            <v>Somerset</v>
          </cell>
          <cell r="E12682" t="str">
            <v>Community School</v>
          </cell>
          <cell r="F12682" t="str">
            <v>Primary</v>
          </cell>
        </row>
        <row r="12683">
          <cell r="A12683">
            <v>2133351</v>
          </cell>
          <cell r="B12683">
            <v>101123</v>
          </cell>
          <cell r="C12683" t="str">
            <v>Hampden Gurney CofE Primary School</v>
          </cell>
          <cell r="D12683" t="str">
            <v>Westminster</v>
          </cell>
          <cell r="E12683" t="str">
            <v>Voluntary Aided School</v>
          </cell>
          <cell r="F12683" t="str">
            <v>Primary</v>
          </cell>
        </row>
        <row r="12684">
          <cell r="A12684">
            <v>9351104</v>
          </cell>
          <cell r="B12684">
            <v>124530</v>
          </cell>
          <cell r="C12684" t="str">
            <v>Hampden House Hostel</v>
          </cell>
          <cell r="D12684" t="str">
            <v>Suffolk</v>
          </cell>
          <cell r="E12684" t="str">
            <v>Pupil Referral Unit</v>
          </cell>
          <cell r="F12684" t="str">
            <v>PRU</v>
          </cell>
        </row>
        <row r="12685">
          <cell r="A12685">
            <v>9357800</v>
          </cell>
          <cell r="B12685">
            <v>132936</v>
          </cell>
          <cell r="C12685" t="str">
            <v>Hampden House Hostel</v>
          </cell>
          <cell r="D12685" t="str">
            <v>Suffolk</v>
          </cell>
          <cell r="E12685" t="str">
            <v>Miscellaneous</v>
          </cell>
          <cell r="F12685" t="str">
            <v>Not applicable</v>
          </cell>
        </row>
        <row r="12686">
          <cell r="A12686">
            <v>9046147</v>
          </cell>
          <cell r="B12686">
            <v>110569</v>
          </cell>
          <cell r="C12686" t="str">
            <v>Hampden Manor</v>
          </cell>
          <cell r="D12686" t="str">
            <v>Pre LGR (1997) Buckinghamshire</v>
          </cell>
          <cell r="E12686" t="str">
            <v>Other Independent School</v>
          </cell>
          <cell r="F12686" t="str">
            <v>Not applicable</v>
          </cell>
        </row>
        <row r="12687">
          <cell r="A12687">
            <v>8452144</v>
          </cell>
          <cell r="B12687">
            <v>114468</v>
          </cell>
          <cell r="C12687" t="str">
            <v>Hampden Park Infant School</v>
          </cell>
          <cell r="D12687" t="str">
            <v>East Sussex</v>
          </cell>
          <cell r="E12687" t="str">
            <v>Community School</v>
          </cell>
          <cell r="F12687" t="str">
            <v>Primary</v>
          </cell>
        </row>
        <row r="12688">
          <cell r="A12688">
            <v>3021001</v>
          </cell>
          <cell r="B12688">
            <v>101252</v>
          </cell>
          <cell r="C12688" t="str">
            <v>Hampden Way Nursery School</v>
          </cell>
          <cell r="D12688" t="str">
            <v>Barnet</v>
          </cell>
          <cell r="E12688" t="str">
            <v>LA Nursery School</v>
          </cell>
          <cell r="F12688" t="str">
            <v>Nursery</v>
          </cell>
        </row>
        <row r="12689">
          <cell r="A12689">
            <v>8353325</v>
          </cell>
          <cell r="B12689">
            <v>113802</v>
          </cell>
          <cell r="C12689" t="str">
            <v>Hampreston Church of England Voluntary Aided First School</v>
          </cell>
          <cell r="D12689" t="str">
            <v>Dorset</v>
          </cell>
          <cell r="E12689" t="str">
            <v>Voluntary Aided School</v>
          </cell>
          <cell r="F12689" t="str">
            <v>Primary</v>
          </cell>
        </row>
        <row r="12690">
          <cell r="A12690">
            <v>8506035</v>
          </cell>
          <cell r="B12690">
            <v>116515</v>
          </cell>
          <cell r="C12690" t="str">
            <v>Hampshire Collegiate School</v>
          </cell>
          <cell r="D12690" t="str">
            <v>Hampshire</v>
          </cell>
          <cell r="E12690" t="str">
            <v>Other Independent School</v>
          </cell>
          <cell r="F12690" t="str">
            <v>Not applicable</v>
          </cell>
        </row>
        <row r="12691">
          <cell r="A12691">
            <v>8506083</v>
          </cell>
          <cell r="B12691">
            <v>116566</v>
          </cell>
          <cell r="C12691" t="str">
            <v>Hampshire Collegiate School Atherley</v>
          </cell>
          <cell r="D12691" t="str">
            <v>Hampshire</v>
          </cell>
          <cell r="E12691" t="str">
            <v>Other Independent School</v>
          </cell>
          <cell r="F12691" t="str">
            <v>Not applicable</v>
          </cell>
        </row>
        <row r="12692">
          <cell r="A12692">
            <v>7022024</v>
          </cell>
          <cell r="B12692">
            <v>132387</v>
          </cell>
          <cell r="C12692" t="str">
            <v>Hampshire Primary School</v>
          </cell>
          <cell r="D12692" t="str">
            <v>BFPO Overseas Establishments</v>
          </cell>
          <cell r="E12692" t="str">
            <v>Service Childrens Education</v>
          </cell>
          <cell r="F12692" t="str">
            <v>Not applicable</v>
          </cell>
        </row>
        <row r="12693">
          <cell r="A12693">
            <v>2026329</v>
          </cell>
          <cell r="B12693">
            <v>126570</v>
          </cell>
          <cell r="C12693" t="str">
            <v>Hampstead Hill Pre-Preparatory School</v>
          </cell>
          <cell r="D12693" t="str">
            <v>Camden</v>
          </cell>
          <cell r="E12693" t="str">
            <v>Other Independent School</v>
          </cell>
          <cell r="F12693" t="str">
            <v>Not applicable</v>
          </cell>
        </row>
        <row r="12694">
          <cell r="A12694">
            <v>2026264</v>
          </cell>
          <cell r="B12694">
            <v>100073</v>
          </cell>
          <cell r="C12694" t="str">
            <v>Hampstead Hill School</v>
          </cell>
          <cell r="D12694" t="str">
            <v>Camden</v>
          </cell>
          <cell r="E12694" t="str">
            <v>Other Independent School</v>
          </cell>
          <cell r="F12694" t="str">
            <v>Not applicable</v>
          </cell>
        </row>
        <row r="12695">
          <cell r="A12695">
            <v>2026322</v>
          </cell>
          <cell r="B12695">
            <v>126569</v>
          </cell>
          <cell r="C12695" t="str">
            <v>Hampstead International School</v>
          </cell>
          <cell r="D12695" t="str">
            <v>Camden</v>
          </cell>
          <cell r="E12695" t="str">
            <v>Other Independent School</v>
          </cell>
          <cell r="F12695" t="str">
            <v>Not applicable</v>
          </cell>
        </row>
        <row r="12696">
          <cell r="A12696">
            <v>8693026</v>
          </cell>
          <cell r="B12696">
            <v>109964</v>
          </cell>
          <cell r="C12696" t="str">
            <v>Hampstead Norreys C.E. Primary School</v>
          </cell>
          <cell r="D12696" t="str">
            <v>West Berkshire</v>
          </cell>
          <cell r="E12696" t="str">
            <v>Voluntary Controlled School</v>
          </cell>
          <cell r="F12696" t="str">
            <v>Primary</v>
          </cell>
        </row>
        <row r="12697">
          <cell r="A12697">
            <v>2023352</v>
          </cell>
          <cell r="B12697">
            <v>100031</v>
          </cell>
          <cell r="C12697" t="str">
            <v>Hampstead Parochial Church of England Primary School</v>
          </cell>
          <cell r="D12697" t="str">
            <v>Camden</v>
          </cell>
          <cell r="E12697" t="str">
            <v>Voluntary Aided School</v>
          </cell>
          <cell r="F12697" t="str">
            <v>Primary</v>
          </cell>
        </row>
        <row r="12698">
          <cell r="A12698">
            <v>2024275</v>
          </cell>
          <cell r="B12698">
            <v>100052</v>
          </cell>
          <cell r="C12698" t="str">
            <v>Hampstead School</v>
          </cell>
          <cell r="D12698" t="str">
            <v>Camden</v>
          </cell>
          <cell r="E12698" t="str">
            <v>Community School</v>
          </cell>
          <cell r="F12698" t="str">
            <v>Secondary</v>
          </cell>
        </row>
        <row r="12699">
          <cell r="A12699">
            <v>8153245</v>
          </cell>
          <cell r="B12699">
            <v>121567</v>
          </cell>
          <cell r="C12699" t="str">
            <v>Hampsthwaite Church of England Primary School</v>
          </cell>
          <cell r="D12699" t="str">
            <v>North Yorkshire</v>
          </cell>
          <cell r="E12699" t="str">
            <v>Voluntary Controlled School</v>
          </cell>
          <cell r="F12699" t="str">
            <v>Primary</v>
          </cell>
        </row>
        <row r="12700">
          <cell r="A12700">
            <v>3186905</v>
          </cell>
          <cell r="B12700">
            <v>136103</v>
          </cell>
          <cell r="C12700" t="str">
            <v>Hampton Academy</v>
          </cell>
          <cell r="D12700" t="str">
            <v>Richmond upon Thames</v>
          </cell>
          <cell r="E12700" t="str">
            <v>Academy Sponsor Led</v>
          </cell>
          <cell r="F12700" t="str">
            <v>Secondary</v>
          </cell>
        </row>
        <row r="12701">
          <cell r="A12701">
            <v>8744082</v>
          </cell>
          <cell r="B12701">
            <v>135002</v>
          </cell>
          <cell r="C12701" t="str">
            <v>Hampton College</v>
          </cell>
          <cell r="D12701" t="str">
            <v>Peterborough</v>
          </cell>
          <cell r="E12701" t="str">
            <v>Community School</v>
          </cell>
          <cell r="F12701" t="str">
            <v>Secondary</v>
          </cell>
        </row>
        <row r="12702">
          <cell r="A12702">
            <v>3184011</v>
          </cell>
          <cell r="B12702">
            <v>102924</v>
          </cell>
          <cell r="C12702" t="str">
            <v>Hampton Community College</v>
          </cell>
          <cell r="D12702" t="str">
            <v>Richmond upon Thames</v>
          </cell>
          <cell r="E12702" t="str">
            <v>Community School</v>
          </cell>
          <cell r="F12702" t="str">
            <v>Secondary</v>
          </cell>
        </row>
        <row r="12703">
          <cell r="A12703">
            <v>3186586</v>
          </cell>
          <cell r="B12703">
            <v>133443</v>
          </cell>
          <cell r="C12703" t="str">
            <v>Hampton Court House School</v>
          </cell>
          <cell r="D12703" t="str">
            <v>Richmond upon Thames</v>
          </cell>
          <cell r="E12703" t="str">
            <v>Other Independent School</v>
          </cell>
          <cell r="F12703" t="str">
            <v>Not applicable</v>
          </cell>
        </row>
        <row r="12704">
          <cell r="A12704">
            <v>8842057</v>
          </cell>
          <cell r="B12704">
            <v>116680</v>
          </cell>
          <cell r="C12704" t="str">
            <v>Hampton Dene Primary School</v>
          </cell>
          <cell r="D12704" t="str">
            <v>Herefordshire</v>
          </cell>
          <cell r="E12704" t="str">
            <v>Community School</v>
          </cell>
          <cell r="F12704" t="str">
            <v>Primary</v>
          </cell>
        </row>
        <row r="12705">
          <cell r="A12705">
            <v>8742456</v>
          </cell>
          <cell r="B12705">
            <v>132763</v>
          </cell>
          <cell r="C12705" t="str">
            <v>Hampton Hargate Primary School</v>
          </cell>
          <cell r="D12705" t="str">
            <v>Peterborough</v>
          </cell>
          <cell r="E12705" t="str">
            <v>Community School</v>
          </cell>
          <cell r="F12705" t="str">
            <v>Primary</v>
          </cell>
        </row>
        <row r="12706">
          <cell r="A12706">
            <v>3182007</v>
          </cell>
          <cell r="B12706">
            <v>102886</v>
          </cell>
          <cell r="C12706" t="str">
            <v>Hampton Hill Junior School</v>
          </cell>
          <cell r="D12706" t="str">
            <v>Richmond upon Thames</v>
          </cell>
          <cell r="E12706" t="str">
            <v>Community School</v>
          </cell>
          <cell r="F12706" t="str">
            <v>Primary</v>
          </cell>
        </row>
        <row r="12707">
          <cell r="A12707">
            <v>3182009</v>
          </cell>
          <cell r="B12707">
            <v>102888</v>
          </cell>
          <cell r="C12707" t="str">
            <v>Hampton Infant School and Nursery</v>
          </cell>
          <cell r="D12707" t="str">
            <v>Richmond upon Thames</v>
          </cell>
          <cell r="E12707" t="str">
            <v>Community School</v>
          </cell>
          <cell r="F12707" t="str">
            <v>Primary</v>
          </cell>
        </row>
        <row r="12708">
          <cell r="A12708">
            <v>3182008</v>
          </cell>
          <cell r="B12708">
            <v>102887</v>
          </cell>
          <cell r="C12708" t="str">
            <v>Hampton Junior School</v>
          </cell>
          <cell r="D12708" t="str">
            <v>Richmond upon Thames</v>
          </cell>
          <cell r="E12708" t="str">
            <v>Community School</v>
          </cell>
          <cell r="F12708" t="str">
            <v>Primary</v>
          </cell>
        </row>
        <row r="12709">
          <cell r="A12709">
            <v>9373031</v>
          </cell>
          <cell r="B12709">
            <v>125635</v>
          </cell>
          <cell r="C12709" t="str">
            <v>Hampton Lucy CofE Primary School</v>
          </cell>
          <cell r="D12709" t="str">
            <v>Warwickshire</v>
          </cell>
          <cell r="E12709" t="str">
            <v>Voluntary Controlled School</v>
          </cell>
          <cell r="F12709" t="str">
            <v>Primary</v>
          </cell>
        </row>
        <row r="12710">
          <cell r="A12710">
            <v>8862264</v>
          </cell>
          <cell r="B12710">
            <v>118360</v>
          </cell>
          <cell r="C12710" t="str">
            <v>Hampton Primary School</v>
          </cell>
          <cell r="D12710" t="str">
            <v>Kent</v>
          </cell>
          <cell r="E12710" t="str">
            <v>Community School</v>
          </cell>
          <cell r="F12710" t="str">
            <v>Primary</v>
          </cell>
        </row>
        <row r="12711">
          <cell r="A12711">
            <v>3186071</v>
          </cell>
          <cell r="B12711">
            <v>102946</v>
          </cell>
          <cell r="C12711" t="str">
            <v>Hampton School</v>
          </cell>
          <cell r="D12711" t="str">
            <v>Richmond upon Thames</v>
          </cell>
          <cell r="E12711" t="str">
            <v>Other Independent School</v>
          </cell>
          <cell r="F12711" t="str">
            <v>Not applicable</v>
          </cell>
        </row>
        <row r="12712">
          <cell r="A12712">
            <v>8742458</v>
          </cell>
          <cell r="B12712">
            <v>134306</v>
          </cell>
          <cell r="C12712" t="str">
            <v>Hampton Vale Primary School</v>
          </cell>
          <cell r="D12712" t="str">
            <v>Peterborough</v>
          </cell>
          <cell r="E12712" t="str">
            <v>Community School</v>
          </cell>
          <cell r="F12712" t="str">
            <v>Primary</v>
          </cell>
        </row>
        <row r="12713">
          <cell r="A12713">
            <v>3182010</v>
          </cell>
          <cell r="B12713">
            <v>102889</v>
          </cell>
          <cell r="C12713" t="str">
            <v>Hampton Wick Infant and Nursery School</v>
          </cell>
          <cell r="D12713" t="str">
            <v>Richmond upon Thames</v>
          </cell>
          <cell r="E12713" t="str">
            <v>Community School</v>
          </cell>
          <cell r="F12713" t="str">
            <v>Primary</v>
          </cell>
        </row>
        <row r="12714">
          <cell r="A12714">
            <v>8452060</v>
          </cell>
          <cell r="B12714">
            <v>114394</v>
          </cell>
          <cell r="C12714" t="str">
            <v>Hamsey Community Primary School</v>
          </cell>
          <cell r="D12714" t="str">
            <v>East Sussex</v>
          </cell>
          <cell r="E12714" t="str">
            <v>Community School</v>
          </cell>
          <cell r="F12714" t="str">
            <v>Primary</v>
          </cell>
        </row>
        <row r="12715">
          <cell r="A12715">
            <v>9362049</v>
          </cell>
          <cell r="B12715">
            <v>124942</v>
          </cell>
          <cell r="C12715" t="str">
            <v>Hamsey Green Junior School</v>
          </cell>
          <cell r="D12715" t="str">
            <v>Surrey</v>
          </cell>
          <cell r="E12715" t="str">
            <v>Community School</v>
          </cell>
          <cell r="F12715" t="str">
            <v>Primary</v>
          </cell>
        </row>
        <row r="12716">
          <cell r="A12716">
            <v>9362050</v>
          </cell>
          <cell r="B12716">
            <v>124943</v>
          </cell>
          <cell r="C12716" t="str">
            <v>Hamsey Green Primary</v>
          </cell>
          <cell r="D12716" t="str">
            <v>Surrey</v>
          </cell>
          <cell r="E12716" t="str">
            <v>Community School</v>
          </cell>
          <cell r="F12716" t="str">
            <v>Primary</v>
          </cell>
        </row>
        <row r="12717">
          <cell r="A12717">
            <v>3304240</v>
          </cell>
          <cell r="B12717">
            <v>103516</v>
          </cell>
          <cell r="C12717" t="str">
            <v>Hamstead Hall Community Learning Centre</v>
          </cell>
          <cell r="D12717" t="str">
            <v>Birmingham</v>
          </cell>
          <cell r="E12717" t="str">
            <v>Foundation School</v>
          </cell>
          <cell r="F12717" t="str">
            <v>Secondary</v>
          </cell>
        </row>
        <row r="12718">
          <cell r="A12718">
            <v>3332016</v>
          </cell>
          <cell r="B12718">
            <v>103896</v>
          </cell>
          <cell r="C12718" t="str">
            <v>Hamstead Infant School</v>
          </cell>
          <cell r="D12718" t="str">
            <v>Sandwell</v>
          </cell>
          <cell r="E12718" t="str">
            <v>Community School</v>
          </cell>
          <cell r="F12718" t="str">
            <v>Primary</v>
          </cell>
        </row>
        <row r="12719">
          <cell r="A12719">
            <v>3332015</v>
          </cell>
          <cell r="B12719">
            <v>103895</v>
          </cell>
          <cell r="C12719" t="str">
            <v>Hamstead Junior School</v>
          </cell>
          <cell r="D12719" t="str">
            <v>Sandwell</v>
          </cell>
          <cell r="E12719" t="str">
            <v>Community School</v>
          </cell>
          <cell r="F12719" t="str">
            <v>Primary</v>
          </cell>
        </row>
        <row r="12720">
          <cell r="A12720">
            <v>8402253</v>
          </cell>
          <cell r="B12720">
            <v>114036</v>
          </cell>
          <cell r="C12720" t="str">
            <v>Hamsteels Primary School</v>
          </cell>
          <cell r="D12720" t="str">
            <v>Durham</v>
          </cell>
          <cell r="E12720" t="str">
            <v>Community School</v>
          </cell>
          <cell r="F12720" t="str">
            <v>Primary</v>
          </cell>
        </row>
        <row r="12721">
          <cell r="A12721">
            <v>8822093</v>
          </cell>
          <cell r="B12721">
            <v>114771</v>
          </cell>
          <cell r="C12721" t="str">
            <v>Hamstel Infant School and Nursery</v>
          </cell>
          <cell r="D12721" t="str">
            <v>Southend-on-Sea</v>
          </cell>
          <cell r="E12721" t="str">
            <v>Community School</v>
          </cell>
          <cell r="F12721" t="str">
            <v>Primary</v>
          </cell>
        </row>
        <row r="12722">
          <cell r="A12722">
            <v>8822092</v>
          </cell>
          <cell r="B12722">
            <v>114770</v>
          </cell>
          <cell r="C12722" t="str">
            <v>Hamstel Junior School</v>
          </cell>
          <cell r="D12722" t="str">
            <v>Southend-on-Sea</v>
          </cell>
          <cell r="E12722" t="str">
            <v>Community School</v>
          </cell>
          <cell r="F12722" t="str">
            <v>Primary</v>
          </cell>
        </row>
        <row r="12723">
          <cell r="A12723">
            <v>8402301</v>
          </cell>
          <cell r="B12723">
            <v>114053</v>
          </cell>
          <cell r="C12723" t="str">
            <v>Hamsterley Primary School</v>
          </cell>
          <cell r="D12723" t="str">
            <v>Durham</v>
          </cell>
          <cell r="E12723" t="str">
            <v>Community School</v>
          </cell>
          <cell r="F12723" t="str">
            <v>Primary</v>
          </cell>
        </row>
        <row r="12724">
          <cell r="A12724">
            <v>8862286</v>
          </cell>
          <cell r="B12724">
            <v>118378</v>
          </cell>
          <cell r="C12724" t="str">
            <v>Hamstreet Primary School</v>
          </cell>
          <cell r="D12724" t="str">
            <v>Kent</v>
          </cell>
          <cell r="E12724" t="str">
            <v>Community School</v>
          </cell>
          <cell r="F12724" t="str">
            <v>Primary</v>
          </cell>
        </row>
        <row r="12725">
          <cell r="A12725">
            <v>8362154</v>
          </cell>
          <cell r="B12725">
            <v>113689</v>
          </cell>
          <cell r="C12725" t="str">
            <v>Hamworthy First School and Nursery</v>
          </cell>
          <cell r="D12725" t="str">
            <v>Poole</v>
          </cell>
          <cell r="E12725" t="str">
            <v>Community School</v>
          </cell>
          <cell r="F12725" t="str">
            <v>Primary</v>
          </cell>
        </row>
        <row r="12726">
          <cell r="A12726">
            <v>8362176</v>
          </cell>
          <cell r="B12726">
            <v>113704</v>
          </cell>
          <cell r="C12726" t="str">
            <v>Hamworthy Middle School</v>
          </cell>
          <cell r="D12726" t="str">
            <v>Poole</v>
          </cell>
          <cell r="E12726" t="str">
            <v>Community School</v>
          </cell>
          <cell r="F12726" t="str">
            <v>Middle Deemed Primary</v>
          </cell>
        </row>
        <row r="12727">
          <cell r="A12727">
            <v>9313147</v>
          </cell>
          <cell r="B12727">
            <v>123120</v>
          </cell>
          <cell r="C12727" t="str">
            <v>Hanborough Manor CofE School</v>
          </cell>
          <cell r="D12727" t="str">
            <v>Oxfordshire</v>
          </cell>
          <cell r="E12727" t="str">
            <v>Voluntary Controlled School</v>
          </cell>
          <cell r="F12727" t="str">
            <v>Primary</v>
          </cell>
        </row>
        <row r="12728">
          <cell r="A12728">
            <v>8853049</v>
          </cell>
          <cell r="B12728">
            <v>116816</v>
          </cell>
          <cell r="C12728" t="str">
            <v>Hanbury CofE First School</v>
          </cell>
          <cell r="D12728" t="str">
            <v>Worcestershire</v>
          </cell>
          <cell r="E12728" t="str">
            <v>Voluntary Controlled School</v>
          </cell>
          <cell r="F12728" t="str">
            <v>Primary</v>
          </cell>
        </row>
        <row r="12729">
          <cell r="A12729">
            <v>8606006</v>
          </cell>
          <cell r="B12729">
            <v>124480</v>
          </cell>
          <cell r="C12729" t="str">
            <v>Hanbury Preparatory School</v>
          </cell>
          <cell r="D12729" t="str">
            <v>Staffordshire</v>
          </cell>
          <cell r="E12729" t="str">
            <v>Other Independent School</v>
          </cell>
          <cell r="F12729" t="str">
            <v>Not applicable</v>
          </cell>
        </row>
        <row r="12730">
          <cell r="A12730">
            <v>8602346</v>
          </cell>
          <cell r="B12730">
            <v>124165</v>
          </cell>
          <cell r="C12730" t="str">
            <v>Hanbury's Farm Community Primary School</v>
          </cell>
          <cell r="D12730" t="str">
            <v>Staffordshire</v>
          </cell>
          <cell r="E12730" t="str">
            <v>Community School</v>
          </cell>
          <cell r="F12730" t="str">
            <v>Primary</v>
          </cell>
        </row>
        <row r="12731">
          <cell r="A12731">
            <v>9346076</v>
          </cell>
          <cell r="B12731">
            <v>129960</v>
          </cell>
          <cell r="C12731" t="str">
            <v>Hanchurch Christian Centre</v>
          </cell>
          <cell r="D12731" t="str">
            <v>Pre LGR (1997) Staffordshire</v>
          </cell>
          <cell r="E12731" t="str">
            <v>Other Independent School</v>
          </cell>
          <cell r="F12731" t="str">
            <v>Not applicable</v>
          </cell>
        </row>
        <row r="12732">
          <cell r="A12732">
            <v>8073397</v>
          </cell>
          <cell r="B12732">
            <v>131645</v>
          </cell>
          <cell r="C12732" t="str">
            <v>Handale Primary School</v>
          </cell>
          <cell r="D12732" t="str">
            <v>Redcar and Cleveland</v>
          </cell>
          <cell r="E12732" t="str">
            <v>Community School</v>
          </cell>
          <cell r="F12732" t="str">
            <v>Primary</v>
          </cell>
        </row>
        <row r="12733">
          <cell r="A12733">
            <v>9386223</v>
          </cell>
          <cell r="B12733">
            <v>126143</v>
          </cell>
          <cell r="C12733" t="str">
            <v>Handcross Park Preparatory School</v>
          </cell>
          <cell r="D12733" t="str">
            <v>West Sussex</v>
          </cell>
          <cell r="E12733" t="str">
            <v>Other Independent School</v>
          </cell>
          <cell r="F12733" t="str">
            <v>Not applicable</v>
          </cell>
        </row>
        <row r="12734">
          <cell r="A12734">
            <v>9382205</v>
          </cell>
          <cell r="B12734">
            <v>125932</v>
          </cell>
          <cell r="C12734" t="str">
            <v>Handcross Primary School</v>
          </cell>
          <cell r="D12734" t="str">
            <v>West Sussex</v>
          </cell>
          <cell r="E12734" t="str">
            <v>Community School</v>
          </cell>
          <cell r="F12734" t="str">
            <v>Primary</v>
          </cell>
        </row>
        <row r="12735">
          <cell r="A12735">
            <v>9256023</v>
          </cell>
          <cell r="B12735">
            <v>120733</v>
          </cell>
          <cell r="C12735" t="str">
            <v>Handel House Preparatory School</v>
          </cell>
          <cell r="D12735" t="str">
            <v>Lincolnshire</v>
          </cell>
          <cell r="E12735" t="str">
            <v>Other Independent School</v>
          </cell>
          <cell r="F12735" t="str">
            <v>Not applicable</v>
          </cell>
        </row>
        <row r="12736">
          <cell r="A12736">
            <v>9352154</v>
          </cell>
          <cell r="B12736">
            <v>124643</v>
          </cell>
          <cell r="C12736" t="str">
            <v>Handford Hall Primary School</v>
          </cell>
          <cell r="D12736" t="str">
            <v>Suffolk</v>
          </cell>
          <cell r="E12736" t="str">
            <v>Community School</v>
          </cell>
          <cell r="F12736" t="str">
            <v>Primary</v>
          </cell>
        </row>
        <row r="12737">
          <cell r="A12737">
            <v>8962714</v>
          </cell>
          <cell r="B12737">
            <v>111231</v>
          </cell>
          <cell r="C12737" t="str">
            <v>Handley Hill Primary School</v>
          </cell>
          <cell r="D12737" t="str">
            <v>Cheshire West and Chester</v>
          </cell>
          <cell r="E12737" t="str">
            <v>Community School</v>
          </cell>
          <cell r="F12737" t="str">
            <v>Primary</v>
          </cell>
        </row>
        <row r="12738">
          <cell r="A12738">
            <v>3306089</v>
          </cell>
          <cell r="B12738">
            <v>103596</v>
          </cell>
          <cell r="C12738" t="str">
            <v>Handsworth Alternative School</v>
          </cell>
          <cell r="D12738" t="str">
            <v>Birmingham</v>
          </cell>
          <cell r="E12738" t="str">
            <v>Other Independent School</v>
          </cell>
          <cell r="F12738" t="str">
            <v>Not applicable</v>
          </cell>
        </row>
        <row r="12739">
          <cell r="A12739">
            <v>3736026</v>
          </cell>
          <cell r="B12739">
            <v>107167</v>
          </cell>
          <cell r="C12739" t="str">
            <v>Handsworth Christian School</v>
          </cell>
          <cell r="D12739" t="str">
            <v>Sheffield</v>
          </cell>
          <cell r="E12739" t="str">
            <v>Other Independent School</v>
          </cell>
          <cell r="F12739" t="str">
            <v>Not applicable</v>
          </cell>
        </row>
        <row r="12740">
          <cell r="A12740">
            <v>3732044</v>
          </cell>
          <cell r="B12740">
            <v>127647</v>
          </cell>
          <cell r="C12740" t="str">
            <v>Handsworth First School</v>
          </cell>
          <cell r="D12740" t="str">
            <v>Sheffield</v>
          </cell>
          <cell r="E12740" t="str">
            <v>Community School</v>
          </cell>
          <cell r="F12740" t="str">
            <v>Primary</v>
          </cell>
        </row>
        <row r="12741">
          <cell r="A12741">
            <v>3305402</v>
          </cell>
          <cell r="B12741">
            <v>103549</v>
          </cell>
          <cell r="C12741" t="str">
            <v>Handsworth Grammar School</v>
          </cell>
          <cell r="D12741" t="str">
            <v>Birmingham</v>
          </cell>
          <cell r="E12741" t="str">
            <v>Voluntary Aided School</v>
          </cell>
          <cell r="F12741" t="str">
            <v>Secondary</v>
          </cell>
        </row>
        <row r="12742">
          <cell r="A12742">
            <v>3734278</v>
          </cell>
          <cell r="B12742">
            <v>107148</v>
          </cell>
          <cell r="C12742" t="str">
            <v>Handsworth Grange Community Sports College</v>
          </cell>
          <cell r="D12742" t="str">
            <v>Sheffield</v>
          </cell>
          <cell r="E12742" t="str">
            <v>Community School</v>
          </cell>
          <cell r="F12742" t="str">
            <v>Secondary</v>
          </cell>
        </row>
        <row r="12743">
          <cell r="A12743">
            <v>3304141</v>
          </cell>
          <cell r="B12743">
            <v>127058</v>
          </cell>
          <cell r="C12743" t="str">
            <v>Handsworth New Road School</v>
          </cell>
          <cell r="D12743" t="str">
            <v>Birmingham</v>
          </cell>
          <cell r="E12743" t="str">
            <v>Community School</v>
          </cell>
          <cell r="F12743" t="str">
            <v>Secondary</v>
          </cell>
        </row>
        <row r="12744">
          <cell r="A12744">
            <v>3202045</v>
          </cell>
          <cell r="B12744">
            <v>103059</v>
          </cell>
          <cell r="C12744" t="str">
            <v>Handsworth Primary School</v>
          </cell>
          <cell r="D12744" t="str">
            <v>Waltham Forest</v>
          </cell>
          <cell r="E12744" t="str">
            <v>Community School</v>
          </cell>
          <cell r="F12744" t="str">
            <v>Primary</v>
          </cell>
        </row>
        <row r="12745">
          <cell r="A12745">
            <v>3304200</v>
          </cell>
          <cell r="B12745">
            <v>103502</v>
          </cell>
          <cell r="C12745" t="str">
            <v>Handsworth Wood Boys' School</v>
          </cell>
          <cell r="D12745" t="str">
            <v>Birmingham</v>
          </cell>
          <cell r="E12745" t="str">
            <v>Community School</v>
          </cell>
          <cell r="F12745" t="str">
            <v>Secondary</v>
          </cell>
        </row>
        <row r="12746">
          <cell r="A12746">
            <v>3304207</v>
          </cell>
          <cell r="B12746">
            <v>103505</v>
          </cell>
          <cell r="C12746" t="str">
            <v>Handsworth Wood Girls' School</v>
          </cell>
          <cell r="D12746" t="str">
            <v>Birmingham</v>
          </cell>
          <cell r="E12746" t="str">
            <v>Community School</v>
          </cell>
          <cell r="F12746" t="str">
            <v>Secondary</v>
          </cell>
        </row>
        <row r="12747">
          <cell r="A12747">
            <v>8356001</v>
          </cell>
          <cell r="B12747">
            <v>113911</v>
          </cell>
          <cell r="C12747" t="str">
            <v>Hanford School</v>
          </cell>
          <cell r="D12747" t="str">
            <v>Dorset</v>
          </cell>
          <cell r="E12747" t="str">
            <v>Other Independent School</v>
          </cell>
          <cell r="F12747" t="str">
            <v>Not applicable</v>
          </cell>
        </row>
        <row r="12748">
          <cell r="A12748">
            <v>9197015</v>
          </cell>
          <cell r="B12748">
            <v>129181</v>
          </cell>
          <cell r="C12748" t="str">
            <v>Hangers Wood School</v>
          </cell>
          <cell r="D12748" t="str">
            <v>Hertfordshire</v>
          </cell>
          <cell r="E12748" t="str">
            <v>Community Special School</v>
          </cell>
          <cell r="F12748" t="str">
            <v>Special</v>
          </cell>
        </row>
        <row r="12749">
          <cell r="A12749">
            <v>3823014</v>
          </cell>
          <cell r="B12749">
            <v>107709</v>
          </cell>
          <cell r="C12749" t="str">
            <v>Hanging Heaton Church of England Voluntary Controlled Junior and Infant School</v>
          </cell>
          <cell r="D12749" t="str">
            <v>Kirklees</v>
          </cell>
          <cell r="E12749" t="str">
            <v>Voluntary Controlled School</v>
          </cell>
          <cell r="F12749" t="str">
            <v>Primary</v>
          </cell>
        </row>
        <row r="12750">
          <cell r="A12750">
            <v>8462066</v>
          </cell>
          <cell r="B12750">
            <v>114399</v>
          </cell>
          <cell r="C12750" t="str">
            <v>Hangleton Infant School</v>
          </cell>
          <cell r="D12750" t="str">
            <v>Brighton and Hove</v>
          </cell>
          <cell r="E12750" t="str">
            <v>Community School</v>
          </cell>
          <cell r="F12750" t="str">
            <v>Primary</v>
          </cell>
        </row>
        <row r="12751">
          <cell r="A12751">
            <v>8462067</v>
          </cell>
          <cell r="B12751">
            <v>114400</v>
          </cell>
          <cell r="C12751" t="str">
            <v>Hangleton Junior School</v>
          </cell>
          <cell r="D12751" t="str">
            <v>Brighton and Hove</v>
          </cell>
          <cell r="E12751" t="str">
            <v>Community School</v>
          </cell>
          <cell r="F12751" t="str">
            <v>Primary</v>
          </cell>
        </row>
        <row r="12752">
          <cell r="A12752">
            <v>8032174</v>
          </cell>
          <cell r="B12752">
            <v>109016</v>
          </cell>
          <cell r="C12752" t="str">
            <v>Hanham Abbots Junior School</v>
          </cell>
          <cell r="D12752" t="str">
            <v>South Gloucestershire</v>
          </cell>
          <cell r="E12752" t="str">
            <v>Community School</v>
          </cell>
          <cell r="F12752" t="str">
            <v>Primary</v>
          </cell>
        </row>
        <row r="12753">
          <cell r="A12753">
            <v>8034145</v>
          </cell>
          <cell r="B12753">
            <v>109318</v>
          </cell>
          <cell r="C12753" t="str">
            <v>Hanham High School</v>
          </cell>
          <cell r="D12753" t="str">
            <v>South Gloucestershire</v>
          </cell>
          <cell r="E12753" t="str">
            <v>Community School</v>
          </cell>
          <cell r="F12753" t="str">
            <v>Secondary</v>
          </cell>
        </row>
        <row r="12754">
          <cell r="A12754">
            <v>3526056</v>
          </cell>
          <cell r="B12754">
            <v>133579</v>
          </cell>
          <cell r="C12754" t="str">
            <v>Hanifah Small School</v>
          </cell>
          <cell r="D12754" t="str">
            <v>Manchester</v>
          </cell>
          <cell r="E12754" t="str">
            <v>Other Independent School</v>
          </cell>
          <cell r="F12754" t="str">
            <v>Not applicable</v>
          </cell>
        </row>
        <row r="12755">
          <cell r="A12755">
            <v>3526060</v>
          </cell>
          <cell r="B12755">
            <v>134593</v>
          </cell>
          <cell r="C12755" t="str">
            <v>Hanifah Small School</v>
          </cell>
          <cell r="D12755" t="str">
            <v>Manchester</v>
          </cell>
          <cell r="E12755" t="str">
            <v>Other Independent School</v>
          </cell>
          <cell r="F12755" t="str">
            <v>Not applicable</v>
          </cell>
        </row>
        <row r="12756">
          <cell r="A12756">
            <v>8452061</v>
          </cell>
          <cell r="B12756">
            <v>114395</v>
          </cell>
          <cell r="C12756" t="str">
            <v>Hankham Primary School</v>
          </cell>
          <cell r="D12756" t="str">
            <v>East Sussex</v>
          </cell>
          <cell r="E12756" t="str">
            <v>Community School</v>
          </cell>
          <cell r="F12756" t="str">
            <v>Primary</v>
          </cell>
        </row>
        <row r="12757">
          <cell r="A12757">
            <v>8854500</v>
          </cell>
          <cell r="B12757">
            <v>116981</v>
          </cell>
          <cell r="C12757" t="str">
            <v>Hanley Castle High School</v>
          </cell>
          <cell r="D12757" t="str">
            <v>Worcestershire</v>
          </cell>
          <cell r="E12757" t="str">
            <v>Voluntary Controlled School</v>
          </cell>
          <cell r="F12757" t="str">
            <v>Secondary</v>
          </cell>
        </row>
        <row r="12758">
          <cell r="A12758">
            <v>8854500</v>
          </cell>
          <cell r="B12758">
            <v>137101</v>
          </cell>
          <cell r="C12758" t="str">
            <v>Hanley Castle High School</v>
          </cell>
          <cell r="D12758" t="str">
            <v>Worcestershire</v>
          </cell>
          <cell r="E12758" t="str">
            <v>Academy Converters</v>
          </cell>
          <cell r="F12758" t="str">
            <v>Secondary</v>
          </cell>
        </row>
        <row r="12759">
          <cell r="A12759">
            <v>8613311</v>
          </cell>
          <cell r="B12759">
            <v>124313</v>
          </cell>
          <cell r="C12759" t="str">
            <v>Hanley St Luke's CofE Aided Primary School</v>
          </cell>
          <cell r="D12759" t="str">
            <v>Stoke-on-Trent</v>
          </cell>
          <cell r="E12759" t="str">
            <v>Voluntary Aided School</v>
          </cell>
          <cell r="F12759" t="str">
            <v>Primary</v>
          </cell>
        </row>
        <row r="12760">
          <cell r="A12760">
            <v>8853051</v>
          </cell>
          <cell r="B12760">
            <v>116817</v>
          </cell>
          <cell r="C12760" t="str">
            <v>Hanley Swan St Gabriel's with St Mary's CofE Primary School</v>
          </cell>
          <cell r="D12760" t="str">
            <v>Worcestershire</v>
          </cell>
          <cell r="E12760" t="str">
            <v>Voluntary Controlled School</v>
          </cell>
          <cell r="F12760" t="str">
            <v>Primary</v>
          </cell>
        </row>
        <row r="12761">
          <cell r="A12761">
            <v>6653326</v>
          </cell>
          <cell r="B12761">
            <v>400455</v>
          </cell>
          <cell r="C12761" t="str">
            <v>Hanmer Primary School</v>
          </cell>
          <cell r="D12761" t="str">
            <v>Wrexham</v>
          </cell>
          <cell r="E12761" t="str">
            <v>Welsh Establishment</v>
          </cell>
          <cell r="F12761" t="str">
            <v>Primary</v>
          </cell>
        </row>
        <row r="12762">
          <cell r="A12762">
            <v>8252233</v>
          </cell>
          <cell r="B12762">
            <v>110324</v>
          </cell>
          <cell r="C12762" t="str">
            <v>Hannah Ball Infant School</v>
          </cell>
          <cell r="D12762" t="str">
            <v>Buckinghamshire</v>
          </cell>
          <cell r="E12762" t="str">
            <v>Foundation School</v>
          </cell>
          <cell r="F12762" t="str">
            <v>Primary</v>
          </cell>
        </row>
        <row r="12763">
          <cell r="A12763">
            <v>8022268</v>
          </cell>
          <cell r="B12763">
            <v>109088</v>
          </cell>
          <cell r="C12763" t="str">
            <v>Hannah More Infant School</v>
          </cell>
          <cell r="D12763" t="str">
            <v>North Somerset</v>
          </cell>
          <cell r="E12763" t="str">
            <v>Community School</v>
          </cell>
          <cell r="F12763" t="str">
            <v>Primary</v>
          </cell>
        </row>
        <row r="12764">
          <cell r="A12764">
            <v>8012299</v>
          </cell>
          <cell r="B12764">
            <v>109110</v>
          </cell>
          <cell r="C12764" t="str">
            <v>Hannah More Primary School</v>
          </cell>
          <cell r="D12764" t="str">
            <v>Bristol City of</v>
          </cell>
          <cell r="E12764" t="str">
            <v>Community School</v>
          </cell>
          <cell r="F12764" t="str">
            <v>Primary</v>
          </cell>
        </row>
        <row r="12765">
          <cell r="A12765">
            <v>2062279</v>
          </cell>
          <cell r="B12765">
            <v>100407</v>
          </cell>
          <cell r="C12765" t="str">
            <v>Hanover Primary School</v>
          </cell>
          <cell r="D12765" t="str">
            <v>Islington</v>
          </cell>
          <cell r="E12765" t="str">
            <v>Community School</v>
          </cell>
          <cell r="F12765" t="str">
            <v>Primary</v>
          </cell>
        </row>
        <row r="12766">
          <cell r="A12766">
            <v>8024145</v>
          </cell>
          <cell r="B12766">
            <v>136708</v>
          </cell>
          <cell r="C12766" t="str">
            <v>Hans Price Academy</v>
          </cell>
          <cell r="D12766" t="str">
            <v>North Somerset</v>
          </cell>
          <cell r="E12766" t="str">
            <v>Academy Sponsor Led</v>
          </cell>
          <cell r="F12766" t="str">
            <v>Secondary</v>
          </cell>
        </row>
        <row r="12767">
          <cell r="A12767">
            <v>3136069</v>
          </cell>
          <cell r="B12767">
            <v>131592</v>
          </cell>
          <cell r="C12767" t="str">
            <v>Hans School of Excellence</v>
          </cell>
          <cell r="D12767" t="str">
            <v>Hounslow</v>
          </cell>
          <cell r="E12767" t="str">
            <v>Other Independent School</v>
          </cell>
          <cell r="F12767" t="str">
            <v>Not applicable</v>
          </cell>
        </row>
        <row r="12768">
          <cell r="A12768">
            <v>8262042</v>
          </cell>
          <cell r="B12768">
            <v>110230</v>
          </cell>
          <cell r="C12768" t="str">
            <v>Hanslope Primary School</v>
          </cell>
          <cell r="D12768" t="str">
            <v>Milton Keynes</v>
          </cell>
          <cell r="E12768" t="str">
            <v>Community School</v>
          </cell>
          <cell r="F12768" t="str">
            <v>Primary</v>
          </cell>
        </row>
        <row r="12769">
          <cell r="A12769">
            <v>3805401</v>
          </cell>
          <cell r="B12769">
            <v>107440</v>
          </cell>
          <cell r="C12769" t="str">
            <v>Hanson School</v>
          </cell>
          <cell r="D12769" t="str">
            <v>Bradford</v>
          </cell>
          <cell r="E12769" t="str">
            <v>Foundation School</v>
          </cell>
          <cell r="F12769" t="str">
            <v>Secondary</v>
          </cell>
        </row>
        <row r="12770">
          <cell r="A12770">
            <v>9313837</v>
          </cell>
          <cell r="B12770">
            <v>134033</v>
          </cell>
          <cell r="C12770" t="str">
            <v>Hanwell Fields Community School</v>
          </cell>
          <cell r="D12770" t="str">
            <v>Oxfordshire</v>
          </cell>
          <cell r="E12770" t="str">
            <v>Community School</v>
          </cell>
          <cell r="F12770" t="str">
            <v>Primary</v>
          </cell>
        </row>
        <row r="12771">
          <cell r="A12771">
            <v>9263037</v>
          </cell>
          <cell r="B12771">
            <v>121039</v>
          </cell>
          <cell r="C12771" t="str">
            <v>Happisburgh Primary School</v>
          </cell>
          <cell r="D12771" t="str">
            <v>Norfolk</v>
          </cell>
          <cell r="E12771" t="str">
            <v>Voluntary Controlled School</v>
          </cell>
          <cell r="F12771" t="str">
            <v>Primary</v>
          </cell>
        </row>
        <row r="12772">
          <cell r="A12772">
            <v>9263038</v>
          </cell>
          <cell r="B12772">
            <v>121040</v>
          </cell>
          <cell r="C12772" t="str">
            <v>Hapton Church of England Voluntary Controlled Primary School</v>
          </cell>
          <cell r="D12772" t="str">
            <v>Norfolk</v>
          </cell>
          <cell r="E12772" t="str">
            <v>Voluntary Controlled School</v>
          </cell>
          <cell r="F12772" t="str">
            <v>Primary</v>
          </cell>
        </row>
        <row r="12773">
          <cell r="A12773">
            <v>8883181</v>
          </cell>
          <cell r="B12773">
            <v>119407</v>
          </cell>
          <cell r="C12773" t="str">
            <v>Hapton Church of England/Methodist Primary School</v>
          </cell>
          <cell r="D12773" t="str">
            <v>Lancashire</v>
          </cell>
          <cell r="E12773" t="str">
            <v>Voluntary Controlled School</v>
          </cell>
          <cell r="F12773" t="str">
            <v>Primary</v>
          </cell>
        </row>
        <row r="12774">
          <cell r="A12774">
            <v>8783604</v>
          </cell>
          <cell r="B12774">
            <v>113462</v>
          </cell>
          <cell r="C12774" t="str">
            <v>Harbertonford Church of England Primary School</v>
          </cell>
          <cell r="D12774" t="str">
            <v>Devon</v>
          </cell>
          <cell r="E12774" t="str">
            <v>Voluntary Aided School</v>
          </cell>
          <cell r="F12774" t="str">
            <v>Primary</v>
          </cell>
        </row>
        <row r="12775">
          <cell r="A12775">
            <v>2112281</v>
          </cell>
          <cell r="B12775">
            <v>100904</v>
          </cell>
          <cell r="C12775" t="str">
            <v>Harbinger Primary School</v>
          </cell>
          <cell r="D12775" t="str">
            <v>Tower Hamlets</v>
          </cell>
          <cell r="E12775" t="str">
            <v>Community School</v>
          </cell>
          <cell r="F12775" t="str">
            <v>Primary</v>
          </cell>
        </row>
        <row r="12776">
          <cell r="A12776">
            <v>3306910</v>
          </cell>
          <cell r="B12776">
            <v>136213</v>
          </cell>
          <cell r="C12776" t="str">
            <v>Harborne Academy</v>
          </cell>
          <cell r="D12776" t="str">
            <v>Birmingham</v>
          </cell>
          <cell r="E12776" t="str">
            <v>Academy Sponsor Led</v>
          </cell>
          <cell r="F12776" t="str">
            <v>Secondary</v>
          </cell>
        </row>
        <row r="12777">
          <cell r="A12777">
            <v>3304144</v>
          </cell>
          <cell r="B12777">
            <v>103496</v>
          </cell>
          <cell r="C12777" t="str">
            <v>Harborne Hill School</v>
          </cell>
          <cell r="D12777" t="str">
            <v>Birmingham</v>
          </cell>
          <cell r="E12777" t="str">
            <v>Community School</v>
          </cell>
          <cell r="F12777" t="str">
            <v>Secondary</v>
          </cell>
        </row>
        <row r="12778">
          <cell r="A12778">
            <v>3302095</v>
          </cell>
          <cell r="B12778">
            <v>103212</v>
          </cell>
          <cell r="C12778" t="str">
            <v>Harborne Infant School</v>
          </cell>
          <cell r="D12778" t="str">
            <v>Birmingham</v>
          </cell>
          <cell r="E12778" t="str">
            <v>Community School</v>
          </cell>
          <cell r="F12778" t="str">
            <v>Primary</v>
          </cell>
        </row>
        <row r="12779">
          <cell r="A12779">
            <v>3302094</v>
          </cell>
          <cell r="B12779">
            <v>103211</v>
          </cell>
          <cell r="C12779" t="str">
            <v>Harborne Junior School</v>
          </cell>
          <cell r="D12779" t="str">
            <v>Birmingham</v>
          </cell>
          <cell r="E12779" t="str">
            <v>Community School</v>
          </cell>
          <cell r="F12779" t="str">
            <v>Primary</v>
          </cell>
        </row>
        <row r="12780">
          <cell r="A12780">
            <v>3302477</v>
          </cell>
          <cell r="B12780">
            <v>132261</v>
          </cell>
          <cell r="C12780" t="str">
            <v>Harborne Primary School</v>
          </cell>
          <cell r="D12780" t="str">
            <v>Birmingham</v>
          </cell>
          <cell r="E12780" t="str">
            <v>Community School</v>
          </cell>
          <cell r="F12780" t="str">
            <v>Primary</v>
          </cell>
        </row>
        <row r="12781">
          <cell r="A12781">
            <v>2067158</v>
          </cell>
          <cell r="B12781">
            <v>100470</v>
          </cell>
          <cell r="C12781" t="str">
            <v>Harborough Aut School</v>
          </cell>
          <cell r="D12781" t="str">
            <v>Islington</v>
          </cell>
          <cell r="E12781" t="str">
            <v>Community Special School</v>
          </cell>
          <cell r="F12781" t="str">
            <v>Special</v>
          </cell>
        </row>
        <row r="12782">
          <cell r="A12782">
            <v>9373179</v>
          </cell>
          <cell r="B12782">
            <v>125671</v>
          </cell>
          <cell r="C12782" t="str">
            <v>Harborough Magna CofE First School</v>
          </cell>
          <cell r="D12782" t="str">
            <v>Warwickshire</v>
          </cell>
          <cell r="E12782" t="str">
            <v>Voluntary Controlled School</v>
          </cell>
          <cell r="F12782" t="str">
            <v>Primary</v>
          </cell>
        </row>
        <row r="12783">
          <cell r="A12783">
            <v>9293423</v>
          </cell>
          <cell r="B12783">
            <v>122292</v>
          </cell>
          <cell r="C12783" t="str">
            <v>Harbottle Church of England Voluntary Aided First School</v>
          </cell>
          <cell r="D12783" t="str">
            <v>Northumberland</v>
          </cell>
          <cell r="E12783" t="str">
            <v>Voluntary Aided School</v>
          </cell>
          <cell r="F12783" t="str">
            <v>Primary</v>
          </cell>
        </row>
        <row r="12784">
          <cell r="A12784">
            <v>9351109</v>
          </cell>
          <cell r="B12784">
            <v>134762</v>
          </cell>
          <cell r="C12784" t="str">
            <v>Harbour</v>
          </cell>
          <cell r="D12784" t="str">
            <v>Suffolk</v>
          </cell>
          <cell r="E12784" t="str">
            <v>Pupil Referral Unit</v>
          </cell>
          <cell r="F12784" t="str">
            <v>PRU</v>
          </cell>
        </row>
        <row r="12785">
          <cell r="A12785">
            <v>8867045</v>
          </cell>
          <cell r="B12785">
            <v>119046</v>
          </cell>
          <cell r="C12785" t="str">
            <v>Harbour School</v>
          </cell>
          <cell r="D12785" t="str">
            <v>Kent</v>
          </cell>
          <cell r="E12785" t="str">
            <v>Community Special School</v>
          </cell>
          <cell r="F12785" t="str">
            <v>Special</v>
          </cell>
        </row>
        <row r="12786">
          <cell r="A12786">
            <v>9373032</v>
          </cell>
          <cell r="B12786">
            <v>125636</v>
          </cell>
          <cell r="C12786" t="str">
            <v>Harbury CofE Primary School</v>
          </cell>
          <cell r="D12786" t="str">
            <v>Warwickshire</v>
          </cell>
          <cell r="E12786" t="str">
            <v>Voluntary Controlled School</v>
          </cell>
          <cell r="F12786" t="str">
            <v>Primary</v>
          </cell>
        </row>
        <row r="12787">
          <cell r="A12787">
            <v>8553039</v>
          </cell>
          <cell r="B12787">
            <v>120132</v>
          </cell>
          <cell r="C12787" t="str">
            <v>Harby Church of England Primary School</v>
          </cell>
          <cell r="D12787" t="str">
            <v>Leicestershire</v>
          </cell>
          <cell r="E12787" t="str">
            <v>Voluntary Controlled School</v>
          </cell>
          <cell r="F12787" t="str">
            <v>Primary</v>
          </cell>
        </row>
        <row r="12788">
          <cell r="A12788">
            <v>8865225</v>
          </cell>
          <cell r="B12788">
            <v>118871</v>
          </cell>
          <cell r="C12788" t="str">
            <v>Harcourt Primary School</v>
          </cell>
          <cell r="D12788" t="str">
            <v>Kent</v>
          </cell>
          <cell r="E12788" t="str">
            <v>Foundation School</v>
          </cell>
          <cell r="F12788" t="str">
            <v>Primary</v>
          </cell>
        </row>
        <row r="12789">
          <cell r="A12789">
            <v>3352021</v>
          </cell>
          <cell r="B12789">
            <v>127184</v>
          </cell>
          <cell r="C12789" t="str">
            <v>Harden Infant School</v>
          </cell>
          <cell r="D12789" t="str">
            <v>Walsall</v>
          </cell>
          <cell r="E12789" t="str">
            <v>Community School</v>
          </cell>
          <cell r="F12789" t="str">
            <v>Primary</v>
          </cell>
        </row>
        <row r="12790">
          <cell r="A12790">
            <v>3352020</v>
          </cell>
          <cell r="B12790">
            <v>127183</v>
          </cell>
          <cell r="C12790" t="str">
            <v>Harden Junior School</v>
          </cell>
          <cell r="D12790" t="str">
            <v>Walsall</v>
          </cell>
          <cell r="E12790" t="str">
            <v>Community School</v>
          </cell>
          <cell r="F12790" t="str">
            <v>Primary</v>
          </cell>
        </row>
        <row r="12791">
          <cell r="A12791">
            <v>3352241</v>
          </cell>
          <cell r="B12791">
            <v>104218</v>
          </cell>
          <cell r="C12791" t="str">
            <v>Harden Primary School</v>
          </cell>
          <cell r="D12791" t="str">
            <v>Walsall</v>
          </cell>
          <cell r="E12791" t="str">
            <v>Community School</v>
          </cell>
          <cell r="F12791" t="str">
            <v>Primary</v>
          </cell>
        </row>
        <row r="12792">
          <cell r="A12792">
            <v>3802114</v>
          </cell>
          <cell r="B12792">
            <v>107256</v>
          </cell>
          <cell r="C12792" t="str">
            <v>Harden Primary School</v>
          </cell>
          <cell r="D12792" t="str">
            <v>Bradford</v>
          </cell>
          <cell r="E12792" t="str">
            <v>Community School</v>
          </cell>
          <cell r="F12792" t="str">
            <v>Primary</v>
          </cell>
        </row>
        <row r="12793">
          <cell r="A12793">
            <v>8655414</v>
          </cell>
          <cell r="B12793">
            <v>126509</v>
          </cell>
          <cell r="C12793" t="str">
            <v>Hardenhuish School</v>
          </cell>
          <cell r="D12793" t="str">
            <v>Wiltshire</v>
          </cell>
          <cell r="E12793" t="str">
            <v>Foundation School</v>
          </cell>
          <cell r="F12793" t="str">
            <v>Secondary</v>
          </cell>
        </row>
        <row r="12794">
          <cell r="A12794">
            <v>8655414</v>
          </cell>
          <cell r="B12794">
            <v>136296</v>
          </cell>
          <cell r="C12794" t="str">
            <v>Hardenhuish School</v>
          </cell>
          <cell r="D12794" t="str">
            <v>Wiltshire</v>
          </cell>
          <cell r="E12794" t="str">
            <v>Academy Converters</v>
          </cell>
          <cell r="F12794" t="str">
            <v>Secondary</v>
          </cell>
        </row>
        <row r="12795">
          <cell r="A12795">
            <v>9285211</v>
          </cell>
          <cell r="B12795">
            <v>121825</v>
          </cell>
          <cell r="C12795" t="str">
            <v>Hardingstone Primary School</v>
          </cell>
          <cell r="D12795" t="str">
            <v>Northamptonshire</v>
          </cell>
          <cell r="E12795" t="str">
            <v>Foundation School</v>
          </cell>
          <cell r="F12795" t="str">
            <v>Primary</v>
          </cell>
        </row>
        <row r="12796">
          <cell r="A12796">
            <v>8505400</v>
          </cell>
          <cell r="B12796">
            <v>116493</v>
          </cell>
          <cell r="C12796" t="str">
            <v>Hardley School and Sixth Form</v>
          </cell>
          <cell r="D12796" t="str">
            <v>Hampshire</v>
          </cell>
          <cell r="E12796" t="str">
            <v>Foundation School</v>
          </cell>
          <cell r="F12796" t="str">
            <v>Secondary</v>
          </cell>
        </row>
        <row r="12797">
          <cell r="A12797">
            <v>3537011</v>
          </cell>
          <cell r="B12797">
            <v>105755</v>
          </cell>
          <cell r="C12797" t="str">
            <v>Hardman Fold Community Special School</v>
          </cell>
          <cell r="D12797" t="str">
            <v>Oldham</v>
          </cell>
          <cell r="E12797" t="str">
            <v>Community Special School</v>
          </cell>
          <cell r="F12797" t="str">
            <v>Special</v>
          </cell>
        </row>
        <row r="12798">
          <cell r="A12798">
            <v>9172466</v>
          </cell>
          <cell r="B12798">
            <v>129004</v>
          </cell>
          <cell r="C12798" t="str">
            <v>Hardmoor Copse First School</v>
          </cell>
          <cell r="D12798" t="str">
            <v>Pre LGR (1997) Hampshire</v>
          </cell>
          <cell r="E12798" t="str">
            <v>Community School</v>
          </cell>
          <cell r="F12798" t="str">
            <v>Primary</v>
          </cell>
        </row>
        <row r="12799">
          <cell r="A12799">
            <v>8521002</v>
          </cell>
          <cell r="B12799">
            <v>115831</v>
          </cell>
          <cell r="C12799" t="str">
            <v>Hardmoor Early Years Centre</v>
          </cell>
          <cell r="D12799" t="str">
            <v>Southampton</v>
          </cell>
          <cell r="E12799" t="str">
            <v>LA Nursery School</v>
          </cell>
          <cell r="F12799" t="str">
            <v>Nursery</v>
          </cell>
        </row>
        <row r="12800">
          <cell r="A12800">
            <v>8732315</v>
          </cell>
          <cell r="B12800">
            <v>110748</v>
          </cell>
          <cell r="C12800" t="str">
            <v>Hardwick Community Primary School</v>
          </cell>
          <cell r="D12800" t="str">
            <v>Cambridgeshire</v>
          </cell>
          <cell r="E12800" t="str">
            <v>Community School</v>
          </cell>
          <cell r="F12800" t="str">
            <v>Primary</v>
          </cell>
        </row>
        <row r="12801">
          <cell r="A12801">
            <v>8082051</v>
          </cell>
          <cell r="B12801">
            <v>111547</v>
          </cell>
          <cell r="C12801" t="str">
            <v>Hardwick Green Primary School</v>
          </cell>
          <cell r="D12801" t="str">
            <v>Stockton-on-Tees</v>
          </cell>
          <cell r="E12801" t="str">
            <v>Community School</v>
          </cell>
          <cell r="F12801" t="str">
            <v>Primary</v>
          </cell>
        </row>
        <row r="12802">
          <cell r="A12802">
            <v>8312416</v>
          </cell>
          <cell r="B12802">
            <v>112722</v>
          </cell>
          <cell r="C12802" t="str">
            <v>Hardwick Infant and Nursery School</v>
          </cell>
          <cell r="D12802" t="str">
            <v>Derby</v>
          </cell>
          <cell r="E12802" t="str">
            <v>Community School</v>
          </cell>
          <cell r="F12802" t="str">
            <v>Primary</v>
          </cell>
        </row>
        <row r="12803">
          <cell r="A12803">
            <v>8312415</v>
          </cell>
          <cell r="B12803">
            <v>112721</v>
          </cell>
          <cell r="C12803" t="str">
            <v>Hardwick Junior School</v>
          </cell>
          <cell r="D12803" t="str">
            <v>Derby</v>
          </cell>
          <cell r="E12803" t="str">
            <v>Community School</v>
          </cell>
          <cell r="F12803" t="str">
            <v>Primary</v>
          </cell>
        </row>
        <row r="12804">
          <cell r="A12804">
            <v>9282138</v>
          </cell>
          <cell r="B12804">
            <v>121898</v>
          </cell>
          <cell r="C12804" t="str">
            <v>Hardwick Junior School</v>
          </cell>
          <cell r="D12804" t="str">
            <v>Northamptonshire</v>
          </cell>
          <cell r="E12804" t="str">
            <v>Community School</v>
          </cell>
          <cell r="F12804" t="str">
            <v>Primary</v>
          </cell>
        </row>
        <row r="12805">
          <cell r="A12805">
            <v>9354089</v>
          </cell>
          <cell r="B12805">
            <v>124839</v>
          </cell>
          <cell r="C12805" t="str">
            <v>Hardwick Middle School</v>
          </cell>
          <cell r="D12805" t="str">
            <v>Suffolk</v>
          </cell>
          <cell r="E12805" t="str">
            <v>Community School</v>
          </cell>
          <cell r="F12805" t="str">
            <v>Middle Deemed Secondary</v>
          </cell>
        </row>
        <row r="12806">
          <cell r="A12806">
            <v>9312060</v>
          </cell>
          <cell r="B12806">
            <v>122999</v>
          </cell>
          <cell r="C12806" t="str">
            <v>Hardwick Primary School</v>
          </cell>
          <cell r="D12806" t="str">
            <v>Oxfordshire</v>
          </cell>
          <cell r="E12806" t="str">
            <v>Community School</v>
          </cell>
          <cell r="F12806" t="str">
            <v>Primary</v>
          </cell>
        </row>
        <row r="12807">
          <cell r="A12807">
            <v>9352045</v>
          </cell>
          <cell r="B12807">
            <v>124561</v>
          </cell>
          <cell r="C12807" t="str">
            <v>Hardwick Primary School</v>
          </cell>
          <cell r="D12807" t="str">
            <v>Suffolk</v>
          </cell>
          <cell r="E12807" t="str">
            <v>Community School</v>
          </cell>
          <cell r="F12807" t="str">
            <v>Primary</v>
          </cell>
        </row>
        <row r="12808">
          <cell r="A12808">
            <v>8313544</v>
          </cell>
          <cell r="B12808">
            <v>134629</v>
          </cell>
          <cell r="C12808" t="str">
            <v>Hardwick Primary School</v>
          </cell>
          <cell r="D12808" t="str">
            <v>Derby</v>
          </cell>
          <cell r="E12808" t="str">
            <v>Community School</v>
          </cell>
          <cell r="F12808" t="str">
            <v>Primary</v>
          </cell>
        </row>
        <row r="12809">
          <cell r="A12809">
            <v>9163326</v>
          </cell>
          <cell r="B12809">
            <v>115684</v>
          </cell>
          <cell r="C12809" t="str">
            <v>Hardwicke Parochial Primary School</v>
          </cell>
          <cell r="D12809" t="str">
            <v>Gloucestershire</v>
          </cell>
          <cell r="E12809" t="str">
            <v>Voluntary Aided School</v>
          </cell>
          <cell r="F12809" t="str">
            <v>Primary</v>
          </cell>
        </row>
        <row r="12810">
          <cell r="A12810">
            <v>3502065</v>
          </cell>
          <cell r="B12810">
            <v>105189</v>
          </cell>
          <cell r="C12810" t="str">
            <v>Hardy Mill Primary School</v>
          </cell>
          <cell r="D12810" t="str">
            <v>Bolton</v>
          </cell>
          <cell r="E12810" t="str">
            <v>Community School</v>
          </cell>
          <cell r="F12810" t="str">
            <v>Primary</v>
          </cell>
        </row>
        <row r="12811">
          <cell r="A12811">
            <v>9124602</v>
          </cell>
          <cell r="B12811">
            <v>128790</v>
          </cell>
          <cell r="C12811" t="str">
            <v>Hardyes School</v>
          </cell>
          <cell r="D12811" t="str">
            <v>Pre LGR (1997) Dorset</v>
          </cell>
          <cell r="E12811" t="str">
            <v>Voluntary Aided School</v>
          </cell>
          <cell r="F12811" t="str">
            <v>Secondary</v>
          </cell>
        </row>
        <row r="12812">
          <cell r="A12812">
            <v>3572007</v>
          </cell>
          <cell r="B12812">
            <v>106182</v>
          </cell>
          <cell r="C12812" t="str">
            <v>Hare Hill Primary School</v>
          </cell>
          <cell r="D12812" t="str">
            <v>Tameside</v>
          </cell>
          <cell r="E12812" t="str">
            <v>Community School</v>
          </cell>
          <cell r="F12812" t="str">
            <v>Primary</v>
          </cell>
        </row>
        <row r="12813">
          <cell r="A12813">
            <v>8407013</v>
          </cell>
          <cell r="B12813">
            <v>114340</v>
          </cell>
          <cell r="C12813" t="str">
            <v>Hare Law School</v>
          </cell>
          <cell r="D12813" t="str">
            <v>Durham</v>
          </cell>
          <cell r="E12813" t="str">
            <v>Community Special School</v>
          </cell>
          <cell r="F12813" t="str">
            <v>Special</v>
          </cell>
        </row>
        <row r="12814">
          <cell r="A12814">
            <v>8813254</v>
          </cell>
          <cell r="B12814">
            <v>133255</v>
          </cell>
          <cell r="C12814" t="str">
            <v>Hare Street Community Primary School and Nursery</v>
          </cell>
          <cell r="D12814" t="str">
            <v>Essex</v>
          </cell>
          <cell r="E12814" t="str">
            <v>Community School</v>
          </cell>
          <cell r="F12814" t="str">
            <v>Primary</v>
          </cell>
        </row>
        <row r="12815">
          <cell r="A12815">
            <v>8812713</v>
          </cell>
          <cell r="B12815">
            <v>114965</v>
          </cell>
          <cell r="C12815" t="str">
            <v>Hare Street Infant and Nursery School</v>
          </cell>
          <cell r="D12815" t="str">
            <v>Essex</v>
          </cell>
          <cell r="E12815" t="str">
            <v>Community School</v>
          </cell>
          <cell r="F12815" t="str">
            <v>Primary</v>
          </cell>
        </row>
        <row r="12816">
          <cell r="A12816">
            <v>8812703</v>
          </cell>
          <cell r="B12816">
            <v>114960</v>
          </cell>
          <cell r="C12816" t="str">
            <v>Hare Street Junior School</v>
          </cell>
          <cell r="D12816" t="str">
            <v>Essex</v>
          </cell>
          <cell r="E12816" t="str">
            <v>Community School</v>
          </cell>
          <cell r="F12816" t="str">
            <v>Primary</v>
          </cell>
        </row>
        <row r="12817">
          <cell r="A12817">
            <v>8012321</v>
          </cell>
          <cell r="B12817">
            <v>109125</v>
          </cell>
          <cell r="C12817" t="str">
            <v>Hareclive Primary School</v>
          </cell>
          <cell r="D12817" t="str">
            <v>Bristol City of</v>
          </cell>
          <cell r="E12817" t="str">
            <v>Community School</v>
          </cell>
          <cell r="F12817" t="str">
            <v>Primary</v>
          </cell>
        </row>
        <row r="12818">
          <cell r="A12818">
            <v>9096002</v>
          </cell>
          <cell r="B12818">
            <v>112443</v>
          </cell>
          <cell r="C12818" t="str">
            <v>Harecroft Hall School</v>
          </cell>
          <cell r="D12818" t="str">
            <v>Cumbria</v>
          </cell>
          <cell r="E12818" t="str">
            <v>Other Independent School</v>
          </cell>
          <cell r="F12818" t="str">
            <v>Not applicable</v>
          </cell>
        </row>
        <row r="12819">
          <cell r="A12819">
            <v>3122024</v>
          </cell>
          <cell r="B12819">
            <v>102382</v>
          </cell>
          <cell r="C12819" t="str">
            <v>Harefield Infant School</v>
          </cell>
          <cell r="D12819" t="str">
            <v>Hillingdon</v>
          </cell>
          <cell r="E12819" t="str">
            <v>Community School</v>
          </cell>
          <cell r="F12819" t="str">
            <v>Primary</v>
          </cell>
        </row>
        <row r="12820">
          <cell r="A12820">
            <v>8522415</v>
          </cell>
          <cell r="B12820">
            <v>116095</v>
          </cell>
          <cell r="C12820" t="str">
            <v>Harefield Infant School</v>
          </cell>
          <cell r="D12820" t="str">
            <v>Southampton</v>
          </cell>
          <cell r="E12820" t="str">
            <v>Community School</v>
          </cell>
          <cell r="F12820" t="str">
            <v>Primary</v>
          </cell>
        </row>
        <row r="12821">
          <cell r="A12821">
            <v>3122023</v>
          </cell>
          <cell r="B12821">
            <v>102381</v>
          </cell>
          <cell r="C12821" t="str">
            <v>Harefield Junior School</v>
          </cell>
          <cell r="D12821" t="str">
            <v>Hillingdon</v>
          </cell>
          <cell r="E12821" t="str">
            <v>Community School</v>
          </cell>
          <cell r="F12821" t="str">
            <v>Primary</v>
          </cell>
        </row>
        <row r="12822">
          <cell r="A12822">
            <v>8522414</v>
          </cell>
          <cell r="B12822">
            <v>116094</v>
          </cell>
          <cell r="C12822" t="str">
            <v>Harefield Junior School</v>
          </cell>
          <cell r="D12822" t="str">
            <v>Southampton</v>
          </cell>
          <cell r="E12822" t="str">
            <v>Community School</v>
          </cell>
          <cell r="F12822" t="str">
            <v>Primary</v>
          </cell>
        </row>
        <row r="12823">
          <cell r="A12823">
            <v>8523659</v>
          </cell>
          <cell r="B12823">
            <v>128091</v>
          </cell>
          <cell r="C12823" t="str">
            <v>Harefield Primary School</v>
          </cell>
          <cell r="D12823" t="str">
            <v>Southampton</v>
          </cell>
          <cell r="E12823" t="str">
            <v>Community School</v>
          </cell>
          <cell r="F12823" t="str">
            <v>Primary</v>
          </cell>
        </row>
        <row r="12824">
          <cell r="A12824">
            <v>3834300</v>
          </cell>
          <cell r="B12824">
            <v>127995</v>
          </cell>
          <cell r="C12824" t="str">
            <v>Harehills Middle School</v>
          </cell>
          <cell r="D12824" t="str">
            <v>Leeds</v>
          </cell>
          <cell r="E12824" t="str">
            <v>Community School</v>
          </cell>
          <cell r="F12824" t="str">
            <v>Middle Deemed Secondary</v>
          </cell>
        </row>
        <row r="12825">
          <cell r="A12825">
            <v>3832449</v>
          </cell>
          <cell r="B12825">
            <v>107925</v>
          </cell>
          <cell r="C12825" t="str">
            <v>Harehills Primary School</v>
          </cell>
          <cell r="D12825" t="str">
            <v>Leeds</v>
          </cell>
          <cell r="E12825" t="str">
            <v>Community School</v>
          </cell>
          <cell r="F12825" t="str">
            <v>Primary</v>
          </cell>
        </row>
        <row r="12826">
          <cell r="A12826">
            <v>3832090</v>
          </cell>
          <cell r="B12826">
            <v>127826</v>
          </cell>
          <cell r="C12826" t="str">
            <v>Haremills First School</v>
          </cell>
          <cell r="D12826" t="str">
            <v>Leeds</v>
          </cell>
          <cell r="E12826" t="str">
            <v>Community School</v>
          </cell>
          <cell r="F12826" t="str">
            <v>Primary</v>
          </cell>
        </row>
        <row r="12827">
          <cell r="A12827">
            <v>3036059</v>
          </cell>
          <cell r="B12827">
            <v>101483</v>
          </cell>
          <cell r="C12827" t="str">
            <v>Harenc School</v>
          </cell>
          <cell r="D12827" t="str">
            <v>Bexley</v>
          </cell>
          <cell r="E12827" t="str">
            <v>Other Independent School</v>
          </cell>
          <cell r="F12827" t="str">
            <v>Not applicable</v>
          </cell>
        </row>
        <row r="12828">
          <cell r="A12828">
            <v>9163039</v>
          </cell>
          <cell r="B12828">
            <v>115626</v>
          </cell>
          <cell r="C12828" t="str">
            <v>Haresfield Church of England Primary School</v>
          </cell>
          <cell r="D12828" t="str">
            <v>Gloucestershire</v>
          </cell>
          <cell r="E12828" t="str">
            <v>Voluntary Controlled School</v>
          </cell>
          <cell r="F12828" t="str">
            <v>Primary</v>
          </cell>
        </row>
        <row r="12829">
          <cell r="A12829">
            <v>9196227</v>
          </cell>
          <cell r="B12829">
            <v>117653</v>
          </cell>
          <cell r="C12829" t="str">
            <v>Haresfoot School</v>
          </cell>
          <cell r="D12829" t="str">
            <v>Hertfordshire</v>
          </cell>
          <cell r="E12829" t="str">
            <v>Other Independent School</v>
          </cell>
          <cell r="F12829" t="str">
            <v>Not applicable</v>
          </cell>
        </row>
        <row r="12830">
          <cell r="A12830">
            <v>9196230</v>
          </cell>
          <cell r="B12830">
            <v>117656</v>
          </cell>
          <cell r="C12830" t="str">
            <v>Haresfoot Senior School</v>
          </cell>
          <cell r="D12830" t="str">
            <v>Hertfordshire</v>
          </cell>
          <cell r="E12830" t="str">
            <v>Other Independent School</v>
          </cell>
          <cell r="F12830" t="str">
            <v>Not applicable</v>
          </cell>
        </row>
        <row r="12831">
          <cell r="A12831">
            <v>9292529</v>
          </cell>
          <cell r="B12831">
            <v>122268</v>
          </cell>
          <cell r="C12831" t="str">
            <v>Hareside Primary School</v>
          </cell>
          <cell r="D12831" t="str">
            <v>Northumberland</v>
          </cell>
          <cell r="E12831" t="str">
            <v>Community School</v>
          </cell>
          <cell r="F12831" t="str">
            <v>Primary</v>
          </cell>
        </row>
        <row r="12832">
          <cell r="A12832">
            <v>9172232</v>
          </cell>
          <cell r="B12832">
            <v>128985</v>
          </cell>
          <cell r="C12832" t="str">
            <v>Harestock County Junior School</v>
          </cell>
          <cell r="D12832" t="str">
            <v>Pre LGR (1997) Hampshire</v>
          </cell>
          <cell r="E12832" t="str">
            <v>Community School</v>
          </cell>
          <cell r="F12832" t="str">
            <v>Primary</v>
          </cell>
        </row>
        <row r="12833">
          <cell r="A12833">
            <v>8502736</v>
          </cell>
          <cell r="B12833">
            <v>116241</v>
          </cell>
          <cell r="C12833" t="str">
            <v>Harestock Primary School</v>
          </cell>
          <cell r="D12833" t="str">
            <v>Hampshire</v>
          </cell>
          <cell r="E12833" t="str">
            <v>Community School</v>
          </cell>
          <cell r="F12833" t="str">
            <v>Primary</v>
          </cell>
        </row>
        <row r="12834">
          <cell r="A12834">
            <v>3841002</v>
          </cell>
          <cell r="B12834">
            <v>108134</v>
          </cell>
          <cell r="C12834" t="str">
            <v>Harewood Centre Nursery School</v>
          </cell>
          <cell r="D12834" t="str">
            <v>Wakefield</v>
          </cell>
          <cell r="E12834" t="str">
            <v>LA Nursery School</v>
          </cell>
          <cell r="F12834" t="str">
            <v>Nursery</v>
          </cell>
        </row>
        <row r="12835">
          <cell r="A12835">
            <v>3833037</v>
          </cell>
          <cell r="B12835">
            <v>107989</v>
          </cell>
          <cell r="C12835" t="str">
            <v>Harewood Church of England Voluntary Controlled Primary School</v>
          </cell>
          <cell r="D12835" t="str">
            <v>Leeds</v>
          </cell>
          <cell r="E12835" t="str">
            <v>Voluntary Controlled School</v>
          </cell>
          <cell r="F12835" t="str">
            <v>Primary</v>
          </cell>
        </row>
        <row r="12836">
          <cell r="A12836">
            <v>8082074</v>
          </cell>
          <cell r="B12836">
            <v>111558</v>
          </cell>
          <cell r="C12836" t="str">
            <v>Harewood Infant School</v>
          </cell>
          <cell r="D12836" t="str">
            <v>Stockton-on-Tees</v>
          </cell>
          <cell r="E12836" t="str">
            <v>Community School</v>
          </cell>
          <cell r="F12836" t="str">
            <v>Primary</v>
          </cell>
        </row>
        <row r="12837">
          <cell r="A12837">
            <v>9162025</v>
          </cell>
          <cell r="B12837">
            <v>115491</v>
          </cell>
          <cell r="C12837" t="str">
            <v>Harewood Infant School</v>
          </cell>
          <cell r="D12837" t="str">
            <v>Gloucestershire</v>
          </cell>
          <cell r="E12837" t="str">
            <v>Community School</v>
          </cell>
          <cell r="F12837" t="str">
            <v>Primary</v>
          </cell>
        </row>
        <row r="12838">
          <cell r="A12838">
            <v>8082070</v>
          </cell>
          <cell r="B12838">
            <v>111555</v>
          </cell>
          <cell r="C12838" t="str">
            <v>Harewood Junior School</v>
          </cell>
          <cell r="D12838" t="str">
            <v>Stockton-on-Tees</v>
          </cell>
          <cell r="E12838" t="str">
            <v>Community School</v>
          </cell>
          <cell r="F12838" t="str">
            <v>Primary</v>
          </cell>
        </row>
        <row r="12839">
          <cell r="A12839">
            <v>9162026</v>
          </cell>
          <cell r="B12839">
            <v>115492</v>
          </cell>
          <cell r="C12839" t="str">
            <v>Harewood Junior School</v>
          </cell>
          <cell r="D12839" t="str">
            <v>Gloucestershire</v>
          </cell>
          <cell r="E12839" t="str">
            <v>Foundation School</v>
          </cell>
          <cell r="F12839" t="str">
            <v>Primary</v>
          </cell>
        </row>
        <row r="12840">
          <cell r="A12840">
            <v>3842059</v>
          </cell>
          <cell r="B12840">
            <v>108151</v>
          </cell>
          <cell r="C12840" t="str">
            <v>Harewood Lane First School</v>
          </cell>
          <cell r="D12840" t="str">
            <v>Wakefield</v>
          </cell>
          <cell r="E12840" t="str">
            <v>Community School</v>
          </cell>
          <cell r="F12840" t="str">
            <v>Primary</v>
          </cell>
        </row>
        <row r="12841">
          <cell r="A12841">
            <v>8083395</v>
          </cell>
          <cell r="B12841">
            <v>134853</v>
          </cell>
          <cell r="C12841" t="str">
            <v>Harewood Primary School</v>
          </cell>
          <cell r="D12841" t="str">
            <v>Stockton-on-Tees</v>
          </cell>
          <cell r="E12841" t="str">
            <v>Community School</v>
          </cell>
          <cell r="F12841" t="str">
            <v>Primary</v>
          </cell>
        </row>
        <row r="12842">
          <cell r="A12842">
            <v>9267016</v>
          </cell>
          <cell r="B12842">
            <v>121264</v>
          </cell>
          <cell r="C12842" t="str">
            <v>Harford Manor School, Norwich</v>
          </cell>
          <cell r="D12842" t="str">
            <v>Norfolk</v>
          </cell>
          <cell r="E12842" t="str">
            <v>Community Special School</v>
          </cell>
          <cell r="F12842" t="str">
            <v>Special</v>
          </cell>
        </row>
        <row r="12843">
          <cell r="A12843">
            <v>3332041</v>
          </cell>
          <cell r="B12843">
            <v>103905</v>
          </cell>
          <cell r="C12843" t="str">
            <v>Hargate Primary School</v>
          </cell>
          <cell r="D12843" t="str">
            <v>Sandwell</v>
          </cell>
          <cell r="E12843" t="str">
            <v>Community School</v>
          </cell>
          <cell r="F12843" t="str">
            <v>Primary</v>
          </cell>
        </row>
        <row r="12844">
          <cell r="A12844">
            <v>2062282</v>
          </cell>
          <cell r="B12844">
            <v>100408</v>
          </cell>
          <cell r="C12844" t="str">
            <v>Hargrave Park Primary School</v>
          </cell>
          <cell r="D12844" t="str">
            <v>Islington</v>
          </cell>
          <cell r="E12844" t="str">
            <v>Community School</v>
          </cell>
          <cell r="F12844" t="str">
            <v>Primary</v>
          </cell>
        </row>
        <row r="12845">
          <cell r="A12845">
            <v>3091100</v>
          </cell>
          <cell r="B12845">
            <v>102075</v>
          </cell>
          <cell r="C12845" t="str">
            <v>Haringey Pupil Referral Unit</v>
          </cell>
          <cell r="D12845" t="str">
            <v>Haringey</v>
          </cell>
          <cell r="E12845" t="str">
            <v>Pupil Referral Unit</v>
          </cell>
          <cell r="F12845" t="str">
            <v>PRU</v>
          </cell>
        </row>
        <row r="12846">
          <cell r="A12846">
            <v>3094704</v>
          </cell>
          <cell r="B12846">
            <v>134163</v>
          </cell>
          <cell r="C12846" t="str">
            <v>Haringey Sixth Form Centre</v>
          </cell>
          <cell r="D12846" t="str">
            <v>Haringey</v>
          </cell>
          <cell r="E12846" t="str">
            <v>Community School</v>
          </cell>
          <cell r="F12846" t="str">
            <v>16 Plus</v>
          </cell>
        </row>
        <row r="12847">
          <cell r="A12847">
            <v>3152080</v>
          </cell>
          <cell r="B12847">
            <v>102651</v>
          </cell>
          <cell r="C12847" t="str">
            <v>Harland First School</v>
          </cell>
          <cell r="D12847" t="str">
            <v>Merton</v>
          </cell>
          <cell r="E12847" t="str">
            <v>Community School</v>
          </cell>
          <cell r="F12847" t="str">
            <v>Primary</v>
          </cell>
        </row>
        <row r="12848">
          <cell r="A12848">
            <v>9382212</v>
          </cell>
          <cell r="B12848">
            <v>125938</v>
          </cell>
          <cell r="C12848" t="str">
            <v>Harlands Primary School</v>
          </cell>
          <cell r="D12848" t="str">
            <v>West Sussex</v>
          </cell>
          <cell r="E12848" t="str">
            <v>Community School</v>
          </cell>
          <cell r="F12848" t="str">
            <v>Primary</v>
          </cell>
        </row>
        <row r="12849">
          <cell r="A12849">
            <v>8452166</v>
          </cell>
          <cell r="B12849">
            <v>130954</v>
          </cell>
          <cell r="C12849" t="str">
            <v>Harlands Primary School</v>
          </cell>
          <cell r="D12849" t="str">
            <v>East Sussex</v>
          </cell>
          <cell r="E12849" t="str">
            <v>Community School</v>
          </cell>
          <cell r="F12849" t="str">
            <v>Primary</v>
          </cell>
        </row>
        <row r="12850">
          <cell r="A12850">
            <v>8932090</v>
          </cell>
          <cell r="B12850">
            <v>123393</v>
          </cell>
          <cell r="C12850" t="str">
            <v>Harlescott Junior School</v>
          </cell>
          <cell r="D12850" t="str">
            <v>Shropshire</v>
          </cell>
          <cell r="E12850" t="str">
            <v>Community School</v>
          </cell>
          <cell r="F12850" t="str">
            <v>Primary</v>
          </cell>
        </row>
        <row r="12851">
          <cell r="A12851">
            <v>3042017</v>
          </cell>
          <cell r="B12851">
            <v>101499</v>
          </cell>
          <cell r="C12851" t="str">
            <v>Harlesden Primary School</v>
          </cell>
          <cell r="D12851" t="str">
            <v>Brent</v>
          </cell>
          <cell r="E12851" t="str">
            <v>Community School</v>
          </cell>
          <cell r="F12851" t="str">
            <v>Primary</v>
          </cell>
        </row>
        <row r="12852">
          <cell r="A12852">
            <v>9262008</v>
          </cell>
          <cell r="B12852">
            <v>134049</v>
          </cell>
          <cell r="C12852" t="str">
            <v>Harleston CofE VA Primary School</v>
          </cell>
          <cell r="D12852" t="str">
            <v>Norfolk</v>
          </cell>
          <cell r="E12852" t="str">
            <v>Voluntary Aided School</v>
          </cell>
          <cell r="F12852" t="str">
            <v>Primary</v>
          </cell>
        </row>
        <row r="12853">
          <cell r="A12853">
            <v>9263353</v>
          </cell>
          <cell r="B12853">
            <v>121124</v>
          </cell>
          <cell r="C12853" t="str">
            <v>Harleston, Dove Church of England Voluntary Aided First School</v>
          </cell>
          <cell r="D12853" t="str">
            <v>Norfolk</v>
          </cell>
          <cell r="E12853" t="str">
            <v>Voluntary Aided School</v>
          </cell>
          <cell r="F12853" t="str">
            <v>Primary</v>
          </cell>
        </row>
        <row r="12854">
          <cell r="A12854">
            <v>9282046</v>
          </cell>
          <cell r="B12854">
            <v>121826</v>
          </cell>
          <cell r="C12854" t="str">
            <v>Harlestone Primary School</v>
          </cell>
          <cell r="D12854" t="str">
            <v>Northamptonshire</v>
          </cell>
          <cell r="E12854" t="str">
            <v>Community School</v>
          </cell>
          <cell r="F12854" t="str">
            <v>Primary</v>
          </cell>
        </row>
        <row r="12855">
          <cell r="A12855">
            <v>3125411</v>
          </cell>
          <cell r="B12855">
            <v>102451</v>
          </cell>
          <cell r="C12855" t="str">
            <v>Harlington Community School</v>
          </cell>
          <cell r="D12855" t="str">
            <v>Hillingdon</v>
          </cell>
          <cell r="E12855" t="str">
            <v>Foundation School</v>
          </cell>
          <cell r="F12855" t="str">
            <v>Secondary</v>
          </cell>
        </row>
        <row r="12856">
          <cell r="A12856">
            <v>8232180</v>
          </cell>
          <cell r="B12856">
            <v>109511</v>
          </cell>
          <cell r="C12856" t="str">
            <v>Harlington Lower School</v>
          </cell>
          <cell r="D12856" t="str">
            <v>Central Bedfordshire</v>
          </cell>
          <cell r="E12856" t="str">
            <v>Community School</v>
          </cell>
          <cell r="F12856" t="str">
            <v>Primary</v>
          </cell>
        </row>
        <row r="12857">
          <cell r="A12857">
            <v>8234083</v>
          </cell>
          <cell r="B12857">
            <v>109673</v>
          </cell>
          <cell r="C12857" t="str">
            <v>Harlington Upper School</v>
          </cell>
          <cell r="D12857" t="str">
            <v>Central Bedfordshire</v>
          </cell>
          <cell r="E12857" t="str">
            <v>Foundation School</v>
          </cell>
          <cell r="F12857" t="str">
            <v>Secondary</v>
          </cell>
        </row>
        <row r="12858">
          <cell r="A12858">
            <v>8818016</v>
          </cell>
          <cell r="B12858">
            <v>130676</v>
          </cell>
          <cell r="C12858" t="str">
            <v>Harlow College</v>
          </cell>
          <cell r="D12858" t="str">
            <v>Essex</v>
          </cell>
          <cell r="E12858" t="str">
            <v>Further Education</v>
          </cell>
          <cell r="F12858" t="str">
            <v>16 Plus</v>
          </cell>
        </row>
        <row r="12859">
          <cell r="A12859">
            <v>8817070</v>
          </cell>
          <cell r="B12859">
            <v>131838</v>
          </cell>
          <cell r="C12859" t="str">
            <v>Harlow Fields School and College</v>
          </cell>
          <cell r="D12859" t="str">
            <v>Essex</v>
          </cell>
          <cell r="E12859" t="str">
            <v>Community Special School</v>
          </cell>
          <cell r="F12859" t="str">
            <v>Special</v>
          </cell>
        </row>
        <row r="12860">
          <cell r="A12860">
            <v>3902052</v>
          </cell>
          <cell r="B12860">
            <v>108331</v>
          </cell>
          <cell r="C12860" t="str">
            <v>Harlow Green Community Infant School</v>
          </cell>
          <cell r="D12860" t="str">
            <v>Gateshead</v>
          </cell>
          <cell r="E12860" t="str">
            <v>Community School</v>
          </cell>
          <cell r="F12860" t="str">
            <v>Primary</v>
          </cell>
        </row>
        <row r="12861">
          <cell r="A12861">
            <v>3902238</v>
          </cell>
          <cell r="B12861">
            <v>131077</v>
          </cell>
          <cell r="C12861" t="str">
            <v>Harlow Green Community Primary School</v>
          </cell>
          <cell r="D12861" t="str">
            <v>Gateshead</v>
          </cell>
          <cell r="E12861" t="str">
            <v>Community School</v>
          </cell>
          <cell r="F12861" t="str">
            <v>Primary</v>
          </cell>
        </row>
        <row r="12862">
          <cell r="A12862">
            <v>3902010</v>
          </cell>
          <cell r="B12862">
            <v>108322</v>
          </cell>
          <cell r="C12862" t="str">
            <v>Harlow Green Junior School</v>
          </cell>
          <cell r="D12862" t="str">
            <v>Gateshead</v>
          </cell>
          <cell r="E12862" t="str">
            <v>Community School</v>
          </cell>
          <cell r="F12862" t="str">
            <v>Primary</v>
          </cell>
        </row>
        <row r="12863">
          <cell r="A12863">
            <v>8811100</v>
          </cell>
          <cell r="B12863">
            <v>114700</v>
          </cell>
          <cell r="C12863" t="str">
            <v>Harlow Pupil Referral Unit (West Support Centre)</v>
          </cell>
          <cell r="D12863" t="str">
            <v>Essex</v>
          </cell>
          <cell r="E12863" t="str">
            <v>Pupil Referral Unit</v>
          </cell>
          <cell r="F12863" t="str">
            <v>PRU</v>
          </cell>
        </row>
        <row r="12864">
          <cell r="A12864">
            <v>9307002</v>
          </cell>
          <cell r="B12864">
            <v>129737</v>
          </cell>
          <cell r="C12864" t="str">
            <v>Harlow Wood Hospital School</v>
          </cell>
          <cell r="D12864" t="str">
            <v>Pre LGR (1998) Nottinghamshire</v>
          </cell>
          <cell r="E12864" t="str">
            <v>Community Special School</v>
          </cell>
          <cell r="F12864" t="str">
            <v>Special</v>
          </cell>
        </row>
        <row r="12865">
          <cell r="A12865">
            <v>8812983</v>
          </cell>
          <cell r="B12865">
            <v>115056</v>
          </cell>
          <cell r="C12865" t="str">
            <v>Harlowbury Primary School</v>
          </cell>
          <cell r="D12865" t="str">
            <v>Essex</v>
          </cell>
          <cell r="E12865" t="str">
            <v>Community School</v>
          </cell>
          <cell r="F12865" t="str">
            <v>Primary</v>
          </cell>
        </row>
        <row r="12866">
          <cell r="A12866">
            <v>3122025</v>
          </cell>
          <cell r="B12866">
            <v>102383</v>
          </cell>
          <cell r="C12866" t="str">
            <v>Harlyn Primary School</v>
          </cell>
          <cell r="D12866" t="str">
            <v>Hillingdon</v>
          </cell>
          <cell r="E12866" t="str">
            <v>Community School</v>
          </cell>
          <cell r="F12866" t="str">
            <v>Primary</v>
          </cell>
        </row>
        <row r="12867">
          <cell r="A12867">
            <v>9032117</v>
          </cell>
          <cell r="B12867">
            <v>109851</v>
          </cell>
          <cell r="C12867" t="str">
            <v>Harmans Water Infant School</v>
          </cell>
          <cell r="D12867" t="str">
            <v>Pre LGR (1998) Berkshire</v>
          </cell>
          <cell r="E12867" t="str">
            <v>Community School</v>
          </cell>
          <cell r="F12867" t="str">
            <v>Primary</v>
          </cell>
        </row>
        <row r="12868">
          <cell r="A12868">
            <v>9032061</v>
          </cell>
          <cell r="B12868">
            <v>109808</v>
          </cell>
          <cell r="C12868" t="str">
            <v>Harmans Water Junior School</v>
          </cell>
          <cell r="D12868" t="str">
            <v>Pre LGR (1998) Berkshire</v>
          </cell>
          <cell r="E12868" t="str">
            <v>Community School</v>
          </cell>
          <cell r="F12868" t="str">
            <v>Primary</v>
          </cell>
        </row>
        <row r="12869">
          <cell r="A12869">
            <v>8672254</v>
          </cell>
          <cell r="B12869">
            <v>130949</v>
          </cell>
          <cell r="C12869" t="str">
            <v>Harmans Water Primary School</v>
          </cell>
          <cell r="D12869" t="str">
            <v>Bracknell Forest</v>
          </cell>
          <cell r="E12869" t="str">
            <v>Community School</v>
          </cell>
          <cell r="F12869" t="str">
            <v>Primary</v>
          </cell>
        </row>
        <row r="12870">
          <cell r="A12870">
            <v>3122026</v>
          </cell>
          <cell r="B12870">
            <v>102384</v>
          </cell>
          <cell r="C12870" t="str">
            <v>Harmondsworth Primary School</v>
          </cell>
          <cell r="D12870" t="str">
            <v>Hillingdon</v>
          </cell>
          <cell r="E12870" t="str">
            <v>Community School</v>
          </cell>
          <cell r="F12870" t="str">
            <v>Primary</v>
          </cell>
        </row>
        <row r="12871">
          <cell r="A12871">
            <v>9257004</v>
          </cell>
          <cell r="B12871">
            <v>129602</v>
          </cell>
          <cell r="C12871" t="str">
            <v>Harmston Hall Hospital School</v>
          </cell>
          <cell r="D12871" t="str">
            <v>Lincolnshire</v>
          </cell>
          <cell r="E12871" t="str">
            <v>Community Special School</v>
          </cell>
          <cell r="F12871" t="str">
            <v>Special</v>
          </cell>
        </row>
        <row r="12872">
          <cell r="A12872">
            <v>8653158</v>
          </cell>
          <cell r="B12872">
            <v>126351</v>
          </cell>
          <cell r="C12872" t="str">
            <v>Harnham Church of England Controlled Junior School</v>
          </cell>
          <cell r="D12872" t="str">
            <v>Wiltshire</v>
          </cell>
          <cell r="E12872" t="str">
            <v>Voluntary Controlled School</v>
          </cell>
          <cell r="F12872" t="str">
            <v>Primary</v>
          </cell>
        </row>
        <row r="12873">
          <cell r="A12873">
            <v>8652091</v>
          </cell>
          <cell r="B12873">
            <v>126206</v>
          </cell>
          <cell r="C12873" t="str">
            <v>Harnham Infants' School</v>
          </cell>
          <cell r="D12873" t="str">
            <v>Wiltshire</v>
          </cell>
          <cell r="E12873" t="str">
            <v>Community School</v>
          </cell>
          <cell r="F12873" t="str">
            <v>Primary</v>
          </cell>
        </row>
        <row r="12874">
          <cell r="A12874">
            <v>3112017</v>
          </cell>
          <cell r="B12874">
            <v>102278</v>
          </cell>
          <cell r="C12874" t="str">
            <v>Harold Court Primary School</v>
          </cell>
          <cell r="D12874" t="str">
            <v>Havering</v>
          </cell>
          <cell r="E12874" t="str">
            <v>Community School</v>
          </cell>
          <cell r="F12874" t="str">
            <v>Primary</v>
          </cell>
        </row>
        <row r="12875">
          <cell r="A12875">
            <v>3417048</v>
          </cell>
          <cell r="B12875">
            <v>104746</v>
          </cell>
          <cell r="C12875" t="str">
            <v>Harold Magnay Special School</v>
          </cell>
          <cell r="D12875" t="str">
            <v>Liverpool</v>
          </cell>
          <cell r="E12875" t="str">
            <v>Community Special School</v>
          </cell>
          <cell r="F12875" t="str">
            <v>Special</v>
          </cell>
        </row>
        <row r="12876">
          <cell r="A12876">
            <v>6792270</v>
          </cell>
          <cell r="B12876">
            <v>401484</v>
          </cell>
          <cell r="C12876" t="str">
            <v>Harold Road Junior School &amp; Special Needs Unit</v>
          </cell>
          <cell r="D12876" t="str">
            <v>Monmouthshire</v>
          </cell>
          <cell r="E12876" t="str">
            <v>Welsh Establishment</v>
          </cell>
          <cell r="F12876" t="str">
            <v>Primary</v>
          </cell>
        </row>
        <row r="12877">
          <cell r="A12877">
            <v>3112005</v>
          </cell>
          <cell r="B12877">
            <v>102269</v>
          </cell>
          <cell r="C12877" t="str">
            <v>Harold Wood Primary School</v>
          </cell>
          <cell r="D12877" t="str">
            <v>Havering</v>
          </cell>
          <cell r="E12877" t="str">
            <v>Community School</v>
          </cell>
          <cell r="F12877" t="str">
            <v>Primary</v>
          </cell>
        </row>
        <row r="12878">
          <cell r="A12878">
            <v>9196091</v>
          </cell>
          <cell r="B12878">
            <v>117626</v>
          </cell>
          <cell r="C12878" t="str">
            <v>Harpenden Preparatory School</v>
          </cell>
          <cell r="D12878" t="str">
            <v>Hertfordshire</v>
          </cell>
          <cell r="E12878" t="str">
            <v>Other Independent School</v>
          </cell>
          <cell r="F12878" t="str">
            <v>Not applicable</v>
          </cell>
        </row>
        <row r="12879">
          <cell r="A12879">
            <v>8948390</v>
          </cell>
          <cell r="B12879">
            <v>133169</v>
          </cell>
          <cell r="C12879" t="str">
            <v>Harper Adams Agriculture College</v>
          </cell>
          <cell r="D12879" t="str">
            <v>Telford and Wrekin</v>
          </cell>
          <cell r="E12879" t="str">
            <v>Miscellaneous</v>
          </cell>
          <cell r="F12879" t="str">
            <v>Not applicable</v>
          </cell>
        </row>
        <row r="12880">
          <cell r="A12880">
            <v>894</v>
          </cell>
          <cell r="B12880">
            <v>133891</v>
          </cell>
          <cell r="C12880" t="str">
            <v>Harper Adams University College</v>
          </cell>
          <cell r="D12880" t="str">
            <v>Telford and Wrekin</v>
          </cell>
          <cell r="E12880" t="str">
            <v>Higher Education Institutions</v>
          </cell>
          <cell r="F12880" t="str">
            <v>Not applicable</v>
          </cell>
        </row>
        <row r="12881">
          <cell r="A12881">
            <v>3303436</v>
          </cell>
          <cell r="B12881">
            <v>136440</v>
          </cell>
          <cell r="C12881" t="str">
            <v>Harper Bell Seventh Day Adventist School</v>
          </cell>
          <cell r="D12881" t="str">
            <v>Birmingham</v>
          </cell>
          <cell r="E12881" t="str">
            <v>Voluntary Aided School</v>
          </cell>
          <cell r="F12881" t="str">
            <v>Primary</v>
          </cell>
        </row>
        <row r="12882">
          <cell r="A12882">
            <v>3504046</v>
          </cell>
          <cell r="B12882">
            <v>105257</v>
          </cell>
          <cell r="C12882" t="str">
            <v>Harper Green School</v>
          </cell>
          <cell r="D12882" t="str">
            <v>Bolton</v>
          </cell>
          <cell r="E12882" t="str">
            <v>Community School</v>
          </cell>
          <cell r="F12882" t="str">
            <v>Secondary</v>
          </cell>
        </row>
        <row r="12883">
          <cell r="A12883">
            <v>9197029</v>
          </cell>
          <cell r="B12883">
            <v>129184</v>
          </cell>
          <cell r="C12883" t="str">
            <v>Harperbury Hospital School</v>
          </cell>
          <cell r="D12883" t="str">
            <v>Hertfordshire</v>
          </cell>
          <cell r="E12883" t="str">
            <v>Community Special School</v>
          </cell>
          <cell r="F12883" t="str">
            <v>Special</v>
          </cell>
        </row>
        <row r="12884">
          <cell r="A12884">
            <v>8612057</v>
          </cell>
          <cell r="B12884">
            <v>123998</v>
          </cell>
          <cell r="C12884" t="str">
            <v>Harpfield Primary School</v>
          </cell>
          <cell r="D12884" t="str">
            <v>Stoke-on-Trent</v>
          </cell>
          <cell r="E12884" t="str">
            <v>Community School</v>
          </cell>
          <cell r="F12884" t="str">
            <v>Primary</v>
          </cell>
        </row>
        <row r="12885">
          <cell r="A12885">
            <v>9263133</v>
          </cell>
          <cell r="B12885">
            <v>121092</v>
          </cell>
          <cell r="C12885" t="str">
            <v>Harpley CofE VC Primary School</v>
          </cell>
          <cell r="D12885" t="str">
            <v>Norfolk</v>
          </cell>
          <cell r="E12885" t="str">
            <v>Voluntary Controlled School</v>
          </cell>
          <cell r="F12885" t="str">
            <v>Primary</v>
          </cell>
        </row>
        <row r="12886">
          <cell r="A12886">
            <v>2117055</v>
          </cell>
          <cell r="B12886">
            <v>100985</v>
          </cell>
          <cell r="C12886" t="str">
            <v>Harpley School</v>
          </cell>
          <cell r="D12886" t="str">
            <v>Tower Hamlets</v>
          </cell>
          <cell r="E12886" t="str">
            <v>Community Special School</v>
          </cell>
          <cell r="F12886" t="str">
            <v>Special</v>
          </cell>
        </row>
        <row r="12887">
          <cell r="A12887">
            <v>9283034</v>
          </cell>
          <cell r="B12887">
            <v>121976</v>
          </cell>
          <cell r="C12887" t="str">
            <v>Harpole Primary School</v>
          </cell>
          <cell r="D12887" t="str">
            <v>Northamptonshire</v>
          </cell>
          <cell r="E12887" t="str">
            <v>Voluntary Controlled School</v>
          </cell>
          <cell r="F12887" t="str">
            <v>Primary</v>
          </cell>
        </row>
        <row r="12888">
          <cell r="A12888">
            <v>9366575</v>
          </cell>
          <cell r="B12888">
            <v>130320</v>
          </cell>
          <cell r="C12888" t="str">
            <v>Harps Oak Independent School</v>
          </cell>
          <cell r="D12888" t="str">
            <v>Surrey</v>
          </cell>
          <cell r="E12888" t="str">
            <v>Other Independent Special School</v>
          </cell>
          <cell r="F12888" t="str">
            <v>Not applicable</v>
          </cell>
        </row>
        <row r="12889">
          <cell r="A12889">
            <v>9313201</v>
          </cell>
          <cell r="B12889">
            <v>123134</v>
          </cell>
          <cell r="C12889" t="str">
            <v>Harpsden Parochial School</v>
          </cell>
          <cell r="D12889" t="str">
            <v>Oxfordshire</v>
          </cell>
          <cell r="E12889" t="str">
            <v>Voluntary Controlled School</v>
          </cell>
          <cell r="F12889" t="str">
            <v>Primary</v>
          </cell>
        </row>
        <row r="12890">
          <cell r="A12890">
            <v>8302062</v>
          </cell>
          <cell r="B12890">
            <v>112523</v>
          </cell>
          <cell r="C12890" t="str">
            <v>Harpur Hill Primary School</v>
          </cell>
          <cell r="D12890" t="str">
            <v>Derbyshire</v>
          </cell>
          <cell r="E12890" t="str">
            <v>Community School</v>
          </cell>
          <cell r="F12890" t="str">
            <v>Primary</v>
          </cell>
        </row>
        <row r="12891">
          <cell r="A12891">
            <v>3522003</v>
          </cell>
          <cell r="B12891">
            <v>105388</v>
          </cell>
          <cell r="C12891" t="str">
            <v>Harpur Mount Primary School</v>
          </cell>
          <cell r="D12891" t="str">
            <v>Manchester</v>
          </cell>
          <cell r="E12891" t="str">
            <v>Community School</v>
          </cell>
          <cell r="F12891" t="str">
            <v>Primary</v>
          </cell>
        </row>
        <row r="12892">
          <cell r="A12892">
            <v>3524000</v>
          </cell>
          <cell r="B12892">
            <v>137496</v>
          </cell>
          <cell r="C12892" t="str">
            <v>Harpurhey Studio School</v>
          </cell>
          <cell r="D12892" t="str">
            <v>Manchester</v>
          </cell>
          <cell r="E12892" t="str">
            <v>Academy Sponsor Led</v>
          </cell>
          <cell r="F12892" t="str">
            <v>Secondary</v>
          </cell>
        </row>
        <row r="12893">
          <cell r="A12893">
            <v>3942152</v>
          </cell>
          <cell r="B12893">
            <v>108815</v>
          </cell>
          <cell r="C12893" t="str">
            <v>Harraton Primary School</v>
          </cell>
          <cell r="D12893" t="str">
            <v>Sunderland</v>
          </cell>
          <cell r="E12893" t="str">
            <v>Community School</v>
          </cell>
          <cell r="F12893" t="str">
            <v>Primary</v>
          </cell>
        </row>
        <row r="12894">
          <cell r="A12894">
            <v>9312053</v>
          </cell>
          <cell r="B12894">
            <v>122992</v>
          </cell>
          <cell r="C12894" t="str">
            <v>Harriers Ground Community Primary School</v>
          </cell>
          <cell r="D12894" t="str">
            <v>Oxfordshire</v>
          </cell>
          <cell r="E12894" t="str">
            <v>Community School</v>
          </cell>
          <cell r="F12894" t="str">
            <v>Primary</v>
          </cell>
        </row>
        <row r="12895">
          <cell r="A12895">
            <v>8863067</v>
          </cell>
          <cell r="B12895">
            <v>118622</v>
          </cell>
          <cell r="C12895" t="str">
            <v>Harrietsham Church of England Primary School</v>
          </cell>
          <cell r="D12895" t="str">
            <v>Kent</v>
          </cell>
          <cell r="E12895" t="str">
            <v>Voluntary Controlled School</v>
          </cell>
          <cell r="F12895" t="str">
            <v>Primary</v>
          </cell>
        </row>
        <row r="12896">
          <cell r="A12896">
            <v>2042862</v>
          </cell>
          <cell r="B12896">
            <v>100256</v>
          </cell>
          <cell r="C12896" t="str">
            <v>Harrington Hill Primary School</v>
          </cell>
          <cell r="D12896" t="str">
            <v>Hackney</v>
          </cell>
          <cell r="E12896" t="str">
            <v>Community School</v>
          </cell>
          <cell r="F12896" t="str">
            <v>Primary</v>
          </cell>
        </row>
        <row r="12897">
          <cell r="A12897">
            <v>9092133</v>
          </cell>
          <cell r="B12897">
            <v>112141</v>
          </cell>
          <cell r="C12897" t="str">
            <v>Harrington Infant School</v>
          </cell>
          <cell r="D12897" t="str">
            <v>Cumbria</v>
          </cell>
          <cell r="E12897" t="str">
            <v>Community School</v>
          </cell>
          <cell r="F12897" t="str">
            <v>Primary</v>
          </cell>
        </row>
        <row r="12898">
          <cell r="A12898">
            <v>9092132</v>
          </cell>
          <cell r="B12898">
            <v>112140</v>
          </cell>
          <cell r="C12898" t="str">
            <v>Harrington Junior School</v>
          </cell>
          <cell r="D12898" t="str">
            <v>Cumbria</v>
          </cell>
          <cell r="E12898" t="str">
            <v>Community School</v>
          </cell>
          <cell r="F12898" t="str">
            <v>Primary</v>
          </cell>
        </row>
        <row r="12899">
          <cell r="A12899">
            <v>8302157</v>
          </cell>
          <cell r="B12899">
            <v>112582</v>
          </cell>
          <cell r="C12899" t="str">
            <v>Harrington Junior School</v>
          </cell>
          <cell r="D12899" t="str">
            <v>Derbyshire</v>
          </cell>
          <cell r="E12899" t="str">
            <v>Community School</v>
          </cell>
          <cell r="F12899" t="str">
            <v>Primary</v>
          </cell>
        </row>
        <row r="12900">
          <cell r="A12900">
            <v>8311008</v>
          </cell>
          <cell r="B12900">
            <v>112474</v>
          </cell>
          <cell r="C12900" t="str">
            <v>Harrington Nursery School</v>
          </cell>
          <cell r="D12900" t="str">
            <v>Derby</v>
          </cell>
          <cell r="E12900" t="str">
            <v>LA Nursery School</v>
          </cell>
          <cell r="F12900" t="str">
            <v>Nursery</v>
          </cell>
        </row>
        <row r="12901">
          <cell r="A12901">
            <v>2106906</v>
          </cell>
          <cell r="B12901">
            <v>134225</v>
          </cell>
          <cell r="C12901" t="str">
            <v>Harris Academy at Peckham</v>
          </cell>
          <cell r="D12901" t="str">
            <v>Southwark</v>
          </cell>
          <cell r="E12901" t="str">
            <v>Academy Sponsor Led</v>
          </cell>
          <cell r="F12901" t="str">
            <v>Secondary</v>
          </cell>
        </row>
        <row r="12902">
          <cell r="A12902">
            <v>3054000</v>
          </cell>
          <cell r="B12902">
            <v>137121</v>
          </cell>
          <cell r="C12902" t="str">
            <v>Harris Academy Beckenham</v>
          </cell>
          <cell r="D12902" t="str">
            <v>Bromley</v>
          </cell>
          <cell r="E12902" t="str">
            <v>Academy Sponsor Led</v>
          </cell>
          <cell r="F12902" t="str">
            <v>Secondary</v>
          </cell>
        </row>
        <row r="12903">
          <cell r="A12903">
            <v>2106907</v>
          </cell>
          <cell r="B12903">
            <v>131747</v>
          </cell>
          <cell r="C12903" t="str">
            <v>Harris Academy Bermondsey</v>
          </cell>
          <cell r="D12903" t="str">
            <v>Southwark</v>
          </cell>
          <cell r="E12903" t="str">
            <v>Academy Sponsor Led</v>
          </cell>
          <cell r="F12903" t="str">
            <v>Secondary</v>
          </cell>
        </row>
        <row r="12904">
          <cell r="A12904">
            <v>3036906</v>
          </cell>
          <cell r="B12904">
            <v>135677</v>
          </cell>
          <cell r="C12904" t="str">
            <v>Harris Academy Falconwood</v>
          </cell>
          <cell r="D12904" t="str">
            <v>Bexley</v>
          </cell>
          <cell r="E12904" t="str">
            <v>Academy Sponsor Led</v>
          </cell>
          <cell r="F12904" t="str">
            <v>Secondary</v>
          </cell>
        </row>
        <row r="12905">
          <cell r="A12905">
            <v>3156905</v>
          </cell>
          <cell r="B12905">
            <v>131897</v>
          </cell>
          <cell r="C12905" t="str">
            <v>Harris Academy Merton</v>
          </cell>
          <cell r="D12905" t="str">
            <v>Merton</v>
          </cell>
          <cell r="E12905" t="str">
            <v>Academy Sponsor Led</v>
          </cell>
          <cell r="F12905" t="str">
            <v>Secondary</v>
          </cell>
        </row>
        <row r="12906">
          <cell r="A12906">
            <v>3066908</v>
          </cell>
          <cell r="B12906">
            <v>135955</v>
          </cell>
          <cell r="C12906" t="str">
            <v>Harris Academy Purley</v>
          </cell>
          <cell r="D12906" t="str">
            <v>Croydon</v>
          </cell>
          <cell r="E12906" t="str">
            <v>Academy Sponsor Led</v>
          </cell>
          <cell r="F12906" t="str">
            <v>Secondary</v>
          </cell>
        </row>
        <row r="12907">
          <cell r="A12907">
            <v>3066905</v>
          </cell>
          <cell r="B12907">
            <v>135249</v>
          </cell>
          <cell r="C12907" t="str">
            <v>Harris Academy South Norwood</v>
          </cell>
          <cell r="D12907" t="str">
            <v>Croydon</v>
          </cell>
          <cell r="E12907" t="str">
            <v>Academy Sponsor Led</v>
          </cell>
          <cell r="F12907" t="str">
            <v>Secondary</v>
          </cell>
        </row>
        <row r="12908">
          <cell r="A12908">
            <v>2106913</v>
          </cell>
          <cell r="B12908">
            <v>135816</v>
          </cell>
          <cell r="C12908" t="str">
            <v>Harris Boys' Academy East Dulwich</v>
          </cell>
          <cell r="D12908" t="str">
            <v>Southwark</v>
          </cell>
          <cell r="E12908" t="str">
            <v>Academy Sponsor Led</v>
          </cell>
          <cell r="F12908" t="str">
            <v>Secondary</v>
          </cell>
        </row>
        <row r="12909">
          <cell r="A12909">
            <v>3066906</v>
          </cell>
          <cell r="B12909">
            <v>135311</v>
          </cell>
          <cell r="C12909" t="str">
            <v>Harris City Academy Crystal Palace</v>
          </cell>
          <cell r="D12909" t="str">
            <v>Croydon</v>
          </cell>
          <cell r="E12909" t="str">
            <v>Academy Sponsor Led</v>
          </cell>
          <cell r="F12909" t="str">
            <v>Secondary</v>
          </cell>
        </row>
        <row r="12910">
          <cell r="A12910">
            <v>3066901</v>
          </cell>
          <cell r="B12910">
            <v>101850</v>
          </cell>
          <cell r="C12910" t="str">
            <v>Harris City Technology College</v>
          </cell>
          <cell r="D12910" t="str">
            <v>Croydon</v>
          </cell>
          <cell r="E12910" t="str">
            <v>City Technology College</v>
          </cell>
          <cell r="F12910" t="str">
            <v>Not applicable</v>
          </cell>
        </row>
        <row r="12911">
          <cell r="A12911">
            <v>3154900</v>
          </cell>
          <cell r="B12911">
            <v>135417</v>
          </cell>
          <cell r="C12911" t="str">
            <v>Harris Federation</v>
          </cell>
          <cell r="D12911" t="str">
            <v>Merton</v>
          </cell>
          <cell r="E12911" t="str">
            <v>Sixth Form Centres</v>
          </cell>
          <cell r="F12911" t="str">
            <v>16 Plus</v>
          </cell>
        </row>
        <row r="12912">
          <cell r="A12912">
            <v>3064900</v>
          </cell>
          <cell r="B12912">
            <v>135416</v>
          </cell>
          <cell r="C12912" t="str">
            <v>Harris Federation Post 16</v>
          </cell>
          <cell r="D12912" t="str">
            <v>Croydon</v>
          </cell>
          <cell r="E12912" t="str">
            <v>Sixth Form Centres</v>
          </cell>
          <cell r="F12912" t="str">
            <v>16 Plus</v>
          </cell>
        </row>
        <row r="12913">
          <cell r="A12913">
            <v>2104901</v>
          </cell>
          <cell r="B12913">
            <v>136116</v>
          </cell>
          <cell r="C12913" t="str">
            <v>Harris Federation Post 16</v>
          </cell>
          <cell r="D12913" t="str">
            <v>Southwark</v>
          </cell>
          <cell r="E12913" t="str">
            <v>Sixth Form Centres</v>
          </cell>
          <cell r="F12913" t="str">
            <v>16 Plus</v>
          </cell>
        </row>
        <row r="12914">
          <cell r="A12914">
            <v>2106908</v>
          </cell>
          <cell r="B12914">
            <v>132711</v>
          </cell>
          <cell r="C12914" t="str">
            <v>Harris Girls' Academy East Dulwich</v>
          </cell>
          <cell r="D12914" t="str">
            <v>Southwark</v>
          </cell>
          <cell r="E12914" t="str">
            <v>Academy Sponsor Led</v>
          </cell>
          <cell r="F12914" t="str">
            <v>Secondary</v>
          </cell>
        </row>
        <row r="12915">
          <cell r="A12915">
            <v>8882051</v>
          </cell>
          <cell r="B12915">
            <v>119152</v>
          </cell>
          <cell r="C12915" t="str">
            <v>Harris Primary School</v>
          </cell>
          <cell r="D12915" t="str">
            <v>Lancashire</v>
          </cell>
          <cell r="E12915" t="str">
            <v>Community School</v>
          </cell>
          <cell r="F12915" t="str">
            <v>Primary</v>
          </cell>
        </row>
        <row r="12916">
          <cell r="A12916">
            <v>9374802</v>
          </cell>
          <cell r="B12916">
            <v>125757</v>
          </cell>
          <cell r="C12916" t="str">
            <v>Harris School</v>
          </cell>
          <cell r="D12916" t="str">
            <v>Warwickshire</v>
          </cell>
          <cell r="E12916" t="str">
            <v>Voluntary Aided School</v>
          </cell>
          <cell r="F12916" t="str">
            <v>Secondary</v>
          </cell>
        </row>
        <row r="12917">
          <cell r="A12917">
            <v>8502252</v>
          </cell>
          <cell r="B12917">
            <v>115990</v>
          </cell>
          <cell r="C12917" t="str">
            <v>Harrison Primary School</v>
          </cell>
          <cell r="D12917" t="str">
            <v>Hampshire</v>
          </cell>
          <cell r="E12917" t="str">
            <v>Community School</v>
          </cell>
          <cell r="F12917" t="str">
            <v>Primary</v>
          </cell>
        </row>
        <row r="12918">
          <cell r="A12918">
            <v>8158004</v>
          </cell>
          <cell r="B12918">
            <v>130590</v>
          </cell>
          <cell r="C12918" t="str">
            <v>Harrogate College</v>
          </cell>
          <cell r="D12918" t="str">
            <v>North Yorkshire</v>
          </cell>
          <cell r="E12918" t="str">
            <v>Further Education</v>
          </cell>
          <cell r="F12918" t="str">
            <v>16 Plus</v>
          </cell>
        </row>
        <row r="12919">
          <cell r="A12919">
            <v>8154200</v>
          </cell>
          <cell r="B12919">
            <v>121685</v>
          </cell>
          <cell r="C12919" t="str">
            <v>Harrogate Grammar School</v>
          </cell>
          <cell r="D12919" t="str">
            <v>North Yorkshire</v>
          </cell>
          <cell r="E12919" t="str">
            <v>Community School</v>
          </cell>
          <cell r="F12919" t="str">
            <v>Secondary</v>
          </cell>
        </row>
        <row r="12920">
          <cell r="A12920">
            <v>8154200</v>
          </cell>
          <cell r="B12920">
            <v>136497</v>
          </cell>
          <cell r="C12920" t="str">
            <v>Harrogate Grammar School</v>
          </cell>
          <cell r="D12920" t="str">
            <v>North Yorkshire</v>
          </cell>
          <cell r="E12920" t="str">
            <v>Academy Converters</v>
          </cell>
          <cell r="F12920" t="str">
            <v>Secondary</v>
          </cell>
        </row>
        <row r="12921">
          <cell r="A12921">
            <v>8154219</v>
          </cell>
          <cell r="B12921">
            <v>121697</v>
          </cell>
          <cell r="C12921" t="str">
            <v>Harrogate High School</v>
          </cell>
          <cell r="D12921" t="str">
            <v>North Yorkshire</v>
          </cell>
          <cell r="E12921" t="str">
            <v>Community School</v>
          </cell>
          <cell r="F12921" t="str">
            <v>Secondary</v>
          </cell>
        </row>
        <row r="12922">
          <cell r="A12922">
            <v>8156012</v>
          </cell>
          <cell r="B12922">
            <v>121741</v>
          </cell>
          <cell r="C12922" t="str">
            <v>Harrogate Ladies' College</v>
          </cell>
          <cell r="D12922" t="str">
            <v>North Yorkshire</v>
          </cell>
          <cell r="E12922" t="str">
            <v>Other Independent School</v>
          </cell>
          <cell r="F12922" t="str">
            <v>Not applicable</v>
          </cell>
        </row>
        <row r="12923">
          <cell r="A12923">
            <v>8158221</v>
          </cell>
          <cell r="B12923">
            <v>133194</v>
          </cell>
          <cell r="C12923" t="str">
            <v>Harrogate Language Academy</v>
          </cell>
          <cell r="D12923" t="str">
            <v>North Yorkshire</v>
          </cell>
          <cell r="E12923" t="str">
            <v>Miscellaneous</v>
          </cell>
          <cell r="F12923" t="str">
            <v>Not applicable</v>
          </cell>
        </row>
        <row r="12924">
          <cell r="A12924">
            <v>8151101</v>
          </cell>
          <cell r="B12924">
            <v>130339</v>
          </cell>
          <cell r="C12924" t="str">
            <v>Harrogate Pupil Referral Unit</v>
          </cell>
          <cell r="D12924" t="str">
            <v>North Yorkshire</v>
          </cell>
          <cell r="E12924" t="str">
            <v>Pupil Referral Unit</v>
          </cell>
          <cell r="F12924" t="str">
            <v>PRU</v>
          </cell>
        </row>
        <row r="12925">
          <cell r="A12925">
            <v>8156030</v>
          </cell>
          <cell r="B12925">
            <v>121761</v>
          </cell>
          <cell r="C12925" t="str">
            <v>Harrogate Tutorial College</v>
          </cell>
          <cell r="D12925" t="str">
            <v>North Yorkshire</v>
          </cell>
          <cell r="E12925" t="str">
            <v>Other Independent School</v>
          </cell>
          <cell r="F12925" t="str">
            <v>Not applicable</v>
          </cell>
        </row>
        <row r="12926">
          <cell r="A12926">
            <v>8152328</v>
          </cell>
          <cell r="B12926">
            <v>121394</v>
          </cell>
          <cell r="C12926" t="str">
            <v>Harrogate, Bilton Grange Community Primary School</v>
          </cell>
          <cell r="D12926" t="str">
            <v>North Yorkshire</v>
          </cell>
          <cell r="E12926" t="str">
            <v>Community School</v>
          </cell>
          <cell r="F12926" t="str">
            <v>Primary</v>
          </cell>
        </row>
        <row r="12927">
          <cell r="A12927">
            <v>8152383</v>
          </cell>
          <cell r="B12927">
            <v>121438</v>
          </cell>
          <cell r="C12927" t="str">
            <v>Harrogate, Coppice Valley Community Primary School</v>
          </cell>
          <cell r="D12927" t="str">
            <v>North Yorkshire</v>
          </cell>
          <cell r="E12927" t="str">
            <v>Community School</v>
          </cell>
          <cell r="F12927" t="str">
            <v>Primary</v>
          </cell>
        </row>
        <row r="12928">
          <cell r="A12928">
            <v>8152329</v>
          </cell>
          <cell r="B12928">
            <v>121395</v>
          </cell>
          <cell r="C12928" t="str">
            <v>Harrogate, Grove Road Community Primary School</v>
          </cell>
          <cell r="D12928" t="str">
            <v>North Yorkshire</v>
          </cell>
          <cell r="E12928" t="str">
            <v>Community School</v>
          </cell>
          <cell r="F12928" t="str">
            <v>Primary</v>
          </cell>
        </row>
        <row r="12929">
          <cell r="A12929">
            <v>8152330</v>
          </cell>
          <cell r="B12929">
            <v>121396</v>
          </cell>
          <cell r="C12929" t="str">
            <v>Harrogate, New Park Community Primary School</v>
          </cell>
          <cell r="D12929" t="str">
            <v>North Yorkshire</v>
          </cell>
          <cell r="E12929" t="str">
            <v>Community School</v>
          </cell>
          <cell r="F12929" t="str">
            <v>Primary</v>
          </cell>
        </row>
        <row r="12930">
          <cell r="A12930">
            <v>8153247</v>
          </cell>
          <cell r="B12930">
            <v>121568</v>
          </cell>
          <cell r="C12930" t="str">
            <v>Harrogate, St Peter's Church of England Primary School</v>
          </cell>
          <cell r="D12930" t="str">
            <v>North Yorkshire</v>
          </cell>
          <cell r="E12930" t="str">
            <v>Voluntary Controlled School</v>
          </cell>
          <cell r="F12930" t="str">
            <v>Primary</v>
          </cell>
        </row>
        <row r="12931">
          <cell r="A12931">
            <v>8222054</v>
          </cell>
          <cell r="B12931">
            <v>109455</v>
          </cell>
          <cell r="C12931" t="str">
            <v>Harrold Lower School</v>
          </cell>
          <cell r="D12931" t="str">
            <v>Bedford</v>
          </cell>
          <cell r="E12931" t="str">
            <v>Foundation School</v>
          </cell>
          <cell r="F12931" t="str">
            <v>Primary</v>
          </cell>
        </row>
        <row r="12932">
          <cell r="A12932">
            <v>8225411</v>
          </cell>
          <cell r="B12932">
            <v>109649</v>
          </cell>
          <cell r="C12932" t="str">
            <v>Harrold Priory Middle School</v>
          </cell>
          <cell r="D12932" t="str">
            <v>Bedford</v>
          </cell>
          <cell r="E12932" t="str">
            <v>Foundation School</v>
          </cell>
          <cell r="F12932" t="str">
            <v>Middle Deemed Secondary</v>
          </cell>
        </row>
        <row r="12933">
          <cell r="A12933">
            <v>8225411</v>
          </cell>
          <cell r="B12933">
            <v>136472</v>
          </cell>
          <cell r="C12933" t="str">
            <v>Harrold Priory Middle School</v>
          </cell>
          <cell r="D12933" t="str">
            <v>Bedford</v>
          </cell>
          <cell r="E12933" t="str">
            <v>Academy Converters</v>
          </cell>
          <cell r="F12933" t="str">
            <v>Middle Deemed Secondary</v>
          </cell>
        </row>
        <row r="12934">
          <cell r="A12934">
            <v>3554052</v>
          </cell>
          <cell r="B12934">
            <v>133351</v>
          </cell>
          <cell r="C12934" t="str">
            <v>Harrop Fold School</v>
          </cell>
          <cell r="D12934" t="str">
            <v>Salford</v>
          </cell>
          <cell r="E12934" t="str">
            <v>Community School</v>
          </cell>
          <cell r="F12934" t="str">
            <v>Secondary</v>
          </cell>
        </row>
        <row r="12935">
          <cell r="A12935">
            <v>3108005</v>
          </cell>
          <cell r="B12935">
            <v>131864</v>
          </cell>
          <cell r="C12935" t="str">
            <v>Harrow College</v>
          </cell>
          <cell r="D12935" t="str">
            <v>Harrow</v>
          </cell>
          <cell r="E12935" t="str">
            <v>Further Education</v>
          </cell>
          <cell r="F12935" t="str">
            <v>16 Plus</v>
          </cell>
        </row>
        <row r="12936">
          <cell r="A12936">
            <v>3104900</v>
          </cell>
          <cell r="B12936">
            <v>135469</v>
          </cell>
          <cell r="C12936" t="str">
            <v>Harrow Collegiate</v>
          </cell>
          <cell r="D12936" t="str">
            <v>Harrow</v>
          </cell>
          <cell r="E12936" t="str">
            <v>Sixth Form Centres</v>
          </cell>
          <cell r="F12936" t="str">
            <v>16 Plus</v>
          </cell>
        </row>
        <row r="12937">
          <cell r="A12937">
            <v>8082344</v>
          </cell>
          <cell r="B12937">
            <v>111643</v>
          </cell>
          <cell r="C12937" t="str">
            <v>Harrow Gate Primary School</v>
          </cell>
          <cell r="D12937" t="str">
            <v>Stockton-on-Tees</v>
          </cell>
          <cell r="E12937" t="str">
            <v>Community School</v>
          </cell>
          <cell r="F12937" t="str">
            <v>Primary</v>
          </cell>
        </row>
        <row r="12938">
          <cell r="A12938">
            <v>3104033</v>
          </cell>
          <cell r="B12938">
            <v>102242</v>
          </cell>
          <cell r="C12938" t="str">
            <v>Harrow High School and Sports College</v>
          </cell>
          <cell r="D12938" t="str">
            <v>Harrow</v>
          </cell>
          <cell r="E12938" t="str">
            <v>Community School</v>
          </cell>
          <cell r="F12938" t="str">
            <v>Secondary</v>
          </cell>
        </row>
        <row r="12939">
          <cell r="A12939">
            <v>3104033</v>
          </cell>
          <cell r="B12939">
            <v>137177</v>
          </cell>
          <cell r="C12939" t="str">
            <v>Harrow High School and Sports College</v>
          </cell>
          <cell r="D12939" t="str">
            <v>Harrow</v>
          </cell>
          <cell r="E12939" t="str">
            <v>Academy Converters</v>
          </cell>
          <cell r="F12939" t="str">
            <v>Secondary</v>
          </cell>
        </row>
        <row r="12940">
          <cell r="A12940">
            <v>8356031</v>
          </cell>
          <cell r="B12940">
            <v>113946</v>
          </cell>
          <cell r="C12940" t="str">
            <v>Harrow House International College</v>
          </cell>
          <cell r="D12940" t="str">
            <v>Dorset</v>
          </cell>
          <cell r="E12940" t="str">
            <v>Other Independent School</v>
          </cell>
          <cell r="F12940" t="str">
            <v>Not applicable</v>
          </cell>
        </row>
        <row r="12941">
          <cell r="A12941">
            <v>3106000</v>
          </cell>
          <cell r="B12941">
            <v>102245</v>
          </cell>
          <cell r="C12941" t="str">
            <v>Harrow School</v>
          </cell>
          <cell r="D12941" t="str">
            <v>Harrow</v>
          </cell>
          <cell r="E12941" t="str">
            <v>Other Independent School</v>
          </cell>
          <cell r="F12941" t="str">
            <v>Not applicable</v>
          </cell>
        </row>
        <row r="12942">
          <cell r="A12942">
            <v>3101101</v>
          </cell>
          <cell r="B12942">
            <v>102180</v>
          </cell>
          <cell r="C12942" t="str">
            <v>Harrow Tuition Service</v>
          </cell>
          <cell r="D12942" t="str">
            <v>Harrow</v>
          </cell>
          <cell r="E12942" t="str">
            <v>Pupil Referral Unit</v>
          </cell>
          <cell r="F12942" t="str">
            <v>PRU</v>
          </cell>
        </row>
        <row r="12943">
          <cell r="A12943">
            <v>8504163</v>
          </cell>
          <cell r="B12943">
            <v>116431</v>
          </cell>
          <cell r="C12943" t="str">
            <v>Harrow Way Community School</v>
          </cell>
          <cell r="D12943" t="str">
            <v>Hampshire</v>
          </cell>
          <cell r="E12943" t="str">
            <v>Community School</v>
          </cell>
          <cell r="F12943" t="str">
            <v>Secondary</v>
          </cell>
        </row>
        <row r="12944">
          <cell r="A12944">
            <v>9082704</v>
          </cell>
          <cell r="B12944">
            <v>111953</v>
          </cell>
          <cell r="C12944" t="str">
            <v>Harrowbarrow School</v>
          </cell>
          <cell r="D12944" t="str">
            <v>Cornwall</v>
          </cell>
          <cell r="E12944" t="str">
            <v>Community School</v>
          </cell>
          <cell r="F12944" t="str">
            <v>Primary</v>
          </cell>
        </row>
        <row r="12945">
          <cell r="A12945">
            <v>9082704</v>
          </cell>
          <cell r="B12945">
            <v>137517</v>
          </cell>
          <cell r="C12945" t="str">
            <v>Harrowbarrow School</v>
          </cell>
          <cell r="D12945" t="str">
            <v>Cornwall</v>
          </cell>
          <cell r="E12945" t="str">
            <v>Academy Converters</v>
          </cell>
          <cell r="F12945" t="str">
            <v>Primary</v>
          </cell>
        </row>
        <row r="12946">
          <cell r="A12946">
            <v>8224127</v>
          </cell>
          <cell r="B12946">
            <v>109693</v>
          </cell>
          <cell r="C12946" t="str">
            <v>Harrowden Middle School</v>
          </cell>
          <cell r="D12946" t="str">
            <v>Bedford</v>
          </cell>
          <cell r="E12946" t="str">
            <v>Community School</v>
          </cell>
          <cell r="F12946" t="str">
            <v>Middle Deemed Secondary</v>
          </cell>
        </row>
        <row r="12947">
          <cell r="A12947">
            <v>8412658</v>
          </cell>
          <cell r="B12947">
            <v>114173</v>
          </cell>
          <cell r="C12947" t="str">
            <v>Harrowgate Hill Infants' School</v>
          </cell>
          <cell r="D12947" t="str">
            <v>Darlington</v>
          </cell>
          <cell r="E12947" t="str">
            <v>Community School</v>
          </cell>
          <cell r="F12947" t="str">
            <v>Primary</v>
          </cell>
        </row>
        <row r="12948">
          <cell r="A12948">
            <v>8412671</v>
          </cell>
          <cell r="B12948">
            <v>114185</v>
          </cell>
          <cell r="C12948" t="str">
            <v>Harrowgate Hill Junior School</v>
          </cell>
          <cell r="D12948" t="str">
            <v>Darlington</v>
          </cell>
          <cell r="E12948" t="str">
            <v>Community School</v>
          </cell>
          <cell r="F12948" t="str">
            <v>Primary</v>
          </cell>
        </row>
        <row r="12949">
          <cell r="A12949">
            <v>8413517</v>
          </cell>
          <cell r="B12949">
            <v>135088</v>
          </cell>
          <cell r="C12949" t="str">
            <v>Harrowgate Hill Primary School</v>
          </cell>
          <cell r="D12949" t="str">
            <v>Darlington</v>
          </cell>
          <cell r="E12949" t="str">
            <v>Community School</v>
          </cell>
          <cell r="F12949" t="str">
            <v>Primary</v>
          </cell>
        </row>
        <row r="12950">
          <cell r="A12950">
            <v>8914413</v>
          </cell>
          <cell r="B12950">
            <v>122868</v>
          </cell>
          <cell r="C12950" t="str">
            <v>Harry Carlton Comprehensive School</v>
          </cell>
          <cell r="D12950" t="str">
            <v>Nottinghamshire</v>
          </cell>
          <cell r="E12950" t="str">
            <v>Community School</v>
          </cell>
          <cell r="F12950" t="str">
            <v>Secondary</v>
          </cell>
        </row>
        <row r="12951">
          <cell r="A12951">
            <v>8072028</v>
          </cell>
          <cell r="B12951">
            <v>111538</v>
          </cell>
          <cell r="C12951" t="str">
            <v>Harry Dack Infant School</v>
          </cell>
          <cell r="D12951" t="str">
            <v>Redcar and Cleveland</v>
          </cell>
          <cell r="E12951" t="str">
            <v>Community School</v>
          </cell>
          <cell r="F12951" t="str">
            <v>Primary</v>
          </cell>
        </row>
        <row r="12952">
          <cell r="A12952">
            <v>2112827</v>
          </cell>
          <cell r="B12952">
            <v>100929</v>
          </cell>
          <cell r="C12952" t="str">
            <v>Harry Gosling Infant School</v>
          </cell>
          <cell r="D12952" t="str">
            <v>Tower Hamlets</v>
          </cell>
          <cell r="E12952" t="str">
            <v>Community School</v>
          </cell>
          <cell r="F12952" t="str">
            <v>Primary</v>
          </cell>
        </row>
        <row r="12953">
          <cell r="A12953">
            <v>2112284</v>
          </cell>
          <cell r="B12953">
            <v>100905</v>
          </cell>
          <cell r="C12953" t="str">
            <v>Harry Gosling Junior Mixed School</v>
          </cell>
          <cell r="D12953" t="str">
            <v>Tower Hamlets</v>
          </cell>
          <cell r="E12953" t="str">
            <v>Community School</v>
          </cell>
          <cell r="F12953" t="str">
            <v>Primary</v>
          </cell>
        </row>
        <row r="12954">
          <cell r="A12954">
            <v>2112999</v>
          </cell>
          <cell r="B12954">
            <v>131737</v>
          </cell>
          <cell r="C12954" t="str">
            <v>Harry Gosling Primary School</v>
          </cell>
          <cell r="D12954" t="str">
            <v>Tower Hamlets</v>
          </cell>
          <cell r="E12954" t="str">
            <v>Community School</v>
          </cell>
          <cell r="F12954" t="str">
            <v>Primary</v>
          </cell>
        </row>
        <row r="12955">
          <cell r="A12955">
            <v>2111041</v>
          </cell>
          <cell r="B12955">
            <v>100888</v>
          </cell>
          <cell r="C12955" t="str">
            <v>Harry Roberts Nursery School</v>
          </cell>
          <cell r="D12955" t="str">
            <v>Tower Hamlets</v>
          </cell>
          <cell r="E12955" t="str">
            <v>LA Nursery School</v>
          </cell>
          <cell r="F12955" t="str">
            <v>Nursery</v>
          </cell>
        </row>
        <row r="12956">
          <cell r="A12956">
            <v>3564601</v>
          </cell>
          <cell r="B12956">
            <v>106143</v>
          </cell>
          <cell r="C12956" t="str">
            <v>Harrytown Catholic High School</v>
          </cell>
          <cell r="D12956" t="str">
            <v>Stockport</v>
          </cell>
          <cell r="E12956" t="str">
            <v>Voluntary Aided School</v>
          </cell>
          <cell r="F12956" t="str">
            <v>Secondary</v>
          </cell>
        </row>
        <row r="12957">
          <cell r="A12957">
            <v>8732018</v>
          </cell>
          <cell r="B12957">
            <v>110612</v>
          </cell>
          <cell r="C12957" t="str">
            <v>Harston and Newton Community Primary School</v>
          </cell>
          <cell r="D12957" t="str">
            <v>Cambridgeshire</v>
          </cell>
          <cell r="E12957" t="str">
            <v>Community School</v>
          </cell>
          <cell r="F12957" t="str">
            <v>Primary</v>
          </cell>
        </row>
        <row r="12958">
          <cell r="A12958">
            <v>3503347</v>
          </cell>
          <cell r="B12958">
            <v>105235</v>
          </cell>
          <cell r="C12958" t="str">
            <v>Hart Common CofE Primary School</v>
          </cell>
          <cell r="D12958" t="str">
            <v>Bolton</v>
          </cell>
          <cell r="E12958" t="str">
            <v>Voluntary Aided School</v>
          </cell>
          <cell r="F12958" t="str">
            <v>Primary</v>
          </cell>
        </row>
        <row r="12959">
          <cell r="A12959">
            <v>9022233</v>
          </cell>
          <cell r="B12959">
            <v>109542</v>
          </cell>
          <cell r="C12959" t="str">
            <v>Hart Hill Infant School</v>
          </cell>
          <cell r="D12959" t="str">
            <v>Pre LGR (1997) Bedfordshire</v>
          </cell>
          <cell r="E12959" t="str">
            <v>Community School</v>
          </cell>
          <cell r="F12959" t="str">
            <v>Primary</v>
          </cell>
        </row>
        <row r="12960">
          <cell r="A12960">
            <v>9022232</v>
          </cell>
          <cell r="B12960">
            <v>109541</v>
          </cell>
          <cell r="C12960" t="str">
            <v>Hart Hill Junior School</v>
          </cell>
          <cell r="D12960" t="str">
            <v>Pre LGR (1997) Bedfordshire</v>
          </cell>
          <cell r="E12960" t="str">
            <v>Community School</v>
          </cell>
          <cell r="F12960" t="str">
            <v>Primary</v>
          </cell>
        </row>
        <row r="12961">
          <cell r="A12961">
            <v>8211012</v>
          </cell>
          <cell r="B12961">
            <v>109418</v>
          </cell>
          <cell r="C12961" t="str">
            <v>Hart Hill Nursery School</v>
          </cell>
          <cell r="D12961" t="str">
            <v>Luton</v>
          </cell>
          <cell r="E12961" t="str">
            <v>LA Nursery School</v>
          </cell>
          <cell r="F12961" t="str">
            <v>Nursery</v>
          </cell>
        </row>
        <row r="12962">
          <cell r="A12962">
            <v>8212000</v>
          </cell>
          <cell r="B12962">
            <v>131393</v>
          </cell>
          <cell r="C12962" t="str">
            <v>Hart Hill Primary School</v>
          </cell>
          <cell r="D12962" t="str">
            <v>Luton</v>
          </cell>
          <cell r="E12962" t="str">
            <v>Community School</v>
          </cell>
          <cell r="F12962" t="str">
            <v>Primary</v>
          </cell>
        </row>
        <row r="12963">
          <cell r="A12963">
            <v>9196121</v>
          </cell>
          <cell r="B12963">
            <v>117634</v>
          </cell>
          <cell r="C12963" t="str">
            <v>Hart House School</v>
          </cell>
          <cell r="D12963" t="str">
            <v>Hertfordshire</v>
          </cell>
          <cell r="E12963" t="str">
            <v>Other Independent School</v>
          </cell>
          <cell r="F12963" t="str">
            <v>Not applicable</v>
          </cell>
        </row>
        <row r="12964">
          <cell r="A12964">
            <v>8502215</v>
          </cell>
          <cell r="B12964">
            <v>115966</v>
          </cell>
          <cell r="C12964" t="str">
            <v>Hart Plain Infant School</v>
          </cell>
          <cell r="D12964" t="str">
            <v>Hampshire</v>
          </cell>
          <cell r="E12964" t="str">
            <v>Community School</v>
          </cell>
          <cell r="F12964" t="str">
            <v>Primary</v>
          </cell>
        </row>
        <row r="12965">
          <cell r="A12965">
            <v>8502740</v>
          </cell>
          <cell r="B12965">
            <v>116244</v>
          </cell>
          <cell r="C12965" t="str">
            <v>Hart Plain Junior School</v>
          </cell>
          <cell r="D12965" t="str">
            <v>Hampshire</v>
          </cell>
          <cell r="E12965" t="str">
            <v>Community School</v>
          </cell>
          <cell r="F12965" t="str">
            <v>Primary</v>
          </cell>
        </row>
        <row r="12966">
          <cell r="A12966">
            <v>9172043</v>
          </cell>
          <cell r="B12966">
            <v>128976</v>
          </cell>
          <cell r="C12966" t="str">
            <v>Hart Plain Middle School</v>
          </cell>
          <cell r="D12966" t="str">
            <v>Pre LGR (1997) Hampshire</v>
          </cell>
          <cell r="E12966" t="str">
            <v>Community School</v>
          </cell>
          <cell r="F12966" t="str">
            <v>Middle Deemed Primary</v>
          </cell>
        </row>
        <row r="12967">
          <cell r="A12967">
            <v>8052001</v>
          </cell>
          <cell r="B12967">
            <v>111522</v>
          </cell>
          <cell r="C12967" t="str">
            <v>Hart Primary School</v>
          </cell>
          <cell r="D12967" t="str">
            <v>Hartlepool</v>
          </cell>
          <cell r="E12967" t="str">
            <v>Community School</v>
          </cell>
          <cell r="F12967" t="str">
            <v>Primary</v>
          </cell>
        </row>
        <row r="12968">
          <cell r="A12968">
            <v>8082042</v>
          </cell>
          <cell r="B12968">
            <v>111543</v>
          </cell>
          <cell r="C12968" t="str">
            <v>Hartburn Primary School</v>
          </cell>
          <cell r="D12968" t="str">
            <v>Stockton-on-Tees</v>
          </cell>
          <cell r="E12968" t="str">
            <v>Community School</v>
          </cell>
          <cell r="F12968" t="str">
            <v>Primary</v>
          </cell>
        </row>
        <row r="12969">
          <cell r="A12969">
            <v>8011016</v>
          </cell>
          <cell r="B12969">
            <v>108906</v>
          </cell>
          <cell r="C12969" t="str">
            <v>Hartcliffe Early Years Centre</v>
          </cell>
          <cell r="D12969" t="str">
            <v>Bristol City of</v>
          </cell>
          <cell r="E12969" t="str">
            <v>LA Nursery School</v>
          </cell>
          <cell r="F12969" t="str">
            <v>Nursery</v>
          </cell>
        </row>
        <row r="12970">
          <cell r="A12970">
            <v>9353029</v>
          </cell>
          <cell r="B12970">
            <v>124701</v>
          </cell>
          <cell r="C12970" t="str">
            <v>Hartest Church of England Voluntary Controlled Primary School</v>
          </cell>
          <cell r="D12970" t="str">
            <v>Suffolk</v>
          </cell>
          <cell r="E12970" t="str">
            <v>Voluntary Controlled School</v>
          </cell>
          <cell r="F12970" t="str">
            <v>Primary</v>
          </cell>
        </row>
        <row r="12971">
          <cell r="A12971">
            <v>8732229</v>
          </cell>
          <cell r="B12971">
            <v>110696</v>
          </cell>
          <cell r="C12971" t="str">
            <v>Hartford Community Junior School</v>
          </cell>
          <cell r="D12971" t="str">
            <v>Cambridgeshire</v>
          </cell>
          <cell r="E12971" t="str">
            <v>Community School</v>
          </cell>
          <cell r="F12971" t="str">
            <v>Primary</v>
          </cell>
        </row>
        <row r="12972">
          <cell r="A12972">
            <v>8964222</v>
          </cell>
          <cell r="B12972">
            <v>111441</v>
          </cell>
          <cell r="C12972" t="str">
            <v>Hartford High School A Specialist Languages and Sports College</v>
          </cell>
          <cell r="D12972" t="str">
            <v>Cheshire West and Chester</v>
          </cell>
          <cell r="E12972" t="str">
            <v>Community School</v>
          </cell>
          <cell r="F12972" t="str">
            <v>Secondary</v>
          </cell>
        </row>
        <row r="12973">
          <cell r="A12973">
            <v>8732252</v>
          </cell>
          <cell r="B12973">
            <v>110711</v>
          </cell>
          <cell r="C12973" t="str">
            <v>Hartford Infant School</v>
          </cell>
          <cell r="D12973" t="str">
            <v>Cambridgeshire</v>
          </cell>
          <cell r="E12973" t="str">
            <v>Community School</v>
          </cell>
          <cell r="F12973" t="str">
            <v>Primary</v>
          </cell>
        </row>
        <row r="12974">
          <cell r="A12974">
            <v>8739900</v>
          </cell>
          <cell r="B12974">
            <v>133132</v>
          </cell>
          <cell r="C12974" t="str">
            <v>Hartford Learner Centre</v>
          </cell>
          <cell r="D12974" t="str">
            <v>Cambridgeshire</v>
          </cell>
          <cell r="E12974" t="str">
            <v>Miscellaneous</v>
          </cell>
          <cell r="F12974" t="str">
            <v>Not applicable</v>
          </cell>
        </row>
        <row r="12975">
          <cell r="A12975">
            <v>8962329</v>
          </cell>
          <cell r="B12975">
            <v>111144</v>
          </cell>
          <cell r="C12975" t="str">
            <v>Hartford Manor Community Primary School</v>
          </cell>
          <cell r="D12975" t="str">
            <v>Cheshire West and Chester</v>
          </cell>
          <cell r="E12975" t="str">
            <v>Community School</v>
          </cell>
          <cell r="F12975" t="str">
            <v>Primary</v>
          </cell>
        </row>
        <row r="12976">
          <cell r="A12976">
            <v>8962288</v>
          </cell>
          <cell r="B12976">
            <v>111119</v>
          </cell>
          <cell r="C12976" t="str">
            <v>Hartford Primary School</v>
          </cell>
          <cell r="D12976" t="str">
            <v>Cheshire West and Chester</v>
          </cell>
          <cell r="E12976" t="str">
            <v>Community School</v>
          </cell>
          <cell r="F12976" t="str">
            <v>Primary</v>
          </cell>
        </row>
        <row r="12977">
          <cell r="A12977">
            <v>3722061</v>
          </cell>
          <cell r="B12977">
            <v>106868</v>
          </cell>
          <cell r="C12977" t="str">
            <v>Harthill Primary School</v>
          </cell>
          <cell r="D12977" t="str">
            <v>Rotherham</v>
          </cell>
          <cell r="E12977" t="str">
            <v>Community School</v>
          </cell>
          <cell r="F12977" t="str">
            <v>Primary</v>
          </cell>
        </row>
        <row r="12978">
          <cell r="A12978">
            <v>8752271</v>
          </cell>
          <cell r="B12978">
            <v>111105</v>
          </cell>
          <cell r="C12978" t="str">
            <v>Harthill Primary School</v>
          </cell>
          <cell r="D12978" t="str">
            <v>Pre LGR (2009) Cheshire</v>
          </cell>
          <cell r="E12978" t="str">
            <v>Community School</v>
          </cell>
          <cell r="F12978" t="str">
            <v>Primary</v>
          </cell>
        </row>
        <row r="12979">
          <cell r="A12979">
            <v>9383063</v>
          </cell>
          <cell r="B12979">
            <v>126017</v>
          </cell>
          <cell r="C12979" t="str">
            <v>Harting CofE Primary School</v>
          </cell>
          <cell r="D12979" t="str">
            <v>West Sussex</v>
          </cell>
          <cell r="E12979" t="str">
            <v>Voluntary Controlled School</v>
          </cell>
          <cell r="F12979" t="str">
            <v>Primary</v>
          </cell>
        </row>
        <row r="12980">
          <cell r="A12980">
            <v>8303041</v>
          </cell>
          <cell r="B12980">
            <v>112823</v>
          </cell>
          <cell r="C12980" t="str">
            <v>Hartington CofE Primary School</v>
          </cell>
          <cell r="D12980" t="str">
            <v>Derbyshire</v>
          </cell>
          <cell r="E12980" t="str">
            <v>Voluntary Controlled School</v>
          </cell>
          <cell r="F12980" t="str">
            <v>Primary</v>
          </cell>
        </row>
        <row r="12981">
          <cell r="A12981">
            <v>3804068</v>
          </cell>
          <cell r="B12981">
            <v>107390</v>
          </cell>
          <cell r="C12981" t="str">
            <v>Hartington Middle School</v>
          </cell>
          <cell r="D12981" t="str">
            <v>Bradford</v>
          </cell>
          <cell r="E12981" t="str">
            <v>Community School</v>
          </cell>
          <cell r="F12981" t="str">
            <v>Middle Deemed Secondary</v>
          </cell>
        </row>
        <row r="12982">
          <cell r="A12982">
            <v>9354036</v>
          </cell>
          <cell r="B12982">
            <v>124810</v>
          </cell>
          <cell r="C12982" t="str">
            <v>Hartismere High School</v>
          </cell>
          <cell r="D12982" t="str">
            <v>Suffolk</v>
          </cell>
          <cell r="E12982" t="str">
            <v>Community School</v>
          </cell>
          <cell r="F12982" t="str">
            <v>Secondary</v>
          </cell>
        </row>
        <row r="12983">
          <cell r="A12983">
            <v>9354036</v>
          </cell>
          <cell r="B12983">
            <v>136271</v>
          </cell>
          <cell r="C12983" t="str">
            <v>Hartismere High School</v>
          </cell>
          <cell r="D12983" t="str">
            <v>Suffolk</v>
          </cell>
          <cell r="E12983" t="str">
            <v>Academy Converters</v>
          </cell>
          <cell r="F12983" t="str">
            <v>Secondary</v>
          </cell>
        </row>
        <row r="12984">
          <cell r="A12984">
            <v>8782229</v>
          </cell>
          <cell r="B12984">
            <v>113152</v>
          </cell>
          <cell r="C12984" t="str">
            <v>Hartland Primary School</v>
          </cell>
          <cell r="D12984" t="str">
            <v>Devon</v>
          </cell>
          <cell r="E12984" t="str">
            <v>Community School</v>
          </cell>
          <cell r="F12984" t="str">
            <v>Primary</v>
          </cell>
        </row>
        <row r="12985">
          <cell r="A12985">
            <v>8914372</v>
          </cell>
          <cell r="B12985">
            <v>122862</v>
          </cell>
          <cell r="C12985" t="str">
            <v>Hartland School</v>
          </cell>
          <cell r="D12985" t="str">
            <v>Nottinghamshire</v>
          </cell>
          <cell r="E12985" t="str">
            <v>Community School</v>
          </cell>
          <cell r="F12985" t="str">
            <v>Secondary</v>
          </cell>
        </row>
        <row r="12986">
          <cell r="A12986">
            <v>8853052</v>
          </cell>
          <cell r="B12986">
            <v>116818</v>
          </cell>
          <cell r="C12986" t="str">
            <v>Hartlebury CofE First School</v>
          </cell>
          <cell r="D12986" t="str">
            <v>Worcestershire</v>
          </cell>
          <cell r="E12986" t="str">
            <v>Voluntary Controlled School</v>
          </cell>
          <cell r="F12986" t="str">
            <v>Primary</v>
          </cell>
        </row>
        <row r="12987">
          <cell r="A12987">
            <v>8853013</v>
          </cell>
          <cell r="B12987">
            <v>135042</v>
          </cell>
          <cell r="C12987" t="str">
            <v>Hartlebury CofE Primary School</v>
          </cell>
          <cell r="D12987" t="str">
            <v>Worcestershire</v>
          </cell>
          <cell r="E12987" t="str">
            <v>Voluntary Controlled School</v>
          </cell>
          <cell r="F12987" t="str">
            <v>Primary</v>
          </cell>
        </row>
        <row r="12988">
          <cell r="A12988">
            <v>8058000</v>
          </cell>
          <cell r="B12988">
            <v>130567</v>
          </cell>
          <cell r="C12988" t="str">
            <v>Hartlepool College of Further Education</v>
          </cell>
          <cell r="D12988" t="str">
            <v>Hartlepool</v>
          </cell>
          <cell r="E12988" t="str">
            <v>Further Education</v>
          </cell>
          <cell r="F12988" t="str">
            <v>16 Plus</v>
          </cell>
        </row>
        <row r="12989">
          <cell r="A12989">
            <v>8051100</v>
          </cell>
          <cell r="B12989">
            <v>131294</v>
          </cell>
          <cell r="C12989" t="str">
            <v>Hartlepool Pupil Referral Unit</v>
          </cell>
          <cell r="D12989" t="str">
            <v>Hartlepool</v>
          </cell>
          <cell r="E12989" t="str">
            <v>Pupil Referral Unit</v>
          </cell>
          <cell r="F12989" t="str">
            <v>PRU</v>
          </cell>
        </row>
        <row r="12990">
          <cell r="A12990">
            <v>8056002</v>
          </cell>
          <cell r="B12990">
            <v>135424</v>
          </cell>
          <cell r="C12990" t="str">
            <v>Hartlepool School Education and Vocational Training Centre</v>
          </cell>
          <cell r="D12990" t="str">
            <v>Hartlepool</v>
          </cell>
          <cell r="E12990" t="str">
            <v>Other Independent Special School</v>
          </cell>
          <cell r="F12990" t="str">
            <v>Not applicable</v>
          </cell>
        </row>
        <row r="12991">
          <cell r="A12991">
            <v>9074494</v>
          </cell>
          <cell r="B12991">
            <v>128514</v>
          </cell>
          <cell r="C12991" t="str">
            <v>Hartlepool Sixth Form College</v>
          </cell>
          <cell r="D12991" t="str">
            <v>Pre LGR (1996) Cleveland</v>
          </cell>
          <cell r="E12991" t="str">
            <v>Community School</v>
          </cell>
          <cell r="F12991" t="str">
            <v>Secondary</v>
          </cell>
        </row>
        <row r="12992">
          <cell r="A12992">
            <v>8058600</v>
          </cell>
          <cell r="B12992">
            <v>130568</v>
          </cell>
          <cell r="C12992" t="str">
            <v>Hartlepool Sixth Form College</v>
          </cell>
          <cell r="D12992" t="str">
            <v>Hartlepool</v>
          </cell>
          <cell r="E12992" t="str">
            <v>Further Education</v>
          </cell>
          <cell r="F12992" t="str">
            <v>16 Plus</v>
          </cell>
        </row>
        <row r="12993">
          <cell r="A12993">
            <v>3732265</v>
          </cell>
          <cell r="B12993">
            <v>107042</v>
          </cell>
          <cell r="C12993" t="str">
            <v>Hartley Brook Primary School</v>
          </cell>
          <cell r="D12993" t="str">
            <v>Sheffield</v>
          </cell>
          <cell r="E12993" t="str">
            <v>Community School</v>
          </cell>
          <cell r="F12993" t="str">
            <v>Primary</v>
          </cell>
        </row>
        <row r="12994">
          <cell r="A12994">
            <v>3162035</v>
          </cell>
          <cell r="B12994">
            <v>126982</v>
          </cell>
          <cell r="C12994" t="str">
            <v>Hartley Infant School</v>
          </cell>
          <cell r="D12994" t="str">
            <v>Newham</v>
          </cell>
          <cell r="E12994" t="str">
            <v>Community School</v>
          </cell>
          <cell r="F12994" t="str">
            <v>Primary</v>
          </cell>
        </row>
        <row r="12995">
          <cell r="A12995">
            <v>3162034</v>
          </cell>
          <cell r="B12995">
            <v>102726</v>
          </cell>
          <cell r="C12995" t="str">
            <v>Hartley Primary School</v>
          </cell>
          <cell r="D12995" t="str">
            <v>Newham</v>
          </cell>
          <cell r="E12995" t="str">
            <v>Community School</v>
          </cell>
          <cell r="F12995" t="str">
            <v>Primary</v>
          </cell>
        </row>
        <row r="12996">
          <cell r="A12996">
            <v>8862511</v>
          </cell>
          <cell r="B12996">
            <v>118481</v>
          </cell>
          <cell r="C12996" t="str">
            <v>Hartley Primary School</v>
          </cell>
          <cell r="D12996" t="str">
            <v>Kent</v>
          </cell>
          <cell r="E12996" t="str">
            <v>Community School</v>
          </cell>
          <cell r="F12996" t="str">
            <v>Primary</v>
          </cell>
        </row>
        <row r="12997">
          <cell r="A12997">
            <v>8863332</v>
          </cell>
          <cell r="B12997">
            <v>118734</v>
          </cell>
          <cell r="C12997" t="str">
            <v>Hartlip Endowed Church of England Primary School</v>
          </cell>
          <cell r="D12997" t="str">
            <v>Kent</v>
          </cell>
          <cell r="E12997" t="str">
            <v>Voluntary Aided School</v>
          </cell>
          <cell r="F12997" t="str">
            <v>Primary</v>
          </cell>
        </row>
        <row r="12998">
          <cell r="A12998">
            <v>3932012</v>
          </cell>
          <cell r="B12998">
            <v>108671</v>
          </cell>
          <cell r="C12998" t="str">
            <v>Harton Infants' School</v>
          </cell>
          <cell r="D12998" t="str">
            <v>South Tyneside</v>
          </cell>
          <cell r="E12998" t="str">
            <v>Community School</v>
          </cell>
          <cell r="F12998" t="str">
            <v>Primary</v>
          </cell>
        </row>
        <row r="12999">
          <cell r="A12999">
            <v>3932071</v>
          </cell>
          <cell r="B12999">
            <v>108696</v>
          </cell>
          <cell r="C12999" t="str">
            <v>Harton Junior School</v>
          </cell>
          <cell r="D12999" t="str">
            <v>South Tyneside</v>
          </cell>
          <cell r="E12999" t="str">
            <v>Community School</v>
          </cell>
          <cell r="F12999" t="str">
            <v>Primary</v>
          </cell>
        </row>
        <row r="13000">
          <cell r="A13000">
            <v>3933320</v>
          </cell>
          <cell r="B13000">
            <v>136178</v>
          </cell>
          <cell r="C13000" t="str">
            <v>Harton Primary School</v>
          </cell>
          <cell r="D13000" t="str">
            <v>South Tyneside</v>
          </cell>
          <cell r="E13000" t="str">
            <v>Community School</v>
          </cell>
          <cell r="F13000" t="str">
            <v>Primary</v>
          </cell>
        </row>
        <row r="13001">
          <cell r="A13001">
            <v>3934004</v>
          </cell>
          <cell r="B13001">
            <v>108726</v>
          </cell>
          <cell r="C13001" t="str">
            <v>Harton Technology College</v>
          </cell>
          <cell r="D13001" t="str">
            <v>South Tyneside</v>
          </cell>
          <cell r="E13001" t="str">
            <v>Community School</v>
          </cell>
          <cell r="F13001" t="str">
            <v>Secondary</v>
          </cell>
        </row>
        <row r="13002">
          <cell r="A13002">
            <v>9163040</v>
          </cell>
          <cell r="B13002">
            <v>115627</v>
          </cell>
          <cell r="C13002" t="str">
            <v>Hartpury Church of England Primary School</v>
          </cell>
          <cell r="D13002" t="str">
            <v>Gloucestershire</v>
          </cell>
          <cell r="E13002" t="str">
            <v>Voluntary Controlled School</v>
          </cell>
          <cell r="F13002" t="str">
            <v>Primary</v>
          </cell>
        </row>
        <row r="13003">
          <cell r="A13003">
            <v>9168300</v>
          </cell>
          <cell r="B13003">
            <v>130687</v>
          </cell>
          <cell r="C13003" t="str">
            <v>Hartpury College</v>
          </cell>
          <cell r="D13003" t="str">
            <v>Gloucestershire</v>
          </cell>
          <cell r="E13003" t="str">
            <v>Further Education</v>
          </cell>
          <cell r="F13003" t="str">
            <v>16 Plus</v>
          </cell>
        </row>
        <row r="13004">
          <cell r="A13004">
            <v>6804021</v>
          </cell>
          <cell r="B13004">
            <v>401866</v>
          </cell>
          <cell r="C13004" t="str">
            <v>Hartridge High School</v>
          </cell>
          <cell r="D13004" t="str">
            <v>Newport</v>
          </cell>
          <cell r="E13004" t="str">
            <v>Welsh Establishment</v>
          </cell>
          <cell r="F13004" t="str">
            <v>Secondary</v>
          </cell>
        </row>
        <row r="13005">
          <cell r="A13005">
            <v>9192372</v>
          </cell>
          <cell r="B13005">
            <v>117300</v>
          </cell>
          <cell r="C13005" t="str">
            <v>Hartsbourne Primary School</v>
          </cell>
          <cell r="D13005" t="str">
            <v>Hertfordshire</v>
          </cell>
          <cell r="E13005" t="str">
            <v>Community School</v>
          </cell>
          <cell r="F13005" t="str">
            <v>Primary</v>
          </cell>
        </row>
        <row r="13006">
          <cell r="A13006">
            <v>8864172</v>
          </cell>
          <cell r="B13006">
            <v>118816</v>
          </cell>
          <cell r="C13006" t="str">
            <v>Hartsdown Technology College</v>
          </cell>
          <cell r="D13006" t="str">
            <v>Kent</v>
          </cell>
          <cell r="E13006" t="str">
            <v>Community School</v>
          </cell>
          <cell r="F13006" t="str">
            <v>Secondary</v>
          </cell>
        </row>
        <row r="13007">
          <cell r="A13007">
            <v>8864172</v>
          </cell>
          <cell r="B13007">
            <v>136571</v>
          </cell>
          <cell r="C13007" t="str">
            <v>Hartsdown Technology College</v>
          </cell>
          <cell r="D13007" t="str">
            <v>Kent</v>
          </cell>
          <cell r="E13007" t="str">
            <v>Academy Converters</v>
          </cell>
          <cell r="F13007" t="str">
            <v>Secondary</v>
          </cell>
        </row>
        <row r="13008">
          <cell r="A13008">
            <v>9192994</v>
          </cell>
          <cell r="B13008">
            <v>117376</v>
          </cell>
          <cell r="C13008" t="str">
            <v>Hartsfield Junior Mixed and Infant School</v>
          </cell>
          <cell r="D13008" t="str">
            <v>Hertfordshire</v>
          </cell>
          <cell r="E13008" t="str">
            <v>Community School</v>
          </cell>
          <cell r="F13008" t="str">
            <v>Primary</v>
          </cell>
        </row>
        <row r="13009">
          <cell r="A13009">
            <v>3822100</v>
          </cell>
          <cell r="B13009">
            <v>107667</v>
          </cell>
          <cell r="C13009" t="str">
            <v>Hartshead Junior and Infant School</v>
          </cell>
          <cell r="D13009" t="str">
            <v>Kirklees</v>
          </cell>
          <cell r="E13009" t="str">
            <v>Community School</v>
          </cell>
          <cell r="F13009" t="str">
            <v>Primary</v>
          </cell>
        </row>
        <row r="13010">
          <cell r="A13010">
            <v>3827009</v>
          </cell>
          <cell r="B13010">
            <v>107800</v>
          </cell>
          <cell r="C13010" t="str">
            <v>Hartshead Moor School</v>
          </cell>
          <cell r="D13010" t="str">
            <v>Kirklees</v>
          </cell>
          <cell r="E13010" t="str">
            <v>Community Special School</v>
          </cell>
          <cell r="F13010" t="str">
            <v>Special</v>
          </cell>
        </row>
        <row r="13011">
          <cell r="A13011">
            <v>3574016</v>
          </cell>
          <cell r="B13011">
            <v>106264</v>
          </cell>
          <cell r="C13011" t="str">
            <v>Hartshead Sports College</v>
          </cell>
          <cell r="D13011" t="str">
            <v>Tameside</v>
          </cell>
          <cell r="E13011" t="str">
            <v>Community School</v>
          </cell>
          <cell r="F13011" t="str">
            <v>Secondary</v>
          </cell>
        </row>
        <row r="13012">
          <cell r="A13012">
            <v>9375402</v>
          </cell>
          <cell r="B13012">
            <v>125766</v>
          </cell>
          <cell r="C13012" t="str">
            <v>Hartshill School</v>
          </cell>
          <cell r="D13012" t="str">
            <v>Warwickshire</v>
          </cell>
          <cell r="E13012" t="str">
            <v>Foundation School</v>
          </cell>
          <cell r="F13012" t="str">
            <v>Secondary</v>
          </cell>
        </row>
        <row r="13013">
          <cell r="A13013">
            <v>9255220</v>
          </cell>
          <cell r="B13013">
            <v>120687</v>
          </cell>
          <cell r="C13013" t="str">
            <v>Hartsholme Primary School</v>
          </cell>
          <cell r="D13013" t="str">
            <v>Lincolnshire</v>
          </cell>
          <cell r="E13013" t="str">
            <v>Foundation School</v>
          </cell>
          <cell r="F13013" t="str">
            <v>Primary</v>
          </cell>
        </row>
        <row r="13014">
          <cell r="A13014">
            <v>8303042</v>
          </cell>
          <cell r="B13014">
            <v>112824</v>
          </cell>
          <cell r="C13014" t="str">
            <v>Hartshorne CofE Primary School</v>
          </cell>
          <cell r="D13014" t="str">
            <v>Derbyshire</v>
          </cell>
          <cell r="E13014" t="str">
            <v>Voluntary Controlled School</v>
          </cell>
          <cell r="F13014" t="str">
            <v>Primary</v>
          </cell>
        </row>
        <row r="13015">
          <cell r="A13015">
            <v>8402310</v>
          </cell>
          <cell r="B13015">
            <v>114057</v>
          </cell>
          <cell r="C13015" t="str">
            <v>Hartside Primary School</v>
          </cell>
          <cell r="D13015" t="str">
            <v>Durham</v>
          </cell>
          <cell r="E13015" t="str">
            <v>Community School</v>
          </cell>
          <cell r="F13015" t="str">
            <v>Primary</v>
          </cell>
        </row>
        <row r="13016">
          <cell r="A13016">
            <v>9283035</v>
          </cell>
          <cell r="B13016">
            <v>121977</v>
          </cell>
          <cell r="C13016" t="str">
            <v>Hartwell Church of England Primary School</v>
          </cell>
          <cell r="D13016" t="str">
            <v>Northamptonshire</v>
          </cell>
          <cell r="E13016" t="str">
            <v>Voluntary Controlled School</v>
          </cell>
          <cell r="F13016" t="str">
            <v>Primary</v>
          </cell>
        </row>
        <row r="13017">
          <cell r="A13017">
            <v>9283035</v>
          </cell>
          <cell r="B13017">
            <v>136542</v>
          </cell>
          <cell r="C13017" t="str">
            <v>Hartwell Church of England Primary School</v>
          </cell>
          <cell r="D13017" t="str">
            <v>Northamptonshire</v>
          </cell>
          <cell r="E13017" t="str">
            <v>Academy Converters</v>
          </cell>
          <cell r="F13017" t="str">
            <v>Primary</v>
          </cell>
        </row>
        <row r="13018">
          <cell r="A13018">
            <v>9192082</v>
          </cell>
          <cell r="B13018">
            <v>117131</v>
          </cell>
          <cell r="C13018" t="str">
            <v>Harvey Road Primary School</v>
          </cell>
          <cell r="D13018" t="str">
            <v>Hertfordshire</v>
          </cell>
          <cell r="E13018" t="str">
            <v>Community School</v>
          </cell>
          <cell r="F13018" t="str">
            <v>Primary</v>
          </cell>
        </row>
        <row r="13019">
          <cell r="A13019">
            <v>3332018</v>
          </cell>
          <cell r="B13019">
            <v>103898</v>
          </cell>
          <cell r="C13019" t="str">
            <v>Harvills Hawthorn Infant and Nursery School</v>
          </cell>
          <cell r="D13019" t="str">
            <v>Sandwell</v>
          </cell>
          <cell r="E13019" t="str">
            <v>Community School</v>
          </cell>
          <cell r="F13019" t="str">
            <v>Primary</v>
          </cell>
        </row>
        <row r="13020">
          <cell r="A13020">
            <v>3332017</v>
          </cell>
          <cell r="B13020">
            <v>103897</v>
          </cell>
          <cell r="C13020" t="str">
            <v>Harvills Hawthorn Junior School</v>
          </cell>
          <cell r="D13020" t="str">
            <v>Sandwell</v>
          </cell>
          <cell r="E13020" t="str">
            <v>Community School</v>
          </cell>
          <cell r="F13020" t="str">
            <v>Primary</v>
          </cell>
        </row>
        <row r="13021">
          <cell r="A13021">
            <v>3332186</v>
          </cell>
          <cell r="B13021">
            <v>131591</v>
          </cell>
          <cell r="C13021" t="str">
            <v>Harvills Hawthorn Primary School</v>
          </cell>
          <cell r="D13021" t="str">
            <v>Sandwell</v>
          </cell>
          <cell r="E13021" t="str">
            <v>Foundation School</v>
          </cell>
          <cell r="F13021" t="str">
            <v>Primary</v>
          </cell>
        </row>
        <row r="13022">
          <cell r="A13022">
            <v>8853053</v>
          </cell>
          <cell r="B13022">
            <v>116819</v>
          </cell>
          <cell r="C13022" t="str">
            <v>Harvington CofE First School</v>
          </cell>
          <cell r="D13022" t="str">
            <v>Worcestershire</v>
          </cell>
          <cell r="E13022" t="str">
            <v>Voluntary Controlled School</v>
          </cell>
          <cell r="F13022" t="str">
            <v>Primary</v>
          </cell>
        </row>
        <row r="13023">
          <cell r="A13023">
            <v>3076002</v>
          </cell>
          <cell r="B13023">
            <v>101945</v>
          </cell>
          <cell r="C13023" t="str">
            <v>Harvington School</v>
          </cell>
          <cell r="D13023" t="str">
            <v>Ealing</v>
          </cell>
          <cell r="E13023" t="str">
            <v>Other Independent School</v>
          </cell>
          <cell r="F13023" t="str">
            <v>Not applicable</v>
          </cell>
        </row>
        <row r="13024">
          <cell r="A13024">
            <v>9311018</v>
          </cell>
          <cell r="B13024">
            <v>122973</v>
          </cell>
          <cell r="C13024" t="str">
            <v>Harwell Nursery School</v>
          </cell>
          <cell r="D13024" t="str">
            <v>Oxfordshire</v>
          </cell>
          <cell r="E13024" t="str">
            <v>LA Nursery School</v>
          </cell>
          <cell r="F13024" t="str">
            <v>Nursery</v>
          </cell>
        </row>
        <row r="13025">
          <cell r="A13025">
            <v>9312563</v>
          </cell>
          <cell r="B13025">
            <v>123062</v>
          </cell>
          <cell r="C13025" t="str">
            <v>Harwell Primary School</v>
          </cell>
          <cell r="D13025" t="str">
            <v>Oxfordshire</v>
          </cell>
          <cell r="E13025" t="str">
            <v>Community School</v>
          </cell>
          <cell r="F13025" t="str">
            <v>Primary</v>
          </cell>
        </row>
        <row r="13026">
          <cell r="A13026">
            <v>8812414</v>
          </cell>
          <cell r="B13026">
            <v>114843</v>
          </cell>
          <cell r="C13026" t="str">
            <v>Harwich Community Primary School and Nursery</v>
          </cell>
          <cell r="D13026" t="str">
            <v>Essex</v>
          </cell>
          <cell r="E13026" t="str">
            <v>Community School</v>
          </cell>
          <cell r="F13026" t="str">
            <v>Primary</v>
          </cell>
        </row>
        <row r="13027">
          <cell r="A13027">
            <v>9192237</v>
          </cell>
          <cell r="B13027">
            <v>117227</v>
          </cell>
          <cell r="C13027" t="str">
            <v>Harwood Hill Junior Mixed Infant and Nursery School</v>
          </cell>
          <cell r="D13027" t="str">
            <v>Hertfordshire</v>
          </cell>
          <cell r="E13027" t="str">
            <v>Community School</v>
          </cell>
          <cell r="F13027" t="str">
            <v>Primary</v>
          </cell>
        </row>
        <row r="13028">
          <cell r="A13028">
            <v>3502072</v>
          </cell>
          <cell r="B13028">
            <v>105194</v>
          </cell>
          <cell r="C13028" t="str">
            <v>Harwood Meadows Primary School</v>
          </cell>
          <cell r="D13028" t="str">
            <v>Bolton</v>
          </cell>
          <cell r="E13028" t="str">
            <v>Community School</v>
          </cell>
          <cell r="F13028" t="str">
            <v>Primary</v>
          </cell>
        </row>
        <row r="13029">
          <cell r="A13029">
            <v>3542061</v>
          </cell>
          <cell r="B13029">
            <v>105796</v>
          </cell>
          <cell r="C13029" t="str">
            <v>Harwood Park Primary School</v>
          </cell>
          <cell r="D13029" t="str">
            <v>Rochdale</v>
          </cell>
          <cell r="E13029" t="str">
            <v>Community School</v>
          </cell>
          <cell r="F13029" t="str">
            <v>Primary</v>
          </cell>
        </row>
        <row r="13030">
          <cell r="A13030">
            <v>2052285</v>
          </cell>
          <cell r="B13030">
            <v>126617</v>
          </cell>
          <cell r="C13030" t="str">
            <v>Harwood School</v>
          </cell>
          <cell r="D13030" t="str">
            <v>Hammersmith and Fulham</v>
          </cell>
          <cell r="E13030" t="str">
            <v>Community School</v>
          </cell>
          <cell r="F13030" t="str">
            <v>Primary</v>
          </cell>
        </row>
        <row r="13031">
          <cell r="A13031">
            <v>3323052</v>
          </cell>
          <cell r="B13031">
            <v>103840</v>
          </cell>
          <cell r="C13031" t="str">
            <v>Hasbury CofE Primary School</v>
          </cell>
          <cell r="D13031" t="str">
            <v>Dudley</v>
          </cell>
          <cell r="E13031" t="str">
            <v>Voluntary Controlled School</v>
          </cell>
          <cell r="F13031" t="str">
            <v>Primary</v>
          </cell>
        </row>
        <row r="13032">
          <cell r="A13032">
            <v>9333278</v>
          </cell>
          <cell r="B13032">
            <v>123816</v>
          </cell>
          <cell r="C13032" t="str">
            <v>Haselbury Plucknett Church of England First School</v>
          </cell>
          <cell r="D13032" t="str">
            <v>Somerset</v>
          </cell>
          <cell r="E13032" t="str">
            <v>Voluntary Controlled School</v>
          </cell>
          <cell r="F13032" t="str">
            <v>Primary</v>
          </cell>
        </row>
        <row r="13033">
          <cell r="A13033">
            <v>9375200</v>
          </cell>
          <cell r="B13033">
            <v>125759</v>
          </cell>
          <cell r="C13033" t="str">
            <v>Haselor School</v>
          </cell>
          <cell r="D13033" t="str">
            <v>Warwickshire</v>
          </cell>
          <cell r="E13033" t="str">
            <v>Foundation School</v>
          </cell>
          <cell r="F13033" t="str">
            <v>Primary</v>
          </cell>
        </row>
        <row r="13034">
          <cell r="A13034">
            <v>2082286</v>
          </cell>
          <cell r="B13034">
            <v>100565</v>
          </cell>
          <cell r="C13034" t="str">
            <v>Haselrigge School</v>
          </cell>
          <cell r="D13034" t="str">
            <v>Lambeth</v>
          </cell>
          <cell r="E13034" t="str">
            <v>Community School</v>
          </cell>
          <cell r="F13034" t="str">
            <v>Primary</v>
          </cell>
        </row>
        <row r="13035">
          <cell r="A13035">
            <v>2092289</v>
          </cell>
          <cell r="B13035">
            <v>100686</v>
          </cell>
          <cell r="C13035" t="str">
            <v>Haseltine Primary School</v>
          </cell>
          <cell r="D13035" t="str">
            <v>Lewisham</v>
          </cell>
          <cell r="E13035" t="str">
            <v>Community School</v>
          </cell>
          <cell r="F13035" t="str">
            <v>Primary</v>
          </cell>
        </row>
        <row r="13036">
          <cell r="A13036">
            <v>8502612</v>
          </cell>
          <cell r="B13036">
            <v>116165</v>
          </cell>
          <cell r="C13036" t="str">
            <v>Haselworth Primary School</v>
          </cell>
          <cell r="D13036" t="str">
            <v>Hampshire</v>
          </cell>
          <cell r="E13036" t="str">
            <v>Community School</v>
          </cell>
          <cell r="F13036" t="str">
            <v>Primary</v>
          </cell>
        </row>
        <row r="13037">
          <cell r="A13037">
            <v>3502035</v>
          </cell>
          <cell r="B13037">
            <v>105168</v>
          </cell>
          <cell r="C13037" t="str">
            <v>Haslam Park Primary School</v>
          </cell>
          <cell r="D13037" t="str">
            <v>Bolton</v>
          </cell>
          <cell r="E13037" t="str">
            <v>Community School</v>
          </cell>
          <cell r="F13037" t="str">
            <v>Primary</v>
          </cell>
        </row>
        <row r="13038">
          <cell r="A13038">
            <v>8304193</v>
          </cell>
          <cell r="B13038">
            <v>112959</v>
          </cell>
          <cell r="C13038" t="str">
            <v>Hasland Hall Community School</v>
          </cell>
          <cell r="D13038" t="str">
            <v>Derbyshire</v>
          </cell>
          <cell r="E13038" t="str">
            <v>Community School</v>
          </cell>
          <cell r="F13038" t="str">
            <v>Secondary</v>
          </cell>
        </row>
        <row r="13039">
          <cell r="A13039">
            <v>9104023</v>
          </cell>
          <cell r="B13039">
            <v>128635</v>
          </cell>
          <cell r="C13039" t="str">
            <v>Hasland Hall School</v>
          </cell>
          <cell r="D13039" t="str">
            <v>Pre LGR (1997) Derbyshire</v>
          </cell>
          <cell r="E13039" t="str">
            <v>Community School</v>
          </cell>
          <cell r="F13039" t="str">
            <v>Secondary</v>
          </cell>
        </row>
        <row r="13040">
          <cell r="A13040">
            <v>8302289</v>
          </cell>
          <cell r="B13040">
            <v>112664</v>
          </cell>
          <cell r="C13040" t="str">
            <v>Hasland Infant School</v>
          </cell>
          <cell r="D13040" t="str">
            <v>Derbyshire</v>
          </cell>
          <cell r="E13040" t="str">
            <v>Community School</v>
          </cell>
          <cell r="F13040" t="str">
            <v>Primary</v>
          </cell>
        </row>
        <row r="13041">
          <cell r="A13041">
            <v>8302288</v>
          </cell>
          <cell r="B13041">
            <v>112663</v>
          </cell>
          <cell r="C13041" t="str">
            <v>Hasland Junior School</v>
          </cell>
          <cell r="D13041" t="str">
            <v>Derbyshire</v>
          </cell>
          <cell r="E13041" t="str">
            <v>Community School</v>
          </cell>
          <cell r="F13041" t="str">
            <v>Primary</v>
          </cell>
        </row>
        <row r="13042">
          <cell r="A13042">
            <v>9366456</v>
          </cell>
          <cell r="B13042">
            <v>125408</v>
          </cell>
          <cell r="C13042" t="str">
            <v>Haslemere Preparatory School</v>
          </cell>
          <cell r="D13042" t="str">
            <v>Surrey</v>
          </cell>
          <cell r="E13042" t="str">
            <v>Other Independent School</v>
          </cell>
          <cell r="F13042" t="str">
            <v>Not applicable</v>
          </cell>
        </row>
        <row r="13043">
          <cell r="A13043">
            <v>3152071</v>
          </cell>
          <cell r="B13043">
            <v>102643</v>
          </cell>
          <cell r="C13043" t="str">
            <v>Haslemere Primary School</v>
          </cell>
          <cell r="D13043" t="str">
            <v>Merton</v>
          </cell>
          <cell r="E13043" t="str">
            <v>Community School</v>
          </cell>
          <cell r="F13043" t="str">
            <v>Primary</v>
          </cell>
        </row>
        <row r="13044">
          <cell r="A13044">
            <v>9192194</v>
          </cell>
          <cell r="B13044">
            <v>117203</v>
          </cell>
          <cell r="C13044" t="str">
            <v>Haslewood Junior School</v>
          </cell>
          <cell r="D13044" t="str">
            <v>Hertfordshire</v>
          </cell>
          <cell r="E13044" t="str">
            <v>Community School</v>
          </cell>
          <cell r="F13044" t="str">
            <v>Primary</v>
          </cell>
        </row>
        <row r="13045">
          <cell r="A13045">
            <v>8882687</v>
          </cell>
          <cell r="B13045">
            <v>119326</v>
          </cell>
          <cell r="C13045" t="str">
            <v>Haslingden Broadway Primary School</v>
          </cell>
          <cell r="D13045" t="str">
            <v>Lancashire</v>
          </cell>
          <cell r="E13045" t="str">
            <v>Community School</v>
          </cell>
          <cell r="F13045" t="str">
            <v>Primary</v>
          </cell>
        </row>
        <row r="13046">
          <cell r="A13046">
            <v>8884402</v>
          </cell>
          <cell r="B13046">
            <v>119767</v>
          </cell>
          <cell r="C13046" t="str">
            <v>Haslingden High School</v>
          </cell>
          <cell r="D13046" t="str">
            <v>Lancashire</v>
          </cell>
          <cell r="E13046" t="str">
            <v>Community School</v>
          </cell>
          <cell r="F13046" t="str">
            <v>Secondary</v>
          </cell>
        </row>
        <row r="13047">
          <cell r="A13047">
            <v>8882117</v>
          </cell>
          <cell r="B13047">
            <v>119194</v>
          </cell>
          <cell r="C13047" t="str">
            <v>Haslingden Primary School</v>
          </cell>
          <cell r="D13047" t="str">
            <v>Lancashire</v>
          </cell>
          <cell r="E13047" t="str">
            <v>Foundation School</v>
          </cell>
          <cell r="F13047" t="str">
            <v>Primary</v>
          </cell>
        </row>
        <row r="13048">
          <cell r="A13048">
            <v>8883357</v>
          </cell>
          <cell r="B13048">
            <v>119452</v>
          </cell>
          <cell r="C13048" t="str">
            <v>Haslingden St James Church of England Primary School</v>
          </cell>
          <cell r="D13048" t="str">
            <v>Lancashire</v>
          </cell>
          <cell r="E13048" t="str">
            <v>Voluntary Aided School</v>
          </cell>
          <cell r="F13048" t="str">
            <v>Primary</v>
          </cell>
        </row>
        <row r="13049">
          <cell r="A13049">
            <v>8733035</v>
          </cell>
          <cell r="B13049">
            <v>110796</v>
          </cell>
          <cell r="C13049" t="str">
            <v>Haslingfield Endowed Primary School</v>
          </cell>
          <cell r="D13049" t="str">
            <v>Cambridgeshire</v>
          </cell>
          <cell r="E13049" t="str">
            <v>Voluntary Controlled School</v>
          </cell>
          <cell r="F13049" t="str">
            <v>Primary</v>
          </cell>
        </row>
        <row r="13050">
          <cell r="A13050">
            <v>8952216</v>
          </cell>
          <cell r="B13050">
            <v>111072</v>
          </cell>
          <cell r="C13050" t="str">
            <v>Haslington Primary School</v>
          </cell>
          <cell r="D13050" t="str">
            <v>Cheshire East</v>
          </cell>
          <cell r="E13050" t="str">
            <v>Community School</v>
          </cell>
          <cell r="F13050" t="str">
            <v>Primary</v>
          </cell>
        </row>
        <row r="13051">
          <cell r="A13051">
            <v>3342011</v>
          </cell>
          <cell r="B13051">
            <v>104046</v>
          </cell>
          <cell r="C13051" t="str">
            <v>Haslucks Green School</v>
          </cell>
          <cell r="D13051" t="str">
            <v>Solihull</v>
          </cell>
          <cell r="E13051" t="str">
            <v>Community School</v>
          </cell>
          <cell r="F13051" t="str">
            <v>Primary</v>
          </cell>
        </row>
        <row r="13052">
          <cell r="A13052">
            <v>3025409</v>
          </cell>
          <cell r="B13052">
            <v>101366</v>
          </cell>
          <cell r="C13052" t="str">
            <v>Hasmonean High School</v>
          </cell>
          <cell r="D13052" t="str">
            <v>Barnet</v>
          </cell>
          <cell r="E13052" t="str">
            <v>Voluntary Aided School</v>
          </cell>
          <cell r="F13052" t="str">
            <v>Secondary</v>
          </cell>
        </row>
        <row r="13053">
          <cell r="A13053">
            <v>3025409</v>
          </cell>
          <cell r="B13053">
            <v>137539</v>
          </cell>
          <cell r="C13053" t="str">
            <v>Hasmonean High School</v>
          </cell>
          <cell r="D13053" t="str">
            <v>Barnet</v>
          </cell>
          <cell r="E13053" t="str">
            <v>Academy Converters</v>
          </cell>
          <cell r="F13053" t="str">
            <v>Secondary</v>
          </cell>
        </row>
        <row r="13054">
          <cell r="A13054">
            <v>3026065</v>
          </cell>
          <cell r="B13054">
            <v>101379</v>
          </cell>
          <cell r="C13054" t="str">
            <v>Hasmonean Preparatory School</v>
          </cell>
          <cell r="D13054" t="str">
            <v>Barnet</v>
          </cell>
          <cell r="E13054" t="str">
            <v>Other Independent School</v>
          </cell>
          <cell r="F13054" t="str">
            <v>Not applicable</v>
          </cell>
        </row>
        <row r="13055">
          <cell r="A13055">
            <v>3023516</v>
          </cell>
          <cell r="B13055">
            <v>130998</v>
          </cell>
          <cell r="C13055" t="str">
            <v>Hasmonean Primary School</v>
          </cell>
          <cell r="D13055" t="str">
            <v>Barnet</v>
          </cell>
          <cell r="E13055" t="str">
            <v>Voluntary Aided School</v>
          </cell>
          <cell r="F13055" t="str">
            <v>Primary</v>
          </cell>
        </row>
        <row r="13056">
          <cell r="A13056">
            <v>9063125</v>
          </cell>
          <cell r="B13056">
            <v>130237</v>
          </cell>
          <cell r="C13056" t="str">
            <v>Hassall Green Methodist Primary School</v>
          </cell>
          <cell r="D13056" t="str">
            <v>Pre LGR (1998) Cheshire</v>
          </cell>
          <cell r="E13056" t="str">
            <v>Voluntary Controlled School</v>
          </cell>
          <cell r="F13056" t="str">
            <v>Primary</v>
          </cell>
        </row>
        <row r="13057">
          <cell r="A13057">
            <v>8602251</v>
          </cell>
          <cell r="B13057">
            <v>124110</v>
          </cell>
          <cell r="C13057" t="str">
            <v>Hassell Primary School</v>
          </cell>
          <cell r="D13057" t="str">
            <v>Staffordshire</v>
          </cell>
          <cell r="E13057" t="str">
            <v>Community School</v>
          </cell>
          <cell r="F13057" t="str">
            <v>Primary</v>
          </cell>
        </row>
        <row r="13058">
          <cell r="A13058">
            <v>8835449</v>
          </cell>
          <cell r="B13058">
            <v>115365</v>
          </cell>
          <cell r="C13058" t="str">
            <v>Hassenbrook School Specialist Technology College</v>
          </cell>
          <cell r="D13058" t="str">
            <v>Thurrock</v>
          </cell>
          <cell r="E13058" t="str">
            <v>Foundation School</v>
          </cell>
          <cell r="F13058" t="str">
            <v>Secondary</v>
          </cell>
        </row>
        <row r="13059">
          <cell r="A13059">
            <v>8835449</v>
          </cell>
          <cell r="B13059">
            <v>137364</v>
          </cell>
          <cell r="C13059" t="str">
            <v>Hassenbrook School Specialist Technology College</v>
          </cell>
          <cell r="D13059" t="str">
            <v>Thurrock</v>
          </cell>
          <cell r="E13059" t="str">
            <v>Academy Converters</v>
          </cell>
          <cell r="F13059" t="str">
            <v>Secondary</v>
          </cell>
        </row>
        <row r="13060">
          <cell r="A13060">
            <v>840612</v>
          </cell>
          <cell r="B13060">
            <v>128851</v>
          </cell>
          <cell r="C13060" t="str">
            <v>Hassockfield Secure Training Centre</v>
          </cell>
          <cell r="D13060" t="str">
            <v>Durham</v>
          </cell>
          <cell r="E13060" t="str">
            <v>Secure Units</v>
          </cell>
          <cell r="F13060" t="str">
            <v>Not applicable</v>
          </cell>
        </row>
        <row r="13061">
          <cell r="A13061">
            <v>9382206</v>
          </cell>
          <cell r="B13061">
            <v>125933</v>
          </cell>
          <cell r="C13061" t="str">
            <v>Hassocks Infant School</v>
          </cell>
          <cell r="D13061" t="str">
            <v>West Sussex</v>
          </cell>
          <cell r="E13061" t="str">
            <v>Community School</v>
          </cell>
          <cell r="F13061" t="str">
            <v>Primary</v>
          </cell>
        </row>
        <row r="13062">
          <cell r="A13062">
            <v>7022026</v>
          </cell>
          <cell r="B13062">
            <v>132408</v>
          </cell>
          <cell r="C13062" t="str">
            <v>Hastenbeck Primary School</v>
          </cell>
          <cell r="D13062" t="str">
            <v>BFPO Overseas Establishments</v>
          </cell>
          <cell r="E13062" t="str">
            <v>Service Childrens Education</v>
          </cell>
          <cell r="F13062" t="str">
            <v>Not applicable</v>
          </cell>
        </row>
        <row r="13063">
          <cell r="A13063">
            <v>3942027</v>
          </cell>
          <cell r="B13063">
            <v>108767</v>
          </cell>
          <cell r="C13063" t="str">
            <v>Hasting Hill Primary School</v>
          </cell>
          <cell r="D13063" t="str">
            <v>Sunderland</v>
          </cell>
          <cell r="E13063" t="str">
            <v>Community School</v>
          </cell>
          <cell r="F13063" t="str">
            <v>Primary</v>
          </cell>
        </row>
        <row r="13064">
          <cell r="A13064">
            <v>8554026</v>
          </cell>
          <cell r="B13064">
            <v>120250</v>
          </cell>
          <cell r="C13064" t="str">
            <v>Hastings High School</v>
          </cell>
          <cell r="D13064" t="str">
            <v>Leicestershire</v>
          </cell>
          <cell r="E13064" t="str">
            <v>Community School</v>
          </cell>
          <cell r="F13064" t="str">
            <v>Secondary</v>
          </cell>
        </row>
        <row r="13065">
          <cell r="A13065">
            <v>8451107</v>
          </cell>
          <cell r="B13065">
            <v>114359</v>
          </cell>
          <cell r="C13065" t="str">
            <v>Hastings Tutorial Unit</v>
          </cell>
          <cell r="D13065" t="str">
            <v>East Sussex</v>
          </cell>
          <cell r="E13065" t="str">
            <v>Pupil Referral Unit</v>
          </cell>
          <cell r="F13065" t="str">
            <v>PRU</v>
          </cell>
        </row>
        <row r="13066">
          <cell r="A13066">
            <v>8224064</v>
          </cell>
          <cell r="B13066">
            <v>109665</v>
          </cell>
          <cell r="C13066" t="str">
            <v>Hastingsbury Business &amp; Enterprise College</v>
          </cell>
          <cell r="D13066" t="str">
            <v>Bedford</v>
          </cell>
          <cell r="E13066" t="str">
            <v>Foundation School</v>
          </cell>
          <cell r="F13066" t="str">
            <v>Secondary</v>
          </cell>
        </row>
        <row r="13067">
          <cell r="A13067">
            <v>8402520</v>
          </cell>
          <cell r="B13067">
            <v>114145</v>
          </cell>
          <cell r="C13067" t="str">
            <v>Haswell Primary School</v>
          </cell>
          <cell r="D13067" t="str">
            <v>Durham</v>
          </cell>
          <cell r="E13067" t="str">
            <v>Community School</v>
          </cell>
          <cell r="F13067" t="str">
            <v>Primary</v>
          </cell>
        </row>
        <row r="13068">
          <cell r="A13068">
            <v>9333179</v>
          </cell>
          <cell r="B13068">
            <v>123794</v>
          </cell>
          <cell r="C13068" t="str">
            <v>Hatch Beauchamp Church of England Primary School</v>
          </cell>
          <cell r="D13068" t="str">
            <v>Somerset</v>
          </cell>
          <cell r="E13068" t="str">
            <v>Voluntary Controlled School</v>
          </cell>
          <cell r="F13068" t="str">
            <v>Primary</v>
          </cell>
        </row>
        <row r="13069">
          <cell r="A13069">
            <v>3104020</v>
          </cell>
          <cell r="B13069">
            <v>102235</v>
          </cell>
          <cell r="C13069" t="str">
            <v>Hatch End High School</v>
          </cell>
          <cell r="D13069" t="str">
            <v>Harrow</v>
          </cell>
          <cell r="E13069" t="str">
            <v>Community School</v>
          </cell>
          <cell r="F13069" t="str">
            <v>Secondary</v>
          </cell>
        </row>
        <row r="13070">
          <cell r="A13070">
            <v>3104020</v>
          </cell>
          <cell r="B13070">
            <v>137204</v>
          </cell>
          <cell r="C13070" t="str">
            <v>Hatch End High School</v>
          </cell>
          <cell r="D13070" t="str">
            <v>Harrow</v>
          </cell>
          <cell r="E13070" t="str">
            <v>Academy Converters</v>
          </cell>
          <cell r="F13070" t="str">
            <v>Secondary</v>
          </cell>
        </row>
        <row r="13071">
          <cell r="A13071">
            <v>8722163</v>
          </cell>
          <cell r="B13071">
            <v>109892</v>
          </cell>
          <cell r="C13071" t="str">
            <v>Hatch Ride Primary School</v>
          </cell>
          <cell r="D13071" t="str">
            <v>Wokingham</v>
          </cell>
          <cell r="E13071" t="str">
            <v>Community School</v>
          </cell>
          <cell r="F13071" t="str">
            <v>Primary</v>
          </cell>
        </row>
        <row r="13072">
          <cell r="A13072">
            <v>8502470</v>
          </cell>
          <cell r="B13072">
            <v>116137</v>
          </cell>
          <cell r="C13072" t="str">
            <v>Hatch Warren Infant School</v>
          </cell>
          <cell r="D13072" t="str">
            <v>Hampshire</v>
          </cell>
          <cell r="E13072" t="str">
            <v>Community School</v>
          </cell>
          <cell r="F13072" t="str">
            <v>Primary</v>
          </cell>
        </row>
        <row r="13073">
          <cell r="A13073">
            <v>8502761</v>
          </cell>
          <cell r="B13073">
            <v>116255</v>
          </cell>
          <cell r="C13073" t="str">
            <v>Hatch Warren Junior School</v>
          </cell>
          <cell r="D13073" t="str">
            <v>Hampshire</v>
          </cell>
          <cell r="E13073" t="str">
            <v>Community School</v>
          </cell>
          <cell r="F13073" t="str">
            <v>Primary</v>
          </cell>
        </row>
        <row r="13074">
          <cell r="A13074">
            <v>2094318</v>
          </cell>
          <cell r="B13074">
            <v>100746</v>
          </cell>
          <cell r="C13074" t="str">
            <v>Hatcham Wood School</v>
          </cell>
          <cell r="D13074" t="str">
            <v>Lewisham</v>
          </cell>
          <cell r="E13074" t="str">
            <v>Community School</v>
          </cell>
          <cell r="F13074" t="str">
            <v>Secondary</v>
          </cell>
        </row>
        <row r="13075">
          <cell r="A13075">
            <v>3712198</v>
          </cell>
          <cell r="B13075">
            <v>130924</v>
          </cell>
          <cell r="C13075" t="str">
            <v>Hatchell Wood Primary School</v>
          </cell>
          <cell r="D13075" t="str">
            <v>Doncaster</v>
          </cell>
          <cell r="E13075" t="str">
            <v>Community School</v>
          </cell>
          <cell r="F13075" t="str">
            <v>Primary</v>
          </cell>
        </row>
        <row r="13076">
          <cell r="A13076">
            <v>3342012</v>
          </cell>
          <cell r="B13076">
            <v>104047</v>
          </cell>
          <cell r="C13076" t="str">
            <v>Hatchford Brook Junior and Infant School</v>
          </cell>
          <cell r="D13076" t="str">
            <v>Solihull</v>
          </cell>
          <cell r="E13076" t="str">
            <v>Community School</v>
          </cell>
          <cell r="F13076" t="str">
            <v>Primary</v>
          </cell>
        </row>
        <row r="13077">
          <cell r="A13077">
            <v>2037100</v>
          </cell>
          <cell r="B13077">
            <v>126588</v>
          </cell>
          <cell r="C13077" t="str">
            <v>Hatchford Park School</v>
          </cell>
          <cell r="D13077" t="str">
            <v>Greenwich</v>
          </cell>
          <cell r="E13077" t="str">
            <v>Community Special School</v>
          </cell>
          <cell r="F13077" t="str">
            <v>Special</v>
          </cell>
        </row>
        <row r="13078">
          <cell r="A13078">
            <v>3332020</v>
          </cell>
          <cell r="B13078">
            <v>103900</v>
          </cell>
          <cell r="C13078" t="str">
            <v>Hateley Heath Infant School</v>
          </cell>
          <cell r="D13078" t="str">
            <v>Sandwell</v>
          </cell>
          <cell r="E13078" t="str">
            <v>Community School</v>
          </cell>
          <cell r="F13078" t="str">
            <v>Primary</v>
          </cell>
        </row>
        <row r="13079">
          <cell r="A13079">
            <v>3332019</v>
          </cell>
          <cell r="B13079">
            <v>103899</v>
          </cell>
          <cell r="C13079" t="str">
            <v>Hateley Heath Junior School</v>
          </cell>
          <cell r="D13079" t="str">
            <v>Sandwell</v>
          </cell>
          <cell r="E13079" t="str">
            <v>Community School</v>
          </cell>
          <cell r="F13079" t="str">
            <v>Primary</v>
          </cell>
        </row>
        <row r="13080">
          <cell r="A13080">
            <v>3332188</v>
          </cell>
          <cell r="B13080">
            <v>131943</v>
          </cell>
          <cell r="C13080" t="str">
            <v>Hateley Heath Primary School</v>
          </cell>
          <cell r="D13080" t="str">
            <v>Sandwell</v>
          </cell>
          <cell r="E13080" t="str">
            <v>Community School</v>
          </cell>
          <cell r="F13080" t="str">
            <v>Primary</v>
          </cell>
        </row>
        <row r="13081">
          <cell r="A13081">
            <v>3152059</v>
          </cell>
          <cell r="B13081">
            <v>102632</v>
          </cell>
          <cell r="C13081" t="str">
            <v>Hatfeild Primary School</v>
          </cell>
          <cell r="D13081" t="str">
            <v>Merton</v>
          </cell>
          <cell r="E13081" t="str">
            <v>Community School</v>
          </cell>
          <cell r="F13081" t="str">
            <v>Primary</v>
          </cell>
        </row>
        <row r="13082">
          <cell r="A13082">
            <v>3714037</v>
          </cell>
          <cell r="B13082">
            <v>106792</v>
          </cell>
          <cell r="C13082" t="str">
            <v>Hatfield Ash Hill Middle School</v>
          </cell>
          <cell r="D13082" t="str">
            <v>Doncaster</v>
          </cell>
          <cell r="E13082" t="str">
            <v>Community School</v>
          </cell>
          <cell r="F13082" t="str">
            <v>Middle Deemed Secondary</v>
          </cell>
        </row>
        <row r="13083">
          <cell r="A13083">
            <v>3712127</v>
          </cell>
          <cell r="B13083">
            <v>106705</v>
          </cell>
          <cell r="C13083" t="str">
            <v>Hatfield Crookesbroom Primary School</v>
          </cell>
          <cell r="D13083" t="str">
            <v>Doncaster</v>
          </cell>
          <cell r="E13083" t="str">
            <v>Community School</v>
          </cell>
          <cell r="F13083" t="str">
            <v>Primary</v>
          </cell>
        </row>
        <row r="13084">
          <cell r="A13084">
            <v>8812520</v>
          </cell>
          <cell r="B13084">
            <v>114878</v>
          </cell>
          <cell r="C13084" t="str">
            <v>Hatfield Heath Community Primary School</v>
          </cell>
          <cell r="D13084" t="str">
            <v>Essex</v>
          </cell>
          <cell r="E13084" t="str">
            <v>Community School</v>
          </cell>
          <cell r="F13084" t="str">
            <v>Primary</v>
          </cell>
        </row>
        <row r="13085">
          <cell r="A13085">
            <v>3713322</v>
          </cell>
          <cell r="B13085">
            <v>130301</v>
          </cell>
          <cell r="C13085" t="str">
            <v>Hatfield Manor CofE Junior School</v>
          </cell>
          <cell r="D13085" t="str">
            <v>Doncaster</v>
          </cell>
          <cell r="E13085" t="str">
            <v>Voluntary Aided School</v>
          </cell>
          <cell r="F13085" t="str">
            <v>Primary</v>
          </cell>
        </row>
        <row r="13086">
          <cell r="A13086">
            <v>8812737</v>
          </cell>
          <cell r="B13086">
            <v>114974</v>
          </cell>
          <cell r="C13086" t="str">
            <v>Hatfield Peverel Infant School</v>
          </cell>
          <cell r="D13086" t="str">
            <v>Essex</v>
          </cell>
          <cell r="E13086" t="str">
            <v>Community School</v>
          </cell>
          <cell r="F13086" t="str">
            <v>Primary</v>
          </cell>
        </row>
        <row r="13087">
          <cell r="A13087">
            <v>8815279</v>
          </cell>
          <cell r="B13087">
            <v>115102</v>
          </cell>
          <cell r="C13087" t="str">
            <v>Hatfield Peverel St Andrew's Junior School</v>
          </cell>
          <cell r="D13087" t="str">
            <v>Essex</v>
          </cell>
          <cell r="E13087" t="str">
            <v>Foundation School</v>
          </cell>
          <cell r="F13087" t="str">
            <v>Primary</v>
          </cell>
        </row>
        <row r="13088">
          <cell r="A13088">
            <v>3732047</v>
          </cell>
          <cell r="B13088">
            <v>106993</v>
          </cell>
          <cell r="C13088" t="str">
            <v>Hatfield Primary School</v>
          </cell>
          <cell r="D13088" t="str">
            <v>Sheffield</v>
          </cell>
          <cell r="E13088" t="str">
            <v>Community School</v>
          </cell>
          <cell r="F13088" t="str">
            <v>Primary</v>
          </cell>
        </row>
        <row r="13089">
          <cell r="A13089">
            <v>9194057</v>
          </cell>
          <cell r="B13089">
            <v>129156</v>
          </cell>
          <cell r="C13089" t="str">
            <v>Hatfield School</v>
          </cell>
          <cell r="D13089" t="str">
            <v>Hertfordshire</v>
          </cell>
          <cell r="E13089" t="str">
            <v>Community School</v>
          </cell>
          <cell r="F13089" t="str">
            <v>Secondary</v>
          </cell>
        </row>
        <row r="13090">
          <cell r="A13090">
            <v>3712147</v>
          </cell>
          <cell r="B13090">
            <v>106717</v>
          </cell>
          <cell r="C13090" t="str">
            <v>Hatfield Sheep Dip Lane Primary School</v>
          </cell>
          <cell r="D13090" t="str">
            <v>Doncaster</v>
          </cell>
          <cell r="E13090" t="str">
            <v>Community School</v>
          </cell>
          <cell r="F13090" t="str">
            <v>Primary</v>
          </cell>
        </row>
        <row r="13091">
          <cell r="A13091">
            <v>3714023</v>
          </cell>
          <cell r="B13091">
            <v>106784</v>
          </cell>
          <cell r="C13091" t="str">
            <v>Hatfield Visual Arts College</v>
          </cell>
          <cell r="D13091" t="str">
            <v>Doncaster</v>
          </cell>
          <cell r="E13091" t="str">
            <v>Community School</v>
          </cell>
          <cell r="F13091" t="str">
            <v>Secondary</v>
          </cell>
        </row>
        <row r="13092">
          <cell r="A13092">
            <v>3712080</v>
          </cell>
          <cell r="B13092">
            <v>106681</v>
          </cell>
          <cell r="C13092" t="str">
            <v>Hatfield Woodhouse Primary School</v>
          </cell>
          <cell r="D13092" t="str">
            <v>Doncaster</v>
          </cell>
          <cell r="E13092" t="str">
            <v>Community School</v>
          </cell>
          <cell r="F13092" t="str">
            <v>Primary</v>
          </cell>
        </row>
        <row r="13093">
          <cell r="A13093">
            <v>3072184</v>
          </cell>
          <cell r="B13093">
            <v>101914</v>
          </cell>
          <cell r="C13093" t="str">
            <v>Hathaway Primary School</v>
          </cell>
          <cell r="D13093" t="str">
            <v>Ealing</v>
          </cell>
          <cell r="E13093" t="str">
            <v>Community School</v>
          </cell>
          <cell r="F13093" t="str">
            <v>Primary</v>
          </cell>
        </row>
        <row r="13094">
          <cell r="A13094">
            <v>8503341</v>
          </cell>
          <cell r="B13094">
            <v>116359</v>
          </cell>
          <cell r="C13094" t="str">
            <v>Hatherden Church of England Primary School</v>
          </cell>
          <cell r="D13094" t="str">
            <v>Hampshire</v>
          </cell>
          <cell r="E13094" t="str">
            <v>Voluntary Aided School</v>
          </cell>
          <cell r="F13094" t="str">
            <v>Primary</v>
          </cell>
        </row>
        <row r="13095">
          <cell r="A13095">
            <v>8782605</v>
          </cell>
          <cell r="B13095">
            <v>113251</v>
          </cell>
          <cell r="C13095" t="str">
            <v>Hatherleigh Community Primary School</v>
          </cell>
          <cell r="D13095" t="str">
            <v>Devon</v>
          </cell>
          <cell r="E13095" t="str">
            <v>Community School</v>
          </cell>
          <cell r="F13095" t="str">
            <v>Primary</v>
          </cell>
        </row>
        <row r="13096">
          <cell r="A13096">
            <v>9162005</v>
          </cell>
          <cell r="B13096">
            <v>115484</v>
          </cell>
          <cell r="C13096" t="str">
            <v>Hatherley Infant School</v>
          </cell>
          <cell r="D13096" t="str">
            <v>Gloucestershire</v>
          </cell>
          <cell r="E13096" t="str">
            <v>Community School</v>
          </cell>
          <cell r="F13096" t="str">
            <v>Primary</v>
          </cell>
        </row>
        <row r="13097">
          <cell r="A13097">
            <v>8553106</v>
          </cell>
          <cell r="B13097">
            <v>120175</v>
          </cell>
          <cell r="C13097" t="str">
            <v>Hathern Church of England Primary School</v>
          </cell>
          <cell r="D13097" t="str">
            <v>Leicestershire</v>
          </cell>
          <cell r="E13097" t="str">
            <v>Voluntary Controlled School</v>
          </cell>
          <cell r="F13097" t="str">
            <v>Primary</v>
          </cell>
        </row>
        <row r="13098">
          <cell r="A13098">
            <v>9166012</v>
          </cell>
          <cell r="B13098">
            <v>115783</v>
          </cell>
          <cell r="C13098" t="str">
            <v>Hatherop Castle School</v>
          </cell>
          <cell r="D13098" t="str">
            <v>Gloucestershire</v>
          </cell>
          <cell r="E13098" t="str">
            <v>Other Independent School</v>
          </cell>
          <cell r="F13098" t="str">
            <v>Not applicable</v>
          </cell>
        </row>
        <row r="13099">
          <cell r="A13099">
            <v>9163041</v>
          </cell>
          <cell r="B13099">
            <v>115628</v>
          </cell>
          <cell r="C13099" t="str">
            <v>Hatherop Church of England Primary School</v>
          </cell>
          <cell r="D13099" t="str">
            <v>Gloucestershire</v>
          </cell>
          <cell r="E13099" t="str">
            <v>Voluntary Controlled School</v>
          </cell>
          <cell r="F13099" t="str">
            <v>Primary</v>
          </cell>
        </row>
        <row r="13100">
          <cell r="A13100">
            <v>8303321</v>
          </cell>
          <cell r="B13100">
            <v>112885</v>
          </cell>
          <cell r="C13100" t="str">
            <v>Hathersage St Michael's CofE (Aided) Primary School</v>
          </cell>
          <cell r="D13100" t="str">
            <v>Derbyshire</v>
          </cell>
          <cell r="E13100" t="str">
            <v>Voluntary Aided School</v>
          </cell>
          <cell r="F13100" t="str">
            <v>Primary</v>
          </cell>
        </row>
        <row r="13101">
          <cell r="A13101">
            <v>3352038</v>
          </cell>
          <cell r="B13101">
            <v>127185</v>
          </cell>
          <cell r="C13101" t="str">
            <v>Hatherton Lane Infant School</v>
          </cell>
          <cell r="D13101" t="str">
            <v>Walsall</v>
          </cell>
          <cell r="E13101" t="str">
            <v>Community School</v>
          </cell>
          <cell r="F13101" t="str">
            <v>Primary</v>
          </cell>
        </row>
        <row r="13102">
          <cell r="A13102">
            <v>3352040</v>
          </cell>
          <cell r="B13102">
            <v>127186</v>
          </cell>
          <cell r="C13102" t="str">
            <v>Hatherton Lane Junior School</v>
          </cell>
          <cell r="D13102" t="str">
            <v>Walsall</v>
          </cell>
          <cell r="E13102" t="str">
            <v>Community School</v>
          </cell>
          <cell r="F13102" t="str">
            <v>Primary</v>
          </cell>
        </row>
        <row r="13103">
          <cell r="A13103">
            <v>3352236</v>
          </cell>
          <cell r="B13103">
            <v>104213</v>
          </cell>
          <cell r="C13103" t="str">
            <v>Hatherton Primary School</v>
          </cell>
          <cell r="D13103" t="str">
            <v>Walsall</v>
          </cell>
          <cell r="E13103" t="str">
            <v>Community School</v>
          </cell>
          <cell r="F13103" t="str">
            <v>Primary</v>
          </cell>
        </row>
        <row r="13104">
          <cell r="A13104">
            <v>3432066</v>
          </cell>
          <cell r="B13104">
            <v>104878</v>
          </cell>
          <cell r="C13104" t="str">
            <v>Hatton Hill Primary School</v>
          </cell>
          <cell r="D13104" t="str">
            <v>Sefton</v>
          </cell>
          <cell r="E13104" t="str">
            <v>Community School</v>
          </cell>
          <cell r="F13104" t="str">
            <v>Primary</v>
          </cell>
        </row>
        <row r="13105">
          <cell r="A13105">
            <v>3306024</v>
          </cell>
          <cell r="B13105">
            <v>135763</v>
          </cell>
          <cell r="C13105" t="str">
            <v>Hatton House</v>
          </cell>
          <cell r="D13105" t="str">
            <v>Birmingham</v>
          </cell>
          <cell r="E13105" t="str">
            <v>Other Independent School</v>
          </cell>
          <cell r="F13105" t="str">
            <v>Not applicable</v>
          </cell>
        </row>
        <row r="13106">
          <cell r="A13106">
            <v>9372304</v>
          </cell>
          <cell r="B13106">
            <v>130149</v>
          </cell>
          <cell r="C13106" t="str">
            <v>Hatton Junior and Infant School</v>
          </cell>
          <cell r="D13106" t="str">
            <v>Warwickshire</v>
          </cell>
          <cell r="E13106" t="str">
            <v>Community School</v>
          </cell>
          <cell r="F13106" t="str">
            <v>Primary</v>
          </cell>
        </row>
        <row r="13107">
          <cell r="A13107">
            <v>8732056</v>
          </cell>
          <cell r="B13107">
            <v>110623</v>
          </cell>
          <cell r="C13107" t="str">
            <v>Hatton Park Primary School</v>
          </cell>
          <cell r="D13107" t="str">
            <v>Cambridgeshire</v>
          </cell>
          <cell r="E13107" t="str">
            <v>Community School</v>
          </cell>
          <cell r="F13107" t="str">
            <v>Primary</v>
          </cell>
        </row>
        <row r="13108">
          <cell r="A13108">
            <v>3177007</v>
          </cell>
          <cell r="B13108">
            <v>102881</v>
          </cell>
          <cell r="C13108" t="str">
            <v>Hatton School and Special Needs Centre</v>
          </cell>
          <cell r="D13108" t="str">
            <v>Redbridge</v>
          </cell>
          <cell r="E13108" t="str">
            <v>Community Special School</v>
          </cell>
          <cell r="F13108" t="str">
            <v>Special</v>
          </cell>
        </row>
        <row r="13109">
          <cell r="A13109">
            <v>3814002</v>
          </cell>
          <cell r="B13109">
            <v>127765</v>
          </cell>
          <cell r="C13109" t="str">
            <v>Haugh Shaw School</v>
          </cell>
          <cell r="D13109" t="str">
            <v>Calderdale</v>
          </cell>
          <cell r="E13109" t="str">
            <v>Community School</v>
          </cell>
          <cell r="F13109" t="str">
            <v>Secondary</v>
          </cell>
        </row>
        <row r="13110">
          <cell r="A13110">
            <v>9343062</v>
          </cell>
          <cell r="B13110">
            <v>129914</v>
          </cell>
          <cell r="C13110" t="str">
            <v>Haughton CofE First School</v>
          </cell>
          <cell r="D13110" t="str">
            <v>Pre LGR (1997) Staffordshire</v>
          </cell>
          <cell r="E13110" t="str">
            <v>Voluntary Controlled School</v>
          </cell>
          <cell r="F13110" t="str">
            <v>Primary</v>
          </cell>
        </row>
        <row r="13111">
          <cell r="A13111">
            <v>8414285</v>
          </cell>
          <cell r="B13111">
            <v>114320</v>
          </cell>
          <cell r="C13111" t="str">
            <v>Haughton Community School</v>
          </cell>
          <cell r="D13111" t="str">
            <v>Darlington</v>
          </cell>
          <cell r="E13111" t="str">
            <v>Community School</v>
          </cell>
          <cell r="F13111" t="str">
            <v>Secondary</v>
          </cell>
        </row>
        <row r="13112">
          <cell r="A13112">
            <v>9326089</v>
          </cell>
          <cell r="B13112">
            <v>129826</v>
          </cell>
          <cell r="C13112" t="str">
            <v>Haughton Hall School</v>
          </cell>
          <cell r="D13112" t="str">
            <v>Pre LGR (1998) Shropshire</v>
          </cell>
          <cell r="E13112" t="str">
            <v>Other Independent School</v>
          </cell>
          <cell r="F13112" t="str">
            <v>Not applicable</v>
          </cell>
        </row>
        <row r="13113">
          <cell r="A13113">
            <v>8947001</v>
          </cell>
          <cell r="B13113">
            <v>123629</v>
          </cell>
          <cell r="C13113" t="str">
            <v>Haughton School</v>
          </cell>
          <cell r="D13113" t="str">
            <v>Telford and Wrekin</v>
          </cell>
          <cell r="E13113" t="str">
            <v>Community Special School</v>
          </cell>
          <cell r="F13113" t="str">
            <v>Special</v>
          </cell>
        </row>
        <row r="13114">
          <cell r="A13114">
            <v>8603151</v>
          </cell>
          <cell r="B13114">
            <v>124301</v>
          </cell>
          <cell r="C13114" t="str">
            <v>Haughton St Giles CofE (C) Primary School</v>
          </cell>
          <cell r="D13114" t="str">
            <v>Staffordshire</v>
          </cell>
          <cell r="E13114" t="str">
            <v>Voluntary Controlled School</v>
          </cell>
          <cell r="F13114" t="str">
            <v>Primary</v>
          </cell>
        </row>
        <row r="13115">
          <cell r="A13115">
            <v>7074001</v>
          </cell>
          <cell r="B13115">
            <v>132540</v>
          </cell>
          <cell r="C13115" t="str">
            <v>Haute Vallee School</v>
          </cell>
          <cell r="D13115" t="str">
            <v>Jersey Offshore Establishments</v>
          </cell>
          <cell r="E13115" t="str">
            <v>Offshore Schools</v>
          </cell>
          <cell r="F13115" t="str">
            <v>Not applicable</v>
          </cell>
        </row>
        <row r="13116">
          <cell r="A13116">
            <v>7062005</v>
          </cell>
          <cell r="B13116">
            <v>132476</v>
          </cell>
          <cell r="C13116" t="str">
            <v>Hautes Capelles Infant School</v>
          </cell>
          <cell r="D13116" t="str">
            <v>Guernsey Offshore Establishments</v>
          </cell>
          <cell r="E13116" t="str">
            <v>Offshore Schools</v>
          </cell>
          <cell r="F13116" t="str">
            <v>Not applicable</v>
          </cell>
        </row>
        <row r="13117">
          <cell r="A13117">
            <v>7063002</v>
          </cell>
          <cell r="B13117">
            <v>132509</v>
          </cell>
          <cell r="C13117" t="str">
            <v>Hautes Capelles Junior School</v>
          </cell>
          <cell r="D13117" t="str">
            <v>Guernsey Offshore Establishments</v>
          </cell>
          <cell r="E13117" t="str">
            <v>Offshore Schools</v>
          </cell>
          <cell r="F13117" t="str">
            <v>Not applicable</v>
          </cell>
        </row>
        <row r="13118">
          <cell r="A13118">
            <v>7066009</v>
          </cell>
          <cell r="B13118">
            <v>134335</v>
          </cell>
          <cell r="C13118" t="str">
            <v>Hautes Capelles Primary School</v>
          </cell>
          <cell r="D13118" t="str">
            <v>Guernsey Offshore Establishments</v>
          </cell>
          <cell r="E13118" t="str">
            <v>Offshore Schools</v>
          </cell>
          <cell r="F13118" t="str">
            <v>Not applicable</v>
          </cell>
        </row>
        <row r="13119">
          <cell r="A13119">
            <v>7074005</v>
          </cell>
          <cell r="B13119">
            <v>132522</v>
          </cell>
          <cell r="C13119" t="str">
            <v>Hautlieu School</v>
          </cell>
          <cell r="D13119" t="str">
            <v>Jersey Offshore Establishments</v>
          </cell>
          <cell r="E13119" t="str">
            <v>Offshore Schools</v>
          </cell>
          <cell r="F13119" t="str">
            <v>Not applicable</v>
          </cell>
        </row>
        <row r="13120">
          <cell r="A13120">
            <v>8732205</v>
          </cell>
          <cell r="B13120">
            <v>110673</v>
          </cell>
          <cell r="C13120" t="str">
            <v>Hauxton Primary School</v>
          </cell>
          <cell r="D13120" t="str">
            <v>Cambridgeshire</v>
          </cell>
          <cell r="E13120" t="str">
            <v>Community School</v>
          </cell>
          <cell r="F13120" t="str">
            <v>Primary</v>
          </cell>
        </row>
        <row r="13121">
          <cell r="A13121">
            <v>8952175</v>
          </cell>
          <cell r="B13121">
            <v>111044</v>
          </cell>
          <cell r="C13121" t="str">
            <v>Havannah Primary School</v>
          </cell>
          <cell r="D13121" t="str">
            <v>Cheshire East</v>
          </cell>
          <cell r="E13121" t="str">
            <v>Community School</v>
          </cell>
          <cell r="F13121" t="str">
            <v>Primary</v>
          </cell>
        </row>
        <row r="13122">
          <cell r="A13122">
            <v>8506905</v>
          </cell>
          <cell r="B13122">
            <v>136156</v>
          </cell>
          <cell r="C13122" t="str">
            <v>Havant Academy</v>
          </cell>
          <cell r="D13122" t="str">
            <v>Hampshire</v>
          </cell>
          <cell r="E13122" t="str">
            <v>Academy Sponsor Led</v>
          </cell>
          <cell r="F13122" t="str">
            <v>Secondary</v>
          </cell>
        </row>
        <row r="13123">
          <cell r="A13123">
            <v>9174186</v>
          </cell>
          <cell r="B13123">
            <v>129039</v>
          </cell>
          <cell r="C13123" t="str">
            <v>Havant College</v>
          </cell>
          <cell r="D13123" t="str">
            <v>Pre LGR (1997) Hampshire</v>
          </cell>
          <cell r="E13123" t="str">
            <v>Community School</v>
          </cell>
          <cell r="F13123" t="str">
            <v>Secondary</v>
          </cell>
        </row>
        <row r="13124">
          <cell r="A13124">
            <v>8508603</v>
          </cell>
          <cell r="B13124">
            <v>130702</v>
          </cell>
          <cell r="C13124" t="str">
            <v>Havant College</v>
          </cell>
          <cell r="D13124" t="str">
            <v>Hampshire</v>
          </cell>
          <cell r="E13124" t="str">
            <v>Further Education</v>
          </cell>
          <cell r="F13124" t="str">
            <v>16 Plus</v>
          </cell>
        </row>
        <row r="13125">
          <cell r="A13125">
            <v>3522127</v>
          </cell>
          <cell r="B13125">
            <v>105420</v>
          </cell>
          <cell r="C13125" t="str">
            <v>Haveley Hey Community School</v>
          </cell>
          <cell r="D13125" t="str">
            <v>Manchester</v>
          </cell>
          <cell r="E13125" t="str">
            <v>Community School</v>
          </cell>
          <cell r="F13125" t="str">
            <v>Primary</v>
          </cell>
        </row>
        <row r="13126">
          <cell r="A13126">
            <v>3522128</v>
          </cell>
          <cell r="B13126">
            <v>105421</v>
          </cell>
          <cell r="C13126" t="str">
            <v>Haveley Hey Infant School</v>
          </cell>
          <cell r="D13126" t="str">
            <v>Manchester</v>
          </cell>
          <cell r="E13126" t="str">
            <v>Community School</v>
          </cell>
          <cell r="F13126" t="str">
            <v>Primary</v>
          </cell>
        </row>
        <row r="13127">
          <cell r="A13127">
            <v>8126907</v>
          </cell>
          <cell r="B13127">
            <v>135294</v>
          </cell>
          <cell r="C13127" t="str">
            <v>Havelock Academy</v>
          </cell>
          <cell r="D13127" t="str">
            <v>North East Lincolnshire</v>
          </cell>
          <cell r="E13127" t="str">
            <v>Academy Sponsor Led</v>
          </cell>
          <cell r="F13127" t="str">
            <v>Secondary</v>
          </cell>
        </row>
        <row r="13128">
          <cell r="A13128">
            <v>3942029</v>
          </cell>
          <cell r="B13128">
            <v>108768</v>
          </cell>
          <cell r="C13128" t="str">
            <v>Havelock Community Primary School</v>
          </cell>
          <cell r="D13128" t="str">
            <v>Sunderland</v>
          </cell>
          <cell r="E13128" t="str">
            <v>Community School</v>
          </cell>
          <cell r="F13128" t="str">
            <v>Primary</v>
          </cell>
        </row>
        <row r="13129">
          <cell r="A13129">
            <v>3072148</v>
          </cell>
          <cell r="B13129">
            <v>126868</v>
          </cell>
          <cell r="C13129" t="str">
            <v>Havelock First School</v>
          </cell>
          <cell r="D13129" t="str">
            <v>Ealing</v>
          </cell>
          <cell r="E13129" t="str">
            <v>Community School</v>
          </cell>
          <cell r="F13129" t="str">
            <v>Primary</v>
          </cell>
        </row>
        <row r="13130">
          <cell r="A13130">
            <v>9282028</v>
          </cell>
          <cell r="B13130">
            <v>121816</v>
          </cell>
          <cell r="C13130" t="str">
            <v>Havelock Infant School</v>
          </cell>
          <cell r="D13130" t="str">
            <v>Northamptonshire</v>
          </cell>
          <cell r="E13130" t="str">
            <v>Community School</v>
          </cell>
          <cell r="F13130" t="str">
            <v>Primary</v>
          </cell>
        </row>
        <row r="13131">
          <cell r="A13131">
            <v>9282027</v>
          </cell>
          <cell r="B13131">
            <v>121815</v>
          </cell>
          <cell r="C13131" t="str">
            <v>Havelock Junior School</v>
          </cell>
          <cell r="D13131" t="str">
            <v>Northamptonshire</v>
          </cell>
          <cell r="E13131" t="str">
            <v>Community School</v>
          </cell>
          <cell r="F13131" t="str">
            <v>Primary</v>
          </cell>
        </row>
        <row r="13132">
          <cell r="A13132">
            <v>3072149</v>
          </cell>
          <cell r="B13132">
            <v>126869</v>
          </cell>
          <cell r="C13132" t="str">
            <v>Havelock Middle School</v>
          </cell>
          <cell r="D13132" t="str">
            <v>Ealing</v>
          </cell>
          <cell r="E13132" t="str">
            <v>Community School</v>
          </cell>
          <cell r="F13132" t="str">
            <v>Middle Deemed Primary</v>
          </cell>
        </row>
        <row r="13133">
          <cell r="A13133">
            <v>3072170</v>
          </cell>
          <cell r="B13133">
            <v>101900</v>
          </cell>
          <cell r="C13133" t="str">
            <v>Havelock Primary School</v>
          </cell>
          <cell r="D13133" t="str">
            <v>Ealing</v>
          </cell>
          <cell r="E13133" t="str">
            <v>Community School</v>
          </cell>
          <cell r="F13133" t="str">
            <v>Primary</v>
          </cell>
        </row>
        <row r="13134">
          <cell r="A13134">
            <v>8124008</v>
          </cell>
          <cell r="B13134">
            <v>118065</v>
          </cell>
          <cell r="C13134" t="str">
            <v>Havelock School</v>
          </cell>
          <cell r="D13134" t="str">
            <v>North East Lincolnshire</v>
          </cell>
          <cell r="E13134" t="str">
            <v>Community School</v>
          </cell>
          <cell r="F13134" t="str">
            <v>Secondary</v>
          </cell>
        </row>
        <row r="13135">
          <cell r="A13135">
            <v>9204035</v>
          </cell>
          <cell r="B13135">
            <v>129266</v>
          </cell>
          <cell r="C13135" t="str">
            <v>Havelock School</v>
          </cell>
          <cell r="D13135" t="str">
            <v>Pre LGR (1996) Humberside</v>
          </cell>
          <cell r="E13135" t="str">
            <v>Community School</v>
          </cell>
          <cell r="F13135" t="str">
            <v>Secondary</v>
          </cell>
        </row>
        <row r="13136">
          <cell r="A13136">
            <v>8501001</v>
          </cell>
          <cell r="B13136">
            <v>115830</v>
          </cell>
          <cell r="C13136" t="str">
            <v>Haven Early Years Centre</v>
          </cell>
          <cell r="D13136" t="str">
            <v>Hampshire</v>
          </cell>
          <cell r="E13136" t="str">
            <v>LA Nursery School</v>
          </cell>
          <cell r="F13136" t="str">
            <v>Nursery</v>
          </cell>
        </row>
        <row r="13137">
          <cell r="A13137">
            <v>9254072</v>
          </cell>
          <cell r="B13137">
            <v>120660</v>
          </cell>
          <cell r="C13137" t="str">
            <v>Haven High Technology College</v>
          </cell>
          <cell r="D13137" t="str">
            <v>Lincolnshire</v>
          </cell>
          <cell r="E13137" t="str">
            <v>Community School</v>
          </cell>
          <cell r="F13137" t="str">
            <v>Secondary</v>
          </cell>
        </row>
        <row r="13138">
          <cell r="A13138">
            <v>8881101</v>
          </cell>
          <cell r="B13138">
            <v>119104</v>
          </cell>
          <cell r="C13138" t="str">
            <v>Haven School</v>
          </cell>
          <cell r="D13138" t="str">
            <v>Lancashire</v>
          </cell>
          <cell r="E13138" t="str">
            <v>Pupil Referral Unit</v>
          </cell>
          <cell r="F13138" t="str">
            <v>PRU</v>
          </cell>
        </row>
        <row r="13139">
          <cell r="A13139">
            <v>3842194</v>
          </cell>
          <cell r="B13139">
            <v>130950</v>
          </cell>
          <cell r="C13139" t="str">
            <v>Havercroft Junior Infant and Nursery School</v>
          </cell>
          <cell r="D13139" t="str">
            <v>Wakefield</v>
          </cell>
          <cell r="E13139" t="str">
            <v>Community School</v>
          </cell>
          <cell r="F13139" t="str">
            <v>Primary</v>
          </cell>
        </row>
        <row r="13140">
          <cell r="A13140">
            <v>3842048</v>
          </cell>
          <cell r="B13140">
            <v>108143</v>
          </cell>
          <cell r="C13140" t="str">
            <v>Havercroft-With-Cold Hiendley First School</v>
          </cell>
          <cell r="D13140" t="str">
            <v>Wakefield</v>
          </cell>
          <cell r="E13140" t="str">
            <v>Community School</v>
          </cell>
          <cell r="F13140" t="str">
            <v>Primary</v>
          </cell>
        </row>
        <row r="13141">
          <cell r="A13141">
            <v>6683053</v>
          </cell>
          <cell r="B13141">
            <v>400715</v>
          </cell>
          <cell r="C13141" t="str">
            <v>Haverfordwest Junior V.C. School</v>
          </cell>
          <cell r="D13141" t="str">
            <v>Pembrokeshire</v>
          </cell>
          <cell r="E13141" t="str">
            <v>Welsh Establishment</v>
          </cell>
          <cell r="F13141" t="str">
            <v>Primary</v>
          </cell>
        </row>
        <row r="13142">
          <cell r="A13142">
            <v>8603106</v>
          </cell>
          <cell r="B13142">
            <v>124273</v>
          </cell>
          <cell r="C13142" t="str">
            <v>Havergal CofE (C) Primary School</v>
          </cell>
          <cell r="D13142" t="str">
            <v>Staffordshire</v>
          </cell>
          <cell r="E13142" t="str">
            <v>Voluntary Controlled School</v>
          </cell>
          <cell r="F13142" t="str">
            <v>Primary</v>
          </cell>
        </row>
        <row r="13143">
          <cell r="A13143">
            <v>9354021</v>
          </cell>
          <cell r="B13143">
            <v>124799</v>
          </cell>
          <cell r="C13143" t="str">
            <v>Haverhill Castle Hill Community Middle School</v>
          </cell>
          <cell r="D13143" t="str">
            <v>Suffolk</v>
          </cell>
          <cell r="E13143" t="str">
            <v>Community School</v>
          </cell>
          <cell r="F13143" t="str">
            <v>Middle Deemed Secondary</v>
          </cell>
        </row>
        <row r="13144">
          <cell r="A13144">
            <v>9092212</v>
          </cell>
          <cell r="B13144">
            <v>112157</v>
          </cell>
          <cell r="C13144" t="str">
            <v>Haverigg Primary School</v>
          </cell>
          <cell r="D13144" t="str">
            <v>Cumbria</v>
          </cell>
          <cell r="E13144" t="str">
            <v>Community School</v>
          </cell>
          <cell r="F13144" t="str">
            <v>Primary</v>
          </cell>
        </row>
        <row r="13145">
          <cell r="A13145">
            <v>3111105</v>
          </cell>
          <cell r="B13145">
            <v>134331</v>
          </cell>
          <cell r="C13145" t="str">
            <v>Havering Business and Education C.O. King's Wood School</v>
          </cell>
          <cell r="D13145" t="str">
            <v>Havering</v>
          </cell>
          <cell r="E13145" t="str">
            <v>Pupil Referral Unit</v>
          </cell>
          <cell r="F13145" t="str">
            <v>PRU</v>
          </cell>
        </row>
        <row r="13146">
          <cell r="A13146">
            <v>3118000</v>
          </cell>
          <cell r="B13146">
            <v>130444</v>
          </cell>
          <cell r="C13146" t="str">
            <v>Havering College of Further and Higher Education</v>
          </cell>
          <cell r="D13146" t="str">
            <v>Havering</v>
          </cell>
          <cell r="E13146" t="str">
            <v>Further Education</v>
          </cell>
          <cell r="F13146" t="str">
            <v>16 Plus</v>
          </cell>
        </row>
        <row r="13147">
          <cell r="A13147">
            <v>3117001</v>
          </cell>
          <cell r="B13147">
            <v>126929</v>
          </cell>
          <cell r="C13147" t="str">
            <v>Havering Grange School</v>
          </cell>
          <cell r="D13147" t="str">
            <v>Havering</v>
          </cell>
          <cell r="E13147" t="str">
            <v>Community Special School</v>
          </cell>
          <cell r="F13147" t="str">
            <v>Special</v>
          </cell>
        </row>
        <row r="13148">
          <cell r="A13148">
            <v>3111104</v>
          </cell>
          <cell r="B13148">
            <v>131193</v>
          </cell>
          <cell r="C13148" t="str">
            <v>Havering KS4 PRU</v>
          </cell>
          <cell r="D13148" t="str">
            <v>Havering</v>
          </cell>
          <cell r="E13148" t="str">
            <v>Pupil Referral Unit</v>
          </cell>
          <cell r="F13148" t="str">
            <v>PRU</v>
          </cell>
        </row>
        <row r="13149">
          <cell r="A13149">
            <v>3111104</v>
          </cell>
          <cell r="B13149">
            <v>134330</v>
          </cell>
          <cell r="C13149" t="str">
            <v>Havering Motorvations Motor Project</v>
          </cell>
          <cell r="D13149" t="str">
            <v>Havering</v>
          </cell>
          <cell r="E13149" t="str">
            <v>Pupil Referral Unit</v>
          </cell>
          <cell r="F13149" t="str">
            <v>PRU</v>
          </cell>
        </row>
        <row r="13150">
          <cell r="A13150">
            <v>3114702</v>
          </cell>
          <cell r="B13150">
            <v>126927</v>
          </cell>
          <cell r="C13150" t="str">
            <v>Havering Sixth Form College</v>
          </cell>
          <cell r="D13150" t="str">
            <v>Havering</v>
          </cell>
          <cell r="E13150" t="str">
            <v>Voluntary Aided School</v>
          </cell>
          <cell r="F13150" t="str">
            <v>Secondary</v>
          </cell>
        </row>
        <row r="13151">
          <cell r="A13151">
            <v>3118600</v>
          </cell>
          <cell r="B13151">
            <v>130445</v>
          </cell>
          <cell r="C13151" t="str">
            <v>Havering Sixth Form College</v>
          </cell>
          <cell r="D13151" t="str">
            <v>Havering</v>
          </cell>
          <cell r="E13151" t="str">
            <v>Further Education</v>
          </cell>
          <cell r="F13151" t="str">
            <v>16 Plus</v>
          </cell>
        </row>
        <row r="13152">
          <cell r="A13152">
            <v>9192149</v>
          </cell>
          <cell r="B13152">
            <v>117179</v>
          </cell>
          <cell r="C13152" t="str">
            <v>Havers Infant School</v>
          </cell>
          <cell r="D13152" t="str">
            <v>Hertfordshire</v>
          </cell>
          <cell r="E13152" t="str">
            <v>Community School</v>
          </cell>
          <cell r="F13152" t="str">
            <v>Primary</v>
          </cell>
        </row>
        <row r="13153">
          <cell r="A13153">
            <v>8262043</v>
          </cell>
          <cell r="B13153">
            <v>110231</v>
          </cell>
          <cell r="C13153" t="str">
            <v>Haversham Village School</v>
          </cell>
          <cell r="D13153" t="str">
            <v>Milton Keynes</v>
          </cell>
          <cell r="E13153" t="str">
            <v>Community School</v>
          </cell>
          <cell r="F13153" t="str">
            <v>Primary</v>
          </cell>
        </row>
        <row r="13154">
          <cell r="A13154">
            <v>2024104</v>
          </cell>
          <cell r="B13154">
            <v>100049</v>
          </cell>
          <cell r="C13154" t="str">
            <v>Haverstock School</v>
          </cell>
          <cell r="D13154" t="str">
            <v>Camden</v>
          </cell>
          <cell r="E13154" t="str">
            <v>Community School</v>
          </cell>
          <cell r="F13154" t="str">
            <v>Secondary</v>
          </cell>
        </row>
        <row r="13155">
          <cell r="A13155">
            <v>6642073</v>
          </cell>
          <cell r="B13155">
            <v>400353</v>
          </cell>
          <cell r="C13155" t="str">
            <v>Hawarden C.P. Infants</v>
          </cell>
          <cell r="D13155" t="str">
            <v>Flintshire</v>
          </cell>
          <cell r="E13155" t="str">
            <v>Welsh Establishment</v>
          </cell>
          <cell r="F13155" t="str">
            <v>Primary</v>
          </cell>
        </row>
        <row r="13156">
          <cell r="A13156">
            <v>6644000</v>
          </cell>
          <cell r="B13156">
            <v>401699</v>
          </cell>
          <cell r="C13156" t="str">
            <v>Hawarden High School</v>
          </cell>
          <cell r="D13156" t="str">
            <v>Flintshire</v>
          </cell>
          <cell r="E13156" t="str">
            <v>Welsh Establishment</v>
          </cell>
          <cell r="F13156" t="str">
            <v>Secondary</v>
          </cell>
        </row>
        <row r="13157">
          <cell r="A13157">
            <v>3322143</v>
          </cell>
          <cell r="B13157">
            <v>103820</v>
          </cell>
          <cell r="C13157" t="str">
            <v>Hawbush Primary School</v>
          </cell>
          <cell r="D13157" t="str">
            <v>Dudley</v>
          </cell>
          <cell r="E13157" t="str">
            <v>Community School</v>
          </cell>
          <cell r="F13157" t="str">
            <v>Primary</v>
          </cell>
        </row>
        <row r="13158">
          <cell r="A13158">
            <v>8152056</v>
          </cell>
          <cell r="B13158">
            <v>121298</v>
          </cell>
          <cell r="C13158" t="str">
            <v>Hawes Community Primary School</v>
          </cell>
          <cell r="D13158" t="str">
            <v>North Yorkshire</v>
          </cell>
          <cell r="E13158" t="str">
            <v>Community School</v>
          </cell>
          <cell r="F13158" t="str">
            <v>Primary</v>
          </cell>
        </row>
        <row r="13159">
          <cell r="A13159">
            <v>3052006</v>
          </cell>
          <cell r="B13159">
            <v>101591</v>
          </cell>
          <cell r="C13159" t="str">
            <v>Hawes Down Infant School</v>
          </cell>
          <cell r="D13159" t="str">
            <v>Bromley</v>
          </cell>
          <cell r="E13159" t="str">
            <v>Community School</v>
          </cell>
          <cell r="F13159" t="str">
            <v>Primary</v>
          </cell>
        </row>
        <row r="13160">
          <cell r="A13160">
            <v>3052005</v>
          </cell>
          <cell r="B13160">
            <v>101590</v>
          </cell>
          <cell r="C13160" t="str">
            <v>Hawes Down Junior School</v>
          </cell>
          <cell r="D13160" t="str">
            <v>Bromley</v>
          </cell>
          <cell r="E13160" t="str">
            <v>Community School</v>
          </cell>
          <cell r="F13160" t="str">
            <v>Primary</v>
          </cell>
        </row>
        <row r="13161">
          <cell r="A13161">
            <v>8902207</v>
          </cell>
          <cell r="B13161">
            <v>119245</v>
          </cell>
          <cell r="C13161" t="str">
            <v>Hawes Side Primary School</v>
          </cell>
          <cell r="D13161" t="str">
            <v>Blackpool</v>
          </cell>
          <cell r="E13161" t="str">
            <v>Community School</v>
          </cell>
          <cell r="F13161" t="str">
            <v>Primary</v>
          </cell>
        </row>
        <row r="13162">
          <cell r="A13162">
            <v>8783012</v>
          </cell>
          <cell r="B13162">
            <v>113356</v>
          </cell>
          <cell r="C13162" t="str">
            <v>Hawkchurch Church of England School</v>
          </cell>
          <cell r="D13162" t="str">
            <v>Devon</v>
          </cell>
          <cell r="E13162" t="str">
            <v>Voluntary Controlled School</v>
          </cell>
          <cell r="F13162" t="str">
            <v>Primary</v>
          </cell>
        </row>
        <row r="13163">
          <cell r="A13163">
            <v>9365202</v>
          </cell>
          <cell r="B13163">
            <v>125284</v>
          </cell>
          <cell r="C13163" t="str">
            <v>Hawkedale Infants - A Foundation School</v>
          </cell>
          <cell r="D13163" t="str">
            <v>Surrey</v>
          </cell>
          <cell r="E13163" t="str">
            <v>Foundation School</v>
          </cell>
          <cell r="F13163" t="str">
            <v>Primary</v>
          </cell>
        </row>
        <row r="13164">
          <cell r="A13164">
            <v>8722237</v>
          </cell>
          <cell r="B13164">
            <v>109929</v>
          </cell>
          <cell r="C13164" t="str">
            <v>Hawkedon Primary School</v>
          </cell>
          <cell r="D13164" t="str">
            <v>Wokingham</v>
          </cell>
          <cell r="E13164" t="str">
            <v>Community School</v>
          </cell>
          <cell r="F13164" t="str">
            <v>Primary</v>
          </cell>
        </row>
        <row r="13165">
          <cell r="A13165">
            <v>8452108</v>
          </cell>
          <cell r="B13165">
            <v>114438</v>
          </cell>
          <cell r="C13165" t="str">
            <v>Hawkes Farm Primary School</v>
          </cell>
          <cell r="D13165" t="str">
            <v>East Sussex</v>
          </cell>
          <cell r="E13165" t="str">
            <v>Community School</v>
          </cell>
          <cell r="F13165" t="str">
            <v>Primary</v>
          </cell>
        </row>
        <row r="13166">
          <cell r="A13166">
            <v>8033046</v>
          </cell>
          <cell r="B13166">
            <v>109161</v>
          </cell>
          <cell r="C13166" t="str">
            <v>Hawkesbury Church of England Primary School</v>
          </cell>
          <cell r="D13166" t="str">
            <v>South Gloucestershire</v>
          </cell>
          <cell r="E13166" t="str">
            <v>Voluntary Controlled School</v>
          </cell>
          <cell r="F13166" t="str">
            <v>Primary</v>
          </cell>
        </row>
        <row r="13167">
          <cell r="A13167">
            <v>3317018</v>
          </cell>
          <cell r="B13167">
            <v>103764</v>
          </cell>
          <cell r="C13167" t="str">
            <v>Hawkesbury Fields School</v>
          </cell>
          <cell r="D13167" t="str">
            <v>Coventry</v>
          </cell>
          <cell r="E13167" t="str">
            <v>Community Special School</v>
          </cell>
          <cell r="F13167" t="str">
            <v>Special</v>
          </cell>
        </row>
        <row r="13168">
          <cell r="A13168">
            <v>2076400</v>
          </cell>
          <cell r="B13168">
            <v>133434</v>
          </cell>
          <cell r="C13168" t="str">
            <v>Hawkesdown House</v>
          </cell>
          <cell r="D13168" t="str">
            <v>Kensington and Chelsea</v>
          </cell>
          <cell r="E13168" t="str">
            <v>Other Independent School</v>
          </cell>
          <cell r="F13168" t="str">
            <v>Not applicable</v>
          </cell>
        </row>
        <row r="13169">
          <cell r="A13169">
            <v>3303388</v>
          </cell>
          <cell r="B13169">
            <v>103471</v>
          </cell>
          <cell r="C13169" t="str">
            <v>Hawkesley Anglican Methodist Church Junior School</v>
          </cell>
          <cell r="D13169" t="str">
            <v>Birmingham</v>
          </cell>
          <cell r="E13169" t="str">
            <v>Voluntary Aided School</v>
          </cell>
          <cell r="F13169" t="str">
            <v>Primary</v>
          </cell>
        </row>
        <row r="13170">
          <cell r="A13170">
            <v>3303392</v>
          </cell>
          <cell r="B13170">
            <v>103472</v>
          </cell>
          <cell r="C13170" t="str">
            <v>Hawkesley CofE and Methodist Infant School</v>
          </cell>
          <cell r="D13170" t="str">
            <v>Birmingham</v>
          </cell>
          <cell r="E13170" t="str">
            <v>Voluntary Aided School</v>
          </cell>
          <cell r="F13170" t="str">
            <v>Primary</v>
          </cell>
        </row>
        <row r="13171">
          <cell r="A13171">
            <v>3303419</v>
          </cell>
          <cell r="B13171">
            <v>131754</v>
          </cell>
          <cell r="C13171" t="str">
            <v>Hawkesley CofE/Methodist Primary School</v>
          </cell>
          <cell r="D13171" t="str">
            <v>Birmingham</v>
          </cell>
          <cell r="E13171" t="str">
            <v>Voluntary Aided School</v>
          </cell>
          <cell r="F13171" t="str">
            <v>Primary</v>
          </cell>
        </row>
        <row r="13172">
          <cell r="A13172">
            <v>8863032</v>
          </cell>
          <cell r="B13172">
            <v>118602</v>
          </cell>
          <cell r="C13172" t="str">
            <v>Hawkhurst Church of England Primary School</v>
          </cell>
          <cell r="D13172" t="str">
            <v>Kent</v>
          </cell>
          <cell r="E13172" t="str">
            <v>Voluntary Controlled School</v>
          </cell>
          <cell r="F13172" t="str">
            <v>Primary</v>
          </cell>
        </row>
        <row r="13173">
          <cell r="A13173">
            <v>9146165</v>
          </cell>
          <cell r="B13173">
            <v>128874</v>
          </cell>
          <cell r="C13173" t="str">
            <v>Hawkhurst Court Dyslexia Centre</v>
          </cell>
          <cell r="D13173" t="str">
            <v>Pre LGR (1997) East Sussex</v>
          </cell>
          <cell r="E13173" t="str">
            <v>Other Independent School</v>
          </cell>
          <cell r="F13173" t="str">
            <v>Not applicable</v>
          </cell>
        </row>
        <row r="13174">
          <cell r="A13174">
            <v>8862298</v>
          </cell>
          <cell r="B13174">
            <v>118385</v>
          </cell>
          <cell r="C13174" t="str">
            <v>Hawkinge Primary School</v>
          </cell>
          <cell r="D13174" t="str">
            <v>Kent</v>
          </cell>
          <cell r="E13174" t="str">
            <v>Community School</v>
          </cell>
          <cell r="F13174" t="str">
            <v>Primary</v>
          </cell>
        </row>
        <row r="13175">
          <cell r="A13175">
            <v>3594035</v>
          </cell>
          <cell r="B13175">
            <v>106532</v>
          </cell>
          <cell r="C13175" t="str">
            <v>Hawkley Hall High School</v>
          </cell>
          <cell r="D13175" t="str">
            <v>Wigan</v>
          </cell>
          <cell r="E13175" t="str">
            <v>Community School</v>
          </cell>
          <cell r="F13175" t="str">
            <v>Secondary</v>
          </cell>
        </row>
        <row r="13176">
          <cell r="A13176">
            <v>9092407</v>
          </cell>
          <cell r="B13176">
            <v>112195</v>
          </cell>
          <cell r="C13176" t="str">
            <v>Hawkshead Esthwaite Primary School</v>
          </cell>
          <cell r="D13176" t="str">
            <v>Cumbria</v>
          </cell>
          <cell r="E13176" t="str">
            <v>Community School</v>
          </cell>
          <cell r="F13176" t="str">
            <v>Primary</v>
          </cell>
        </row>
        <row r="13177">
          <cell r="A13177">
            <v>2035200</v>
          </cell>
          <cell r="B13177">
            <v>100197</v>
          </cell>
          <cell r="C13177" t="str">
            <v>Hawksmoor School</v>
          </cell>
          <cell r="D13177" t="str">
            <v>Greenwich</v>
          </cell>
          <cell r="E13177" t="str">
            <v>Foundation School</v>
          </cell>
          <cell r="F13177" t="str">
            <v>Primary</v>
          </cell>
        </row>
        <row r="13178">
          <cell r="A13178">
            <v>9194060</v>
          </cell>
          <cell r="B13178">
            <v>117516</v>
          </cell>
          <cell r="C13178" t="str">
            <v>Hawksmoor School</v>
          </cell>
          <cell r="D13178" t="str">
            <v>Hertfordshire</v>
          </cell>
          <cell r="E13178" t="str">
            <v>Community School</v>
          </cell>
          <cell r="F13178" t="str">
            <v>Secondary</v>
          </cell>
        </row>
        <row r="13179">
          <cell r="A13179">
            <v>3201109</v>
          </cell>
          <cell r="B13179">
            <v>137677</v>
          </cell>
          <cell r="C13179" t="str">
            <v>Hawkswood</v>
          </cell>
          <cell r="D13179" t="str">
            <v>Waltham Forest</v>
          </cell>
          <cell r="E13179" t="str">
            <v>Pupil Referral Unit</v>
          </cell>
          <cell r="F13179" t="str">
            <v>PRU</v>
          </cell>
        </row>
        <row r="13180">
          <cell r="A13180">
            <v>3207001</v>
          </cell>
          <cell r="B13180">
            <v>103115</v>
          </cell>
          <cell r="C13180" t="str">
            <v>Hawkswood School and Centre</v>
          </cell>
          <cell r="D13180" t="str">
            <v>Waltham Forest</v>
          </cell>
          <cell r="E13180" t="str">
            <v>Community Special School</v>
          </cell>
          <cell r="F13180" t="str">
            <v>Special</v>
          </cell>
        </row>
        <row r="13181">
          <cell r="A13181">
            <v>3833351</v>
          </cell>
          <cell r="B13181">
            <v>108009</v>
          </cell>
          <cell r="C13181" t="str">
            <v>Hawksworth Church of England Primary School</v>
          </cell>
          <cell r="D13181" t="str">
            <v>Leeds</v>
          </cell>
          <cell r="E13181" t="str">
            <v>Voluntary Aided School</v>
          </cell>
          <cell r="F13181" t="str">
            <v>Primary</v>
          </cell>
        </row>
        <row r="13182">
          <cell r="A13182">
            <v>3836110</v>
          </cell>
          <cell r="B13182">
            <v>108111</v>
          </cell>
          <cell r="C13182" t="str">
            <v>Hawksworth Hall School</v>
          </cell>
          <cell r="D13182" t="str">
            <v>Leeds</v>
          </cell>
          <cell r="E13182" t="str">
            <v>Other Independent School</v>
          </cell>
          <cell r="F13182" t="str">
            <v>Not applicable</v>
          </cell>
        </row>
        <row r="13183">
          <cell r="A13183">
            <v>3832251</v>
          </cell>
          <cell r="B13183">
            <v>127871</v>
          </cell>
          <cell r="C13183" t="str">
            <v>Hawksworth Wood First School</v>
          </cell>
          <cell r="D13183" t="str">
            <v>Leeds</v>
          </cell>
          <cell r="E13183" t="str">
            <v>Community School</v>
          </cell>
          <cell r="F13183" t="str">
            <v>Primary</v>
          </cell>
        </row>
        <row r="13184">
          <cell r="A13184">
            <v>3832417</v>
          </cell>
          <cell r="B13184">
            <v>107893</v>
          </cell>
          <cell r="C13184" t="str">
            <v>Hawksworth Wood Primary School</v>
          </cell>
          <cell r="D13184" t="str">
            <v>Leeds</v>
          </cell>
          <cell r="E13184" t="str">
            <v>Community School</v>
          </cell>
          <cell r="F13184" t="str">
            <v>Primary</v>
          </cell>
        </row>
        <row r="13185">
          <cell r="A13185">
            <v>2022290</v>
          </cell>
          <cell r="B13185">
            <v>100015</v>
          </cell>
          <cell r="C13185" t="str">
            <v>Hawley Infant School</v>
          </cell>
          <cell r="D13185" t="str">
            <v>Camden</v>
          </cell>
          <cell r="E13185" t="str">
            <v>Community School</v>
          </cell>
          <cell r="F13185" t="str">
            <v>Primary</v>
          </cell>
        </row>
        <row r="13186">
          <cell r="A13186">
            <v>8506046</v>
          </cell>
          <cell r="B13186">
            <v>116555</v>
          </cell>
          <cell r="C13186" t="str">
            <v>Hawley Place School</v>
          </cell>
          <cell r="D13186" t="str">
            <v>Hampshire</v>
          </cell>
          <cell r="E13186" t="str">
            <v>Other Independent School</v>
          </cell>
          <cell r="F13186" t="str">
            <v>Not applicable</v>
          </cell>
        </row>
        <row r="13187">
          <cell r="A13187">
            <v>8502105</v>
          </cell>
          <cell r="B13187">
            <v>115913</v>
          </cell>
          <cell r="C13187" t="str">
            <v>Hawley Primary School</v>
          </cell>
          <cell r="D13187" t="str">
            <v>Hampshire</v>
          </cell>
          <cell r="E13187" t="str">
            <v>Community School</v>
          </cell>
          <cell r="F13187" t="str">
            <v>Primary</v>
          </cell>
        </row>
        <row r="13188">
          <cell r="A13188">
            <v>3802121</v>
          </cell>
          <cell r="B13188">
            <v>107260</v>
          </cell>
          <cell r="C13188" t="str">
            <v>Haworth Primary School</v>
          </cell>
          <cell r="D13188" t="str">
            <v>Bradford</v>
          </cell>
          <cell r="E13188" t="str">
            <v>Community School</v>
          </cell>
          <cell r="F13188" t="str">
            <v>Primary</v>
          </cell>
        </row>
        <row r="13189">
          <cell r="A13189">
            <v>8253072</v>
          </cell>
          <cell r="B13189">
            <v>110445</v>
          </cell>
          <cell r="C13189" t="str">
            <v>Hawridge and Cholesbury Church of England School</v>
          </cell>
          <cell r="D13189" t="str">
            <v>Buckinghamshire</v>
          </cell>
          <cell r="E13189" t="str">
            <v>Voluntary Aided School</v>
          </cell>
          <cell r="F13189" t="str">
            <v>Primary</v>
          </cell>
        </row>
        <row r="13190">
          <cell r="A13190">
            <v>8153050</v>
          </cell>
          <cell r="B13190">
            <v>121498</v>
          </cell>
          <cell r="C13190" t="str">
            <v>Hawsker Cum Stainsacre Church of England Voluntary Controlled Primary School</v>
          </cell>
          <cell r="D13190" t="str">
            <v>North Yorkshire</v>
          </cell>
          <cell r="E13190" t="str">
            <v>Voluntary Controlled School</v>
          </cell>
          <cell r="F13190" t="str">
            <v>Primary</v>
          </cell>
        </row>
        <row r="13191">
          <cell r="A13191">
            <v>9293919</v>
          </cell>
          <cell r="B13191">
            <v>134729</v>
          </cell>
          <cell r="C13191" t="str">
            <v>Hawthorn Church of England Controlled First School</v>
          </cell>
          <cell r="D13191" t="str">
            <v>Northumberland</v>
          </cell>
          <cell r="E13191" t="str">
            <v>Voluntary Controlled School</v>
          </cell>
          <cell r="F13191" t="str">
            <v>Primary</v>
          </cell>
        </row>
        <row r="13192">
          <cell r="A13192">
            <v>9282057</v>
          </cell>
          <cell r="B13192">
            <v>121835</v>
          </cell>
          <cell r="C13192" t="str">
            <v>Hawthorn Community Primary School</v>
          </cell>
          <cell r="D13192" t="str">
            <v>Northamptonshire</v>
          </cell>
          <cell r="E13192" t="str">
            <v>Community School</v>
          </cell>
          <cell r="F13192" t="str">
            <v>Primary</v>
          </cell>
        </row>
        <row r="13193">
          <cell r="A13193">
            <v>2037112</v>
          </cell>
          <cell r="B13193">
            <v>126589</v>
          </cell>
          <cell r="C13193" t="str">
            <v>Hawthorn Cottage School</v>
          </cell>
          <cell r="D13193" t="str">
            <v>Greenwich</v>
          </cell>
          <cell r="E13193" t="str">
            <v>Community Special School</v>
          </cell>
          <cell r="F13193" t="str">
            <v>Special</v>
          </cell>
        </row>
        <row r="13194">
          <cell r="A13194">
            <v>6744027</v>
          </cell>
          <cell r="B13194">
            <v>401808</v>
          </cell>
          <cell r="C13194" t="str">
            <v>Hawthorn High School</v>
          </cell>
          <cell r="D13194" t="str">
            <v>Rhondda, Cynon, Taff</v>
          </cell>
          <cell r="E13194" t="str">
            <v>Welsh Establishment</v>
          </cell>
          <cell r="F13194" t="str">
            <v>Secondary</v>
          </cell>
        </row>
        <row r="13195">
          <cell r="A13195">
            <v>9266113</v>
          </cell>
          <cell r="B13195">
            <v>121238</v>
          </cell>
          <cell r="C13195" t="str">
            <v>Hawthorn House School</v>
          </cell>
          <cell r="D13195" t="str">
            <v>Norfolk</v>
          </cell>
          <cell r="E13195" t="str">
            <v>Other Independent School</v>
          </cell>
          <cell r="F13195" t="str">
            <v>Not applicable</v>
          </cell>
        </row>
        <row r="13196">
          <cell r="A13196">
            <v>6812026</v>
          </cell>
          <cell r="B13196">
            <v>401570</v>
          </cell>
          <cell r="C13196" t="str">
            <v>Hawthorn Infant School</v>
          </cell>
          <cell r="D13196" t="str">
            <v>Cardiff</v>
          </cell>
          <cell r="E13196" t="str">
            <v>Welsh Establishment</v>
          </cell>
          <cell r="F13196" t="str">
            <v>Primary</v>
          </cell>
        </row>
        <row r="13197">
          <cell r="A13197">
            <v>6812025</v>
          </cell>
          <cell r="B13197">
            <v>401569</v>
          </cell>
          <cell r="C13197" t="str">
            <v>Hawthorn Junior School</v>
          </cell>
          <cell r="D13197" t="str">
            <v>Cardiff</v>
          </cell>
          <cell r="E13197" t="str">
            <v>Welsh Establishment</v>
          </cell>
          <cell r="F13197" t="str">
            <v>Primary</v>
          </cell>
        </row>
        <row r="13198">
          <cell r="A13198">
            <v>8232209</v>
          </cell>
          <cell r="B13198">
            <v>109524</v>
          </cell>
          <cell r="C13198" t="str">
            <v>Hawthorn Park Lower School</v>
          </cell>
          <cell r="D13198" t="str">
            <v>Central Bedfordshire</v>
          </cell>
          <cell r="E13198" t="str">
            <v>Community School</v>
          </cell>
          <cell r="F13198" t="str">
            <v>Primary</v>
          </cell>
        </row>
        <row r="13199">
          <cell r="A13199">
            <v>3302099</v>
          </cell>
          <cell r="B13199">
            <v>103214</v>
          </cell>
          <cell r="C13199" t="str">
            <v>Hawthorn Primary School</v>
          </cell>
          <cell r="D13199" t="str">
            <v>Birmingham</v>
          </cell>
          <cell r="E13199" t="str">
            <v>Community School</v>
          </cell>
          <cell r="F13199" t="str">
            <v>Primary</v>
          </cell>
        </row>
        <row r="13200">
          <cell r="A13200">
            <v>3712179</v>
          </cell>
          <cell r="B13200">
            <v>106741</v>
          </cell>
          <cell r="C13200" t="str">
            <v>Hawthorn Primary School</v>
          </cell>
          <cell r="D13200" t="str">
            <v>Doncaster</v>
          </cell>
          <cell r="E13200" t="str">
            <v>Community School</v>
          </cell>
          <cell r="F13200" t="str">
            <v>Primary</v>
          </cell>
        </row>
        <row r="13201">
          <cell r="A13201">
            <v>3912080</v>
          </cell>
          <cell r="B13201">
            <v>108460</v>
          </cell>
          <cell r="C13201" t="str">
            <v>Hawthorn Primary School</v>
          </cell>
          <cell r="D13201" t="str">
            <v>Newcastle upon Tyne</v>
          </cell>
          <cell r="E13201" t="str">
            <v>Community School</v>
          </cell>
          <cell r="F13201" t="str">
            <v>Primary</v>
          </cell>
        </row>
        <row r="13202">
          <cell r="A13202">
            <v>6742104</v>
          </cell>
          <cell r="B13202">
            <v>401165</v>
          </cell>
          <cell r="C13202" t="str">
            <v>Hawthorn Primary School</v>
          </cell>
          <cell r="D13202" t="str">
            <v>Rhondda, Cynon, Taff</v>
          </cell>
          <cell r="E13202" t="str">
            <v>Welsh Establishment</v>
          </cell>
          <cell r="F13202" t="str">
            <v>Primary</v>
          </cell>
        </row>
        <row r="13203">
          <cell r="A13203">
            <v>6812320</v>
          </cell>
          <cell r="B13203">
            <v>402193</v>
          </cell>
          <cell r="C13203" t="str">
            <v>Hawthorn Primary School</v>
          </cell>
          <cell r="D13203" t="str">
            <v>Cardiff</v>
          </cell>
          <cell r="E13203" t="str">
            <v>Welsh Establishment</v>
          </cell>
          <cell r="F13203" t="str">
            <v>Primary</v>
          </cell>
        </row>
        <row r="13204">
          <cell r="A13204">
            <v>9252113</v>
          </cell>
          <cell r="B13204">
            <v>120424</v>
          </cell>
          <cell r="C13204" t="str">
            <v>Hawthorn Tree School</v>
          </cell>
          <cell r="D13204" t="str">
            <v>Lincolnshire</v>
          </cell>
          <cell r="E13204" t="str">
            <v>Community School</v>
          </cell>
          <cell r="F13204" t="str">
            <v>Primary</v>
          </cell>
        </row>
        <row r="13205">
          <cell r="A13205">
            <v>8912685</v>
          </cell>
          <cell r="B13205">
            <v>122617</v>
          </cell>
          <cell r="C13205" t="str">
            <v>Hawthorne Primary and Nursery School</v>
          </cell>
          <cell r="D13205" t="str">
            <v>Nottinghamshire</v>
          </cell>
          <cell r="E13205" t="str">
            <v>Community School</v>
          </cell>
          <cell r="F13205" t="str">
            <v>Primary</v>
          </cell>
        </row>
        <row r="13206">
          <cell r="A13206">
            <v>3577001</v>
          </cell>
          <cell r="B13206">
            <v>106277</v>
          </cell>
          <cell r="C13206" t="str">
            <v>Hawthorns Community School</v>
          </cell>
          <cell r="D13206" t="str">
            <v>Tameside</v>
          </cell>
          <cell r="E13206" t="str">
            <v>Community Special School</v>
          </cell>
          <cell r="F13206" t="str">
            <v>Special</v>
          </cell>
        </row>
        <row r="13207">
          <cell r="A13207">
            <v>9382227</v>
          </cell>
          <cell r="B13207">
            <v>125950</v>
          </cell>
          <cell r="C13207" t="str">
            <v>Hawthorns First School, Durrington</v>
          </cell>
          <cell r="D13207" t="str">
            <v>West Sussex</v>
          </cell>
          <cell r="E13207" t="str">
            <v>Community School</v>
          </cell>
          <cell r="F13207" t="str">
            <v>Primary</v>
          </cell>
        </row>
        <row r="13208">
          <cell r="A13208">
            <v>8892002</v>
          </cell>
          <cell r="B13208">
            <v>119117</v>
          </cell>
          <cell r="C13208" t="str">
            <v>Hawthorns Junior School</v>
          </cell>
          <cell r="D13208" t="str">
            <v>Blackburn with Darwen</v>
          </cell>
          <cell r="E13208" t="str">
            <v>Community School</v>
          </cell>
          <cell r="F13208" t="str">
            <v>Primary</v>
          </cell>
        </row>
        <row r="13209">
          <cell r="A13209">
            <v>8507071</v>
          </cell>
          <cell r="B13209">
            <v>116638</v>
          </cell>
          <cell r="C13209" t="str">
            <v>Hawthorns School</v>
          </cell>
          <cell r="D13209" t="str">
            <v>Hampshire</v>
          </cell>
          <cell r="E13209" t="str">
            <v>Community Special School</v>
          </cell>
          <cell r="F13209" t="str">
            <v>Special</v>
          </cell>
        </row>
        <row r="13210">
          <cell r="A13210">
            <v>8912526</v>
          </cell>
          <cell r="B13210">
            <v>122593</v>
          </cell>
          <cell r="C13210" t="str">
            <v>Hawtonville Junior School</v>
          </cell>
          <cell r="D13210" t="str">
            <v>Nottinghamshire</v>
          </cell>
          <cell r="E13210" t="str">
            <v>Community School</v>
          </cell>
          <cell r="F13210" t="str">
            <v>Primary</v>
          </cell>
        </row>
        <row r="13211">
          <cell r="A13211">
            <v>9396009</v>
          </cell>
          <cell r="B13211">
            <v>130225</v>
          </cell>
          <cell r="C13211" t="str">
            <v>Hawtreys School</v>
          </cell>
          <cell r="D13211" t="str">
            <v>Pre LGR (1997) Wiltshire</v>
          </cell>
          <cell r="E13211" t="str">
            <v>Other Independent School</v>
          </cell>
          <cell r="F13211" t="str">
            <v>Not applicable</v>
          </cell>
        </row>
        <row r="13212">
          <cell r="A13212">
            <v>8162009</v>
          </cell>
          <cell r="B13212">
            <v>121278</v>
          </cell>
          <cell r="C13212" t="str">
            <v>Haxby Road Primary School</v>
          </cell>
          <cell r="D13212" t="str">
            <v>York</v>
          </cell>
          <cell r="E13212" t="str">
            <v>Community School</v>
          </cell>
          <cell r="F13212" t="str">
            <v>Primary</v>
          </cell>
        </row>
        <row r="13213">
          <cell r="A13213">
            <v>8133064</v>
          </cell>
          <cell r="B13213">
            <v>118011</v>
          </cell>
          <cell r="C13213" t="str">
            <v>Haxey CofE Primary School</v>
          </cell>
          <cell r="D13213" t="str">
            <v>North Lincolnshire</v>
          </cell>
          <cell r="E13213" t="str">
            <v>Voluntary Controlled School</v>
          </cell>
          <cell r="F13213" t="str">
            <v>Primary</v>
          </cell>
        </row>
        <row r="13214">
          <cell r="A13214">
            <v>8854010</v>
          </cell>
          <cell r="B13214">
            <v>116933</v>
          </cell>
          <cell r="C13214" t="str">
            <v>Haybridge High School and Sixth Form</v>
          </cell>
          <cell r="D13214" t="str">
            <v>Worcestershire</v>
          </cell>
          <cell r="E13214" t="str">
            <v>Foundation School</v>
          </cell>
          <cell r="F13214" t="str">
            <v>Secondary</v>
          </cell>
        </row>
        <row r="13215">
          <cell r="A13215">
            <v>8854010</v>
          </cell>
          <cell r="B13215">
            <v>136898</v>
          </cell>
          <cell r="C13215" t="str">
            <v>Haybridge High School and Sixth Form</v>
          </cell>
          <cell r="D13215" t="str">
            <v>Worcestershire</v>
          </cell>
          <cell r="E13215" t="str">
            <v>Academy Converters</v>
          </cell>
          <cell r="F13215" t="str">
            <v>Secondary</v>
          </cell>
        </row>
        <row r="13216">
          <cell r="A13216">
            <v>8717036</v>
          </cell>
          <cell r="B13216">
            <v>131600</v>
          </cell>
          <cell r="C13216" t="str">
            <v>Haybrook College</v>
          </cell>
          <cell r="D13216" t="str">
            <v>Slough</v>
          </cell>
          <cell r="E13216" t="str">
            <v>Community Special School</v>
          </cell>
          <cell r="F13216" t="str">
            <v>Special</v>
          </cell>
        </row>
        <row r="13217">
          <cell r="A13217">
            <v>8711108</v>
          </cell>
          <cell r="B13217">
            <v>131243</v>
          </cell>
          <cell r="C13217" t="str">
            <v>Haybrook College PRU</v>
          </cell>
          <cell r="D13217" t="str">
            <v>Slough</v>
          </cell>
          <cell r="E13217" t="str">
            <v>Pupil Referral Unit</v>
          </cell>
          <cell r="F13217" t="str">
            <v>PRU</v>
          </cell>
        </row>
        <row r="13218">
          <cell r="A13218">
            <v>3807025</v>
          </cell>
          <cell r="B13218">
            <v>107472</v>
          </cell>
          <cell r="C13218" t="str">
            <v>Haycliffe School</v>
          </cell>
          <cell r="D13218" t="str">
            <v>Bradford</v>
          </cell>
          <cell r="E13218" t="str">
            <v>Community Special School</v>
          </cell>
          <cell r="F13218" t="str">
            <v>Special</v>
          </cell>
        </row>
        <row r="13219">
          <cell r="A13219">
            <v>8922163</v>
          </cell>
          <cell r="B13219">
            <v>122486</v>
          </cell>
          <cell r="C13219" t="str">
            <v>Haydn Primary School</v>
          </cell>
          <cell r="D13219" t="str">
            <v>Nottingham</v>
          </cell>
          <cell r="E13219" t="str">
            <v>Community School</v>
          </cell>
          <cell r="F13219" t="str">
            <v>Primary</v>
          </cell>
        </row>
        <row r="13220">
          <cell r="A13220">
            <v>3423455</v>
          </cell>
          <cell r="B13220">
            <v>104818</v>
          </cell>
          <cell r="C13220" t="str">
            <v>Haydock English Martyrs' Catholic Primary School</v>
          </cell>
          <cell r="D13220" t="str">
            <v>St. Helens</v>
          </cell>
          <cell r="E13220" t="str">
            <v>Voluntary Aided School</v>
          </cell>
          <cell r="F13220" t="str">
            <v>Primary</v>
          </cell>
        </row>
        <row r="13221">
          <cell r="A13221">
            <v>3424051</v>
          </cell>
          <cell r="B13221">
            <v>104827</v>
          </cell>
          <cell r="C13221" t="str">
            <v>Haydock Sports College</v>
          </cell>
          <cell r="D13221" t="str">
            <v>St. Helens</v>
          </cell>
          <cell r="E13221" t="str">
            <v>Community School</v>
          </cell>
          <cell r="F13221" t="str">
            <v>Secondary</v>
          </cell>
        </row>
        <row r="13222">
          <cell r="A13222">
            <v>8252162</v>
          </cell>
          <cell r="B13222">
            <v>110276</v>
          </cell>
          <cell r="C13222" t="str">
            <v>Haydon Abbey School</v>
          </cell>
          <cell r="D13222" t="str">
            <v>Buckinghamshire</v>
          </cell>
          <cell r="E13222" t="str">
            <v>Community School</v>
          </cell>
          <cell r="F13222" t="str">
            <v>Primary</v>
          </cell>
        </row>
        <row r="13223">
          <cell r="A13223">
            <v>9294130</v>
          </cell>
          <cell r="B13223">
            <v>122328</v>
          </cell>
          <cell r="C13223" t="str">
            <v>Haydon Bridge Community High School and Sports College</v>
          </cell>
          <cell r="D13223" t="str">
            <v>Northumberland</v>
          </cell>
          <cell r="E13223" t="str">
            <v>Foundation School</v>
          </cell>
          <cell r="F13223" t="str">
            <v>Secondary</v>
          </cell>
        </row>
        <row r="13224">
          <cell r="A13224">
            <v>9293129</v>
          </cell>
          <cell r="B13224">
            <v>122274</v>
          </cell>
          <cell r="C13224" t="str">
            <v>Haydon Bridge Shaftoe Trust First School</v>
          </cell>
          <cell r="D13224" t="str">
            <v>Northumberland</v>
          </cell>
          <cell r="E13224" t="str">
            <v>Voluntary Controlled School</v>
          </cell>
          <cell r="F13224" t="str">
            <v>Primary</v>
          </cell>
        </row>
        <row r="13225">
          <cell r="A13225">
            <v>3125401</v>
          </cell>
          <cell r="B13225">
            <v>102441</v>
          </cell>
          <cell r="C13225" t="str">
            <v>Haydon School</v>
          </cell>
          <cell r="D13225" t="str">
            <v>Hillingdon</v>
          </cell>
          <cell r="E13225" t="str">
            <v>Foundation School</v>
          </cell>
          <cell r="F13225" t="str">
            <v>Secondary</v>
          </cell>
        </row>
        <row r="13226">
          <cell r="A13226">
            <v>3125401</v>
          </cell>
          <cell r="B13226">
            <v>136519</v>
          </cell>
          <cell r="C13226" t="str">
            <v>Haydon School</v>
          </cell>
          <cell r="D13226" t="str">
            <v>Hillingdon</v>
          </cell>
          <cell r="E13226" t="str">
            <v>Academy Converters</v>
          </cell>
          <cell r="F13226" t="str">
            <v>Secondary</v>
          </cell>
        </row>
        <row r="13227">
          <cell r="A13227">
            <v>8256034</v>
          </cell>
          <cell r="B13227">
            <v>134380</v>
          </cell>
          <cell r="C13227" t="str">
            <v>Haydon Training Independent School</v>
          </cell>
          <cell r="D13227" t="str">
            <v>Buckinghamshire</v>
          </cell>
          <cell r="E13227" t="str">
            <v>Other Independent School</v>
          </cell>
          <cell r="F13227" t="str">
            <v>Not applicable</v>
          </cell>
        </row>
        <row r="13228">
          <cell r="A13228">
            <v>8662050</v>
          </cell>
          <cell r="B13228">
            <v>126196</v>
          </cell>
          <cell r="C13228" t="str">
            <v>Haydon Wick Primary School</v>
          </cell>
          <cell r="D13228" t="str">
            <v>Swindon</v>
          </cell>
          <cell r="E13228" t="str">
            <v>Community School</v>
          </cell>
          <cell r="F13228" t="str">
            <v>Primary</v>
          </cell>
        </row>
        <row r="13229">
          <cell r="A13229">
            <v>8662229</v>
          </cell>
          <cell r="B13229">
            <v>126295</v>
          </cell>
          <cell r="C13229" t="str">
            <v>Haydonleigh Primary School</v>
          </cell>
          <cell r="D13229" t="str">
            <v>Swindon</v>
          </cell>
          <cell r="E13229" t="str">
            <v>Community School</v>
          </cell>
          <cell r="F13229" t="str">
            <v>Primary</v>
          </cell>
        </row>
        <row r="13230">
          <cell r="A13230">
            <v>8602327</v>
          </cell>
          <cell r="B13230">
            <v>124151</v>
          </cell>
          <cell r="C13230" t="str">
            <v>Hayes Meadow Primary School</v>
          </cell>
          <cell r="D13230" t="str">
            <v>Staffordshire</v>
          </cell>
          <cell r="E13230" t="str">
            <v>Community School</v>
          </cell>
          <cell r="F13230" t="str">
            <v>Primary</v>
          </cell>
        </row>
        <row r="13231">
          <cell r="A13231">
            <v>3125210</v>
          </cell>
          <cell r="B13231">
            <v>126940</v>
          </cell>
          <cell r="C13231" t="str">
            <v>Hayes Park Infant School</v>
          </cell>
          <cell r="D13231" t="str">
            <v>Hillingdon</v>
          </cell>
          <cell r="E13231" t="str">
            <v>Foundation School</v>
          </cell>
          <cell r="F13231" t="str">
            <v>Primary</v>
          </cell>
        </row>
        <row r="13232">
          <cell r="A13232">
            <v>3125209</v>
          </cell>
          <cell r="B13232">
            <v>126939</v>
          </cell>
          <cell r="C13232" t="str">
            <v>Hayes Park Junior School</v>
          </cell>
          <cell r="D13232" t="str">
            <v>Hillingdon</v>
          </cell>
          <cell r="E13232" t="str">
            <v>Foundation School</v>
          </cell>
          <cell r="F13232" t="str">
            <v>Primary</v>
          </cell>
        </row>
        <row r="13233">
          <cell r="A13233">
            <v>3125211</v>
          </cell>
          <cell r="B13233">
            <v>102439</v>
          </cell>
          <cell r="C13233" t="str">
            <v>Hayes Park School</v>
          </cell>
          <cell r="D13233" t="str">
            <v>Hillingdon</v>
          </cell>
          <cell r="E13233" t="str">
            <v>Foundation School</v>
          </cell>
          <cell r="F13233" t="str">
            <v>Primary</v>
          </cell>
        </row>
        <row r="13234">
          <cell r="A13234">
            <v>3055205</v>
          </cell>
          <cell r="B13234">
            <v>101665</v>
          </cell>
          <cell r="C13234" t="str">
            <v>Hayes Primary School</v>
          </cell>
          <cell r="D13234" t="str">
            <v>Bromley</v>
          </cell>
          <cell r="E13234" t="str">
            <v>Foundation School</v>
          </cell>
          <cell r="F13234" t="str">
            <v>Primary</v>
          </cell>
        </row>
        <row r="13235">
          <cell r="A13235">
            <v>3055205</v>
          </cell>
          <cell r="B13235">
            <v>136920</v>
          </cell>
          <cell r="C13235" t="str">
            <v>Hayes Primary School</v>
          </cell>
          <cell r="D13235" t="str">
            <v>Bromley</v>
          </cell>
          <cell r="E13235" t="str">
            <v>Academy Converters</v>
          </cell>
          <cell r="F13235" t="str">
            <v>Primary</v>
          </cell>
        </row>
        <row r="13236">
          <cell r="A13236">
            <v>3055407</v>
          </cell>
          <cell r="B13236">
            <v>101673</v>
          </cell>
          <cell r="C13236" t="str">
            <v>Hayes School</v>
          </cell>
          <cell r="D13236" t="str">
            <v>Bromley</v>
          </cell>
          <cell r="E13236" t="str">
            <v>Foundation School</v>
          </cell>
          <cell r="F13236" t="str">
            <v>Secondary</v>
          </cell>
        </row>
        <row r="13237">
          <cell r="A13237">
            <v>8805200</v>
          </cell>
          <cell r="B13237">
            <v>113554</v>
          </cell>
          <cell r="C13237" t="str">
            <v>Hayes School</v>
          </cell>
          <cell r="D13237" t="str">
            <v>Torbay</v>
          </cell>
          <cell r="E13237" t="str">
            <v>Foundation School</v>
          </cell>
          <cell r="F13237" t="str">
            <v>Primary</v>
          </cell>
        </row>
        <row r="13238">
          <cell r="A13238">
            <v>3055407</v>
          </cell>
          <cell r="B13238">
            <v>136644</v>
          </cell>
          <cell r="C13238" t="str">
            <v>Hayes School</v>
          </cell>
          <cell r="D13238" t="str">
            <v>Bromley</v>
          </cell>
          <cell r="E13238" t="str">
            <v>Academy Converters</v>
          </cell>
          <cell r="F13238" t="str">
            <v>Secondary</v>
          </cell>
        </row>
        <row r="13239">
          <cell r="A13239">
            <v>8805200</v>
          </cell>
          <cell r="B13239">
            <v>136648</v>
          </cell>
          <cell r="C13239" t="str">
            <v>Hayes School</v>
          </cell>
          <cell r="D13239" t="str">
            <v>Torbay</v>
          </cell>
          <cell r="E13239" t="str">
            <v>Academy Converters</v>
          </cell>
          <cell r="F13239" t="str">
            <v>Primary</v>
          </cell>
        </row>
        <row r="13240">
          <cell r="A13240">
            <v>9332114</v>
          </cell>
          <cell r="B13240">
            <v>123676</v>
          </cell>
          <cell r="C13240" t="str">
            <v>Hayesdown First School</v>
          </cell>
          <cell r="D13240" t="str">
            <v>Somerset</v>
          </cell>
          <cell r="E13240" t="str">
            <v>Community School</v>
          </cell>
          <cell r="F13240" t="str">
            <v>Primary</v>
          </cell>
        </row>
        <row r="13241">
          <cell r="A13241">
            <v>8004107</v>
          </cell>
          <cell r="B13241">
            <v>109292</v>
          </cell>
          <cell r="C13241" t="str">
            <v>Hayesfield Girls School</v>
          </cell>
          <cell r="D13241" t="str">
            <v>Bath and North East Somerset</v>
          </cell>
          <cell r="E13241" t="str">
            <v>Foundation School</v>
          </cell>
          <cell r="F13241" t="str">
            <v>Secondary</v>
          </cell>
        </row>
        <row r="13242">
          <cell r="A13242">
            <v>8004107</v>
          </cell>
          <cell r="B13242">
            <v>136966</v>
          </cell>
          <cell r="C13242" t="str">
            <v>Hayesfield Girls School</v>
          </cell>
          <cell r="D13242" t="str">
            <v>Bath and North East Somerset</v>
          </cell>
          <cell r="E13242" t="str">
            <v>Academy Converters</v>
          </cell>
          <cell r="F13242" t="str">
            <v>Secondary</v>
          </cell>
        </row>
        <row r="13243">
          <cell r="A13243">
            <v>8352054</v>
          </cell>
          <cell r="B13243">
            <v>113686</v>
          </cell>
          <cell r="C13243" t="str">
            <v>Hayeswood First School</v>
          </cell>
          <cell r="D13243" t="str">
            <v>Dorset</v>
          </cell>
          <cell r="E13243" t="str">
            <v>Community School</v>
          </cell>
          <cell r="F13243" t="str">
            <v>Primary</v>
          </cell>
        </row>
        <row r="13244">
          <cell r="A13244">
            <v>3712184</v>
          </cell>
          <cell r="B13244">
            <v>106746</v>
          </cell>
          <cell r="C13244" t="str">
            <v>Hayfield Lane Primary School</v>
          </cell>
          <cell r="D13244" t="str">
            <v>Doncaster</v>
          </cell>
          <cell r="E13244" t="str">
            <v>Community School</v>
          </cell>
          <cell r="F13244" t="str">
            <v>Primary</v>
          </cell>
        </row>
        <row r="13245">
          <cell r="A13245">
            <v>8302115</v>
          </cell>
          <cell r="B13245">
            <v>112554</v>
          </cell>
          <cell r="C13245" t="str">
            <v>Hayfield Primary School</v>
          </cell>
          <cell r="D13245" t="str">
            <v>Derbyshire</v>
          </cell>
          <cell r="E13245" t="str">
            <v>Community School</v>
          </cell>
          <cell r="F13245" t="str">
            <v>Primary</v>
          </cell>
        </row>
        <row r="13246">
          <cell r="A13246">
            <v>3447000</v>
          </cell>
          <cell r="B13246">
            <v>105128</v>
          </cell>
          <cell r="C13246" t="str">
            <v>Hayfield School</v>
          </cell>
          <cell r="D13246" t="str">
            <v>Wirral</v>
          </cell>
          <cell r="E13246" t="str">
            <v>Community Special School</v>
          </cell>
          <cell r="F13246" t="str">
            <v>Special</v>
          </cell>
        </row>
        <row r="13247">
          <cell r="A13247">
            <v>9334309</v>
          </cell>
          <cell r="B13247">
            <v>123882</v>
          </cell>
          <cell r="C13247" t="str">
            <v>Haygrove School</v>
          </cell>
          <cell r="D13247" t="str">
            <v>Somerset</v>
          </cell>
          <cell r="E13247" t="str">
            <v>Foundation School</v>
          </cell>
          <cell r="F13247" t="str">
            <v>Secondary</v>
          </cell>
        </row>
        <row r="13248">
          <cell r="A13248">
            <v>9334309</v>
          </cell>
          <cell r="B13248">
            <v>136917</v>
          </cell>
          <cell r="C13248" t="str">
            <v>Haygrove School</v>
          </cell>
          <cell r="D13248" t="str">
            <v>Somerset</v>
          </cell>
          <cell r="E13248" t="str">
            <v>Academy Converters</v>
          </cell>
          <cell r="F13248" t="str">
            <v>Secondary</v>
          </cell>
        </row>
        <row r="13249">
          <cell r="A13249">
            <v>9212021</v>
          </cell>
          <cell r="B13249">
            <v>118168</v>
          </cell>
          <cell r="C13249" t="str">
            <v>Haylands Primary School</v>
          </cell>
          <cell r="D13249" t="str">
            <v>Isle of Wight</v>
          </cell>
          <cell r="E13249" t="str">
            <v>Community School</v>
          </cell>
          <cell r="F13249" t="str">
            <v>Primary</v>
          </cell>
        </row>
        <row r="13250">
          <cell r="A13250">
            <v>9084171</v>
          </cell>
          <cell r="B13250">
            <v>112065</v>
          </cell>
          <cell r="C13250" t="str">
            <v>Hayle Community School</v>
          </cell>
          <cell r="D13250" t="str">
            <v>Cornwall</v>
          </cell>
          <cell r="E13250" t="str">
            <v>Community School</v>
          </cell>
          <cell r="F13250" t="str">
            <v>Secondary</v>
          </cell>
        </row>
        <row r="13251">
          <cell r="A13251">
            <v>2107126</v>
          </cell>
          <cell r="B13251">
            <v>100878</v>
          </cell>
          <cell r="C13251" t="str">
            <v>Haymerle School</v>
          </cell>
          <cell r="D13251" t="str">
            <v>Southwark</v>
          </cell>
          <cell r="E13251" t="str">
            <v>Community Special School</v>
          </cell>
          <cell r="F13251" t="str">
            <v>Special</v>
          </cell>
        </row>
        <row r="13252">
          <cell r="A13252">
            <v>8362254</v>
          </cell>
          <cell r="B13252">
            <v>113744</v>
          </cell>
          <cell r="C13252" t="str">
            <v>Haymoor Middle School</v>
          </cell>
          <cell r="D13252" t="str">
            <v>Poole</v>
          </cell>
          <cell r="E13252" t="str">
            <v>Community School</v>
          </cell>
          <cell r="F13252" t="str">
            <v>Middle Deemed Primary</v>
          </cell>
        </row>
        <row r="13253">
          <cell r="A13253">
            <v>8232055</v>
          </cell>
          <cell r="B13253">
            <v>109456</v>
          </cell>
          <cell r="C13253" t="str">
            <v>Haynes Lower School</v>
          </cell>
          <cell r="D13253" t="str">
            <v>Central Bedfordshire</v>
          </cell>
          <cell r="E13253" t="str">
            <v>Community School</v>
          </cell>
          <cell r="F13253" t="str">
            <v>Primary</v>
          </cell>
        </row>
        <row r="13254">
          <cell r="A13254">
            <v>6662116</v>
          </cell>
          <cell r="B13254">
            <v>400527</v>
          </cell>
          <cell r="C13254" t="str">
            <v>Hay-On-Wye C.P. School</v>
          </cell>
          <cell r="D13254" t="str">
            <v>Powys</v>
          </cell>
          <cell r="E13254" t="str">
            <v>Welsh Establishment</v>
          </cell>
          <cell r="F13254" t="str">
            <v>Primary</v>
          </cell>
        </row>
        <row r="13255">
          <cell r="A13255">
            <v>3557013</v>
          </cell>
          <cell r="B13255">
            <v>132978</v>
          </cell>
          <cell r="C13255" t="str">
            <v>Haysbrook School</v>
          </cell>
          <cell r="D13255" t="str">
            <v>Salford</v>
          </cell>
          <cell r="E13255" t="str">
            <v>Community Special School</v>
          </cell>
          <cell r="F13255" t="str">
            <v>Special</v>
          </cell>
        </row>
        <row r="13256">
          <cell r="A13256">
            <v>9095200</v>
          </cell>
          <cell r="B13256">
            <v>112402</v>
          </cell>
          <cell r="C13256" t="str">
            <v>Hayton CofE Primary School</v>
          </cell>
          <cell r="D13256" t="str">
            <v>Cumbria</v>
          </cell>
          <cell r="E13256" t="str">
            <v>Foundation School</v>
          </cell>
          <cell r="F13256" t="str">
            <v>Primary</v>
          </cell>
        </row>
        <row r="13257">
          <cell r="A13257">
            <v>8783779</v>
          </cell>
          <cell r="B13257">
            <v>133893</v>
          </cell>
          <cell r="C13257" t="str">
            <v>Haytor View Community Primary School</v>
          </cell>
          <cell r="D13257" t="str">
            <v>Devon</v>
          </cell>
          <cell r="E13257" t="str">
            <v>Community School</v>
          </cell>
          <cell r="F13257" t="str">
            <v>Primary</v>
          </cell>
        </row>
        <row r="13258">
          <cell r="A13258">
            <v>3504047</v>
          </cell>
          <cell r="B13258">
            <v>105258</v>
          </cell>
          <cell r="C13258" t="str">
            <v>Hayward School</v>
          </cell>
          <cell r="D13258" t="str">
            <v>Bolton</v>
          </cell>
          <cell r="E13258" t="str">
            <v>Community School</v>
          </cell>
          <cell r="F13258" t="str">
            <v>Secondary</v>
          </cell>
        </row>
        <row r="13259">
          <cell r="A13259">
            <v>9384104</v>
          </cell>
          <cell r="B13259">
            <v>130185</v>
          </cell>
          <cell r="C13259" t="str">
            <v>Haywards Heath College</v>
          </cell>
          <cell r="D13259" t="str">
            <v>West Sussex</v>
          </cell>
          <cell r="E13259" t="str">
            <v>Community School</v>
          </cell>
          <cell r="F13259" t="str">
            <v>Secondary</v>
          </cell>
        </row>
        <row r="13260">
          <cell r="A13260">
            <v>8782012</v>
          </cell>
          <cell r="B13260">
            <v>113069</v>
          </cell>
          <cell r="C13260" t="str">
            <v>Hayward's Primary School</v>
          </cell>
          <cell r="D13260" t="str">
            <v>Devon</v>
          </cell>
          <cell r="E13260" t="str">
            <v>Community School</v>
          </cell>
          <cell r="F13260" t="str">
            <v>Primary</v>
          </cell>
        </row>
        <row r="13261">
          <cell r="A13261">
            <v>9282083</v>
          </cell>
          <cell r="B13261">
            <v>121858</v>
          </cell>
          <cell r="C13261" t="str">
            <v>Hayway Infant and Nursery School</v>
          </cell>
          <cell r="D13261" t="str">
            <v>Northamptonshire</v>
          </cell>
          <cell r="E13261" t="str">
            <v>Community School</v>
          </cell>
          <cell r="F13261" t="str">
            <v>Primary</v>
          </cell>
        </row>
        <row r="13262">
          <cell r="A13262">
            <v>8614173</v>
          </cell>
          <cell r="B13262">
            <v>124440</v>
          </cell>
          <cell r="C13262" t="str">
            <v>Haywood Engineering College</v>
          </cell>
          <cell r="D13262" t="str">
            <v>Stoke-on-Trent</v>
          </cell>
          <cell r="E13262" t="str">
            <v>Foundation School</v>
          </cell>
          <cell r="F13262" t="str">
            <v>Secondary</v>
          </cell>
        </row>
        <row r="13263">
          <cell r="A13263">
            <v>9197047</v>
          </cell>
          <cell r="B13263">
            <v>131319</v>
          </cell>
          <cell r="C13263" t="str">
            <v>Haywood Grove School</v>
          </cell>
          <cell r="D13263" t="str">
            <v>Hertfordshire</v>
          </cell>
          <cell r="E13263" t="str">
            <v>Community Special School</v>
          </cell>
          <cell r="F13263" t="str">
            <v>Special</v>
          </cell>
        </row>
        <row r="13264">
          <cell r="A13264">
            <v>8924070</v>
          </cell>
          <cell r="B13264">
            <v>122842</v>
          </cell>
          <cell r="C13264" t="str">
            <v>Haywood School</v>
          </cell>
          <cell r="D13264" t="str">
            <v>Nottingham</v>
          </cell>
          <cell r="E13264" t="str">
            <v>Community School</v>
          </cell>
          <cell r="F13264" t="str">
            <v>Secondary</v>
          </cell>
        </row>
        <row r="13265">
          <cell r="A13265">
            <v>8562346</v>
          </cell>
          <cell r="B13265">
            <v>120071</v>
          </cell>
          <cell r="C13265" t="str">
            <v>Hazel Community Primary School</v>
          </cell>
          <cell r="D13265" t="str">
            <v>Leicester</v>
          </cell>
          <cell r="E13265" t="str">
            <v>Community School</v>
          </cell>
          <cell r="F13265" t="str">
            <v>Primary</v>
          </cell>
        </row>
        <row r="13266">
          <cell r="A13266">
            <v>8457032</v>
          </cell>
          <cell r="B13266">
            <v>114694</v>
          </cell>
          <cell r="C13266" t="str">
            <v>Hazel Court School</v>
          </cell>
          <cell r="D13266" t="str">
            <v>East Sussex</v>
          </cell>
          <cell r="E13266" t="str">
            <v>Community Special School</v>
          </cell>
          <cell r="F13266" t="str">
            <v>Special</v>
          </cell>
        </row>
        <row r="13267">
          <cell r="A13267">
            <v>3564036</v>
          </cell>
          <cell r="B13267">
            <v>106137</v>
          </cell>
          <cell r="C13267" t="str">
            <v>Hazel Grove High School</v>
          </cell>
          <cell r="D13267" t="str">
            <v>Stockport</v>
          </cell>
          <cell r="E13267" t="str">
            <v>Community School</v>
          </cell>
          <cell r="F13267" t="str">
            <v>Secondary</v>
          </cell>
        </row>
        <row r="13268">
          <cell r="A13268">
            <v>3564014</v>
          </cell>
          <cell r="B13268">
            <v>127511</v>
          </cell>
          <cell r="C13268" t="str">
            <v>Hazel Grove High School</v>
          </cell>
          <cell r="D13268" t="str">
            <v>Stockport</v>
          </cell>
          <cell r="E13268" t="str">
            <v>Community School</v>
          </cell>
          <cell r="F13268" t="str">
            <v>Secondary</v>
          </cell>
        </row>
        <row r="13269">
          <cell r="A13269">
            <v>3562040</v>
          </cell>
          <cell r="B13269">
            <v>127498</v>
          </cell>
          <cell r="C13269" t="str">
            <v>Hazel Grove Infant School</v>
          </cell>
          <cell r="D13269" t="str">
            <v>Stockport</v>
          </cell>
          <cell r="E13269" t="str">
            <v>Community School</v>
          </cell>
          <cell r="F13269" t="str">
            <v>Primary</v>
          </cell>
        </row>
        <row r="13270">
          <cell r="A13270">
            <v>3562041</v>
          </cell>
          <cell r="B13270">
            <v>127499</v>
          </cell>
          <cell r="C13270" t="str">
            <v>Hazel Grove Junior School</v>
          </cell>
          <cell r="D13270" t="str">
            <v>Stockport</v>
          </cell>
          <cell r="E13270" t="str">
            <v>Community School</v>
          </cell>
          <cell r="F13270" t="str">
            <v>Primary</v>
          </cell>
        </row>
        <row r="13271">
          <cell r="A13271">
            <v>3562113</v>
          </cell>
          <cell r="B13271">
            <v>106099</v>
          </cell>
          <cell r="C13271" t="str">
            <v>Hazel Grove Primary School</v>
          </cell>
          <cell r="D13271" t="str">
            <v>Stockport</v>
          </cell>
          <cell r="E13271" t="str">
            <v>Community School</v>
          </cell>
          <cell r="F13271" t="str">
            <v>Primary</v>
          </cell>
        </row>
        <row r="13272">
          <cell r="A13272">
            <v>8556027</v>
          </cell>
          <cell r="B13272">
            <v>135578</v>
          </cell>
          <cell r="C13272" t="str">
            <v>Hazel House</v>
          </cell>
          <cell r="D13272" t="str">
            <v>Leicestershire</v>
          </cell>
          <cell r="E13272" t="str">
            <v>Other Independent Special School</v>
          </cell>
          <cell r="F13272" t="str">
            <v>Not applicable</v>
          </cell>
        </row>
        <row r="13273">
          <cell r="A13273">
            <v>8916004</v>
          </cell>
          <cell r="B13273">
            <v>122918</v>
          </cell>
          <cell r="C13273" t="str">
            <v>Hazel Hurst School Mapperley Ltd</v>
          </cell>
          <cell r="D13273" t="str">
            <v>Nottinghamshire</v>
          </cell>
          <cell r="E13273" t="str">
            <v>Other Independent School</v>
          </cell>
          <cell r="F13273" t="str">
            <v>Not applicable</v>
          </cell>
        </row>
        <row r="13274">
          <cell r="A13274">
            <v>9282116</v>
          </cell>
          <cell r="B13274">
            <v>129688</v>
          </cell>
          <cell r="C13274" t="str">
            <v>Hazel Leys Infant School</v>
          </cell>
          <cell r="D13274" t="str">
            <v>Northamptonshire</v>
          </cell>
          <cell r="E13274" t="str">
            <v>Community School</v>
          </cell>
          <cell r="F13274" t="str">
            <v>Primary</v>
          </cell>
        </row>
        <row r="13275">
          <cell r="A13275">
            <v>9282114</v>
          </cell>
          <cell r="B13275">
            <v>129686</v>
          </cell>
          <cell r="C13275" t="str">
            <v>Hazel Leys Junior School</v>
          </cell>
          <cell r="D13275" t="str">
            <v>Northamptonshire</v>
          </cell>
          <cell r="E13275" t="str">
            <v>Community School</v>
          </cell>
          <cell r="F13275" t="str">
            <v>Primary</v>
          </cell>
        </row>
        <row r="13276">
          <cell r="A13276">
            <v>9282221</v>
          </cell>
          <cell r="B13276">
            <v>121955</v>
          </cell>
          <cell r="C13276" t="str">
            <v>Hazel Leys Nursery and Primary School</v>
          </cell>
          <cell r="D13276" t="str">
            <v>Northamptonshire</v>
          </cell>
          <cell r="E13276" t="str">
            <v>Community School</v>
          </cell>
          <cell r="F13276" t="str">
            <v>Primary</v>
          </cell>
        </row>
        <row r="13277">
          <cell r="A13277">
            <v>8111100</v>
          </cell>
          <cell r="B13277">
            <v>133679</v>
          </cell>
          <cell r="C13277" t="str">
            <v>Hazel Lodge Pupil Referral Unit</v>
          </cell>
          <cell r="D13277" t="str">
            <v>East Riding of Yorkshire</v>
          </cell>
          <cell r="E13277" t="str">
            <v>Pupil Referral Unit</v>
          </cell>
          <cell r="F13277" t="str">
            <v>PRU</v>
          </cell>
        </row>
        <row r="13278">
          <cell r="A13278">
            <v>3347001</v>
          </cell>
          <cell r="B13278">
            <v>104130</v>
          </cell>
          <cell r="C13278" t="str">
            <v>Hazel Oak School</v>
          </cell>
          <cell r="D13278" t="str">
            <v>Solihull</v>
          </cell>
          <cell r="E13278" t="str">
            <v>Community Special School</v>
          </cell>
          <cell r="F13278" t="str">
            <v>Special</v>
          </cell>
        </row>
        <row r="13279">
          <cell r="A13279">
            <v>8602179</v>
          </cell>
          <cell r="B13279">
            <v>124069</v>
          </cell>
          <cell r="C13279" t="str">
            <v>Hazel Slade Community Primary School</v>
          </cell>
          <cell r="D13279" t="str">
            <v>Staffordshire</v>
          </cell>
          <cell r="E13279" t="str">
            <v>Foundation School</v>
          </cell>
          <cell r="F13279" t="str">
            <v>Primary</v>
          </cell>
        </row>
        <row r="13280">
          <cell r="A13280">
            <v>8502739</v>
          </cell>
          <cell r="B13280">
            <v>116243</v>
          </cell>
          <cell r="C13280" t="str">
            <v>Hazel Wood Infant School</v>
          </cell>
          <cell r="D13280" t="str">
            <v>Hampshire</v>
          </cell>
          <cell r="E13280" t="str">
            <v>Community School</v>
          </cell>
          <cell r="F13280" t="str">
            <v>Primary</v>
          </cell>
        </row>
        <row r="13281">
          <cell r="A13281">
            <v>3807034</v>
          </cell>
          <cell r="B13281">
            <v>135231</v>
          </cell>
          <cell r="C13281" t="str">
            <v>Hazelbeck Special School</v>
          </cell>
          <cell r="D13281" t="str">
            <v>Bradford</v>
          </cell>
          <cell r="E13281" t="str">
            <v>Community Special School</v>
          </cell>
          <cell r="F13281" t="str">
            <v>Special</v>
          </cell>
        </row>
        <row r="13282">
          <cell r="A13282">
            <v>8352022</v>
          </cell>
          <cell r="B13282">
            <v>113669</v>
          </cell>
          <cell r="C13282" t="str">
            <v>Hazelbury Bryan Primary School</v>
          </cell>
          <cell r="D13282" t="str">
            <v>Dorset</v>
          </cell>
          <cell r="E13282" t="str">
            <v>Community School</v>
          </cell>
          <cell r="F13282" t="str">
            <v>Primary</v>
          </cell>
        </row>
        <row r="13283">
          <cell r="A13283">
            <v>3082038</v>
          </cell>
          <cell r="B13283">
            <v>101995</v>
          </cell>
          <cell r="C13283" t="str">
            <v>Hazelbury Infant School</v>
          </cell>
          <cell r="D13283" t="str">
            <v>Enfield</v>
          </cell>
          <cell r="E13283" t="str">
            <v>Community School</v>
          </cell>
          <cell r="F13283" t="str">
            <v>Primary</v>
          </cell>
        </row>
        <row r="13284">
          <cell r="A13284">
            <v>3082070</v>
          </cell>
          <cell r="B13284">
            <v>102010</v>
          </cell>
          <cell r="C13284" t="str">
            <v>Hazelbury Junior School</v>
          </cell>
          <cell r="D13284" t="str">
            <v>Enfield</v>
          </cell>
          <cell r="E13284" t="str">
            <v>Community School</v>
          </cell>
          <cell r="F13284" t="str">
            <v>Primary</v>
          </cell>
        </row>
        <row r="13285">
          <cell r="A13285">
            <v>8222173</v>
          </cell>
          <cell r="B13285">
            <v>109506</v>
          </cell>
          <cell r="C13285" t="str">
            <v>Hazeldene Lower School</v>
          </cell>
          <cell r="D13285" t="str">
            <v>Bedford</v>
          </cell>
          <cell r="E13285" t="str">
            <v>Foundation School</v>
          </cell>
          <cell r="F13285" t="str">
            <v>Primary</v>
          </cell>
        </row>
        <row r="13286">
          <cell r="A13286">
            <v>8782448</v>
          </cell>
          <cell r="B13286">
            <v>113224</v>
          </cell>
          <cell r="C13286" t="str">
            <v>Hazeldown School</v>
          </cell>
          <cell r="D13286" t="str">
            <v>Devon</v>
          </cell>
          <cell r="E13286" t="str">
            <v>Community School</v>
          </cell>
          <cell r="F13286" t="str">
            <v>Primary</v>
          </cell>
        </row>
        <row r="13287">
          <cell r="A13287">
            <v>8264704</v>
          </cell>
          <cell r="B13287">
            <v>134631</v>
          </cell>
          <cell r="C13287" t="str">
            <v>Hazeley School</v>
          </cell>
          <cell r="D13287" t="str">
            <v>Milton Keynes</v>
          </cell>
          <cell r="E13287" t="str">
            <v>Foundation School</v>
          </cell>
          <cell r="F13287" t="str">
            <v>Secondary</v>
          </cell>
        </row>
        <row r="13288">
          <cell r="A13288">
            <v>9336182</v>
          </cell>
          <cell r="B13288">
            <v>123931</v>
          </cell>
          <cell r="C13288" t="str">
            <v>Hazelgrove Preparatory School</v>
          </cell>
          <cell r="D13288" t="str">
            <v>Somerset</v>
          </cell>
          <cell r="E13288" t="str">
            <v>Other Independent School</v>
          </cell>
          <cell r="F13288" t="str">
            <v>Not applicable</v>
          </cell>
        </row>
        <row r="13289">
          <cell r="A13289">
            <v>9192183</v>
          </cell>
          <cell r="B13289">
            <v>117196</v>
          </cell>
          <cell r="C13289" t="str">
            <v>Hazelgrove Primary School</v>
          </cell>
          <cell r="D13289" t="str">
            <v>Hertfordshire</v>
          </cell>
          <cell r="E13289" t="str">
            <v>Community School</v>
          </cell>
          <cell r="F13289" t="str">
            <v>Primary</v>
          </cell>
        </row>
        <row r="13290">
          <cell r="A13290">
            <v>3156053</v>
          </cell>
          <cell r="B13290">
            <v>102688</v>
          </cell>
          <cell r="C13290" t="str">
            <v>Hazelhurst School for Girls</v>
          </cell>
          <cell r="D13290" t="str">
            <v>Merton</v>
          </cell>
          <cell r="E13290" t="str">
            <v>Other Independent School</v>
          </cell>
          <cell r="F13290" t="str">
            <v>Not applicable</v>
          </cell>
        </row>
        <row r="13291">
          <cell r="A13291">
            <v>8812058</v>
          </cell>
          <cell r="B13291">
            <v>114746</v>
          </cell>
          <cell r="C13291" t="str">
            <v>Hazelmere Infant School and Nursery</v>
          </cell>
          <cell r="D13291" t="str">
            <v>Essex</v>
          </cell>
          <cell r="E13291" t="str">
            <v>Community School</v>
          </cell>
          <cell r="F13291" t="str">
            <v>Primary</v>
          </cell>
        </row>
        <row r="13292">
          <cell r="A13292">
            <v>8812057</v>
          </cell>
          <cell r="B13292">
            <v>114745</v>
          </cell>
          <cell r="C13292" t="str">
            <v>Hazelmere Junior School</v>
          </cell>
          <cell r="D13292" t="str">
            <v>Essex</v>
          </cell>
          <cell r="E13292" t="str">
            <v>Community School</v>
          </cell>
          <cell r="F13292" t="str">
            <v>Primary</v>
          </cell>
        </row>
        <row r="13293">
          <cell r="A13293">
            <v>9384029</v>
          </cell>
          <cell r="B13293">
            <v>126070</v>
          </cell>
          <cell r="C13293" t="str">
            <v>Hazelwick School</v>
          </cell>
          <cell r="D13293" t="str">
            <v>West Sussex</v>
          </cell>
          <cell r="E13293" t="str">
            <v>Foundation School</v>
          </cell>
          <cell r="F13293" t="str">
            <v>Secondary</v>
          </cell>
        </row>
        <row r="13294">
          <cell r="A13294">
            <v>9384029</v>
          </cell>
          <cell r="B13294">
            <v>137263</v>
          </cell>
          <cell r="C13294" t="str">
            <v>Hazelwick School</v>
          </cell>
          <cell r="D13294" t="str">
            <v>West Sussex</v>
          </cell>
          <cell r="E13294" t="str">
            <v>Academy Converters</v>
          </cell>
          <cell r="F13294" t="str">
            <v>Secondary</v>
          </cell>
        </row>
        <row r="13295">
          <cell r="A13295">
            <v>3082040</v>
          </cell>
          <cell r="B13295">
            <v>101997</v>
          </cell>
          <cell r="C13295" t="str">
            <v>Hazelwood Infant School</v>
          </cell>
          <cell r="D13295" t="str">
            <v>Enfield</v>
          </cell>
          <cell r="E13295" t="str">
            <v>Community School</v>
          </cell>
          <cell r="F13295" t="str">
            <v>Primary</v>
          </cell>
        </row>
        <row r="13296">
          <cell r="A13296">
            <v>3082039</v>
          </cell>
          <cell r="B13296">
            <v>101996</v>
          </cell>
          <cell r="C13296" t="str">
            <v>Hazelwood Junior School</v>
          </cell>
          <cell r="D13296" t="str">
            <v>Enfield</v>
          </cell>
          <cell r="E13296" t="str">
            <v>Community School</v>
          </cell>
          <cell r="F13296" t="str">
            <v>Primary</v>
          </cell>
        </row>
        <row r="13297">
          <cell r="A13297">
            <v>9366252</v>
          </cell>
          <cell r="B13297">
            <v>125386</v>
          </cell>
          <cell r="C13297" t="str">
            <v>Hazelwood School</v>
          </cell>
          <cell r="D13297" t="str">
            <v>Surrey</v>
          </cell>
          <cell r="E13297" t="str">
            <v>Other Independent School</v>
          </cell>
          <cell r="F13297" t="str">
            <v>Not applicable</v>
          </cell>
        </row>
        <row r="13298">
          <cell r="A13298">
            <v>3306008</v>
          </cell>
          <cell r="B13298">
            <v>137015</v>
          </cell>
          <cell r="C13298" t="str">
            <v>Hazelwood School</v>
          </cell>
          <cell r="D13298" t="str">
            <v>Birmingham</v>
          </cell>
          <cell r="E13298" t="str">
            <v>Other Independent Special School</v>
          </cell>
          <cell r="F13298" t="str">
            <v>Not applicable</v>
          </cell>
        </row>
        <row r="13299">
          <cell r="A13299">
            <v>3732235</v>
          </cell>
          <cell r="B13299">
            <v>107034</v>
          </cell>
          <cell r="C13299" t="str">
            <v>Hazlebarrow Primary School</v>
          </cell>
          <cell r="D13299" t="str">
            <v>Sheffield</v>
          </cell>
          <cell r="E13299" t="str">
            <v>Community School</v>
          </cell>
          <cell r="F13299" t="str">
            <v>Primary</v>
          </cell>
        </row>
        <row r="13300">
          <cell r="A13300">
            <v>3512025</v>
          </cell>
          <cell r="B13300">
            <v>105296</v>
          </cell>
          <cell r="C13300" t="str">
            <v>Hazlehurst Community Primary School</v>
          </cell>
          <cell r="D13300" t="str">
            <v>Bury</v>
          </cell>
          <cell r="E13300" t="str">
            <v>Community School</v>
          </cell>
          <cell r="F13300" t="str">
            <v>Primary</v>
          </cell>
        </row>
        <row r="13301">
          <cell r="A13301">
            <v>8253333</v>
          </cell>
          <cell r="B13301">
            <v>110462</v>
          </cell>
          <cell r="C13301" t="str">
            <v>Hazlemere Church of England Combined School</v>
          </cell>
          <cell r="D13301" t="str">
            <v>Buckinghamshire</v>
          </cell>
          <cell r="E13301" t="str">
            <v>Voluntary Aided School</v>
          </cell>
          <cell r="F13301" t="str">
            <v>Primary</v>
          </cell>
        </row>
        <row r="13302">
          <cell r="A13302">
            <v>3922030</v>
          </cell>
          <cell r="B13302">
            <v>128152</v>
          </cell>
          <cell r="C13302" t="str">
            <v>Hazlerigg First School</v>
          </cell>
          <cell r="D13302" t="str">
            <v>North Tyneside</v>
          </cell>
          <cell r="E13302" t="str">
            <v>Community School</v>
          </cell>
          <cell r="F13302" t="str">
            <v>Primary</v>
          </cell>
        </row>
        <row r="13303">
          <cell r="A13303">
            <v>3922084</v>
          </cell>
          <cell r="B13303">
            <v>108610</v>
          </cell>
          <cell r="C13303" t="str">
            <v>Hazlewood Community Primary School</v>
          </cell>
          <cell r="D13303" t="str">
            <v>North Tyneside</v>
          </cell>
          <cell r="E13303" t="str">
            <v>Foundation School</v>
          </cell>
          <cell r="F13303" t="str">
            <v>Primary</v>
          </cell>
        </row>
        <row r="13304">
          <cell r="A13304">
            <v>3306170</v>
          </cell>
          <cell r="B13304">
            <v>136123</v>
          </cell>
          <cell r="C13304" t="str">
            <v>Hazrat Khadijatul Kubra Girls School</v>
          </cell>
          <cell r="D13304" t="str">
            <v>Birmingham</v>
          </cell>
          <cell r="E13304" t="str">
            <v>Other Independent School</v>
          </cell>
          <cell r="F13304" t="str">
            <v>Not applicable</v>
          </cell>
        </row>
        <row r="13305">
          <cell r="A13305">
            <v>9262196</v>
          </cell>
          <cell r="B13305">
            <v>120874</v>
          </cell>
          <cell r="C13305" t="str">
            <v>Heacham Infant and Nursery School</v>
          </cell>
          <cell r="D13305" t="str">
            <v>Norfolk</v>
          </cell>
          <cell r="E13305" t="str">
            <v>Community School</v>
          </cell>
          <cell r="F13305" t="str">
            <v>Primary</v>
          </cell>
        </row>
        <row r="13306">
          <cell r="A13306">
            <v>9265201</v>
          </cell>
          <cell r="B13306">
            <v>121191</v>
          </cell>
          <cell r="C13306" t="str">
            <v>Heacham Junior School</v>
          </cell>
          <cell r="D13306" t="str">
            <v>Norfolk</v>
          </cell>
          <cell r="E13306" t="str">
            <v>Foundation School</v>
          </cell>
          <cell r="F13306" t="str">
            <v>Primary</v>
          </cell>
        </row>
        <row r="13307">
          <cell r="A13307">
            <v>8862165</v>
          </cell>
          <cell r="B13307">
            <v>118291</v>
          </cell>
          <cell r="C13307" t="str">
            <v>Headcorn Primary School</v>
          </cell>
          <cell r="D13307" t="str">
            <v>Kent</v>
          </cell>
          <cell r="E13307" t="str">
            <v>Community School</v>
          </cell>
          <cell r="F13307" t="str">
            <v>Primary</v>
          </cell>
        </row>
        <row r="13308">
          <cell r="A13308">
            <v>3823010</v>
          </cell>
          <cell r="B13308">
            <v>107707</v>
          </cell>
          <cell r="C13308" t="str">
            <v>Headfield Church of England Voluntary Controlled Junior School</v>
          </cell>
          <cell r="D13308" t="str">
            <v>Kirklees</v>
          </cell>
          <cell r="E13308" t="str">
            <v>Voluntary Controlled School</v>
          </cell>
          <cell r="F13308" t="str">
            <v>Primary</v>
          </cell>
        </row>
        <row r="13309">
          <cell r="A13309">
            <v>3832096</v>
          </cell>
          <cell r="B13309">
            <v>127828</v>
          </cell>
          <cell r="C13309" t="str">
            <v>Headingley First School</v>
          </cell>
          <cell r="D13309" t="str">
            <v>Leeds</v>
          </cell>
          <cell r="E13309" t="str">
            <v>Community School</v>
          </cell>
          <cell r="F13309" t="str">
            <v>Primary</v>
          </cell>
        </row>
        <row r="13310">
          <cell r="A13310">
            <v>3832419</v>
          </cell>
          <cell r="B13310">
            <v>107895</v>
          </cell>
          <cell r="C13310" t="str">
            <v>Headingley Primary School</v>
          </cell>
          <cell r="D13310" t="str">
            <v>Leeds</v>
          </cell>
          <cell r="E13310" t="str">
            <v>Community School</v>
          </cell>
          <cell r="F13310" t="str">
            <v>Primary</v>
          </cell>
        </row>
        <row r="13311">
          <cell r="A13311">
            <v>9314104</v>
          </cell>
          <cell r="B13311">
            <v>123248</v>
          </cell>
          <cell r="C13311" t="str">
            <v>Headington Middle School</v>
          </cell>
          <cell r="D13311" t="str">
            <v>Oxfordshire</v>
          </cell>
          <cell r="E13311" t="str">
            <v>Community School</v>
          </cell>
          <cell r="F13311" t="str">
            <v>Middle Deemed Secondary</v>
          </cell>
        </row>
        <row r="13312">
          <cell r="A13312">
            <v>9313212</v>
          </cell>
          <cell r="B13312">
            <v>123141</v>
          </cell>
          <cell r="C13312" t="str">
            <v>Headington Quarry Church of England First School</v>
          </cell>
          <cell r="D13312" t="str">
            <v>Oxfordshire</v>
          </cell>
          <cell r="E13312" t="str">
            <v>Voluntary Controlled School</v>
          </cell>
          <cell r="F13312" t="str">
            <v>Primary</v>
          </cell>
        </row>
        <row r="13313">
          <cell r="A13313">
            <v>9311006</v>
          </cell>
          <cell r="B13313">
            <v>122968</v>
          </cell>
          <cell r="C13313" t="str">
            <v>Headington Quarry Foundation Stage School</v>
          </cell>
          <cell r="D13313" t="str">
            <v>Oxfordshire</v>
          </cell>
          <cell r="E13313" t="str">
            <v>LA Nursery School</v>
          </cell>
          <cell r="F13313" t="str">
            <v>Nursery</v>
          </cell>
        </row>
        <row r="13314">
          <cell r="A13314">
            <v>9316064</v>
          </cell>
          <cell r="B13314">
            <v>123290</v>
          </cell>
          <cell r="C13314" t="str">
            <v>Headington School</v>
          </cell>
          <cell r="D13314" t="str">
            <v>Oxfordshire</v>
          </cell>
          <cell r="E13314" t="str">
            <v>Other Independent School</v>
          </cell>
          <cell r="F13314" t="str">
            <v>Not applicable</v>
          </cell>
        </row>
        <row r="13315">
          <cell r="A13315">
            <v>8664087</v>
          </cell>
          <cell r="B13315">
            <v>134981</v>
          </cell>
          <cell r="C13315" t="str">
            <v>Headlands</v>
          </cell>
          <cell r="D13315" t="str">
            <v>Swindon</v>
          </cell>
          <cell r="E13315" t="str">
            <v>Community School</v>
          </cell>
          <cell r="F13315" t="str">
            <v>Secondary</v>
          </cell>
        </row>
        <row r="13316">
          <cell r="A13316">
            <v>3823037</v>
          </cell>
          <cell r="B13316">
            <v>107723</v>
          </cell>
          <cell r="C13316" t="str">
            <v>Headlands Church of England Voluntary Controlled Junior, Infant and Nursery School</v>
          </cell>
          <cell r="D13316" t="str">
            <v>Kirklees</v>
          </cell>
          <cell r="E13316" t="str">
            <v>Voluntary Controlled School</v>
          </cell>
          <cell r="F13316" t="str">
            <v>Primary</v>
          </cell>
        </row>
        <row r="13317">
          <cell r="A13317">
            <v>8162241</v>
          </cell>
          <cell r="B13317">
            <v>121367</v>
          </cell>
          <cell r="C13317" t="str">
            <v>Headlands Primary School</v>
          </cell>
          <cell r="D13317" t="str">
            <v>York</v>
          </cell>
          <cell r="E13317" t="str">
            <v>Community School</v>
          </cell>
          <cell r="F13317" t="str">
            <v>Primary</v>
          </cell>
        </row>
        <row r="13318">
          <cell r="A13318">
            <v>9282162</v>
          </cell>
          <cell r="B13318">
            <v>121913</v>
          </cell>
          <cell r="C13318" t="str">
            <v>Headlands Primary School</v>
          </cell>
          <cell r="D13318" t="str">
            <v>Northamptonshire</v>
          </cell>
          <cell r="E13318" t="str">
            <v>Foundation School</v>
          </cell>
          <cell r="F13318" t="str">
            <v>Primary</v>
          </cell>
        </row>
        <row r="13319">
          <cell r="A13319">
            <v>8664085</v>
          </cell>
          <cell r="B13319">
            <v>126466</v>
          </cell>
          <cell r="C13319" t="str">
            <v>Headlands School</v>
          </cell>
          <cell r="D13319" t="str">
            <v>Swindon</v>
          </cell>
          <cell r="E13319" t="str">
            <v>Community School</v>
          </cell>
          <cell r="F13319" t="str">
            <v>Secondary</v>
          </cell>
        </row>
        <row r="13320">
          <cell r="A13320">
            <v>6736025</v>
          </cell>
          <cell r="B13320">
            <v>402003</v>
          </cell>
          <cell r="C13320" t="str">
            <v>Headlands School</v>
          </cell>
          <cell r="D13320" t="str">
            <v>The Vale of Glamorgan</v>
          </cell>
          <cell r="E13320" t="str">
            <v>Welsh Establishment</v>
          </cell>
          <cell r="F13320" t="str">
            <v>Not applicable</v>
          </cell>
        </row>
        <row r="13321">
          <cell r="A13321">
            <v>8114064</v>
          </cell>
          <cell r="B13321">
            <v>118085</v>
          </cell>
          <cell r="C13321" t="str">
            <v>Headlands School and Community Science College</v>
          </cell>
          <cell r="D13321" t="str">
            <v>East Riding of Yorkshire</v>
          </cell>
          <cell r="E13321" t="str">
            <v>Community School</v>
          </cell>
          <cell r="F13321" t="str">
            <v>Secondary</v>
          </cell>
        </row>
        <row r="13322">
          <cell r="A13322">
            <v>8012099</v>
          </cell>
          <cell r="B13322">
            <v>108976</v>
          </cell>
          <cell r="C13322" t="str">
            <v>Headley Park Primary School</v>
          </cell>
          <cell r="D13322" t="str">
            <v>Bristol City of</v>
          </cell>
          <cell r="E13322" t="str">
            <v>Community School</v>
          </cell>
          <cell r="F13322" t="str">
            <v>Primary</v>
          </cell>
        </row>
        <row r="13323">
          <cell r="A13323">
            <v>8456051</v>
          </cell>
          <cell r="B13323">
            <v>134148</v>
          </cell>
          <cell r="C13323" t="str">
            <v>Headstart</v>
          </cell>
          <cell r="D13323" t="str">
            <v>East Sussex</v>
          </cell>
          <cell r="E13323" t="str">
            <v>Other Independent Special School</v>
          </cell>
          <cell r="F13323" t="str">
            <v>Not applicable</v>
          </cell>
        </row>
        <row r="13324">
          <cell r="A13324">
            <v>2106387</v>
          </cell>
          <cell r="B13324">
            <v>130369</v>
          </cell>
          <cell r="C13324" t="str">
            <v>Headstart Montessori School</v>
          </cell>
          <cell r="D13324" t="str">
            <v>Southwark</v>
          </cell>
          <cell r="E13324" t="str">
            <v>Other Independent School</v>
          </cell>
          <cell r="F13324" t="str">
            <v>Not applicable</v>
          </cell>
        </row>
        <row r="13325">
          <cell r="A13325">
            <v>2126406</v>
          </cell>
          <cell r="B13325">
            <v>134268</v>
          </cell>
          <cell r="C13325" t="str">
            <v>Headstart Montessori School</v>
          </cell>
          <cell r="D13325" t="str">
            <v>Wandsworth</v>
          </cell>
          <cell r="E13325" t="str">
            <v>Other Independent School</v>
          </cell>
          <cell r="F13325" t="str">
            <v>Not applicable</v>
          </cell>
        </row>
        <row r="13326">
          <cell r="A13326">
            <v>8302511</v>
          </cell>
          <cell r="B13326">
            <v>112773</v>
          </cell>
          <cell r="C13326" t="str">
            <v>Heage Primary School</v>
          </cell>
          <cell r="D13326" t="str">
            <v>Derbyshire</v>
          </cell>
          <cell r="E13326" t="str">
            <v>Community School</v>
          </cell>
          <cell r="F13326" t="str">
            <v>Primary</v>
          </cell>
        </row>
        <row r="13327">
          <cell r="A13327">
            <v>3522129</v>
          </cell>
          <cell r="B13327">
            <v>105422</v>
          </cell>
          <cell r="C13327" t="str">
            <v>Heald Place Primary School</v>
          </cell>
          <cell r="D13327" t="str">
            <v>Manchester</v>
          </cell>
          <cell r="E13327" t="str">
            <v>Community School</v>
          </cell>
          <cell r="F13327" t="str">
            <v>Primary</v>
          </cell>
        </row>
        <row r="13328">
          <cell r="A13328">
            <v>8912165</v>
          </cell>
          <cell r="B13328">
            <v>122488</v>
          </cell>
          <cell r="C13328" t="str">
            <v>Healdswood Infants' and Nursery School</v>
          </cell>
          <cell r="D13328" t="str">
            <v>Nottinghamshire</v>
          </cell>
          <cell r="E13328" t="str">
            <v>Community School</v>
          </cell>
          <cell r="F13328" t="str">
            <v>Primary</v>
          </cell>
        </row>
        <row r="13329">
          <cell r="A13329">
            <v>3545204</v>
          </cell>
          <cell r="B13329">
            <v>105850</v>
          </cell>
          <cell r="C13329" t="str">
            <v>Healey Foundation Primary School</v>
          </cell>
          <cell r="D13329" t="str">
            <v>Rochdale</v>
          </cell>
          <cell r="E13329" t="str">
            <v>Foundation School</v>
          </cell>
          <cell r="F13329" t="str">
            <v>Primary</v>
          </cell>
        </row>
        <row r="13330">
          <cell r="A13330">
            <v>3822064</v>
          </cell>
          <cell r="B13330">
            <v>107638</v>
          </cell>
          <cell r="C13330" t="str">
            <v>Healey Junior Infant and Nursery School</v>
          </cell>
          <cell r="D13330" t="str">
            <v>Kirklees</v>
          </cell>
          <cell r="E13330" t="str">
            <v>Community School</v>
          </cell>
          <cell r="F13330" t="str">
            <v>Primary</v>
          </cell>
        </row>
        <row r="13331">
          <cell r="A13331">
            <v>8122154</v>
          </cell>
          <cell r="B13331">
            <v>117767</v>
          </cell>
          <cell r="C13331" t="str">
            <v>Healing Primary School</v>
          </cell>
          <cell r="D13331" t="str">
            <v>North East Lincolnshire</v>
          </cell>
          <cell r="E13331" t="str">
            <v>Community School</v>
          </cell>
          <cell r="F13331" t="str">
            <v>Primary</v>
          </cell>
        </row>
        <row r="13332">
          <cell r="A13332">
            <v>8124084</v>
          </cell>
          <cell r="B13332">
            <v>118095</v>
          </cell>
          <cell r="C13332" t="str">
            <v>Healing School, A Specialist Science and Foundation College</v>
          </cell>
          <cell r="D13332" t="str">
            <v>North East Lincolnshire</v>
          </cell>
          <cell r="E13332" t="str">
            <v>Foundation School</v>
          </cell>
          <cell r="F13332" t="str">
            <v>Secondary</v>
          </cell>
        </row>
        <row r="13333">
          <cell r="A13333">
            <v>8124084</v>
          </cell>
          <cell r="B13333">
            <v>136277</v>
          </cell>
          <cell r="C13333" t="str">
            <v>Healing Science Academy</v>
          </cell>
          <cell r="D13333" t="str">
            <v>North East Lincolnshire</v>
          </cell>
          <cell r="E13333" t="str">
            <v>Academy Converters</v>
          </cell>
          <cell r="F13333" t="str">
            <v>Secondary</v>
          </cell>
        </row>
        <row r="13334">
          <cell r="A13334">
            <v>9082006</v>
          </cell>
          <cell r="B13334">
            <v>111794</v>
          </cell>
          <cell r="C13334" t="str">
            <v>Heamoor Community Primary School</v>
          </cell>
          <cell r="D13334" t="str">
            <v>Cornwall</v>
          </cell>
          <cell r="E13334" t="str">
            <v>Community School</v>
          </cell>
          <cell r="F13334" t="str">
            <v>Primary</v>
          </cell>
        </row>
        <row r="13335">
          <cell r="A13335">
            <v>8305408</v>
          </cell>
          <cell r="B13335">
            <v>112993</v>
          </cell>
          <cell r="C13335" t="str">
            <v>Heanor Gate Science College</v>
          </cell>
          <cell r="D13335" t="str">
            <v>Derbyshire</v>
          </cell>
          <cell r="E13335" t="str">
            <v>Foundation School</v>
          </cell>
          <cell r="F13335" t="str">
            <v>Secondary</v>
          </cell>
        </row>
        <row r="13336">
          <cell r="A13336">
            <v>8305408</v>
          </cell>
          <cell r="B13336">
            <v>137606</v>
          </cell>
          <cell r="C13336" t="str">
            <v>Heanor Gate Science College</v>
          </cell>
          <cell r="D13336" t="str">
            <v>Derbyshire</v>
          </cell>
          <cell r="E13336" t="str">
            <v>Academy Converters</v>
          </cell>
          <cell r="F13336" t="str">
            <v>Secondary</v>
          </cell>
        </row>
        <row r="13337">
          <cell r="A13337">
            <v>8302118</v>
          </cell>
          <cell r="B13337">
            <v>112557</v>
          </cell>
          <cell r="C13337" t="str">
            <v>Heanor Langley Infant School</v>
          </cell>
          <cell r="D13337" t="str">
            <v>Derbyshire</v>
          </cell>
          <cell r="E13337" t="str">
            <v>Community School</v>
          </cell>
          <cell r="F13337" t="str">
            <v>Primary</v>
          </cell>
        </row>
        <row r="13338">
          <cell r="A13338">
            <v>3542062</v>
          </cell>
          <cell r="B13338">
            <v>105797</v>
          </cell>
          <cell r="C13338" t="str">
            <v>Heap Bridge Village Primary School</v>
          </cell>
          <cell r="D13338" t="str">
            <v>Rochdale</v>
          </cell>
          <cell r="E13338" t="str">
            <v>Community School</v>
          </cell>
          <cell r="F13338" t="str">
            <v>Primary</v>
          </cell>
        </row>
        <row r="13339">
          <cell r="A13339">
            <v>2122291</v>
          </cell>
          <cell r="B13339">
            <v>126682</v>
          </cell>
          <cell r="C13339" t="str">
            <v>Hearnville Primary School</v>
          </cell>
          <cell r="D13339" t="str">
            <v>Wandsworth</v>
          </cell>
          <cell r="E13339" t="str">
            <v>Community School</v>
          </cell>
          <cell r="F13339" t="str">
            <v>Primary</v>
          </cell>
        </row>
        <row r="13340">
          <cell r="A13340">
            <v>3312023</v>
          </cell>
          <cell r="B13340">
            <v>103644</v>
          </cell>
          <cell r="C13340" t="str">
            <v>Hearsall Community Primary School</v>
          </cell>
          <cell r="D13340" t="str">
            <v>Coventry</v>
          </cell>
          <cell r="E13340" t="str">
            <v>Community School</v>
          </cell>
          <cell r="F13340" t="str">
            <v>Primary</v>
          </cell>
        </row>
        <row r="13341">
          <cell r="A13341">
            <v>3344030</v>
          </cell>
          <cell r="B13341">
            <v>104115</v>
          </cell>
          <cell r="C13341" t="str">
            <v>Heart of England School</v>
          </cell>
          <cell r="D13341" t="str">
            <v>Solihull</v>
          </cell>
          <cell r="E13341" t="str">
            <v>Community School</v>
          </cell>
          <cell r="F13341" t="str">
            <v>Secondary</v>
          </cell>
        </row>
        <row r="13342">
          <cell r="A13342">
            <v>3344030</v>
          </cell>
          <cell r="B13342">
            <v>136909</v>
          </cell>
          <cell r="C13342" t="str">
            <v>Heart of England School</v>
          </cell>
          <cell r="D13342" t="str">
            <v>Solihull</v>
          </cell>
          <cell r="E13342" t="str">
            <v>Academy Converters</v>
          </cell>
          <cell r="F13342" t="str">
            <v>Secondary</v>
          </cell>
        </row>
        <row r="13343">
          <cell r="A13343">
            <v>9167025</v>
          </cell>
          <cell r="B13343">
            <v>134190</v>
          </cell>
          <cell r="C13343" t="str">
            <v>Heart of the Forest Community Special School</v>
          </cell>
          <cell r="D13343" t="str">
            <v>Gloucestershire</v>
          </cell>
          <cell r="E13343" t="str">
            <v>Community Special School</v>
          </cell>
          <cell r="F13343" t="str">
            <v>Special</v>
          </cell>
        </row>
        <row r="13344">
          <cell r="A13344">
            <v>3306905</v>
          </cell>
          <cell r="B13344">
            <v>135907</v>
          </cell>
          <cell r="C13344" t="str">
            <v>Heartlands Academy</v>
          </cell>
          <cell r="D13344" t="str">
            <v>Birmingham</v>
          </cell>
          <cell r="E13344" t="str">
            <v>Academy Sponsor Led</v>
          </cell>
          <cell r="F13344" t="str">
            <v>Secondary</v>
          </cell>
        </row>
        <row r="13345">
          <cell r="A13345">
            <v>3094705</v>
          </cell>
          <cell r="B13345">
            <v>135844</v>
          </cell>
          <cell r="C13345" t="str">
            <v>Heartlands High School</v>
          </cell>
          <cell r="D13345" t="str">
            <v>Haringey</v>
          </cell>
          <cell r="E13345" t="str">
            <v>Community School</v>
          </cell>
          <cell r="F13345" t="str">
            <v>Secondary</v>
          </cell>
        </row>
        <row r="13346">
          <cell r="A13346">
            <v>3307023</v>
          </cell>
          <cell r="B13346">
            <v>103608</v>
          </cell>
          <cell r="C13346" t="str">
            <v>Heartlands Hospital School</v>
          </cell>
          <cell r="D13346" t="str">
            <v>Birmingham</v>
          </cell>
          <cell r="E13346" t="str">
            <v>Community Special School</v>
          </cell>
          <cell r="F13346" t="str">
            <v>Special</v>
          </cell>
        </row>
        <row r="13347">
          <cell r="A13347">
            <v>9262323</v>
          </cell>
          <cell r="B13347">
            <v>120960</v>
          </cell>
          <cell r="C13347" t="str">
            <v>Heartsease Community Middle School, Norwich</v>
          </cell>
          <cell r="D13347" t="str">
            <v>Norfolk</v>
          </cell>
          <cell r="E13347" t="str">
            <v>Community School</v>
          </cell>
          <cell r="F13347" t="str">
            <v>Middle Deemed Primary</v>
          </cell>
        </row>
        <row r="13348">
          <cell r="A13348">
            <v>9262325</v>
          </cell>
          <cell r="B13348">
            <v>120962</v>
          </cell>
          <cell r="C13348" t="str">
            <v>Heartsease First School</v>
          </cell>
          <cell r="D13348" t="str">
            <v>Norfolk</v>
          </cell>
          <cell r="E13348" t="str">
            <v>Community School</v>
          </cell>
          <cell r="F13348" t="str">
            <v>Primary</v>
          </cell>
        </row>
        <row r="13349">
          <cell r="A13349">
            <v>9264067</v>
          </cell>
          <cell r="B13349">
            <v>121174</v>
          </cell>
          <cell r="C13349" t="str">
            <v>Heartsease High School</v>
          </cell>
          <cell r="D13349" t="str">
            <v>Norfolk</v>
          </cell>
          <cell r="E13349" t="str">
            <v>Community School</v>
          </cell>
          <cell r="F13349" t="str">
            <v>Secondary</v>
          </cell>
        </row>
        <row r="13350">
          <cell r="A13350">
            <v>9263423</v>
          </cell>
          <cell r="B13350">
            <v>134957</v>
          </cell>
          <cell r="C13350" t="str">
            <v>Heartsease Primary School</v>
          </cell>
          <cell r="D13350" t="str">
            <v>Norfolk</v>
          </cell>
          <cell r="E13350" t="str">
            <v>Community School</v>
          </cell>
          <cell r="F13350" t="str">
            <v>Primary</v>
          </cell>
        </row>
        <row r="13351">
          <cell r="A13351">
            <v>9226433</v>
          </cell>
          <cell r="B13351">
            <v>131293</v>
          </cell>
          <cell r="C13351" t="str">
            <v>Heath Farm Preparatory School</v>
          </cell>
          <cell r="D13351" t="str">
            <v>Pre LGR (1998) Kent</v>
          </cell>
          <cell r="E13351" t="str">
            <v>Other Independent School</v>
          </cell>
          <cell r="F13351" t="str">
            <v>Not applicable</v>
          </cell>
        </row>
        <row r="13352">
          <cell r="A13352">
            <v>8866060</v>
          </cell>
          <cell r="B13352">
            <v>119009</v>
          </cell>
          <cell r="C13352" t="str">
            <v>Heath Farm School</v>
          </cell>
          <cell r="D13352" t="str">
            <v>Kent</v>
          </cell>
          <cell r="E13352" t="str">
            <v>Other Independent Special School</v>
          </cell>
          <cell r="F13352" t="str">
            <v>Not applicable</v>
          </cell>
        </row>
        <row r="13353">
          <cell r="A13353">
            <v>8302321</v>
          </cell>
          <cell r="B13353">
            <v>112679</v>
          </cell>
          <cell r="C13353" t="str">
            <v>Heath Fields Primary School</v>
          </cell>
          <cell r="D13353" t="str">
            <v>Derbyshire</v>
          </cell>
          <cell r="E13353" t="str">
            <v>Community School</v>
          </cell>
          <cell r="F13353" t="str">
            <v>Primary</v>
          </cell>
        </row>
        <row r="13354">
          <cell r="A13354">
            <v>8602181</v>
          </cell>
          <cell r="B13354">
            <v>124071</v>
          </cell>
          <cell r="C13354" t="str">
            <v>Heath Hayes Primary School</v>
          </cell>
          <cell r="D13354" t="str">
            <v>Staffordshire</v>
          </cell>
          <cell r="E13354" t="str">
            <v>Community School</v>
          </cell>
          <cell r="F13354" t="str">
            <v>Primary</v>
          </cell>
        </row>
        <row r="13355">
          <cell r="A13355">
            <v>2096294</v>
          </cell>
          <cell r="B13355">
            <v>100203</v>
          </cell>
          <cell r="C13355" t="str">
            <v>Heath House Preparatory School</v>
          </cell>
          <cell r="D13355" t="str">
            <v>Lewisham</v>
          </cell>
          <cell r="E13355" t="str">
            <v>Other Independent School</v>
          </cell>
          <cell r="F13355" t="str">
            <v>Not applicable</v>
          </cell>
        </row>
        <row r="13356">
          <cell r="A13356">
            <v>9191009</v>
          </cell>
          <cell r="B13356">
            <v>117070</v>
          </cell>
          <cell r="C13356" t="str">
            <v>Heath Lane Nursery School</v>
          </cell>
          <cell r="D13356" t="str">
            <v>Hertfordshire</v>
          </cell>
          <cell r="E13356" t="str">
            <v>LA Nursery School</v>
          </cell>
          <cell r="F13356" t="str">
            <v>Nursery</v>
          </cell>
        </row>
        <row r="13357">
          <cell r="A13357">
            <v>3302313</v>
          </cell>
          <cell r="B13357">
            <v>103333</v>
          </cell>
          <cell r="C13357" t="str">
            <v>Heath Mount Primary School</v>
          </cell>
          <cell r="D13357" t="str">
            <v>Birmingham</v>
          </cell>
          <cell r="E13357" t="str">
            <v>Community School</v>
          </cell>
          <cell r="F13357" t="str">
            <v>Primary</v>
          </cell>
        </row>
        <row r="13358">
          <cell r="A13358">
            <v>9196046</v>
          </cell>
          <cell r="B13358">
            <v>117621</v>
          </cell>
          <cell r="C13358" t="str">
            <v>Heath Mount School</v>
          </cell>
          <cell r="D13358" t="str">
            <v>Hertfordshire</v>
          </cell>
          <cell r="E13358" t="str">
            <v>Other Independent School</v>
          </cell>
          <cell r="F13358" t="str">
            <v>Not applicable</v>
          </cell>
        </row>
        <row r="13359">
          <cell r="A13359">
            <v>3364134</v>
          </cell>
          <cell r="B13359">
            <v>104396</v>
          </cell>
          <cell r="C13359" t="str">
            <v>Heath Park Business and Enterprise College</v>
          </cell>
          <cell r="D13359" t="str">
            <v>Wolverhampton</v>
          </cell>
          <cell r="E13359" t="str">
            <v>Community School</v>
          </cell>
          <cell r="F13359" t="str">
            <v>Secondary</v>
          </cell>
        </row>
        <row r="13360">
          <cell r="A13360">
            <v>3364134</v>
          </cell>
          <cell r="B13360">
            <v>137730</v>
          </cell>
          <cell r="C13360" t="str">
            <v>Heath Park Business and Enterprise College</v>
          </cell>
          <cell r="D13360" t="str">
            <v>Wolverhampton</v>
          </cell>
          <cell r="E13360" t="str">
            <v>Academy Converters</v>
          </cell>
          <cell r="F13360" t="str">
            <v>Secondary</v>
          </cell>
        </row>
        <row r="13361">
          <cell r="A13361">
            <v>8302127</v>
          </cell>
          <cell r="B13361">
            <v>112564</v>
          </cell>
          <cell r="C13361" t="str">
            <v>Heath Primary School</v>
          </cell>
          <cell r="D13361" t="str">
            <v>Derbyshire</v>
          </cell>
          <cell r="E13361" t="str">
            <v>Community School</v>
          </cell>
          <cell r="F13361" t="str">
            <v>Primary</v>
          </cell>
        </row>
        <row r="13362">
          <cell r="A13362">
            <v>9352089</v>
          </cell>
          <cell r="B13362">
            <v>124593</v>
          </cell>
          <cell r="C13362" t="str">
            <v>Heath Primary School, Kesgrave</v>
          </cell>
          <cell r="D13362" t="str">
            <v>Suffolk</v>
          </cell>
          <cell r="E13362" t="str">
            <v>Community School</v>
          </cell>
          <cell r="F13362" t="str">
            <v>Primary</v>
          </cell>
        </row>
        <row r="13363">
          <cell r="A13363">
            <v>9104116</v>
          </cell>
          <cell r="B13363">
            <v>128645</v>
          </cell>
          <cell r="C13363" t="str">
            <v>Heath School</v>
          </cell>
          <cell r="D13363" t="str">
            <v>Pre LGR (1997) Derbyshire</v>
          </cell>
          <cell r="E13363" t="str">
            <v>Community School</v>
          </cell>
          <cell r="F13363" t="str">
            <v>Secondary</v>
          </cell>
        </row>
        <row r="13364">
          <cell r="A13364">
            <v>2082292</v>
          </cell>
          <cell r="B13364">
            <v>100566</v>
          </cell>
          <cell r="C13364" t="str">
            <v>Heathbrook Primary School</v>
          </cell>
          <cell r="D13364" t="str">
            <v>Lambeth</v>
          </cell>
          <cell r="E13364" t="str">
            <v>Community School</v>
          </cell>
          <cell r="F13364" t="str">
            <v>Primary</v>
          </cell>
        </row>
        <row r="13365">
          <cell r="A13365">
            <v>9112069</v>
          </cell>
          <cell r="B13365">
            <v>128692</v>
          </cell>
          <cell r="C13365" t="str">
            <v>Heathcoat First School</v>
          </cell>
          <cell r="D13365" t="str">
            <v>Pre LGR (1998) Devon</v>
          </cell>
          <cell r="E13365" t="str">
            <v>Community School</v>
          </cell>
          <cell r="F13365" t="str">
            <v>Primary</v>
          </cell>
        </row>
        <row r="13366">
          <cell r="A13366">
            <v>9114020</v>
          </cell>
          <cell r="B13366">
            <v>128717</v>
          </cell>
          <cell r="C13366" t="str">
            <v>Heathcoat Middle School</v>
          </cell>
          <cell r="D13366" t="str">
            <v>Pre LGR (1998) Devon</v>
          </cell>
          <cell r="E13366" t="str">
            <v>Community School</v>
          </cell>
          <cell r="F13366" t="str">
            <v>Middle Deemed Secondary</v>
          </cell>
        </row>
        <row r="13367">
          <cell r="A13367">
            <v>8782723</v>
          </cell>
          <cell r="B13367">
            <v>113343</v>
          </cell>
          <cell r="C13367" t="str">
            <v>Heathcoat Primary School</v>
          </cell>
          <cell r="D13367" t="str">
            <v>Devon</v>
          </cell>
          <cell r="E13367" t="str">
            <v>Community School</v>
          </cell>
          <cell r="F13367" t="str">
            <v>Primary</v>
          </cell>
        </row>
        <row r="13368">
          <cell r="A13368">
            <v>8602156</v>
          </cell>
          <cell r="B13368">
            <v>124055</v>
          </cell>
          <cell r="C13368" t="str">
            <v>Heathcote Primary School</v>
          </cell>
          <cell r="D13368" t="str">
            <v>Staffordshire</v>
          </cell>
          <cell r="E13368" t="str">
            <v>Community School</v>
          </cell>
          <cell r="F13368" t="str">
            <v>Primary</v>
          </cell>
        </row>
        <row r="13369">
          <cell r="A13369">
            <v>8816018</v>
          </cell>
          <cell r="B13369">
            <v>115412</v>
          </cell>
          <cell r="C13369" t="str">
            <v>Heathcote School</v>
          </cell>
          <cell r="D13369" t="str">
            <v>Essex</v>
          </cell>
          <cell r="E13369" t="str">
            <v>Other Independent School</v>
          </cell>
          <cell r="F13369" t="str">
            <v>Not applicable</v>
          </cell>
        </row>
        <row r="13370">
          <cell r="A13370">
            <v>3204063</v>
          </cell>
          <cell r="B13370">
            <v>103097</v>
          </cell>
          <cell r="C13370" t="str">
            <v>Heathcote Secondary School &amp; Science College</v>
          </cell>
          <cell r="D13370" t="str">
            <v>Waltham Forest</v>
          </cell>
          <cell r="E13370" t="str">
            <v>Community School</v>
          </cell>
          <cell r="F13370" t="str">
            <v>Secondary</v>
          </cell>
        </row>
        <row r="13371">
          <cell r="A13371">
            <v>9262271</v>
          </cell>
          <cell r="B13371">
            <v>120916</v>
          </cell>
          <cell r="C13371" t="str">
            <v>Heather Avenue Infant School</v>
          </cell>
          <cell r="D13371" t="str">
            <v>Norfolk</v>
          </cell>
          <cell r="E13371" t="str">
            <v>Community School</v>
          </cell>
          <cell r="F13371" t="str">
            <v>Primary</v>
          </cell>
        </row>
        <row r="13372">
          <cell r="A13372">
            <v>3702120</v>
          </cell>
          <cell r="B13372">
            <v>106608</v>
          </cell>
          <cell r="C13372" t="str">
            <v>Heather Garth Primary School</v>
          </cell>
          <cell r="D13372" t="str">
            <v>Barnsley</v>
          </cell>
          <cell r="E13372" t="str">
            <v>Community School</v>
          </cell>
          <cell r="F13372" t="str">
            <v>Primary</v>
          </cell>
        </row>
        <row r="13373">
          <cell r="A13373">
            <v>8552043</v>
          </cell>
          <cell r="B13373">
            <v>119926</v>
          </cell>
          <cell r="C13373" t="str">
            <v>Heather Primary School</v>
          </cell>
          <cell r="D13373" t="str">
            <v>Leicestershire</v>
          </cell>
          <cell r="E13373" t="str">
            <v>Community School</v>
          </cell>
          <cell r="F13373" t="str">
            <v>Primary</v>
          </cell>
        </row>
        <row r="13374">
          <cell r="A13374">
            <v>9362329</v>
          </cell>
          <cell r="B13374">
            <v>125017</v>
          </cell>
          <cell r="C13374" t="str">
            <v>Heather Ridge Infant School</v>
          </cell>
          <cell r="D13374" t="str">
            <v>Surrey</v>
          </cell>
          <cell r="E13374" t="str">
            <v>Community School</v>
          </cell>
          <cell r="F13374" t="str">
            <v>Primary</v>
          </cell>
        </row>
        <row r="13375">
          <cell r="A13375">
            <v>8562342</v>
          </cell>
          <cell r="B13375">
            <v>120067</v>
          </cell>
          <cell r="C13375" t="str">
            <v>Heatherbrook Primary School</v>
          </cell>
          <cell r="D13375" t="str">
            <v>Leicester</v>
          </cell>
          <cell r="E13375" t="str">
            <v>Community School</v>
          </cell>
          <cell r="F13375" t="str">
            <v>Primary</v>
          </cell>
        </row>
        <row r="13376">
          <cell r="A13376">
            <v>9116064</v>
          </cell>
          <cell r="B13376">
            <v>128740</v>
          </cell>
          <cell r="C13376" t="str">
            <v>Heathercombe Brake School</v>
          </cell>
          <cell r="D13376" t="str">
            <v>Pre LGR (1998) Devon</v>
          </cell>
          <cell r="E13376" t="str">
            <v>Other Independent School</v>
          </cell>
          <cell r="F13376" t="str">
            <v>Not applicable</v>
          </cell>
        </row>
        <row r="13377">
          <cell r="A13377">
            <v>8362168</v>
          </cell>
          <cell r="B13377">
            <v>113698</v>
          </cell>
          <cell r="C13377" t="str">
            <v>Heatherlands First School</v>
          </cell>
          <cell r="D13377" t="str">
            <v>Poole</v>
          </cell>
          <cell r="E13377" t="str">
            <v>Community School</v>
          </cell>
          <cell r="F13377" t="str">
            <v>Primary</v>
          </cell>
        </row>
        <row r="13378">
          <cell r="A13378">
            <v>8912930</v>
          </cell>
          <cell r="B13378">
            <v>122734</v>
          </cell>
          <cell r="C13378" t="str">
            <v>Heatherley Primary School</v>
          </cell>
          <cell r="D13378" t="str">
            <v>Nottinghamshire</v>
          </cell>
          <cell r="E13378" t="str">
            <v>Community School</v>
          </cell>
          <cell r="F13378" t="str">
            <v>Primary</v>
          </cell>
        </row>
        <row r="13379">
          <cell r="A13379">
            <v>2057195</v>
          </cell>
          <cell r="B13379">
            <v>100380</v>
          </cell>
          <cell r="C13379" t="str">
            <v>Heathermount School</v>
          </cell>
          <cell r="D13379" t="str">
            <v>Hammersmith and Fulham</v>
          </cell>
          <cell r="E13379" t="str">
            <v>Community Special School</v>
          </cell>
          <cell r="F13379" t="str">
            <v>Special</v>
          </cell>
        </row>
        <row r="13380">
          <cell r="A13380">
            <v>8687206</v>
          </cell>
          <cell r="B13380">
            <v>133743</v>
          </cell>
          <cell r="C13380" t="str">
            <v>Heathermount, the Learning Centre</v>
          </cell>
          <cell r="D13380" t="str">
            <v>Windsor and Maidenhead</v>
          </cell>
          <cell r="E13380" t="str">
            <v>Non-Maintained Special School</v>
          </cell>
          <cell r="F13380" t="str">
            <v>Special</v>
          </cell>
        </row>
        <row r="13381">
          <cell r="A13381">
            <v>8502269</v>
          </cell>
          <cell r="B13381">
            <v>116002</v>
          </cell>
          <cell r="C13381" t="str">
            <v>Heatherside Infant School</v>
          </cell>
          <cell r="D13381" t="str">
            <v>Hampshire</v>
          </cell>
          <cell r="E13381" t="str">
            <v>Community School</v>
          </cell>
          <cell r="F13381" t="str">
            <v>Primary</v>
          </cell>
        </row>
        <row r="13382">
          <cell r="A13382">
            <v>8502278</v>
          </cell>
          <cell r="B13382">
            <v>116010</v>
          </cell>
          <cell r="C13382" t="str">
            <v>Heatherside Junior School</v>
          </cell>
          <cell r="D13382" t="str">
            <v>Hampshire</v>
          </cell>
          <cell r="E13382" t="str">
            <v>Community School</v>
          </cell>
          <cell r="F13382" t="str">
            <v>Primary</v>
          </cell>
        </row>
        <row r="13383">
          <cell r="A13383">
            <v>8256021</v>
          </cell>
          <cell r="B13383">
            <v>110539</v>
          </cell>
          <cell r="C13383" t="str">
            <v>Heatherton House School</v>
          </cell>
          <cell r="D13383" t="str">
            <v>Buckinghamshire</v>
          </cell>
          <cell r="E13383" t="str">
            <v>Other Independent School</v>
          </cell>
          <cell r="F13383" t="str">
            <v>Not applicable</v>
          </cell>
        </row>
        <row r="13384">
          <cell r="A13384">
            <v>3717012</v>
          </cell>
          <cell r="B13384">
            <v>135544</v>
          </cell>
          <cell r="C13384" t="str">
            <v>Heatherwood School</v>
          </cell>
          <cell r="D13384" t="str">
            <v>Doncaster</v>
          </cell>
          <cell r="E13384" t="str">
            <v>Community Special School</v>
          </cell>
          <cell r="F13384" t="str">
            <v>Special</v>
          </cell>
        </row>
        <row r="13385">
          <cell r="A13385">
            <v>8454028</v>
          </cell>
          <cell r="B13385">
            <v>114587</v>
          </cell>
          <cell r="C13385" t="str">
            <v>Heathfield Community College</v>
          </cell>
          <cell r="D13385" t="str">
            <v>East Sussex</v>
          </cell>
          <cell r="E13385" t="str">
            <v>Community School</v>
          </cell>
          <cell r="F13385" t="str">
            <v>Secondary</v>
          </cell>
        </row>
        <row r="13386">
          <cell r="A13386">
            <v>8754124</v>
          </cell>
          <cell r="B13386">
            <v>111407</v>
          </cell>
          <cell r="C13386" t="str">
            <v>Heathfield Community High School</v>
          </cell>
          <cell r="D13386" t="str">
            <v>Pre LGR (2009) Cheshire</v>
          </cell>
          <cell r="E13386" t="str">
            <v>Community School</v>
          </cell>
          <cell r="F13386" t="str">
            <v>Secondary</v>
          </cell>
        </row>
        <row r="13387">
          <cell r="A13387">
            <v>9334354</v>
          </cell>
          <cell r="B13387">
            <v>123883</v>
          </cell>
          <cell r="C13387" t="str">
            <v>Heathfield Community School</v>
          </cell>
          <cell r="D13387" t="str">
            <v>Somerset</v>
          </cell>
          <cell r="E13387" t="str">
            <v>Community School</v>
          </cell>
          <cell r="F13387" t="str">
            <v>Secondary</v>
          </cell>
        </row>
        <row r="13388">
          <cell r="A13388">
            <v>8554011</v>
          </cell>
          <cell r="B13388">
            <v>120241</v>
          </cell>
          <cell r="C13388" t="str">
            <v>Heathfield High School</v>
          </cell>
          <cell r="D13388" t="str">
            <v>Leicestershire</v>
          </cell>
          <cell r="E13388" t="str">
            <v>Community School</v>
          </cell>
          <cell r="F13388" t="str">
            <v>Secondary</v>
          </cell>
        </row>
        <row r="13389">
          <cell r="A13389">
            <v>3136074</v>
          </cell>
          <cell r="B13389">
            <v>134668</v>
          </cell>
          <cell r="C13389" t="str">
            <v>Heathfield House School</v>
          </cell>
          <cell r="D13389" t="str">
            <v>Hounslow</v>
          </cell>
          <cell r="E13389" t="str">
            <v>Other Independent School</v>
          </cell>
          <cell r="F13389" t="str">
            <v>Not applicable</v>
          </cell>
        </row>
        <row r="13390">
          <cell r="A13390">
            <v>3182012</v>
          </cell>
          <cell r="B13390">
            <v>102891</v>
          </cell>
          <cell r="C13390" t="str">
            <v>Heathfield Infant School</v>
          </cell>
          <cell r="D13390" t="str">
            <v>Richmond upon Thames</v>
          </cell>
          <cell r="E13390" t="str">
            <v>Community School</v>
          </cell>
          <cell r="F13390" t="str">
            <v>Primary</v>
          </cell>
        </row>
        <row r="13391">
          <cell r="A13391">
            <v>8522417</v>
          </cell>
          <cell r="B13391">
            <v>116097</v>
          </cell>
          <cell r="C13391" t="str">
            <v>Heathfield Infant School</v>
          </cell>
          <cell r="D13391" t="str">
            <v>Southampton</v>
          </cell>
          <cell r="E13391" t="str">
            <v>Community School</v>
          </cell>
          <cell r="F13391" t="str">
            <v>Primary</v>
          </cell>
        </row>
        <row r="13392">
          <cell r="A13392">
            <v>3182011</v>
          </cell>
          <cell r="B13392">
            <v>102890</v>
          </cell>
          <cell r="C13392" t="str">
            <v>Heathfield Junior School</v>
          </cell>
          <cell r="D13392" t="str">
            <v>Richmond upon Thames</v>
          </cell>
          <cell r="E13392" t="str">
            <v>Community School</v>
          </cell>
          <cell r="F13392" t="str">
            <v>Primary</v>
          </cell>
        </row>
        <row r="13393">
          <cell r="A13393">
            <v>8522416</v>
          </cell>
          <cell r="B13393">
            <v>116096</v>
          </cell>
          <cell r="C13393" t="str">
            <v>Heathfield Junior School</v>
          </cell>
          <cell r="D13393" t="str">
            <v>Southampton</v>
          </cell>
          <cell r="E13393" t="str">
            <v>Community School</v>
          </cell>
          <cell r="F13393" t="str">
            <v>Primary</v>
          </cell>
        </row>
        <row r="13394">
          <cell r="A13394">
            <v>8202031</v>
          </cell>
          <cell r="B13394">
            <v>109439</v>
          </cell>
          <cell r="C13394" t="str">
            <v>Heathfield Lower School</v>
          </cell>
          <cell r="D13394" t="str">
            <v>Pre LGR (2009) Bedfordshire</v>
          </cell>
          <cell r="E13394" t="str">
            <v>Community School</v>
          </cell>
          <cell r="F13394" t="str">
            <v>Primary</v>
          </cell>
        </row>
        <row r="13395">
          <cell r="A13395">
            <v>8411029</v>
          </cell>
          <cell r="B13395">
            <v>113981</v>
          </cell>
          <cell r="C13395" t="str">
            <v>Heathfield Nursery School</v>
          </cell>
          <cell r="D13395" t="str">
            <v>Darlington</v>
          </cell>
          <cell r="E13395" t="str">
            <v>LA Nursery School</v>
          </cell>
          <cell r="F13395" t="str">
            <v>Nursery</v>
          </cell>
        </row>
        <row r="13396">
          <cell r="A13396">
            <v>8922095</v>
          </cell>
          <cell r="B13396">
            <v>122442</v>
          </cell>
          <cell r="C13396" t="str">
            <v>Heathfield Primary and Nursery School</v>
          </cell>
          <cell r="D13396" t="str">
            <v>Nottingham</v>
          </cell>
          <cell r="E13396" t="str">
            <v>Community School</v>
          </cell>
          <cell r="F13396" t="str">
            <v>Primary</v>
          </cell>
        </row>
        <row r="13397">
          <cell r="A13397">
            <v>3302309</v>
          </cell>
          <cell r="B13397">
            <v>103329</v>
          </cell>
          <cell r="C13397" t="str">
            <v>Heathfield Primary School</v>
          </cell>
          <cell r="D13397" t="str">
            <v>Birmingham</v>
          </cell>
          <cell r="E13397" t="str">
            <v>Community School</v>
          </cell>
          <cell r="F13397" t="str">
            <v>Primary</v>
          </cell>
        </row>
        <row r="13398">
          <cell r="A13398">
            <v>3502039</v>
          </cell>
          <cell r="B13398">
            <v>105172</v>
          </cell>
          <cell r="C13398" t="str">
            <v>Heathfield Primary School</v>
          </cell>
          <cell r="D13398" t="str">
            <v>Bolton</v>
          </cell>
          <cell r="E13398" t="str">
            <v>Community School</v>
          </cell>
          <cell r="F13398" t="str">
            <v>Primary</v>
          </cell>
        </row>
        <row r="13399">
          <cell r="A13399">
            <v>8412740</v>
          </cell>
          <cell r="B13399">
            <v>114204</v>
          </cell>
          <cell r="C13399" t="str">
            <v>Heathfield Primary School</v>
          </cell>
          <cell r="D13399" t="str">
            <v>Darlington</v>
          </cell>
          <cell r="E13399" t="str">
            <v>Community School</v>
          </cell>
          <cell r="F13399" t="str">
            <v>Primary</v>
          </cell>
        </row>
        <row r="13400">
          <cell r="A13400">
            <v>8676000</v>
          </cell>
          <cell r="B13400">
            <v>110117</v>
          </cell>
          <cell r="C13400" t="str">
            <v>Heathfield School</v>
          </cell>
          <cell r="D13400" t="str">
            <v>Bracknell Forest</v>
          </cell>
          <cell r="E13400" t="str">
            <v>Other Independent School</v>
          </cell>
          <cell r="F13400" t="str">
            <v>Not applicable</v>
          </cell>
        </row>
        <row r="13401">
          <cell r="A13401">
            <v>8856014</v>
          </cell>
          <cell r="B13401">
            <v>117020</v>
          </cell>
          <cell r="C13401" t="str">
            <v>Heathfield School</v>
          </cell>
          <cell r="D13401" t="str">
            <v>Worcestershire</v>
          </cell>
          <cell r="E13401" t="str">
            <v>Other Independent School</v>
          </cell>
          <cell r="F13401" t="str">
            <v>Not applicable</v>
          </cell>
        </row>
        <row r="13402">
          <cell r="A13402">
            <v>3106001</v>
          </cell>
          <cell r="B13402">
            <v>102246</v>
          </cell>
          <cell r="C13402" t="str">
            <v>Heathfield School Pinner</v>
          </cell>
          <cell r="D13402" t="str">
            <v>Harrow</v>
          </cell>
          <cell r="E13402" t="str">
            <v>Other Independent School</v>
          </cell>
          <cell r="F13402" t="str">
            <v>Not applicable</v>
          </cell>
        </row>
        <row r="13403">
          <cell r="A13403">
            <v>3904013</v>
          </cell>
          <cell r="B13403">
            <v>108401</v>
          </cell>
          <cell r="C13403" t="str">
            <v>Heathfield Senior High School</v>
          </cell>
          <cell r="D13403" t="str">
            <v>Gateshead</v>
          </cell>
          <cell r="E13403" t="str">
            <v>Community School</v>
          </cell>
          <cell r="F13403" t="str">
            <v>Secondary</v>
          </cell>
        </row>
        <row r="13404">
          <cell r="A13404">
            <v>8507018</v>
          </cell>
          <cell r="B13404">
            <v>116607</v>
          </cell>
          <cell r="C13404" t="str">
            <v>Heathfield Special School</v>
          </cell>
          <cell r="D13404" t="str">
            <v>Hampshire</v>
          </cell>
          <cell r="E13404" t="str">
            <v>Community Special School</v>
          </cell>
          <cell r="F13404" t="str">
            <v>Special</v>
          </cell>
        </row>
        <row r="13405">
          <cell r="A13405">
            <v>8617010</v>
          </cell>
          <cell r="B13405">
            <v>124502</v>
          </cell>
          <cell r="C13405" t="str">
            <v>Heathfield Special School</v>
          </cell>
          <cell r="D13405" t="str">
            <v>Stoke-on-Trent</v>
          </cell>
          <cell r="E13405" t="str">
            <v>Community Special School</v>
          </cell>
          <cell r="F13405" t="str">
            <v>Special</v>
          </cell>
        </row>
        <row r="13406">
          <cell r="A13406">
            <v>9316081</v>
          </cell>
          <cell r="B13406">
            <v>123302</v>
          </cell>
          <cell r="C13406" t="str">
            <v>Heathfield St Mary's School</v>
          </cell>
          <cell r="D13406" t="str">
            <v>Oxfordshire</v>
          </cell>
          <cell r="E13406" t="str">
            <v>Other Independent School</v>
          </cell>
          <cell r="F13406" t="str">
            <v>Not applicable</v>
          </cell>
        </row>
        <row r="13407">
          <cell r="A13407">
            <v>8602335</v>
          </cell>
          <cell r="B13407">
            <v>124158</v>
          </cell>
          <cell r="C13407" t="str">
            <v>Heathfields Infant School</v>
          </cell>
          <cell r="D13407" t="str">
            <v>Staffordshire</v>
          </cell>
          <cell r="E13407" t="str">
            <v>Community School</v>
          </cell>
          <cell r="F13407" t="str">
            <v>Primary</v>
          </cell>
        </row>
        <row r="13408">
          <cell r="A13408">
            <v>8886024</v>
          </cell>
          <cell r="B13408">
            <v>119851</v>
          </cell>
          <cell r="C13408" t="str">
            <v>Heathland Private School</v>
          </cell>
          <cell r="D13408" t="str">
            <v>Lancashire</v>
          </cell>
          <cell r="E13408" t="str">
            <v>Other Independent School</v>
          </cell>
          <cell r="F13408" t="str">
            <v>Not applicable</v>
          </cell>
        </row>
        <row r="13409">
          <cell r="A13409">
            <v>3102072</v>
          </cell>
          <cell r="B13409">
            <v>102203</v>
          </cell>
          <cell r="C13409" t="str">
            <v>Heathland School</v>
          </cell>
          <cell r="D13409" t="str">
            <v>Harrow</v>
          </cell>
          <cell r="E13409" t="str">
            <v>Community School</v>
          </cell>
          <cell r="F13409" t="str">
            <v>Primary</v>
          </cell>
        </row>
        <row r="13410">
          <cell r="A13410">
            <v>2057109</v>
          </cell>
          <cell r="B13410">
            <v>133240</v>
          </cell>
          <cell r="C13410" t="str">
            <v>Heathland School</v>
          </cell>
          <cell r="D13410" t="str">
            <v>Hammersmith and Fulham</v>
          </cell>
          <cell r="E13410" t="str">
            <v>Community Special School</v>
          </cell>
          <cell r="F13410" t="str">
            <v>Special</v>
          </cell>
        </row>
        <row r="13411">
          <cell r="A13411">
            <v>8813029</v>
          </cell>
          <cell r="B13411">
            <v>115083</v>
          </cell>
          <cell r="C13411" t="str">
            <v>Heathlands Church of England Voluntary Controlled Primary School, West Bergholt</v>
          </cell>
          <cell r="D13411" t="str">
            <v>Essex</v>
          </cell>
          <cell r="E13411" t="str">
            <v>Voluntary Controlled School</v>
          </cell>
          <cell r="F13411" t="str">
            <v>Primary</v>
          </cell>
        </row>
        <row r="13412">
          <cell r="A13412">
            <v>9122228</v>
          </cell>
          <cell r="B13412">
            <v>113727</v>
          </cell>
          <cell r="C13412" t="str">
            <v>Heathlands First School</v>
          </cell>
          <cell r="D13412" t="str">
            <v>Pre LGR (1997) Dorset</v>
          </cell>
          <cell r="E13412" t="str">
            <v>Community School</v>
          </cell>
          <cell r="F13412" t="str">
            <v>Primary</v>
          </cell>
        </row>
        <row r="13413">
          <cell r="A13413">
            <v>8912884</v>
          </cell>
          <cell r="B13413">
            <v>122694</v>
          </cell>
          <cell r="C13413" t="str">
            <v>Heathlands First School</v>
          </cell>
          <cell r="D13413" t="str">
            <v>Nottinghamshire</v>
          </cell>
          <cell r="E13413" t="str">
            <v>Community School</v>
          </cell>
          <cell r="F13413" t="str">
            <v>Primary</v>
          </cell>
        </row>
        <row r="13414">
          <cell r="A13414">
            <v>3302455</v>
          </cell>
          <cell r="B13414">
            <v>103382</v>
          </cell>
          <cell r="C13414" t="str">
            <v>Heathlands Junior and Infant School (NC)</v>
          </cell>
          <cell r="D13414" t="str">
            <v>Birmingham</v>
          </cell>
          <cell r="E13414" t="str">
            <v>Community School</v>
          </cell>
          <cell r="F13414" t="str">
            <v>Primary</v>
          </cell>
        </row>
        <row r="13415">
          <cell r="A13415">
            <v>9122229</v>
          </cell>
          <cell r="B13415">
            <v>113728</v>
          </cell>
          <cell r="C13415" t="str">
            <v>Heathlands Junior School</v>
          </cell>
          <cell r="D13415" t="str">
            <v>Pre LGR (1997) Dorset</v>
          </cell>
          <cell r="E13415" t="str">
            <v>Community School</v>
          </cell>
          <cell r="F13415" t="str">
            <v>Primary</v>
          </cell>
        </row>
        <row r="13416">
          <cell r="A13416">
            <v>8372267</v>
          </cell>
          <cell r="B13416">
            <v>130945</v>
          </cell>
          <cell r="C13416" t="str">
            <v>Heathlands Primary School</v>
          </cell>
          <cell r="D13416" t="str">
            <v>Bournemouth</v>
          </cell>
          <cell r="E13416" t="str">
            <v>Community School</v>
          </cell>
          <cell r="F13416" t="str">
            <v>Primary</v>
          </cell>
        </row>
        <row r="13417">
          <cell r="A13417">
            <v>8913295</v>
          </cell>
          <cell r="B13417">
            <v>133268</v>
          </cell>
          <cell r="C13417" t="str">
            <v>Heathlands Primary School</v>
          </cell>
          <cell r="D13417" t="str">
            <v>Nottinghamshire</v>
          </cell>
          <cell r="E13417" t="str">
            <v>Community School</v>
          </cell>
          <cell r="F13417" t="str">
            <v>Primary</v>
          </cell>
        </row>
        <row r="13418">
          <cell r="A13418">
            <v>9197032</v>
          </cell>
          <cell r="B13418">
            <v>117685</v>
          </cell>
          <cell r="C13418" t="str">
            <v>Heathlands School</v>
          </cell>
          <cell r="D13418" t="str">
            <v>Hertfordshire</v>
          </cell>
          <cell r="E13418" t="str">
            <v>Community Special School</v>
          </cell>
          <cell r="F13418" t="str">
            <v>Special</v>
          </cell>
        </row>
        <row r="13419">
          <cell r="A13419">
            <v>2122839</v>
          </cell>
          <cell r="B13419">
            <v>126693</v>
          </cell>
          <cell r="C13419" t="str">
            <v>Heathmere Infant School</v>
          </cell>
          <cell r="D13419" t="str">
            <v>Wandsworth</v>
          </cell>
          <cell r="E13419" t="str">
            <v>Community School</v>
          </cell>
          <cell r="F13419" t="str">
            <v>Primary</v>
          </cell>
        </row>
        <row r="13420">
          <cell r="A13420">
            <v>2122786</v>
          </cell>
          <cell r="B13420">
            <v>101029</v>
          </cell>
          <cell r="C13420" t="str">
            <v>Heathmere Primary School</v>
          </cell>
          <cell r="D13420" t="str">
            <v>Wandsworth</v>
          </cell>
          <cell r="E13420" t="str">
            <v>Community School</v>
          </cell>
          <cell r="F13420" t="str">
            <v>Primary</v>
          </cell>
        </row>
        <row r="13421">
          <cell r="A13421">
            <v>3122029</v>
          </cell>
          <cell r="B13421">
            <v>102385</v>
          </cell>
          <cell r="C13421" t="str">
            <v>Heathrow Primary School</v>
          </cell>
          <cell r="D13421" t="str">
            <v>Hillingdon</v>
          </cell>
          <cell r="E13421" t="str">
            <v>Community School</v>
          </cell>
          <cell r="F13421" t="str">
            <v>Primary</v>
          </cell>
        </row>
        <row r="13422">
          <cell r="A13422">
            <v>2026360</v>
          </cell>
          <cell r="B13422">
            <v>100078</v>
          </cell>
          <cell r="C13422" t="str">
            <v>Heathside Preparatory School</v>
          </cell>
          <cell r="D13422" t="str">
            <v>Camden</v>
          </cell>
          <cell r="E13422" t="str">
            <v>Other Independent School</v>
          </cell>
          <cell r="F13422" t="str">
            <v>Not applicable</v>
          </cell>
        </row>
        <row r="13423">
          <cell r="A13423">
            <v>9365409</v>
          </cell>
          <cell r="B13423">
            <v>125309</v>
          </cell>
          <cell r="C13423" t="str">
            <v>Heathside School</v>
          </cell>
          <cell r="D13423" t="str">
            <v>Surrey</v>
          </cell>
          <cell r="E13423" t="str">
            <v>Foundation School</v>
          </cell>
          <cell r="F13423" t="str">
            <v>Secondary</v>
          </cell>
        </row>
        <row r="13424">
          <cell r="A13424">
            <v>8232184</v>
          </cell>
          <cell r="B13424">
            <v>109513</v>
          </cell>
          <cell r="C13424" t="str">
            <v>Heathwood Lower School</v>
          </cell>
          <cell r="D13424" t="str">
            <v>Central Bedfordshire</v>
          </cell>
          <cell r="E13424" t="str">
            <v>Community School</v>
          </cell>
          <cell r="F13424" t="str">
            <v>Primary</v>
          </cell>
        </row>
        <row r="13425">
          <cell r="A13425">
            <v>3822101</v>
          </cell>
          <cell r="B13425">
            <v>107668</v>
          </cell>
          <cell r="C13425" t="str">
            <v>Heaton Avenue First and Nursery School</v>
          </cell>
          <cell r="D13425" t="str">
            <v>Kirklees</v>
          </cell>
          <cell r="E13425" t="str">
            <v>Community School</v>
          </cell>
          <cell r="F13425" t="str">
            <v>Primary</v>
          </cell>
        </row>
        <row r="13426">
          <cell r="A13426">
            <v>3914494</v>
          </cell>
          <cell r="B13426">
            <v>108531</v>
          </cell>
          <cell r="C13426" t="str">
            <v>Heaton Manor School</v>
          </cell>
          <cell r="D13426" t="str">
            <v>Newcastle upon Tyne</v>
          </cell>
          <cell r="E13426" t="str">
            <v>Community School</v>
          </cell>
          <cell r="F13426" t="str">
            <v>Secondary</v>
          </cell>
        </row>
        <row r="13427">
          <cell r="A13427">
            <v>3804045</v>
          </cell>
          <cell r="B13427">
            <v>107371</v>
          </cell>
          <cell r="C13427" t="str">
            <v>Heaton Middle School</v>
          </cell>
          <cell r="D13427" t="str">
            <v>Bradford</v>
          </cell>
          <cell r="E13427" t="str">
            <v>Community School</v>
          </cell>
          <cell r="F13427" t="str">
            <v>Middle Deemed Secondary</v>
          </cell>
        </row>
        <row r="13428">
          <cell r="A13428">
            <v>3562042</v>
          </cell>
          <cell r="B13428">
            <v>127500</v>
          </cell>
          <cell r="C13428" t="str">
            <v>Heaton Moor Infant School</v>
          </cell>
          <cell r="D13428" t="str">
            <v>Stockport</v>
          </cell>
          <cell r="E13428" t="str">
            <v>Community School</v>
          </cell>
          <cell r="F13428" t="str">
            <v>Primary</v>
          </cell>
        </row>
        <row r="13429">
          <cell r="A13429">
            <v>3512037</v>
          </cell>
          <cell r="B13429">
            <v>105306</v>
          </cell>
          <cell r="C13429" t="str">
            <v>Heaton Park Primary School</v>
          </cell>
          <cell r="D13429" t="str">
            <v>Bury</v>
          </cell>
          <cell r="E13429" t="str">
            <v>Community School</v>
          </cell>
          <cell r="F13429" t="str">
            <v>Primary</v>
          </cell>
        </row>
        <row r="13430">
          <cell r="A13430">
            <v>3802038</v>
          </cell>
          <cell r="B13430">
            <v>107209</v>
          </cell>
          <cell r="C13430" t="str">
            <v>Heaton Primary School</v>
          </cell>
          <cell r="D13430" t="str">
            <v>Bradford</v>
          </cell>
          <cell r="E13430" t="str">
            <v>Community School</v>
          </cell>
          <cell r="F13430" t="str">
            <v>Primary</v>
          </cell>
        </row>
        <row r="13431">
          <cell r="A13431">
            <v>3807021</v>
          </cell>
          <cell r="B13431">
            <v>107470</v>
          </cell>
          <cell r="C13431" t="str">
            <v>Heaton Royds School</v>
          </cell>
          <cell r="D13431" t="str">
            <v>Bradford</v>
          </cell>
          <cell r="E13431" t="str">
            <v>Community Special School</v>
          </cell>
          <cell r="F13431" t="str">
            <v>Special</v>
          </cell>
        </row>
        <row r="13432">
          <cell r="A13432">
            <v>3567509</v>
          </cell>
          <cell r="B13432">
            <v>106173</v>
          </cell>
          <cell r="C13432" t="str">
            <v>Heaton School</v>
          </cell>
          <cell r="D13432" t="str">
            <v>Stockport</v>
          </cell>
          <cell r="E13432" t="str">
            <v>Community Special School</v>
          </cell>
          <cell r="F13432" t="str">
            <v>Special</v>
          </cell>
        </row>
        <row r="13433">
          <cell r="A13433">
            <v>3803308</v>
          </cell>
          <cell r="B13433">
            <v>107321</v>
          </cell>
          <cell r="C13433" t="str">
            <v>Heaton St Barnabas' CofE Aided Primary School</v>
          </cell>
          <cell r="D13433" t="str">
            <v>Bradford</v>
          </cell>
          <cell r="E13433" t="str">
            <v>Voluntary Aided School</v>
          </cell>
          <cell r="F13433" t="str">
            <v>Primary</v>
          </cell>
        </row>
        <row r="13434">
          <cell r="A13434">
            <v>3062090</v>
          </cell>
          <cell r="B13434">
            <v>101776</v>
          </cell>
          <cell r="C13434" t="str">
            <v>Heavers Farm Primary School</v>
          </cell>
          <cell r="D13434" t="str">
            <v>Croydon</v>
          </cell>
          <cell r="E13434" t="str">
            <v>Community School</v>
          </cell>
          <cell r="F13434" t="str">
            <v>Primary</v>
          </cell>
        </row>
        <row r="13435">
          <cell r="A13435">
            <v>3934026</v>
          </cell>
          <cell r="B13435">
            <v>108731</v>
          </cell>
          <cell r="C13435" t="str">
            <v>Hebburn Comprehensive School</v>
          </cell>
          <cell r="D13435" t="str">
            <v>South Tyneside</v>
          </cell>
          <cell r="E13435" t="str">
            <v>Community School</v>
          </cell>
          <cell r="F13435" t="str">
            <v>Secondary</v>
          </cell>
        </row>
        <row r="13436">
          <cell r="A13436">
            <v>8967109</v>
          </cell>
          <cell r="B13436">
            <v>111505</v>
          </cell>
          <cell r="C13436" t="str">
            <v>Hebden Green Community School</v>
          </cell>
          <cell r="D13436" t="str">
            <v>Cheshire West and Chester</v>
          </cell>
          <cell r="E13436" t="str">
            <v>Community Special School</v>
          </cell>
          <cell r="F13436" t="str">
            <v>Special</v>
          </cell>
        </row>
        <row r="13437">
          <cell r="A13437">
            <v>3813319</v>
          </cell>
          <cell r="B13437">
            <v>107551</v>
          </cell>
          <cell r="C13437" t="str">
            <v>Hebden Royd CofE VA Primary School</v>
          </cell>
          <cell r="D13437" t="str">
            <v>Calderdale</v>
          </cell>
          <cell r="E13437" t="str">
            <v>Voluntary Aided School</v>
          </cell>
          <cell r="F13437" t="str">
            <v>Primary</v>
          </cell>
        </row>
        <row r="13438">
          <cell r="A13438">
            <v>2102293</v>
          </cell>
          <cell r="B13438">
            <v>100793</v>
          </cell>
          <cell r="C13438" t="str">
            <v>Heber Primary School</v>
          </cell>
          <cell r="D13438" t="str">
            <v>Southwark</v>
          </cell>
          <cell r="E13438" t="str">
            <v>Community School</v>
          </cell>
          <cell r="F13438" t="str">
            <v>Primary</v>
          </cell>
        </row>
        <row r="13439">
          <cell r="A13439">
            <v>7086013</v>
          </cell>
          <cell r="B13439">
            <v>132361</v>
          </cell>
          <cell r="C13439" t="str">
            <v>Hebrew Primary School</v>
          </cell>
          <cell r="D13439" t="str">
            <v>Gibraltar Overseas Establishments</v>
          </cell>
          <cell r="E13439" t="str">
            <v>Service Childrens Education</v>
          </cell>
          <cell r="F13439" t="str">
            <v>Not applicable</v>
          </cell>
        </row>
        <row r="13440">
          <cell r="A13440">
            <v>9262074</v>
          </cell>
          <cell r="B13440">
            <v>120813</v>
          </cell>
          <cell r="C13440" t="str">
            <v>Heckingham First School</v>
          </cell>
          <cell r="D13440" t="str">
            <v>Norfolk</v>
          </cell>
          <cell r="E13440" t="str">
            <v>Community School</v>
          </cell>
          <cell r="F13440" t="str">
            <v>Primary</v>
          </cell>
        </row>
        <row r="13441">
          <cell r="A13441">
            <v>9253033</v>
          </cell>
          <cell r="B13441">
            <v>120526</v>
          </cell>
          <cell r="C13441" t="str">
            <v>Heckington St Andrew's Church of England School</v>
          </cell>
          <cell r="D13441" t="str">
            <v>Lincolnshire</v>
          </cell>
          <cell r="E13441" t="str">
            <v>Voluntary Controlled School</v>
          </cell>
          <cell r="F13441" t="str">
            <v>Primary</v>
          </cell>
        </row>
        <row r="13442">
          <cell r="A13442">
            <v>3825401</v>
          </cell>
          <cell r="B13442">
            <v>107785</v>
          </cell>
          <cell r="C13442" t="str">
            <v>Heckmondwike Grammar School</v>
          </cell>
          <cell r="D13442" t="str">
            <v>Kirklees</v>
          </cell>
          <cell r="E13442" t="str">
            <v>Foundation School</v>
          </cell>
          <cell r="F13442" t="str">
            <v>Secondary</v>
          </cell>
        </row>
        <row r="13443">
          <cell r="A13443">
            <v>3825401</v>
          </cell>
          <cell r="B13443">
            <v>136283</v>
          </cell>
          <cell r="C13443" t="str">
            <v>Heckmondwike Grammar School</v>
          </cell>
          <cell r="D13443" t="str">
            <v>Kirklees</v>
          </cell>
          <cell r="E13443" t="str">
            <v>Academy Converters</v>
          </cell>
          <cell r="F13443" t="str">
            <v>Secondary</v>
          </cell>
        </row>
        <row r="13444">
          <cell r="A13444">
            <v>3822083</v>
          </cell>
          <cell r="B13444">
            <v>107653</v>
          </cell>
          <cell r="C13444" t="str">
            <v>Heckmondwike Junior School</v>
          </cell>
          <cell r="D13444" t="str">
            <v>Kirklees</v>
          </cell>
          <cell r="E13444" t="str">
            <v>Community School</v>
          </cell>
          <cell r="F13444" t="str">
            <v>Primary</v>
          </cell>
        </row>
        <row r="13445">
          <cell r="A13445">
            <v>3824047</v>
          </cell>
          <cell r="B13445">
            <v>127796</v>
          </cell>
          <cell r="C13445" t="str">
            <v>Heckmondwike Secondary School</v>
          </cell>
          <cell r="D13445" t="str">
            <v>Kirklees</v>
          </cell>
          <cell r="E13445" t="str">
            <v>Community School</v>
          </cell>
          <cell r="F13445" t="str">
            <v>Secondary</v>
          </cell>
        </row>
        <row r="13446">
          <cell r="A13446">
            <v>8653086</v>
          </cell>
          <cell r="B13446">
            <v>126327</v>
          </cell>
          <cell r="C13446" t="str">
            <v>Heddington Church of England Primary School</v>
          </cell>
          <cell r="D13446" t="str">
            <v>Wiltshire</v>
          </cell>
          <cell r="E13446" t="str">
            <v>Voluntary Aided School</v>
          </cell>
          <cell r="F13446" t="str">
            <v>Primary</v>
          </cell>
        </row>
        <row r="13447">
          <cell r="A13447">
            <v>9293133</v>
          </cell>
          <cell r="B13447">
            <v>122275</v>
          </cell>
          <cell r="C13447" t="str">
            <v>Heddon-on-the-Wall, St Andrew's Church of England First School</v>
          </cell>
          <cell r="D13447" t="str">
            <v>Northumberland</v>
          </cell>
          <cell r="E13447" t="str">
            <v>Voluntary Controlled School</v>
          </cell>
          <cell r="F13447" t="str">
            <v>Primary</v>
          </cell>
        </row>
        <row r="13448">
          <cell r="A13448">
            <v>3127009</v>
          </cell>
          <cell r="B13448">
            <v>102465</v>
          </cell>
          <cell r="C13448" t="str">
            <v>Hedgewood School</v>
          </cell>
          <cell r="D13448" t="str">
            <v>Hillingdon</v>
          </cell>
          <cell r="E13448" t="str">
            <v>Community Special School</v>
          </cell>
          <cell r="F13448" t="str">
            <v>Special</v>
          </cell>
        </row>
        <row r="13449">
          <cell r="A13449">
            <v>8814026</v>
          </cell>
          <cell r="B13449">
            <v>115209</v>
          </cell>
          <cell r="C13449" t="str">
            <v>Hedingham School and Sixth Form</v>
          </cell>
          <cell r="D13449" t="str">
            <v>Essex</v>
          </cell>
          <cell r="E13449" t="str">
            <v>Community School</v>
          </cell>
          <cell r="F13449" t="str">
            <v>Secondary</v>
          </cell>
        </row>
        <row r="13450">
          <cell r="A13450">
            <v>8601022</v>
          </cell>
          <cell r="B13450">
            <v>123962</v>
          </cell>
          <cell r="C13450" t="str">
            <v>Hednesford Nursery School</v>
          </cell>
          <cell r="D13450" t="str">
            <v>Staffordshire</v>
          </cell>
          <cell r="E13450" t="str">
            <v>LA Nursery School</v>
          </cell>
          <cell r="F13450" t="str">
            <v>Nursery</v>
          </cell>
        </row>
        <row r="13451">
          <cell r="A13451">
            <v>8607023</v>
          </cell>
          <cell r="B13451">
            <v>124508</v>
          </cell>
          <cell r="C13451" t="str">
            <v>Hednesford Valley High School</v>
          </cell>
          <cell r="D13451" t="str">
            <v>Staffordshire</v>
          </cell>
          <cell r="E13451" t="str">
            <v>Community Special School</v>
          </cell>
          <cell r="F13451" t="str">
            <v>Special</v>
          </cell>
        </row>
        <row r="13452">
          <cell r="A13452">
            <v>8111014</v>
          </cell>
          <cell r="B13452">
            <v>131416</v>
          </cell>
          <cell r="C13452" t="str">
            <v>Hedon Nursery School</v>
          </cell>
          <cell r="D13452" t="str">
            <v>East Riding of Yorkshire</v>
          </cell>
          <cell r="E13452" t="str">
            <v>LA Nursery School</v>
          </cell>
          <cell r="F13452" t="str">
            <v>Nursery</v>
          </cell>
        </row>
        <row r="13453">
          <cell r="A13453">
            <v>8112731</v>
          </cell>
          <cell r="B13453">
            <v>117851</v>
          </cell>
          <cell r="C13453" t="str">
            <v>Hedon Primary School</v>
          </cell>
          <cell r="D13453" t="str">
            <v>East Riding of Yorkshire</v>
          </cell>
          <cell r="E13453" t="str">
            <v>Community School</v>
          </cell>
          <cell r="F13453" t="str">
            <v>Primary</v>
          </cell>
        </row>
        <row r="13454">
          <cell r="A13454">
            <v>3932040</v>
          </cell>
          <cell r="B13454">
            <v>108686</v>
          </cell>
          <cell r="C13454" t="str">
            <v>Hedworth Lane Primary School</v>
          </cell>
          <cell r="D13454" t="str">
            <v>South Tyneside</v>
          </cell>
          <cell r="E13454" t="str">
            <v>Community School</v>
          </cell>
          <cell r="F13454" t="str">
            <v>Primary</v>
          </cell>
        </row>
        <row r="13455">
          <cell r="A13455">
            <v>3934032</v>
          </cell>
          <cell r="B13455">
            <v>108734</v>
          </cell>
          <cell r="C13455" t="str">
            <v>Hedworthfield Comprehensive School</v>
          </cell>
          <cell r="D13455" t="str">
            <v>South Tyneside</v>
          </cell>
          <cell r="E13455" t="str">
            <v>Community School</v>
          </cell>
          <cell r="F13455" t="str">
            <v>Secondary</v>
          </cell>
        </row>
        <row r="13456">
          <cell r="A13456">
            <v>3932075</v>
          </cell>
          <cell r="B13456">
            <v>108699</v>
          </cell>
          <cell r="C13456" t="str">
            <v>Hedworthfield Primary School</v>
          </cell>
          <cell r="D13456" t="str">
            <v>South Tyneside</v>
          </cell>
          <cell r="E13456" t="str">
            <v>Community School</v>
          </cell>
          <cell r="F13456" t="str">
            <v>Primary</v>
          </cell>
        </row>
        <row r="13457">
          <cell r="A13457">
            <v>8262324</v>
          </cell>
          <cell r="B13457">
            <v>110382</v>
          </cell>
          <cell r="C13457" t="str">
            <v>Heelands School</v>
          </cell>
          <cell r="D13457" t="str">
            <v>Milton Keynes</v>
          </cell>
          <cell r="E13457" t="str">
            <v>Community School</v>
          </cell>
          <cell r="F13457" t="str">
            <v>Primary</v>
          </cell>
        </row>
        <row r="13458">
          <cell r="A13458">
            <v>9383326</v>
          </cell>
          <cell r="B13458">
            <v>126034</v>
          </cell>
          <cell r="C13458" t="str">
            <v>Heene CofE First School</v>
          </cell>
          <cell r="D13458" t="str">
            <v>West Sussex</v>
          </cell>
          <cell r="E13458" t="str">
            <v>Voluntary Aided School</v>
          </cell>
          <cell r="F13458" t="str">
            <v>Primary</v>
          </cell>
        </row>
        <row r="13459">
          <cell r="A13459">
            <v>7022027</v>
          </cell>
          <cell r="B13459">
            <v>132385</v>
          </cell>
          <cell r="C13459" t="str">
            <v>Heide Primary School</v>
          </cell>
          <cell r="D13459" t="str">
            <v>BFPO Overseas Establishments</v>
          </cell>
          <cell r="E13459" t="str">
            <v>Service Childrens Education</v>
          </cell>
          <cell r="F13459" t="str">
            <v>Not applicable</v>
          </cell>
        </row>
        <row r="13460">
          <cell r="A13460">
            <v>7022002</v>
          </cell>
          <cell r="B13460">
            <v>132411</v>
          </cell>
          <cell r="C13460" t="str">
            <v>Heidelberg Primary School</v>
          </cell>
          <cell r="D13460" t="str">
            <v>BFPO Overseas Establishments</v>
          </cell>
          <cell r="E13460" t="str">
            <v>Service Childrens Education</v>
          </cell>
          <cell r="F13460" t="str">
            <v>Not applicable</v>
          </cell>
        </row>
        <row r="13461">
          <cell r="A13461">
            <v>9262329</v>
          </cell>
          <cell r="B13461">
            <v>120964</v>
          </cell>
          <cell r="C13461" t="str">
            <v>Heigham Park First School</v>
          </cell>
          <cell r="D13461" t="str">
            <v>Norfolk</v>
          </cell>
          <cell r="E13461" t="str">
            <v>Community School</v>
          </cell>
          <cell r="F13461" t="str">
            <v>Primary</v>
          </cell>
        </row>
        <row r="13462">
          <cell r="A13462">
            <v>8413132</v>
          </cell>
          <cell r="B13462">
            <v>114223</v>
          </cell>
          <cell r="C13462" t="str">
            <v>Heighington Church of England Primary School</v>
          </cell>
          <cell r="D13462" t="str">
            <v>Darlington</v>
          </cell>
          <cell r="E13462" t="str">
            <v>Voluntary Controlled School</v>
          </cell>
          <cell r="F13462" t="str">
            <v>Primary</v>
          </cell>
        </row>
        <row r="13463">
          <cell r="A13463">
            <v>8413132</v>
          </cell>
          <cell r="B13463">
            <v>137022</v>
          </cell>
          <cell r="C13463" t="str">
            <v>Heighington Church of England Primary School</v>
          </cell>
          <cell r="D13463" t="str">
            <v>Darlington</v>
          </cell>
          <cell r="E13463" t="str">
            <v>Academy Converters</v>
          </cell>
          <cell r="F13463" t="str">
            <v>Primary</v>
          </cell>
        </row>
        <row r="13464">
          <cell r="A13464">
            <v>8866046</v>
          </cell>
          <cell r="B13464">
            <v>118993</v>
          </cell>
          <cell r="C13464" t="str">
            <v>Helen Allison School</v>
          </cell>
          <cell r="D13464" t="str">
            <v>Kent</v>
          </cell>
          <cell r="E13464" t="str">
            <v>Other Independent Special School</v>
          </cell>
          <cell r="F13464" t="str">
            <v>Not applicable</v>
          </cell>
        </row>
        <row r="13465">
          <cell r="A13465">
            <v>3931016</v>
          </cell>
          <cell r="B13465">
            <v>108663</v>
          </cell>
          <cell r="C13465" t="str">
            <v>Helen Gibson Nursery School</v>
          </cell>
          <cell r="D13465" t="str">
            <v>South Tyneside</v>
          </cell>
          <cell r="E13465" t="str">
            <v>LA Nursery School</v>
          </cell>
          <cell r="F13465" t="str">
            <v>Nursery</v>
          </cell>
        </row>
        <row r="13466">
          <cell r="A13466">
            <v>8815457</v>
          </cell>
          <cell r="B13466">
            <v>115373</v>
          </cell>
          <cell r="C13466" t="str">
            <v>Helena Romanes School and Sixth Form Centre</v>
          </cell>
          <cell r="D13466" t="str">
            <v>Essex</v>
          </cell>
          <cell r="E13466" t="str">
            <v>Foundation School</v>
          </cell>
          <cell r="F13466" t="str">
            <v>Secondary</v>
          </cell>
        </row>
        <row r="13467">
          <cell r="A13467">
            <v>8454055</v>
          </cell>
          <cell r="B13467">
            <v>114600</v>
          </cell>
          <cell r="C13467" t="str">
            <v>Helenswood School</v>
          </cell>
          <cell r="D13467" t="str">
            <v>East Sussex</v>
          </cell>
          <cell r="E13467" t="str">
            <v>Community School</v>
          </cell>
          <cell r="F13467" t="str">
            <v>Secondary</v>
          </cell>
        </row>
        <row r="13468">
          <cell r="A13468">
            <v>8794179</v>
          </cell>
          <cell r="B13468">
            <v>113536</v>
          </cell>
          <cell r="C13468" t="str">
            <v>Hele's School</v>
          </cell>
          <cell r="D13468" t="str">
            <v>Plymouth</v>
          </cell>
          <cell r="E13468" t="str">
            <v>Community School</v>
          </cell>
          <cell r="F13468" t="str">
            <v>Secondary</v>
          </cell>
        </row>
        <row r="13469">
          <cell r="A13469">
            <v>8794179</v>
          </cell>
          <cell r="B13469">
            <v>136557</v>
          </cell>
          <cell r="C13469" t="str">
            <v>Hele's Trust</v>
          </cell>
          <cell r="D13469" t="str">
            <v>Plymouth</v>
          </cell>
          <cell r="E13469" t="str">
            <v>Academy Converters</v>
          </cell>
          <cell r="F13469" t="str">
            <v>Secondary</v>
          </cell>
        </row>
        <row r="13470">
          <cell r="A13470">
            <v>9264005</v>
          </cell>
          <cell r="B13470">
            <v>121152</v>
          </cell>
          <cell r="C13470" t="str">
            <v>Hellesdon High School</v>
          </cell>
          <cell r="D13470" t="str">
            <v>Norfolk</v>
          </cell>
          <cell r="E13470" t="str">
            <v>Community School</v>
          </cell>
          <cell r="F13470" t="str">
            <v>Secondary</v>
          </cell>
        </row>
        <row r="13471">
          <cell r="A13471">
            <v>8152336</v>
          </cell>
          <cell r="B13471">
            <v>121402</v>
          </cell>
          <cell r="C13471" t="str">
            <v>Hellifield Community Primary School</v>
          </cell>
          <cell r="D13471" t="str">
            <v>North Yorkshire</v>
          </cell>
          <cell r="E13471" t="str">
            <v>Community School</v>
          </cell>
          <cell r="F13471" t="str">
            <v>Primary</v>
          </cell>
        </row>
        <row r="13472">
          <cell r="A13472">
            <v>8452062</v>
          </cell>
          <cell r="B13472">
            <v>114396</v>
          </cell>
          <cell r="C13472" t="str">
            <v>Hellingly Community Primary School</v>
          </cell>
          <cell r="D13472" t="str">
            <v>East Sussex</v>
          </cell>
          <cell r="E13472" t="str">
            <v>Community School</v>
          </cell>
          <cell r="F13472" t="str">
            <v>Primary</v>
          </cell>
        </row>
        <row r="13473">
          <cell r="A13473">
            <v>9282047</v>
          </cell>
          <cell r="B13473">
            <v>121827</v>
          </cell>
          <cell r="C13473" t="str">
            <v>Helmdon Primary School</v>
          </cell>
          <cell r="D13473" t="str">
            <v>Northamptonshire</v>
          </cell>
          <cell r="E13473" t="str">
            <v>Community School</v>
          </cell>
          <cell r="F13473" t="str">
            <v>Primary</v>
          </cell>
        </row>
        <row r="13474">
          <cell r="A13474">
            <v>3823331</v>
          </cell>
          <cell r="B13474">
            <v>107746</v>
          </cell>
          <cell r="C13474" t="str">
            <v>Helme Church of England Voluntary Aided Junior and Infant School</v>
          </cell>
          <cell r="D13474" t="str">
            <v>Kirklees</v>
          </cell>
          <cell r="E13474" t="str">
            <v>Voluntary Aided School</v>
          </cell>
          <cell r="F13474" t="str">
            <v>Primary</v>
          </cell>
        </row>
        <row r="13475">
          <cell r="A13475">
            <v>9352081</v>
          </cell>
          <cell r="B13475">
            <v>124586</v>
          </cell>
          <cell r="C13475" t="str">
            <v>Helmingham Community Primary School</v>
          </cell>
          <cell r="D13475" t="str">
            <v>Suffolk</v>
          </cell>
          <cell r="E13475" t="str">
            <v>Community School</v>
          </cell>
          <cell r="F13475" t="str">
            <v>Primary</v>
          </cell>
        </row>
        <row r="13476">
          <cell r="A13476">
            <v>8882118</v>
          </cell>
          <cell r="B13476">
            <v>119195</v>
          </cell>
          <cell r="C13476" t="str">
            <v>Helmshore Primary School</v>
          </cell>
          <cell r="D13476" t="str">
            <v>Lancashire</v>
          </cell>
          <cell r="E13476" t="str">
            <v>Community School</v>
          </cell>
          <cell r="F13476" t="str">
            <v>Primary</v>
          </cell>
        </row>
        <row r="13477">
          <cell r="A13477">
            <v>8152236</v>
          </cell>
          <cell r="B13477">
            <v>121364</v>
          </cell>
          <cell r="C13477" t="str">
            <v>Helmsley Community Primary School</v>
          </cell>
          <cell r="D13477" t="str">
            <v>North Yorkshire</v>
          </cell>
          <cell r="E13477" t="str">
            <v>Community School</v>
          </cell>
          <cell r="F13477" t="str">
            <v>Primary</v>
          </cell>
        </row>
        <row r="13478">
          <cell r="A13478">
            <v>9252025</v>
          </cell>
          <cell r="B13478">
            <v>120379</v>
          </cell>
          <cell r="C13478" t="str">
            <v>Helpringham School</v>
          </cell>
          <cell r="D13478" t="str">
            <v>Lincolnshire</v>
          </cell>
          <cell r="E13478" t="str">
            <v>Community School</v>
          </cell>
          <cell r="F13478" t="str">
            <v>Primary</v>
          </cell>
        </row>
        <row r="13479">
          <cell r="A13479">
            <v>8964221</v>
          </cell>
          <cell r="B13479">
            <v>111440</v>
          </cell>
          <cell r="C13479" t="str">
            <v>Helsby High School</v>
          </cell>
          <cell r="D13479" t="str">
            <v>Cheshire West and Chester</v>
          </cell>
          <cell r="E13479" t="str">
            <v>Community School</v>
          </cell>
          <cell r="F13479" t="str">
            <v>Secondary</v>
          </cell>
        </row>
        <row r="13480">
          <cell r="A13480">
            <v>8962123</v>
          </cell>
          <cell r="B13480">
            <v>111004</v>
          </cell>
          <cell r="C13480" t="str">
            <v>Helsby Hillside Primary School</v>
          </cell>
          <cell r="D13480" t="str">
            <v>Cheshire West and Chester</v>
          </cell>
          <cell r="E13480" t="str">
            <v>Community School</v>
          </cell>
          <cell r="F13480" t="str">
            <v>Primary</v>
          </cell>
        </row>
        <row r="13481">
          <cell r="A13481">
            <v>9084146</v>
          </cell>
          <cell r="B13481">
            <v>112043</v>
          </cell>
          <cell r="C13481" t="str">
            <v>Helston Community College</v>
          </cell>
          <cell r="D13481" t="str">
            <v>Cornwall</v>
          </cell>
          <cell r="E13481" t="str">
            <v>Foundation School</v>
          </cell>
          <cell r="F13481" t="str">
            <v>Secondary</v>
          </cell>
        </row>
        <row r="13482">
          <cell r="A13482">
            <v>8747020</v>
          </cell>
          <cell r="B13482">
            <v>110948</v>
          </cell>
          <cell r="C13482" t="str">
            <v>Heltwate School</v>
          </cell>
          <cell r="D13482" t="str">
            <v>Peterborough</v>
          </cell>
          <cell r="E13482" t="str">
            <v>Community Special School</v>
          </cell>
          <cell r="F13482" t="str">
            <v>Special</v>
          </cell>
        </row>
        <row r="13483">
          <cell r="A13483">
            <v>7076170</v>
          </cell>
          <cell r="B13483">
            <v>132426</v>
          </cell>
          <cell r="C13483" t="str">
            <v>Helvetia House School</v>
          </cell>
          <cell r="D13483" t="str">
            <v>Jersey Offshore Establishments</v>
          </cell>
          <cell r="E13483" t="str">
            <v>Offshore Schools</v>
          </cell>
          <cell r="F13483" t="str">
            <v>Not applicable</v>
          </cell>
        </row>
        <row r="13484">
          <cell r="A13484">
            <v>9262077</v>
          </cell>
          <cell r="B13484">
            <v>120814</v>
          </cell>
          <cell r="C13484" t="str">
            <v>Hemblington Primary</v>
          </cell>
          <cell r="D13484" t="str">
            <v>Norfolk</v>
          </cell>
          <cell r="E13484" t="str">
            <v>Community School</v>
          </cell>
          <cell r="F13484" t="str">
            <v>Primary</v>
          </cell>
        </row>
        <row r="13485">
          <cell r="A13485">
            <v>8706003</v>
          </cell>
          <cell r="B13485">
            <v>110112</v>
          </cell>
          <cell r="C13485" t="str">
            <v>Hemdean House School</v>
          </cell>
          <cell r="D13485" t="str">
            <v>Reading</v>
          </cell>
          <cell r="E13485" t="str">
            <v>Other Independent School</v>
          </cell>
          <cell r="F13485" t="str">
            <v>Not applicable</v>
          </cell>
        </row>
        <row r="13486">
          <cell r="A13486">
            <v>8152402</v>
          </cell>
          <cell r="B13486">
            <v>121450</v>
          </cell>
          <cell r="C13486" t="str">
            <v>Hemingbrough Community Primary School</v>
          </cell>
          <cell r="D13486" t="str">
            <v>North Yorkshire</v>
          </cell>
          <cell r="E13486" t="str">
            <v>Community School</v>
          </cell>
          <cell r="F13486" t="str">
            <v>Primary</v>
          </cell>
        </row>
        <row r="13487">
          <cell r="A13487">
            <v>8732211</v>
          </cell>
          <cell r="B13487">
            <v>110679</v>
          </cell>
          <cell r="C13487" t="str">
            <v>Hemingford Grey Primary School</v>
          </cell>
          <cell r="D13487" t="str">
            <v>Cambridgeshire</v>
          </cell>
          <cell r="E13487" t="str">
            <v>Community School</v>
          </cell>
          <cell r="F13487" t="str">
            <v>Primary</v>
          </cell>
        </row>
        <row r="13488">
          <cell r="A13488">
            <v>8552056</v>
          </cell>
          <cell r="B13488">
            <v>119934</v>
          </cell>
          <cell r="C13488" t="str">
            <v>Hemington Primary School</v>
          </cell>
          <cell r="D13488" t="str">
            <v>Leicestershire</v>
          </cell>
          <cell r="E13488" t="str">
            <v>Community School</v>
          </cell>
          <cell r="F13488" t="str">
            <v>Primary</v>
          </cell>
        </row>
        <row r="13489">
          <cell r="A13489">
            <v>9332030</v>
          </cell>
          <cell r="B13489">
            <v>123646</v>
          </cell>
          <cell r="C13489" t="str">
            <v>Hemington Primary School</v>
          </cell>
          <cell r="D13489" t="str">
            <v>Somerset</v>
          </cell>
          <cell r="E13489" t="str">
            <v>Community School</v>
          </cell>
          <cell r="F13489" t="str">
            <v>Primary</v>
          </cell>
        </row>
        <row r="13490">
          <cell r="A13490">
            <v>9072178</v>
          </cell>
          <cell r="B13490">
            <v>128502</v>
          </cell>
          <cell r="C13490" t="str">
            <v>Hemlington Hall Infant School</v>
          </cell>
          <cell r="D13490" t="str">
            <v>Pre LGR (1996) Cleveland</v>
          </cell>
          <cell r="E13490" t="str">
            <v>Community School</v>
          </cell>
          <cell r="F13490" t="str">
            <v>Primary</v>
          </cell>
        </row>
        <row r="13491">
          <cell r="A13491">
            <v>9072177</v>
          </cell>
          <cell r="B13491">
            <v>128501</v>
          </cell>
          <cell r="C13491" t="str">
            <v>Hemlington Hall Junior School</v>
          </cell>
          <cell r="D13491" t="str">
            <v>Pre LGR (1996) Cleveland</v>
          </cell>
          <cell r="E13491" t="str">
            <v>Community School</v>
          </cell>
          <cell r="F13491" t="str">
            <v>Primary</v>
          </cell>
        </row>
        <row r="13492">
          <cell r="A13492">
            <v>8062367</v>
          </cell>
          <cell r="B13492">
            <v>111664</v>
          </cell>
          <cell r="C13492" t="str">
            <v>Hemlington Hall Primary School</v>
          </cell>
          <cell r="D13492" t="str">
            <v>Middlesbrough</v>
          </cell>
          <cell r="E13492" t="str">
            <v>Community School</v>
          </cell>
          <cell r="F13492" t="str">
            <v>Primary</v>
          </cell>
        </row>
        <row r="13493">
          <cell r="A13493">
            <v>8162031</v>
          </cell>
          <cell r="B13493">
            <v>121292</v>
          </cell>
          <cell r="C13493" t="str">
            <v>Hempland County Infant School</v>
          </cell>
          <cell r="D13493" t="str">
            <v>York</v>
          </cell>
          <cell r="E13493" t="str">
            <v>Community School</v>
          </cell>
          <cell r="F13493" t="str">
            <v>Primary</v>
          </cell>
        </row>
        <row r="13494">
          <cell r="A13494">
            <v>8162030</v>
          </cell>
          <cell r="B13494">
            <v>121291</v>
          </cell>
          <cell r="C13494" t="str">
            <v>Hempland Junior School</v>
          </cell>
          <cell r="D13494" t="str">
            <v>York</v>
          </cell>
          <cell r="E13494" t="str">
            <v>Community School</v>
          </cell>
          <cell r="F13494" t="str">
            <v>Primary</v>
          </cell>
        </row>
        <row r="13495">
          <cell r="A13495">
            <v>8162001</v>
          </cell>
          <cell r="B13495">
            <v>131821</v>
          </cell>
          <cell r="C13495" t="str">
            <v>Hempland Primary School</v>
          </cell>
          <cell r="D13495" t="str">
            <v>York</v>
          </cell>
          <cell r="E13495" t="str">
            <v>Community School</v>
          </cell>
          <cell r="F13495" t="str">
            <v>Primary</v>
          </cell>
        </row>
        <row r="13496">
          <cell r="A13496">
            <v>9262078</v>
          </cell>
          <cell r="B13496">
            <v>120815</v>
          </cell>
          <cell r="C13496" t="str">
            <v>Hempnall Primary School</v>
          </cell>
          <cell r="D13496" t="str">
            <v>Norfolk</v>
          </cell>
          <cell r="E13496" t="str">
            <v>Community School</v>
          </cell>
          <cell r="F13496" t="str">
            <v>Primary</v>
          </cell>
        </row>
        <row r="13497">
          <cell r="A13497">
            <v>8922170</v>
          </cell>
          <cell r="B13497">
            <v>122493</v>
          </cell>
          <cell r="C13497" t="str">
            <v>Hempshill Hall Primary School</v>
          </cell>
          <cell r="D13497" t="str">
            <v>Nottingham</v>
          </cell>
          <cell r="E13497" t="str">
            <v>Community School</v>
          </cell>
          <cell r="F13497" t="str">
            <v>Primary</v>
          </cell>
        </row>
        <row r="13498">
          <cell r="A13498">
            <v>8602252</v>
          </cell>
          <cell r="B13498">
            <v>124111</v>
          </cell>
          <cell r="C13498" t="str">
            <v>Hempstalls Primary School</v>
          </cell>
          <cell r="D13498" t="str">
            <v>Staffordshire</v>
          </cell>
          <cell r="E13498" t="str">
            <v>Community School</v>
          </cell>
          <cell r="F13498" t="str">
            <v>Primary</v>
          </cell>
        </row>
        <row r="13499">
          <cell r="A13499">
            <v>8872638</v>
          </cell>
          <cell r="B13499">
            <v>118555</v>
          </cell>
          <cell r="C13499" t="str">
            <v>Hempstead Infant School</v>
          </cell>
          <cell r="D13499" t="str">
            <v>Medway</v>
          </cell>
          <cell r="E13499" t="str">
            <v>Community School</v>
          </cell>
          <cell r="F13499" t="str">
            <v>Primary</v>
          </cell>
        </row>
        <row r="13500">
          <cell r="A13500">
            <v>8872403</v>
          </cell>
          <cell r="B13500">
            <v>118423</v>
          </cell>
          <cell r="C13500" t="str">
            <v>Hempstead Junior School</v>
          </cell>
          <cell r="D13500" t="str">
            <v>Medway</v>
          </cell>
          <cell r="E13500" t="str">
            <v>Community School</v>
          </cell>
          <cell r="F13500" t="str">
            <v>Primary</v>
          </cell>
        </row>
        <row r="13501">
          <cell r="A13501">
            <v>9163011</v>
          </cell>
          <cell r="B13501">
            <v>115608</v>
          </cell>
          <cell r="C13501" t="str">
            <v>Hempsted Church of England Primary School</v>
          </cell>
          <cell r="D13501" t="str">
            <v>Gloucestershire</v>
          </cell>
          <cell r="E13501" t="str">
            <v>Voluntary Controlled School</v>
          </cell>
          <cell r="F13501" t="str">
            <v>Primary</v>
          </cell>
        </row>
        <row r="13502">
          <cell r="A13502">
            <v>9262079</v>
          </cell>
          <cell r="B13502">
            <v>120816</v>
          </cell>
          <cell r="C13502" t="str">
            <v>Hemsby Primary School</v>
          </cell>
          <cell r="D13502" t="str">
            <v>Norfolk</v>
          </cell>
          <cell r="E13502" t="str">
            <v>Community School</v>
          </cell>
          <cell r="F13502" t="str">
            <v>Primary</v>
          </cell>
        </row>
        <row r="13503">
          <cell r="A13503">
            <v>9252210</v>
          </cell>
          <cell r="B13503">
            <v>120491</v>
          </cell>
          <cell r="C13503" t="str">
            <v>Hemswell Cliff Primary School</v>
          </cell>
          <cell r="D13503" t="str">
            <v>Lincolnshire</v>
          </cell>
          <cell r="E13503" t="str">
            <v>Community School</v>
          </cell>
          <cell r="F13503" t="str">
            <v>Primary</v>
          </cell>
        </row>
        <row r="13504">
          <cell r="A13504">
            <v>3844016</v>
          </cell>
          <cell r="B13504">
            <v>108274</v>
          </cell>
          <cell r="C13504" t="str">
            <v>Hemsworth Arts and Community College</v>
          </cell>
          <cell r="D13504" t="str">
            <v>Wakefield</v>
          </cell>
          <cell r="E13504" t="str">
            <v>Community School</v>
          </cell>
          <cell r="F13504" t="str">
            <v>Secondary</v>
          </cell>
        </row>
        <row r="13505">
          <cell r="A13505">
            <v>3842199</v>
          </cell>
          <cell r="B13505">
            <v>130968</v>
          </cell>
          <cell r="C13505" t="str">
            <v>Hemsworth Grove Lea Primary School</v>
          </cell>
          <cell r="D13505" t="str">
            <v>Wakefield</v>
          </cell>
          <cell r="E13505" t="str">
            <v>Community School</v>
          </cell>
          <cell r="F13505" t="str">
            <v>Primary</v>
          </cell>
        </row>
        <row r="13506">
          <cell r="A13506">
            <v>3732214</v>
          </cell>
          <cell r="B13506">
            <v>107027</v>
          </cell>
          <cell r="C13506" t="str">
            <v>Hemsworth Primary School</v>
          </cell>
          <cell r="D13506" t="str">
            <v>Sheffield</v>
          </cell>
          <cell r="E13506" t="str">
            <v>Community School</v>
          </cell>
          <cell r="F13506" t="str">
            <v>Primary</v>
          </cell>
        </row>
        <row r="13507">
          <cell r="A13507">
            <v>3843340</v>
          </cell>
          <cell r="B13507">
            <v>130974</v>
          </cell>
          <cell r="C13507" t="str">
            <v>Hemsworth St Helens Church of England Voluntary Aided Junior and Infant School</v>
          </cell>
          <cell r="D13507" t="str">
            <v>Wakefield</v>
          </cell>
          <cell r="E13507" t="str">
            <v>Voluntary Aided School</v>
          </cell>
          <cell r="F13507" t="str">
            <v>Primary</v>
          </cell>
        </row>
        <row r="13508">
          <cell r="A13508">
            <v>3842200</v>
          </cell>
          <cell r="B13508">
            <v>130967</v>
          </cell>
          <cell r="C13508" t="str">
            <v>Hemsworth West End Primary School</v>
          </cell>
          <cell r="D13508" t="str">
            <v>Wakefield</v>
          </cell>
          <cell r="E13508" t="str">
            <v>Community School</v>
          </cell>
          <cell r="F13508" t="str">
            <v>Primary</v>
          </cell>
        </row>
        <row r="13509">
          <cell r="A13509">
            <v>8782047</v>
          </cell>
          <cell r="B13509">
            <v>113097</v>
          </cell>
          <cell r="C13509" t="str">
            <v>Hemyock Primary School</v>
          </cell>
          <cell r="D13509" t="str">
            <v>Devon</v>
          </cell>
          <cell r="E13509" t="str">
            <v>Community School</v>
          </cell>
          <cell r="F13509" t="str">
            <v>Primary</v>
          </cell>
        </row>
        <row r="13510">
          <cell r="A13510">
            <v>8782047</v>
          </cell>
          <cell r="B13510">
            <v>137654</v>
          </cell>
          <cell r="C13510" t="str">
            <v>Hemyock Primary School</v>
          </cell>
          <cell r="D13510" t="str">
            <v>Devon</v>
          </cell>
          <cell r="E13510" t="str">
            <v>Academy Converters</v>
          </cell>
          <cell r="F13510" t="str">
            <v>Primary</v>
          </cell>
        </row>
        <row r="13511">
          <cell r="A13511">
            <v>8012122</v>
          </cell>
          <cell r="B13511">
            <v>108984</v>
          </cell>
          <cell r="C13511" t="str">
            <v>Henbury Court Infant School</v>
          </cell>
          <cell r="D13511" t="str">
            <v>Bristol City of</v>
          </cell>
          <cell r="E13511" t="str">
            <v>Community School</v>
          </cell>
          <cell r="F13511" t="str">
            <v>Primary</v>
          </cell>
        </row>
        <row r="13512">
          <cell r="A13512">
            <v>8012039</v>
          </cell>
          <cell r="B13512">
            <v>108932</v>
          </cell>
          <cell r="C13512" t="str">
            <v>Henbury Court Junior School</v>
          </cell>
          <cell r="D13512" t="str">
            <v>Bristol City of</v>
          </cell>
          <cell r="E13512" t="str">
            <v>Community School</v>
          </cell>
          <cell r="F13512" t="str">
            <v>Primary</v>
          </cell>
        </row>
        <row r="13513">
          <cell r="A13513">
            <v>8012014</v>
          </cell>
          <cell r="B13513">
            <v>131497</v>
          </cell>
          <cell r="C13513" t="str">
            <v>Henbury Court Primary School</v>
          </cell>
          <cell r="D13513" t="str">
            <v>Bristol City of</v>
          </cell>
          <cell r="E13513" t="str">
            <v>Community School</v>
          </cell>
          <cell r="F13513" t="str">
            <v>Primary</v>
          </cell>
        </row>
        <row r="13514">
          <cell r="A13514">
            <v>8017043</v>
          </cell>
          <cell r="B13514">
            <v>109411</v>
          </cell>
          <cell r="C13514" t="str">
            <v>Henbury Manor School</v>
          </cell>
          <cell r="D13514" t="str">
            <v>Bristol City of</v>
          </cell>
          <cell r="E13514" t="str">
            <v>Community Special School</v>
          </cell>
          <cell r="F13514" t="str">
            <v>Special</v>
          </cell>
        </row>
        <row r="13515">
          <cell r="A13515">
            <v>8014031</v>
          </cell>
          <cell r="B13515">
            <v>109279</v>
          </cell>
          <cell r="C13515" t="str">
            <v>Henbury School</v>
          </cell>
          <cell r="D13515" t="str">
            <v>Bristol City of</v>
          </cell>
          <cell r="E13515" t="str">
            <v>Community School</v>
          </cell>
          <cell r="F13515" t="str">
            <v>Secondary</v>
          </cell>
        </row>
        <row r="13516">
          <cell r="A13516">
            <v>8352257</v>
          </cell>
          <cell r="B13516">
            <v>113745</v>
          </cell>
          <cell r="C13516" t="str">
            <v>Henbury View First School</v>
          </cell>
          <cell r="D13516" t="str">
            <v>Dorset</v>
          </cell>
          <cell r="E13516" t="str">
            <v>Community School</v>
          </cell>
          <cell r="F13516" t="str">
            <v>Primary</v>
          </cell>
        </row>
        <row r="13517">
          <cell r="A13517">
            <v>3842162</v>
          </cell>
          <cell r="B13517">
            <v>108218</v>
          </cell>
          <cell r="C13517" t="str">
            <v>Hendal Primary School</v>
          </cell>
          <cell r="D13517" t="str">
            <v>Wakefield</v>
          </cell>
          <cell r="E13517" t="str">
            <v>Community School</v>
          </cell>
          <cell r="F13517" t="str">
            <v>Primary</v>
          </cell>
        </row>
        <row r="13518">
          <cell r="A13518">
            <v>8132134</v>
          </cell>
          <cell r="B13518">
            <v>117749</v>
          </cell>
          <cell r="C13518" t="str">
            <v>Henderson Avenue Primary School</v>
          </cell>
          <cell r="D13518" t="str">
            <v>North Lincolnshire</v>
          </cell>
          <cell r="E13518" t="str">
            <v>Community School</v>
          </cell>
          <cell r="F13518" t="str">
            <v>Primary</v>
          </cell>
        </row>
        <row r="13519">
          <cell r="A13519">
            <v>9262311</v>
          </cell>
          <cell r="B13519">
            <v>120948</v>
          </cell>
          <cell r="C13519" t="str">
            <v>Henderson Green Primary School</v>
          </cell>
          <cell r="D13519" t="str">
            <v>Norfolk</v>
          </cell>
          <cell r="E13519" t="str">
            <v>Community School</v>
          </cell>
          <cell r="F13519" t="str">
            <v>Primary</v>
          </cell>
        </row>
        <row r="13520">
          <cell r="A13520">
            <v>8881107</v>
          </cell>
          <cell r="B13520">
            <v>119110</v>
          </cell>
          <cell r="C13520" t="str">
            <v>Hendon Brook School</v>
          </cell>
          <cell r="D13520" t="str">
            <v>Lancashire</v>
          </cell>
          <cell r="E13520" t="str">
            <v>Pupil Referral Unit</v>
          </cell>
          <cell r="F13520" t="str">
            <v>PRU</v>
          </cell>
        </row>
        <row r="13521">
          <cell r="A13521">
            <v>9237002</v>
          </cell>
          <cell r="B13521">
            <v>129512</v>
          </cell>
          <cell r="C13521" t="str">
            <v>Hendon Brook School</v>
          </cell>
          <cell r="D13521" t="str">
            <v>Pre LGR (1998) Lancashire</v>
          </cell>
          <cell r="E13521" t="str">
            <v>Community Special School</v>
          </cell>
          <cell r="F13521" t="str">
            <v>Special</v>
          </cell>
        </row>
        <row r="13522">
          <cell r="A13522">
            <v>3028003</v>
          </cell>
          <cell r="B13522">
            <v>130426</v>
          </cell>
          <cell r="C13522" t="str">
            <v>Hendon College</v>
          </cell>
          <cell r="D13522" t="str">
            <v>Barnet</v>
          </cell>
          <cell r="E13522" t="str">
            <v>Further Education</v>
          </cell>
          <cell r="F13522" t="str">
            <v>16 Plus</v>
          </cell>
        </row>
        <row r="13523">
          <cell r="A13523">
            <v>3026002</v>
          </cell>
          <cell r="B13523">
            <v>101368</v>
          </cell>
          <cell r="C13523" t="str">
            <v>Hendon Preparatory School</v>
          </cell>
          <cell r="D13523" t="str">
            <v>Barnet</v>
          </cell>
          <cell r="E13523" t="str">
            <v>Other Independent School</v>
          </cell>
          <cell r="F13523" t="str">
            <v>Not applicable</v>
          </cell>
        </row>
        <row r="13524">
          <cell r="A13524">
            <v>3025400</v>
          </cell>
          <cell r="B13524">
            <v>101357</v>
          </cell>
          <cell r="C13524" t="str">
            <v>Hendon School</v>
          </cell>
          <cell r="D13524" t="str">
            <v>Barnet</v>
          </cell>
          <cell r="E13524" t="str">
            <v>Foundation School</v>
          </cell>
          <cell r="F13524" t="str">
            <v>Secondary</v>
          </cell>
        </row>
        <row r="13525">
          <cell r="A13525">
            <v>3025400</v>
          </cell>
          <cell r="B13525">
            <v>137645</v>
          </cell>
          <cell r="C13525" t="str">
            <v>Hendon School</v>
          </cell>
          <cell r="D13525" t="str">
            <v>Barnet</v>
          </cell>
          <cell r="E13525" t="str">
            <v>Academy Converters</v>
          </cell>
          <cell r="F13525" t="str">
            <v>Secondary</v>
          </cell>
        </row>
        <row r="13526">
          <cell r="A13526">
            <v>6762145</v>
          </cell>
          <cell r="B13526">
            <v>401322</v>
          </cell>
          <cell r="C13526" t="str">
            <v>Hendre Infants School</v>
          </cell>
          <cell r="D13526" t="str">
            <v>Caerphilly</v>
          </cell>
          <cell r="E13526" t="str">
            <v>Welsh Establishment</v>
          </cell>
          <cell r="F13526" t="str">
            <v>Primary</v>
          </cell>
        </row>
        <row r="13527">
          <cell r="A13527">
            <v>6762140</v>
          </cell>
          <cell r="B13527">
            <v>401321</v>
          </cell>
          <cell r="C13527" t="str">
            <v>Hendre Junior School</v>
          </cell>
          <cell r="D13527" t="str">
            <v>Caerphilly</v>
          </cell>
          <cell r="E13527" t="str">
            <v>Welsh Establishment</v>
          </cell>
          <cell r="F13527" t="str">
            <v>Primary</v>
          </cell>
        </row>
        <row r="13528">
          <cell r="A13528">
            <v>6762338</v>
          </cell>
          <cell r="B13528">
            <v>401370</v>
          </cell>
          <cell r="C13528" t="str">
            <v>Hendredenny Park Primary School</v>
          </cell>
          <cell r="D13528" t="str">
            <v>Caerphilly</v>
          </cell>
          <cell r="E13528" t="str">
            <v>Welsh Establishment</v>
          </cell>
          <cell r="F13528" t="str">
            <v>Primary</v>
          </cell>
        </row>
        <row r="13529">
          <cell r="A13529">
            <v>6702096</v>
          </cell>
          <cell r="B13529">
            <v>400905</v>
          </cell>
          <cell r="C13529" t="str">
            <v>Hendrefoilan Primary School</v>
          </cell>
          <cell r="D13529" t="str">
            <v>Swansea</v>
          </cell>
          <cell r="E13529" t="str">
            <v>Welsh Establishment</v>
          </cell>
          <cell r="F13529" t="str">
            <v>Primary</v>
          </cell>
        </row>
        <row r="13530">
          <cell r="A13530">
            <v>6742114</v>
          </cell>
          <cell r="B13530">
            <v>401169</v>
          </cell>
          <cell r="C13530" t="str">
            <v>Hendreforgan Infants School</v>
          </cell>
          <cell r="D13530" t="str">
            <v>Rhondda, Cynon, Taff</v>
          </cell>
          <cell r="E13530" t="str">
            <v>Welsh Establishment</v>
          </cell>
          <cell r="F13530" t="str">
            <v>Not applicable</v>
          </cell>
        </row>
        <row r="13531">
          <cell r="A13531">
            <v>6742110</v>
          </cell>
          <cell r="B13531">
            <v>401167</v>
          </cell>
          <cell r="C13531" t="str">
            <v>Hendreforgan Junior School</v>
          </cell>
          <cell r="D13531" t="str">
            <v>Rhondda, Cynon, Taff</v>
          </cell>
          <cell r="E13531" t="str">
            <v>Welsh Establishment</v>
          </cell>
          <cell r="F13531" t="str">
            <v>Not applicable</v>
          </cell>
        </row>
        <row r="13532">
          <cell r="A13532">
            <v>6742370</v>
          </cell>
          <cell r="B13532">
            <v>402034</v>
          </cell>
          <cell r="C13532" t="str">
            <v>Hendreforgan Primary School</v>
          </cell>
          <cell r="D13532" t="str">
            <v>Rhondda, Cynon, Taff</v>
          </cell>
          <cell r="E13532" t="str">
            <v>Welsh Establishment</v>
          </cell>
          <cell r="F13532" t="str">
            <v>Primary</v>
          </cell>
        </row>
        <row r="13533">
          <cell r="A13533">
            <v>6692131</v>
          </cell>
          <cell r="B13533">
            <v>400797</v>
          </cell>
          <cell r="C13533" t="str">
            <v>Hendy C.P. Mixed School</v>
          </cell>
          <cell r="D13533" t="str">
            <v>Carmarthenshire</v>
          </cell>
          <cell r="E13533" t="str">
            <v>Welsh Establishment</v>
          </cell>
          <cell r="F13533" t="str">
            <v>Primary</v>
          </cell>
        </row>
        <row r="13534">
          <cell r="A13534">
            <v>6692098</v>
          </cell>
          <cell r="B13534">
            <v>400776</v>
          </cell>
          <cell r="C13534" t="str">
            <v>Hendy-gwyn (Whitland)</v>
          </cell>
          <cell r="D13534" t="str">
            <v>Carmarthenshire</v>
          </cell>
          <cell r="E13534" t="str">
            <v>Welsh Establishment</v>
          </cell>
          <cell r="F13534" t="str">
            <v>Primary</v>
          </cell>
        </row>
        <row r="13535">
          <cell r="A13535">
            <v>6762148</v>
          </cell>
          <cell r="B13535">
            <v>401323</v>
          </cell>
          <cell r="C13535" t="str">
            <v>Hengoed Primary School</v>
          </cell>
          <cell r="D13535" t="str">
            <v>Caerphilly</v>
          </cell>
          <cell r="E13535" t="str">
            <v>Welsh Establishment</v>
          </cell>
          <cell r="F13535" t="str">
            <v>Primary</v>
          </cell>
        </row>
        <row r="13536">
          <cell r="A13536">
            <v>8014028</v>
          </cell>
          <cell r="B13536">
            <v>109276</v>
          </cell>
          <cell r="C13536" t="str">
            <v>Hengrove Community Arts College</v>
          </cell>
          <cell r="D13536" t="str">
            <v>Bristol City of</v>
          </cell>
          <cell r="E13536" t="str">
            <v>Community School</v>
          </cell>
          <cell r="F13536" t="str">
            <v>Secondary</v>
          </cell>
        </row>
        <row r="13537">
          <cell r="A13537">
            <v>9362426</v>
          </cell>
          <cell r="B13537">
            <v>130050</v>
          </cell>
          <cell r="C13537" t="str">
            <v>Hengrove County Middle School</v>
          </cell>
          <cell r="D13537" t="str">
            <v>Surrey</v>
          </cell>
          <cell r="E13537" t="str">
            <v>Community School</v>
          </cell>
          <cell r="F13537" t="str">
            <v>Middle Deemed Primary</v>
          </cell>
        </row>
        <row r="13538">
          <cell r="A13538">
            <v>8256008</v>
          </cell>
          <cell r="B13538">
            <v>110562</v>
          </cell>
          <cell r="C13538" t="str">
            <v>Hengrove School</v>
          </cell>
          <cell r="D13538" t="str">
            <v>Buckinghamshire</v>
          </cell>
          <cell r="E13538" t="str">
            <v>Other Independent School</v>
          </cell>
          <cell r="F13538" t="str">
            <v>Not applicable</v>
          </cell>
        </row>
        <row r="13539">
          <cell r="A13539">
            <v>8812740</v>
          </cell>
          <cell r="B13539">
            <v>114975</v>
          </cell>
          <cell r="C13539" t="str">
            <v>Henham and Ugley Primary and Nursery School</v>
          </cell>
          <cell r="D13539" t="str">
            <v>Essex</v>
          </cell>
          <cell r="E13539" t="str">
            <v>Community School</v>
          </cell>
          <cell r="F13539" t="str">
            <v>Primary</v>
          </cell>
        </row>
        <row r="13540">
          <cell r="A13540">
            <v>9352082</v>
          </cell>
          <cell r="B13540">
            <v>129965</v>
          </cell>
          <cell r="C13540" t="str">
            <v>Henham County Primary School</v>
          </cell>
          <cell r="D13540" t="str">
            <v>Suffolk</v>
          </cell>
          <cell r="E13540" t="str">
            <v>Community School</v>
          </cell>
          <cell r="F13540" t="str">
            <v>Primary</v>
          </cell>
        </row>
        <row r="13541">
          <cell r="A13541">
            <v>8012041</v>
          </cell>
          <cell r="B13541">
            <v>108934</v>
          </cell>
          <cell r="C13541" t="str">
            <v>Henleaze Infant School</v>
          </cell>
          <cell r="D13541" t="str">
            <v>Bristol City of</v>
          </cell>
          <cell r="E13541" t="str">
            <v>Community School</v>
          </cell>
          <cell r="F13541" t="str">
            <v>Primary</v>
          </cell>
        </row>
        <row r="13542">
          <cell r="A13542">
            <v>8012040</v>
          </cell>
          <cell r="B13542">
            <v>108933</v>
          </cell>
          <cell r="C13542" t="str">
            <v>Henleaze Junior School</v>
          </cell>
          <cell r="D13542" t="str">
            <v>Bristol City of</v>
          </cell>
          <cell r="E13542" t="str">
            <v>Community School</v>
          </cell>
          <cell r="F13542" t="str">
            <v>Primary</v>
          </cell>
        </row>
        <row r="13543">
          <cell r="A13543">
            <v>8012040</v>
          </cell>
          <cell r="B13543">
            <v>137518</v>
          </cell>
          <cell r="C13543" t="str">
            <v>Henleaze Junior School</v>
          </cell>
          <cell r="D13543" t="str">
            <v>Bristol City of</v>
          </cell>
          <cell r="E13543" t="str">
            <v>Academy Converters</v>
          </cell>
          <cell r="F13543" t="str">
            <v>Primary</v>
          </cell>
        </row>
        <row r="13544">
          <cell r="A13544">
            <v>3318002</v>
          </cell>
          <cell r="B13544">
            <v>130472</v>
          </cell>
          <cell r="C13544" t="str">
            <v>Henley College Coventry</v>
          </cell>
          <cell r="D13544" t="str">
            <v>Coventry</v>
          </cell>
          <cell r="E13544" t="str">
            <v>Further Education</v>
          </cell>
          <cell r="F13544" t="str">
            <v>16 Plus</v>
          </cell>
        </row>
        <row r="13545">
          <cell r="A13545">
            <v>3312156</v>
          </cell>
          <cell r="B13545">
            <v>133476</v>
          </cell>
          <cell r="C13545" t="str">
            <v>Henley Green Primary</v>
          </cell>
          <cell r="D13545" t="str">
            <v>Coventry</v>
          </cell>
          <cell r="E13545" t="str">
            <v>Community School</v>
          </cell>
          <cell r="F13545" t="str">
            <v>Primary</v>
          </cell>
        </row>
        <row r="13546">
          <cell r="A13546">
            <v>9374108</v>
          </cell>
          <cell r="B13546">
            <v>125733</v>
          </cell>
          <cell r="C13546" t="str">
            <v>Henley in Arden High School</v>
          </cell>
          <cell r="D13546" t="str">
            <v>Warwickshire</v>
          </cell>
          <cell r="E13546" t="str">
            <v>Community School</v>
          </cell>
          <cell r="F13546" t="str">
            <v>Secondary</v>
          </cell>
        </row>
        <row r="13547">
          <cell r="A13547">
            <v>9374108</v>
          </cell>
          <cell r="B13547">
            <v>136991</v>
          </cell>
          <cell r="C13547" t="str">
            <v>Henley in Arden High School</v>
          </cell>
          <cell r="D13547" t="str">
            <v>Warwickshire</v>
          </cell>
          <cell r="E13547" t="str">
            <v>Academy Converters</v>
          </cell>
          <cell r="F13547" t="str">
            <v>Secondary</v>
          </cell>
        </row>
        <row r="13548">
          <cell r="A13548">
            <v>9352083</v>
          </cell>
          <cell r="B13548">
            <v>124587</v>
          </cell>
          <cell r="C13548" t="str">
            <v>Henley Primary School</v>
          </cell>
          <cell r="D13548" t="str">
            <v>Suffolk</v>
          </cell>
          <cell r="E13548" t="str">
            <v>Community School</v>
          </cell>
          <cell r="F13548" t="str">
            <v>Primary</v>
          </cell>
        </row>
        <row r="13549">
          <cell r="A13549">
            <v>9311023</v>
          </cell>
          <cell r="B13549">
            <v>122978</v>
          </cell>
          <cell r="C13549" t="str">
            <v>Henley Valley Road Nursery School</v>
          </cell>
          <cell r="D13549" t="str">
            <v>Oxfordshire</v>
          </cell>
          <cell r="E13549" t="str">
            <v>LA Nursery School</v>
          </cell>
          <cell r="F13549" t="str">
            <v>Nursery</v>
          </cell>
        </row>
        <row r="13550">
          <cell r="A13550">
            <v>9372031</v>
          </cell>
          <cell r="B13550">
            <v>125514</v>
          </cell>
          <cell r="C13550" t="str">
            <v>Henley-in-Arden Community Primary School</v>
          </cell>
          <cell r="D13550" t="str">
            <v>Warwickshire</v>
          </cell>
          <cell r="E13550" t="str">
            <v>Community School</v>
          </cell>
          <cell r="F13550" t="str">
            <v>Primary</v>
          </cell>
        </row>
        <row r="13551">
          <cell r="A13551">
            <v>9376106</v>
          </cell>
          <cell r="B13551">
            <v>135418</v>
          </cell>
          <cell r="C13551" t="str">
            <v>Henley-in-Arden Montessori Primary School</v>
          </cell>
          <cell r="D13551" t="str">
            <v>Warwickshire</v>
          </cell>
          <cell r="E13551" t="str">
            <v>Other Independent School</v>
          </cell>
          <cell r="F13551" t="str">
            <v>Not applicable</v>
          </cell>
        </row>
        <row r="13552">
          <cell r="A13552">
            <v>9372059</v>
          </cell>
          <cell r="B13552">
            <v>136081</v>
          </cell>
          <cell r="C13552" t="str">
            <v>Henley-In-Arden Voluntary Aided CofE Primary School</v>
          </cell>
          <cell r="D13552" t="str">
            <v>Warwickshire</v>
          </cell>
          <cell r="E13552" t="str">
            <v>Voluntary Aided School</v>
          </cell>
          <cell r="F13552" t="str">
            <v>Primary</v>
          </cell>
        </row>
        <row r="13553">
          <cell r="A13553">
            <v>6692093</v>
          </cell>
          <cell r="B13553">
            <v>400774</v>
          </cell>
          <cell r="C13553" t="str">
            <v>Henllan Amgoed C.P. School</v>
          </cell>
          <cell r="D13553" t="str">
            <v>Carmarthenshire</v>
          </cell>
          <cell r="E13553" t="str">
            <v>Welsh Establishment</v>
          </cell>
          <cell r="F13553" t="str">
            <v>Primary</v>
          </cell>
        </row>
        <row r="13554">
          <cell r="A13554">
            <v>6783330</v>
          </cell>
          <cell r="B13554">
            <v>401459</v>
          </cell>
          <cell r="C13554" t="str">
            <v>Henllys C.I.W. Primary School</v>
          </cell>
          <cell r="D13554" t="str">
            <v>Torfaen</v>
          </cell>
          <cell r="E13554" t="str">
            <v>Welsh Establishment</v>
          </cell>
          <cell r="F13554" t="str">
            <v>Primary</v>
          </cell>
        </row>
        <row r="13555">
          <cell r="A13555">
            <v>8234503</v>
          </cell>
          <cell r="B13555">
            <v>109695</v>
          </cell>
          <cell r="C13555" t="str">
            <v>Henlow VC Middle School</v>
          </cell>
          <cell r="D13555" t="str">
            <v>Central Bedfordshire</v>
          </cell>
          <cell r="E13555" t="str">
            <v>Voluntary Controlled School</v>
          </cell>
          <cell r="F13555" t="str">
            <v>Middle Deemed Secondary</v>
          </cell>
        </row>
        <row r="13556">
          <cell r="A13556">
            <v>8782421</v>
          </cell>
          <cell r="B13556">
            <v>113202</v>
          </cell>
          <cell r="C13556" t="str">
            <v>Hennock Community Primary School</v>
          </cell>
          <cell r="D13556" t="str">
            <v>Devon</v>
          </cell>
          <cell r="E13556" t="str">
            <v>Community School</v>
          </cell>
          <cell r="F13556" t="str">
            <v>Primary</v>
          </cell>
        </row>
        <row r="13557">
          <cell r="A13557">
            <v>8251000</v>
          </cell>
          <cell r="B13557">
            <v>110195</v>
          </cell>
          <cell r="C13557" t="str">
            <v>Henry Allen Nursery School</v>
          </cell>
          <cell r="D13557" t="str">
            <v>Buckinghamshire</v>
          </cell>
          <cell r="E13557" t="str">
            <v>LA Nursery School</v>
          </cell>
          <cell r="F13557" t="str">
            <v>Nursery</v>
          </cell>
        </row>
        <row r="13558">
          <cell r="A13558">
            <v>8504174</v>
          </cell>
          <cell r="B13558">
            <v>116438</v>
          </cell>
          <cell r="C13558" t="str">
            <v>Henry Beaufort School</v>
          </cell>
          <cell r="D13558" t="str">
            <v>Hampshire</v>
          </cell>
          <cell r="E13558" t="str">
            <v>Community School</v>
          </cell>
          <cell r="F13558" t="str">
            <v>Secondary</v>
          </cell>
        </row>
        <row r="13559">
          <cell r="A13559">
            <v>9373303</v>
          </cell>
          <cell r="B13559">
            <v>125690</v>
          </cell>
          <cell r="C13559" t="str">
            <v>Henry Bellairs CofE Junior School</v>
          </cell>
          <cell r="D13559" t="str">
            <v>Warwickshire</v>
          </cell>
          <cell r="E13559" t="str">
            <v>Voluntary Aided School</v>
          </cell>
          <cell r="F13559" t="str">
            <v>Primary</v>
          </cell>
        </row>
        <row r="13560">
          <cell r="A13560">
            <v>8302057</v>
          </cell>
          <cell r="B13560">
            <v>112519</v>
          </cell>
          <cell r="C13560" t="str">
            <v>Henry Bradley Infant School</v>
          </cell>
          <cell r="D13560" t="str">
            <v>Derbyshire</v>
          </cell>
          <cell r="E13560" t="str">
            <v>Community School</v>
          </cell>
          <cell r="F13560" t="str">
            <v>Primary</v>
          </cell>
        </row>
        <row r="13561">
          <cell r="A13561">
            <v>2082295</v>
          </cell>
          <cell r="B13561">
            <v>100567</v>
          </cell>
          <cell r="C13561" t="str">
            <v>Henry Cavendish Primary School</v>
          </cell>
          <cell r="D13561" t="str">
            <v>Lambeth</v>
          </cell>
          <cell r="E13561" t="str">
            <v>Community School</v>
          </cell>
          <cell r="F13561" t="str">
            <v>Primary</v>
          </cell>
        </row>
        <row r="13562">
          <cell r="A13562">
            <v>9104147</v>
          </cell>
          <cell r="B13562">
            <v>128652</v>
          </cell>
          <cell r="C13562" t="str">
            <v>Henry Cavendish School</v>
          </cell>
          <cell r="D13562" t="str">
            <v>Pre LGR (1997) Derbyshire</v>
          </cell>
          <cell r="E13562" t="str">
            <v>Community School</v>
          </cell>
          <cell r="F13562" t="str">
            <v>Secondary</v>
          </cell>
        </row>
        <row r="13563">
          <cell r="A13563">
            <v>8602238</v>
          </cell>
          <cell r="B13563">
            <v>124103</v>
          </cell>
          <cell r="C13563" t="str">
            <v>Henry Chadwick Primary School</v>
          </cell>
          <cell r="D13563" t="str">
            <v>Staffordshire</v>
          </cell>
          <cell r="E13563" t="str">
            <v>Community School</v>
          </cell>
          <cell r="F13563" t="str">
            <v>Primary</v>
          </cell>
        </row>
        <row r="13564">
          <cell r="A13564">
            <v>9282230</v>
          </cell>
          <cell r="B13564">
            <v>133552</v>
          </cell>
          <cell r="C13564" t="str">
            <v>Henry Chichele Primary School</v>
          </cell>
          <cell r="D13564" t="str">
            <v>Northamptonshire</v>
          </cell>
          <cell r="E13564" t="str">
            <v>Community School</v>
          </cell>
          <cell r="F13564" t="str">
            <v>Primary</v>
          </cell>
        </row>
        <row r="13565">
          <cell r="A13565">
            <v>2054106</v>
          </cell>
          <cell r="B13565">
            <v>100358</v>
          </cell>
          <cell r="C13565" t="str">
            <v>Henry Compton Secondary School</v>
          </cell>
          <cell r="D13565" t="str">
            <v>Hammersmith and Fulham</v>
          </cell>
          <cell r="E13565" t="str">
            <v>Foundation School</v>
          </cell>
          <cell r="F13565" t="str">
            <v>Secondary</v>
          </cell>
        </row>
        <row r="13566">
          <cell r="A13566">
            <v>9104504</v>
          </cell>
          <cell r="B13566">
            <v>128670</v>
          </cell>
          <cell r="C13566" t="str">
            <v>Henry Fanshawe School</v>
          </cell>
          <cell r="D13566" t="str">
            <v>Pre LGR (1997) Derbyshire</v>
          </cell>
          <cell r="E13566" t="str">
            <v>Voluntary Controlled School</v>
          </cell>
          <cell r="F13566" t="str">
            <v>Secondary</v>
          </cell>
        </row>
        <row r="13567">
          <cell r="A13567">
            <v>2082298</v>
          </cell>
          <cell r="B13567">
            <v>100569</v>
          </cell>
          <cell r="C13567" t="str">
            <v>Henry Fawcett Infant School</v>
          </cell>
          <cell r="D13567" t="str">
            <v>Lambeth</v>
          </cell>
          <cell r="E13567" t="str">
            <v>Community School</v>
          </cell>
          <cell r="F13567" t="str">
            <v>Primary</v>
          </cell>
        </row>
        <row r="13568">
          <cell r="A13568">
            <v>2082297</v>
          </cell>
          <cell r="B13568">
            <v>100568</v>
          </cell>
          <cell r="C13568" t="str">
            <v>Henry Fawcett Junior School</v>
          </cell>
          <cell r="D13568" t="str">
            <v>Lambeth</v>
          </cell>
          <cell r="E13568" t="str">
            <v>Community School</v>
          </cell>
          <cell r="F13568" t="str">
            <v>Primary</v>
          </cell>
        </row>
        <row r="13569">
          <cell r="A13569">
            <v>2082901</v>
          </cell>
          <cell r="B13569">
            <v>131874</v>
          </cell>
          <cell r="C13569" t="str">
            <v>Henry Fawcett Primary School</v>
          </cell>
          <cell r="D13569" t="str">
            <v>Lambeth</v>
          </cell>
          <cell r="E13569" t="str">
            <v>Community School</v>
          </cell>
          <cell r="F13569" t="str">
            <v>Primary</v>
          </cell>
        </row>
        <row r="13570">
          <cell r="A13570">
            <v>9282058</v>
          </cell>
          <cell r="B13570">
            <v>121836</v>
          </cell>
          <cell r="C13570" t="str">
            <v>Henry Gotch Junior School</v>
          </cell>
          <cell r="D13570" t="str">
            <v>Northamptonshire</v>
          </cell>
          <cell r="E13570" t="str">
            <v>Community School</v>
          </cell>
          <cell r="F13570" t="str">
            <v>Primary</v>
          </cell>
        </row>
        <row r="13571">
          <cell r="A13571">
            <v>9282059</v>
          </cell>
          <cell r="B13571">
            <v>121837</v>
          </cell>
          <cell r="C13571" t="str">
            <v>Henry Gotch Primary School</v>
          </cell>
          <cell r="D13571" t="str">
            <v>Northamptonshire</v>
          </cell>
          <cell r="E13571" t="str">
            <v>Community School</v>
          </cell>
          <cell r="F13571" t="str">
            <v>Primary</v>
          </cell>
        </row>
        <row r="13572">
          <cell r="A13572">
            <v>3012066</v>
          </cell>
          <cell r="B13572">
            <v>101229</v>
          </cell>
          <cell r="C13572" t="str">
            <v>Henry Green Primary School</v>
          </cell>
          <cell r="D13572" t="str">
            <v>Barking and Dagenham</v>
          </cell>
          <cell r="E13572" t="str">
            <v>Community School</v>
          </cell>
          <cell r="F13572" t="str">
            <v>Primary</v>
          </cell>
        </row>
        <row r="13573">
          <cell r="A13573">
            <v>9372424</v>
          </cell>
          <cell r="B13573">
            <v>125582</v>
          </cell>
          <cell r="C13573" t="str">
            <v>Henry Hinde Infant School</v>
          </cell>
          <cell r="D13573" t="str">
            <v>Warwickshire</v>
          </cell>
          <cell r="E13573" t="str">
            <v>Community School</v>
          </cell>
          <cell r="F13573" t="str">
            <v>Primary</v>
          </cell>
        </row>
        <row r="13574">
          <cell r="A13574">
            <v>9372588</v>
          </cell>
          <cell r="B13574">
            <v>125596</v>
          </cell>
          <cell r="C13574" t="str">
            <v>Henry Hinde Junior School</v>
          </cell>
          <cell r="D13574" t="str">
            <v>Warwickshire</v>
          </cell>
          <cell r="E13574" t="str">
            <v>Community School</v>
          </cell>
          <cell r="F13574" t="str">
            <v>Primary</v>
          </cell>
        </row>
        <row r="13575">
          <cell r="A13575">
            <v>3202064</v>
          </cell>
          <cell r="B13575">
            <v>103070</v>
          </cell>
          <cell r="C13575" t="str">
            <v>Henry Maynard Infants' School</v>
          </cell>
          <cell r="D13575" t="str">
            <v>Waltham Forest</v>
          </cell>
          <cell r="E13575" t="str">
            <v>Community School</v>
          </cell>
          <cell r="F13575" t="str">
            <v>Primary</v>
          </cell>
        </row>
        <row r="13576">
          <cell r="A13576">
            <v>3202032</v>
          </cell>
          <cell r="B13576">
            <v>103055</v>
          </cell>
          <cell r="C13576" t="str">
            <v>Henry Maynard Junior School</v>
          </cell>
          <cell r="D13576" t="str">
            <v>Waltham Forest</v>
          </cell>
          <cell r="E13576" t="str">
            <v>Community School</v>
          </cell>
          <cell r="F13576" t="str">
            <v>Primary</v>
          </cell>
        </row>
        <row r="13577">
          <cell r="A13577">
            <v>8924436</v>
          </cell>
          <cell r="B13577">
            <v>122878</v>
          </cell>
          <cell r="C13577" t="str">
            <v>Henry Mellish Comprehensive School</v>
          </cell>
          <cell r="D13577" t="str">
            <v>Nottingham</v>
          </cell>
          <cell r="E13577" t="str">
            <v>Community School</v>
          </cell>
          <cell r="F13577" t="str">
            <v>Secondary</v>
          </cell>
        </row>
        <row r="13578">
          <cell r="A13578">
            <v>3312026</v>
          </cell>
          <cell r="B13578">
            <v>127083</v>
          </cell>
          <cell r="C13578" t="str">
            <v>Henry Parkes Infant School</v>
          </cell>
          <cell r="D13578" t="str">
            <v>Coventry</v>
          </cell>
          <cell r="E13578" t="str">
            <v>Community School</v>
          </cell>
          <cell r="F13578" t="str">
            <v>Primary</v>
          </cell>
        </row>
        <row r="13579">
          <cell r="A13579">
            <v>3312025</v>
          </cell>
          <cell r="B13579">
            <v>127082</v>
          </cell>
          <cell r="C13579" t="str">
            <v>Henry Parkes Junior School</v>
          </cell>
          <cell r="D13579" t="str">
            <v>Coventry</v>
          </cell>
          <cell r="E13579" t="str">
            <v>Community School</v>
          </cell>
          <cell r="F13579" t="str">
            <v>Primary</v>
          </cell>
        </row>
        <row r="13580">
          <cell r="A13580">
            <v>9366550</v>
          </cell>
          <cell r="B13580">
            <v>130128</v>
          </cell>
          <cell r="C13580" t="str">
            <v>Henry School</v>
          </cell>
          <cell r="D13580" t="str">
            <v>Surrey</v>
          </cell>
          <cell r="E13580" t="str">
            <v>Other Independent School</v>
          </cell>
          <cell r="F13580" t="str">
            <v>Not applicable</v>
          </cell>
        </row>
        <row r="13581">
          <cell r="A13581">
            <v>8054132</v>
          </cell>
          <cell r="B13581">
            <v>111747</v>
          </cell>
          <cell r="C13581" t="str">
            <v>Henry Smith School</v>
          </cell>
          <cell r="D13581" t="str">
            <v>Hartlepool</v>
          </cell>
          <cell r="E13581" t="str">
            <v>Community School</v>
          </cell>
          <cell r="F13581" t="str">
            <v>Secondary</v>
          </cell>
        </row>
        <row r="13582">
          <cell r="A13582">
            <v>9366568</v>
          </cell>
          <cell r="B13582">
            <v>125445</v>
          </cell>
          <cell r="C13582" t="str">
            <v>Henry Tudor School</v>
          </cell>
          <cell r="D13582" t="str">
            <v>Surrey</v>
          </cell>
          <cell r="E13582" t="str">
            <v>Other Independent School</v>
          </cell>
          <cell r="F13582" t="str">
            <v>Not applicable</v>
          </cell>
        </row>
        <row r="13583">
          <cell r="A13583">
            <v>8507000</v>
          </cell>
          <cell r="B13583">
            <v>131559</v>
          </cell>
          <cell r="C13583" t="str">
            <v>Henry Tyndale School</v>
          </cell>
          <cell r="D13583" t="str">
            <v>Hampshire</v>
          </cell>
          <cell r="E13583" t="str">
            <v>Community Special School</v>
          </cell>
          <cell r="F13583" t="str">
            <v>Special</v>
          </cell>
        </row>
        <row r="13584">
          <cell r="A13584">
            <v>8922066</v>
          </cell>
          <cell r="B13584">
            <v>122418</v>
          </cell>
          <cell r="C13584" t="str">
            <v>Henry Whipple Infant and Nursery School</v>
          </cell>
          <cell r="D13584" t="str">
            <v>Nottingham</v>
          </cell>
          <cell r="E13584" t="str">
            <v>Community School</v>
          </cell>
          <cell r="F13584" t="str">
            <v>Primary</v>
          </cell>
        </row>
        <row r="13585">
          <cell r="A13585">
            <v>8922070</v>
          </cell>
          <cell r="B13585">
            <v>122419</v>
          </cell>
          <cell r="C13585" t="str">
            <v>Henry Whipple Junior School</v>
          </cell>
          <cell r="D13585" t="str">
            <v>Nottingham</v>
          </cell>
          <cell r="E13585" t="str">
            <v>Community School</v>
          </cell>
          <cell r="F13585" t="str">
            <v>Primary</v>
          </cell>
        </row>
        <row r="13586">
          <cell r="A13586">
            <v>8923328</v>
          </cell>
          <cell r="B13586">
            <v>131017</v>
          </cell>
          <cell r="C13586" t="str">
            <v>Henry Whipple Primary School</v>
          </cell>
          <cell r="D13586" t="str">
            <v>Nottingham</v>
          </cell>
          <cell r="E13586" t="str">
            <v>Community School</v>
          </cell>
          <cell r="F13586" t="str">
            <v>Primary</v>
          </cell>
        </row>
        <row r="13587">
          <cell r="A13587">
            <v>8152337</v>
          </cell>
          <cell r="B13587">
            <v>121403</v>
          </cell>
          <cell r="C13587" t="str">
            <v>Hensall Community Primary School</v>
          </cell>
          <cell r="D13587" t="str">
            <v>North Yorkshire</v>
          </cell>
          <cell r="E13587" t="str">
            <v>Community School</v>
          </cell>
          <cell r="F13587" t="str">
            <v>Primary</v>
          </cell>
        </row>
        <row r="13588">
          <cell r="A13588">
            <v>9293135</v>
          </cell>
          <cell r="B13588">
            <v>122276</v>
          </cell>
          <cell r="C13588" t="str">
            <v>Henshaw Church of England Voluntary Aided First School</v>
          </cell>
          <cell r="D13588" t="str">
            <v>Northumberland</v>
          </cell>
          <cell r="E13588" t="str">
            <v>Voluntary Controlled School</v>
          </cell>
          <cell r="F13588" t="str">
            <v>Primary</v>
          </cell>
        </row>
        <row r="13589">
          <cell r="A13589">
            <v>8158223</v>
          </cell>
          <cell r="B13589">
            <v>121777</v>
          </cell>
          <cell r="C13589" t="str">
            <v>Henshaw's College</v>
          </cell>
          <cell r="D13589" t="str">
            <v>North Yorkshire</v>
          </cell>
          <cell r="E13589" t="str">
            <v>Further Education</v>
          </cell>
          <cell r="F13589" t="str">
            <v>16 Plus</v>
          </cell>
        </row>
        <row r="13590">
          <cell r="A13590">
            <v>9092722</v>
          </cell>
          <cell r="B13590">
            <v>133726</v>
          </cell>
          <cell r="C13590" t="str">
            <v>Hensingham Community Primary School</v>
          </cell>
          <cell r="D13590" t="str">
            <v>Cumbria</v>
          </cell>
          <cell r="E13590" t="str">
            <v>Community School</v>
          </cell>
          <cell r="F13590" t="str">
            <v>Primary</v>
          </cell>
        </row>
        <row r="13591">
          <cell r="A13591">
            <v>9092229</v>
          </cell>
          <cell r="B13591">
            <v>112168</v>
          </cell>
          <cell r="C13591" t="str">
            <v>Hensingham Infants' School</v>
          </cell>
          <cell r="D13591" t="str">
            <v>Cumbria</v>
          </cell>
          <cell r="E13591" t="str">
            <v>Community School</v>
          </cell>
          <cell r="F13591" t="str">
            <v>Primary</v>
          </cell>
        </row>
        <row r="13592">
          <cell r="A13592">
            <v>9092235</v>
          </cell>
          <cell r="B13592">
            <v>112173</v>
          </cell>
          <cell r="C13592" t="str">
            <v>Hensingham Junior School</v>
          </cell>
          <cell r="D13592" t="str">
            <v>Cumbria</v>
          </cell>
          <cell r="E13592" t="str">
            <v>Community School</v>
          </cell>
          <cell r="F13592" t="str">
            <v>Primary</v>
          </cell>
        </row>
        <row r="13593">
          <cell r="A13593">
            <v>2032299</v>
          </cell>
          <cell r="B13593">
            <v>100131</v>
          </cell>
          <cell r="C13593" t="str">
            <v>Henwick Primary School</v>
          </cell>
          <cell r="D13593" t="str">
            <v>Greenwich</v>
          </cell>
          <cell r="E13593" t="str">
            <v>Community School</v>
          </cell>
          <cell r="F13593" t="str">
            <v>Primary</v>
          </cell>
        </row>
        <row r="13594">
          <cell r="A13594">
            <v>6722136</v>
          </cell>
          <cell r="B13594">
            <v>401037</v>
          </cell>
          <cell r="C13594" t="str">
            <v>Heol Y Cyw Primary School</v>
          </cell>
          <cell r="D13594" t="str">
            <v>Bridgend</v>
          </cell>
          <cell r="E13594" t="str">
            <v>Welsh Establishment</v>
          </cell>
          <cell r="F13594" t="str">
            <v>Primary</v>
          </cell>
        </row>
        <row r="13595">
          <cell r="A13595">
            <v>6764073</v>
          </cell>
          <cell r="B13595">
            <v>401838</v>
          </cell>
          <cell r="C13595" t="str">
            <v>Heolddu Comprehensive School</v>
          </cell>
          <cell r="D13595" t="str">
            <v>Caerphilly</v>
          </cell>
          <cell r="E13595" t="str">
            <v>Welsh Establishment</v>
          </cell>
          <cell r="F13595" t="str">
            <v>Secondary</v>
          </cell>
        </row>
        <row r="13596">
          <cell r="A13596">
            <v>6752022</v>
          </cell>
          <cell r="B13596">
            <v>401279</v>
          </cell>
          <cell r="C13596" t="str">
            <v>Heolgerrig Primary School</v>
          </cell>
          <cell r="D13596" t="str">
            <v>Merthyr Tydfil</v>
          </cell>
          <cell r="E13596" t="str">
            <v>Welsh Establishment</v>
          </cell>
          <cell r="F13596" t="str">
            <v>Primary</v>
          </cell>
        </row>
        <row r="13597">
          <cell r="A13597">
            <v>6742221</v>
          </cell>
          <cell r="B13597">
            <v>401217</v>
          </cell>
          <cell r="C13597" t="str">
            <v>Heol-Y-Celyn Primary School</v>
          </cell>
          <cell r="D13597" t="str">
            <v>Rhondda, Cynon, Taff</v>
          </cell>
          <cell r="E13597" t="str">
            <v>Welsh Establishment</v>
          </cell>
          <cell r="F13597" t="str">
            <v>Primary</v>
          </cell>
        </row>
        <row r="13598">
          <cell r="A13598">
            <v>9037013</v>
          </cell>
          <cell r="B13598">
            <v>128306</v>
          </cell>
          <cell r="C13598" t="str">
            <v>Hephaistos School</v>
          </cell>
          <cell r="D13598" t="str">
            <v>Pre LGR (1998) Berkshire</v>
          </cell>
          <cell r="E13598" t="str">
            <v>Community Special School</v>
          </cell>
          <cell r="F13598" t="str">
            <v>Special</v>
          </cell>
        </row>
        <row r="13599">
          <cell r="A13599">
            <v>3812058</v>
          </cell>
          <cell r="B13599">
            <v>107511</v>
          </cell>
          <cell r="C13599" t="str">
            <v>Heptonstall Junior Infant and Nursery School</v>
          </cell>
          <cell r="D13599" t="str">
            <v>Calderdale</v>
          </cell>
          <cell r="E13599" t="str">
            <v>Community School</v>
          </cell>
          <cell r="F13599" t="str">
            <v>Primary</v>
          </cell>
        </row>
        <row r="13600">
          <cell r="A13600">
            <v>3822087</v>
          </cell>
          <cell r="B13600">
            <v>107657</v>
          </cell>
          <cell r="C13600" t="str">
            <v>Hepworth Junior and Infant School</v>
          </cell>
          <cell r="D13600" t="str">
            <v>Kirklees</v>
          </cell>
          <cell r="E13600" t="str">
            <v>Community School</v>
          </cell>
          <cell r="F13600" t="str">
            <v>Primary</v>
          </cell>
        </row>
        <row r="13601">
          <cell r="A13601">
            <v>9353031</v>
          </cell>
          <cell r="B13601">
            <v>129979</v>
          </cell>
          <cell r="C13601" t="str">
            <v>Hepworth Primary School</v>
          </cell>
          <cell r="D13601" t="str">
            <v>Suffolk</v>
          </cell>
          <cell r="E13601" t="str">
            <v>Voluntary Controlled School</v>
          </cell>
          <cell r="F13601" t="str">
            <v>Primary</v>
          </cell>
        </row>
        <row r="13602">
          <cell r="A13602">
            <v>9372594</v>
          </cell>
          <cell r="B13602">
            <v>125600</v>
          </cell>
          <cell r="C13602" t="str">
            <v>Herbert Fowler Junior School</v>
          </cell>
          <cell r="D13602" t="str">
            <v>Warwickshire</v>
          </cell>
          <cell r="E13602" t="str">
            <v>Community School</v>
          </cell>
          <cell r="F13602" t="str">
            <v>Primary</v>
          </cell>
        </row>
        <row r="13603">
          <cell r="A13603">
            <v>2082868</v>
          </cell>
          <cell r="B13603">
            <v>100604</v>
          </cell>
          <cell r="C13603" t="str">
            <v>Herbert Morrison Primary School</v>
          </cell>
          <cell r="D13603" t="str">
            <v>Lambeth</v>
          </cell>
          <cell r="E13603" t="str">
            <v>Community School</v>
          </cell>
          <cell r="F13603" t="str">
            <v>Primary</v>
          </cell>
        </row>
        <row r="13604">
          <cell r="A13604">
            <v>9384053</v>
          </cell>
          <cell r="B13604">
            <v>126078</v>
          </cell>
          <cell r="C13604" t="str">
            <v>Herbert Shiner School</v>
          </cell>
          <cell r="D13604" t="str">
            <v>West Sussex</v>
          </cell>
          <cell r="E13604" t="str">
            <v>Community School</v>
          </cell>
          <cell r="F13604" t="str">
            <v>Middle Deemed Secondary</v>
          </cell>
        </row>
        <row r="13605">
          <cell r="A13605">
            <v>8302626</v>
          </cell>
          <cell r="B13605">
            <v>112789</v>
          </cell>
          <cell r="C13605" t="str">
            <v>Herbert Strutt Primary School</v>
          </cell>
          <cell r="D13605" t="str">
            <v>Derbyshire</v>
          </cell>
          <cell r="E13605" t="str">
            <v>Community School</v>
          </cell>
          <cell r="F13605" t="str">
            <v>Primary</v>
          </cell>
        </row>
        <row r="13606">
          <cell r="A13606">
            <v>6812028</v>
          </cell>
          <cell r="B13606">
            <v>401572</v>
          </cell>
          <cell r="C13606" t="str">
            <v>Herbert Thompson Infant School</v>
          </cell>
          <cell r="D13606" t="str">
            <v>Cardiff</v>
          </cell>
          <cell r="E13606" t="str">
            <v>Welsh Establishment</v>
          </cell>
          <cell r="F13606" t="str">
            <v>Primary</v>
          </cell>
        </row>
        <row r="13607">
          <cell r="A13607">
            <v>6812027</v>
          </cell>
          <cell r="B13607">
            <v>401571</v>
          </cell>
          <cell r="C13607" t="str">
            <v>Herbert Thompson Junior School</v>
          </cell>
          <cell r="D13607" t="str">
            <v>Cardiff</v>
          </cell>
          <cell r="E13607" t="str">
            <v>Welsh Establishment</v>
          </cell>
          <cell r="F13607" t="str">
            <v>Primary</v>
          </cell>
        </row>
        <row r="13608">
          <cell r="A13608">
            <v>6812312</v>
          </cell>
          <cell r="B13608">
            <v>402078</v>
          </cell>
          <cell r="C13608" t="str">
            <v>Herbert Thompson Primary</v>
          </cell>
          <cell r="D13608" t="str">
            <v>Cardiff</v>
          </cell>
          <cell r="E13608" t="str">
            <v>Welsh Establishment</v>
          </cell>
          <cell r="F13608" t="str">
            <v>Primary</v>
          </cell>
        </row>
        <row r="13609">
          <cell r="A13609">
            <v>3732217</v>
          </cell>
          <cell r="B13609">
            <v>107028</v>
          </cell>
          <cell r="C13609" t="str">
            <v>Herdings Primary School</v>
          </cell>
          <cell r="D13609" t="str">
            <v>Sheffield</v>
          </cell>
          <cell r="E13609" t="str">
            <v>Community School</v>
          </cell>
          <cell r="F13609" t="str">
            <v>Primary</v>
          </cell>
        </row>
        <row r="13610">
          <cell r="A13610">
            <v>9292164</v>
          </cell>
          <cell r="B13610">
            <v>122206</v>
          </cell>
          <cell r="C13610" t="str">
            <v>Herdley Bank First School</v>
          </cell>
          <cell r="D13610" t="str">
            <v>Northumberland</v>
          </cell>
          <cell r="E13610" t="str">
            <v>Community School</v>
          </cell>
          <cell r="F13610" t="str">
            <v>Primary</v>
          </cell>
        </row>
        <row r="13611">
          <cell r="A13611">
            <v>9293921</v>
          </cell>
          <cell r="B13611">
            <v>128090</v>
          </cell>
          <cell r="C13611" t="str">
            <v>Herdley Bank First School</v>
          </cell>
          <cell r="D13611" t="str">
            <v>Northumberland</v>
          </cell>
          <cell r="E13611" t="str">
            <v>Voluntary Aided School</v>
          </cell>
          <cell r="F13611" t="str">
            <v>Primary</v>
          </cell>
        </row>
        <row r="13612">
          <cell r="A13612">
            <v>8846009</v>
          </cell>
          <cell r="B13612">
            <v>117047</v>
          </cell>
          <cell r="C13612" t="str">
            <v>Hereford Cathedral Junior School</v>
          </cell>
          <cell r="D13612" t="str">
            <v>Herefordshire</v>
          </cell>
          <cell r="E13612" t="str">
            <v>Other Independent School</v>
          </cell>
          <cell r="F13612" t="str">
            <v>Not applicable</v>
          </cell>
        </row>
        <row r="13613">
          <cell r="A13613">
            <v>8846004</v>
          </cell>
          <cell r="B13613">
            <v>117036</v>
          </cell>
          <cell r="C13613" t="str">
            <v>Hereford Cathedral School</v>
          </cell>
          <cell r="D13613" t="str">
            <v>Herefordshire</v>
          </cell>
          <cell r="E13613" t="str">
            <v>Other Independent School</v>
          </cell>
          <cell r="F13613" t="str">
            <v>Not applicable</v>
          </cell>
        </row>
        <row r="13614">
          <cell r="A13614">
            <v>8848150</v>
          </cell>
          <cell r="B13614">
            <v>130714</v>
          </cell>
          <cell r="C13614" t="str">
            <v>Hereford College of Arts</v>
          </cell>
          <cell r="D13614" t="str">
            <v>Herefordshire</v>
          </cell>
          <cell r="E13614" t="str">
            <v>Further Education</v>
          </cell>
          <cell r="F13614" t="str">
            <v>16 Plus</v>
          </cell>
        </row>
        <row r="13615">
          <cell r="A13615">
            <v>9204043</v>
          </cell>
          <cell r="B13615">
            <v>129269</v>
          </cell>
          <cell r="C13615" t="str">
            <v>Hereford School</v>
          </cell>
          <cell r="D13615" t="str">
            <v>Pre LGR (1996) Humberside</v>
          </cell>
          <cell r="E13615" t="str">
            <v>Community School</v>
          </cell>
          <cell r="F13615" t="str">
            <v>Secondary</v>
          </cell>
        </row>
        <row r="13616">
          <cell r="A13616">
            <v>9184057</v>
          </cell>
          <cell r="B13616">
            <v>129088</v>
          </cell>
          <cell r="C13616" t="str">
            <v>Hereford Sixth Form College</v>
          </cell>
          <cell r="D13616" t="str">
            <v>Pre LGR (1998) Hereford &amp; Worcester</v>
          </cell>
          <cell r="E13616" t="str">
            <v>Community School</v>
          </cell>
          <cell r="F13616" t="str">
            <v>Secondary</v>
          </cell>
        </row>
        <row r="13617">
          <cell r="A13617">
            <v>8848600</v>
          </cell>
          <cell r="B13617">
            <v>130718</v>
          </cell>
          <cell r="C13617" t="str">
            <v>Hereford Sixth Form College</v>
          </cell>
          <cell r="D13617" t="str">
            <v>Herefordshire</v>
          </cell>
          <cell r="E13617" t="str">
            <v>Further Education</v>
          </cell>
          <cell r="F13617" t="str">
            <v>16 Plus</v>
          </cell>
        </row>
        <row r="13618">
          <cell r="A13618">
            <v>8124009</v>
          </cell>
          <cell r="B13618">
            <v>118066</v>
          </cell>
          <cell r="C13618" t="str">
            <v>Hereford Technology School</v>
          </cell>
          <cell r="D13618" t="str">
            <v>North East Lincolnshire</v>
          </cell>
          <cell r="E13618" t="str">
            <v>Foundation School</v>
          </cell>
          <cell r="F13618" t="str">
            <v>Secondary</v>
          </cell>
        </row>
        <row r="13619">
          <cell r="A13619">
            <v>8846005</v>
          </cell>
          <cell r="B13619">
            <v>117039</v>
          </cell>
          <cell r="C13619" t="str">
            <v>Hereford Waldorf School</v>
          </cell>
          <cell r="D13619" t="str">
            <v>Herefordshire</v>
          </cell>
          <cell r="E13619" t="str">
            <v>Other Independent School</v>
          </cell>
          <cell r="F13619" t="str">
            <v>Not applicable</v>
          </cell>
        </row>
        <row r="13620">
          <cell r="A13620">
            <v>8848002</v>
          </cell>
          <cell r="B13620">
            <v>130710</v>
          </cell>
          <cell r="C13620" t="str">
            <v>Herefordshire College of Technology</v>
          </cell>
          <cell r="D13620" t="str">
            <v>Herefordshire</v>
          </cell>
          <cell r="E13620" t="str">
            <v>Further Education</v>
          </cell>
          <cell r="F13620" t="str">
            <v>16 Plus</v>
          </cell>
        </row>
        <row r="13621">
          <cell r="A13621">
            <v>8841116</v>
          </cell>
          <cell r="B13621">
            <v>132088</v>
          </cell>
          <cell r="C13621" t="str">
            <v>Herefordshire Pupil Referral Unit</v>
          </cell>
          <cell r="D13621" t="str">
            <v>Herefordshire</v>
          </cell>
          <cell r="E13621" t="str">
            <v>Pupil Referral Unit</v>
          </cell>
          <cell r="F13621" t="str">
            <v>PRU</v>
          </cell>
        </row>
        <row r="13622">
          <cell r="A13622">
            <v>3318004</v>
          </cell>
          <cell r="B13622">
            <v>130474</v>
          </cell>
          <cell r="C13622" t="str">
            <v>Hereward College of Further Education</v>
          </cell>
          <cell r="D13622" t="str">
            <v>Coventry</v>
          </cell>
          <cell r="E13622" t="str">
            <v>Further Education</v>
          </cell>
          <cell r="F13622" t="str">
            <v>16 Plus</v>
          </cell>
        </row>
        <row r="13623">
          <cell r="A13623">
            <v>8744078</v>
          </cell>
          <cell r="B13623">
            <v>110879</v>
          </cell>
          <cell r="C13623" t="str">
            <v>Hereward Community College</v>
          </cell>
          <cell r="D13623" t="str">
            <v>Peterborough</v>
          </cell>
          <cell r="E13623" t="str">
            <v>Community School</v>
          </cell>
          <cell r="F13623" t="str">
            <v>Secondary</v>
          </cell>
        </row>
        <row r="13624">
          <cell r="A13624">
            <v>2026179</v>
          </cell>
          <cell r="B13624">
            <v>100069</v>
          </cell>
          <cell r="C13624" t="str">
            <v>Hereward House School</v>
          </cell>
          <cell r="D13624" t="str">
            <v>Camden</v>
          </cell>
          <cell r="E13624" t="str">
            <v>Other Independent School</v>
          </cell>
          <cell r="F13624" t="str">
            <v>Not applicable</v>
          </cell>
        </row>
        <row r="13625">
          <cell r="A13625">
            <v>8812655</v>
          </cell>
          <cell r="B13625">
            <v>114935</v>
          </cell>
          <cell r="C13625" t="str">
            <v>Hereward Primary School</v>
          </cell>
          <cell r="D13625" t="str">
            <v>Essex</v>
          </cell>
          <cell r="E13625" t="str">
            <v>Community School</v>
          </cell>
          <cell r="F13625" t="str">
            <v>Primary</v>
          </cell>
        </row>
        <row r="13626">
          <cell r="A13626">
            <v>8816024</v>
          </cell>
          <cell r="B13626">
            <v>115418</v>
          </cell>
          <cell r="C13626" t="str">
            <v>Herington House School</v>
          </cell>
          <cell r="D13626" t="str">
            <v>Essex</v>
          </cell>
          <cell r="E13626" t="str">
            <v>Other Independent School</v>
          </cell>
          <cell r="F13626" t="str">
            <v>Not applicable</v>
          </cell>
        </row>
        <row r="13627">
          <cell r="A13627">
            <v>8304198</v>
          </cell>
          <cell r="B13627">
            <v>112964</v>
          </cell>
          <cell r="C13627" t="str">
            <v>Heritage High School  A Mathematics and Computing Specialist College</v>
          </cell>
          <cell r="D13627" t="str">
            <v>Derbyshire</v>
          </cell>
          <cell r="E13627" t="str">
            <v>Community School</v>
          </cell>
          <cell r="F13627" t="str">
            <v>Secondary</v>
          </cell>
        </row>
        <row r="13628">
          <cell r="A13628">
            <v>8257018</v>
          </cell>
          <cell r="B13628">
            <v>110582</v>
          </cell>
          <cell r="C13628" t="str">
            <v>Heritage House School</v>
          </cell>
          <cell r="D13628" t="str">
            <v>Buckinghamshire</v>
          </cell>
          <cell r="E13628" t="str">
            <v>Community Special School</v>
          </cell>
          <cell r="F13628" t="str">
            <v>Special</v>
          </cell>
        </row>
        <row r="13629">
          <cell r="A13629">
            <v>3737040</v>
          </cell>
          <cell r="B13629">
            <v>126705</v>
          </cell>
          <cell r="C13629" t="str">
            <v>Heritage Park Community School</v>
          </cell>
          <cell r="D13629" t="str">
            <v>Sheffield</v>
          </cell>
          <cell r="E13629" t="str">
            <v>Community Special School</v>
          </cell>
          <cell r="F13629" t="str">
            <v>Special</v>
          </cell>
        </row>
        <row r="13630">
          <cell r="A13630">
            <v>8742453</v>
          </cell>
          <cell r="B13630">
            <v>131693</v>
          </cell>
          <cell r="C13630" t="str">
            <v>Heritage Park Primary School</v>
          </cell>
          <cell r="D13630" t="str">
            <v>Peterborough</v>
          </cell>
          <cell r="E13630" t="str">
            <v>Community School</v>
          </cell>
          <cell r="F13630" t="str">
            <v>Primary</v>
          </cell>
        </row>
        <row r="13631">
          <cell r="A13631">
            <v>7062017</v>
          </cell>
          <cell r="B13631">
            <v>132490</v>
          </cell>
          <cell r="C13631" t="str">
            <v>Herm School</v>
          </cell>
          <cell r="D13631" t="str">
            <v>Guernsey Offshore Establishments</v>
          </cell>
          <cell r="E13631" t="str">
            <v>Offshore Schools</v>
          </cell>
          <cell r="F13631" t="str">
            <v>Not applicable</v>
          </cell>
        </row>
        <row r="13632">
          <cell r="A13632">
            <v>9262011</v>
          </cell>
          <cell r="B13632">
            <v>134051</v>
          </cell>
          <cell r="C13632" t="str">
            <v>Herman Community Primary School</v>
          </cell>
          <cell r="D13632" t="str">
            <v>Norfolk</v>
          </cell>
          <cell r="E13632" t="str">
            <v>Community School</v>
          </cell>
          <cell r="F13632" t="str">
            <v>Primary</v>
          </cell>
        </row>
        <row r="13633">
          <cell r="A13633">
            <v>9262349</v>
          </cell>
          <cell r="B13633">
            <v>120976</v>
          </cell>
          <cell r="C13633" t="str">
            <v>Herman First School, Gorleston</v>
          </cell>
          <cell r="D13633" t="str">
            <v>Norfolk</v>
          </cell>
          <cell r="E13633" t="str">
            <v>Community School</v>
          </cell>
          <cell r="F13633" t="str">
            <v>Primary</v>
          </cell>
        </row>
        <row r="13634">
          <cell r="A13634">
            <v>9262351</v>
          </cell>
          <cell r="B13634">
            <v>120978</v>
          </cell>
          <cell r="C13634" t="str">
            <v>Herman Middle School, Gorleston</v>
          </cell>
          <cell r="D13634" t="str">
            <v>Norfolk</v>
          </cell>
          <cell r="E13634" t="str">
            <v>Community School</v>
          </cell>
          <cell r="F13634" t="str">
            <v>Middle Deemed Primary</v>
          </cell>
        </row>
        <row r="13635">
          <cell r="A13635">
            <v>2112910</v>
          </cell>
          <cell r="B13635">
            <v>100936</v>
          </cell>
          <cell r="C13635" t="str">
            <v>Hermitage Primary School</v>
          </cell>
          <cell r="D13635" t="str">
            <v>Tower Hamlets</v>
          </cell>
          <cell r="E13635" t="str">
            <v>Community School</v>
          </cell>
          <cell r="F13635" t="str">
            <v>Primary</v>
          </cell>
        </row>
        <row r="13636">
          <cell r="A13636">
            <v>3122061</v>
          </cell>
          <cell r="B13636">
            <v>102405</v>
          </cell>
          <cell r="C13636" t="str">
            <v>Hermitage Primary School</v>
          </cell>
          <cell r="D13636" t="str">
            <v>Hillingdon</v>
          </cell>
          <cell r="E13636" t="str">
            <v>Community School</v>
          </cell>
          <cell r="F13636" t="str">
            <v>Primary</v>
          </cell>
        </row>
        <row r="13637">
          <cell r="A13637">
            <v>8692068</v>
          </cell>
          <cell r="B13637">
            <v>109815</v>
          </cell>
          <cell r="C13637" t="str">
            <v>Hermitage Primary School</v>
          </cell>
          <cell r="D13637" t="str">
            <v>West Berkshire</v>
          </cell>
          <cell r="E13637" t="str">
            <v>Community School</v>
          </cell>
          <cell r="F13637" t="str">
            <v>Primary</v>
          </cell>
        </row>
        <row r="13638">
          <cell r="A13638">
            <v>8952174</v>
          </cell>
          <cell r="B13638">
            <v>111043</v>
          </cell>
          <cell r="C13638" t="str">
            <v>Hermitage Primary School</v>
          </cell>
          <cell r="D13638" t="str">
            <v>Cheshire East</v>
          </cell>
          <cell r="E13638" t="str">
            <v>Community School</v>
          </cell>
          <cell r="F13638" t="str">
            <v>Primary</v>
          </cell>
        </row>
        <row r="13639">
          <cell r="A13639">
            <v>8865448</v>
          </cell>
          <cell r="B13639">
            <v>118920</v>
          </cell>
          <cell r="C13639" t="str">
            <v>Herne Bay High School</v>
          </cell>
          <cell r="D13639" t="str">
            <v>Kent</v>
          </cell>
          <cell r="E13639" t="str">
            <v>Foundation School</v>
          </cell>
          <cell r="F13639" t="str">
            <v>Secondary</v>
          </cell>
        </row>
        <row r="13640">
          <cell r="A13640">
            <v>8865448</v>
          </cell>
          <cell r="B13640">
            <v>136465</v>
          </cell>
          <cell r="C13640" t="str">
            <v>Herne Bay High School</v>
          </cell>
          <cell r="D13640" t="str">
            <v>Kent</v>
          </cell>
          <cell r="E13640" t="str">
            <v>Academy Converters</v>
          </cell>
          <cell r="F13640" t="str">
            <v>Secondary</v>
          </cell>
        </row>
        <row r="13641">
          <cell r="A13641">
            <v>8862263</v>
          </cell>
          <cell r="B13641">
            <v>118359</v>
          </cell>
          <cell r="C13641" t="str">
            <v>Herne Bay Infant School</v>
          </cell>
          <cell r="D13641" t="str">
            <v>Kent</v>
          </cell>
          <cell r="E13641" t="str">
            <v>Community School</v>
          </cell>
          <cell r="F13641" t="str">
            <v>Primary</v>
          </cell>
        </row>
        <row r="13642">
          <cell r="A13642">
            <v>8865206</v>
          </cell>
          <cell r="B13642">
            <v>118852</v>
          </cell>
          <cell r="C13642" t="str">
            <v>Herne Bay Junior School</v>
          </cell>
          <cell r="D13642" t="str">
            <v>Kent</v>
          </cell>
          <cell r="E13642" t="str">
            <v>Foundation School</v>
          </cell>
          <cell r="F13642" t="str">
            <v>Primary</v>
          </cell>
        </row>
        <row r="13643">
          <cell r="A13643">
            <v>8863295</v>
          </cell>
          <cell r="B13643">
            <v>118710</v>
          </cell>
          <cell r="C13643" t="str">
            <v>Herne Church of England Infant School</v>
          </cell>
          <cell r="D13643" t="str">
            <v>Kent</v>
          </cell>
          <cell r="E13643" t="str">
            <v>Voluntary Controlled School</v>
          </cell>
          <cell r="F13643" t="str">
            <v>Primary</v>
          </cell>
        </row>
        <row r="13644">
          <cell r="A13644">
            <v>8863338</v>
          </cell>
          <cell r="B13644">
            <v>118736</v>
          </cell>
          <cell r="C13644" t="str">
            <v>Herne Church of England Junior School</v>
          </cell>
          <cell r="D13644" t="str">
            <v>Kent</v>
          </cell>
          <cell r="E13644" t="str">
            <v>Voluntary Aided School</v>
          </cell>
          <cell r="F13644" t="str">
            <v>Primary</v>
          </cell>
        </row>
        <row r="13645">
          <cell r="A13645">
            <v>2106375</v>
          </cell>
          <cell r="B13645">
            <v>100866</v>
          </cell>
          <cell r="C13645" t="str">
            <v>Herne Hill School</v>
          </cell>
          <cell r="D13645" t="str">
            <v>Southwark</v>
          </cell>
          <cell r="E13645" t="str">
            <v>Other Independent School</v>
          </cell>
          <cell r="F13645" t="str">
            <v>Not applicable</v>
          </cell>
        </row>
        <row r="13646">
          <cell r="A13646">
            <v>8452102</v>
          </cell>
          <cell r="B13646">
            <v>114432</v>
          </cell>
          <cell r="C13646" t="str">
            <v>Herne Junior School</v>
          </cell>
          <cell r="D13646" t="str">
            <v>East Sussex</v>
          </cell>
          <cell r="E13646" t="str">
            <v>Community School</v>
          </cell>
          <cell r="F13646" t="str">
            <v>Primary</v>
          </cell>
        </row>
        <row r="13647">
          <cell r="A13647">
            <v>8502170</v>
          </cell>
          <cell r="B13647">
            <v>115940</v>
          </cell>
          <cell r="C13647" t="str">
            <v>Herne Junior School</v>
          </cell>
          <cell r="D13647" t="str">
            <v>Hampshire</v>
          </cell>
          <cell r="E13647" t="str">
            <v>Community School</v>
          </cell>
          <cell r="F13647" t="str">
            <v>Primary</v>
          </cell>
        </row>
        <row r="13648">
          <cell r="A13648">
            <v>8863109</v>
          </cell>
          <cell r="B13648">
            <v>118647</v>
          </cell>
          <cell r="C13648" t="str">
            <v>Hernhill Church of England Primary School</v>
          </cell>
          <cell r="D13648" t="str">
            <v>Kent</v>
          </cell>
          <cell r="E13648" t="str">
            <v>Voluntary Controlled School</v>
          </cell>
          <cell r="F13648" t="str">
            <v>Primary</v>
          </cell>
        </row>
        <row r="13649">
          <cell r="A13649">
            <v>9344514</v>
          </cell>
          <cell r="B13649">
            <v>129952</v>
          </cell>
          <cell r="C13649" t="str">
            <v>Heron Brook CofE Middle School</v>
          </cell>
          <cell r="D13649" t="str">
            <v>Pre LGR (1997) Staffordshire</v>
          </cell>
          <cell r="E13649" t="str">
            <v>Voluntary Controlled School</v>
          </cell>
          <cell r="F13649" t="str">
            <v>Middle Deemed Secondary</v>
          </cell>
        </row>
        <row r="13650">
          <cell r="A13650">
            <v>8612066</v>
          </cell>
          <cell r="B13650">
            <v>124003</v>
          </cell>
          <cell r="C13650" t="str">
            <v>Heron Cross Primary School</v>
          </cell>
          <cell r="D13650" t="str">
            <v>Stoke-on-Trent</v>
          </cell>
          <cell r="E13650" t="str">
            <v>Community School</v>
          </cell>
          <cell r="F13650" t="str">
            <v>Primary</v>
          </cell>
        </row>
        <row r="13651">
          <cell r="A13651">
            <v>8819902</v>
          </cell>
          <cell r="B13651">
            <v>133224</v>
          </cell>
          <cell r="C13651" t="str">
            <v>Heron Educational Trust</v>
          </cell>
          <cell r="D13651" t="str">
            <v>Essex</v>
          </cell>
          <cell r="E13651" t="str">
            <v>Miscellaneous</v>
          </cell>
          <cell r="F13651" t="str">
            <v>Not applicable</v>
          </cell>
        </row>
        <row r="13652">
          <cell r="A13652">
            <v>9092321</v>
          </cell>
          <cell r="B13652">
            <v>112190</v>
          </cell>
          <cell r="C13652" t="str">
            <v>Heron Hill Primary School</v>
          </cell>
          <cell r="D13652" t="str">
            <v>Cumbria</v>
          </cell>
          <cell r="E13652" t="str">
            <v>Community School</v>
          </cell>
          <cell r="F13652" t="str">
            <v>Primary</v>
          </cell>
        </row>
        <row r="13653">
          <cell r="A13653">
            <v>8452000</v>
          </cell>
          <cell r="B13653">
            <v>137105</v>
          </cell>
          <cell r="C13653" t="str">
            <v>Heron Park Community Primary School</v>
          </cell>
          <cell r="D13653" t="str">
            <v>East Sussex</v>
          </cell>
          <cell r="E13653" t="str">
            <v>Community School</v>
          </cell>
          <cell r="F13653" t="str">
            <v>Primary</v>
          </cell>
        </row>
        <row r="13654">
          <cell r="A13654">
            <v>9165219</v>
          </cell>
          <cell r="B13654">
            <v>115749</v>
          </cell>
          <cell r="C13654" t="str">
            <v>Heron Primary School</v>
          </cell>
          <cell r="D13654" t="str">
            <v>Gloucestershire</v>
          </cell>
          <cell r="E13654" t="str">
            <v>Foundation School</v>
          </cell>
          <cell r="F13654" t="str">
            <v>Primary</v>
          </cell>
        </row>
        <row r="13655">
          <cell r="A13655">
            <v>9382133</v>
          </cell>
          <cell r="B13655">
            <v>125887</v>
          </cell>
          <cell r="C13655" t="str">
            <v>Heron Way Primary School</v>
          </cell>
          <cell r="D13655" t="str">
            <v>West Sussex</v>
          </cell>
          <cell r="E13655" t="str">
            <v>Community School</v>
          </cell>
          <cell r="F13655" t="str">
            <v>Primary</v>
          </cell>
        </row>
        <row r="13656">
          <cell r="A13656">
            <v>9387021</v>
          </cell>
          <cell r="B13656">
            <v>126169</v>
          </cell>
          <cell r="C13656" t="str">
            <v>Herons Dale School</v>
          </cell>
          <cell r="D13656" t="str">
            <v>West Sussex</v>
          </cell>
          <cell r="E13656" t="str">
            <v>Community Special School</v>
          </cell>
          <cell r="F13656" t="str">
            <v>Special</v>
          </cell>
        </row>
        <row r="13657">
          <cell r="A13657">
            <v>8023451</v>
          </cell>
          <cell r="B13657">
            <v>133985</v>
          </cell>
          <cell r="C13657" t="str">
            <v>Herons Moor Community Primary School</v>
          </cell>
          <cell r="D13657" t="str">
            <v>North Somerset</v>
          </cell>
          <cell r="E13657" t="str">
            <v>Community School</v>
          </cell>
          <cell r="F13657" t="str">
            <v>Primary</v>
          </cell>
        </row>
        <row r="13658">
          <cell r="A13658">
            <v>6727003</v>
          </cell>
          <cell r="B13658">
            <v>401914</v>
          </cell>
          <cell r="C13658" t="str">
            <v>Heronsbridge  School</v>
          </cell>
          <cell r="D13658" t="str">
            <v>Bridgend</v>
          </cell>
          <cell r="E13658" t="str">
            <v>Welsh Establishment</v>
          </cell>
          <cell r="F13658" t="str">
            <v>Not applicable</v>
          </cell>
        </row>
        <row r="13659">
          <cell r="A13659">
            <v>2032900</v>
          </cell>
          <cell r="B13659">
            <v>100158</v>
          </cell>
          <cell r="C13659" t="str">
            <v>Heronsgate Primary School</v>
          </cell>
          <cell r="D13659" t="str">
            <v>Greenwich</v>
          </cell>
          <cell r="E13659" t="str">
            <v>Community School</v>
          </cell>
          <cell r="F13659" t="str">
            <v>Primary</v>
          </cell>
        </row>
        <row r="13660">
          <cell r="A13660">
            <v>8262331</v>
          </cell>
          <cell r="B13660">
            <v>110389</v>
          </cell>
          <cell r="C13660" t="str">
            <v>Heronsgate School</v>
          </cell>
          <cell r="D13660" t="str">
            <v>Milton Keynes</v>
          </cell>
          <cell r="E13660" t="str">
            <v>Community School</v>
          </cell>
          <cell r="F13660" t="str">
            <v>Primary</v>
          </cell>
        </row>
        <row r="13661">
          <cell r="A13661">
            <v>8262349</v>
          </cell>
          <cell r="B13661">
            <v>130953</v>
          </cell>
          <cell r="C13661" t="str">
            <v>Heronshaw School</v>
          </cell>
          <cell r="D13661" t="str">
            <v>Milton Keynes</v>
          </cell>
          <cell r="E13661" t="str">
            <v>Community School</v>
          </cell>
          <cell r="F13661" t="str">
            <v>Primary</v>
          </cell>
        </row>
        <row r="13662">
          <cell r="A13662">
            <v>8852912</v>
          </cell>
          <cell r="B13662">
            <v>135053</v>
          </cell>
          <cell r="C13662" t="str">
            <v>Heronswood Primary School</v>
          </cell>
          <cell r="D13662" t="str">
            <v>Worcestershire</v>
          </cell>
          <cell r="E13662" t="str">
            <v>Community School</v>
          </cell>
          <cell r="F13662" t="str">
            <v>Primary</v>
          </cell>
        </row>
        <row r="13663">
          <cell r="A13663">
            <v>9242301</v>
          </cell>
          <cell r="B13663">
            <v>129528</v>
          </cell>
          <cell r="C13663" t="str">
            <v>Herrick County Infant School</v>
          </cell>
          <cell r="D13663" t="str">
            <v>Pre LGR (1997) Leicestershire</v>
          </cell>
          <cell r="E13663" t="str">
            <v>Community School</v>
          </cell>
          <cell r="F13663" t="str">
            <v>Primary</v>
          </cell>
        </row>
        <row r="13664">
          <cell r="A13664">
            <v>9242302</v>
          </cell>
          <cell r="B13664">
            <v>129529</v>
          </cell>
          <cell r="C13664" t="str">
            <v>Herrick County Junior School</v>
          </cell>
          <cell r="D13664" t="str">
            <v>Pre LGR (1997) Leicestershire</v>
          </cell>
          <cell r="E13664" t="str">
            <v>Community School</v>
          </cell>
          <cell r="F13664" t="str">
            <v>Primary</v>
          </cell>
        </row>
        <row r="13665">
          <cell r="A13665">
            <v>8562377</v>
          </cell>
          <cell r="B13665">
            <v>120100</v>
          </cell>
          <cell r="C13665" t="str">
            <v>Herrick Primary School</v>
          </cell>
          <cell r="D13665" t="str">
            <v>Leicester</v>
          </cell>
          <cell r="E13665" t="str">
            <v>Community School</v>
          </cell>
          <cell r="F13665" t="str">
            <v>Primary</v>
          </cell>
        </row>
        <row r="13666">
          <cell r="A13666">
            <v>8686003</v>
          </cell>
          <cell r="B13666">
            <v>110124</v>
          </cell>
          <cell r="C13666" t="str">
            <v>Herries School</v>
          </cell>
          <cell r="D13666" t="str">
            <v>Windsor and Maidenhead</v>
          </cell>
          <cell r="E13666" t="str">
            <v>Other Independent School</v>
          </cell>
          <cell r="F13666" t="str">
            <v>Not applicable</v>
          </cell>
        </row>
        <row r="13667">
          <cell r="A13667">
            <v>8832982</v>
          </cell>
          <cell r="B13667">
            <v>115055</v>
          </cell>
          <cell r="C13667" t="str">
            <v>Herringham Junior Community School</v>
          </cell>
          <cell r="D13667" t="str">
            <v>Thurrock</v>
          </cell>
          <cell r="E13667" t="str">
            <v>Community School</v>
          </cell>
          <cell r="F13667" t="str">
            <v>Primary</v>
          </cell>
        </row>
        <row r="13668">
          <cell r="A13668">
            <v>8832644</v>
          </cell>
          <cell r="B13668">
            <v>114931</v>
          </cell>
          <cell r="C13668" t="str">
            <v>Herringham Primary School</v>
          </cell>
          <cell r="D13668" t="str">
            <v>Thurrock</v>
          </cell>
          <cell r="E13668" t="str">
            <v>Community School</v>
          </cell>
          <cell r="F13668" t="str">
            <v>Primary</v>
          </cell>
        </row>
        <row r="13669">
          <cell r="A13669">
            <v>3722034</v>
          </cell>
          <cell r="B13669">
            <v>106851</v>
          </cell>
          <cell r="C13669" t="str">
            <v>Herringthorpe Infant School</v>
          </cell>
          <cell r="D13669" t="str">
            <v>Rotherham</v>
          </cell>
          <cell r="E13669" t="str">
            <v>Community School</v>
          </cell>
          <cell r="F13669" t="str">
            <v>Primary</v>
          </cell>
        </row>
        <row r="13670">
          <cell r="A13670">
            <v>3722017</v>
          </cell>
          <cell r="B13670">
            <v>106840</v>
          </cell>
          <cell r="C13670" t="str">
            <v>Herringthorpe Junior School</v>
          </cell>
          <cell r="D13670" t="str">
            <v>Rotherham</v>
          </cell>
          <cell r="E13670" t="str">
            <v>Community School</v>
          </cell>
          <cell r="F13670" t="str">
            <v>Primary</v>
          </cell>
        </row>
        <row r="13671">
          <cell r="A13671">
            <v>8715407</v>
          </cell>
          <cell r="B13671">
            <v>110103</v>
          </cell>
          <cell r="C13671" t="str">
            <v>Herschel Grammar School</v>
          </cell>
          <cell r="D13671" t="str">
            <v>Slough</v>
          </cell>
          <cell r="E13671" t="str">
            <v>Foundation School</v>
          </cell>
          <cell r="F13671" t="str">
            <v>Secondary</v>
          </cell>
        </row>
        <row r="13672">
          <cell r="A13672">
            <v>8862261</v>
          </cell>
          <cell r="B13672">
            <v>118358</v>
          </cell>
          <cell r="C13672" t="str">
            <v>Hersden Community Primary School</v>
          </cell>
          <cell r="D13672" t="str">
            <v>Kent</v>
          </cell>
          <cell r="E13672" t="str">
            <v>Community School</v>
          </cell>
          <cell r="F13672" t="str">
            <v>Primary</v>
          </cell>
        </row>
        <row r="13673">
          <cell r="A13673">
            <v>9361111</v>
          </cell>
          <cell r="B13673">
            <v>124926</v>
          </cell>
          <cell r="C13673" t="str">
            <v>Hersham Centre C O Drill Hall</v>
          </cell>
          <cell r="D13673" t="str">
            <v>Surrey</v>
          </cell>
          <cell r="E13673" t="str">
            <v>Pupil Referral Unit</v>
          </cell>
          <cell r="F13673" t="str">
            <v>PRU</v>
          </cell>
        </row>
        <row r="13674">
          <cell r="A13674">
            <v>8453032</v>
          </cell>
          <cell r="B13674">
            <v>114506</v>
          </cell>
          <cell r="C13674" t="str">
            <v>Herstmonceux Church of England Primary School</v>
          </cell>
          <cell r="D13674" t="str">
            <v>East Sussex</v>
          </cell>
          <cell r="E13674" t="str">
            <v>Voluntary Controlled School</v>
          </cell>
          <cell r="F13674" t="str">
            <v>Primary</v>
          </cell>
        </row>
        <row r="13675">
          <cell r="A13675">
            <v>9192072</v>
          </cell>
          <cell r="B13675">
            <v>117125</v>
          </cell>
          <cell r="C13675" t="str">
            <v>Hertford Heath Primary and Nursery School</v>
          </cell>
          <cell r="D13675" t="str">
            <v>Hertfordshire</v>
          </cell>
          <cell r="E13675" t="str">
            <v>Community School</v>
          </cell>
          <cell r="F13675" t="str">
            <v>Primary</v>
          </cell>
        </row>
        <row r="13676">
          <cell r="A13676">
            <v>8462017</v>
          </cell>
          <cell r="B13676">
            <v>114368</v>
          </cell>
          <cell r="C13676" t="str">
            <v>Hertford Infant School</v>
          </cell>
          <cell r="D13676" t="str">
            <v>Brighton and Hove</v>
          </cell>
          <cell r="E13676" t="str">
            <v>Community School</v>
          </cell>
          <cell r="F13676" t="str">
            <v>Primary</v>
          </cell>
        </row>
        <row r="13677">
          <cell r="A13677">
            <v>8462043</v>
          </cell>
          <cell r="B13677">
            <v>114383</v>
          </cell>
          <cell r="C13677" t="str">
            <v>Hertford Junior School</v>
          </cell>
          <cell r="D13677" t="str">
            <v>Brighton and Hove</v>
          </cell>
          <cell r="E13677" t="str">
            <v>Community School</v>
          </cell>
          <cell r="F13677" t="str">
            <v>Primary</v>
          </cell>
        </row>
        <row r="13678">
          <cell r="A13678">
            <v>9198021</v>
          </cell>
          <cell r="B13678">
            <v>130722</v>
          </cell>
          <cell r="C13678" t="str">
            <v>Hertford Regional College</v>
          </cell>
          <cell r="D13678" t="str">
            <v>Hertfordshire</v>
          </cell>
          <cell r="E13678" t="str">
            <v>Further Education</v>
          </cell>
          <cell r="F13678" t="str">
            <v>16 Plus</v>
          </cell>
        </row>
        <row r="13679">
          <cell r="A13679">
            <v>9193025</v>
          </cell>
          <cell r="B13679">
            <v>117397</v>
          </cell>
          <cell r="C13679" t="str">
            <v>Hertford St Andrew CofE Primary School</v>
          </cell>
          <cell r="D13679" t="str">
            <v>Hertfordshire</v>
          </cell>
          <cell r="E13679" t="str">
            <v>Voluntary Controlled School</v>
          </cell>
          <cell r="F13679" t="str">
            <v>Primary</v>
          </cell>
        </row>
        <row r="13680">
          <cell r="A13680">
            <v>8153155</v>
          </cell>
          <cell r="B13680">
            <v>121534</v>
          </cell>
          <cell r="C13680" t="str">
            <v>Hertford Vale Church of England Voluntary Controlled Primary School, Staxton</v>
          </cell>
          <cell r="D13680" t="str">
            <v>North Yorkshire</v>
          </cell>
          <cell r="E13680" t="str">
            <v>Voluntary Controlled School</v>
          </cell>
          <cell r="F13680" t="str">
            <v>Primary</v>
          </cell>
        </row>
        <row r="13681">
          <cell r="A13681">
            <v>9191103</v>
          </cell>
          <cell r="B13681">
            <v>130347</v>
          </cell>
          <cell r="C13681" t="str">
            <v>Hertford, Ware and Bishop's Stortford Area Pupil Referral Unit</v>
          </cell>
          <cell r="D13681" t="str">
            <v>Hertfordshire</v>
          </cell>
          <cell r="E13681" t="str">
            <v>Pupil Referral Unit</v>
          </cell>
          <cell r="F13681" t="str">
            <v>PRU</v>
          </cell>
        </row>
        <row r="13682">
          <cell r="A13682">
            <v>9195203</v>
          </cell>
          <cell r="B13682">
            <v>117563</v>
          </cell>
          <cell r="C13682" t="str">
            <v>Hertingfordbury Cowper Primary School</v>
          </cell>
          <cell r="D13682" t="str">
            <v>Hertfordshire</v>
          </cell>
          <cell r="E13682" t="str">
            <v>Voluntary Aided School</v>
          </cell>
          <cell r="F13682" t="str">
            <v>Primary</v>
          </cell>
        </row>
        <row r="13683">
          <cell r="A13683">
            <v>9196240</v>
          </cell>
          <cell r="B13683">
            <v>131651</v>
          </cell>
          <cell r="C13683" t="str">
            <v>Hertsmere Jewish Primary School</v>
          </cell>
          <cell r="D13683" t="str">
            <v>Hertfordshire</v>
          </cell>
          <cell r="E13683" t="str">
            <v>Other Independent School</v>
          </cell>
          <cell r="F13683" t="str">
            <v>Not applicable</v>
          </cell>
        </row>
        <row r="13684">
          <cell r="A13684">
            <v>9193304</v>
          </cell>
          <cell r="B13684">
            <v>131955</v>
          </cell>
          <cell r="C13684" t="str">
            <v>Hertsmere Jewish Primary School</v>
          </cell>
          <cell r="D13684" t="str">
            <v>Hertfordshire</v>
          </cell>
          <cell r="E13684" t="str">
            <v>Voluntary Aided School</v>
          </cell>
          <cell r="F13684" t="str">
            <v>Primary</v>
          </cell>
        </row>
        <row r="13685">
          <cell r="A13685">
            <v>9194001</v>
          </cell>
          <cell r="B13685">
            <v>131971</v>
          </cell>
          <cell r="C13685" t="str">
            <v>Hertswood School</v>
          </cell>
          <cell r="D13685" t="str">
            <v>Hertfordshire</v>
          </cell>
          <cell r="E13685" t="str">
            <v>Community School</v>
          </cell>
          <cell r="F13685" t="str">
            <v>Secondary</v>
          </cell>
        </row>
        <row r="13686">
          <cell r="A13686">
            <v>9156054</v>
          </cell>
          <cell r="B13686">
            <v>128914</v>
          </cell>
          <cell r="C13686" t="str">
            <v>Herzlia Day School</v>
          </cell>
          <cell r="D13686" t="str">
            <v>Pre LGR (1998) Essex</v>
          </cell>
          <cell r="E13686" t="str">
            <v>Other Independent School</v>
          </cell>
          <cell r="F13686" t="str">
            <v>Not applicable</v>
          </cell>
        </row>
        <row r="13687">
          <cell r="A13687">
            <v>3594612</v>
          </cell>
          <cell r="B13687">
            <v>106536</v>
          </cell>
          <cell r="C13687" t="str">
            <v>Hesketh Fletcher CofE High School, Atherton</v>
          </cell>
          <cell r="D13687" t="str">
            <v>Wigan</v>
          </cell>
          <cell r="E13687" t="str">
            <v>Voluntary Aided School</v>
          </cell>
          <cell r="F13687" t="str">
            <v>Secondary</v>
          </cell>
        </row>
        <row r="13688">
          <cell r="A13688">
            <v>8883581</v>
          </cell>
          <cell r="B13688">
            <v>119566</v>
          </cell>
          <cell r="C13688" t="str">
            <v>Hesketh-with-Becconsall All Saints CofE School</v>
          </cell>
          <cell r="D13688" t="str">
            <v>Lancashire</v>
          </cell>
          <cell r="E13688" t="str">
            <v>Voluntary Aided School</v>
          </cell>
          <cell r="F13688" t="str">
            <v>Primary</v>
          </cell>
        </row>
        <row r="13689">
          <cell r="A13689">
            <v>9092031</v>
          </cell>
          <cell r="B13689">
            <v>128568</v>
          </cell>
          <cell r="C13689" t="str">
            <v>Hesket-Newmarket School</v>
          </cell>
          <cell r="D13689" t="str">
            <v>Cumbria</v>
          </cell>
          <cell r="E13689" t="str">
            <v>Community School</v>
          </cell>
          <cell r="F13689" t="str">
            <v>Primary</v>
          </cell>
        </row>
        <row r="13690">
          <cell r="A13690">
            <v>8883409</v>
          </cell>
          <cell r="B13690">
            <v>119475</v>
          </cell>
          <cell r="C13690" t="str">
            <v>Heskin Pemberton's Church of England Primary School</v>
          </cell>
          <cell r="D13690" t="str">
            <v>Lancashire</v>
          </cell>
          <cell r="E13690" t="str">
            <v>Voluntary Aided School</v>
          </cell>
          <cell r="F13690" t="str">
            <v>Primary</v>
          </cell>
        </row>
        <row r="13691">
          <cell r="A13691">
            <v>8402509</v>
          </cell>
          <cell r="B13691">
            <v>114143</v>
          </cell>
          <cell r="C13691" t="str">
            <v>Hesleden Primary School</v>
          </cell>
          <cell r="D13691" t="str">
            <v>Durham</v>
          </cell>
          <cell r="E13691" t="str">
            <v>Community School</v>
          </cell>
          <cell r="F13691" t="str">
            <v>Primary</v>
          </cell>
        </row>
        <row r="13692">
          <cell r="A13692">
            <v>3716004</v>
          </cell>
          <cell r="B13692">
            <v>106813</v>
          </cell>
          <cell r="C13692" t="str">
            <v>Hesley Hall School</v>
          </cell>
          <cell r="D13692" t="str">
            <v>Doncaster</v>
          </cell>
          <cell r="E13692" t="str">
            <v>Other Independent School</v>
          </cell>
          <cell r="F13692" t="str">
            <v>Not applicable</v>
          </cell>
        </row>
        <row r="13693">
          <cell r="A13693">
            <v>8114053</v>
          </cell>
          <cell r="B13693">
            <v>118074</v>
          </cell>
          <cell r="C13693" t="str">
            <v>Hessle High School</v>
          </cell>
          <cell r="D13693" t="str">
            <v>East Riding of Yorkshire</v>
          </cell>
          <cell r="E13693" t="str">
            <v>Community School</v>
          </cell>
          <cell r="F13693" t="str">
            <v>Secondary</v>
          </cell>
        </row>
        <row r="13694">
          <cell r="A13694">
            <v>8114053</v>
          </cell>
          <cell r="B13694">
            <v>137306</v>
          </cell>
          <cell r="C13694" t="str">
            <v>Hessle High School and Sixth Form College</v>
          </cell>
          <cell r="D13694" t="str">
            <v>East Riding of Yorkshire</v>
          </cell>
          <cell r="E13694" t="str">
            <v>Academy Converters</v>
          </cell>
          <cell r="F13694" t="str">
            <v>Secondary</v>
          </cell>
        </row>
        <row r="13695">
          <cell r="A13695">
            <v>8116001</v>
          </cell>
          <cell r="B13695">
            <v>118127</v>
          </cell>
          <cell r="C13695" t="str">
            <v>Hessle Mount School</v>
          </cell>
          <cell r="D13695" t="str">
            <v>East Riding of Yorkshire</v>
          </cell>
          <cell r="E13695" t="str">
            <v>Other Independent School</v>
          </cell>
          <cell r="F13695" t="str">
            <v>Not applicable</v>
          </cell>
        </row>
        <row r="13696">
          <cell r="A13696">
            <v>8112729</v>
          </cell>
          <cell r="B13696">
            <v>117849</v>
          </cell>
          <cell r="C13696" t="str">
            <v>Hessle Penshurst Primary School</v>
          </cell>
          <cell r="D13696" t="str">
            <v>East Riding of Yorkshire</v>
          </cell>
          <cell r="E13696" t="str">
            <v>Community School</v>
          </cell>
          <cell r="F13696" t="str">
            <v>Primary</v>
          </cell>
        </row>
        <row r="13697">
          <cell r="A13697">
            <v>8112729</v>
          </cell>
          <cell r="B13697">
            <v>137307</v>
          </cell>
          <cell r="C13697" t="str">
            <v>Hessle Penshurst Primary School</v>
          </cell>
          <cell r="D13697" t="str">
            <v>East Riding of Yorkshire</v>
          </cell>
          <cell r="E13697" t="str">
            <v>Academy Converters</v>
          </cell>
          <cell r="F13697" t="str">
            <v>Primary</v>
          </cell>
        </row>
        <row r="13698">
          <cell r="A13698">
            <v>9162162</v>
          </cell>
          <cell r="B13698">
            <v>115596</v>
          </cell>
          <cell r="C13698" t="str">
            <v>Hesters Way Infants' School</v>
          </cell>
          <cell r="D13698" t="str">
            <v>Gloucestershire</v>
          </cell>
          <cell r="E13698" t="str">
            <v>Community School</v>
          </cell>
          <cell r="F13698" t="str">
            <v>Primary</v>
          </cell>
        </row>
        <row r="13699">
          <cell r="A13699">
            <v>9162161</v>
          </cell>
          <cell r="B13699">
            <v>115595</v>
          </cell>
          <cell r="C13699" t="str">
            <v>Hesters Way Junior School</v>
          </cell>
          <cell r="D13699" t="str">
            <v>Gloucestershire</v>
          </cell>
          <cell r="E13699" t="str">
            <v>Community School</v>
          </cell>
          <cell r="F13699" t="str">
            <v>Primary</v>
          </cell>
        </row>
        <row r="13700">
          <cell r="A13700">
            <v>9162178</v>
          </cell>
          <cell r="B13700">
            <v>131250</v>
          </cell>
          <cell r="C13700" t="str">
            <v>Hesters Way Primary School</v>
          </cell>
          <cell r="D13700" t="str">
            <v>Gloucestershire</v>
          </cell>
          <cell r="E13700" t="str">
            <v>Community School</v>
          </cell>
          <cell r="F13700" t="str">
            <v>Primary</v>
          </cell>
        </row>
        <row r="13701">
          <cell r="A13701">
            <v>3134026</v>
          </cell>
          <cell r="B13701">
            <v>102537</v>
          </cell>
          <cell r="C13701" t="str">
            <v>Heston Community School</v>
          </cell>
          <cell r="D13701" t="str">
            <v>Hounslow</v>
          </cell>
          <cell r="E13701" t="str">
            <v>Foundation School</v>
          </cell>
          <cell r="F13701" t="str">
            <v>Secondary</v>
          </cell>
        </row>
        <row r="13702">
          <cell r="A13702">
            <v>3132026</v>
          </cell>
          <cell r="B13702">
            <v>102488</v>
          </cell>
          <cell r="C13702" t="str">
            <v>Heston Infant and Nursery School</v>
          </cell>
          <cell r="D13702" t="str">
            <v>Hounslow</v>
          </cell>
          <cell r="E13702" t="str">
            <v>Community School</v>
          </cell>
          <cell r="F13702" t="str">
            <v>Primary</v>
          </cell>
        </row>
        <row r="13703">
          <cell r="A13703">
            <v>3132025</v>
          </cell>
          <cell r="B13703">
            <v>102487</v>
          </cell>
          <cell r="C13703" t="str">
            <v>Heston Junior School</v>
          </cell>
          <cell r="D13703" t="str">
            <v>Hounslow</v>
          </cell>
          <cell r="E13703" t="str">
            <v>Community School</v>
          </cell>
          <cell r="F13703" t="str">
            <v>Primary</v>
          </cell>
        </row>
        <row r="13704">
          <cell r="A13704">
            <v>3133944</v>
          </cell>
          <cell r="B13704">
            <v>136191</v>
          </cell>
          <cell r="C13704" t="str">
            <v>Heston Primary School</v>
          </cell>
          <cell r="D13704" t="str">
            <v>Hounslow</v>
          </cell>
          <cell r="E13704" t="str">
            <v>Community School</v>
          </cell>
          <cell r="F13704" t="str">
            <v>Primary</v>
          </cell>
        </row>
        <row r="13705">
          <cell r="A13705">
            <v>3137001</v>
          </cell>
          <cell r="B13705">
            <v>126947</v>
          </cell>
          <cell r="C13705" t="str">
            <v>Heston School for the Deaf C.O. Heston Secondary School</v>
          </cell>
          <cell r="D13705" t="str">
            <v>Hounslow</v>
          </cell>
          <cell r="E13705" t="str">
            <v>Community Special School</v>
          </cell>
          <cell r="F13705" t="str">
            <v>Special</v>
          </cell>
        </row>
        <row r="13706">
          <cell r="A13706">
            <v>3446028</v>
          </cell>
          <cell r="B13706">
            <v>105126</v>
          </cell>
          <cell r="C13706" t="str">
            <v>Heswall Preparatory School</v>
          </cell>
          <cell r="D13706" t="str">
            <v>Wirral</v>
          </cell>
          <cell r="E13706" t="str">
            <v>Other Independent School</v>
          </cell>
          <cell r="F13706" t="str">
            <v>Not applicable</v>
          </cell>
        </row>
        <row r="13707">
          <cell r="A13707">
            <v>3442250</v>
          </cell>
          <cell r="B13707">
            <v>105038</v>
          </cell>
          <cell r="C13707" t="str">
            <v>Heswall Primary School</v>
          </cell>
          <cell r="D13707" t="str">
            <v>Wirral</v>
          </cell>
          <cell r="E13707" t="str">
            <v>Community School</v>
          </cell>
          <cell r="F13707" t="str">
            <v>Primary</v>
          </cell>
        </row>
        <row r="13708">
          <cell r="A13708">
            <v>3443352</v>
          </cell>
          <cell r="B13708">
            <v>105079</v>
          </cell>
          <cell r="C13708" t="str">
            <v>Heswall St Peter's CofE Primary School</v>
          </cell>
          <cell r="D13708" t="str">
            <v>Wirral</v>
          </cell>
          <cell r="E13708" t="str">
            <v>Voluntary Aided School</v>
          </cell>
          <cell r="F13708" t="str">
            <v>Primary</v>
          </cell>
        </row>
        <row r="13709">
          <cell r="A13709">
            <v>9264082</v>
          </cell>
          <cell r="B13709">
            <v>121179</v>
          </cell>
          <cell r="C13709" t="str">
            <v>Hethersett High School and Science College</v>
          </cell>
          <cell r="D13709" t="str">
            <v>Norfolk</v>
          </cell>
          <cell r="E13709" t="str">
            <v>Community School</v>
          </cell>
          <cell r="F13709" t="str">
            <v>Secondary</v>
          </cell>
        </row>
        <row r="13710">
          <cell r="A13710">
            <v>9386268</v>
          </cell>
          <cell r="B13710">
            <v>131586</v>
          </cell>
          <cell r="C13710" t="str">
            <v>Hethersett Montessori Primary</v>
          </cell>
          <cell r="D13710" t="str">
            <v>West Sussex</v>
          </cell>
          <cell r="E13710" t="str">
            <v>Other Independent School</v>
          </cell>
          <cell r="F13710" t="str">
            <v>Not applicable</v>
          </cell>
        </row>
        <row r="13711">
          <cell r="A13711">
            <v>9266029</v>
          </cell>
          <cell r="B13711">
            <v>121227</v>
          </cell>
          <cell r="C13711" t="str">
            <v>Hethersett Old Hall School</v>
          </cell>
          <cell r="D13711" t="str">
            <v>Norfolk</v>
          </cell>
          <cell r="E13711" t="str">
            <v>Other Independent School</v>
          </cell>
          <cell r="F13711" t="str">
            <v>Not applicable</v>
          </cell>
        </row>
        <row r="13712">
          <cell r="A13712">
            <v>9263043</v>
          </cell>
          <cell r="B13712">
            <v>121042</v>
          </cell>
          <cell r="C13712" t="str">
            <v>Hethersett VC Junior School</v>
          </cell>
          <cell r="D13712" t="str">
            <v>Norfolk</v>
          </cell>
          <cell r="E13712" t="str">
            <v>Voluntary Controlled School</v>
          </cell>
          <cell r="F13712" t="str">
            <v>Primary</v>
          </cell>
        </row>
        <row r="13713">
          <cell r="A13713">
            <v>9262274</v>
          </cell>
          <cell r="B13713">
            <v>120918</v>
          </cell>
          <cell r="C13713" t="str">
            <v>Hethersett, Woodside Infant &amp; Nursery School</v>
          </cell>
          <cell r="D13713" t="str">
            <v>Norfolk</v>
          </cell>
          <cell r="E13713" t="str">
            <v>Community School</v>
          </cell>
          <cell r="F13713" t="str">
            <v>Primary</v>
          </cell>
        </row>
        <row r="13714">
          <cell r="A13714">
            <v>3941008</v>
          </cell>
          <cell r="B13714">
            <v>108750</v>
          </cell>
          <cell r="C13714" t="str">
            <v>Hetton Lyons Nursery School</v>
          </cell>
          <cell r="D13714" t="str">
            <v>Sunderland</v>
          </cell>
          <cell r="E13714" t="str">
            <v>LA Nursery School</v>
          </cell>
          <cell r="F13714" t="str">
            <v>Nursery</v>
          </cell>
        </row>
        <row r="13715">
          <cell r="A13715">
            <v>3942112</v>
          </cell>
          <cell r="B13715">
            <v>108797</v>
          </cell>
          <cell r="C13715" t="str">
            <v>Hetton Lyons Primary School</v>
          </cell>
          <cell r="D13715" t="str">
            <v>Sunderland</v>
          </cell>
          <cell r="E13715" t="str">
            <v>Community School</v>
          </cell>
          <cell r="F13715" t="str">
            <v>Primary</v>
          </cell>
        </row>
        <row r="13716">
          <cell r="A13716">
            <v>3942126</v>
          </cell>
          <cell r="B13716">
            <v>108803</v>
          </cell>
          <cell r="C13716" t="str">
            <v>Hetton Primary School</v>
          </cell>
          <cell r="D13716" t="str">
            <v>Sunderland</v>
          </cell>
          <cell r="E13716" t="str">
            <v>Community School</v>
          </cell>
          <cell r="F13716" t="str">
            <v>Primary</v>
          </cell>
        </row>
        <row r="13717">
          <cell r="A13717">
            <v>3944059</v>
          </cell>
          <cell r="B13717">
            <v>108862</v>
          </cell>
          <cell r="C13717" t="str">
            <v>Hetton School</v>
          </cell>
          <cell r="D13717" t="str">
            <v>Sunderland</v>
          </cell>
          <cell r="E13717" t="str">
            <v>Community School</v>
          </cell>
          <cell r="F13717" t="str">
            <v>Secondary</v>
          </cell>
        </row>
        <row r="13718">
          <cell r="A13718">
            <v>3941005</v>
          </cell>
          <cell r="B13718">
            <v>108747</v>
          </cell>
          <cell r="C13718" t="str">
            <v>Hetton-le-Hole Nursery School</v>
          </cell>
          <cell r="D13718" t="str">
            <v>Sunderland</v>
          </cell>
          <cell r="E13718" t="str">
            <v>LA Nursery School</v>
          </cell>
          <cell r="F13718" t="str">
            <v>Nursery</v>
          </cell>
        </row>
        <row r="13719">
          <cell r="A13719">
            <v>8912174</v>
          </cell>
          <cell r="B13719">
            <v>122496</v>
          </cell>
          <cell r="C13719" t="str">
            <v>Hetts Lane Infant and Nursery School</v>
          </cell>
          <cell r="D13719" t="str">
            <v>Nottinghamshire</v>
          </cell>
          <cell r="E13719" t="str">
            <v>Community School</v>
          </cell>
          <cell r="F13719" t="str">
            <v>Primary</v>
          </cell>
        </row>
        <row r="13720">
          <cell r="A13720">
            <v>6632236</v>
          </cell>
          <cell r="B13720">
            <v>400298</v>
          </cell>
          <cell r="C13720" t="str">
            <v>Heulfre Junior School</v>
          </cell>
          <cell r="D13720" t="str">
            <v>Denbighshire</v>
          </cell>
          <cell r="E13720" t="str">
            <v>Welsh Establishment</v>
          </cell>
          <cell r="F13720" t="str">
            <v>Primary</v>
          </cell>
        </row>
        <row r="13721">
          <cell r="A13721">
            <v>8863312</v>
          </cell>
          <cell r="B13721">
            <v>118718</v>
          </cell>
          <cell r="C13721" t="str">
            <v>Hever Church of England Voluntary Aided Primary School</v>
          </cell>
          <cell r="D13721" t="str">
            <v>Kent</v>
          </cell>
          <cell r="E13721" t="str">
            <v>Voluntary Aided School</v>
          </cell>
          <cell r="F13721" t="str">
            <v>Primary</v>
          </cell>
        </row>
        <row r="13722">
          <cell r="A13722">
            <v>9095214</v>
          </cell>
          <cell r="B13722">
            <v>112416</v>
          </cell>
          <cell r="C13722" t="str">
            <v>Heversham St Peter's CofE Primary School</v>
          </cell>
          <cell r="D13722" t="str">
            <v>Cumbria</v>
          </cell>
          <cell r="E13722" t="str">
            <v>Voluntary Aided School</v>
          </cell>
          <cell r="F13722" t="str">
            <v>Primary</v>
          </cell>
        </row>
        <row r="13723">
          <cell r="A13723">
            <v>9262081</v>
          </cell>
          <cell r="B13723">
            <v>120817</v>
          </cell>
          <cell r="C13723" t="str">
            <v>Hevingham Primary School</v>
          </cell>
          <cell r="D13723" t="str">
            <v>Norfolk</v>
          </cell>
          <cell r="E13723" t="str">
            <v>Community School</v>
          </cell>
          <cell r="F13723" t="str">
            <v>Primary</v>
          </cell>
        </row>
        <row r="13724">
          <cell r="A13724">
            <v>3907004</v>
          </cell>
          <cell r="B13724">
            <v>108424</v>
          </cell>
          <cell r="C13724" t="str">
            <v>Hewburn School</v>
          </cell>
          <cell r="D13724" t="str">
            <v>Gateshead</v>
          </cell>
          <cell r="E13724" t="str">
            <v>Community Special School</v>
          </cell>
          <cell r="F13724" t="str">
            <v>Special</v>
          </cell>
        </row>
        <row r="13725">
          <cell r="A13725">
            <v>8163302</v>
          </cell>
          <cell r="B13725">
            <v>121605</v>
          </cell>
          <cell r="C13725" t="str">
            <v>Heworth Church of England Voluntary Aided Primary School</v>
          </cell>
          <cell r="D13725" t="str">
            <v>York</v>
          </cell>
          <cell r="E13725" t="str">
            <v>Voluntary Aided School</v>
          </cell>
          <cell r="F13725" t="str">
            <v>Primary</v>
          </cell>
        </row>
        <row r="13726">
          <cell r="A13726">
            <v>3904036</v>
          </cell>
          <cell r="B13726">
            <v>108407</v>
          </cell>
          <cell r="C13726" t="str">
            <v>Heworth Grange Comprehensive School</v>
          </cell>
          <cell r="D13726" t="str">
            <v>Gateshead</v>
          </cell>
          <cell r="E13726" t="str">
            <v>Community School</v>
          </cell>
          <cell r="F13726" t="str">
            <v>Secondary</v>
          </cell>
        </row>
        <row r="13727">
          <cell r="A13727">
            <v>9292142</v>
          </cell>
          <cell r="B13727">
            <v>122203</v>
          </cell>
          <cell r="C13727" t="str">
            <v>Hexham East First School</v>
          </cell>
          <cell r="D13727" t="str">
            <v>Northumberland</v>
          </cell>
          <cell r="E13727" t="str">
            <v>Community School</v>
          </cell>
          <cell r="F13727" t="str">
            <v>Primary</v>
          </cell>
        </row>
        <row r="13728">
          <cell r="A13728">
            <v>9297019</v>
          </cell>
          <cell r="B13728">
            <v>122387</v>
          </cell>
          <cell r="C13728" t="str">
            <v>Hexham Hackwood Park School</v>
          </cell>
          <cell r="D13728" t="str">
            <v>Northumberland</v>
          </cell>
          <cell r="E13728" t="str">
            <v>Community Special School</v>
          </cell>
          <cell r="F13728" t="str">
            <v>Special</v>
          </cell>
        </row>
        <row r="13729">
          <cell r="A13729">
            <v>9294441</v>
          </cell>
          <cell r="B13729">
            <v>122364</v>
          </cell>
          <cell r="C13729" t="str">
            <v>Hexham Middle School</v>
          </cell>
          <cell r="D13729" t="str">
            <v>Northumberland</v>
          </cell>
          <cell r="E13729" t="str">
            <v>Community School</v>
          </cell>
          <cell r="F13729" t="str">
            <v>Middle Deemed Secondary</v>
          </cell>
        </row>
        <row r="13730">
          <cell r="A13730">
            <v>9297018</v>
          </cell>
          <cell r="B13730">
            <v>122386</v>
          </cell>
          <cell r="C13730" t="str">
            <v>Hexham Priory School</v>
          </cell>
          <cell r="D13730" t="str">
            <v>Northumberland</v>
          </cell>
          <cell r="E13730" t="str">
            <v>Community Special School</v>
          </cell>
          <cell r="F13730" t="str">
            <v>Special</v>
          </cell>
        </row>
        <row r="13731">
          <cell r="A13731">
            <v>8862572</v>
          </cell>
          <cell r="B13731">
            <v>118522</v>
          </cell>
          <cell r="C13731" t="str">
            <v>Hextable Infant School</v>
          </cell>
          <cell r="D13731" t="str">
            <v>Kent</v>
          </cell>
          <cell r="E13731" t="str">
            <v>Community School</v>
          </cell>
          <cell r="F13731" t="str">
            <v>Primary</v>
          </cell>
        </row>
        <row r="13732">
          <cell r="A13732">
            <v>8862091</v>
          </cell>
          <cell r="B13732">
            <v>118256</v>
          </cell>
          <cell r="C13732" t="str">
            <v>Hextable Junior School</v>
          </cell>
          <cell r="D13732" t="str">
            <v>Kent</v>
          </cell>
          <cell r="E13732" t="str">
            <v>Community School</v>
          </cell>
          <cell r="F13732" t="str">
            <v>Primary</v>
          </cell>
        </row>
        <row r="13733">
          <cell r="A13733">
            <v>8863907</v>
          </cell>
          <cell r="B13733">
            <v>135118</v>
          </cell>
          <cell r="C13733" t="str">
            <v>Hextable Primary School</v>
          </cell>
          <cell r="D13733" t="str">
            <v>Kent</v>
          </cell>
          <cell r="E13733" t="str">
            <v>Community School</v>
          </cell>
          <cell r="F13733" t="str">
            <v>Primary</v>
          </cell>
        </row>
        <row r="13734">
          <cell r="A13734">
            <v>8864219</v>
          </cell>
          <cell r="B13734">
            <v>118829</v>
          </cell>
          <cell r="C13734" t="str">
            <v>Hextable School</v>
          </cell>
          <cell r="D13734" t="str">
            <v>Kent</v>
          </cell>
          <cell r="E13734" t="str">
            <v>Community School</v>
          </cell>
          <cell r="F13734" t="str">
            <v>Secondary</v>
          </cell>
        </row>
        <row r="13735">
          <cell r="A13735">
            <v>3711101</v>
          </cell>
          <cell r="B13735">
            <v>106664</v>
          </cell>
          <cell r="C13735" t="str">
            <v>Hexthorpe Centre</v>
          </cell>
          <cell r="D13735" t="str">
            <v>Doncaster</v>
          </cell>
          <cell r="E13735" t="str">
            <v>Pupil Referral Unit</v>
          </cell>
          <cell r="F13735" t="str">
            <v>PRU</v>
          </cell>
        </row>
        <row r="13736">
          <cell r="A13736">
            <v>3712171</v>
          </cell>
          <cell r="B13736">
            <v>106734</v>
          </cell>
          <cell r="C13736" t="str">
            <v>Hexthorpe First School</v>
          </cell>
          <cell r="D13736" t="str">
            <v>Doncaster</v>
          </cell>
          <cell r="E13736" t="str">
            <v>Community School</v>
          </cell>
          <cell r="F13736" t="str">
            <v>Primary</v>
          </cell>
        </row>
        <row r="13737">
          <cell r="A13737">
            <v>3714055</v>
          </cell>
          <cell r="B13737">
            <v>106801</v>
          </cell>
          <cell r="C13737" t="str">
            <v>Hexthorpe Middle School</v>
          </cell>
          <cell r="D13737" t="str">
            <v>Doncaster</v>
          </cell>
          <cell r="E13737" t="str">
            <v>Community School</v>
          </cell>
          <cell r="F13737" t="str">
            <v>Middle Deemed Secondary</v>
          </cell>
        </row>
        <row r="13738">
          <cell r="A13738">
            <v>3712203</v>
          </cell>
          <cell r="B13738">
            <v>130290</v>
          </cell>
          <cell r="C13738" t="str">
            <v>Hexthorpe Primary School</v>
          </cell>
          <cell r="D13738" t="str">
            <v>Doncaster</v>
          </cell>
          <cell r="E13738" t="str">
            <v>Community School</v>
          </cell>
          <cell r="F13738" t="str">
            <v>Primary</v>
          </cell>
        </row>
        <row r="13739">
          <cell r="A13739">
            <v>9192053</v>
          </cell>
          <cell r="B13739">
            <v>117112</v>
          </cell>
          <cell r="C13739" t="str">
            <v>Hexton Junior Mixed and Infant School</v>
          </cell>
          <cell r="D13739" t="str">
            <v>Hertfordshire</v>
          </cell>
          <cell r="E13739" t="str">
            <v>Community School</v>
          </cell>
          <cell r="F13739" t="str">
            <v>Primary</v>
          </cell>
        </row>
        <row r="13740">
          <cell r="A13740">
            <v>3412078</v>
          </cell>
          <cell r="B13740">
            <v>127265</v>
          </cell>
          <cell r="C13740" t="str">
            <v>Hey Green Road Infant School</v>
          </cell>
          <cell r="D13740" t="str">
            <v>Liverpool</v>
          </cell>
          <cell r="E13740" t="str">
            <v>Community School</v>
          </cell>
          <cell r="F13740" t="str">
            <v>Primary</v>
          </cell>
        </row>
        <row r="13741">
          <cell r="A13741">
            <v>8815256</v>
          </cell>
          <cell r="B13741">
            <v>115296</v>
          </cell>
          <cell r="C13741" t="str">
            <v>Heybridge Primary School</v>
          </cell>
          <cell r="D13741" t="str">
            <v>Essex</v>
          </cell>
          <cell r="E13741" t="str">
            <v>Foundation School</v>
          </cell>
          <cell r="F13741" t="str">
            <v>Primary</v>
          </cell>
        </row>
        <row r="13742">
          <cell r="A13742">
            <v>3542009</v>
          </cell>
          <cell r="B13742">
            <v>105770</v>
          </cell>
          <cell r="C13742" t="str">
            <v>Heybrook Primary School</v>
          </cell>
          <cell r="D13742" t="str">
            <v>Rochdale</v>
          </cell>
          <cell r="E13742" t="str">
            <v>Community School</v>
          </cell>
          <cell r="F13742" t="str">
            <v>Primary</v>
          </cell>
        </row>
        <row r="13743">
          <cell r="A13743">
            <v>8822126</v>
          </cell>
          <cell r="B13743">
            <v>114789</v>
          </cell>
          <cell r="C13743" t="str">
            <v>Heycroft Primary School</v>
          </cell>
          <cell r="D13743" t="str">
            <v>Southend-on-Sea</v>
          </cell>
          <cell r="E13743" t="str">
            <v>Community School</v>
          </cell>
          <cell r="F13743" t="str">
            <v>Primary</v>
          </cell>
        </row>
        <row r="13744">
          <cell r="A13744">
            <v>3582010</v>
          </cell>
          <cell r="B13744">
            <v>106292</v>
          </cell>
          <cell r="C13744" t="str">
            <v>Heyes Lane Infant School</v>
          </cell>
          <cell r="D13744" t="str">
            <v>Trafford</v>
          </cell>
          <cell r="E13744" t="str">
            <v>Community School</v>
          </cell>
          <cell r="F13744" t="str">
            <v>Primary</v>
          </cell>
        </row>
        <row r="13745">
          <cell r="A13745">
            <v>3582006</v>
          </cell>
          <cell r="B13745">
            <v>106288</v>
          </cell>
          <cell r="C13745" t="str">
            <v>Heyes Lane Primary School</v>
          </cell>
          <cell r="D13745" t="str">
            <v>Trafford</v>
          </cell>
          <cell r="E13745" t="str">
            <v>Community School</v>
          </cell>
          <cell r="F13745" t="str">
            <v>Primary</v>
          </cell>
        </row>
        <row r="13746">
          <cell r="A13746">
            <v>3442202</v>
          </cell>
          <cell r="B13746">
            <v>105008</v>
          </cell>
          <cell r="C13746" t="str">
            <v>Heygarth Junior School</v>
          </cell>
          <cell r="D13746" t="str">
            <v>Wirral</v>
          </cell>
          <cell r="E13746" t="str">
            <v>Community School</v>
          </cell>
          <cell r="F13746" t="str">
            <v>Primary</v>
          </cell>
        </row>
        <row r="13747">
          <cell r="A13747">
            <v>3442274</v>
          </cell>
          <cell r="B13747">
            <v>130324</v>
          </cell>
          <cell r="C13747" t="str">
            <v>Heygarth Primary School</v>
          </cell>
          <cell r="D13747" t="str">
            <v>Wirral</v>
          </cell>
          <cell r="E13747" t="str">
            <v>Community School</v>
          </cell>
          <cell r="F13747" t="str">
            <v>Primary</v>
          </cell>
        </row>
        <row r="13748">
          <cell r="A13748">
            <v>3412076</v>
          </cell>
          <cell r="B13748">
            <v>104547</v>
          </cell>
          <cell r="C13748" t="str">
            <v>Heygreen Community Primary School</v>
          </cell>
          <cell r="D13748" t="str">
            <v>Liverpool</v>
          </cell>
          <cell r="E13748" t="str">
            <v>Community School</v>
          </cell>
          <cell r="F13748" t="str">
            <v>Primary</v>
          </cell>
        </row>
        <row r="13749">
          <cell r="A13749">
            <v>9233560</v>
          </cell>
          <cell r="B13749">
            <v>132901</v>
          </cell>
          <cell r="C13749" t="str">
            <v>Heyhouses CofE Infant School</v>
          </cell>
          <cell r="D13749" t="str">
            <v>Pre LGR (1998) Lancashire</v>
          </cell>
          <cell r="E13749" t="str">
            <v>Miscellaneous</v>
          </cell>
          <cell r="F13749" t="str">
            <v>Not applicable</v>
          </cell>
        </row>
        <row r="13750">
          <cell r="A13750">
            <v>9233559</v>
          </cell>
          <cell r="B13750">
            <v>132902</v>
          </cell>
          <cell r="C13750" t="str">
            <v>Heyhouses CofE Junior School</v>
          </cell>
          <cell r="D13750" t="str">
            <v>Pre LGR (1998) Lancashire</v>
          </cell>
          <cell r="E13750" t="str">
            <v>Miscellaneous</v>
          </cell>
          <cell r="F13750" t="str">
            <v>Not applicable</v>
          </cell>
        </row>
        <row r="13751">
          <cell r="A13751">
            <v>8883814</v>
          </cell>
          <cell r="B13751">
            <v>119693</v>
          </cell>
          <cell r="C13751" t="str">
            <v>Heyhouses Endowed Church of England Primary School</v>
          </cell>
          <cell r="D13751" t="str">
            <v>Lancashire</v>
          </cell>
          <cell r="E13751" t="str">
            <v>Voluntary Aided School</v>
          </cell>
          <cell r="F13751" t="str">
            <v>Primary</v>
          </cell>
        </row>
        <row r="13752">
          <cell r="A13752">
            <v>8912590</v>
          </cell>
          <cell r="B13752">
            <v>122602</v>
          </cell>
          <cell r="C13752" t="str">
            <v>Heymann Primary School</v>
          </cell>
          <cell r="D13752" t="str">
            <v>Nottinghamshire</v>
          </cell>
          <cell r="E13752" t="str">
            <v>Community School</v>
          </cell>
          <cell r="F13752" t="str">
            <v>Primary</v>
          </cell>
        </row>
        <row r="13753">
          <cell r="A13753">
            <v>8884006</v>
          </cell>
          <cell r="B13753">
            <v>119711</v>
          </cell>
          <cell r="C13753" t="str">
            <v>Heysham High School Sports College</v>
          </cell>
          <cell r="D13753" t="str">
            <v>Lancashire</v>
          </cell>
          <cell r="E13753" t="str">
            <v>Community School</v>
          </cell>
          <cell r="F13753" t="str">
            <v>Secondary</v>
          </cell>
        </row>
        <row r="13754">
          <cell r="A13754">
            <v>8883536</v>
          </cell>
          <cell r="B13754">
            <v>119537</v>
          </cell>
          <cell r="C13754" t="str">
            <v>Heysham St Peter's Church of England Primary School</v>
          </cell>
          <cell r="D13754" t="str">
            <v>Lancashire</v>
          </cell>
          <cell r="E13754" t="str">
            <v>Voluntary Aided School</v>
          </cell>
          <cell r="F13754" t="str">
            <v>Primary</v>
          </cell>
        </row>
        <row r="13755">
          <cell r="A13755">
            <v>8653352</v>
          </cell>
          <cell r="B13755">
            <v>126403</v>
          </cell>
          <cell r="C13755" t="str">
            <v>Heytesbury Church of England Primary School</v>
          </cell>
          <cell r="D13755" t="str">
            <v>Wiltshire</v>
          </cell>
          <cell r="E13755" t="str">
            <v>Voluntary Aided School</v>
          </cell>
          <cell r="F13755" t="str">
            <v>Primary</v>
          </cell>
        </row>
        <row r="13756">
          <cell r="A13756">
            <v>207</v>
          </cell>
          <cell r="B13756">
            <v>135411</v>
          </cell>
          <cell r="C13756" t="str">
            <v>Heythrop College</v>
          </cell>
          <cell r="D13756" t="str">
            <v>Kensington and Chelsea</v>
          </cell>
          <cell r="E13756" t="str">
            <v>Higher Education Institutions</v>
          </cell>
          <cell r="F13756" t="str">
            <v>Not applicable</v>
          </cell>
        </row>
        <row r="13757">
          <cell r="A13757">
            <v>3533012</v>
          </cell>
          <cell r="B13757">
            <v>105694</v>
          </cell>
          <cell r="C13757" t="str">
            <v>Hey-with-Zion Primary School</v>
          </cell>
          <cell r="D13757" t="str">
            <v>Oldham</v>
          </cell>
          <cell r="E13757" t="str">
            <v>Voluntary Controlled School</v>
          </cell>
          <cell r="F13757" t="str">
            <v>Primary</v>
          </cell>
        </row>
        <row r="13758">
          <cell r="A13758">
            <v>3544084</v>
          </cell>
          <cell r="B13758">
            <v>105835</v>
          </cell>
          <cell r="C13758" t="str">
            <v>Heywood Community High School</v>
          </cell>
          <cell r="D13758" t="str">
            <v>Rochdale</v>
          </cell>
          <cell r="E13758" t="str">
            <v>Community School</v>
          </cell>
          <cell r="F13758" t="str">
            <v>Secondary</v>
          </cell>
        </row>
        <row r="13759">
          <cell r="A13759">
            <v>9165425</v>
          </cell>
          <cell r="B13759">
            <v>115776</v>
          </cell>
          <cell r="C13759" t="str">
            <v>Heywood Community School</v>
          </cell>
          <cell r="D13759" t="str">
            <v>Gloucestershire</v>
          </cell>
          <cell r="E13759" t="str">
            <v>Foundation School</v>
          </cell>
          <cell r="F13759" t="str">
            <v>Secondary</v>
          </cell>
        </row>
        <row r="13760">
          <cell r="A13760">
            <v>8656023</v>
          </cell>
          <cell r="B13760">
            <v>126524</v>
          </cell>
          <cell r="C13760" t="str">
            <v>Heywood Preparatory School</v>
          </cell>
          <cell r="D13760" t="str">
            <v>Wiltshire</v>
          </cell>
          <cell r="E13760" t="str">
            <v>Other Independent School</v>
          </cell>
          <cell r="F13760" t="str">
            <v>Not applicable</v>
          </cell>
        </row>
        <row r="13761">
          <cell r="A13761">
            <v>9382207</v>
          </cell>
          <cell r="B13761">
            <v>125934</v>
          </cell>
          <cell r="C13761" t="str">
            <v>Heyworth Primary School</v>
          </cell>
          <cell r="D13761" t="str">
            <v>West Sussex</v>
          </cell>
          <cell r="E13761" t="str">
            <v>Community School</v>
          </cell>
          <cell r="F13761" t="str">
            <v>Primary</v>
          </cell>
        </row>
        <row r="13762">
          <cell r="A13762">
            <v>8132120</v>
          </cell>
          <cell r="B13762">
            <v>117738</v>
          </cell>
          <cell r="C13762" t="str">
            <v>Hibaldstow Primary School</v>
          </cell>
          <cell r="D13762" t="str">
            <v>North Lincolnshire</v>
          </cell>
          <cell r="E13762" t="str">
            <v>Community School</v>
          </cell>
          <cell r="F13762" t="str">
            <v>Primary</v>
          </cell>
        </row>
        <row r="13763">
          <cell r="A13763">
            <v>9263045</v>
          </cell>
          <cell r="B13763">
            <v>121043</v>
          </cell>
          <cell r="C13763" t="str">
            <v>Hickling CofE VC Infant School</v>
          </cell>
          <cell r="D13763" t="str">
            <v>Norfolk</v>
          </cell>
          <cell r="E13763" t="str">
            <v>Voluntary Controlled School</v>
          </cell>
          <cell r="F13763" t="str">
            <v>Primary</v>
          </cell>
        </row>
        <row r="13764">
          <cell r="A13764">
            <v>8936106</v>
          </cell>
          <cell r="B13764">
            <v>135445</v>
          </cell>
          <cell r="C13764" t="str">
            <v>Higford School</v>
          </cell>
          <cell r="D13764" t="str">
            <v>Shropshire</v>
          </cell>
          <cell r="E13764" t="str">
            <v>Other Independent Special School</v>
          </cell>
          <cell r="F13764" t="str">
            <v>Not applicable</v>
          </cell>
        </row>
        <row r="13765">
          <cell r="A13765">
            <v>8253025</v>
          </cell>
          <cell r="B13765">
            <v>110419</v>
          </cell>
          <cell r="C13765" t="str">
            <v>High Ash Church of England Combined School</v>
          </cell>
          <cell r="D13765" t="str">
            <v>Buckinghamshire</v>
          </cell>
          <cell r="E13765" t="str">
            <v>Voluntary Controlled School</v>
          </cell>
          <cell r="F13765" t="str">
            <v>Primary</v>
          </cell>
        </row>
        <row r="13766">
          <cell r="A13766">
            <v>3822134</v>
          </cell>
          <cell r="B13766">
            <v>107684</v>
          </cell>
          <cell r="C13766" t="str">
            <v>High Bank Junior Infant and Nursery School</v>
          </cell>
          <cell r="D13766" t="str">
            <v>Kirklees</v>
          </cell>
          <cell r="E13766" t="str">
            <v>Community School</v>
          </cell>
          <cell r="F13766" t="str">
            <v>Primary</v>
          </cell>
        </row>
        <row r="13767">
          <cell r="A13767">
            <v>3551013</v>
          </cell>
          <cell r="B13767">
            <v>105875</v>
          </cell>
          <cell r="C13767" t="str">
            <v>High Bank Nursery School</v>
          </cell>
          <cell r="D13767" t="str">
            <v>Salford</v>
          </cell>
          <cell r="E13767" t="str">
            <v>LA Nursery School</v>
          </cell>
          <cell r="F13767" t="str">
            <v>Nursery</v>
          </cell>
        </row>
        <row r="13768">
          <cell r="A13768">
            <v>3532067</v>
          </cell>
          <cell r="B13768">
            <v>105660</v>
          </cell>
          <cell r="C13768" t="str">
            <v>High Barn Community Junior School</v>
          </cell>
          <cell r="D13768" t="str">
            <v>Oldham</v>
          </cell>
          <cell r="E13768" t="str">
            <v>Community School</v>
          </cell>
          <cell r="F13768" t="str">
            <v>Primary</v>
          </cell>
        </row>
        <row r="13769">
          <cell r="A13769">
            <v>8813124</v>
          </cell>
          <cell r="B13769">
            <v>115096</v>
          </cell>
          <cell r="C13769" t="str">
            <v>High Beech Church of England Voluntary Controlled Primary School</v>
          </cell>
          <cell r="D13769" t="str">
            <v>Essex</v>
          </cell>
          <cell r="E13769" t="str">
            <v>Voluntary Controlled School</v>
          </cell>
          <cell r="F13769" t="str">
            <v>Primary</v>
          </cell>
        </row>
        <row r="13770">
          <cell r="A13770">
            <v>9192437</v>
          </cell>
          <cell r="B13770">
            <v>117342</v>
          </cell>
          <cell r="C13770" t="str">
            <v>High Beeches Primary School</v>
          </cell>
          <cell r="D13770" t="str">
            <v>Hertfordshire</v>
          </cell>
          <cell r="E13770" t="str">
            <v>Community School</v>
          </cell>
          <cell r="F13770" t="str">
            <v>Primary</v>
          </cell>
        </row>
        <row r="13771">
          <cell r="A13771">
            <v>8152305</v>
          </cell>
          <cell r="B13771">
            <v>121380</v>
          </cell>
          <cell r="C13771" t="str">
            <v>High Bentham Community Primary School</v>
          </cell>
          <cell r="D13771" t="str">
            <v>North Yorkshire</v>
          </cell>
          <cell r="E13771" t="str">
            <v>Community School</v>
          </cell>
          <cell r="F13771" t="str">
            <v>Primary</v>
          </cell>
        </row>
        <row r="13772">
          <cell r="A13772">
            <v>8783062</v>
          </cell>
          <cell r="B13772">
            <v>113378</v>
          </cell>
          <cell r="C13772" t="str">
            <v>High Bickington Church of England Primary School</v>
          </cell>
          <cell r="D13772" t="str">
            <v>Devon</v>
          </cell>
          <cell r="E13772" t="str">
            <v>Voluntary Controlled School</v>
          </cell>
          <cell r="F13772" t="str">
            <v>Primary</v>
          </cell>
        </row>
        <row r="13773">
          <cell r="A13773">
            <v>3547001</v>
          </cell>
          <cell r="B13773">
            <v>105858</v>
          </cell>
          <cell r="C13773" t="str">
            <v>High Birch School</v>
          </cell>
          <cell r="D13773" t="str">
            <v>Rochdale</v>
          </cell>
          <cell r="E13773" t="str">
            <v>Community Special School</v>
          </cell>
          <cell r="F13773" t="str">
            <v>Special</v>
          </cell>
        </row>
        <row r="13774">
          <cell r="A13774">
            <v>9222151</v>
          </cell>
          <cell r="B13774">
            <v>129359</v>
          </cell>
          <cell r="C13774" t="str">
            <v>High Broom Junior Boys' and Mixed Infant School</v>
          </cell>
          <cell r="D13774" t="str">
            <v>Pre LGR (1998) Kent</v>
          </cell>
          <cell r="E13774" t="str">
            <v>Community School</v>
          </cell>
          <cell r="F13774" t="str">
            <v>Primary</v>
          </cell>
        </row>
        <row r="13775">
          <cell r="A13775">
            <v>9223038</v>
          </cell>
          <cell r="B13775">
            <v>129397</v>
          </cell>
          <cell r="C13775" t="str">
            <v>High Brooms CofE Girls' Junior School</v>
          </cell>
          <cell r="D13775" t="str">
            <v>Pre LGR (1998) Kent</v>
          </cell>
          <cell r="E13775" t="str">
            <v>Voluntary Controlled School</v>
          </cell>
          <cell r="F13775" t="str">
            <v>Primary</v>
          </cell>
        </row>
        <row r="13776">
          <cell r="A13776">
            <v>9222149</v>
          </cell>
          <cell r="B13776">
            <v>129357</v>
          </cell>
          <cell r="C13776" t="str">
            <v>High Brooms County Boys' School</v>
          </cell>
          <cell r="D13776" t="str">
            <v>Pre LGR (1998) Kent</v>
          </cell>
          <cell r="E13776" t="str">
            <v>Community School</v>
          </cell>
          <cell r="F13776" t="str">
            <v>Primary</v>
          </cell>
        </row>
        <row r="13777">
          <cell r="A13777">
            <v>9222150</v>
          </cell>
          <cell r="B13777">
            <v>129358</v>
          </cell>
          <cell r="C13777" t="str">
            <v>High Brooms County Infant School</v>
          </cell>
          <cell r="D13777" t="str">
            <v>Pre LGR (1998) Kent</v>
          </cell>
          <cell r="E13777" t="str">
            <v>Community School</v>
          </cell>
          <cell r="F13777" t="str">
            <v>Primary</v>
          </cell>
        </row>
        <row r="13778">
          <cell r="A13778">
            <v>8082004</v>
          </cell>
          <cell r="B13778">
            <v>111523</v>
          </cell>
          <cell r="C13778" t="str">
            <v>High Clarence Primary School</v>
          </cell>
          <cell r="D13778" t="str">
            <v>Stockton-on-Tees</v>
          </cell>
          <cell r="E13778" t="str">
            <v>Community School</v>
          </cell>
          <cell r="F13778" t="str">
            <v>Primary</v>
          </cell>
        </row>
        <row r="13779">
          <cell r="A13779">
            <v>8727006</v>
          </cell>
          <cell r="B13779">
            <v>110181</v>
          </cell>
          <cell r="C13779" t="str">
            <v>High Close School</v>
          </cell>
          <cell r="D13779" t="str">
            <v>Wokingham</v>
          </cell>
          <cell r="E13779" t="str">
            <v>Non-Maintained Special School</v>
          </cell>
          <cell r="F13779" t="str">
            <v>Special</v>
          </cell>
        </row>
        <row r="13780">
          <cell r="A13780">
            <v>8413133</v>
          </cell>
          <cell r="B13780">
            <v>114224</v>
          </cell>
          <cell r="C13780" t="str">
            <v>High Coniscliffe CofE Primary School</v>
          </cell>
          <cell r="D13780" t="str">
            <v>Darlington</v>
          </cell>
          <cell r="E13780" t="str">
            <v>Voluntary Controlled School</v>
          </cell>
          <cell r="F13780" t="str">
            <v>Primary</v>
          </cell>
        </row>
        <row r="13781">
          <cell r="A13781">
            <v>3802142</v>
          </cell>
          <cell r="B13781">
            <v>107271</v>
          </cell>
          <cell r="C13781" t="str">
            <v>High Crags Primary School</v>
          </cell>
          <cell r="D13781" t="str">
            <v>Bradford</v>
          </cell>
          <cell r="E13781" t="str">
            <v>Community School</v>
          </cell>
          <cell r="F13781" t="str">
            <v>Primary</v>
          </cell>
        </row>
        <row r="13782">
          <cell r="A13782">
            <v>6802295</v>
          </cell>
          <cell r="B13782">
            <v>401543</v>
          </cell>
          <cell r="C13782" t="str">
            <v>High Cross Primary</v>
          </cell>
          <cell r="D13782" t="str">
            <v>Newport</v>
          </cell>
          <cell r="E13782" t="str">
            <v>Welsh Establishment</v>
          </cell>
          <cell r="F13782" t="str">
            <v>Primary</v>
          </cell>
        </row>
        <row r="13783">
          <cell r="A13783">
            <v>8022254</v>
          </cell>
          <cell r="B13783">
            <v>109076</v>
          </cell>
          <cell r="C13783" t="str">
            <v>High Down Infant School</v>
          </cell>
          <cell r="D13783" t="str">
            <v>North Somerset</v>
          </cell>
          <cell r="E13783" t="str">
            <v>Community School</v>
          </cell>
          <cell r="F13783" t="str">
            <v>Primary</v>
          </cell>
        </row>
        <row r="13784">
          <cell r="A13784">
            <v>8022263</v>
          </cell>
          <cell r="B13784">
            <v>109084</v>
          </cell>
          <cell r="C13784" t="str">
            <v>High Down Junior School</v>
          </cell>
          <cell r="D13784" t="str">
            <v>North Somerset</v>
          </cell>
          <cell r="E13784" t="str">
            <v>Community School</v>
          </cell>
          <cell r="F13784" t="str">
            <v>Primary</v>
          </cell>
        </row>
        <row r="13785">
          <cell r="A13785">
            <v>9196234</v>
          </cell>
          <cell r="B13785">
            <v>117660</v>
          </cell>
          <cell r="C13785" t="str">
            <v>High Elms Manor School</v>
          </cell>
          <cell r="D13785" t="str">
            <v>Hertfordshire</v>
          </cell>
          <cell r="E13785" t="str">
            <v>Other Independent School</v>
          </cell>
          <cell r="F13785" t="str">
            <v>Not applicable</v>
          </cell>
        </row>
        <row r="13786">
          <cell r="A13786">
            <v>8942051</v>
          </cell>
          <cell r="B13786">
            <v>123370</v>
          </cell>
          <cell r="C13786" t="str">
            <v>High Ercall Primary School</v>
          </cell>
          <cell r="D13786" t="str">
            <v>Telford and Wrekin</v>
          </cell>
          <cell r="E13786" t="str">
            <v>Community School</v>
          </cell>
          <cell r="F13786" t="str">
            <v>Primary</v>
          </cell>
        </row>
        <row r="13787">
          <cell r="A13787">
            <v>3924011</v>
          </cell>
          <cell r="B13787">
            <v>108630</v>
          </cell>
          <cell r="C13787" t="str">
            <v>High Farm Middle School</v>
          </cell>
          <cell r="D13787" t="str">
            <v>North Tyneside</v>
          </cell>
          <cell r="E13787" t="str">
            <v>Community School</v>
          </cell>
          <cell r="F13787" t="str">
            <v>Middle Deemed Secondary</v>
          </cell>
        </row>
        <row r="13788">
          <cell r="A13788">
            <v>3907003</v>
          </cell>
          <cell r="B13788">
            <v>108423</v>
          </cell>
          <cell r="C13788" t="str">
            <v>High Fell School</v>
          </cell>
          <cell r="D13788" t="str">
            <v>Gateshead</v>
          </cell>
          <cell r="E13788" t="str">
            <v>Community Special School</v>
          </cell>
          <cell r="F13788" t="str">
            <v>Special</v>
          </cell>
        </row>
        <row r="13789">
          <cell r="A13789">
            <v>3802040</v>
          </cell>
          <cell r="B13789">
            <v>107210</v>
          </cell>
          <cell r="C13789" t="str">
            <v>High Fernley Primary School</v>
          </cell>
          <cell r="D13789" t="str">
            <v>Bradford</v>
          </cell>
          <cell r="E13789" t="str">
            <v>Community School</v>
          </cell>
          <cell r="F13789" t="str">
            <v>Primary</v>
          </cell>
        </row>
        <row r="13790">
          <cell r="A13790">
            <v>8862615</v>
          </cell>
          <cell r="B13790">
            <v>118541</v>
          </cell>
          <cell r="C13790" t="str">
            <v>High Firs Primary School</v>
          </cell>
          <cell r="D13790" t="str">
            <v>Kent</v>
          </cell>
          <cell r="E13790" t="str">
            <v>Community School</v>
          </cell>
          <cell r="F13790" t="str">
            <v>Primary</v>
          </cell>
        </row>
        <row r="13791">
          <cell r="A13791">
            <v>8306003</v>
          </cell>
          <cell r="B13791">
            <v>136954</v>
          </cell>
          <cell r="C13791" t="str">
            <v>High Grange Children's School</v>
          </cell>
          <cell r="D13791" t="str">
            <v>Derbyshire</v>
          </cell>
          <cell r="E13791" t="str">
            <v>Other Independent Special School</v>
          </cell>
          <cell r="F13791" t="str">
            <v>Not applicable</v>
          </cell>
        </row>
        <row r="13792">
          <cell r="A13792">
            <v>3722019</v>
          </cell>
          <cell r="B13792">
            <v>106842</v>
          </cell>
          <cell r="C13792" t="str">
            <v>High Greave Infant School</v>
          </cell>
          <cell r="D13792" t="str">
            <v>Rotherham</v>
          </cell>
          <cell r="E13792" t="str">
            <v>Community School</v>
          </cell>
          <cell r="F13792" t="str">
            <v>Primary</v>
          </cell>
        </row>
        <row r="13793">
          <cell r="A13793">
            <v>3722018</v>
          </cell>
          <cell r="B13793">
            <v>106841</v>
          </cell>
          <cell r="C13793" t="str">
            <v>High Greave Junior School</v>
          </cell>
          <cell r="D13793" t="str">
            <v>Rotherham</v>
          </cell>
          <cell r="E13793" t="str">
            <v>Community School</v>
          </cell>
          <cell r="F13793" t="str">
            <v>Primary</v>
          </cell>
        </row>
        <row r="13794">
          <cell r="A13794">
            <v>3734275</v>
          </cell>
          <cell r="B13794">
            <v>107145</v>
          </cell>
          <cell r="C13794" t="str">
            <v>High Green Comprehensive School</v>
          </cell>
          <cell r="D13794" t="str">
            <v>Sheffield</v>
          </cell>
          <cell r="E13794" t="str">
            <v>Community School</v>
          </cell>
          <cell r="F13794" t="str">
            <v>Secondary</v>
          </cell>
        </row>
        <row r="13795">
          <cell r="A13795">
            <v>3732297</v>
          </cell>
          <cell r="B13795">
            <v>107052</v>
          </cell>
          <cell r="C13795" t="str">
            <v>High Green Primary School</v>
          </cell>
          <cell r="D13795" t="str">
            <v>Sheffield</v>
          </cell>
          <cell r="E13795" t="str">
            <v>Community School</v>
          </cell>
          <cell r="F13795" t="str">
            <v>Primary</v>
          </cell>
        </row>
        <row r="13796">
          <cell r="A13796">
            <v>8863139</v>
          </cell>
          <cell r="B13796">
            <v>118666</v>
          </cell>
          <cell r="C13796" t="str">
            <v>High Halden Church of England Primary School</v>
          </cell>
          <cell r="D13796" t="str">
            <v>Kent</v>
          </cell>
          <cell r="E13796" t="str">
            <v>Voluntary Controlled School</v>
          </cell>
          <cell r="F13796" t="str">
            <v>Primary</v>
          </cell>
        </row>
        <row r="13797">
          <cell r="A13797">
            <v>8872421</v>
          </cell>
          <cell r="B13797">
            <v>118434</v>
          </cell>
          <cell r="C13797" t="str">
            <v>High Halstow Primary School</v>
          </cell>
          <cell r="D13797" t="str">
            <v>Medway</v>
          </cell>
          <cell r="E13797" t="str">
            <v>Foundation School</v>
          </cell>
          <cell r="F13797" t="str">
            <v>Primary</v>
          </cell>
        </row>
        <row r="13798">
          <cell r="A13798">
            <v>9333062</v>
          </cell>
          <cell r="B13798">
            <v>123761</v>
          </cell>
          <cell r="C13798" t="str">
            <v>High Ham Church of England Primary School</v>
          </cell>
          <cell r="D13798" t="str">
            <v>Somerset</v>
          </cell>
          <cell r="E13798" t="str">
            <v>Voluntary Controlled School</v>
          </cell>
          <cell r="F13798" t="str">
            <v>Primary</v>
          </cell>
        </row>
        <row r="13799">
          <cell r="A13799">
            <v>3357010</v>
          </cell>
          <cell r="B13799">
            <v>127202</v>
          </cell>
          <cell r="C13799" t="str">
            <v>High Heath Special School</v>
          </cell>
          <cell r="D13799" t="str">
            <v>Walsall</v>
          </cell>
          <cell r="E13799" t="str">
            <v>Community Special School</v>
          </cell>
          <cell r="F13799" t="str">
            <v>Special</v>
          </cell>
        </row>
        <row r="13800">
          <cell r="A13800">
            <v>9093013</v>
          </cell>
          <cell r="B13800">
            <v>112248</v>
          </cell>
          <cell r="C13800" t="str">
            <v>High Hesket CofE School</v>
          </cell>
          <cell r="D13800" t="str">
            <v>Cumbria</v>
          </cell>
          <cell r="E13800" t="str">
            <v>Voluntary Controlled School</v>
          </cell>
          <cell r="F13800" t="str">
            <v>Primary</v>
          </cell>
        </row>
        <row r="13801">
          <cell r="A13801">
            <v>8453033</v>
          </cell>
          <cell r="B13801">
            <v>114507</v>
          </cell>
          <cell r="C13801" t="str">
            <v>High Hurstwood Church of England Primary School</v>
          </cell>
          <cell r="D13801" t="str">
            <v>East Sussex</v>
          </cell>
          <cell r="E13801" t="str">
            <v>Voluntary Controlled School</v>
          </cell>
          <cell r="F13801" t="str">
            <v>Primary</v>
          </cell>
        </row>
        <row r="13802">
          <cell r="A13802">
            <v>3562044</v>
          </cell>
          <cell r="B13802">
            <v>106051</v>
          </cell>
          <cell r="C13802" t="str">
            <v>High Lane Primary School</v>
          </cell>
          <cell r="D13802" t="str">
            <v>Stockport</v>
          </cell>
          <cell r="E13802" t="str">
            <v>Community School</v>
          </cell>
          <cell r="F13802" t="str">
            <v>Primary</v>
          </cell>
        </row>
        <row r="13803">
          <cell r="A13803">
            <v>3502016</v>
          </cell>
          <cell r="B13803">
            <v>105156</v>
          </cell>
          <cell r="C13803" t="str">
            <v>High Lawn Primary School</v>
          </cell>
          <cell r="D13803" t="str">
            <v>Bolton</v>
          </cell>
          <cell r="E13803" t="str">
            <v>Community School</v>
          </cell>
          <cell r="F13803" t="str">
            <v>Primary</v>
          </cell>
        </row>
        <row r="13804">
          <cell r="A13804">
            <v>9126138</v>
          </cell>
          <cell r="B13804">
            <v>128803</v>
          </cell>
          <cell r="C13804" t="str">
            <v>High Lea School</v>
          </cell>
          <cell r="D13804" t="str">
            <v>Pre LGR (1997) Dorset</v>
          </cell>
          <cell r="E13804" t="str">
            <v>Other Independent School</v>
          </cell>
          <cell r="F13804" t="str">
            <v>Not applicable</v>
          </cell>
        </row>
        <row r="13805">
          <cell r="A13805">
            <v>9256049</v>
          </cell>
          <cell r="B13805">
            <v>134468</v>
          </cell>
          <cell r="C13805" t="str">
            <v>High Leas Education Centre</v>
          </cell>
          <cell r="D13805" t="str">
            <v>Lincolnshire</v>
          </cell>
          <cell r="E13805" t="str">
            <v>Other Independent School</v>
          </cell>
          <cell r="F13805" t="str">
            <v>Not applicable</v>
          </cell>
        </row>
        <row r="13806">
          <cell r="A13806">
            <v>9247209</v>
          </cell>
          <cell r="B13806">
            <v>120359</v>
          </cell>
          <cell r="C13806" t="str">
            <v>High Leas School</v>
          </cell>
          <cell r="D13806" t="str">
            <v>Pre LGR (1997) Leicestershire</v>
          </cell>
          <cell r="E13806" t="str">
            <v>Community Special School</v>
          </cell>
          <cell r="F13806" t="str">
            <v>Special</v>
          </cell>
        </row>
        <row r="13807">
          <cell r="A13807">
            <v>8952256</v>
          </cell>
          <cell r="B13807">
            <v>111096</v>
          </cell>
          <cell r="C13807" t="str">
            <v>High Legh Primary School</v>
          </cell>
          <cell r="D13807" t="str">
            <v>Cheshire East</v>
          </cell>
          <cell r="E13807" t="str">
            <v>Community School</v>
          </cell>
          <cell r="F13807" t="str">
            <v>Primary</v>
          </cell>
        </row>
        <row r="13808">
          <cell r="A13808">
            <v>8003093</v>
          </cell>
          <cell r="B13808">
            <v>109196</v>
          </cell>
          <cell r="C13808" t="str">
            <v>High Littleton CofE VC Primary School</v>
          </cell>
          <cell r="D13808" t="str">
            <v>Bath and North East Somerset</v>
          </cell>
          <cell r="E13808" t="str">
            <v>Voluntary Controlled School</v>
          </cell>
          <cell r="F13808" t="str">
            <v>Primary</v>
          </cell>
        </row>
        <row r="13809">
          <cell r="A13809">
            <v>8256019</v>
          </cell>
          <cell r="B13809">
            <v>110538</v>
          </cell>
          <cell r="C13809" t="str">
            <v>High March School</v>
          </cell>
          <cell r="D13809" t="str">
            <v>Buckinghamshire</v>
          </cell>
          <cell r="E13809" t="str">
            <v>Other Independent School</v>
          </cell>
          <cell r="F13809" t="str">
            <v>Not applicable</v>
          </cell>
        </row>
        <row r="13810">
          <cell r="A13810">
            <v>9372569</v>
          </cell>
          <cell r="B13810">
            <v>125584</v>
          </cell>
          <cell r="C13810" t="str">
            <v>High Meadow Infant School</v>
          </cell>
          <cell r="D13810" t="str">
            <v>Warwickshire</v>
          </cell>
          <cell r="E13810" t="str">
            <v>Community School</v>
          </cell>
          <cell r="F13810" t="str">
            <v>Primary</v>
          </cell>
        </row>
        <row r="13811">
          <cell r="A13811">
            <v>8914425</v>
          </cell>
          <cell r="B13811">
            <v>122874</v>
          </cell>
          <cell r="C13811" t="str">
            <v>High Oakham Middle School</v>
          </cell>
          <cell r="D13811" t="str">
            <v>Nottinghamshire</v>
          </cell>
          <cell r="E13811" t="str">
            <v>Community School</v>
          </cell>
          <cell r="F13811" t="str">
            <v>Middle Deemed Secondary</v>
          </cell>
        </row>
        <row r="13812">
          <cell r="A13812">
            <v>8913776</v>
          </cell>
          <cell r="B13812">
            <v>133278</v>
          </cell>
          <cell r="C13812" t="str">
            <v>High Oakham Primary School</v>
          </cell>
          <cell r="D13812" t="str">
            <v>Nottinghamshire</v>
          </cell>
          <cell r="E13812" t="str">
            <v>Community School</v>
          </cell>
          <cell r="F13812" t="str">
            <v>Primary</v>
          </cell>
        </row>
        <row r="13813">
          <cell r="A13813">
            <v>8812660</v>
          </cell>
          <cell r="B13813">
            <v>114938</v>
          </cell>
          <cell r="C13813" t="str">
            <v>High Ongar Primary School</v>
          </cell>
          <cell r="D13813" t="str">
            <v>Essex</v>
          </cell>
          <cell r="E13813" t="str">
            <v>Community School</v>
          </cell>
          <cell r="F13813" t="str">
            <v>Primary</v>
          </cell>
        </row>
        <row r="13814">
          <cell r="A13814">
            <v>3324109</v>
          </cell>
          <cell r="B13814">
            <v>127144</v>
          </cell>
          <cell r="C13814" t="str">
            <v>High Park School</v>
          </cell>
          <cell r="D13814" t="str">
            <v>Dudley</v>
          </cell>
          <cell r="E13814" t="str">
            <v>Community School</v>
          </cell>
          <cell r="F13814" t="str">
            <v>Secondary</v>
          </cell>
        </row>
        <row r="13815">
          <cell r="A13815">
            <v>3807036</v>
          </cell>
          <cell r="B13815">
            <v>135861</v>
          </cell>
          <cell r="C13815" t="str">
            <v>High Park School</v>
          </cell>
          <cell r="D13815" t="str">
            <v>Bradford</v>
          </cell>
          <cell r="E13815" t="str">
            <v>Community Special School</v>
          </cell>
          <cell r="F13815" t="str">
            <v>Special</v>
          </cell>
        </row>
        <row r="13816">
          <cell r="A13816">
            <v>9304000</v>
          </cell>
          <cell r="B13816">
            <v>129726</v>
          </cell>
          <cell r="C13816" t="str">
            <v>High Pavement Sixth Form College</v>
          </cell>
          <cell r="D13816" t="str">
            <v>Pre LGR (1998) Nottinghamshire</v>
          </cell>
          <cell r="E13816" t="str">
            <v>Community School</v>
          </cell>
          <cell r="F13816" t="str">
            <v>Secondary</v>
          </cell>
        </row>
        <row r="13817">
          <cell r="A13817">
            <v>8928600</v>
          </cell>
          <cell r="B13817">
            <v>130786</v>
          </cell>
          <cell r="C13817" t="str">
            <v>High Pavement Sixth Form College</v>
          </cell>
          <cell r="D13817" t="str">
            <v>Nottingham</v>
          </cell>
          <cell r="E13817" t="str">
            <v>Further Education</v>
          </cell>
          <cell r="F13817" t="str">
            <v>16 Plus</v>
          </cell>
        </row>
        <row r="13818">
          <cell r="A13818">
            <v>8301100</v>
          </cell>
          <cell r="B13818">
            <v>132123</v>
          </cell>
          <cell r="C13818" t="str">
            <v>High Peak &amp; Dales Support Centre</v>
          </cell>
          <cell r="D13818" t="str">
            <v>Derbyshire</v>
          </cell>
          <cell r="E13818" t="str">
            <v>Pupil Referral Unit</v>
          </cell>
          <cell r="F13818" t="str">
            <v>PRU</v>
          </cell>
        </row>
        <row r="13819">
          <cell r="A13819">
            <v>8308006</v>
          </cell>
          <cell r="B13819">
            <v>130641</v>
          </cell>
          <cell r="C13819" t="str">
            <v>High Peak College</v>
          </cell>
          <cell r="D13819" t="str">
            <v>Derbyshire</v>
          </cell>
          <cell r="E13819" t="str">
            <v>Further Education</v>
          </cell>
          <cell r="F13819" t="str">
            <v>16 Plus</v>
          </cell>
        </row>
        <row r="13820">
          <cell r="A13820">
            <v>8134088</v>
          </cell>
          <cell r="B13820">
            <v>118098</v>
          </cell>
          <cell r="C13820" t="str">
            <v>High Ridge School Specialist Sports College</v>
          </cell>
          <cell r="D13820" t="str">
            <v>North Lincolnshire</v>
          </cell>
          <cell r="E13820" t="str">
            <v>Community School</v>
          </cell>
          <cell r="F13820" t="str">
            <v>Secondary</v>
          </cell>
        </row>
        <row r="13821">
          <cell r="A13821">
            <v>9164002</v>
          </cell>
          <cell r="B13821">
            <v>115718</v>
          </cell>
          <cell r="C13821" t="str">
            <v>High School for Girls</v>
          </cell>
          <cell r="D13821" t="str">
            <v>Gloucestershire</v>
          </cell>
          <cell r="E13821" t="str">
            <v>Foundation School</v>
          </cell>
          <cell r="F13821" t="str">
            <v>Secondary</v>
          </cell>
        </row>
        <row r="13822">
          <cell r="A13822">
            <v>9164002</v>
          </cell>
          <cell r="B13822">
            <v>136666</v>
          </cell>
          <cell r="C13822" t="str">
            <v>High School for Girls</v>
          </cell>
          <cell r="D13822" t="str">
            <v>Gloucestershire</v>
          </cell>
          <cell r="E13822" t="str">
            <v>Academy Converters</v>
          </cell>
          <cell r="F13822" t="str">
            <v>Secondary</v>
          </cell>
        </row>
        <row r="13823">
          <cell r="A13823">
            <v>3902168</v>
          </cell>
          <cell r="B13823">
            <v>108340</v>
          </cell>
          <cell r="C13823" t="str">
            <v>High Spen Primary School</v>
          </cell>
          <cell r="D13823" t="str">
            <v>Gateshead</v>
          </cell>
          <cell r="E13823" t="str">
            <v>Community School</v>
          </cell>
          <cell r="F13823" t="str">
            <v>Primary</v>
          </cell>
        </row>
        <row r="13824">
          <cell r="A13824">
            <v>3734257</v>
          </cell>
          <cell r="B13824">
            <v>107139</v>
          </cell>
          <cell r="C13824" t="str">
            <v>High Storrs School</v>
          </cell>
          <cell r="D13824" t="str">
            <v>Sheffield</v>
          </cell>
          <cell r="E13824" t="str">
            <v>Community School</v>
          </cell>
          <cell r="F13824" t="str">
            <v>Secondary</v>
          </cell>
        </row>
        <row r="13825">
          <cell r="A13825">
            <v>8792634</v>
          </cell>
          <cell r="B13825">
            <v>113273</v>
          </cell>
          <cell r="C13825" t="str">
            <v>High Street Primary School</v>
          </cell>
          <cell r="D13825" t="str">
            <v>Plymouth</v>
          </cell>
          <cell r="E13825" t="str">
            <v>Community School</v>
          </cell>
          <cell r="F13825" t="str">
            <v>Primary</v>
          </cell>
        </row>
        <row r="13826">
          <cell r="A13826">
            <v>6732120</v>
          </cell>
          <cell r="B13826">
            <v>401093</v>
          </cell>
          <cell r="C13826" t="str">
            <v>High Street Primary School</v>
          </cell>
          <cell r="D13826" t="str">
            <v>The Vale of Glamorgan</v>
          </cell>
          <cell r="E13826" t="str">
            <v>Welsh Establishment</v>
          </cell>
          <cell r="F13826" t="str">
            <v>Primary</v>
          </cell>
        </row>
        <row r="13827">
          <cell r="A13827">
            <v>8776002</v>
          </cell>
          <cell r="B13827">
            <v>131712</v>
          </cell>
          <cell r="C13827" t="str">
            <v>High Trees</v>
          </cell>
          <cell r="D13827" t="str">
            <v>Warrington</v>
          </cell>
          <cell r="E13827" t="str">
            <v>Other Independent Special School</v>
          </cell>
          <cell r="F13827" t="str">
            <v>Not applicable</v>
          </cell>
        </row>
        <row r="13828">
          <cell r="A13828">
            <v>3836034</v>
          </cell>
          <cell r="B13828">
            <v>108107</v>
          </cell>
          <cell r="C13828" t="str">
            <v>High Trees Preparatory School</v>
          </cell>
          <cell r="D13828" t="str">
            <v>Leeds</v>
          </cell>
          <cell r="E13828" t="str">
            <v>Other Independent School</v>
          </cell>
          <cell r="F13828" t="str">
            <v>Not applicable</v>
          </cell>
        </row>
        <row r="13829">
          <cell r="A13829">
            <v>3807013</v>
          </cell>
          <cell r="B13829">
            <v>127752</v>
          </cell>
          <cell r="C13829" t="str">
            <v>High Trees School</v>
          </cell>
          <cell r="D13829" t="str">
            <v>Bradford</v>
          </cell>
          <cell r="E13829" t="str">
            <v>Community Special School</v>
          </cell>
          <cell r="F13829" t="str">
            <v>Special</v>
          </cell>
        </row>
        <row r="13830">
          <cell r="A13830">
            <v>8054133</v>
          </cell>
          <cell r="B13830">
            <v>111748</v>
          </cell>
          <cell r="C13830" t="str">
            <v>High Tunstall College of Science</v>
          </cell>
          <cell r="D13830" t="str">
            <v>Hartlepool</v>
          </cell>
          <cell r="E13830" t="str">
            <v>Foundation School</v>
          </cell>
          <cell r="F13830" t="str">
            <v>Secondary</v>
          </cell>
        </row>
        <row r="13831">
          <cell r="A13831">
            <v>3942114</v>
          </cell>
          <cell r="B13831">
            <v>108798</v>
          </cell>
          <cell r="C13831" t="str">
            <v>High Usworth Infant School</v>
          </cell>
          <cell r="D13831" t="str">
            <v>Sunderland</v>
          </cell>
          <cell r="E13831" t="str">
            <v>Community School</v>
          </cell>
          <cell r="F13831" t="str">
            <v>Primary</v>
          </cell>
        </row>
        <row r="13832">
          <cell r="A13832">
            <v>3942130</v>
          </cell>
          <cell r="B13832">
            <v>108806</v>
          </cell>
          <cell r="C13832" t="str">
            <v>High Usworth Junior School</v>
          </cell>
          <cell r="D13832" t="str">
            <v>Sunderland</v>
          </cell>
          <cell r="E13832" t="str">
            <v>Community School</v>
          </cell>
          <cell r="F13832" t="str">
            <v>Primary</v>
          </cell>
        </row>
        <row r="13833">
          <cell r="A13833">
            <v>3703323</v>
          </cell>
          <cell r="B13833">
            <v>134686</v>
          </cell>
          <cell r="C13833" t="str">
            <v>High View Primary Learning Centre</v>
          </cell>
          <cell r="D13833" t="str">
            <v>Barnsley</v>
          </cell>
          <cell r="E13833" t="str">
            <v>Community School</v>
          </cell>
          <cell r="F13833" t="str">
            <v>Primary</v>
          </cell>
        </row>
        <row r="13834">
          <cell r="A13834">
            <v>2122301</v>
          </cell>
          <cell r="B13834">
            <v>101010</v>
          </cell>
          <cell r="C13834" t="str">
            <v>High View Primary School</v>
          </cell>
          <cell r="D13834" t="str">
            <v>Wandsworth</v>
          </cell>
          <cell r="E13834" t="str">
            <v>Community School</v>
          </cell>
          <cell r="F13834" t="str">
            <v>Primary</v>
          </cell>
        </row>
        <row r="13835">
          <cell r="A13835">
            <v>3192019</v>
          </cell>
          <cell r="B13835">
            <v>102971</v>
          </cell>
          <cell r="C13835" t="str">
            <v>High View Primary School</v>
          </cell>
          <cell r="D13835" t="str">
            <v>Sutton</v>
          </cell>
          <cell r="E13835" t="str">
            <v>Community School</v>
          </cell>
          <cell r="F13835" t="str">
            <v>Primary</v>
          </cell>
        </row>
        <row r="13836">
          <cell r="A13836">
            <v>9157025</v>
          </cell>
          <cell r="B13836">
            <v>128934</v>
          </cell>
          <cell r="C13836" t="str">
            <v>High View School</v>
          </cell>
          <cell r="D13836" t="str">
            <v>Pre LGR (1998) Essex</v>
          </cell>
          <cell r="E13836" t="str">
            <v>Community Special School</v>
          </cell>
          <cell r="F13836" t="str">
            <v>Special</v>
          </cell>
        </row>
        <row r="13837">
          <cell r="A13837">
            <v>8793777</v>
          </cell>
          <cell r="B13837">
            <v>135853</v>
          </cell>
          <cell r="C13837" t="str">
            <v>High View School</v>
          </cell>
          <cell r="D13837" t="str">
            <v>Plymouth</v>
          </cell>
          <cell r="E13837" t="str">
            <v>Community School</v>
          </cell>
          <cell r="F13837" t="str">
            <v>Primary</v>
          </cell>
        </row>
        <row r="13838">
          <cell r="A13838">
            <v>8314179</v>
          </cell>
          <cell r="B13838">
            <v>112953</v>
          </cell>
          <cell r="C13838" t="str">
            <v>High View School and Technology Centre</v>
          </cell>
          <cell r="D13838" t="str">
            <v>Derby</v>
          </cell>
          <cell r="E13838" t="str">
            <v>Community School</v>
          </cell>
          <cell r="F13838" t="str">
            <v>Secondary</v>
          </cell>
        </row>
        <row r="13839">
          <cell r="A13839">
            <v>3847056</v>
          </cell>
          <cell r="B13839">
            <v>131526</v>
          </cell>
          <cell r="C13839" t="str">
            <v>High Well School - South Hiendley</v>
          </cell>
          <cell r="D13839" t="str">
            <v>Wakefield</v>
          </cell>
          <cell r="E13839" t="str">
            <v>Community Special School</v>
          </cell>
          <cell r="F13839" t="str">
            <v>Special</v>
          </cell>
        </row>
        <row r="13840">
          <cell r="A13840">
            <v>9197039</v>
          </cell>
          <cell r="B13840">
            <v>117687</v>
          </cell>
          <cell r="C13840" t="str">
            <v>High Wick School</v>
          </cell>
          <cell r="D13840" t="str">
            <v>Hertfordshire</v>
          </cell>
          <cell r="E13840" t="str">
            <v>Community Special School</v>
          </cell>
          <cell r="F13840" t="str">
            <v>Special</v>
          </cell>
        </row>
        <row r="13841">
          <cell r="A13841">
            <v>9193026</v>
          </cell>
          <cell r="B13841">
            <v>117398</v>
          </cell>
          <cell r="C13841" t="str">
            <v>High Wych Church of England Primary School</v>
          </cell>
          <cell r="D13841" t="str">
            <v>Hertfordshire</v>
          </cell>
          <cell r="E13841" t="str">
            <v>Voluntary Controlled School</v>
          </cell>
          <cell r="F13841" t="str">
            <v>Primary</v>
          </cell>
        </row>
        <row r="13842">
          <cell r="A13842">
            <v>8253334</v>
          </cell>
          <cell r="B13842">
            <v>110463</v>
          </cell>
          <cell r="C13842" t="str">
            <v>High Wycombe Church of England Combined School</v>
          </cell>
          <cell r="D13842" t="str">
            <v>Buckinghamshire</v>
          </cell>
          <cell r="E13842" t="str">
            <v>Voluntary Aided School</v>
          </cell>
          <cell r="F13842" t="str">
            <v>Primary</v>
          </cell>
        </row>
        <row r="13843">
          <cell r="A13843">
            <v>9282048</v>
          </cell>
          <cell r="B13843">
            <v>121828</v>
          </cell>
          <cell r="C13843" t="str">
            <v>Higham Ferrers Junior School</v>
          </cell>
          <cell r="D13843" t="str">
            <v>Northamptonshire</v>
          </cell>
          <cell r="E13843" t="str">
            <v>Community School</v>
          </cell>
          <cell r="F13843" t="str">
            <v>Primary</v>
          </cell>
        </row>
        <row r="13844">
          <cell r="A13844">
            <v>9282140</v>
          </cell>
          <cell r="B13844">
            <v>121899</v>
          </cell>
          <cell r="C13844" t="str">
            <v>Higham Ferrers Nursery and Infant School</v>
          </cell>
          <cell r="D13844" t="str">
            <v>Northamptonshire</v>
          </cell>
          <cell r="E13844" t="str">
            <v>Community School</v>
          </cell>
          <cell r="F13844" t="str">
            <v>Primary</v>
          </cell>
        </row>
        <row r="13845">
          <cell r="A13845">
            <v>9374153</v>
          </cell>
          <cell r="B13845">
            <v>125741</v>
          </cell>
          <cell r="C13845" t="str">
            <v>Higham Lane School, A Business &amp; Enterprise College</v>
          </cell>
          <cell r="D13845" t="str">
            <v>Warwickshire</v>
          </cell>
          <cell r="E13845" t="str">
            <v>Community School</v>
          </cell>
          <cell r="F13845" t="str">
            <v>Secondary</v>
          </cell>
        </row>
        <row r="13846">
          <cell r="A13846">
            <v>8862109</v>
          </cell>
          <cell r="B13846">
            <v>118262</v>
          </cell>
          <cell r="C13846" t="str">
            <v>Higham Primary School</v>
          </cell>
          <cell r="D13846" t="str">
            <v>Kent</v>
          </cell>
          <cell r="E13846" t="str">
            <v>Community School</v>
          </cell>
          <cell r="F13846" t="str">
            <v>Primary</v>
          </cell>
        </row>
        <row r="13847">
          <cell r="A13847">
            <v>8883107</v>
          </cell>
          <cell r="B13847">
            <v>119387</v>
          </cell>
          <cell r="C13847" t="str">
            <v>Higham St John's Church of England Primary School</v>
          </cell>
          <cell r="D13847" t="str">
            <v>Lancashire</v>
          </cell>
          <cell r="E13847" t="str">
            <v>Voluntary Controlled School</v>
          </cell>
          <cell r="F13847" t="str">
            <v>Primary</v>
          </cell>
        </row>
        <row r="13848">
          <cell r="A13848">
            <v>8553041</v>
          </cell>
          <cell r="B13848">
            <v>120133</v>
          </cell>
          <cell r="C13848" t="str">
            <v>Higham-on-the-Hill Church of England Primary School</v>
          </cell>
          <cell r="D13848" t="str">
            <v>Leicestershire</v>
          </cell>
          <cell r="E13848" t="str">
            <v>Voluntary Controlled School</v>
          </cell>
          <cell r="F13848" t="str">
            <v>Primary</v>
          </cell>
        </row>
        <row r="13849">
          <cell r="A13849">
            <v>8782255</v>
          </cell>
          <cell r="B13849">
            <v>113177</v>
          </cell>
          <cell r="C13849" t="str">
            <v>Highampton Community Primary School</v>
          </cell>
          <cell r="D13849" t="str">
            <v>Devon</v>
          </cell>
          <cell r="E13849" t="str">
            <v>Community School</v>
          </cell>
          <cell r="F13849" t="str">
            <v>Primary</v>
          </cell>
        </row>
        <row r="13850">
          <cell r="A13850">
            <v>9112606</v>
          </cell>
          <cell r="B13850">
            <v>128699</v>
          </cell>
          <cell r="C13850" t="str">
            <v>Highampton County Primary School</v>
          </cell>
          <cell r="D13850" t="str">
            <v>Pre LGR (1998) Devon</v>
          </cell>
          <cell r="E13850" t="str">
            <v>Community School</v>
          </cell>
          <cell r="F13850" t="str">
            <v>Primary</v>
          </cell>
        </row>
        <row r="13851">
          <cell r="A13851">
            <v>3205400</v>
          </cell>
          <cell r="B13851">
            <v>103107</v>
          </cell>
          <cell r="C13851" t="str">
            <v>Highams Park School</v>
          </cell>
          <cell r="D13851" t="str">
            <v>Waltham Forest</v>
          </cell>
          <cell r="E13851" t="str">
            <v>Voluntary Aided School</v>
          </cell>
          <cell r="F13851" t="str">
            <v>Secondary</v>
          </cell>
        </row>
        <row r="13852">
          <cell r="A13852">
            <v>3205400</v>
          </cell>
          <cell r="B13852">
            <v>137558</v>
          </cell>
          <cell r="C13852" t="str">
            <v>Highams Park School</v>
          </cell>
          <cell r="D13852" t="str">
            <v>Waltham Forest</v>
          </cell>
          <cell r="E13852" t="str">
            <v>Academy Converters</v>
          </cell>
          <cell r="F13852" t="str">
            <v>Secondary</v>
          </cell>
        </row>
        <row r="13853">
          <cell r="A13853">
            <v>9302139</v>
          </cell>
          <cell r="B13853">
            <v>133096</v>
          </cell>
          <cell r="C13853" t="str">
            <v>Highbank Infant School</v>
          </cell>
          <cell r="D13853" t="str">
            <v>Pre LGR (1998) Nottinghamshire</v>
          </cell>
          <cell r="E13853" t="str">
            <v>Community School</v>
          </cell>
          <cell r="F13853" t="str">
            <v>Primary</v>
          </cell>
        </row>
        <row r="13854">
          <cell r="A13854">
            <v>9302142</v>
          </cell>
          <cell r="B13854">
            <v>133097</v>
          </cell>
          <cell r="C13854" t="str">
            <v>Highbank Junior School</v>
          </cell>
          <cell r="D13854" t="str">
            <v>Pre LGR (1998) Nottinghamshire</v>
          </cell>
          <cell r="E13854" t="str">
            <v>Community School</v>
          </cell>
          <cell r="F13854" t="str">
            <v>Primary</v>
          </cell>
        </row>
        <row r="13855">
          <cell r="A13855">
            <v>8922909</v>
          </cell>
          <cell r="B13855">
            <v>122713</v>
          </cell>
          <cell r="C13855" t="str">
            <v>Highbank Primary and Nursery School</v>
          </cell>
          <cell r="D13855" t="str">
            <v>Nottingham</v>
          </cell>
          <cell r="E13855" t="str">
            <v>Community School</v>
          </cell>
          <cell r="F13855" t="str">
            <v>Primary</v>
          </cell>
        </row>
        <row r="13856">
          <cell r="A13856">
            <v>3823023</v>
          </cell>
          <cell r="B13856">
            <v>107715</v>
          </cell>
          <cell r="C13856" t="str">
            <v>Highburton Church of England Voluntary Controlled First School</v>
          </cell>
          <cell r="D13856" t="str">
            <v>Kirklees</v>
          </cell>
          <cell r="E13856" t="str">
            <v>Voluntary Controlled School</v>
          </cell>
          <cell r="F13856" t="str">
            <v>Primary</v>
          </cell>
        </row>
        <row r="13857">
          <cell r="A13857">
            <v>8518014</v>
          </cell>
          <cell r="B13857">
            <v>130697</v>
          </cell>
          <cell r="C13857" t="str">
            <v>Highbury College</v>
          </cell>
          <cell r="D13857" t="str">
            <v>Portsmouth</v>
          </cell>
          <cell r="E13857" t="str">
            <v>Further Education</v>
          </cell>
          <cell r="F13857" t="str">
            <v>16 Plus</v>
          </cell>
        </row>
        <row r="13858">
          <cell r="A13858">
            <v>2064307</v>
          </cell>
          <cell r="B13858">
            <v>100455</v>
          </cell>
          <cell r="C13858" t="str">
            <v>Highbury Fields School</v>
          </cell>
          <cell r="D13858" t="str">
            <v>Islington</v>
          </cell>
          <cell r="E13858" t="str">
            <v>Community School</v>
          </cell>
          <cell r="F13858" t="str">
            <v>Secondary</v>
          </cell>
        </row>
        <row r="13859">
          <cell r="A13859">
            <v>2064108</v>
          </cell>
          <cell r="B13859">
            <v>100452</v>
          </cell>
          <cell r="C13859" t="str">
            <v>Highbury Grove School</v>
          </cell>
          <cell r="D13859" t="str">
            <v>Islington</v>
          </cell>
          <cell r="E13859" t="str">
            <v>Community School</v>
          </cell>
          <cell r="F13859" t="str">
            <v>Secondary</v>
          </cell>
        </row>
        <row r="13860">
          <cell r="A13860">
            <v>9192055</v>
          </cell>
          <cell r="B13860">
            <v>117113</v>
          </cell>
          <cell r="C13860" t="str">
            <v>Highbury Infant School and Nursery</v>
          </cell>
          <cell r="D13860" t="str">
            <v>Hertfordshire</v>
          </cell>
          <cell r="E13860" t="str">
            <v>Community School</v>
          </cell>
          <cell r="F13860" t="str">
            <v>Primary</v>
          </cell>
        </row>
        <row r="13861">
          <cell r="A13861">
            <v>8512674</v>
          </cell>
          <cell r="B13861">
            <v>116196</v>
          </cell>
          <cell r="C13861" t="str">
            <v>Highbury Primary School</v>
          </cell>
          <cell r="D13861" t="str">
            <v>Portsmouth</v>
          </cell>
          <cell r="E13861" t="str">
            <v>Community School</v>
          </cell>
          <cell r="F13861" t="str">
            <v>Primary</v>
          </cell>
        </row>
        <row r="13862">
          <cell r="A13862">
            <v>2062805</v>
          </cell>
          <cell r="B13862">
            <v>100431</v>
          </cell>
          <cell r="C13862" t="str">
            <v>Highbury Quadrant Primary School</v>
          </cell>
          <cell r="D13862" t="str">
            <v>Islington</v>
          </cell>
          <cell r="E13862" t="str">
            <v>Community School</v>
          </cell>
          <cell r="F13862" t="str">
            <v>Primary</v>
          </cell>
        </row>
        <row r="13863">
          <cell r="A13863">
            <v>3817010</v>
          </cell>
          <cell r="B13863">
            <v>107591</v>
          </cell>
          <cell r="C13863" t="str">
            <v>Highbury School</v>
          </cell>
          <cell r="D13863" t="str">
            <v>Calderdale</v>
          </cell>
          <cell r="E13863" t="str">
            <v>Community Special School</v>
          </cell>
          <cell r="F13863" t="str">
            <v>Special</v>
          </cell>
        </row>
        <row r="13864">
          <cell r="A13864">
            <v>3306060</v>
          </cell>
          <cell r="B13864">
            <v>103576</v>
          </cell>
          <cell r="C13864" t="str">
            <v>Highclare School</v>
          </cell>
          <cell r="D13864" t="str">
            <v>Birmingham</v>
          </cell>
          <cell r="E13864" t="str">
            <v>Other Independent School</v>
          </cell>
          <cell r="F13864" t="str">
            <v>Not applicable</v>
          </cell>
        </row>
        <row r="13865">
          <cell r="A13865">
            <v>3306063</v>
          </cell>
          <cell r="B13865">
            <v>103577</v>
          </cell>
          <cell r="C13865" t="str">
            <v>Highclare School St Paul's</v>
          </cell>
          <cell r="D13865" t="str">
            <v>Birmingham</v>
          </cell>
          <cell r="E13865" t="str">
            <v>Other Independent School</v>
          </cell>
          <cell r="F13865" t="str">
            <v>Not applicable</v>
          </cell>
        </row>
        <row r="13866">
          <cell r="A13866">
            <v>8355204</v>
          </cell>
          <cell r="B13866">
            <v>113737</v>
          </cell>
          <cell r="C13866" t="str">
            <v>Highcliffe Junior School</v>
          </cell>
          <cell r="D13866" t="str">
            <v>Dorset</v>
          </cell>
          <cell r="E13866" t="str">
            <v>Foundation School</v>
          </cell>
          <cell r="F13866" t="str">
            <v>Primary</v>
          </cell>
        </row>
        <row r="13867">
          <cell r="A13867">
            <v>8072000</v>
          </cell>
          <cell r="B13867">
            <v>131457</v>
          </cell>
          <cell r="C13867" t="str">
            <v>Highcliffe Primary School</v>
          </cell>
          <cell r="D13867" t="str">
            <v>Redcar and Cleveland</v>
          </cell>
          <cell r="E13867" t="str">
            <v>Community School</v>
          </cell>
          <cell r="F13867" t="str">
            <v>Primary</v>
          </cell>
        </row>
        <row r="13868">
          <cell r="A13868">
            <v>8552367</v>
          </cell>
          <cell r="B13868">
            <v>120091</v>
          </cell>
          <cell r="C13868" t="str">
            <v>Highcliffe Primary School and Community Centre</v>
          </cell>
          <cell r="D13868" t="str">
            <v>Leicestershire</v>
          </cell>
          <cell r="E13868" t="str">
            <v>Community School</v>
          </cell>
          <cell r="F13868" t="str">
            <v>Primary</v>
          </cell>
        </row>
        <row r="13869">
          <cell r="A13869">
            <v>8355406</v>
          </cell>
          <cell r="B13869">
            <v>113906</v>
          </cell>
          <cell r="C13869" t="str">
            <v>Highcliffe School</v>
          </cell>
          <cell r="D13869" t="str">
            <v>Dorset</v>
          </cell>
          <cell r="E13869" t="str">
            <v>Foundation School</v>
          </cell>
          <cell r="F13869" t="str">
            <v>Secondary</v>
          </cell>
        </row>
        <row r="13870">
          <cell r="A13870">
            <v>8355406</v>
          </cell>
          <cell r="B13870">
            <v>136763</v>
          </cell>
          <cell r="C13870" t="str">
            <v>Highcliffe School</v>
          </cell>
          <cell r="D13870" t="str">
            <v>Dorset</v>
          </cell>
          <cell r="E13870" t="str">
            <v>Academy Converters</v>
          </cell>
          <cell r="F13870" t="str">
            <v>Secondary</v>
          </cell>
        </row>
        <row r="13871">
          <cell r="A13871">
            <v>8353699</v>
          </cell>
          <cell r="B13871">
            <v>134987</v>
          </cell>
          <cell r="C13871" t="str">
            <v>Highcliffe St Mark Primary School</v>
          </cell>
          <cell r="D13871" t="str">
            <v>Dorset</v>
          </cell>
          <cell r="E13871" t="str">
            <v>Foundation School</v>
          </cell>
          <cell r="F13871" t="str">
            <v>Primary</v>
          </cell>
        </row>
        <row r="13872">
          <cell r="A13872">
            <v>9366585</v>
          </cell>
          <cell r="B13872">
            <v>134562</v>
          </cell>
          <cell r="C13872" t="str">
            <v>Highcombe Edge School</v>
          </cell>
          <cell r="D13872" t="str">
            <v>Surrey</v>
          </cell>
          <cell r="E13872" t="str">
            <v>Other Independent School</v>
          </cell>
          <cell r="F13872" t="str">
            <v>Not applicable</v>
          </cell>
        </row>
        <row r="13873">
          <cell r="A13873">
            <v>8254001</v>
          </cell>
          <cell r="B13873">
            <v>136858</v>
          </cell>
          <cell r="C13873" t="str">
            <v>Highcrest Academy</v>
          </cell>
          <cell r="D13873" t="str">
            <v>Buckinghamshire</v>
          </cell>
          <cell r="E13873" t="str">
            <v>Academy Converters</v>
          </cell>
          <cell r="F13873" t="str">
            <v>Secondary</v>
          </cell>
        </row>
        <row r="13874">
          <cell r="A13874">
            <v>8254001</v>
          </cell>
          <cell r="B13874">
            <v>133514</v>
          </cell>
          <cell r="C13874" t="str">
            <v>Highcrest Community School</v>
          </cell>
          <cell r="D13874" t="str">
            <v>Buckinghamshire</v>
          </cell>
          <cell r="E13874" t="str">
            <v>Community School</v>
          </cell>
          <cell r="F13874" t="str">
            <v>Secondary</v>
          </cell>
        </row>
        <row r="13875">
          <cell r="A13875">
            <v>8032201</v>
          </cell>
          <cell r="B13875">
            <v>109035</v>
          </cell>
          <cell r="C13875" t="str">
            <v>Highcroft Junior School</v>
          </cell>
          <cell r="D13875" t="str">
            <v>South Gloucestershire</v>
          </cell>
          <cell r="E13875" t="str">
            <v>Community School</v>
          </cell>
          <cell r="F13875" t="str">
            <v>Primary</v>
          </cell>
        </row>
        <row r="13876">
          <cell r="A13876">
            <v>8406012</v>
          </cell>
          <cell r="B13876">
            <v>136748</v>
          </cell>
          <cell r="C13876" t="str">
            <v>Highcroft School</v>
          </cell>
          <cell r="D13876" t="str">
            <v>Durham</v>
          </cell>
          <cell r="E13876" t="str">
            <v>Other Independent Special School</v>
          </cell>
          <cell r="F13876" t="str">
            <v>Not applicable</v>
          </cell>
        </row>
        <row r="13877">
          <cell r="A13877">
            <v>9013083</v>
          </cell>
          <cell r="B13877">
            <v>128233</v>
          </cell>
          <cell r="C13877" t="str">
            <v>Highdale CofE Junior School</v>
          </cell>
          <cell r="D13877" t="str">
            <v>Pre LGR (1996) Avon</v>
          </cell>
          <cell r="E13877" t="str">
            <v>Voluntary Controlled School</v>
          </cell>
          <cell r="F13877" t="str">
            <v>Primary</v>
          </cell>
        </row>
        <row r="13878">
          <cell r="A13878">
            <v>9016109</v>
          </cell>
          <cell r="B13878">
            <v>128245</v>
          </cell>
          <cell r="C13878" t="str">
            <v>Highdene School</v>
          </cell>
          <cell r="D13878" t="str">
            <v>Pre LGR (1996) Avon</v>
          </cell>
          <cell r="E13878" t="str">
            <v>Other Independent School</v>
          </cell>
          <cell r="F13878" t="str">
            <v>Not applicable</v>
          </cell>
        </row>
        <row r="13879">
          <cell r="A13879">
            <v>8704020</v>
          </cell>
          <cell r="B13879">
            <v>110044</v>
          </cell>
          <cell r="C13879" t="str">
            <v>Highdown School and Sixth Form Centre</v>
          </cell>
          <cell r="D13879" t="str">
            <v>Reading</v>
          </cell>
          <cell r="E13879" t="str">
            <v>Foundation School</v>
          </cell>
          <cell r="F13879" t="str">
            <v>Secondary</v>
          </cell>
        </row>
        <row r="13880">
          <cell r="A13880">
            <v>8704020</v>
          </cell>
          <cell r="B13880">
            <v>136307</v>
          </cell>
          <cell r="C13880" t="str">
            <v>Highdown School and Sixth Form Centre</v>
          </cell>
          <cell r="D13880" t="str">
            <v>Reading</v>
          </cell>
          <cell r="E13880" t="str">
            <v>Academy Converters</v>
          </cell>
          <cell r="F13880" t="str">
            <v>Secondary</v>
          </cell>
        </row>
        <row r="13881">
          <cell r="A13881">
            <v>3442203</v>
          </cell>
          <cell r="B13881">
            <v>105009</v>
          </cell>
          <cell r="C13881" t="str">
            <v>Higher Bebington Junior School</v>
          </cell>
          <cell r="D13881" t="str">
            <v>Wirral</v>
          </cell>
          <cell r="E13881" t="str">
            <v>Community School</v>
          </cell>
          <cell r="F13881" t="str">
            <v>Primary</v>
          </cell>
        </row>
        <row r="13882">
          <cell r="A13882">
            <v>8892170</v>
          </cell>
          <cell r="B13882">
            <v>119223</v>
          </cell>
          <cell r="C13882" t="str">
            <v>Higher Croft Community Primary School</v>
          </cell>
          <cell r="D13882" t="str">
            <v>Blackburn with Darwen</v>
          </cell>
          <cell r="E13882" t="str">
            <v>Community School</v>
          </cell>
          <cell r="F13882" t="str">
            <v>Primary</v>
          </cell>
        </row>
        <row r="13883">
          <cell r="A13883">
            <v>3533504</v>
          </cell>
          <cell r="B13883">
            <v>134784</v>
          </cell>
          <cell r="C13883" t="str">
            <v>Higher Failsworth Primary School</v>
          </cell>
          <cell r="D13883" t="str">
            <v>Oldham</v>
          </cell>
          <cell r="E13883" t="str">
            <v>Community School</v>
          </cell>
          <cell r="F13883" t="str">
            <v>Primary</v>
          </cell>
        </row>
        <row r="13884">
          <cell r="A13884">
            <v>3592041</v>
          </cell>
          <cell r="B13884">
            <v>106423</v>
          </cell>
          <cell r="C13884" t="str">
            <v>Higher Folds Primary School</v>
          </cell>
          <cell r="D13884" t="str">
            <v>Wigan</v>
          </cell>
          <cell r="E13884" t="str">
            <v>Community School</v>
          </cell>
          <cell r="F13884" t="str">
            <v>Primary</v>
          </cell>
        </row>
        <row r="13885">
          <cell r="A13885">
            <v>3512040</v>
          </cell>
          <cell r="B13885">
            <v>105309</v>
          </cell>
          <cell r="C13885" t="str">
            <v>Higher Lane Junior School</v>
          </cell>
          <cell r="D13885" t="str">
            <v>Bury</v>
          </cell>
          <cell r="E13885" t="str">
            <v>Community School</v>
          </cell>
          <cell r="F13885" t="str">
            <v>Primary</v>
          </cell>
        </row>
        <row r="13886">
          <cell r="A13886">
            <v>3512033</v>
          </cell>
          <cell r="B13886">
            <v>105302</v>
          </cell>
          <cell r="C13886" t="str">
            <v>Higher Lane Primary School</v>
          </cell>
          <cell r="D13886" t="str">
            <v>Bury</v>
          </cell>
          <cell r="E13886" t="str">
            <v>Community School</v>
          </cell>
          <cell r="F13886" t="str">
            <v>Primary</v>
          </cell>
        </row>
        <row r="13887">
          <cell r="A13887">
            <v>3522303</v>
          </cell>
          <cell r="B13887">
            <v>105471</v>
          </cell>
          <cell r="C13887" t="str">
            <v>Higher Openshaw Community School</v>
          </cell>
          <cell r="D13887" t="str">
            <v>Manchester</v>
          </cell>
          <cell r="E13887" t="str">
            <v>Community School</v>
          </cell>
          <cell r="F13887" t="str">
            <v>Primary</v>
          </cell>
        </row>
        <row r="13888">
          <cell r="A13888">
            <v>3404008</v>
          </cell>
          <cell r="B13888">
            <v>104486</v>
          </cell>
          <cell r="C13888" t="str">
            <v>Higher Side Community Comprehensive School</v>
          </cell>
          <cell r="D13888" t="str">
            <v>Knowsley</v>
          </cell>
          <cell r="E13888" t="str">
            <v>Community School</v>
          </cell>
          <cell r="F13888" t="str">
            <v>Secondary</v>
          </cell>
        </row>
        <row r="13889">
          <cell r="A13889">
            <v>8883127</v>
          </cell>
          <cell r="B13889">
            <v>119393</v>
          </cell>
          <cell r="C13889" t="str">
            <v>Higher Walton Church of England Primary School</v>
          </cell>
          <cell r="D13889" t="str">
            <v>Lancashire</v>
          </cell>
          <cell r="E13889" t="str">
            <v>Voluntary Controlled School</v>
          </cell>
          <cell r="F13889" t="str">
            <v>Primary</v>
          </cell>
        </row>
        <row r="13890">
          <cell r="A13890">
            <v>8523655</v>
          </cell>
          <cell r="B13890">
            <v>116395</v>
          </cell>
          <cell r="C13890" t="str">
            <v>Highfield Church of England Primary School</v>
          </cell>
          <cell r="D13890" t="str">
            <v>Southampton</v>
          </cell>
          <cell r="E13890" t="str">
            <v>Voluntary Aided School</v>
          </cell>
          <cell r="F13890" t="str">
            <v>Primary</v>
          </cell>
        </row>
        <row r="13891">
          <cell r="A13891">
            <v>3902186</v>
          </cell>
          <cell r="B13891">
            <v>108351</v>
          </cell>
          <cell r="C13891" t="str">
            <v>Highfield Community Primary School</v>
          </cell>
          <cell r="D13891" t="str">
            <v>Gateshead</v>
          </cell>
          <cell r="E13891" t="str">
            <v>Community School</v>
          </cell>
          <cell r="F13891" t="str">
            <v>Primary</v>
          </cell>
        </row>
        <row r="13892">
          <cell r="A13892">
            <v>8962727</v>
          </cell>
          <cell r="B13892">
            <v>131421</v>
          </cell>
          <cell r="C13892" t="str">
            <v>Highfield Community Primary School</v>
          </cell>
          <cell r="D13892" t="str">
            <v>Cheshire West and Chester</v>
          </cell>
          <cell r="E13892" t="str">
            <v>Community School</v>
          </cell>
          <cell r="F13892" t="str">
            <v>Primary</v>
          </cell>
        </row>
        <row r="13893">
          <cell r="A13893">
            <v>3943333</v>
          </cell>
          <cell r="B13893">
            <v>134644</v>
          </cell>
          <cell r="C13893" t="str">
            <v>Highfield Community Primary School</v>
          </cell>
          <cell r="D13893" t="str">
            <v>Sunderland</v>
          </cell>
          <cell r="E13893" t="str">
            <v>Community School</v>
          </cell>
          <cell r="F13893" t="str">
            <v>Primary</v>
          </cell>
        </row>
        <row r="13894">
          <cell r="A13894">
            <v>8792728</v>
          </cell>
          <cell r="B13894">
            <v>131299</v>
          </cell>
          <cell r="C13894" t="str">
            <v>Highfield Community School</v>
          </cell>
          <cell r="D13894" t="str">
            <v>Plymouth</v>
          </cell>
          <cell r="E13894" t="str">
            <v>Community School</v>
          </cell>
          <cell r="F13894" t="str">
            <v>Primary</v>
          </cell>
        </row>
        <row r="13895">
          <cell r="A13895">
            <v>9062059</v>
          </cell>
          <cell r="B13895">
            <v>110980</v>
          </cell>
          <cell r="C13895" t="str">
            <v>Highfield County Infant School</v>
          </cell>
          <cell r="D13895" t="str">
            <v>Pre LGR (1998) Cheshire</v>
          </cell>
          <cell r="E13895" t="str">
            <v>Community School</v>
          </cell>
          <cell r="F13895" t="str">
            <v>Primary</v>
          </cell>
        </row>
        <row r="13896">
          <cell r="A13896">
            <v>9062058</v>
          </cell>
          <cell r="B13896">
            <v>110979</v>
          </cell>
          <cell r="C13896" t="str">
            <v>Highfield County Junior School</v>
          </cell>
          <cell r="D13896" t="str">
            <v>Pre LGR (1998) Cheshire</v>
          </cell>
          <cell r="E13896" t="str">
            <v>Community School</v>
          </cell>
          <cell r="F13896" t="str">
            <v>Primary</v>
          </cell>
        </row>
        <row r="13897">
          <cell r="A13897">
            <v>3832092</v>
          </cell>
          <cell r="B13897">
            <v>127827</v>
          </cell>
          <cell r="C13897" t="str">
            <v>Highfield First School</v>
          </cell>
          <cell r="D13897" t="str">
            <v>Leeds</v>
          </cell>
          <cell r="E13897" t="str">
            <v>Community School</v>
          </cell>
          <cell r="F13897" t="str">
            <v>Primary</v>
          </cell>
        </row>
        <row r="13898">
          <cell r="A13898">
            <v>9344168</v>
          </cell>
          <cell r="B13898">
            <v>129948</v>
          </cell>
          <cell r="C13898" t="str">
            <v>Highfield Grove Middle School</v>
          </cell>
          <cell r="D13898" t="str">
            <v>Pre LGR (1997) Staffordshire</v>
          </cell>
          <cell r="E13898" t="str">
            <v>Community School</v>
          </cell>
          <cell r="F13898" t="str">
            <v>Middle Deemed Secondary</v>
          </cell>
        </row>
        <row r="13899">
          <cell r="A13899">
            <v>8302293</v>
          </cell>
          <cell r="B13899">
            <v>112667</v>
          </cell>
          <cell r="C13899" t="str">
            <v>Highfield Hall Primary School</v>
          </cell>
          <cell r="D13899" t="str">
            <v>Derbyshire</v>
          </cell>
          <cell r="E13899" t="str">
            <v>Community School</v>
          </cell>
          <cell r="F13899" t="str">
            <v>Primary</v>
          </cell>
        </row>
        <row r="13900">
          <cell r="A13900">
            <v>8904053</v>
          </cell>
          <cell r="B13900">
            <v>119732</v>
          </cell>
          <cell r="C13900" t="str">
            <v>Highfield Humanities College</v>
          </cell>
          <cell r="D13900" t="str">
            <v>Blackpool</v>
          </cell>
          <cell r="E13900" t="str">
            <v>Community School</v>
          </cell>
          <cell r="F13900" t="str">
            <v>Secondary</v>
          </cell>
        </row>
        <row r="13901">
          <cell r="A13901">
            <v>3082067</v>
          </cell>
          <cell r="B13901">
            <v>102009</v>
          </cell>
          <cell r="C13901" t="str">
            <v>Highfield Infant School</v>
          </cell>
          <cell r="D13901" t="str">
            <v>Enfield</v>
          </cell>
          <cell r="E13901" t="str">
            <v>Community School</v>
          </cell>
          <cell r="F13901" t="str">
            <v>Primary</v>
          </cell>
        </row>
        <row r="13902">
          <cell r="A13902">
            <v>3055203</v>
          </cell>
          <cell r="B13902">
            <v>101663</v>
          </cell>
          <cell r="C13902" t="str">
            <v>Highfield Infants' School</v>
          </cell>
          <cell r="D13902" t="str">
            <v>Bromley</v>
          </cell>
          <cell r="E13902" t="str">
            <v>Foundation School</v>
          </cell>
          <cell r="F13902" t="str">
            <v>Primary</v>
          </cell>
        </row>
        <row r="13903">
          <cell r="A13903">
            <v>3932031</v>
          </cell>
          <cell r="B13903">
            <v>108680</v>
          </cell>
          <cell r="C13903" t="str">
            <v>Highfield Infants' School</v>
          </cell>
          <cell r="D13903" t="str">
            <v>South Tyneside</v>
          </cell>
          <cell r="E13903" t="str">
            <v>Community School</v>
          </cell>
          <cell r="F13903" t="str">
            <v>Primary</v>
          </cell>
        </row>
        <row r="13904">
          <cell r="A13904">
            <v>9112633</v>
          </cell>
          <cell r="B13904">
            <v>113272</v>
          </cell>
          <cell r="C13904" t="str">
            <v>Highfield Infants' School</v>
          </cell>
          <cell r="D13904" t="str">
            <v>Pre LGR (1998) Devon</v>
          </cell>
          <cell r="E13904" t="str">
            <v>Community School</v>
          </cell>
          <cell r="F13904" t="str">
            <v>Primary</v>
          </cell>
        </row>
        <row r="13905">
          <cell r="A13905">
            <v>3302101</v>
          </cell>
          <cell r="B13905">
            <v>103215</v>
          </cell>
          <cell r="C13905" t="str">
            <v>Highfield Junior and Infant School</v>
          </cell>
          <cell r="D13905" t="str">
            <v>Birmingham</v>
          </cell>
          <cell r="E13905" t="str">
            <v>Community School</v>
          </cell>
          <cell r="F13905" t="str">
            <v>Primary</v>
          </cell>
        </row>
        <row r="13906">
          <cell r="A13906">
            <v>3055204</v>
          </cell>
          <cell r="B13906">
            <v>101664</v>
          </cell>
          <cell r="C13906" t="str">
            <v>Highfield Junior School</v>
          </cell>
          <cell r="D13906" t="str">
            <v>Bromley</v>
          </cell>
          <cell r="E13906" t="str">
            <v>Foundation School</v>
          </cell>
          <cell r="F13906" t="str">
            <v>Primary</v>
          </cell>
        </row>
        <row r="13907">
          <cell r="A13907">
            <v>3082066</v>
          </cell>
          <cell r="B13907">
            <v>102008</v>
          </cell>
          <cell r="C13907" t="str">
            <v>Highfield Junior School</v>
          </cell>
          <cell r="D13907" t="str">
            <v>Enfield</v>
          </cell>
          <cell r="E13907" t="str">
            <v>Community School</v>
          </cell>
          <cell r="F13907" t="str">
            <v>Primary</v>
          </cell>
        </row>
        <row r="13908">
          <cell r="A13908">
            <v>9112632</v>
          </cell>
          <cell r="B13908">
            <v>113271</v>
          </cell>
          <cell r="C13908" t="str">
            <v>Highfield Junior School</v>
          </cell>
          <cell r="D13908" t="str">
            <v>Pre LGR (1998) Devon</v>
          </cell>
          <cell r="E13908" t="str">
            <v>Community School</v>
          </cell>
          <cell r="F13908" t="str">
            <v>Primary</v>
          </cell>
        </row>
        <row r="13909">
          <cell r="A13909">
            <v>8452139</v>
          </cell>
          <cell r="B13909">
            <v>114463</v>
          </cell>
          <cell r="C13909" t="str">
            <v>Highfield Junior School</v>
          </cell>
          <cell r="D13909" t="str">
            <v>East Sussex</v>
          </cell>
          <cell r="E13909" t="str">
            <v>Community School</v>
          </cell>
          <cell r="F13909" t="str">
            <v>Primary</v>
          </cell>
        </row>
        <row r="13910">
          <cell r="A13910">
            <v>3804067</v>
          </cell>
          <cell r="B13910">
            <v>107389</v>
          </cell>
          <cell r="C13910" t="str">
            <v>Highfield Middle School</v>
          </cell>
          <cell r="D13910" t="str">
            <v>Bradford</v>
          </cell>
          <cell r="E13910" t="str">
            <v>Community School</v>
          </cell>
          <cell r="F13910" t="str">
            <v>Middle Deemed Secondary</v>
          </cell>
        </row>
        <row r="13911">
          <cell r="A13911">
            <v>9294198</v>
          </cell>
          <cell r="B13911">
            <v>122340</v>
          </cell>
          <cell r="C13911" t="str">
            <v>Highfield Middle School</v>
          </cell>
          <cell r="D13911" t="str">
            <v>Northumberland</v>
          </cell>
          <cell r="E13911" t="str">
            <v>Community School</v>
          </cell>
          <cell r="F13911" t="str">
            <v>Middle Deemed Secondary</v>
          </cell>
        </row>
        <row r="13912">
          <cell r="A13912">
            <v>3301010</v>
          </cell>
          <cell r="B13912">
            <v>103125</v>
          </cell>
          <cell r="C13912" t="str">
            <v>Highfield Nursery School</v>
          </cell>
          <cell r="D13912" t="str">
            <v>Birmingham</v>
          </cell>
          <cell r="E13912" t="str">
            <v>LA Nursery School</v>
          </cell>
          <cell r="F13912" t="str">
            <v>Nursery</v>
          </cell>
        </row>
        <row r="13913">
          <cell r="A13913">
            <v>8881003</v>
          </cell>
          <cell r="B13913">
            <v>119067</v>
          </cell>
          <cell r="C13913" t="str">
            <v>Highfield Nursery School</v>
          </cell>
          <cell r="D13913" t="str">
            <v>Lancashire</v>
          </cell>
          <cell r="E13913" t="str">
            <v>LA Nursery School</v>
          </cell>
          <cell r="F13913" t="str">
            <v>Nursery</v>
          </cell>
        </row>
        <row r="13914">
          <cell r="A13914">
            <v>9351001</v>
          </cell>
          <cell r="B13914">
            <v>124525</v>
          </cell>
          <cell r="C13914" t="str">
            <v>Highfield Nursery School</v>
          </cell>
          <cell r="D13914" t="str">
            <v>Suffolk</v>
          </cell>
          <cell r="E13914" t="str">
            <v>LA Nursery School</v>
          </cell>
          <cell r="F13914" t="str">
            <v>Nursery</v>
          </cell>
        </row>
        <row r="13915">
          <cell r="A13915">
            <v>9191007</v>
          </cell>
          <cell r="B13915">
            <v>129109</v>
          </cell>
          <cell r="C13915" t="str">
            <v>Highfield Nursery School</v>
          </cell>
          <cell r="D13915" t="str">
            <v>Hertfordshire</v>
          </cell>
          <cell r="E13915" t="str">
            <v>LA Nursery School</v>
          </cell>
          <cell r="F13915" t="str">
            <v>Nursery</v>
          </cell>
        </row>
        <row r="13916">
          <cell r="A13916">
            <v>9281003</v>
          </cell>
          <cell r="B13916">
            <v>121784</v>
          </cell>
          <cell r="C13916" t="str">
            <v>Highfield Nursery School and Children's Centre</v>
          </cell>
          <cell r="D13916" t="str">
            <v>Northamptonshire</v>
          </cell>
          <cell r="E13916" t="str">
            <v>LA Nursery School</v>
          </cell>
          <cell r="F13916" t="str">
            <v>Nursery</v>
          </cell>
        </row>
        <row r="13917">
          <cell r="A13917">
            <v>8912722</v>
          </cell>
          <cell r="B13917">
            <v>122634</v>
          </cell>
          <cell r="C13917" t="str">
            <v>Highfield Primary and Nursery School</v>
          </cell>
          <cell r="D13917" t="str">
            <v>Nottinghamshire</v>
          </cell>
          <cell r="E13917" t="str">
            <v>Community School</v>
          </cell>
          <cell r="F13917" t="str">
            <v>Primary</v>
          </cell>
        </row>
        <row r="13918">
          <cell r="A13918">
            <v>3122063</v>
          </cell>
          <cell r="B13918">
            <v>102407</v>
          </cell>
          <cell r="C13918" t="str">
            <v>Highfield Primary School</v>
          </cell>
          <cell r="D13918" t="str">
            <v>Hillingdon</v>
          </cell>
          <cell r="E13918" t="str">
            <v>Community School</v>
          </cell>
          <cell r="F13918" t="str">
            <v>Primary</v>
          </cell>
        </row>
        <row r="13919">
          <cell r="A13919">
            <v>3502056</v>
          </cell>
          <cell r="B13919">
            <v>105182</v>
          </cell>
          <cell r="C13919" t="str">
            <v>Highfield Primary School</v>
          </cell>
          <cell r="D13919" t="str">
            <v>Bolton</v>
          </cell>
          <cell r="E13919" t="str">
            <v>Community School</v>
          </cell>
          <cell r="F13919" t="str">
            <v>Primary</v>
          </cell>
        </row>
        <row r="13920">
          <cell r="A13920">
            <v>3582058</v>
          </cell>
          <cell r="B13920">
            <v>106329</v>
          </cell>
          <cell r="C13920" t="str">
            <v>Highfield Primary School</v>
          </cell>
          <cell r="D13920" t="str">
            <v>Trafford</v>
          </cell>
          <cell r="E13920" t="str">
            <v>Community School</v>
          </cell>
          <cell r="F13920" t="str">
            <v>Primary</v>
          </cell>
        </row>
        <row r="13921">
          <cell r="A13921">
            <v>3832438</v>
          </cell>
          <cell r="B13921">
            <v>107914</v>
          </cell>
          <cell r="C13921" t="str">
            <v>Highfield Primary School</v>
          </cell>
          <cell r="D13921" t="str">
            <v>Leeds</v>
          </cell>
          <cell r="E13921" t="str">
            <v>Community School</v>
          </cell>
          <cell r="F13921" t="str">
            <v>Primary</v>
          </cell>
        </row>
        <row r="13922">
          <cell r="A13922">
            <v>8302620</v>
          </cell>
          <cell r="B13922">
            <v>112783</v>
          </cell>
          <cell r="C13922" t="str">
            <v>Highfield Primary School</v>
          </cell>
          <cell r="D13922" t="str">
            <v>Derbyshire</v>
          </cell>
          <cell r="E13922" t="str">
            <v>Community School</v>
          </cell>
          <cell r="F13922" t="str">
            <v>Primary</v>
          </cell>
        </row>
        <row r="13923">
          <cell r="A13923">
            <v>8882145</v>
          </cell>
          <cell r="B13923">
            <v>119204</v>
          </cell>
          <cell r="C13923" t="str">
            <v>Highfield Primary School</v>
          </cell>
          <cell r="D13923" t="str">
            <v>Lancashire</v>
          </cell>
          <cell r="E13923" t="str">
            <v>Community School</v>
          </cell>
          <cell r="F13923" t="str">
            <v>Primary</v>
          </cell>
        </row>
        <row r="13924">
          <cell r="A13924">
            <v>3082092</v>
          </cell>
          <cell r="B13924">
            <v>132203</v>
          </cell>
          <cell r="C13924" t="str">
            <v>Highfield Primary School</v>
          </cell>
          <cell r="D13924" t="str">
            <v>Enfield</v>
          </cell>
          <cell r="E13924" t="str">
            <v>Community School</v>
          </cell>
          <cell r="F13924" t="str">
            <v>Primary</v>
          </cell>
        </row>
        <row r="13925">
          <cell r="A13925">
            <v>8886009</v>
          </cell>
          <cell r="B13925">
            <v>119828</v>
          </cell>
          <cell r="C13925" t="str">
            <v>Highfield Priory School</v>
          </cell>
          <cell r="D13925" t="str">
            <v>Lancashire</v>
          </cell>
          <cell r="E13925" t="str">
            <v>Other Independent School</v>
          </cell>
          <cell r="F13925" t="str">
            <v>Not applicable</v>
          </cell>
        </row>
        <row r="13926">
          <cell r="A13926">
            <v>3096052</v>
          </cell>
          <cell r="B13926">
            <v>102164</v>
          </cell>
          <cell r="C13926" t="str">
            <v>Highfield School</v>
          </cell>
          <cell r="D13926" t="str">
            <v>Haringey</v>
          </cell>
          <cell r="E13926" t="str">
            <v>Other Independent School</v>
          </cell>
          <cell r="F13926" t="str">
            <v>Not applicable</v>
          </cell>
        </row>
        <row r="13927">
          <cell r="A13927">
            <v>3407006</v>
          </cell>
          <cell r="B13927">
            <v>104496</v>
          </cell>
          <cell r="C13927" t="str">
            <v>Highfield School</v>
          </cell>
          <cell r="D13927" t="str">
            <v>Knowsley</v>
          </cell>
          <cell r="E13927" t="str">
            <v>Community Special School</v>
          </cell>
          <cell r="F13927" t="str">
            <v>Special</v>
          </cell>
        </row>
        <row r="13928">
          <cell r="A13928">
            <v>3446001</v>
          </cell>
          <cell r="B13928">
            <v>105116</v>
          </cell>
          <cell r="C13928" t="str">
            <v>Highfield School</v>
          </cell>
          <cell r="D13928" t="str">
            <v>Wirral</v>
          </cell>
          <cell r="E13928" t="str">
            <v>Other Independent School</v>
          </cell>
          <cell r="F13928" t="str">
            <v>Not applicable</v>
          </cell>
        </row>
        <row r="13929">
          <cell r="A13929">
            <v>3847002</v>
          </cell>
          <cell r="B13929">
            <v>108311</v>
          </cell>
          <cell r="C13929" t="str">
            <v>Highfield School</v>
          </cell>
          <cell r="D13929" t="str">
            <v>Wakefield</v>
          </cell>
          <cell r="E13929" t="str">
            <v>Foundation Special School</v>
          </cell>
          <cell r="F13929" t="str">
            <v>Special</v>
          </cell>
        </row>
        <row r="13930">
          <cell r="A13930">
            <v>9386252</v>
          </cell>
          <cell r="B13930">
            <v>126151</v>
          </cell>
          <cell r="C13930" t="str">
            <v>Highfield School</v>
          </cell>
          <cell r="D13930" t="str">
            <v>West Sussex</v>
          </cell>
          <cell r="E13930" t="str">
            <v>Other Independent School</v>
          </cell>
          <cell r="F13930" t="str">
            <v>Not applicable</v>
          </cell>
        </row>
        <row r="13931">
          <cell r="A13931">
            <v>3904037</v>
          </cell>
          <cell r="B13931">
            <v>128115</v>
          </cell>
          <cell r="C13931" t="str">
            <v>Highfield School</v>
          </cell>
          <cell r="D13931" t="str">
            <v>Gateshead</v>
          </cell>
          <cell r="E13931" t="str">
            <v>Community School</v>
          </cell>
          <cell r="F13931" t="str">
            <v>Secondary</v>
          </cell>
        </row>
        <row r="13932">
          <cell r="A13932">
            <v>9224072</v>
          </cell>
          <cell r="B13932">
            <v>129418</v>
          </cell>
          <cell r="C13932" t="str">
            <v>Highfield School</v>
          </cell>
          <cell r="D13932" t="str">
            <v>Pre LGR (1998) Kent</v>
          </cell>
          <cell r="E13932" t="str">
            <v>Community School</v>
          </cell>
          <cell r="F13932" t="str">
            <v>Secondary</v>
          </cell>
        </row>
        <row r="13933">
          <cell r="A13933">
            <v>9366290</v>
          </cell>
          <cell r="B13933">
            <v>130118</v>
          </cell>
          <cell r="C13933" t="str">
            <v>Highfield School</v>
          </cell>
          <cell r="D13933" t="str">
            <v>Surrey</v>
          </cell>
          <cell r="E13933" t="str">
            <v>Other Independent School</v>
          </cell>
          <cell r="F13933" t="str">
            <v>Not applicable</v>
          </cell>
        </row>
        <row r="13934">
          <cell r="A13934">
            <v>9386211</v>
          </cell>
          <cell r="B13934">
            <v>130196</v>
          </cell>
          <cell r="C13934" t="str">
            <v>Highfield School</v>
          </cell>
          <cell r="D13934" t="str">
            <v>West Sussex</v>
          </cell>
          <cell r="E13934" t="str">
            <v>Other Independent School</v>
          </cell>
          <cell r="F13934" t="str">
            <v>Not applicable</v>
          </cell>
        </row>
        <row r="13935">
          <cell r="A13935">
            <v>8306039</v>
          </cell>
          <cell r="B13935">
            <v>135074</v>
          </cell>
          <cell r="C13935" t="str">
            <v>Highfield School</v>
          </cell>
          <cell r="D13935" t="str">
            <v>Derbyshire</v>
          </cell>
          <cell r="E13935" t="str">
            <v>Other Independent School</v>
          </cell>
          <cell r="F13935" t="str">
            <v>Not applicable</v>
          </cell>
        </row>
        <row r="13936">
          <cell r="A13936">
            <v>2126146</v>
          </cell>
          <cell r="B13936">
            <v>101066</v>
          </cell>
          <cell r="C13936" t="str">
            <v>Highfield School and Nursery</v>
          </cell>
          <cell r="D13936" t="str">
            <v>Wandsworth</v>
          </cell>
          <cell r="E13936" t="str">
            <v>Other Independent School</v>
          </cell>
          <cell r="F13936" t="str">
            <v>Not applicable</v>
          </cell>
        </row>
        <row r="13937">
          <cell r="A13937">
            <v>8686009</v>
          </cell>
          <cell r="B13937">
            <v>110145</v>
          </cell>
          <cell r="C13937" t="str">
            <v>Highfield School Trust Limited</v>
          </cell>
          <cell r="D13937" t="str">
            <v>Windsor and Maidenhead</v>
          </cell>
          <cell r="E13937" t="str">
            <v>Other Independent School</v>
          </cell>
          <cell r="F13937" t="str">
            <v>Not applicable</v>
          </cell>
        </row>
        <row r="13938">
          <cell r="A13938">
            <v>8737007</v>
          </cell>
          <cell r="B13938">
            <v>110940</v>
          </cell>
          <cell r="C13938" t="str">
            <v>Highfield Special School</v>
          </cell>
          <cell r="D13938" t="str">
            <v>Cambridgeshire</v>
          </cell>
          <cell r="E13938" t="str">
            <v>Community Special School</v>
          </cell>
          <cell r="F13938" t="str">
            <v>Special</v>
          </cell>
        </row>
        <row r="13939">
          <cell r="A13939">
            <v>3593306</v>
          </cell>
          <cell r="B13939">
            <v>106450</v>
          </cell>
          <cell r="C13939" t="str">
            <v>Highfield St Matthew's CofE Primary School</v>
          </cell>
          <cell r="D13939" t="str">
            <v>Wigan</v>
          </cell>
          <cell r="E13939" t="str">
            <v>Voluntary Aided School</v>
          </cell>
          <cell r="F13939" t="str">
            <v>Primary</v>
          </cell>
        </row>
        <row r="13940">
          <cell r="A13940">
            <v>8606031</v>
          </cell>
          <cell r="B13940">
            <v>135370</v>
          </cell>
          <cell r="C13940" t="str">
            <v>Highfields</v>
          </cell>
          <cell r="D13940" t="str">
            <v>Staffordshire</v>
          </cell>
          <cell r="E13940" t="str">
            <v>Other Independent Special School</v>
          </cell>
          <cell r="F13940" t="str">
            <v>Not applicable</v>
          </cell>
        </row>
        <row r="13941">
          <cell r="A13941">
            <v>8566012</v>
          </cell>
          <cell r="B13941">
            <v>131781</v>
          </cell>
          <cell r="C13941" t="str">
            <v>Highfields Boys' Secondary School</v>
          </cell>
          <cell r="D13941" t="str">
            <v>Leicester</v>
          </cell>
          <cell r="E13941" t="str">
            <v>Other Independent School</v>
          </cell>
          <cell r="F13941" t="str">
            <v>Not applicable</v>
          </cell>
        </row>
        <row r="13942">
          <cell r="A13942">
            <v>8952229</v>
          </cell>
          <cell r="B13942">
            <v>111081</v>
          </cell>
          <cell r="C13942" t="str">
            <v>Highfields Community Primary School</v>
          </cell>
          <cell r="D13942" t="str">
            <v>Cheshire East</v>
          </cell>
          <cell r="E13942" t="str">
            <v>Community School</v>
          </cell>
          <cell r="F13942" t="str">
            <v>Primary</v>
          </cell>
        </row>
        <row r="13943">
          <cell r="A13943">
            <v>9242272</v>
          </cell>
          <cell r="B13943">
            <v>129527</v>
          </cell>
          <cell r="C13943" t="str">
            <v>Highfields County Infant School</v>
          </cell>
          <cell r="D13943" t="str">
            <v>Pre LGR (1997) Leicestershire</v>
          </cell>
          <cell r="E13943" t="str">
            <v>Community School</v>
          </cell>
          <cell r="F13943" t="str">
            <v>Primary</v>
          </cell>
        </row>
        <row r="13944">
          <cell r="A13944">
            <v>9342365</v>
          </cell>
          <cell r="B13944">
            <v>129904</v>
          </cell>
          <cell r="C13944" t="str">
            <v>Highfields First School</v>
          </cell>
          <cell r="D13944" t="str">
            <v>Pre LGR (1997) Staffordshire</v>
          </cell>
          <cell r="E13944" t="str">
            <v>Community School</v>
          </cell>
          <cell r="F13944" t="str">
            <v>Primary</v>
          </cell>
        </row>
        <row r="13945">
          <cell r="A13945">
            <v>3561103</v>
          </cell>
          <cell r="B13945">
            <v>134623</v>
          </cell>
          <cell r="C13945" t="str">
            <v>Highfields Inclusion Partnership</v>
          </cell>
          <cell r="D13945" t="str">
            <v>Stockport</v>
          </cell>
          <cell r="E13945" t="str">
            <v>Pupil Referral Unit</v>
          </cell>
          <cell r="F13945" t="str">
            <v>PRU</v>
          </cell>
        </row>
        <row r="13946">
          <cell r="A13946">
            <v>3322069</v>
          </cell>
          <cell r="B13946">
            <v>103789</v>
          </cell>
          <cell r="C13946" t="str">
            <v>Highfields Primary School</v>
          </cell>
          <cell r="D13946" t="str">
            <v>Dudley</v>
          </cell>
          <cell r="E13946" t="str">
            <v>Community School</v>
          </cell>
          <cell r="F13946" t="str">
            <v>Primary</v>
          </cell>
        </row>
        <row r="13947">
          <cell r="A13947">
            <v>3332128</v>
          </cell>
          <cell r="B13947">
            <v>103946</v>
          </cell>
          <cell r="C13947" t="str">
            <v>Highfields Primary School</v>
          </cell>
          <cell r="D13947" t="str">
            <v>Sandwell</v>
          </cell>
          <cell r="E13947" t="str">
            <v>Community School</v>
          </cell>
          <cell r="F13947" t="str">
            <v>Primary</v>
          </cell>
        </row>
        <row r="13948">
          <cell r="A13948">
            <v>3712052</v>
          </cell>
          <cell r="B13948">
            <v>106668</v>
          </cell>
          <cell r="C13948" t="str">
            <v>Highfields Primary School</v>
          </cell>
          <cell r="D13948" t="str">
            <v>Doncaster</v>
          </cell>
          <cell r="E13948" t="str">
            <v>Community School</v>
          </cell>
          <cell r="F13948" t="str">
            <v>Primary</v>
          </cell>
        </row>
        <row r="13949">
          <cell r="A13949">
            <v>8812090</v>
          </cell>
          <cell r="B13949">
            <v>114769</v>
          </cell>
          <cell r="C13949" t="str">
            <v>Highfields Primary School</v>
          </cell>
          <cell r="D13949" t="str">
            <v>Essex</v>
          </cell>
          <cell r="E13949" t="str">
            <v>Community School</v>
          </cell>
          <cell r="F13949" t="str">
            <v>Primary</v>
          </cell>
        </row>
        <row r="13950">
          <cell r="A13950">
            <v>8602415</v>
          </cell>
          <cell r="B13950">
            <v>124211</v>
          </cell>
          <cell r="C13950" t="str">
            <v>Highfields Primary School</v>
          </cell>
          <cell r="D13950" t="str">
            <v>Staffordshire</v>
          </cell>
          <cell r="E13950" t="str">
            <v>Community School</v>
          </cell>
          <cell r="F13950" t="str">
            <v>Primary</v>
          </cell>
        </row>
        <row r="13951">
          <cell r="A13951">
            <v>8562071</v>
          </cell>
          <cell r="B13951">
            <v>130258</v>
          </cell>
          <cell r="C13951" t="str">
            <v>Highfields Primary School</v>
          </cell>
          <cell r="D13951" t="str">
            <v>Leicester</v>
          </cell>
          <cell r="E13951" t="str">
            <v>Community School</v>
          </cell>
          <cell r="F13951" t="str">
            <v>Primary</v>
          </cell>
        </row>
        <row r="13952">
          <cell r="A13952">
            <v>9086093</v>
          </cell>
          <cell r="B13952">
            <v>132096</v>
          </cell>
          <cell r="C13952" t="str">
            <v>Highfields Private School</v>
          </cell>
          <cell r="D13952" t="str">
            <v>Cornwall</v>
          </cell>
          <cell r="E13952" t="str">
            <v>Other Independent School</v>
          </cell>
          <cell r="F13952" t="str">
            <v>Not applicable</v>
          </cell>
        </row>
        <row r="13953">
          <cell r="A13953">
            <v>3827003</v>
          </cell>
          <cell r="B13953">
            <v>107798</v>
          </cell>
          <cell r="C13953" t="str">
            <v>Highfields School</v>
          </cell>
          <cell r="D13953" t="str">
            <v>Kirklees</v>
          </cell>
          <cell r="E13953" t="str">
            <v>Community Special School</v>
          </cell>
          <cell r="F13953" t="str">
            <v>Special</v>
          </cell>
        </row>
        <row r="13954">
          <cell r="A13954">
            <v>8304174</v>
          </cell>
          <cell r="B13954">
            <v>112950</v>
          </cell>
          <cell r="C13954" t="str">
            <v>Highfields School</v>
          </cell>
          <cell r="D13954" t="str">
            <v>Derbyshire</v>
          </cell>
          <cell r="E13954" t="str">
            <v>Community School</v>
          </cell>
          <cell r="F13954" t="str">
            <v>Secondary</v>
          </cell>
        </row>
        <row r="13955">
          <cell r="A13955">
            <v>8916000</v>
          </cell>
          <cell r="B13955">
            <v>122907</v>
          </cell>
          <cell r="C13955" t="str">
            <v>Highfields School</v>
          </cell>
          <cell r="D13955" t="str">
            <v>Nottinghamshire</v>
          </cell>
          <cell r="E13955" t="str">
            <v>Other Independent School</v>
          </cell>
          <cell r="F13955" t="str">
            <v>Not applicable</v>
          </cell>
        </row>
        <row r="13956">
          <cell r="A13956">
            <v>3364113</v>
          </cell>
          <cell r="B13956">
            <v>104386</v>
          </cell>
          <cell r="C13956" t="str">
            <v>Highfields Science Specialist School</v>
          </cell>
          <cell r="D13956" t="str">
            <v>Wolverhampton</v>
          </cell>
          <cell r="E13956" t="str">
            <v>Community School</v>
          </cell>
          <cell r="F13956" t="str">
            <v>Secondary</v>
          </cell>
        </row>
        <row r="13957">
          <cell r="A13957">
            <v>8907020</v>
          </cell>
          <cell r="B13957">
            <v>119868</v>
          </cell>
          <cell r="C13957" t="str">
            <v>Highfurlong School</v>
          </cell>
          <cell r="D13957" t="str">
            <v>Blackpool</v>
          </cell>
          <cell r="E13957" t="str">
            <v>Community Special School</v>
          </cell>
          <cell r="F13957" t="str">
            <v>Special</v>
          </cell>
        </row>
        <row r="13958">
          <cell r="A13958">
            <v>8552319</v>
          </cell>
          <cell r="B13958">
            <v>120049</v>
          </cell>
          <cell r="C13958" t="str">
            <v>Highgate Community Primary School</v>
          </cell>
          <cell r="D13958" t="str">
            <v>Leicestershire</v>
          </cell>
          <cell r="E13958" t="str">
            <v>Community School</v>
          </cell>
          <cell r="F13958" t="str">
            <v>Primary</v>
          </cell>
        </row>
        <row r="13959">
          <cell r="A13959">
            <v>3092023</v>
          </cell>
          <cell r="B13959">
            <v>126901</v>
          </cell>
          <cell r="C13959" t="str">
            <v>Highgate Infant School</v>
          </cell>
          <cell r="D13959" t="str">
            <v>Haringey</v>
          </cell>
          <cell r="E13959" t="str">
            <v>Community School</v>
          </cell>
          <cell r="F13959" t="str">
            <v>Primary</v>
          </cell>
        </row>
        <row r="13960">
          <cell r="A13960">
            <v>9262202</v>
          </cell>
          <cell r="B13960">
            <v>120877</v>
          </cell>
          <cell r="C13960" t="str">
            <v>Highgate Infant School, King's Lynn</v>
          </cell>
          <cell r="D13960" t="str">
            <v>Norfolk</v>
          </cell>
          <cell r="E13960" t="str">
            <v>Community School</v>
          </cell>
          <cell r="F13960" t="str">
            <v>Primary</v>
          </cell>
        </row>
        <row r="13961">
          <cell r="A13961">
            <v>3092022</v>
          </cell>
          <cell r="B13961">
            <v>102092</v>
          </cell>
          <cell r="C13961" t="str">
            <v>Highgate Primary School</v>
          </cell>
          <cell r="D13961" t="str">
            <v>Haringey</v>
          </cell>
          <cell r="E13961" t="str">
            <v>Community School</v>
          </cell>
          <cell r="F13961" t="str">
            <v>Primary</v>
          </cell>
        </row>
        <row r="13962">
          <cell r="A13962">
            <v>3096001</v>
          </cell>
          <cell r="B13962">
            <v>102163</v>
          </cell>
          <cell r="C13962" t="str">
            <v>Highgate School</v>
          </cell>
          <cell r="D13962" t="str">
            <v>Haringey</v>
          </cell>
          <cell r="E13962" t="str">
            <v>Other Independent School</v>
          </cell>
          <cell r="F13962" t="str">
            <v>Not applicable</v>
          </cell>
        </row>
        <row r="13963">
          <cell r="A13963">
            <v>3094030</v>
          </cell>
          <cell r="B13963">
            <v>102154</v>
          </cell>
          <cell r="C13963" t="str">
            <v>Highgate Wood Secondary School</v>
          </cell>
          <cell r="D13963" t="str">
            <v>Haringey</v>
          </cell>
          <cell r="E13963" t="str">
            <v>Community School</v>
          </cell>
          <cell r="F13963" t="str">
            <v>Secondary</v>
          </cell>
        </row>
        <row r="13964">
          <cell r="A13964">
            <v>3172027</v>
          </cell>
          <cell r="B13964">
            <v>102810</v>
          </cell>
          <cell r="C13964" t="str">
            <v>Highlands Infants' School</v>
          </cell>
          <cell r="D13964" t="str">
            <v>Redbridge</v>
          </cell>
          <cell r="E13964" t="str">
            <v>Community School</v>
          </cell>
          <cell r="F13964" t="str">
            <v>Primary</v>
          </cell>
        </row>
        <row r="13965">
          <cell r="A13965">
            <v>9204488</v>
          </cell>
          <cell r="B13965">
            <v>129317</v>
          </cell>
          <cell r="C13965" t="str">
            <v>Highlands Junior High School</v>
          </cell>
          <cell r="D13965" t="str">
            <v>Pre LGR (1996) Humberside</v>
          </cell>
          <cell r="E13965" t="str">
            <v>Community School</v>
          </cell>
          <cell r="F13965" t="str">
            <v>Secondary</v>
          </cell>
        </row>
        <row r="13966">
          <cell r="A13966">
            <v>3172026</v>
          </cell>
          <cell r="B13966">
            <v>102809</v>
          </cell>
          <cell r="C13966" t="str">
            <v>Highlands Junior School</v>
          </cell>
          <cell r="D13966" t="str">
            <v>Redbridge</v>
          </cell>
          <cell r="E13966" t="str">
            <v>Community School</v>
          </cell>
          <cell r="F13966" t="str">
            <v>Primary</v>
          </cell>
        </row>
        <row r="13967">
          <cell r="A13967">
            <v>8102868</v>
          </cell>
          <cell r="B13967">
            <v>117904</v>
          </cell>
          <cell r="C13967" t="str">
            <v>Highlands Primary School</v>
          </cell>
          <cell r="D13967" t="str">
            <v>Kingston upon Hull City of</v>
          </cell>
          <cell r="E13967" t="str">
            <v>Community School</v>
          </cell>
          <cell r="F13967" t="str">
            <v>Primary</v>
          </cell>
        </row>
        <row r="13968">
          <cell r="A13968">
            <v>3172069</v>
          </cell>
          <cell r="B13968">
            <v>131013</v>
          </cell>
          <cell r="C13968" t="str">
            <v>Highlands Primary School</v>
          </cell>
          <cell r="D13968" t="str">
            <v>Redbridge</v>
          </cell>
          <cell r="E13968" t="str">
            <v>Community School</v>
          </cell>
          <cell r="F13968" t="str">
            <v>Primary</v>
          </cell>
        </row>
        <row r="13969">
          <cell r="A13969">
            <v>9316027</v>
          </cell>
          <cell r="B13969">
            <v>129773</v>
          </cell>
          <cell r="C13969" t="str">
            <v>Highlands School</v>
          </cell>
          <cell r="D13969" t="str">
            <v>Oxfordshire</v>
          </cell>
          <cell r="E13969" t="str">
            <v>Other Independent School</v>
          </cell>
          <cell r="F13969" t="str">
            <v>Not applicable</v>
          </cell>
        </row>
        <row r="13970">
          <cell r="A13970">
            <v>3084043</v>
          </cell>
          <cell r="B13970">
            <v>132256</v>
          </cell>
          <cell r="C13970" t="str">
            <v>Highlands School</v>
          </cell>
          <cell r="D13970" t="str">
            <v>Enfield</v>
          </cell>
          <cell r="E13970" t="str">
            <v>Community School</v>
          </cell>
          <cell r="F13970" t="str">
            <v>Secondary</v>
          </cell>
        </row>
        <row r="13971">
          <cell r="A13971">
            <v>8936023</v>
          </cell>
          <cell r="B13971">
            <v>131043</v>
          </cell>
          <cell r="C13971" t="str">
            <v>Highlea School</v>
          </cell>
          <cell r="D13971" t="str">
            <v>Shropshire</v>
          </cell>
          <cell r="E13971" t="str">
            <v>Other Independent Special School</v>
          </cell>
          <cell r="F13971" t="str">
            <v>Not applicable</v>
          </cell>
        </row>
        <row r="13972">
          <cell r="A13972">
            <v>3597017</v>
          </cell>
          <cell r="B13972">
            <v>132157</v>
          </cell>
          <cell r="C13972" t="str">
            <v>Highlea Secondary School</v>
          </cell>
          <cell r="D13972" t="str">
            <v>Wigan</v>
          </cell>
          <cell r="E13972" t="str">
            <v>Community Special School</v>
          </cell>
          <cell r="F13972" t="str">
            <v>Special</v>
          </cell>
        </row>
        <row r="13973">
          <cell r="A13973">
            <v>8742338</v>
          </cell>
          <cell r="B13973">
            <v>110768</v>
          </cell>
          <cell r="C13973" t="str">
            <v>Highlees Community Primary School</v>
          </cell>
          <cell r="D13973" t="str">
            <v>Peterborough</v>
          </cell>
          <cell r="E13973" t="str">
            <v>Community School</v>
          </cell>
          <cell r="F13973" t="str">
            <v>Primary</v>
          </cell>
        </row>
        <row r="13974">
          <cell r="A13974">
            <v>9052283</v>
          </cell>
          <cell r="B13974">
            <v>128376</v>
          </cell>
          <cell r="C13974" t="str">
            <v>Highlees County Infant School</v>
          </cell>
          <cell r="D13974" t="str">
            <v>Pre LGR (1998) Cambridgeshire</v>
          </cell>
          <cell r="E13974" t="str">
            <v>Community School</v>
          </cell>
          <cell r="F13974" t="str">
            <v>Primary</v>
          </cell>
        </row>
        <row r="13975">
          <cell r="A13975">
            <v>9052282</v>
          </cell>
          <cell r="B13975">
            <v>128375</v>
          </cell>
          <cell r="C13975" t="str">
            <v>Highlees County Junior School</v>
          </cell>
          <cell r="D13975" t="str">
            <v>Pre LGR (1998) Cambridgeshire</v>
          </cell>
          <cell r="E13975" t="str">
            <v>Community School</v>
          </cell>
          <cell r="F13975" t="str">
            <v>Primary</v>
          </cell>
        </row>
        <row r="13976">
          <cell r="A13976">
            <v>8932052</v>
          </cell>
          <cell r="B13976">
            <v>123371</v>
          </cell>
          <cell r="C13976" t="str">
            <v>Highley Community Primary School</v>
          </cell>
          <cell r="D13976" t="str">
            <v>Shropshire</v>
          </cell>
          <cell r="E13976" t="str">
            <v>Community School</v>
          </cell>
          <cell r="F13976" t="str">
            <v>Primary</v>
          </cell>
        </row>
        <row r="13977">
          <cell r="A13977">
            <v>9163084</v>
          </cell>
          <cell r="B13977">
            <v>115662</v>
          </cell>
          <cell r="C13977" t="str">
            <v>Highnam Church of England Primary School</v>
          </cell>
          <cell r="D13977" t="str">
            <v>Gloucestershire</v>
          </cell>
          <cell r="E13977" t="str">
            <v>Voluntary Controlled School</v>
          </cell>
          <cell r="F13977" t="str">
            <v>Primary</v>
          </cell>
        </row>
        <row r="13978">
          <cell r="A13978">
            <v>9163084</v>
          </cell>
          <cell r="B13978">
            <v>137102</v>
          </cell>
          <cell r="C13978" t="str">
            <v>Highnam Church of England Primary School</v>
          </cell>
          <cell r="D13978" t="str">
            <v>Gloucestershire</v>
          </cell>
          <cell r="E13978" t="str">
            <v>Academy Converters</v>
          </cell>
          <cell r="F13978" t="str">
            <v>Primary</v>
          </cell>
        </row>
        <row r="13979">
          <cell r="A13979">
            <v>9192057</v>
          </cell>
          <cell r="B13979">
            <v>117115</v>
          </cell>
          <cell r="C13979" t="str">
            <v>Highover Junior Mixed and Infant School</v>
          </cell>
          <cell r="D13979" t="str">
            <v>Hertfordshire</v>
          </cell>
          <cell r="E13979" t="str">
            <v>Community School</v>
          </cell>
          <cell r="F13979" t="str">
            <v>Primary</v>
          </cell>
        </row>
        <row r="13980">
          <cell r="A13980">
            <v>8012111</v>
          </cell>
          <cell r="B13980">
            <v>108981</v>
          </cell>
          <cell r="C13980" t="str">
            <v>Highridge Infant School</v>
          </cell>
          <cell r="D13980" t="str">
            <v>Bristol City of</v>
          </cell>
          <cell r="E13980" t="str">
            <v>Community School</v>
          </cell>
          <cell r="F13980" t="str">
            <v>Primary</v>
          </cell>
        </row>
        <row r="13981">
          <cell r="A13981">
            <v>2107007</v>
          </cell>
          <cell r="B13981">
            <v>100872</v>
          </cell>
          <cell r="C13981" t="str">
            <v>Highshore School</v>
          </cell>
          <cell r="D13981" t="str">
            <v>Southwark</v>
          </cell>
          <cell r="E13981" t="str">
            <v>Community Special School</v>
          </cell>
          <cell r="F13981" t="str">
            <v>Special</v>
          </cell>
        </row>
        <row r="13982">
          <cell r="A13982">
            <v>8864080</v>
          </cell>
          <cell r="B13982">
            <v>118802</v>
          </cell>
          <cell r="C13982" t="str">
            <v>Highsted Grammar School</v>
          </cell>
          <cell r="D13982" t="str">
            <v>Kent</v>
          </cell>
          <cell r="E13982" t="str">
            <v>Foundation School</v>
          </cell>
          <cell r="F13982" t="str">
            <v>Secondary</v>
          </cell>
        </row>
        <row r="13983">
          <cell r="A13983">
            <v>8864080</v>
          </cell>
          <cell r="B13983">
            <v>136305</v>
          </cell>
          <cell r="C13983" t="str">
            <v>Highsted Grammar School</v>
          </cell>
          <cell r="D13983" t="str">
            <v>Kent</v>
          </cell>
          <cell r="E13983" t="str">
            <v>Academy Converters</v>
          </cell>
          <cell r="F13983" t="str">
            <v>Secondary</v>
          </cell>
        </row>
        <row r="13984">
          <cell r="A13984">
            <v>3302438</v>
          </cell>
          <cell r="B13984">
            <v>103365</v>
          </cell>
          <cell r="C13984" t="str">
            <v>Highters Heath Community School</v>
          </cell>
          <cell r="D13984" t="str">
            <v>Birmingham</v>
          </cell>
          <cell r="E13984" t="str">
            <v>Community School</v>
          </cell>
          <cell r="F13984" t="str">
            <v>Primary</v>
          </cell>
        </row>
        <row r="13985">
          <cell r="A13985">
            <v>3301021</v>
          </cell>
          <cell r="B13985">
            <v>103134</v>
          </cell>
          <cell r="C13985" t="str">
            <v>Highters Heath Nursery School</v>
          </cell>
          <cell r="D13985" t="str">
            <v>Birmingham</v>
          </cell>
          <cell r="E13985" t="str">
            <v>LA Nursery School</v>
          </cell>
          <cell r="F13985" t="str">
            <v>Nursery</v>
          </cell>
        </row>
        <row r="13986">
          <cell r="A13986">
            <v>8522450</v>
          </cell>
          <cell r="B13986">
            <v>116125</v>
          </cell>
          <cell r="C13986" t="str">
            <v>Hightown Primary School</v>
          </cell>
          <cell r="D13986" t="str">
            <v>Southampton</v>
          </cell>
          <cell r="E13986" t="str">
            <v>Community School</v>
          </cell>
          <cell r="F13986" t="str">
            <v>Primary</v>
          </cell>
        </row>
        <row r="13987">
          <cell r="A13987">
            <v>3822102</v>
          </cell>
          <cell r="B13987">
            <v>107669</v>
          </cell>
          <cell r="C13987" t="str">
            <v>Hightown School</v>
          </cell>
          <cell r="D13987" t="str">
            <v>Kirklees</v>
          </cell>
          <cell r="E13987" t="str">
            <v>Community School</v>
          </cell>
          <cell r="F13987" t="str">
            <v>Primary</v>
          </cell>
        </row>
        <row r="13988">
          <cell r="A13988">
            <v>3194009</v>
          </cell>
          <cell r="B13988">
            <v>103001</v>
          </cell>
          <cell r="C13988" t="str">
            <v>Highview High School</v>
          </cell>
          <cell r="D13988" t="str">
            <v>Sutton</v>
          </cell>
          <cell r="E13988" t="str">
            <v>Community School</v>
          </cell>
          <cell r="F13988" t="str">
            <v>Secondary</v>
          </cell>
        </row>
        <row r="13989">
          <cell r="A13989">
            <v>8867043</v>
          </cell>
          <cell r="B13989">
            <v>119044</v>
          </cell>
          <cell r="C13989" t="str">
            <v>Highview School</v>
          </cell>
          <cell r="D13989" t="str">
            <v>Kent</v>
          </cell>
          <cell r="E13989" t="str">
            <v>Community Special School</v>
          </cell>
          <cell r="F13989" t="str">
            <v>Special</v>
          </cell>
        </row>
        <row r="13990">
          <cell r="A13990">
            <v>3566030</v>
          </cell>
          <cell r="B13990">
            <v>134493</v>
          </cell>
          <cell r="C13990" t="str">
            <v>Highview School</v>
          </cell>
          <cell r="D13990" t="str">
            <v>Stockport</v>
          </cell>
          <cell r="E13990" t="str">
            <v>Other Independent School</v>
          </cell>
          <cell r="F13990" t="str">
            <v>Not applicable</v>
          </cell>
        </row>
        <row r="13991">
          <cell r="A13991">
            <v>8956036</v>
          </cell>
          <cell r="B13991">
            <v>135427</v>
          </cell>
          <cell r="C13991" t="str">
            <v>Highview School Crewe Campus</v>
          </cell>
          <cell r="D13991" t="str">
            <v>Cheshire East</v>
          </cell>
          <cell r="E13991" t="str">
            <v>Other Independent School</v>
          </cell>
          <cell r="F13991" t="str">
            <v>Not applicable</v>
          </cell>
        </row>
        <row r="13992">
          <cell r="A13992">
            <v>2106325</v>
          </cell>
          <cell r="B13992">
            <v>100865</v>
          </cell>
          <cell r="C13992" t="str">
            <v>Highway Christian School</v>
          </cell>
          <cell r="D13992" t="str">
            <v>Southwark</v>
          </cell>
          <cell r="E13992" t="str">
            <v>Other Independent School</v>
          </cell>
          <cell r="F13992" t="str">
            <v>Not applicable</v>
          </cell>
        </row>
        <row r="13993">
          <cell r="A13993">
            <v>8701100</v>
          </cell>
          <cell r="B13993">
            <v>109766</v>
          </cell>
          <cell r="C13993" t="str">
            <v>Highways Pupil Referral Unit</v>
          </cell>
          <cell r="D13993" t="str">
            <v>Reading</v>
          </cell>
          <cell r="E13993" t="str">
            <v>Pupil Referral Unit</v>
          </cell>
          <cell r="F13993" t="str">
            <v>PRU</v>
          </cell>
        </row>
        <row r="13994">
          <cell r="A13994">
            <v>8782432</v>
          </cell>
          <cell r="B13994">
            <v>113210</v>
          </cell>
          <cell r="C13994" t="str">
            <v>Highweek Community Primary and Nursery School</v>
          </cell>
          <cell r="D13994" t="str">
            <v>Devon</v>
          </cell>
          <cell r="E13994" t="str">
            <v>Community School</v>
          </cell>
          <cell r="F13994" t="str">
            <v>Primary</v>
          </cell>
        </row>
        <row r="13995">
          <cell r="A13995">
            <v>9017013</v>
          </cell>
          <cell r="B13995">
            <v>128247</v>
          </cell>
          <cell r="C13995" t="str">
            <v>Highwood Hospital School</v>
          </cell>
          <cell r="D13995" t="str">
            <v>Pre LGR (1996) Avon</v>
          </cell>
          <cell r="E13995" t="str">
            <v>Community Special School</v>
          </cell>
          <cell r="F13995" t="str">
            <v>Special</v>
          </cell>
        </row>
        <row r="13996">
          <cell r="A13996">
            <v>8922085</v>
          </cell>
          <cell r="B13996">
            <v>122432</v>
          </cell>
          <cell r="C13996" t="str">
            <v>Highwood Player Infant and Nursery School</v>
          </cell>
          <cell r="D13996" t="str">
            <v>Nottingham</v>
          </cell>
          <cell r="E13996" t="str">
            <v>Community School</v>
          </cell>
          <cell r="F13996" t="str">
            <v>Primary</v>
          </cell>
        </row>
        <row r="13997">
          <cell r="A13997">
            <v>8922084</v>
          </cell>
          <cell r="B13997">
            <v>122431</v>
          </cell>
          <cell r="C13997" t="str">
            <v>Highwood Player Junior School</v>
          </cell>
          <cell r="D13997" t="str">
            <v>Nottingham</v>
          </cell>
          <cell r="E13997" t="str">
            <v>Community School</v>
          </cell>
          <cell r="F13997" t="str">
            <v>Primary</v>
          </cell>
        </row>
        <row r="13998">
          <cell r="A13998">
            <v>8812500</v>
          </cell>
          <cell r="B13998">
            <v>114869</v>
          </cell>
          <cell r="C13998" t="str">
            <v>Highwood Primary School</v>
          </cell>
          <cell r="D13998" t="str">
            <v>Essex</v>
          </cell>
          <cell r="E13998" t="str">
            <v>Community School</v>
          </cell>
          <cell r="F13998" t="str">
            <v>Primary</v>
          </cell>
        </row>
        <row r="13999">
          <cell r="A13999">
            <v>9192013</v>
          </cell>
          <cell r="B13999">
            <v>117089</v>
          </cell>
          <cell r="C13999" t="str">
            <v>Highwood Primary School</v>
          </cell>
          <cell r="D13999" t="str">
            <v>Hertfordshire</v>
          </cell>
          <cell r="E13999" t="str">
            <v>Community School</v>
          </cell>
          <cell r="F13999" t="str">
            <v>Primary</v>
          </cell>
        </row>
        <row r="14000">
          <cell r="A14000">
            <v>8722246</v>
          </cell>
          <cell r="B14000">
            <v>131689</v>
          </cell>
          <cell r="C14000" t="str">
            <v>Highwood Primary School</v>
          </cell>
          <cell r="D14000" t="str">
            <v>Wokingham</v>
          </cell>
          <cell r="E14000" t="str">
            <v>Community School</v>
          </cell>
          <cell r="F14000" t="str">
            <v>Primary</v>
          </cell>
        </row>
        <row r="14001">
          <cell r="A14001">
            <v>9164038</v>
          </cell>
          <cell r="B14001">
            <v>128959</v>
          </cell>
          <cell r="C14001" t="str">
            <v>Highwood School</v>
          </cell>
          <cell r="D14001" t="str">
            <v>Gloucestershire</v>
          </cell>
          <cell r="E14001" t="str">
            <v>Community School</v>
          </cell>
          <cell r="F14001" t="str">
            <v>Secondary</v>
          </cell>
        </row>
        <row r="14002">
          <cell r="A14002">
            <v>8812424</v>
          </cell>
          <cell r="B14002">
            <v>114846</v>
          </cell>
          <cell r="C14002" t="str">
            <v>Highwoods Community Primary School</v>
          </cell>
          <cell r="D14002" t="str">
            <v>Essex</v>
          </cell>
          <cell r="E14002" t="str">
            <v>Community School</v>
          </cell>
          <cell r="F14002" t="str">
            <v>Primary</v>
          </cell>
        </row>
        <row r="14003">
          <cell r="A14003">
            <v>8252352</v>
          </cell>
          <cell r="B14003">
            <v>110403</v>
          </cell>
          <cell r="C14003" t="str">
            <v>Highworth Combined School and Nursery</v>
          </cell>
          <cell r="D14003" t="str">
            <v>Buckinghamshire</v>
          </cell>
          <cell r="E14003" t="str">
            <v>Community School</v>
          </cell>
          <cell r="F14003" t="str">
            <v>Primary</v>
          </cell>
        </row>
        <row r="14004">
          <cell r="A14004">
            <v>8864092</v>
          </cell>
          <cell r="B14004">
            <v>118804</v>
          </cell>
          <cell r="C14004" t="str">
            <v>Highworth Grammar School for Girls</v>
          </cell>
          <cell r="D14004" t="str">
            <v>Kent</v>
          </cell>
          <cell r="E14004" t="str">
            <v>Community School</v>
          </cell>
          <cell r="F14004" t="str">
            <v>Secondary</v>
          </cell>
        </row>
        <row r="14005">
          <cell r="A14005">
            <v>8864092</v>
          </cell>
          <cell r="B14005">
            <v>136379</v>
          </cell>
          <cell r="C14005" t="str">
            <v>Highworth Grammar School for Girls</v>
          </cell>
          <cell r="D14005" t="str">
            <v>Kent</v>
          </cell>
          <cell r="E14005" t="str">
            <v>Academy Converters</v>
          </cell>
          <cell r="F14005" t="str">
            <v>Secondary</v>
          </cell>
        </row>
        <row r="14006">
          <cell r="A14006">
            <v>8664074</v>
          </cell>
          <cell r="B14006">
            <v>126461</v>
          </cell>
          <cell r="C14006" t="str">
            <v>Highworth Warneford School</v>
          </cell>
          <cell r="D14006" t="str">
            <v>Swindon</v>
          </cell>
          <cell r="E14006" t="str">
            <v>Community School</v>
          </cell>
          <cell r="F14006" t="str">
            <v>Secondary</v>
          </cell>
        </row>
        <row r="14007">
          <cell r="A14007">
            <v>8664074</v>
          </cell>
          <cell r="B14007">
            <v>136860</v>
          </cell>
          <cell r="C14007" t="str">
            <v>Highworth Warneford School</v>
          </cell>
          <cell r="D14007" t="str">
            <v>Swindon</v>
          </cell>
          <cell r="E14007" t="str">
            <v>Academy Converters</v>
          </cell>
          <cell r="F14007" t="str">
            <v>Secondary</v>
          </cell>
        </row>
        <row r="14008">
          <cell r="A14008">
            <v>8751002</v>
          </cell>
          <cell r="B14008">
            <v>110954</v>
          </cell>
          <cell r="C14008" t="str">
            <v>Hilary Haworth County Nursery School</v>
          </cell>
          <cell r="D14008" t="str">
            <v>Pre LGR (2009) Cheshire</v>
          </cell>
          <cell r="E14008" t="str">
            <v>LA Nursery School</v>
          </cell>
          <cell r="F14008" t="str">
            <v>Nursery</v>
          </cell>
        </row>
        <row r="14009">
          <cell r="A14009">
            <v>3444060</v>
          </cell>
          <cell r="B14009">
            <v>105102</v>
          </cell>
          <cell r="C14009" t="str">
            <v>Hilbre High School</v>
          </cell>
          <cell r="D14009" t="str">
            <v>Wirral</v>
          </cell>
          <cell r="E14009" t="str">
            <v>Foundation School</v>
          </cell>
          <cell r="F14009" t="str">
            <v>Secondary</v>
          </cell>
        </row>
        <row r="14010">
          <cell r="A14010">
            <v>9266099</v>
          </cell>
          <cell r="B14010">
            <v>129634</v>
          </cell>
          <cell r="C14010" t="str">
            <v>Hilbre School</v>
          </cell>
          <cell r="D14010" t="str">
            <v>Norfolk</v>
          </cell>
          <cell r="E14010" t="str">
            <v>Other Independent School</v>
          </cell>
          <cell r="F14010" t="str">
            <v>Not applicable</v>
          </cell>
        </row>
        <row r="14011">
          <cell r="A14011">
            <v>9202303</v>
          </cell>
          <cell r="B14011">
            <v>129200</v>
          </cell>
          <cell r="C14011" t="str">
            <v>Hilda First School</v>
          </cell>
          <cell r="D14011" t="str">
            <v>Pre LGR (1996) Humberside</v>
          </cell>
          <cell r="E14011" t="str">
            <v>Community School</v>
          </cell>
          <cell r="F14011" t="str">
            <v>Primary</v>
          </cell>
        </row>
        <row r="14012">
          <cell r="A14012">
            <v>8866031</v>
          </cell>
          <cell r="B14012">
            <v>118973</v>
          </cell>
          <cell r="C14012" t="str">
            <v>Hilden Grange School</v>
          </cell>
          <cell r="D14012" t="str">
            <v>Kent</v>
          </cell>
          <cell r="E14012" t="str">
            <v>Other Independent School</v>
          </cell>
          <cell r="F14012" t="str">
            <v>Not applicable</v>
          </cell>
        </row>
        <row r="14013">
          <cell r="A14013">
            <v>8866032</v>
          </cell>
          <cell r="B14013">
            <v>118974</v>
          </cell>
          <cell r="C14013" t="str">
            <v>Hilden Oaks School</v>
          </cell>
          <cell r="D14013" t="str">
            <v>Kent</v>
          </cell>
          <cell r="E14013" t="str">
            <v>Other Independent School</v>
          </cell>
          <cell r="F14013" t="str">
            <v>Not applicable</v>
          </cell>
        </row>
        <row r="14014">
          <cell r="A14014">
            <v>8863033</v>
          </cell>
          <cell r="B14014">
            <v>118603</v>
          </cell>
          <cell r="C14014" t="str">
            <v>Hildenborough Church of England Primary School</v>
          </cell>
          <cell r="D14014" t="str">
            <v>Kent</v>
          </cell>
          <cell r="E14014" t="str">
            <v>Voluntary Controlled School</v>
          </cell>
          <cell r="F14014" t="str">
            <v>Primary</v>
          </cell>
        </row>
        <row r="14015">
          <cell r="A14015">
            <v>8868024</v>
          </cell>
          <cell r="B14015">
            <v>130731</v>
          </cell>
          <cell r="C14015" t="str">
            <v>Hilderstone College</v>
          </cell>
          <cell r="D14015" t="str">
            <v>Kent</v>
          </cell>
          <cell r="E14015" t="str">
            <v>Further Education</v>
          </cell>
          <cell r="F14015" t="str">
            <v>16 Plus</v>
          </cell>
        </row>
        <row r="14016">
          <cell r="A14016">
            <v>8112714</v>
          </cell>
          <cell r="B14016">
            <v>117837</v>
          </cell>
          <cell r="C14016" t="str">
            <v>Hilderthorpe Infant and Nursery School</v>
          </cell>
          <cell r="D14016" t="str">
            <v>East Riding of Yorkshire</v>
          </cell>
          <cell r="E14016" t="str">
            <v>Community School</v>
          </cell>
          <cell r="F14016" t="str">
            <v>Primary</v>
          </cell>
        </row>
        <row r="14017">
          <cell r="A14017">
            <v>8112713</v>
          </cell>
          <cell r="B14017">
            <v>117836</v>
          </cell>
          <cell r="C14017" t="str">
            <v>Hilderthorpe Junior School</v>
          </cell>
          <cell r="D14017" t="str">
            <v>East Riding of Yorkshire</v>
          </cell>
          <cell r="E14017" t="str">
            <v>Community School</v>
          </cell>
          <cell r="F14017" t="str">
            <v>Primary</v>
          </cell>
        </row>
        <row r="14018">
          <cell r="A14018">
            <v>8112478</v>
          </cell>
          <cell r="B14018">
            <v>135700</v>
          </cell>
          <cell r="C14018" t="str">
            <v>Hilderthorpe Primary School</v>
          </cell>
          <cell r="D14018" t="str">
            <v>East Riding of Yorkshire</v>
          </cell>
          <cell r="E14018" t="str">
            <v>Community School</v>
          </cell>
          <cell r="F14018" t="str">
            <v>Primary</v>
          </cell>
        </row>
        <row r="14019">
          <cell r="A14019">
            <v>9263107</v>
          </cell>
          <cell r="B14019">
            <v>121072</v>
          </cell>
          <cell r="C14019" t="str">
            <v>Hilgay Village Voluntary Controlled Primary School</v>
          </cell>
          <cell r="D14019" t="str">
            <v>Norfolk</v>
          </cell>
          <cell r="E14019" t="str">
            <v>Voluntary Controlled School</v>
          </cell>
          <cell r="F14019" t="str">
            <v>Primary</v>
          </cell>
        </row>
        <row r="14020">
          <cell r="A14020">
            <v>3362070</v>
          </cell>
          <cell r="B14020">
            <v>104326</v>
          </cell>
          <cell r="C14020" t="str">
            <v>Hill Avenue Primary School</v>
          </cell>
          <cell r="D14020" t="str">
            <v>Wolverhampton</v>
          </cell>
          <cell r="E14020" t="str">
            <v>Community School</v>
          </cell>
          <cell r="F14020" t="str">
            <v>Primary</v>
          </cell>
        </row>
        <row r="14021">
          <cell r="A14021">
            <v>9174267</v>
          </cell>
          <cell r="B14021">
            <v>129042</v>
          </cell>
          <cell r="C14021" t="str">
            <v>Hill College</v>
          </cell>
          <cell r="D14021" t="str">
            <v>Pre LGR (1997) Hampshire</v>
          </cell>
          <cell r="E14021" t="str">
            <v>Community School</v>
          </cell>
          <cell r="F14021" t="str">
            <v>Secondary</v>
          </cell>
        </row>
        <row r="14022">
          <cell r="A14022">
            <v>8787086</v>
          </cell>
          <cell r="B14022">
            <v>113655</v>
          </cell>
          <cell r="C14022" t="str">
            <v>Hill Crest School</v>
          </cell>
          <cell r="D14022" t="str">
            <v>Devon</v>
          </cell>
          <cell r="E14022" t="str">
            <v>Community Special School</v>
          </cell>
          <cell r="F14022" t="str">
            <v>Special</v>
          </cell>
        </row>
        <row r="14023">
          <cell r="A14023">
            <v>8916033</v>
          </cell>
          <cell r="B14023">
            <v>135626</v>
          </cell>
          <cell r="C14023" t="str">
            <v>Hill Farm</v>
          </cell>
          <cell r="D14023" t="str">
            <v>Nottinghamshire</v>
          </cell>
          <cell r="E14023" t="str">
            <v>Other Independent Special School</v>
          </cell>
          <cell r="F14023" t="str">
            <v>Not applicable</v>
          </cell>
        </row>
        <row r="14024">
          <cell r="A14024">
            <v>3312028</v>
          </cell>
          <cell r="B14024">
            <v>127085</v>
          </cell>
          <cell r="C14024" t="str">
            <v>Hill Farm Infant School</v>
          </cell>
          <cell r="D14024" t="str">
            <v>Coventry</v>
          </cell>
          <cell r="E14024" t="str">
            <v>Community School</v>
          </cell>
          <cell r="F14024" t="str">
            <v>Primary</v>
          </cell>
        </row>
        <row r="14025">
          <cell r="A14025">
            <v>3312027</v>
          </cell>
          <cell r="B14025">
            <v>127084</v>
          </cell>
          <cell r="C14025" t="str">
            <v>Hill Farm Junior School</v>
          </cell>
          <cell r="D14025" t="str">
            <v>Coventry</v>
          </cell>
          <cell r="E14025" t="str">
            <v>Community School</v>
          </cell>
          <cell r="F14025" t="str">
            <v>Primary</v>
          </cell>
        </row>
        <row r="14026">
          <cell r="A14026">
            <v>3312144</v>
          </cell>
          <cell r="B14026">
            <v>103694</v>
          </cell>
          <cell r="C14026" t="str">
            <v>Hill Farm Primary School</v>
          </cell>
          <cell r="D14026" t="str">
            <v>Coventry</v>
          </cell>
          <cell r="E14026" t="str">
            <v>Community School</v>
          </cell>
          <cell r="F14026" t="str">
            <v>Primary</v>
          </cell>
        </row>
        <row r="14027">
          <cell r="A14027">
            <v>3904007</v>
          </cell>
          <cell r="B14027">
            <v>128112</v>
          </cell>
          <cell r="C14027" t="str">
            <v>Hill Head Junior High School</v>
          </cell>
          <cell r="D14027" t="str">
            <v>Gateshead</v>
          </cell>
          <cell r="E14027" t="str">
            <v>Community School</v>
          </cell>
          <cell r="F14027" t="str">
            <v>Secondary</v>
          </cell>
        </row>
        <row r="14028">
          <cell r="A14028">
            <v>8506074</v>
          </cell>
          <cell r="B14028">
            <v>116576</v>
          </cell>
          <cell r="C14028" t="str">
            <v>Hill Head Pre-Preparatory School</v>
          </cell>
          <cell r="D14028" t="str">
            <v>Hampshire</v>
          </cell>
          <cell r="E14028" t="str">
            <v>Other Independent School</v>
          </cell>
          <cell r="F14028" t="str">
            <v>Not applicable</v>
          </cell>
        </row>
        <row r="14029">
          <cell r="A14029">
            <v>2076188</v>
          </cell>
          <cell r="B14029">
            <v>100518</v>
          </cell>
          <cell r="C14029" t="str">
            <v>Hill House School</v>
          </cell>
          <cell r="D14029" t="str">
            <v>Kensington and Chelsea</v>
          </cell>
          <cell r="E14029" t="str">
            <v>Other Independent School</v>
          </cell>
          <cell r="F14029" t="str">
            <v>Not applicable</v>
          </cell>
        </row>
        <row r="14030">
          <cell r="A14030">
            <v>3716000</v>
          </cell>
          <cell r="B14030">
            <v>106812</v>
          </cell>
          <cell r="C14030" t="str">
            <v>Hill House School</v>
          </cell>
          <cell r="D14030" t="str">
            <v>Doncaster</v>
          </cell>
          <cell r="E14030" t="str">
            <v>Other Independent School</v>
          </cell>
          <cell r="F14030" t="str">
            <v>Not applicable</v>
          </cell>
        </row>
        <row r="14031">
          <cell r="A14031">
            <v>8506031</v>
          </cell>
          <cell r="B14031">
            <v>116565</v>
          </cell>
          <cell r="C14031" t="str">
            <v>Hill House School</v>
          </cell>
          <cell r="D14031" t="str">
            <v>Hampshire</v>
          </cell>
          <cell r="E14031" t="str">
            <v>Other Independent Special School</v>
          </cell>
          <cell r="F14031" t="str">
            <v>Not applicable</v>
          </cell>
        </row>
        <row r="14032">
          <cell r="A14032">
            <v>9147019</v>
          </cell>
          <cell r="B14032">
            <v>128880</v>
          </cell>
          <cell r="C14032" t="str">
            <v>Hill House School</v>
          </cell>
          <cell r="D14032" t="str">
            <v>Pre LGR (1997) East Sussex</v>
          </cell>
          <cell r="E14032" t="str">
            <v>Community Special School</v>
          </cell>
          <cell r="F14032" t="str">
            <v>Special</v>
          </cell>
        </row>
        <row r="14033">
          <cell r="A14033">
            <v>8456036</v>
          </cell>
          <cell r="B14033">
            <v>114669</v>
          </cell>
          <cell r="C14033" t="str">
            <v>Hill House School Sussex</v>
          </cell>
          <cell r="D14033" t="str">
            <v>East Sussex</v>
          </cell>
          <cell r="E14033" t="str">
            <v>Other Independent School</v>
          </cell>
          <cell r="F14033" t="str">
            <v>Not applicable</v>
          </cell>
        </row>
        <row r="14034">
          <cell r="A14034">
            <v>3716009</v>
          </cell>
          <cell r="B14034">
            <v>106815</v>
          </cell>
          <cell r="C14034" t="str">
            <v>Hill House St Mary's School</v>
          </cell>
          <cell r="D14034" t="str">
            <v>Doncaster</v>
          </cell>
          <cell r="E14034" t="str">
            <v>Other Independent School</v>
          </cell>
          <cell r="F14034" t="str">
            <v>Not applicable</v>
          </cell>
        </row>
        <row r="14035">
          <cell r="A14035">
            <v>2082892</v>
          </cell>
          <cell r="B14035">
            <v>100607</v>
          </cell>
          <cell r="C14035" t="str">
            <v>Hill Mead Infant School</v>
          </cell>
          <cell r="D14035" t="str">
            <v>Lambeth</v>
          </cell>
          <cell r="E14035" t="str">
            <v>Community School</v>
          </cell>
          <cell r="F14035" t="str">
            <v>Primary</v>
          </cell>
        </row>
        <row r="14036">
          <cell r="A14036">
            <v>2082873</v>
          </cell>
          <cell r="B14036">
            <v>100605</v>
          </cell>
          <cell r="C14036" t="str">
            <v>Hill Mead Junior School</v>
          </cell>
          <cell r="D14036" t="str">
            <v>Lambeth</v>
          </cell>
          <cell r="E14036" t="str">
            <v>Community School</v>
          </cell>
          <cell r="F14036" t="str">
            <v>Primary</v>
          </cell>
        </row>
        <row r="14037">
          <cell r="A14037">
            <v>2082898</v>
          </cell>
          <cell r="B14037">
            <v>131340</v>
          </cell>
          <cell r="C14037" t="str">
            <v>Hill Mead Primary School</v>
          </cell>
          <cell r="D14037" t="str">
            <v>Lambeth</v>
          </cell>
          <cell r="E14037" t="str">
            <v>Community School</v>
          </cell>
          <cell r="F14037" t="str">
            <v>Primary</v>
          </cell>
        </row>
        <row r="14038">
          <cell r="A14038">
            <v>8841115</v>
          </cell>
          <cell r="B14038">
            <v>131046</v>
          </cell>
          <cell r="C14038" t="str">
            <v>Hill Rise Pupil Referral Unit</v>
          </cell>
          <cell r="D14038" t="str">
            <v>Herefordshire</v>
          </cell>
          <cell r="E14038" t="str">
            <v>Pupil Referral Unit</v>
          </cell>
          <cell r="F14038" t="str">
            <v>PRU</v>
          </cell>
        </row>
        <row r="14039">
          <cell r="A14039">
            <v>3805203</v>
          </cell>
          <cell r="B14039">
            <v>107434</v>
          </cell>
          <cell r="C14039" t="str">
            <v>Hill Top CofE Primary School</v>
          </cell>
          <cell r="D14039" t="str">
            <v>Bradford</v>
          </cell>
          <cell r="E14039" t="str">
            <v>Foundation School</v>
          </cell>
          <cell r="F14039" t="str">
            <v>Primary</v>
          </cell>
        </row>
        <row r="14040">
          <cell r="A14040">
            <v>3542011</v>
          </cell>
          <cell r="B14040">
            <v>105771</v>
          </cell>
          <cell r="C14040" t="str">
            <v>Hill Top Community Primary School</v>
          </cell>
          <cell r="D14040" t="str">
            <v>Rochdale</v>
          </cell>
          <cell r="E14040" t="str">
            <v>Community School</v>
          </cell>
          <cell r="F14040" t="str">
            <v>Primary</v>
          </cell>
        </row>
        <row r="14041">
          <cell r="A14041">
            <v>3537007</v>
          </cell>
          <cell r="B14041">
            <v>105753</v>
          </cell>
          <cell r="C14041" t="str">
            <v>Hill Top Community Special School</v>
          </cell>
          <cell r="D14041" t="str">
            <v>Oldham</v>
          </cell>
          <cell r="E14041" t="str">
            <v>Community Special School</v>
          </cell>
          <cell r="F14041" t="str">
            <v>Special</v>
          </cell>
        </row>
        <row r="14042">
          <cell r="A14042">
            <v>8156038</v>
          </cell>
          <cell r="B14042">
            <v>131253</v>
          </cell>
          <cell r="C14042" t="str">
            <v>Hill Top Farm</v>
          </cell>
          <cell r="D14042" t="str">
            <v>North Yorkshire</v>
          </cell>
          <cell r="E14042" t="str">
            <v>Other Independent Special School</v>
          </cell>
          <cell r="F14042" t="str">
            <v>Not applicable</v>
          </cell>
        </row>
        <row r="14043">
          <cell r="A14043">
            <v>3334004</v>
          </cell>
          <cell r="B14043">
            <v>127166</v>
          </cell>
          <cell r="C14043" t="str">
            <v>Hill Top High School</v>
          </cell>
          <cell r="D14043" t="str">
            <v>Sandwell</v>
          </cell>
          <cell r="E14043" t="str">
            <v>Community School</v>
          </cell>
          <cell r="F14043" t="str">
            <v>Secondary</v>
          </cell>
        </row>
        <row r="14044">
          <cell r="A14044">
            <v>3832292</v>
          </cell>
          <cell r="B14044">
            <v>107823</v>
          </cell>
          <cell r="C14044" t="str">
            <v>Hill Top Primary School</v>
          </cell>
          <cell r="D14044" t="str">
            <v>Leeds</v>
          </cell>
          <cell r="E14044" t="str">
            <v>Community School</v>
          </cell>
          <cell r="F14044" t="str">
            <v>Primary</v>
          </cell>
        </row>
        <row r="14045">
          <cell r="A14045">
            <v>8612018</v>
          </cell>
          <cell r="B14045">
            <v>123981</v>
          </cell>
          <cell r="C14045" t="str">
            <v>Hill Top Primary School</v>
          </cell>
          <cell r="D14045" t="str">
            <v>Stoke-on-Trent</v>
          </cell>
          <cell r="E14045" t="str">
            <v>Community School</v>
          </cell>
          <cell r="F14045" t="str">
            <v>Primary</v>
          </cell>
        </row>
        <row r="14046">
          <cell r="A14046">
            <v>3712208</v>
          </cell>
          <cell r="B14046">
            <v>133294</v>
          </cell>
          <cell r="C14046" t="str">
            <v>Hill Top Primary School</v>
          </cell>
          <cell r="D14046" t="str">
            <v>Doncaster</v>
          </cell>
          <cell r="E14046" t="str">
            <v>Community School</v>
          </cell>
          <cell r="F14046" t="str">
            <v>Primary</v>
          </cell>
        </row>
        <row r="14047">
          <cell r="A14047">
            <v>3847043</v>
          </cell>
          <cell r="B14047">
            <v>108316</v>
          </cell>
          <cell r="C14047" t="str">
            <v>Hill Top School</v>
          </cell>
          <cell r="D14047" t="str">
            <v>Wakefield</v>
          </cell>
          <cell r="E14047" t="str">
            <v>Community Special School</v>
          </cell>
          <cell r="F14047" t="str">
            <v>Special</v>
          </cell>
        </row>
        <row r="14048">
          <cell r="A14048">
            <v>3907008</v>
          </cell>
          <cell r="B14048">
            <v>130942</v>
          </cell>
          <cell r="C14048" t="str">
            <v>Hill Top School</v>
          </cell>
          <cell r="D14048" t="str">
            <v>Gateshead</v>
          </cell>
          <cell r="E14048" t="str">
            <v>Community Special School</v>
          </cell>
          <cell r="F14048" t="str">
            <v>Special</v>
          </cell>
        </row>
        <row r="14049">
          <cell r="A14049">
            <v>8456026</v>
          </cell>
          <cell r="B14049">
            <v>114649</v>
          </cell>
          <cell r="C14049" t="str">
            <v>Hill Top Small School</v>
          </cell>
          <cell r="D14049" t="str">
            <v>East Sussex</v>
          </cell>
          <cell r="E14049" t="str">
            <v>Other Independent School</v>
          </cell>
          <cell r="F14049" t="str">
            <v>Not applicable</v>
          </cell>
        </row>
        <row r="14050">
          <cell r="A14050">
            <v>9122223</v>
          </cell>
          <cell r="B14050">
            <v>128771</v>
          </cell>
          <cell r="C14050" t="str">
            <v>Hill View County First School</v>
          </cell>
          <cell r="D14050" t="str">
            <v>Pre LGR (1997) Dorset</v>
          </cell>
          <cell r="E14050" t="str">
            <v>Community School</v>
          </cell>
          <cell r="F14050" t="str">
            <v>Primary</v>
          </cell>
        </row>
        <row r="14051">
          <cell r="A14051">
            <v>9122224</v>
          </cell>
          <cell r="B14051">
            <v>128772</v>
          </cell>
          <cell r="C14051" t="str">
            <v>Hill View County Junior School</v>
          </cell>
          <cell r="D14051" t="str">
            <v>Pre LGR (1997) Dorset</v>
          </cell>
          <cell r="E14051" t="str">
            <v>Community School</v>
          </cell>
          <cell r="F14051" t="str">
            <v>Primary</v>
          </cell>
        </row>
        <row r="14052">
          <cell r="A14052">
            <v>9251103</v>
          </cell>
          <cell r="B14052">
            <v>120369</v>
          </cell>
          <cell r="C14052" t="str">
            <v>Hill View Education Centre</v>
          </cell>
          <cell r="D14052" t="str">
            <v>Lincolnshire</v>
          </cell>
          <cell r="E14052" t="str">
            <v>Pupil Referral Unit</v>
          </cell>
          <cell r="F14052" t="str">
            <v>PRU</v>
          </cell>
        </row>
        <row r="14053">
          <cell r="A14053">
            <v>9172684</v>
          </cell>
          <cell r="B14053">
            <v>129015</v>
          </cell>
          <cell r="C14053" t="str">
            <v>Hill View First School</v>
          </cell>
          <cell r="D14053" t="str">
            <v>Pre LGR (1997) Hampshire</v>
          </cell>
          <cell r="E14053" t="str">
            <v>Community School</v>
          </cell>
          <cell r="F14053" t="str">
            <v>Primary</v>
          </cell>
        </row>
        <row r="14054">
          <cell r="A14054">
            <v>3942039</v>
          </cell>
          <cell r="B14054">
            <v>108771</v>
          </cell>
          <cell r="C14054" t="str">
            <v>Hill View Infant School</v>
          </cell>
          <cell r="D14054" t="str">
            <v>Sunderland</v>
          </cell>
          <cell r="E14054" t="str">
            <v>Community School</v>
          </cell>
          <cell r="F14054" t="str">
            <v>Primary</v>
          </cell>
        </row>
        <row r="14055">
          <cell r="A14055">
            <v>3942038</v>
          </cell>
          <cell r="B14055">
            <v>108770</v>
          </cell>
          <cell r="C14055" t="str">
            <v>Hill View Junior School</v>
          </cell>
          <cell r="D14055" t="str">
            <v>Sunderland</v>
          </cell>
          <cell r="E14055" t="str">
            <v>Community School</v>
          </cell>
          <cell r="F14055" t="str">
            <v>Primary</v>
          </cell>
        </row>
        <row r="14056">
          <cell r="A14056">
            <v>8372266</v>
          </cell>
          <cell r="B14056">
            <v>113751</v>
          </cell>
          <cell r="C14056" t="str">
            <v>Hill View Primary School</v>
          </cell>
          <cell r="D14056" t="str">
            <v>Bournemouth</v>
          </cell>
          <cell r="E14056" t="str">
            <v>Community School</v>
          </cell>
          <cell r="F14056" t="str">
            <v>Primary</v>
          </cell>
        </row>
        <row r="14057">
          <cell r="A14057">
            <v>9312056</v>
          </cell>
          <cell r="B14057">
            <v>122995</v>
          </cell>
          <cell r="C14057" t="str">
            <v>Hill View Primary School</v>
          </cell>
          <cell r="D14057" t="str">
            <v>Oxfordshire</v>
          </cell>
          <cell r="E14057" t="str">
            <v>Community School</v>
          </cell>
          <cell r="F14057" t="str">
            <v>Primary</v>
          </cell>
        </row>
        <row r="14058">
          <cell r="A14058">
            <v>8866088</v>
          </cell>
          <cell r="B14058">
            <v>132111</v>
          </cell>
          <cell r="C14058" t="str">
            <v>Hill View School</v>
          </cell>
          <cell r="D14058" t="str">
            <v>Kent</v>
          </cell>
          <cell r="E14058" t="str">
            <v>Other Independent Special School</v>
          </cell>
          <cell r="F14058" t="str">
            <v>Not applicable</v>
          </cell>
        </row>
        <row r="14059">
          <cell r="A14059">
            <v>3302427</v>
          </cell>
          <cell r="B14059">
            <v>103358</v>
          </cell>
          <cell r="C14059" t="str">
            <v>Hill West Infant School</v>
          </cell>
          <cell r="D14059" t="str">
            <v>Birmingham</v>
          </cell>
          <cell r="E14059" t="str">
            <v>Community School</v>
          </cell>
          <cell r="F14059" t="str">
            <v>Primary</v>
          </cell>
        </row>
        <row r="14060">
          <cell r="A14060">
            <v>3302417</v>
          </cell>
          <cell r="B14060">
            <v>103352</v>
          </cell>
          <cell r="C14060" t="str">
            <v>Hill West Junior School</v>
          </cell>
          <cell r="D14060" t="str">
            <v>Birmingham</v>
          </cell>
          <cell r="E14060" t="str">
            <v>Community School</v>
          </cell>
          <cell r="F14060" t="str">
            <v>Primary</v>
          </cell>
        </row>
        <row r="14061">
          <cell r="A14061">
            <v>3303429</v>
          </cell>
          <cell r="B14061">
            <v>134477</v>
          </cell>
          <cell r="C14061" t="str">
            <v>Hill West Primary School</v>
          </cell>
          <cell r="D14061" t="str">
            <v>Birmingham</v>
          </cell>
          <cell r="E14061" t="str">
            <v>Community School</v>
          </cell>
          <cell r="F14061" t="str">
            <v>Primary</v>
          </cell>
        </row>
        <row r="14062">
          <cell r="A14062">
            <v>3352023</v>
          </cell>
          <cell r="B14062">
            <v>104156</v>
          </cell>
          <cell r="C14062" t="str">
            <v>Hillary Infant School</v>
          </cell>
          <cell r="D14062" t="str">
            <v>Walsall</v>
          </cell>
          <cell r="E14062" t="str">
            <v>Community School</v>
          </cell>
          <cell r="F14062" t="str">
            <v>Primary</v>
          </cell>
        </row>
        <row r="14063">
          <cell r="A14063">
            <v>3352022</v>
          </cell>
          <cell r="B14063">
            <v>104155</v>
          </cell>
          <cell r="C14063" t="str">
            <v>Hillary Junior School</v>
          </cell>
          <cell r="D14063" t="str">
            <v>Walsall</v>
          </cell>
          <cell r="E14063" t="str">
            <v>Community School</v>
          </cell>
          <cell r="F14063" t="str">
            <v>Primary</v>
          </cell>
        </row>
        <row r="14064">
          <cell r="A14064">
            <v>3352246</v>
          </cell>
          <cell r="B14064">
            <v>131511</v>
          </cell>
          <cell r="C14064" t="str">
            <v>Hillary Primary School</v>
          </cell>
          <cell r="D14064" t="str">
            <v>Walsall</v>
          </cell>
          <cell r="E14064" t="str">
            <v>Community School</v>
          </cell>
          <cell r="F14064" t="str">
            <v>Primary</v>
          </cell>
        </row>
        <row r="14065">
          <cell r="A14065">
            <v>8212274</v>
          </cell>
          <cell r="B14065">
            <v>109581</v>
          </cell>
          <cell r="C14065" t="str">
            <v>Hillborough Infant School</v>
          </cell>
          <cell r="D14065" t="str">
            <v>Luton</v>
          </cell>
          <cell r="E14065" t="str">
            <v>Community School</v>
          </cell>
          <cell r="F14065" t="str">
            <v>Primary</v>
          </cell>
        </row>
        <row r="14066">
          <cell r="A14066">
            <v>8212271</v>
          </cell>
          <cell r="B14066">
            <v>109578</v>
          </cell>
          <cell r="C14066" t="str">
            <v>Hillborough Junior School</v>
          </cell>
          <cell r="D14066" t="str">
            <v>Luton</v>
          </cell>
          <cell r="E14066" t="str">
            <v>Community School</v>
          </cell>
          <cell r="F14066" t="str">
            <v>Primary</v>
          </cell>
        </row>
        <row r="14067">
          <cell r="A14067">
            <v>8362167</v>
          </cell>
          <cell r="B14067">
            <v>113697</v>
          </cell>
          <cell r="C14067" t="str">
            <v>Hillbourne Community First School and Nursery</v>
          </cell>
          <cell r="D14067" t="str">
            <v>Poole</v>
          </cell>
          <cell r="E14067" t="str">
            <v>Community School</v>
          </cell>
          <cell r="F14067" t="str">
            <v>Primary</v>
          </cell>
        </row>
        <row r="14068">
          <cell r="A14068">
            <v>8362165</v>
          </cell>
          <cell r="B14068">
            <v>113695</v>
          </cell>
          <cell r="C14068" t="str">
            <v>Hillbourne Community Middle School</v>
          </cell>
          <cell r="D14068" t="str">
            <v>Poole</v>
          </cell>
          <cell r="E14068" t="str">
            <v>Community School</v>
          </cell>
          <cell r="F14068" t="str">
            <v>Middle Deemed Primary</v>
          </cell>
        </row>
        <row r="14069">
          <cell r="A14069">
            <v>8363614</v>
          </cell>
          <cell r="B14069">
            <v>134892</v>
          </cell>
          <cell r="C14069" t="str">
            <v>Hillbourne School and Nursery</v>
          </cell>
          <cell r="D14069" t="str">
            <v>Poole</v>
          </cell>
          <cell r="E14069" t="str">
            <v>Community School</v>
          </cell>
          <cell r="F14069" t="str">
            <v>Middle Deemed Primary</v>
          </cell>
        </row>
        <row r="14070">
          <cell r="A14070">
            <v>2125201</v>
          </cell>
          <cell r="B14070">
            <v>101057</v>
          </cell>
          <cell r="C14070" t="str">
            <v>Hillbrook School</v>
          </cell>
          <cell r="D14070" t="str">
            <v>Wandsworth</v>
          </cell>
          <cell r="E14070" t="str">
            <v>Foundation School</v>
          </cell>
          <cell r="F14070" t="str">
            <v>Primary</v>
          </cell>
        </row>
        <row r="14071">
          <cell r="A14071">
            <v>3069901</v>
          </cell>
          <cell r="B14071">
            <v>133247</v>
          </cell>
          <cell r="C14071" t="str">
            <v>Hillcrest</v>
          </cell>
          <cell r="D14071" t="str">
            <v>Croydon</v>
          </cell>
          <cell r="E14071" t="str">
            <v>Miscellaneous</v>
          </cell>
          <cell r="F14071" t="str">
            <v>Not applicable</v>
          </cell>
        </row>
        <row r="14072">
          <cell r="A14072">
            <v>8506086</v>
          </cell>
          <cell r="B14072">
            <v>135105</v>
          </cell>
          <cell r="C14072" t="str">
            <v>Hillcrest - Hayling Island</v>
          </cell>
          <cell r="D14072" t="str">
            <v>Hampshire</v>
          </cell>
          <cell r="E14072" t="str">
            <v>Other Independent Special School</v>
          </cell>
          <cell r="F14072" t="str">
            <v>Not applicable</v>
          </cell>
        </row>
        <row r="14073">
          <cell r="A14073">
            <v>9386255</v>
          </cell>
          <cell r="B14073">
            <v>131139</v>
          </cell>
          <cell r="C14073" t="str">
            <v>Hillcrest College, Slinfold</v>
          </cell>
          <cell r="D14073" t="str">
            <v>West Sussex</v>
          </cell>
          <cell r="E14073" t="str">
            <v>Other Independent Special School</v>
          </cell>
          <cell r="F14073" t="str">
            <v>Not applicable</v>
          </cell>
        </row>
        <row r="14074">
          <cell r="A14074">
            <v>2096358</v>
          </cell>
          <cell r="B14074">
            <v>126665</v>
          </cell>
          <cell r="C14074" t="str">
            <v>Hillcrest Community School</v>
          </cell>
          <cell r="D14074" t="str">
            <v>Lewisham</v>
          </cell>
          <cell r="E14074" t="str">
            <v>Other Independent School</v>
          </cell>
          <cell r="F14074" t="str">
            <v>Not applicable</v>
          </cell>
        </row>
        <row r="14075">
          <cell r="A14075">
            <v>3566001</v>
          </cell>
          <cell r="B14075">
            <v>106145</v>
          </cell>
          <cell r="C14075" t="str">
            <v>Hillcrest Grammar School</v>
          </cell>
          <cell r="D14075" t="str">
            <v>Stockport</v>
          </cell>
          <cell r="E14075" t="str">
            <v>Other Independent School</v>
          </cell>
          <cell r="F14075" t="str">
            <v>Not applicable</v>
          </cell>
        </row>
        <row r="14076">
          <cell r="A14076">
            <v>3066101</v>
          </cell>
          <cell r="B14076">
            <v>131179</v>
          </cell>
          <cell r="C14076" t="str">
            <v>Hillcrest Norwood</v>
          </cell>
          <cell r="D14076" t="str">
            <v>Croydon</v>
          </cell>
          <cell r="E14076" t="str">
            <v>Other Independent Special School</v>
          </cell>
          <cell r="F14076" t="str">
            <v>Not applicable</v>
          </cell>
        </row>
        <row r="14077">
          <cell r="A14077">
            <v>9316115</v>
          </cell>
          <cell r="B14077">
            <v>123326</v>
          </cell>
          <cell r="C14077" t="str">
            <v>Hillcrest Park School</v>
          </cell>
          <cell r="D14077" t="str">
            <v>Oxfordshire</v>
          </cell>
          <cell r="E14077" t="str">
            <v>Other Independent Special School</v>
          </cell>
          <cell r="F14077" t="str">
            <v>Not applicable</v>
          </cell>
        </row>
        <row r="14078">
          <cell r="A14078">
            <v>6666007</v>
          </cell>
          <cell r="B14078">
            <v>401985</v>
          </cell>
          <cell r="C14078" t="str">
            <v>Hillcrest Pentwyn School</v>
          </cell>
          <cell r="D14078" t="str">
            <v>Powys</v>
          </cell>
          <cell r="E14078" t="str">
            <v>Welsh Establishment</v>
          </cell>
          <cell r="F14078" t="str">
            <v>Not applicable</v>
          </cell>
        </row>
        <row r="14079">
          <cell r="A14079">
            <v>3832435</v>
          </cell>
          <cell r="B14079">
            <v>107911</v>
          </cell>
          <cell r="C14079" t="str">
            <v>Hillcrest Primary School</v>
          </cell>
          <cell r="D14079" t="str">
            <v>Leeds</v>
          </cell>
          <cell r="E14079" t="str">
            <v>Community School</v>
          </cell>
          <cell r="F14079" t="str">
            <v>Primary</v>
          </cell>
        </row>
        <row r="14080">
          <cell r="A14080">
            <v>8012023</v>
          </cell>
          <cell r="B14080">
            <v>131522</v>
          </cell>
          <cell r="C14080" t="str">
            <v>Hillcrest Primary School</v>
          </cell>
          <cell r="D14080" t="str">
            <v>Bristol City of</v>
          </cell>
          <cell r="E14080" t="str">
            <v>Community School</v>
          </cell>
          <cell r="F14080" t="str">
            <v>Primary</v>
          </cell>
        </row>
        <row r="14081">
          <cell r="A14081">
            <v>8237010</v>
          </cell>
          <cell r="B14081">
            <v>109740</v>
          </cell>
          <cell r="C14081" t="str">
            <v>Hillcrest School</v>
          </cell>
          <cell r="D14081" t="str">
            <v>Central Bedfordshire</v>
          </cell>
          <cell r="E14081" t="str">
            <v>Community Special School</v>
          </cell>
          <cell r="F14081" t="str">
            <v>Special</v>
          </cell>
        </row>
        <row r="14082">
          <cell r="A14082">
            <v>8454057</v>
          </cell>
          <cell r="B14082">
            <v>114601</v>
          </cell>
          <cell r="C14082" t="str">
            <v>Hillcrest School</v>
          </cell>
          <cell r="D14082" t="str">
            <v>East Sussex</v>
          </cell>
          <cell r="E14082" t="str">
            <v>Community School</v>
          </cell>
          <cell r="F14082" t="str">
            <v>Secondary</v>
          </cell>
        </row>
        <row r="14083">
          <cell r="A14083">
            <v>3304012</v>
          </cell>
          <cell r="B14083">
            <v>103482</v>
          </cell>
          <cell r="C14083" t="str">
            <v>Hillcrest School A Specialist Maths and Computing College and Sixth Form Centre</v>
          </cell>
          <cell r="D14083" t="str">
            <v>Birmingham</v>
          </cell>
          <cell r="E14083" t="str">
            <v>Community School</v>
          </cell>
          <cell r="F14083" t="str">
            <v>Secondary</v>
          </cell>
        </row>
        <row r="14084">
          <cell r="A14084">
            <v>3304012</v>
          </cell>
          <cell r="B14084">
            <v>137346</v>
          </cell>
          <cell r="C14084" t="str">
            <v>Hillcrest School A Specialist Maths and Computing College and Sixth Form Centre</v>
          </cell>
          <cell r="D14084" t="str">
            <v>Birmingham</v>
          </cell>
          <cell r="E14084" t="str">
            <v>Academy Converters</v>
          </cell>
          <cell r="F14084" t="str">
            <v>Secondary</v>
          </cell>
        </row>
        <row r="14085">
          <cell r="A14085">
            <v>3148285</v>
          </cell>
          <cell r="B14085">
            <v>133053</v>
          </cell>
          <cell r="C14085" t="str">
            <v>Hillcroft College</v>
          </cell>
          <cell r="D14085" t="str">
            <v>Kingston upon Thames</v>
          </cell>
          <cell r="E14085" t="str">
            <v>Miscellaneous</v>
          </cell>
          <cell r="F14085" t="str">
            <v>Not applicable</v>
          </cell>
        </row>
        <row r="14086">
          <cell r="A14086">
            <v>9362045</v>
          </cell>
          <cell r="B14086">
            <v>130014</v>
          </cell>
          <cell r="C14086" t="str">
            <v>Hillcroft County Middle School</v>
          </cell>
          <cell r="D14086" t="str">
            <v>Surrey</v>
          </cell>
          <cell r="E14086" t="str">
            <v>Community School</v>
          </cell>
          <cell r="F14086" t="str">
            <v>Middle Deemed Primary</v>
          </cell>
        </row>
        <row r="14087">
          <cell r="A14087">
            <v>9362046</v>
          </cell>
          <cell r="B14087">
            <v>130015</v>
          </cell>
          <cell r="C14087" t="str">
            <v>Hillcroft First School</v>
          </cell>
          <cell r="D14087" t="str">
            <v>Surrey</v>
          </cell>
          <cell r="E14087" t="str">
            <v>Community School</v>
          </cell>
          <cell r="F14087" t="str">
            <v>Primary</v>
          </cell>
        </row>
        <row r="14088">
          <cell r="A14088">
            <v>9356021</v>
          </cell>
          <cell r="B14088">
            <v>124874</v>
          </cell>
          <cell r="C14088" t="str">
            <v>Hillcroft Preparatory School</v>
          </cell>
          <cell r="D14088" t="str">
            <v>Suffolk</v>
          </cell>
          <cell r="E14088" t="str">
            <v>Other Independent School</v>
          </cell>
          <cell r="F14088" t="str">
            <v>Not applicable</v>
          </cell>
        </row>
        <row r="14089">
          <cell r="A14089">
            <v>9362947</v>
          </cell>
          <cell r="B14089">
            <v>125123</v>
          </cell>
          <cell r="C14089" t="str">
            <v>Hillcroft Primary School</v>
          </cell>
          <cell r="D14089" t="str">
            <v>Surrey</v>
          </cell>
          <cell r="E14089" t="str">
            <v>Community School</v>
          </cell>
          <cell r="F14089" t="str">
            <v>Primary</v>
          </cell>
        </row>
        <row r="14090">
          <cell r="A14090">
            <v>3154043</v>
          </cell>
          <cell r="B14090">
            <v>126964</v>
          </cell>
          <cell r="C14090" t="str">
            <v>Hillcross County Middle School</v>
          </cell>
          <cell r="D14090" t="str">
            <v>Merton</v>
          </cell>
          <cell r="E14090" t="str">
            <v>Community School</v>
          </cell>
          <cell r="F14090" t="str">
            <v>Middle Deemed Secondary</v>
          </cell>
        </row>
        <row r="14091">
          <cell r="A14091">
            <v>3152084</v>
          </cell>
          <cell r="B14091">
            <v>102655</v>
          </cell>
          <cell r="C14091" t="str">
            <v>Hillcross Primary School</v>
          </cell>
          <cell r="D14091" t="str">
            <v>Merton</v>
          </cell>
          <cell r="E14091" t="str">
            <v>Community School</v>
          </cell>
          <cell r="F14091" t="str">
            <v>Primary</v>
          </cell>
        </row>
        <row r="14092">
          <cell r="A14092">
            <v>3112048</v>
          </cell>
          <cell r="B14092">
            <v>126921</v>
          </cell>
          <cell r="C14092" t="str">
            <v>Hilldene Infants' School</v>
          </cell>
          <cell r="D14092" t="str">
            <v>Havering</v>
          </cell>
          <cell r="E14092" t="str">
            <v>Community School</v>
          </cell>
          <cell r="F14092" t="str">
            <v>Primary</v>
          </cell>
        </row>
        <row r="14093">
          <cell r="A14093">
            <v>3112047</v>
          </cell>
          <cell r="B14093">
            <v>126920</v>
          </cell>
          <cell r="C14093" t="str">
            <v>Hilldene Junior School</v>
          </cell>
          <cell r="D14093" t="str">
            <v>Havering</v>
          </cell>
          <cell r="E14093" t="str">
            <v>Community School</v>
          </cell>
          <cell r="F14093" t="str">
            <v>Primary</v>
          </cell>
        </row>
        <row r="14094">
          <cell r="A14094">
            <v>3112090</v>
          </cell>
          <cell r="B14094">
            <v>102325</v>
          </cell>
          <cell r="C14094" t="str">
            <v>Hilldene Primary School</v>
          </cell>
          <cell r="D14094" t="str">
            <v>Havering</v>
          </cell>
          <cell r="E14094" t="str">
            <v>Community School</v>
          </cell>
          <cell r="F14094" t="str">
            <v>Primary</v>
          </cell>
        </row>
        <row r="14095">
          <cell r="A14095">
            <v>9163367</v>
          </cell>
          <cell r="B14095">
            <v>115716</v>
          </cell>
          <cell r="C14095" t="str">
            <v>Hillesley Church of England Primary School</v>
          </cell>
          <cell r="D14095" t="str">
            <v>Gloucestershire</v>
          </cell>
          <cell r="E14095" t="str">
            <v>Voluntary Aided School</v>
          </cell>
          <cell r="F14095" t="str">
            <v>Primary</v>
          </cell>
        </row>
        <row r="14096">
          <cell r="A14096">
            <v>9013430</v>
          </cell>
          <cell r="B14096">
            <v>128234</v>
          </cell>
          <cell r="C14096" t="str">
            <v>Hillesley Primary School</v>
          </cell>
          <cell r="D14096" t="str">
            <v>Pre LGR (1996) Avon</v>
          </cell>
          <cell r="E14096" t="str">
            <v>Voluntary Aided School</v>
          </cell>
          <cell r="F14096" t="str">
            <v>Primary</v>
          </cell>
        </row>
        <row r="14097">
          <cell r="A14097">
            <v>3311007</v>
          </cell>
          <cell r="B14097">
            <v>103633</v>
          </cell>
          <cell r="C14097" t="str">
            <v>Hillfields Early Years Centre</v>
          </cell>
          <cell r="D14097" t="str">
            <v>Coventry</v>
          </cell>
          <cell r="E14097" t="str">
            <v>LA Nursery School</v>
          </cell>
          <cell r="F14097" t="str">
            <v>Nursery</v>
          </cell>
        </row>
        <row r="14098">
          <cell r="A14098">
            <v>8012043</v>
          </cell>
          <cell r="B14098">
            <v>108936</v>
          </cell>
          <cell r="C14098" t="str">
            <v>Hillfields Park Infant School</v>
          </cell>
          <cell r="D14098" t="str">
            <v>Bristol City of</v>
          </cell>
          <cell r="E14098" t="str">
            <v>Community School</v>
          </cell>
          <cell r="F14098" t="str">
            <v>Primary</v>
          </cell>
        </row>
        <row r="14099">
          <cell r="A14099">
            <v>8012042</v>
          </cell>
          <cell r="B14099">
            <v>108935</v>
          </cell>
          <cell r="C14099" t="str">
            <v>Hillfields Park Junior School</v>
          </cell>
          <cell r="D14099" t="str">
            <v>Bristol City of</v>
          </cell>
          <cell r="E14099" t="str">
            <v>Community School</v>
          </cell>
          <cell r="F14099" t="str">
            <v>Primary</v>
          </cell>
        </row>
        <row r="14100">
          <cell r="A14100">
            <v>8012015</v>
          </cell>
          <cell r="B14100">
            <v>131498</v>
          </cell>
          <cell r="C14100" t="str">
            <v>Hillfields Primary School</v>
          </cell>
          <cell r="D14100" t="str">
            <v>Bristol City of</v>
          </cell>
          <cell r="E14100" t="str">
            <v>Community School</v>
          </cell>
          <cell r="F14100" t="str">
            <v>Primary</v>
          </cell>
        </row>
        <row r="14101">
          <cell r="A14101">
            <v>6616007</v>
          </cell>
          <cell r="B14101">
            <v>401968</v>
          </cell>
          <cell r="C14101" t="str">
            <v>Hillgrove School</v>
          </cell>
          <cell r="D14101" t="str">
            <v>Gwynedd</v>
          </cell>
          <cell r="E14101" t="str">
            <v>Welsh Establishment</v>
          </cell>
          <cell r="F14101" t="str">
            <v>Not applicable</v>
          </cell>
        </row>
        <row r="14102">
          <cell r="A14102">
            <v>8813256</v>
          </cell>
          <cell r="B14102">
            <v>133254</v>
          </cell>
          <cell r="C14102" t="str">
            <v>Hillhouse CofE Primary School</v>
          </cell>
          <cell r="D14102" t="str">
            <v>Essex</v>
          </cell>
          <cell r="E14102" t="str">
            <v>Voluntary Controlled School</v>
          </cell>
          <cell r="F14102" t="str">
            <v>Primary</v>
          </cell>
        </row>
        <row r="14103">
          <cell r="A14103">
            <v>3122031</v>
          </cell>
          <cell r="B14103">
            <v>102387</v>
          </cell>
          <cell r="C14103" t="str">
            <v>Hillingdon Infant School</v>
          </cell>
          <cell r="D14103" t="str">
            <v>Hillingdon</v>
          </cell>
          <cell r="E14103" t="str">
            <v>Community School</v>
          </cell>
          <cell r="F14103" t="str">
            <v>Primary</v>
          </cell>
        </row>
        <row r="14104">
          <cell r="A14104">
            <v>3122030</v>
          </cell>
          <cell r="B14104">
            <v>102386</v>
          </cell>
          <cell r="C14104" t="str">
            <v>Hillingdon Junior School</v>
          </cell>
          <cell r="D14104" t="str">
            <v>Hillingdon</v>
          </cell>
          <cell r="E14104" t="str">
            <v>Community School</v>
          </cell>
          <cell r="F14104" t="str">
            <v>Primary</v>
          </cell>
        </row>
        <row r="14105">
          <cell r="A14105">
            <v>3126063</v>
          </cell>
          <cell r="B14105">
            <v>131940</v>
          </cell>
          <cell r="C14105" t="str">
            <v>Hillingdon Manor School</v>
          </cell>
          <cell r="D14105" t="str">
            <v>Hillingdon</v>
          </cell>
          <cell r="E14105" t="str">
            <v>Other Independent Special School</v>
          </cell>
          <cell r="F14105" t="str">
            <v>Not applicable</v>
          </cell>
        </row>
        <row r="14106">
          <cell r="A14106">
            <v>3122081</v>
          </cell>
          <cell r="B14106">
            <v>131152</v>
          </cell>
          <cell r="C14106" t="str">
            <v>Hillingdon Primary School</v>
          </cell>
          <cell r="D14106" t="str">
            <v>Hillingdon</v>
          </cell>
          <cell r="E14106" t="str">
            <v>Community School</v>
          </cell>
          <cell r="F14106" t="str">
            <v>Primary</v>
          </cell>
        </row>
        <row r="14107">
          <cell r="A14107">
            <v>3121100</v>
          </cell>
          <cell r="B14107">
            <v>102366</v>
          </cell>
          <cell r="C14107" t="str">
            <v>Hillingdon Tuition Centre</v>
          </cell>
          <cell r="D14107" t="str">
            <v>Hillingdon</v>
          </cell>
          <cell r="E14107" t="str">
            <v>Pupil Referral Unit</v>
          </cell>
          <cell r="F14107" t="str">
            <v>PRU</v>
          </cell>
        </row>
        <row r="14108">
          <cell r="A14108">
            <v>9192387</v>
          </cell>
          <cell r="B14108">
            <v>117310</v>
          </cell>
          <cell r="C14108" t="str">
            <v>Hillmead Primary School</v>
          </cell>
          <cell r="D14108" t="str">
            <v>Hertfordshire</v>
          </cell>
          <cell r="E14108" t="str">
            <v>Community School</v>
          </cell>
          <cell r="F14108" t="str">
            <v>Primary</v>
          </cell>
        </row>
        <row r="14109">
          <cell r="A14109">
            <v>9372403</v>
          </cell>
          <cell r="B14109">
            <v>125568</v>
          </cell>
          <cell r="C14109" t="str">
            <v>Hillmorton First School</v>
          </cell>
          <cell r="D14109" t="str">
            <v>Warwickshire</v>
          </cell>
          <cell r="E14109" t="str">
            <v>Community School</v>
          </cell>
          <cell r="F14109" t="str">
            <v>Primary</v>
          </cell>
        </row>
        <row r="14110">
          <cell r="A14110">
            <v>9372589</v>
          </cell>
          <cell r="B14110">
            <v>125597</v>
          </cell>
          <cell r="C14110" t="str">
            <v>Hillmorton Middle School</v>
          </cell>
          <cell r="D14110" t="str">
            <v>Warwickshire</v>
          </cell>
          <cell r="E14110" t="str">
            <v>Community School</v>
          </cell>
          <cell r="F14110" t="str">
            <v>Middle Deemed Primary</v>
          </cell>
        </row>
        <row r="14111">
          <cell r="A14111">
            <v>9372628</v>
          </cell>
          <cell r="B14111">
            <v>130887</v>
          </cell>
          <cell r="C14111" t="str">
            <v>Hillmorton Primary School</v>
          </cell>
          <cell r="D14111" t="str">
            <v>Warwickshire</v>
          </cell>
          <cell r="E14111" t="str">
            <v>Community School</v>
          </cell>
          <cell r="F14111" t="str">
            <v>Primary</v>
          </cell>
        </row>
        <row r="14112">
          <cell r="A14112">
            <v>8912362</v>
          </cell>
          <cell r="B14112">
            <v>122563</v>
          </cell>
          <cell r="C14112" t="str">
            <v>Hillocks Primary and Nursery School</v>
          </cell>
          <cell r="D14112" t="str">
            <v>Nottinghamshire</v>
          </cell>
          <cell r="E14112" t="str">
            <v>Community School</v>
          </cell>
          <cell r="F14112" t="str">
            <v>Primary</v>
          </cell>
        </row>
        <row r="14113">
          <cell r="A14113">
            <v>9054025</v>
          </cell>
          <cell r="B14113">
            <v>128383</v>
          </cell>
          <cell r="C14113" t="str">
            <v>Hills Road Sixth Form College</v>
          </cell>
          <cell r="D14113" t="str">
            <v>Pre LGR (1998) Cambridgeshire</v>
          </cell>
          <cell r="E14113" t="str">
            <v>Community School</v>
          </cell>
          <cell r="F14113" t="str">
            <v>Secondary</v>
          </cell>
        </row>
        <row r="14114">
          <cell r="A14114">
            <v>8738600</v>
          </cell>
          <cell r="B14114">
            <v>130615</v>
          </cell>
          <cell r="C14114" t="str">
            <v>Hills Road Sixth Form College</v>
          </cell>
          <cell r="D14114" t="str">
            <v>Cambridgeshire</v>
          </cell>
          <cell r="E14114" t="str">
            <v>Further Education</v>
          </cell>
          <cell r="F14114" t="str">
            <v>16 Plus</v>
          </cell>
        </row>
        <row r="14115">
          <cell r="A14115">
            <v>3731103</v>
          </cell>
          <cell r="B14115">
            <v>106981</v>
          </cell>
          <cell r="C14115" t="str">
            <v>Hillsborough House</v>
          </cell>
          <cell r="D14115" t="str">
            <v>Sheffield</v>
          </cell>
          <cell r="E14115" t="str">
            <v>Pupil Referral Unit</v>
          </cell>
          <cell r="F14115" t="str">
            <v>PRU</v>
          </cell>
        </row>
        <row r="14116">
          <cell r="A14116">
            <v>3732053</v>
          </cell>
          <cell r="B14116">
            <v>127648</v>
          </cell>
          <cell r="C14116" t="str">
            <v>Hillsborough Middle School</v>
          </cell>
          <cell r="D14116" t="str">
            <v>Sheffield</v>
          </cell>
          <cell r="E14116" t="str">
            <v>Community School</v>
          </cell>
          <cell r="F14116" t="str">
            <v>Middle Deemed Primary</v>
          </cell>
        </row>
        <row r="14117">
          <cell r="A14117">
            <v>3732055</v>
          </cell>
          <cell r="B14117">
            <v>127649</v>
          </cell>
          <cell r="C14117" t="str">
            <v>Hillsborough Nursery and First School</v>
          </cell>
          <cell r="D14117" t="str">
            <v>Sheffield</v>
          </cell>
          <cell r="E14117" t="str">
            <v>Community School</v>
          </cell>
          <cell r="F14117" t="str">
            <v>Primary</v>
          </cell>
        </row>
        <row r="14118">
          <cell r="A14118">
            <v>3732339</v>
          </cell>
          <cell r="B14118">
            <v>107082</v>
          </cell>
          <cell r="C14118" t="str">
            <v>Hillsborough Primary School</v>
          </cell>
          <cell r="D14118" t="str">
            <v>Sheffield</v>
          </cell>
          <cell r="E14118" t="str">
            <v>Community School</v>
          </cell>
          <cell r="F14118" t="str">
            <v>Primary</v>
          </cell>
        </row>
        <row r="14119">
          <cell r="A14119">
            <v>3032007</v>
          </cell>
          <cell r="B14119">
            <v>101408</v>
          </cell>
          <cell r="C14119" t="str">
            <v>Hillsgrove Primary School</v>
          </cell>
          <cell r="D14119" t="str">
            <v>Bexley</v>
          </cell>
          <cell r="E14119" t="str">
            <v>Community School</v>
          </cell>
          <cell r="F14119" t="str">
            <v>Primary</v>
          </cell>
        </row>
        <row r="14120">
          <cell r="A14120">
            <v>9192069</v>
          </cell>
          <cell r="B14120">
            <v>117123</v>
          </cell>
          <cell r="C14120" t="str">
            <v>Hillshott Infant School and Nursery</v>
          </cell>
          <cell r="D14120" t="str">
            <v>Hertfordshire</v>
          </cell>
          <cell r="E14120" t="str">
            <v>Community School</v>
          </cell>
          <cell r="F14120" t="str">
            <v>Primary</v>
          </cell>
        </row>
        <row r="14121">
          <cell r="A14121">
            <v>9239900</v>
          </cell>
          <cell r="B14121">
            <v>133082</v>
          </cell>
          <cell r="C14121" t="str">
            <v>Hillside Autistic Centre</v>
          </cell>
          <cell r="D14121" t="str">
            <v>Pre LGR (1998) Lancashire</v>
          </cell>
          <cell r="E14121" t="str">
            <v>Miscellaneous</v>
          </cell>
          <cell r="F14121" t="str">
            <v>Not applicable</v>
          </cell>
        </row>
        <row r="14122">
          <cell r="A14122">
            <v>9262160</v>
          </cell>
          <cell r="B14122">
            <v>120858</v>
          </cell>
          <cell r="C14122" t="str">
            <v>Hillside Avenue Primary and Nursery School, Thorpe</v>
          </cell>
          <cell r="D14122" t="str">
            <v>Norfolk</v>
          </cell>
          <cell r="E14122" t="str">
            <v>Community School</v>
          </cell>
          <cell r="F14122" t="str">
            <v>Primary</v>
          </cell>
        </row>
        <row r="14123">
          <cell r="A14123">
            <v>8352048</v>
          </cell>
          <cell r="B14123">
            <v>113683</v>
          </cell>
          <cell r="C14123" t="str">
            <v>Hillside Community First School</v>
          </cell>
          <cell r="D14123" t="str">
            <v>Dorset</v>
          </cell>
          <cell r="E14123" t="str">
            <v>Community School</v>
          </cell>
          <cell r="F14123" t="str">
            <v>Primary</v>
          </cell>
        </row>
        <row r="14124">
          <cell r="A14124">
            <v>8882526</v>
          </cell>
          <cell r="B14124">
            <v>119298</v>
          </cell>
          <cell r="C14124" t="str">
            <v>Hillside Community Primary School</v>
          </cell>
          <cell r="D14124" t="str">
            <v>Lancashire</v>
          </cell>
          <cell r="E14124" t="str">
            <v>Community School</v>
          </cell>
          <cell r="F14124" t="str">
            <v>Primary</v>
          </cell>
        </row>
        <row r="14125">
          <cell r="A14125">
            <v>9352156</v>
          </cell>
          <cell r="B14125">
            <v>124644</v>
          </cell>
          <cell r="C14125" t="str">
            <v>Hillside Community Primary School</v>
          </cell>
          <cell r="D14125" t="str">
            <v>Suffolk</v>
          </cell>
          <cell r="E14125" t="str">
            <v>Community School</v>
          </cell>
          <cell r="F14125" t="str">
            <v>Primary</v>
          </cell>
        </row>
        <row r="14126">
          <cell r="A14126">
            <v>3834330</v>
          </cell>
          <cell r="B14126">
            <v>127997</v>
          </cell>
          <cell r="C14126" t="str">
            <v>Hillside County Middle School</v>
          </cell>
          <cell r="D14126" t="str">
            <v>Leeds</v>
          </cell>
          <cell r="E14126" t="str">
            <v>Community School</v>
          </cell>
          <cell r="F14126" t="str">
            <v>Middle Deemed Secondary</v>
          </cell>
        </row>
        <row r="14127">
          <cell r="A14127">
            <v>8022292</v>
          </cell>
          <cell r="B14127">
            <v>109106</v>
          </cell>
          <cell r="C14127" t="str">
            <v>Hillside First School</v>
          </cell>
          <cell r="D14127" t="str">
            <v>North Somerset</v>
          </cell>
          <cell r="E14127" t="str">
            <v>Community School</v>
          </cell>
          <cell r="F14127" t="str">
            <v>Primary</v>
          </cell>
        </row>
        <row r="14128">
          <cell r="A14128">
            <v>3434031</v>
          </cell>
          <cell r="B14128">
            <v>104946</v>
          </cell>
          <cell r="C14128" t="str">
            <v>Hillside High School</v>
          </cell>
          <cell r="D14128" t="str">
            <v>Sefton</v>
          </cell>
          <cell r="E14128" t="str">
            <v>Foundation School</v>
          </cell>
          <cell r="F14128" t="str">
            <v>Secondary</v>
          </cell>
        </row>
        <row r="14129">
          <cell r="A14129">
            <v>3125204</v>
          </cell>
          <cell r="B14129">
            <v>102434</v>
          </cell>
          <cell r="C14129" t="str">
            <v>Hillside Infant School</v>
          </cell>
          <cell r="D14129" t="str">
            <v>Hillingdon</v>
          </cell>
          <cell r="E14129" t="str">
            <v>Foundation School</v>
          </cell>
          <cell r="F14129" t="str">
            <v>Primary</v>
          </cell>
        </row>
        <row r="14130">
          <cell r="A14130">
            <v>3442273</v>
          </cell>
          <cell r="B14130">
            <v>105059</v>
          </cell>
          <cell r="C14130" t="str">
            <v>Hillside Infant School</v>
          </cell>
          <cell r="D14130" t="str">
            <v>Wirral</v>
          </cell>
          <cell r="E14130" t="str">
            <v>Community School</v>
          </cell>
          <cell r="F14130" t="str">
            <v>Primary</v>
          </cell>
        </row>
        <row r="14131">
          <cell r="A14131">
            <v>3125205</v>
          </cell>
          <cell r="B14131">
            <v>102435</v>
          </cell>
          <cell r="C14131" t="str">
            <v>Hillside Junior School</v>
          </cell>
          <cell r="D14131" t="str">
            <v>Hillingdon</v>
          </cell>
          <cell r="E14131" t="str">
            <v>Foundation School</v>
          </cell>
          <cell r="F14131" t="str">
            <v>Primary</v>
          </cell>
        </row>
        <row r="14132">
          <cell r="A14132">
            <v>3442253</v>
          </cell>
          <cell r="B14132">
            <v>105040</v>
          </cell>
          <cell r="C14132" t="str">
            <v>Hillside Junior School</v>
          </cell>
          <cell r="D14132" t="str">
            <v>Wirral</v>
          </cell>
          <cell r="E14132" t="str">
            <v>Community School</v>
          </cell>
          <cell r="F14132" t="str">
            <v>Primary</v>
          </cell>
        </row>
        <row r="14133">
          <cell r="A14133">
            <v>9172651</v>
          </cell>
          <cell r="B14133">
            <v>129011</v>
          </cell>
          <cell r="C14133" t="str">
            <v>Hillside Middle School</v>
          </cell>
          <cell r="D14133" t="str">
            <v>Pre LGR (1997) Hampshire</v>
          </cell>
          <cell r="E14133" t="str">
            <v>Community School</v>
          </cell>
          <cell r="F14133" t="str">
            <v>Middle Deemed Primary</v>
          </cell>
        </row>
        <row r="14134">
          <cell r="A14134">
            <v>8881031</v>
          </cell>
          <cell r="B14134">
            <v>119093</v>
          </cell>
          <cell r="C14134" t="str">
            <v>Hillside Nursery School</v>
          </cell>
          <cell r="D14134" t="str">
            <v>Lancashire</v>
          </cell>
          <cell r="E14134" t="str">
            <v>LA Nursery School</v>
          </cell>
          <cell r="F14134" t="str">
            <v>Nursery</v>
          </cell>
        </row>
        <row r="14135">
          <cell r="A14135">
            <v>8913792</v>
          </cell>
          <cell r="B14135">
            <v>131078</v>
          </cell>
          <cell r="C14135" t="str">
            <v>Hillside Primary and Nursery School</v>
          </cell>
          <cell r="D14135" t="str">
            <v>Nottinghamshire</v>
          </cell>
          <cell r="E14135" t="str">
            <v>Community School</v>
          </cell>
          <cell r="F14135" t="str">
            <v>Primary</v>
          </cell>
        </row>
        <row r="14136">
          <cell r="A14136">
            <v>8722238</v>
          </cell>
          <cell r="B14136">
            <v>109930</v>
          </cell>
          <cell r="C14136" t="str">
            <v>Hillside Primary School</v>
          </cell>
          <cell r="D14136" t="str">
            <v>Wokingham</v>
          </cell>
          <cell r="E14136" t="str">
            <v>Community School</v>
          </cell>
          <cell r="F14136" t="str">
            <v>Primary</v>
          </cell>
        </row>
        <row r="14137">
          <cell r="A14137">
            <v>9262357</v>
          </cell>
          <cell r="B14137">
            <v>120982</v>
          </cell>
          <cell r="C14137" t="str">
            <v>Hillside Primary School</v>
          </cell>
          <cell r="D14137" t="str">
            <v>Norfolk</v>
          </cell>
          <cell r="E14137" t="str">
            <v>Community School</v>
          </cell>
          <cell r="F14137" t="str">
            <v>Primary</v>
          </cell>
        </row>
        <row r="14138">
          <cell r="A14138">
            <v>8612109</v>
          </cell>
          <cell r="B14138">
            <v>124024</v>
          </cell>
          <cell r="C14138" t="str">
            <v>Hillside Primary School</v>
          </cell>
          <cell r="D14138" t="str">
            <v>Stoke-on-Trent</v>
          </cell>
          <cell r="E14138" t="str">
            <v>Community School</v>
          </cell>
          <cell r="F14138" t="str">
            <v>Primary</v>
          </cell>
        </row>
        <row r="14139">
          <cell r="A14139">
            <v>3832509</v>
          </cell>
          <cell r="B14139">
            <v>130299</v>
          </cell>
          <cell r="C14139" t="str">
            <v>Hillside Primary School</v>
          </cell>
          <cell r="D14139" t="str">
            <v>Leeds</v>
          </cell>
          <cell r="E14139" t="str">
            <v>Community School</v>
          </cell>
          <cell r="F14139" t="str">
            <v>Primary</v>
          </cell>
        </row>
        <row r="14140">
          <cell r="A14140">
            <v>3442279</v>
          </cell>
          <cell r="B14140">
            <v>131587</v>
          </cell>
          <cell r="C14140" t="str">
            <v>Hillside Primary School</v>
          </cell>
          <cell r="D14140" t="str">
            <v>Wirral</v>
          </cell>
          <cell r="E14140" t="str">
            <v>Community School</v>
          </cell>
          <cell r="F14140" t="str">
            <v>Primary</v>
          </cell>
        </row>
        <row r="14141">
          <cell r="A14141">
            <v>3052083</v>
          </cell>
          <cell r="B14141">
            <v>131627</v>
          </cell>
          <cell r="C14141" t="str">
            <v>Hillside Primary School</v>
          </cell>
          <cell r="D14141" t="str">
            <v>Bromley</v>
          </cell>
          <cell r="E14141" t="str">
            <v>Community School</v>
          </cell>
          <cell r="F14141" t="str">
            <v>Primary</v>
          </cell>
        </row>
        <row r="14142">
          <cell r="A14142">
            <v>3823411</v>
          </cell>
          <cell r="B14142">
            <v>135098</v>
          </cell>
          <cell r="C14142" t="str">
            <v>Hillside Primary School</v>
          </cell>
          <cell r="D14142" t="str">
            <v>Kirklees</v>
          </cell>
          <cell r="E14142" t="str">
            <v>Community School</v>
          </cell>
          <cell r="F14142" t="str">
            <v>Primary</v>
          </cell>
        </row>
        <row r="14143">
          <cell r="A14143">
            <v>6782109</v>
          </cell>
          <cell r="B14143">
            <v>401420</v>
          </cell>
          <cell r="C14143" t="str">
            <v>Hillside Primary School</v>
          </cell>
          <cell r="D14143" t="str">
            <v>Torfaen</v>
          </cell>
          <cell r="E14143" t="str">
            <v>Welsh Establishment</v>
          </cell>
          <cell r="F14143" t="str">
            <v>Primary</v>
          </cell>
        </row>
        <row r="14144">
          <cell r="A14144">
            <v>8467018</v>
          </cell>
          <cell r="B14144">
            <v>114687</v>
          </cell>
          <cell r="C14144" t="str">
            <v>Hillside School</v>
          </cell>
          <cell r="D14144" t="str">
            <v>Brighton and Hove</v>
          </cell>
          <cell r="E14144" t="str">
            <v>Community Special School</v>
          </cell>
          <cell r="F14144" t="str">
            <v>Special</v>
          </cell>
        </row>
        <row r="14145">
          <cell r="A14145">
            <v>9186116</v>
          </cell>
          <cell r="B14145">
            <v>129105</v>
          </cell>
          <cell r="C14145" t="str">
            <v>Hillside School</v>
          </cell>
          <cell r="D14145" t="str">
            <v>Pre LGR (1998) Hereford &amp; Worcester</v>
          </cell>
          <cell r="E14145" t="str">
            <v>Other Independent School</v>
          </cell>
          <cell r="F14145" t="str">
            <v>Not applicable</v>
          </cell>
        </row>
        <row r="14146">
          <cell r="A14146">
            <v>9186083</v>
          </cell>
          <cell r="B14146">
            <v>117024</v>
          </cell>
          <cell r="C14146" t="str">
            <v>Hillside School Limited</v>
          </cell>
          <cell r="D14146" t="str">
            <v>Pre LGR (1998) Hereford &amp; Worcester</v>
          </cell>
          <cell r="E14146" t="str">
            <v>Other Independent School</v>
          </cell>
          <cell r="F14146" t="str">
            <v>Not applicable</v>
          </cell>
        </row>
        <row r="14147">
          <cell r="A14147">
            <v>9357002</v>
          </cell>
          <cell r="B14147">
            <v>124903</v>
          </cell>
          <cell r="C14147" t="str">
            <v>Hillside Special School</v>
          </cell>
          <cell r="D14147" t="str">
            <v>Suffolk</v>
          </cell>
          <cell r="E14147" t="str">
            <v>Community Special School</v>
          </cell>
          <cell r="F14147" t="str">
            <v>Special</v>
          </cell>
        </row>
        <row r="14148">
          <cell r="A14148">
            <v>3817007</v>
          </cell>
          <cell r="B14148">
            <v>132953</v>
          </cell>
          <cell r="C14148" t="str">
            <v>Hillside Special School</v>
          </cell>
          <cell r="D14148" t="str">
            <v>Calderdale</v>
          </cell>
          <cell r="E14148" t="str">
            <v>Community Special School</v>
          </cell>
          <cell r="F14148" t="str">
            <v>Special</v>
          </cell>
        </row>
        <row r="14149">
          <cell r="A14149">
            <v>8887109</v>
          </cell>
          <cell r="B14149">
            <v>131479</v>
          </cell>
          <cell r="C14149" t="str">
            <v>Hillside Specialist School for Autism Spectrum Disorder, Commincation and Interaction</v>
          </cell>
          <cell r="D14149" t="str">
            <v>Lancashire</v>
          </cell>
          <cell r="E14149" t="str">
            <v>Community Special School</v>
          </cell>
          <cell r="F14149" t="str">
            <v>Special</v>
          </cell>
        </row>
        <row r="14150">
          <cell r="A14150">
            <v>3302434</v>
          </cell>
          <cell r="B14150">
            <v>103361</v>
          </cell>
          <cell r="C14150" t="str">
            <v>Hillstone Primary School</v>
          </cell>
          <cell r="D14150" t="str">
            <v>Birmingham</v>
          </cell>
          <cell r="E14150" t="str">
            <v>Community School</v>
          </cell>
          <cell r="F14150" t="str">
            <v>Primary</v>
          </cell>
        </row>
        <row r="14151">
          <cell r="A14151">
            <v>9186071</v>
          </cell>
          <cell r="B14151">
            <v>129100</v>
          </cell>
          <cell r="C14151" t="str">
            <v>Hillstone School</v>
          </cell>
          <cell r="D14151" t="str">
            <v>Pre LGR (1998) Hereford &amp; Worcester</v>
          </cell>
          <cell r="E14151" t="str">
            <v>Other Independent School</v>
          </cell>
          <cell r="F14151" t="str">
            <v>Not applicable</v>
          </cell>
        </row>
        <row r="14152">
          <cell r="A14152">
            <v>3912341</v>
          </cell>
          <cell r="B14152">
            <v>128122</v>
          </cell>
          <cell r="C14152" t="str">
            <v>Hillsview Infant School</v>
          </cell>
          <cell r="D14152" t="str">
            <v>Newcastle upon Tyne</v>
          </cell>
          <cell r="E14152" t="str">
            <v>Community School</v>
          </cell>
          <cell r="F14152" t="str">
            <v>Primary</v>
          </cell>
        </row>
        <row r="14153">
          <cell r="A14153">
            <v>3912340</v>
          </cell>
          <cell r="B14153">
            <v>128121</v>
          </cell>
          <cell r="C14153" t="str">
            <v>Hillsview Junior School</v>
          </cell>
          <cell r="D14153" t="str">
            <v>Newcastle upon Tyne</v>
          </cell>
          <cell r="E14153" t="str">
            <v>Community School</v>
          </cell>
          <cell r="F14153" t="str">
            <v>Primary</v>
          </cell>
        </row>
        <row r="14154">
          <cell r="A14154">
            <v>3912501</v>
          </cell>
          <cell r="B14154">
            <v>128126</v>
          </cell>
          <cell r="C14154" t="str">
            <v>Hillsview Primary School</v>
          </cell>
          <cell r="D14154" t="str">
            <v>Newcastle upon Tyne</v>
          </cell>
          <cell r="E14154" t="str">
            <v>Community School</v>
          </cell>
          <cell r="F14154" t="str">
            <v>Primary</v>
          </cell>
        </row>
        <row r="14155">
          <cell r="A14155">
            <v>9326092</v>
          </cell>
          <cell r="B14155">
            <v>123624</v>
          </cell>
          <cell r="C14155" t="str">
            <v>Hilltop Community and School</v>
          </cell>
          <cell r="D14155" t="str">
            <v>Pre LGR (1998) Shropshire</v>
          </cell>
          <cell r="E14155" t="str">
            <v>Other Independent Special School</v>
          </cell>
          <cell r="F14155" t="str">
            <v>Not applicable</v>
          </cell>
        </row>
        <row r="14156">
          <cell r="A14156">
            <v>8602221</v>
          </cell>
          <cell r="B14156">
            <v>124092</v>
          </cell>
          <cell r="C14156" t="str">
            <v>Hilltop Community Primary School</v>
          </cell>
          <cell r="D14156" t="str">
            <v>Staffordshire</v>
          </cell>
          <cell r="E14156" t="str">
            <v>Community School</v>
          </cell>
          <cell r="F14156" t="str">
            <v>Primary</v>
          </cell>
        </row>
        <row r="14157">
          <cell r="A14157">
            <v>8682096</v>
          </cell>
          <cell r="B14157">
            <v>109833</v>
          </cell>
          <cell r="C14157" t="str">
            <v>Hilltop First School</v>
          </cell>
          <cell r="D14157" t="str">
            <v>Windsor and Maidenhead</v>
          </cell>
          <cell r="E14157" t="str">
            <v>Community School</v>
          </cell>
          <cell r="F14157" t="str">
            <v>Primary</v>
          </cell>
        </row>
        <row r="14158">
          <cell r="A14158">
            <v>8812548</v>
          </cell>
          <cell r="B14158">
            <v>114886</v>
          </cell>
          <cell r="C14158" t="str">
            <v>Hilltop Infant School</v>
          </cell>
          <cell r="D14158" t="str">
            <v>Essex</v>
          </cell>
          <cell r="E14158" t="str">
            <v>Community School</v>
          </cell>
          <cell r="F14158" t="str">
            <v>Primary</v>
          </cell>
        </row>
        <row r="14159">
          <cell r="A14159">
            <v>8812891</v>
          </cell>
          <cell r="B14159">
            <v>115033</v>
          </cell>
          <cell r="C14159" t="str">
            <v>Hilltop Junior School</v>
          </cell>
          <cell r="D14159" t="str">
            <v>Essex</v>
          </cell>
          <cell r="E14159" t="str">
            <v>Community School</v>
          </cell>
          <cell r="F14159" t="str">
            <v>Primary</v>
          </cell>
        </row>
        <row r="14160">
          <cell r="A14160">
            <v>8812891</v>
          </cell>
          <cell r="B14160">
            <v>137245</v>
          </cell>
          <cell r="C14160" t="str">
            <v>Hilltop Junior School</v>
          </cell>
          <cell r="D14160" t="str">
            <v>Essex</v>
          </cell>
          <cell r="E14160" t="str">
            <v>Academy Converters</v>
          </cell>
          <cell r="F14160" t="str">
            <v>Primary</v>
          </cell>
        </row>
        <row r="14161">
          <cell r="A14161">
            <v>8872499</v>
          </cell>
          <cell r="B14161">
            <v>118473</v>
          </cell>
          <cell r="C14161" t="str">
            <v>Hilltop Primary School</v>
          </cell>
          <cell r="D14161" t="str">
            <v>Medway</v>
          </cell>
          <cell r="E14161" t="str">
            <v>Community School</v>
          </cell>
          <cell r="F14161" t="str">
            <v>Primary</v>
          </cell>
        </row>
        <row r="14162">
          <cell r="A14162">
            <v>9383363</v>
          </cell>
          <cell r="B14162">
            <v>133972</v>
          </cell>
          <cell r="C14162" t="str">
            <v>Hilltop Primary School</v>
          </cell>
          <cell r="D14162" t="str">
            <v>West Sussex</v>
          </cell>
          <cell r="E14162" t="str">
            <v>Community School</v>
          </cell>
          <cell r="F14162" t="str">
            <v>Primary</v>
          </cell>
        </row>
        <row r="14163">
          <cell r="A14163">
            <v>3727011</v>
          </cell>
          <cell r="B14163">
            <v>106972</v>
          </cell>
          <cell r="C14163" t="str">
            <v>Hilltop School</v>
          </cell>
          <cell r="D14163" t="str">
            <v>Rotherham</v>
          </cell>
          <cell r="E14163" t="str">
            <v>Community Special School</v>
          </cell>
          <cell r="F14163" t="str">
            <v>Special</v>
          </cell>
        </row>
        <row r="14164">
          <cell r="A14164">
            <v>8017038</v>
          </cell>
          <cell r="B14164">
            <v>109408</v>
          </cell>
          <cell r="C14164" t="str">
            <v>Hilltop School</v>
          </cell>
          <cell r="D14164" t="str">
            <v>Bristol City of</v>
          </cell>
          <cell r="E14164" t="str">
            <v>Community Special School</v>
          </cell>
          <cell r="F14164" t="str">
            <v>Special</v>
          </cell>
        </row>
        <row r="14165">
          <cell r="A14165">
            <v>9197021</v>
          </cell>
          <cell r="B14165">
            <v>117678</v>
          </cell>
          <cell r="C14165" t="str">
            <v>Hilltop School</v>
          </cell>
          <cell r="D14165" t="str">
            <v>Hertfordshire</v>
          </cell>
          <cell r="E14165" t="str">
            <v>Community Special School</v>
          </cell>
          <cell r="F14165" t="str">
            <v>Special</v>
          </cell>
        </row>
        <row r="14166">
          <cell r="A14166">
            <v>9017038</v>
          </cell>
          <cell r="B14166">
            <v>132861</v>
          </cell>
          <cell r="C14166" t="str">
            <v>Hilltop School</v>
          </cell>
          <cell r="D14166" t="str">
            <v>Pre LGR (1996) Avon</v>
          </cell>
          <cell r="E14166" t="str">
            <v>Community Special School</v>
          </cell>
          <cell r="F14166" t="str">
            <v>Special</v>
          </cell>
        </row>
        <row r="14167">
          <cell r="A14167">
            <v>3101003</v>
          </cell>
          <cell r="B14167">
            <v>133668</v>
          </cell>
          <cell r="C14167" t="str">
            <v>Hillview Nursery Centre</v>
          </cell>
          <cell r="D14167" t="str">
            <v>Harrow</v>
          </cell>
          <cell r="E14167" t="str">
            <v>LA Nursery School</v>
          </cell>
          <cell r="F14167" t="str">
            <v>Nursery</v>
          </cell>
        </row>
        <row r="14168">
          <cell r="A14168">
            <v>8762376</v>
          </cell>
          <cell r="B14168">
            <v>111169</v>
          </cell>
          <cell r="C14168" t="str">
            <v>Hillview Primary School</v>
          </cell>
          <cell r="D14168" t="str">
            <v>Halton</v>
          </cell>
          <cell r="E14168" t="str">
            <v>Community School</v>
          </cell>
          <cell r="F14168" t="str">
            <v>Primary</v>
          </cell>
        </row>
        <row r="14169">
          <cell r="A14169">
            <v>9162028</v>
          </cell>
          <cell r="B14169">
            <v>115494</v>
          </cell>
          <cell r="C14169" t="str">
            <v>Hillview Primary School</v>
          </cell>
          <cell r="D14169" t="str">
            <v>Gloucestershire</v>
          </cell>
          <cell r="E14169" t="str">
            <v>Community School</v>
          </cell>
          <cell r="F14169" t="str">
            <v>Primary</v>
          </cell>
        </row>
        <row r="14170">
          <cell r="A14170">
            <v>8881106</v>
          </cell>
          <cell r="B14170">
            <v>119109</v>
          </cell>
          <cell r="C14170" t="str">
            <v>Hillview School</v>
          </cell>
          <cell r="D14170" t="str">
            <v>Lancashire</v>
          </cell>
          <cell r="E14170" t="str">
            <v>Pupil Referral Unit</v>
          </cell>
          <cell r="F14170" t="str">
            <v>PRU</v>
          </cell>
        </row>
        <row r="14171">
          <cell r="A14171">
            <v>8865450</v>
          </cell>
          <cell r="B14171">
            <v>118922</v>
          </cell>
          <cell r="C14171" t="str">
            <v>Hillview School for Girls</v>
          </cell>
          <cell r="D14171" t="str">
            <v>Kent</v>
          </cell>
          <cell r="E14171" t="str">
            <v>Foundation School</v>
          </cell>
          <cell r="F14171" t="str">
            <v>Secondary</v>
          </cell>
        </row>
        <row r="14172">
          <cell r="A14172">
            <v>8865450</v>
          </cell>
          <cell r="B14172">
            <v>137104</v>
          </cell>
          <cell r="C14172" t="str">
            <v>Hillview School for Girls</v>
          </cell>
          <cell r="D14172" t="str">
            <v>Kent</v>
          </cell>
          <cell r="E14172" t="str">
            <v>Academy Converters</v>
          </cell>
          <cell r="F14172" t="str">
            <v>Secondary</v>
          </cell>
        </row>
        <row r="14173">
          <cell r="A14173">
            <v>3202018</v>
          </cell>
          <cell r="B14173">
            <v>134215</v>
          </cell>
          <cell r="C14173" t="str">
            <v>Hillyfield Primary School</v>
          </cell>
          <cell r="D14173" t="str">
            <v>Waltham Forest</v>
          </cell>
          <cell r="E14173" t="str">
            <v>Community School</v>
          </cell>
          <cell r="F14173" t="str">
            <v>Primary</v>
          </cell>
        </row>
        <row r="14174">
          <cell r="A14174">
            <v>3202018</v>
          </cell>
          <cell r="B14174">
            <v>136413</v>
          </cell>
          <cell r="C14174" t="str">
            <v>Hillyfield Primary School</v>
          </cell>
          <cell r="D14174" t="str">
            <v>Waltham Forest</v>
          </cell>
          <cell r="E14174" t="str">
            <v>Academy Converters</v>
          </cell>
          <cell r="F14174" t="str">
            <v>Primary</v>
          </cell>
        </row>
        <row r="14175">
          <cell r="A14175">
            <v>8872472</v>
          </cell>
          <cell r="B14175">
            <v>118460</v>
          </cell>
          <cell r="C14175" t="str">
            <v>Hillyfields Junior School</v>
          </cell>
          <cell r="D14175" t="str">
            <v>Medway</v>
          </cell>
          <cell r="E14175" t="str">
            <v>Community School</v>
          </cell>
          <cell r="F14175" t="str">
            <v>Primary</v>
          </cell>
        </row>
        <row r="14176">
          <cell r="A14176">
            <v>8652052</v>
          </cell>
          <cell r="B14176">
            <v>126198</v>
          </cell>
          <cell r="C14176" t="str">
            <v>Hilmarton Primary School</v>
          </cell>
          <cell r="D14176" t="str">
            <v>Wiltshire</v>
          </cell>
          <cell r="E14176" t="str">
            <v>Community School</v>
          </cell>
          <cell r="F14176" t="str">
            <v>Primary</v>
          </cell>
        </row>
        <row r="14177">
          <cell r="A14177">
            <v>8653088</v>
          </cell>
          <cell r="B14177">
            <v>126328</v>
          </cell>
          <cell r="C14177" t="str">
            <v>Hilperton Church of England Voluntary Controlled Primary School</v>
          </cell>
          <cell r="D14177" t="str">
            <v>Wiltshire</v>
          </cell>
          <cell r="E14177" t="str">
            <v>Voluntary Controlled School</v>
          </cell>
          <cell r="F14177" t="str">
            <v>Primary</v>
          </cell>
        </row>
        <row r="14178">
          <cell r="A14178">
            <v>9176002</v>
          </cell>
          <cell r="B14178">
            <v>129049</v>
          </cell>
          <cell r="C14178" t="str">
            <v>Hilsea College</v>
          </cell>
          <cell r="D14178" t="str">
            <v>Pre LGR (1997) Hampshire</v>
          </cell>
          <cell r="E14178" t="str">
            <v>Other Independent School</v>
          </cell>
          <cell r="F14178" t="str">
            <v>Not applicable</v>
          </cell>
        </row>
        <row r="14179">
          <cell r="A14179">
            <v>8502237</v>
          </cell>
          <cell r="B14179">
            <v>115980</v>
          </cell>
          <cell r="C14179" t="str">
            <v>Hiltingbury Infant School</v>
          </cell>
          <cell r="D14179" t="str">
            <v>Hampshire</v>
          </cell>
          <cell r="E14179" t="str">
            <v>Community School</v>
          </cell>
          <cell r="F14179" t="str">
            <v>Primary</v>
          </cell>
        </row>
        <row r="14180">
          <cell r="A14180">
            <v>8502274</v>
          </cell>
          <cell r="B14180">
            <v>116007</v>
          </cell>
          <cell r="C14180" t="str">
            <v>Hiltingbury Junior School</v>
          </cell>
          <cell r="D14180" t="str">
            <v>Hampshire</v>
          </cell>
          <cell r="E14180" t="str">
            <v>Community School</v>
          </cell>
          <cell r="F14180" t="str">
            <v>Primary</v>
          </cell>
        </row>
        <row r="14181">
          <cell r="A14181">
            <v>3837026</v>
          </cell>
          <cell r="B14181">
            <v>128059</v>
          </cell>
          <cell r="C14181" t="str">
            <v>Hilton Grange School</v>
          </cell>
          <cell r="D14181" t="str">
            <v>Leeds</v>
          </cell>
          <cell r="E14181" t="str">
            <v>Community Special School</v>
          </cell>
          <cell r="F14181" t="str">
            <v>Special</v>
          </cell>
        </row>
        <row r="14182">
          <cell r="A14182">
            <v>3552075</v>
          </cell>
          <cell r="B14182">
            <v>105914</v>
          </cell>
          <cell r="C14182" t="str">
            <v>Hilton Lane Primary School</v>
          </cell>
          <cell r="D14182" t="str">
            <v>Salford</v>
          </cell>
          <cell r="E14182" t="str">
            <v>Community School</v>
          </cell>
          <cell r="F14182" t="str">
            <v>Primary</v>
          </cell>
        </row>
        <row r="14183">
          <cell r="A14183">
            <v>3912350</v>
          </cell>
          <cell r="B14183">
            <v>108472</v>
          </cell>
          <cell r="C14183" t="str">
            <v>Hilton Primary School</v>
          </cell>
          <cell r="D14183" t="str">
            <v>Newcastle upon Tyne</v>
          </cell>
          <cell r="E14183" t="str">
            <v>Community School</v>
          </cell>
          <cell r="F14183" t="str">
            <v>Primary</v>
          </cell>
        </row>
        <row r="14184">
          <cell r="A14184">
            <v>8302370</v>
          </cell>
          <cell r="B14184">
            <v>112703</v>
          </cell>
          <cell r="C14184" t="str">
            <v>Hilton Primary School</v>
          </cell>
          <cell r="D14184" t="str">
            <v>Derbyshire</v>
          </cell>
          <cell r="E14184" t="str">
            <v>Community School</v>
          </cell>
          <cell r="F14184" t="str">
            <v>Primary</v>
          </cell>
        </row>
        <row r="14185">
          <cell r="A14185">
            <v>8853056</v>
          </cell>
          <cell r="B14185">
            <v>116821</v>
          </cell>
          <cell r="C14185" t="str">
            <v>Himbleton CofE First School</v>
          </cell>
          <cell r="D14185" t="str">
            <v>Worcestershire</v>
          </cell>
          <cell r="E14185" t="str">
            <v>Voluntary Controlled School</v>
          </cell>
          <cell r="F14185" t="str">
            <v>Primary</v>
          </cell>
        </row>
        <row r="14186">
          <cell r="A14186">
            <v>8734503</v>
          </cell>
          <cell r="B14186">
            <v>110885</v>
          </cell>
          <cell r="C14186" t="str">
            <v>Hinchingbrooke School</v>
          </cell>
          <cell r="D14186" t="str">
            <v>Cambridgeshire</v>
          </cell>
          <cell r="E14186" t="str">
            <v>Voluntary Controlled School</v>
          </cell>
          <cell r="F14186" t="str">
            <v>Secondary</v>
          </cell>
        </row>
        <row r="14187">
          <cell r="A14187">
            <v>8734503</v>
          </cell>
          <cell r="B14187">
            <v>137475</v>
          </cell>
          <cell r="C14187" t="str">
            <v>Hinchingbrooke School</v>
          </cell>
          <cell r="D14187" t="str">
            <v>Cambridgeshire</v>
          </cell>
          <cell r="E14187" t="str">
            <v>Academy Converters</v>
          </cell>
          <cell r="F14187" t="str">
            <v>Secondary</v>
          </cell>
        </row>
        <row r="14188">
          <cell r="A14188">
            <v>9362100</v>
          </cell>
          <cell r="B14188">
            <v>124965</v>
          </cell>
          <cell r="C14188" t="str">
            <v>Hinchley Wood Primary School</v>
          </cell>
          <cell r="D14188" t="str">
            <v>Surrey</v>
          </cell>
          <cell r="E14188" t="str">
            <v>Community School</v>
          </cell>
          <cell r="F14188" t="str">
            <v>Primary</v>
          </cell>
        </row>
        <row r="14189">
          <cell r="A14189">
            <v>9365416</v>
          </cell>
          <cell r="B14189">
            <v>125316</v>
          </cell>
          <cell r="C14189" t="str">
            <v>Hinchley Wood School</v>
          </cell>
          <cell r="D14189" t="str">
            <v>Surrey</v>
          </cell>
          <cell r="E14189" t="str">
            <v>Foundation School</v>
          </cell>
          <cell r="F14189" t="str">
            <v>Secondary</v>
          </cell>
        </row>
        <row r="14190">
          <cell r="A14190">
            <v>3822088</v>
          </cell>
          <cell r="B14190">
            <v>107658</v>
          </cell>
          <cell r="C14190" t="str">
            <v>Hinchliffe Mill Junior and Infant School</v>
          </cell>
          <cell r="D14190" t="str">
            <v>Kirklees</v>
          </cell>
          <cell r="E14190" t="str">
            <v>Community School</v>
          </cell>
          <cell r="F14190" t="str">
            <v>Primary</v>
          </cell>
        </row>
        <row r="14191">
          <cell r="A14191">
            <v>9248001</v>
          </cell>
          <cell r="B14191">
            <v>132904</v>
          </cell>
          <cell r="C14191" t="str">
            <v>Hinckley College</v>
          </cell>
          <cell r="D14191" t="str">
            <v>Pre LGR (1997) Leicestershire</v>
          </cell>
          <cell r="E14191" t="str">
            <v>Miscellaneous</v>
          </cell>
          <cell r="F14191" t="str">
            <v>Not applicable</v>
          </cell>
        </row>
        <row r="14192">
          <cell r="A14192">
            <v>8554056</v>
          </cell>
          <cell r="B14192">
            <v>120274</v>
          </cell>
          <cell r="C14192" t="str">
            <v>Hind Leys Community College</v>
          </cell>
          <cell r="D14192" t="str">
            <v>Leicestershire</v>
          </cell>
          <cell r="E14192" t="str">
            <v>Community School</v>
          </cell>
          <cell r="F14192" t="str">
            <v>Secondary</v>
          </cell>
        </row>
        <row r="14193">
          <cell r="A14193">
            <v>3734225</v>
          </cell>
          <cell r="B14193">
            <v>107126</v>
          </cell>
          <cell r="C14193" t="str">
            <v>Hinde House 3-16 School</v>
          </cell>
          <cell r="D14193" t="str">
            <v>Sheffield</v>
          </cell>
          <cell r="E14193" t="str">
            <v>Community School</v>
          </cell>
          <cell r="F14193" t="str">
            <v>Middle Deemed Secondary</v>
          </cell>
        </row>
        <row r="14194">
          <cell r="A14194">
            <v>8967115</v>
          </cell>
          <cell r="B14194">
            <v>111510</v>
          </cell>
          <cell r="C14194" t="str">
            <v>Hinderton School</v>
          </cell>
          <cell r="D14194" t="str">
            <v>Cheshire West and Chester</v>
          </cell>
          <cell r="E14194" t="str">
            <v>Community Special School</v>
          </cell>
          <cell r="F14194" t="str">
            <v>Special</v>
          </cell>
        </row>
        <row r="14195">
          <cell r="A14195">
            <v>8152118</v>
          </cell>
          <cell r="B14195">
            <v>121320</v>
          </cell>
          <cell r="C14195" t="str">
            <v>Hinderwell Community Primary School</v>
          </cell>
          <cell r="D14195" t="str">
            <v>North Yorkshire</v>
          </cell>
          <cell r="E14195" t="str">
            <v>Community School</v>
          </cell>
          <cell r="F14195" t="str">
            <v>Primary</v>
          </cell>
        </row>
        <row r="14196">
          <cell r="A14196">
            <v>9332069</v>
          </cell>
          <cell r="B14196">
            <v>123664</v>
          </cell>
          <cell r="C14196" t="str">
            <v>Hindhayes Infant School</v>
          </cell>
          <cell r="D14196" t="str">
            <v>Somerset</v>
          </cell>
          <cell r="E14196" t="str">
            <v>Community School</v>
          </cell>
          <cell r="F14196" t="str">
            <v>Primary</v>
          </cell>
        </row>
        <row r="14197">
          <cell r="A14197">
            <v>3593362</v>
          </cell>
          <cell r="B14197">
            <v>106471</v>
          </cell>
          <cell r="C14197" t="str">
            <v>Hindley All Saints CofE Primary School</v>
          </cell>
          <cell r="D14197" t="str">
            <v>Wigan</v>
          </cell>
          <cell r="E14197" t="str">
            <v>Voluntary Aided School</v>
          </cell>
          <cell r="F14197" t="str">
            <v>Primary</v>
          </cell>
        </row>
        <row r="14198">
          <cell r="A14198">
            <v>3597007</v>
          </cell>
          <cell r="B14198">
            <v>106545</v>
          </cell>
          <cell r="C14198" t="str">
            <v>Hindley Borsdane Brook School</v>
          </cell>
          <cell r="D14198" t="str">
            <v>Wigan</v>
          </cell>
          <cell r="E14198" t="str">
            <v>Community Special School</v>
          </cell>
          <cell r="F14198" t="str">
            <v>Special</v>
          </cell>
        </row>
        <row r="14199">
          <cell r="A14199">
            <v>3592032</v>
          </cell>
          <cell r="B14199">
            <v>106416</v>
          </cell>
          <cell r="C14199" t="str">
            <v>Hindley Green Primary School</v>
          </cell>
          <cell r="D14199" t="str">
            <v>Wigan</v>
          </cell>
          <cell r="E14199" t="str">
            <v>Community School</v>
          </cell>
          <cell r="F14199" t="str">
            <v>Primary</v>
          </cell>
        </row>
        <row r="14200">
          <cell r="A14200">
            <v>3593364</v>
          </cell>
          <cell r="B14200">
            <v>106473</v>
          </cell>
          <cell r="C14200" t="str">
            <v>Hindley Green St John's Junior and Infant School</v>
          </cell>
          <cell r="D14200" t="str">
            <v>Wigan</v>
          </cell>
          <cell r="E14200" t="str">
            <v>Voluntary Aided School</v>
          </cell>
          <cell r="F14200" t="str">
            <v>Primary</v>
          </cell>
        </row>
        <row r="14201">
          <cell r="A14201">
            <v>3907001</v>
          </cell>
          <cell r="B14201">
            <v>128117</v>
          </cell>
          <cell r="C14201" t="str">
            <v>Hindley Hall School</v>
          </cell>
          <cell r="D14201" t="str">
            <v>Gateshead</v>
          </cell>
          <cell r="E14201" t="str">
            <v>Community Special School</v>
          </cell>
          <cell r="F14201" t="str">
            <v>Special</v>
          </cell>
        </row>
        <row r="14202">
          <cell r="A14202">
            <v>3594026</v>
          </cell>
          <cell r="B14202">
            <v>106528</v>
          </cell>
          <cell r="C14202" t="str">
            <v>Hindley High School</v>
          </cell>
          <cell r="D14202" t="str">
            <v>Wigan</v>
          </cell>
          <cell r="E14202" t="str">
            <v>Foundation School</v>
          </cell>
          <cell r="F14202" t="str">
            <v>Secondary</v>
          </cell>
        </row>
        <row r="14203">
          <cell r="A14203">
            <v>3592031</v>
          </cell>
          <cell r="B14203">
            <v>106415</v>
          </cell>
          <cell r="C14203" t="str">
            <v>Hindley Junior and Infant School</v>
          </cell>
          <cell r="D14203" t="str">
            <v>Wigan</v>
          </cell>
          <cell r="E14203" t="str">
            <v>Community School</v>
          </cell>
          <cell r="F14203" t="str">
            <v>Primary</v>
          </cell>
        </row>
        <row r="14204">
          <cell r="A14204">
            <v>3594502</v>
          </cell>
          <cell r="B14204">
            <v>127562</v>
          </cell>
          <cell r="C14204" t="str">
            <v>Hindley Park High School</v>
          </cell>
          <cell r="D14204" t="str">
            <v>Wigan</v>
          </cell>
          <cell r="E14204" t="str">
            <v>Voluntary Controlled School</v>
          </cell>
          <cell r="F14204" t="str">
            <v>Secondary</v>
          </cell>
        </row>
        <row r="14205">
          <cell r="A14205">
            <v>3591000</v>
          </cell>
          <cell r="B14205">
            <v>106397</v>
          </cell>
          <cell r="C14205" t="str">
            <v>Hindley Surestart Nursery</v>
          </cell>
          <cell r="D14205" t="str">
            <v>Wigan</v>
          </cell>
          <cell r="E14205" t="str">
            <v>LA Nursery School</v>
          </cell>
          <cell r="F14205" t="str">
            <v>Nursery</v>
          </cell>
        </row>
        <row r="14206">
          <cell r="A14206">
            <v>8853057</v>
          </cell>
          <cell r="B14206">
            <v>116822</v>
          </cell>
          <cell r="C14206" t="str">
            <v>Hindlip CofE First School</v>
          </cell>
          <cell r="D14206" t="str">
            <v>Worcestershire</v>
          </cell>
          <cell r="E14206" t="str">
            <v>Voluntary Controlled School</v>
          </cell>
          <cell r="F14206" t="str">
            <v>Primary</v>
          </cell>
        </row>
        <row r="14207">
          <cell r="A14207">
            <v>8653459</v>
          </cell>
          <cell r="B14207">
            <v>126444</v>
          </cell>
          <cell r="C14207" t="str">
            <v>Hindon Church of England Voluntary Aided Primary School, St Mary's and St John's</v>
          </cell>
          <cell r="D14207" t="str">
            <v>Wiltshire</v>
          </cell>
          <cell r="E14207" t="str">
            <v>Voluntary Aided School</v>
          </cell>
          <cell r="F14207" t="str">
            <v>Primary</v>
          </cell>
        </row>
        <row r="14208">
          <cell r="A14208">
            <v>9091011</v>
          </cell>
          <cell r="B14208">
            <v>112093</v>
          </cell>
          <cell r="C14208" t="str">
            <v>Hindpool Nursery School</v>
          </cell>
          <cell r="D14208" t="str">
            <v>Cumbria</v>
          </cell>
          <cell r="E14208" t="str">
            <v>LA Nursery School</v>
          </cell>
          <cell r="F14208" t="str">
            <v>Nursery</v>
          </cell>
        </row>
        <row r="14209">
          <cell r="A14209">
            <v>9263126</v>
          </cell>
          <cell r="B14209">
            <v>121086</v>
          </cell>
          <cell r="C14209" t="str">
            <v>Hindringham Church of England Voluntary Controlled Primary School</v>
          </cell>
          <cell r="D14209" t="str">
            <v>Norfolk</v>
          </cell>
          <cell r="E14209" t="str">
            <v>Voluntary Controlled School</v>
          </cell>
          <cell r="F14209" t="str">
            <v>Primary</v>
          </cell>
        </row>
        <row r="14210">
          <cell r="A14210">
            <v>3593015</v>
          </cell>
          <cell r="B14210">
            <v>106441</v>
          </cell>
          <cell r="C14210" t="str">
            <v>Hindsford CofE Primary School</v>
          </cell>
          <cell r="D14210" t="str">
            <v>Wigan</v>
          </cell>
          <cell r="E14210" t="str">
            <v>Voluntary Controlled School</v>
          </cell>
          <cell r="F14210" t="str">
            <v>Primary</v>
          </cell>
        </row>
        <row r="14211">
          <cell r="A14211">
            <v>9262083</v>
          </cell>
          <cell r="B14211">
            <v>120818</v>
          </cell>
          <cell r="C14211" t="str">
            <v>Hingham Primary School</v>
          </cell>
          <cell r="D14211" t="str">
            <v>Norfolk</v>
          </cell>
          <cell r="E14211" t="str">
            <v>Community School</v>
          </cell>
          <cell r="F14211" t="str">
            <v>Primary</v>
          </cell>
        </row>
        <row r="14212">
          <cell r="A14212">
            <v>8822094</v>
          </cell>
          <cell r="B14212">
            <v>114772</v>
          </cell>
          <cell r="C14212" t="str">
            <v>Hinguar Community Primary School</v>
          </cell>
          <cell r="D14212" t="str">
            <v>Southend-on-Sea</v>
          </cell>
          <cell r="E14212" t="str">
            <v>Community School</v>
          </cell>
          <cell r="F14212" t="str">
            <v>Primary</v>
          </cell>
        </row>
        <row r="14213">
          <cell r="A14213">
            <v>8947015</v>
          </cell>
          <cell r="B14213">
            <v>123633</v>
          </cell>
          <cell r="C14213" t="str">
            <v>Hinkshay School</v>
          </cell>
          <cell r="D14213" t="str">
            <v>Telford and Wrekin</v>
          </cell>
          <cell r="E14213" t="str">
            <v>Community Special School</v>
          </cell>
          <cell r="F14213" t="str">
            <v>Special</v>
          </cell>
        </row>
        <row r="14214">
          <cell r="A14214">
            <v>8932054</v>
          </cell>
          <cell r="B14214">
            <v>123372</v>
          </cell>
          <cell r="C14214" t="str">
            <v>Hinstock Primary School</v>
          </cell>
          <cell r="D14214" t="str">
            <v>Shropshire</v>
          </cell>
          <cell r="E14214" t="str">
            <v>Community School</v>
          </cell>
          <cell r="F14214" t="str">
            <v>Primary</v>
          </cell>
        </row>
        <row r="14215">
          <cell r="A14215">
            <v>9353092</v>
          </cell>
          <cell r="B14215">
            <v>124734</v>
          </cell>
          <cell r="C14215" t="str">
            <v>Hintlesham and Chattisham Church of England Voluntary Controlled Primary School</v>
          </cell>
          <cell r="D14215" t="str">
            <v>Suffolk</v>
          </cell>
          <cell r="E14215" t="str">
            <v>Voluntary Controlled School</v>
          </cell>
          <cell r="F14215" t="str">
            <v>Primary</v>
          </cell>
        </row>
        <row r="14216">
          <cell r="A14216">
            <v>9333064</v>
          </cell>
          <cell r="B14216">
            <v>123762</v>
          </cell>
          <cell r="C14216" t="str">
            <v>Hinton St George Church of England School</v>
          </cell>
          <cell r="D14216" t="str">
            <v>Somerset</v>
          </cell>
          <cell r="E14216" t="str">
            <v>Voluntary Controlled School</v>
          </cell>
          <cell r="F14216" t="str">
            <v>Primary</v>
          </cell>
        </row>
        <row r="14217">
          <cell r="A14217">
            <v>8237904</v>
          </cell>
          <cell r="B14217">
            <v>133098</v>
          </cell>
          <cell r="C14217" t="str">
            <v>Hinwick Hall College</v>
          </cell>
          <cell r="D14217" t="str">
            <v>Central Bedfordshire</v>
          </cell>
          <cell r="E14217" t="str">
            <v>Special College</v>
          </cell>
          <cell r="F14217" t="str">
            <v>16 Plus</v>
          </cell>
        </row>
        <row r="14218">
          <cell r="A14218">
            <v>8301105</v>
          </cell>
          <cell r="B14218">
            <v>132945</v>
          </cell>
          <cell r="C14218" t="str">
            <v>Hipper Pupil Referral Unit</v>
          </cell>
          <cell r="D14218" t="str">
            <v>Derbyshire</v>
          </cell>
          <cell r="E14218" t="str">
            <v>Pupil Referral Unit</v>
          </cell>
          <cell r="F14218" t="str">
            <v>PRU</v>
          </cell>
        </row>
        <row r="14219">
          <cell r="A14219">
            <v>3815404</v>
          </cell>
          <cell r="B14219">
            <v>107578</v>
          </cell>
          <cell r="C14219" t="str">
            <v>Hipperholme and Lightcliffe High School and Sports College</v>
          </cell>
          <cell r="D14219" t="str">
            <v>Calderdale</v>
          </cell>
          <cell r="E14219" t="str">
            <v>Foundation School</v>
          </cell>
          <cell r="F14219" t="str">
            <v>Secondary</v>
          </cell>
        </row>
        <row r="14220">
          <cell r="A14220">
            <v>3815404</v>
          </cell>
          <cell r="B14220">
            <v>137036</v>
          </cell>
          <cell r="C14220" t="str">
            <v>Hipperholme and Lightcliffe High School and Sports College</v>
          </cell>
          <cell r="D14220" t="str">
            <v>Calderdale</v>
          </cell>
          <cell r="E14220" t="str">
            <v>Academy Converters</v>
          </cell>
          <cell r="F14220" t="str">
            <v>Secondary</v>
          </cell>
        </row>
        <row r="14221">
          <cell r="A14221">
            <v>3813005</v>
          </cell>
          <cell r="B14221">
            <v>127760</v>
          </cell>
          <cell r="C14221" t="str">
            <v>Hipperholme CofE Infant School</v>
          </cell>
          <cell r="D14221" t="str">
            <v>Calderdale</v>
          </cell>
          <cell r="E14221" t="str">
            <v>Voluntary Controlled School</v>
          </cell>
          <cell r="F14221" t="str">
            <v>Primary</v>
          </cell>
        </row>
        <row r="14222">
          <cell r="A14222">
            <v>9292525</v>
          </cell>
          <cell r="B14222">
            <v>122264</v>
          </cell>
          <cell r="C14222" t="str">
            <v>Hipsburn First School</v>
          </cell>
          <cell r="D14222" t="str">
            <v>Northumberland</v>
          </cell>
          <cell r="E14222" t="str">
            <v>Community School</v>
          </cell>
          <cell r="F14222" t="str">
            <v>Primary</v>
          </cell>
        </row>
        <row r="14223">
          <cell r="A14223">
            <v>8153053</v>
          </cell>
          <cell r="B14223">
            <v>121499</v>
          </cell>
          <cell r="C14223" t="str">
            <v>Hipswell Church of England Primary School</v>
          </cell>
          <cell r="D14223" t="str">
            <v>North Yorkshire</v>
          </cell>
          <cell r="E14223" t="str">
            <v>Voluntary Controlled School</v>
          </cell>
          <cell r="F14223" t="str">
            <v>Primary</v>
          </cell>
        </row>
        <row r="14224">
          <cell r="A14224">
            <v>8152340</v>
          </cell>
          <cell r="B14224">
            <v>121405</v>
          </cell>
          <cell r="C14224" t="str">
            <v>Hirst Courtney and Temple Hirst Community Primary School</v>
          </cell>
          <cell r="D14224" t="str">
            <v>North Yorkshire</v>
          </cell>
          <cell r="E14224" t="str">
            <v>Community School</v>
          </cell>
          <cell r="F14224" t="str">
            <v>Primary</v>
          </cell>
        </row>
        <row r="14225">
          <cell r="A14225">
            <v>9294433</v>
          </cell>
          <cell r="B14225">
            <v>122359</v>
          </cell>
          <cell r="C14225" t="str">
            <v>Hirst High School</v>
          </cell>
          <cell r="D14225" t="str">
            <v>Northumberland</v>
          </cell>
          <cell r="E14225" t="str">
            <v>Community School</v>
          </cell>
          <cell r="F14225" t="str">
            <v>Secondary</v>
          </cell>
        </row>
        <row r="14226">
          <cell r="A14226">
            <v>9291001</v>
          </cell>
          <cell r="B14226">
            <v>122169</v>
          </cell>
          <cell r="C14226" t="str">
            <v>Hirst North Nursery School</v>
          </cell>
          <cell r="D14226" t="str">
            <v>Northumberland</v>
          </cell>
          <cell r="E14226" t="str">
            <v>LA Nursery School</v>
          </cell>
          <cell r="F14226" t="str">
            <v>Nursery</v>
          </cell>
        </row>
        <row r="14227">
          <cell r="A14227">
            <v>3801001</v>
          </cell>
          <cell r="B14227">
            <v>107186</v>
          </cell>
          <cell r="C14227" t="str">
            <v>Hirst Wood Nursery School</v>
          </cell>
          <cell r="D14227" t="str">
            <v>Bradford</v>
          </cell>
          <cell r="E14227" t="str">
            <v>LA Nursery School</v>
          </cell>
          <cell r="F14227" t="str">
            <v>Nursery</v>
          </cell>
        </row>
        <row r="14228">
          <cell r="A14228">
            <v>6741029</v>
          </cell>
          <cell r="B14228">
            <v>400021</v>
          </cell>
          <cell r="C14228" t="str">
            <v>Hirwaun Nursery School</v>
          </cell>
          <cell r="D14228" t="str">
            <v>Rhondda, Cynon, Taff</v>
          </cell>
          <cell r="E14228" t="str">
            <v>Welsh Establishment</v>
          </cell>
          <cell r="F14228" t="str">
            <v>Nursery</v>
          </cell>
        </row>
        <row r="14229">
          <cell r="A14229">
            <v>6742170</v>
          </cell>
          <cell r="B14229">
            <v>401196</v>
          </cell>
          <cell r="C14229" t="str">
            <v>Hirwaun Primary School</v>
          </cell>
          <cell r="D14229" t="str">
            <v>Rhondda, Cynon, Taff</v>
          </cell>
          <cell r="E14229" t="str">
            <v>Welsh Establishment</v>
          </cell>
          <cell r="F14229" t="str">
            <v>Primary</v>
          </cell>
        </row>
        <row r="14230">
          <cell r="A14230">
            <v>8732319</v>
          </cell>
          <cell r="B14230">
            <v>110752</v>
          </cell>
          <cell r="C14230" t="str">
            <v>Histon and Impington Infant School</v>
          </cell>
          <cell r="D14230" t="str">
            <v>Cambridgeshire</v>
          </cell>
          <cell r="E14230" t="str">
            <v>Community School</v>
          </cell>
          <cell r="F14230" t="str">
            <v>Primary</v>
          </cell>
        </row>
        <row r="14231">
          <cell r="A14231">
            <v>8732318</v>
          </cell>
          <cell r="B14231">
            <v>110751</v>
          </cell>
          <cell r="C14231" t="str">
            <v>Histon and Impington Junior School</v>
          </cell>
          <cell r="D14231" t="str">
            <v>Cambridgeshire</v>
          </cell>
          <cell r="E14231" t="str">
            <v>Community School</v>
          </cell>
          <cell r="F14231" t="str">
            <v>Primary</v>
          </cell>
        </row>
        <row r="14232">
          <cell r="A14232">
            <v>8731003</v>
          </cell>
          <cell r="B14232">
            <v>110595</v>
          </cell>
          <cell r="C14232" t="str">
            <v>Histon Early Years Centre</v>
          </cell>
          <cell r="D14232" t="str">
            <v>Cambridgeshire</v>
          </cell>
          <cell r="E14232" t="str">
            <v>LA Nursery School</v>
          </cell>
          <cell r="F14232" t="str">
            <v>Nursery</v>
          </cell>
        </row>
        <row r="14233">
          <cell r="A14233">
            <v>9194008</v>
          </cell>
          <cell r="B14233">
            <v>117502</v>
          </cell>
          <cell r="C14233" t="str">
            <v>Hitchin Boys' School</v>
          </cell>
          <cell r="D14233" t="str">
            <v>Hertfordshire</v>
          </cell>
          <cell r="E14233" t="str">
            <v>Community School</v>
          </cell>
          <cell r="F14233" t="str">
            <v>Secondary</v>
          </cell>
        </row>
        <row r="14234">
          <cell r="A14234">
            <v>9194009</v>
          </cell>
          <cell r="B14234">
            <v>117503</v>
          </cell>
          <cell r="C14234" t="str">
            <v>Hitchin Girls' School</v>
          </cell>
          <cell r="D14234" t="str">
            <v>Hertfordshire</v>
          </cell>
          <cell r="E14234" t="str">
            <v>Community School</v>
          </cell>
          <cell r="F14234" t="str">
            <v>Secondary</v>
          </cell>
        </row>
        <row r="14235">
          <cell r="A14235">
            <v>9194009</v>
          </cell>
          <cell r="B14235">
            <v>137288</v>
          </cell>
          <cell r="C14235" t="str">
            <v>Hitchin Girls' School</v>
          </cell>
          <cell r="D14235" t="str">
            <v>Hertfordshire</v>
          </cell>
          <cell r="E14235" t="str">
            <v>Academy Converters</v>
          </cell>
          <cell r="F14235" t="str">
            <v>Secondary</v>
          </cell>
        </row>
        <row r="14236">
          <cell r="A14236">
            <v>9194034</v>
          </cell>
          <cell r="B14236">
            <v>129153</v>
          </cell>
          <cell r="C14236" t="str">
            <v>Hitchin School</v>
          </cell>
          <cell r="D14236" t="str">
            <v>Hertfordshire</v>
          </cell>
          <cell r="E14236" t="str">
            <v>Community School</v>
          </cell>
          <cell r="F14236" t="str">
            <v>Secondary</v>
          </cell>
        </row>
        <row r="14237">
          <cell r="A14237">
            <v>8237007</v>
          </cell>
          <cell r="B14237">
            <v>109737</v>
          </cell>
          <cell r="C14237" t="str">
            <v>Hitchmead School</v>
          </cell>
          <cell r="D14237" t="str">
            <v>Central Bedfordshire</v>
          </cell>
          <cell r="E14237" t="str">
            <v>Foundation Special School</v>
          </cell>
          <cell r="F14237" t="str">
            <v>Special</v>
          </cell>
        </row>
        <row r="14238">
          <cell r="A14238">
            <v>2082306</v>
          </cell>
          <cell r="B14238">
            <v>100571</v>
          </cell>
          <cell r="C14238" t="str">
            <v>Hitherfield Infant School</v>
          </cell>
          <cell r="D14238" t="str">
            <v>Lambeth</v>
          </cell>
          <cell r="E14238" t="str">
            <v>Community School</v>
          </cell>
          <cell r="F14238" t="str">
            <v>Primary</v>
          </cell>
        </row>
        <row r="14239">
          <cell r="A14239">
            <v>2082305</v>
          </cell>
          <cell r="B14239">
            <v>100570</v>
          </cell>
          <cell r="C14239" t="str">
            <v>Hitherfield Junior School</v>
          </cell>
          <cell r="D14239" t="str">
            <v>Lambeth</v>
          </cell>
          <cell r="E14239" t="str">
            <v>Community School</v>
          </cell>
          <cell r="F14239" t="str">
            <v>Primary</v>
          </cell>
        </row>
        <row r="14240">
          <cell r="A14240">
            <v>2082900</v>
          </cell>
          <cell r="B14240">
            <v>131824</v>
          </cell>
          <cell r="C14240" t="str">
            <v>Hitherfield Primary School</v>
          </cell>
          <cell r="D14240" t="str">
            <v>Lambeth</v>
          </cell>
          <cell r="E14240" t="str">
            <v>Community School</v>
          </cell>
          <cell r="F14240" t="str">
            <v>Primary</v>
          </cell>
        </row>
        <row r="14241">
          <cell r="A14241">
            <v>9097020</v>
          </cell>
          <cell r="B14241">
            <v>128612</v>
          </cell>
          <cell r="C14241" t="str">
            <v>Hk Campbell School</v>
          </cell>
          <cell r="D14241" t="str">
            <v>Cumbria</v>
          </cell>
          <cell r="E14241" t="str">
            <v>Community Special School</v>
          </cell>
          <cell r="F14241" t="str">
            <v>Special</v>
          </cell>
        </row>
        <row r="14242">
          <cell r="A14242">
            <v>8862265</v>
          </cell>
          <cell r="B14242">
            <v>118361</v>
          </cell>
          <cell r="C14242" t="str">
            <v>Hoath Primary School</v>
          </cell>
          <cell r="D14242" t="str">
            <v>Kent</v>
          </cell>
          <cell r="E14242" t="str">
            <v>Community School</v>
          </cell>
          <cell r="F14242" t="str">
            <v>Primary</v>
          </cell>
        </row>
        <row r="14243">
          <cell r="A14243">
            <v>3322156</v>
          </cell>
          <cell r="B14243">
            <v>103833</v>
          </cell>
          <cell r="C14243" t="str">
            <v>Hob Green Primary School</v>
          </cell>
          <cell r="D14243" t="str">
            <v>Dudley</v>
          </cell>
          <cell r="E14243" t="str">
            <v>Community School</v>
          </cell>
          <cell r="F14243" t="str">
            <v>Primary</v>
          </cell>
        </row>
        <row r="14244">
          <cell r="A14244">
            <v>8603139</v>
          </cell>
          <cell r="B14244">
            <v>124291</v>
          </cell>
          <cell r="C14244" t="str">
            <v>Hob Hill CE/Methodist (VC) Primary School</v>
          </cell>
          <cell r="D14244" t="str">
            <v>Staffordshire</v>
          </cell>
          <cell r="E14244" t="str">
            <v>Voluntary Controlled School</v>
          </cell>
          <cell r="F14244" t="str">
            <v>Primary</v>
          </cell>
        </row>
        <row r="14245">
          <cell r="A14245">
            <v>9373304</v>
          </cell>
          <cell r="B14245">
            <v>125691</v>
          </cell>
          <cell r="C14245" t="str">
            <v>Hob Lane CofE Infant School</v>
          </cell>
          <cell r="D14245" t="str">
            <v>Warwickshire</v>
          </cell>
          <cell r="E14245" t="str">
            <v>Voluntary Aided School</v>
          </cell>
          <cell r="F14245" t="str">
            <v>Primary</v>
          </cell>
        </row>
        <row r="14246">
          <cell r="A14246">
            <v>8162028</v>
          </cell>
          <cell r="B14246">
            <v>133609</v>
          </cell>
          <cell r="C14246" t="str">
            <v>Hob Moor Community Primary School</v>
          </cell>
          <cell r="D14246" t="str">
            <v>York</v>
          </cell>
          <cell r="E14246" t="str">
            <v>Community School</v>
          </cell>
          <cell r="F14246" t="str">
            <v>Primary</v>
          </cell>
        </row>
        <row r="14247">
          <cell r="A14247">
            <v>8162025</v>
          </cell>
          <cell r="B14247">
            <v>121288</v>
          </cell>
          <cell r="C14247" t="str">
            <v>Hob Moor Infant School</v>
          </cell>
          <cell r="D14247" t="str">
            <v>York</v>
          </cell>
          <cell r="E14247" t="str">
            <v>Community School</v>
          </cell>
          <cell r="F14247" t="str">
            <v>Primary</v>
          </cell>
        </row>
        <row r="14248">
          <cell r="A14248">
            <v>8162026</v>
          </cell>
          <cell r="B14248">
            <v>121289</v>
          </cell>
          <cell r="C14248" t="str">
            <v>Hob Moor Junior School</v>
          </cell>
          <cell r="D14248" t="str">
            <v>York</v>
          </cell>
          <cell r="E14248" t="str">
            <v>Community School</v>
          </cell>
          <cell r="F14248" t="str">
            <v>Primary</v>
          </cell>
        </row>
        <row r="14249">
          <cell r="A14249">
            <v>8167033</v>
          </cell>
          <cell r="B14249">
            <v>134728</v>
          </cell>
          <cell r="C14249" t="str">
            <v>Hob Moor Oaks School</v>
          </cell>
          <cell r="D14249" t="str">
            <v>York</v>
          </cell>
          <cell r="E14249" t="str">
            <v>Community Special School</v>
          </cell>
          <cell r="F14249" t="str">
            <v>Special</v>
          </cell>
        </row>
        <row r="14250">
          <cell r="A14250">
            <v>9264006</v>
          </cell>
          <cell r="B14250">
            <v>121153</v>
          </cell>
          <cell r="C14250" t="str">
            <v>Hobart High School</v>
          </cell>
          <cell r="D14250" t="str">
            <v>Norfolk</v>
          </cell>
          <cell r="E14250" t="str">
            <v>Community School</v>
          </cell>
          <cell r="F14250" t="str">
            <v>Secondary</v>
          </cell>
        </row>
        <row r="14251">
          <cell r="A14251">
            <v>3072151</v>
          </cell>
          <cell r="B14251">
            <v>101888</v>
          </cell>
          <cell r="C14251" t="str">
            <v>Hobbayne Primary School</v>
          </cell>
          <cell r="D14251" t="str">
            <v>Ealing</v>
          </cell>
          <cell r="E14251" t="str">
            <v>Community School</v>
          </cell>
          <cell r="F14251" t="str">
            <v>Primary</v>
          </cell>
        </row>
        <row r="14252">
          <cell r="A14252">
            <v>8866112</v>
          </cell>
          <cell r="B14252">
            <v>131564</v>
          </cell>
          <cell r="C14252" t="str">
            <v>Hobbit House</v>
          </cell>
          <cell r="D14252" t="str">
            <v>Kent</v>
          </cell>
          <cell r="E14252" t="str">
            <v>Other Independent Special School</v>
          </cell>
          <cell r="F14252" t="str">
            <v>Not applicable</v>
          </cell>
        </row>
        <row r="14253">
          <cell r="A14253">
            <v>9192192</v>
          </cell>
          <cell r="B14253">
            <v>129117</v>
          </cell>
          <cell r="C14253" t="str">
            <v>Hobbs Hill Wood Infants' School</v>
          </cell>
          <cell r="D14253" t="str">
            <v>Hertfordshire</v>
          </cell>
          <cell r="E14253" t="str">
            <v>Community School</v>
          </cell>
          <cell r="F14253" t="str">
            <v>Primary</v>
          </cell>
        </row>
        <row r="14254">
          <cell r="A14254">
            <v>9192163</v>
          </cell>
          <cell r="B14254">
            <v>129115</v>
          </cell>
          <cell r="C14254" t="str">
            <v>Hobbs Hill Wood Junior School</v>
          </cell>
          <cell r="D14254" t="str">
            <v>Hertfordshire</v>
          </cell>
          <cell r="E14254" t="str">
            <v>Community School</v>
          </cell>
          <cell r="F14254" t="str">
            <v>Primary</v>
          </cell>
        </row>
        <row r="14255">
          <cell r="A14255">
            <v>9192469</v>
          </cell>
          <cell r="B14255">
            <v>117368</v>
          </cell>
          <cell r="C14255" t="str">
            <v>Hobbs Hill Wood Primary School</v>
          </cell>
          <cell r="D14255" t="str">
            <v>Hertfordshire</v>
          </cell>
          <cell r="E14255" t="str">
            <v>Community School</v>
          </cell>
          <cell r="F14255" t="str">
            <v>Primary</v>
          </cell>
        </row>
        <row r="14256">
          <cell r="A14256">
            <v>9306081</v>
          </cell>
          <cell r="B14256">
            <v>129735</v>
          </cell>
          <cell r="C14256" t="str">
            <v>Hobby Horse Nursery School</v>
          </cell>
          <cell r="D14256" t="str">
            <v>Pre LGR (1998) Nottinghamshire</v>
          </cell>
          <cell r="E14256" t="str">
            <v>Other Independent School</v>
          </cell>
          <cell r="F14256" t="str">
            <v>Not applicable</v>
          </cell>
        </row>
        <row r="14257">
          <cell r="A14257">
            <v>9192184</v>
          </cell>
          <cell r="B14257">
            <v>117197</v>
          </cell>
          <cell r="C14257" t="str">
            <v>Hobletts Manor Infants' School</v>
          </cell>
          <cell r="D14257" t="str">
            <v>Hertfordshire</v>
          </cell>
          <cell r="E14257" t="str">
            <v>Community School</v>
          </cell>
          <cell r="F14257" t="str">
            <v>Primary</v>
          </cell>
        </row>
        <row r="14258">
          <cell r="A14258">
            <v>9192023</v>
          </cell>
          <cell r="B14258">
            <v>117097</v>
          </cell>
          <cell r="C14258" t="str">
            <v>Hobletts Manor Junior School</v>
          </cell>
          <cell r="D14258" t="str">
            <v>Hertfordshire</v>
          </cell>
          <cell r="E14258" t="str">
            <v>Community School</v>
          </cell>
          <cell r="F14258" t="str">
            <v>Primary</v>
          </cell>
        </row>
        <row r="14259">
          <cell r="A14259">
            <v>3302106</v>
          </cell>
          <cell r="B14259">
            <v>103216</v>
          </cell>
          <cell r="C14259" t="str">
            <v>Hobmoor Primary School</v>
          </cell>
          <cell r="D14259" t="str">
            <v>Birmingham</v>
          </cell>
          <cell r="E14259" t="str">
            <v>Community School</v>
          </cell>
          <cell r="F14259" t="str">
            <v>Primary</v>
          </cell>
        </row>
        <row r="14260">
          <cell r="A14260">
            <v>9195427</v>
          </cell>
          <cell r="B14260">
            <v>117598</v>
          </cell>
          <cell r="C14260" t="str">
            <v>Hockerill Anglo-European College</v>
          </cell>
          <cell r="D14260" t="str">
            <v>Hertfordshire</v>
          </cell>
          <cell r="E14260" t="str">
            <v>Foundation School</v>
          </cell>
          <cell r="F14260" t="str">
            <v>Secondary</v>
          </cell>
        </row>
        <row r="14261">
          <cell r="A14261">
            <v>9195427</v>
          </cell>
          <cell r="B14261">
            <v>136482</v>
          </cell>
          <cell r="C14261" t="str">
            <v>Hockerill Anglo-European College</v>
          </cell>
          <cell r="D14261" t="str">
            <v>Hertfordshire</v>
          </cell>
          <cell r="E14261" t="str">
            <v>Academy Converters</v>
          </cell>
          <cell r="F14261" t="str">
            <v>Secondary</v>
          </cell>
        </row>
        <row r="14262">
          <cell r="A14262">
            <v>9263137</v>
          </cell>
          <cell r="B14262">
            <v>121094</v>
          </cell>
          <cell r="C14262" t="str">
            <v>Hockering Church of England Voluntary Controlled Primary School</v>
          </cell>
          <cell r="D14262" t="str">
            <v>Norfolk</v>
          </cell>
          <cell r="E14262" t="str">
            <v>Voluntary Controlled School</v>
          </cell>
          <cell r="F14262" t="str">
            <v>Primary</v>
          </cell>
        </row>
        <row r="14263">
          <cell r="A14263">
            <v>3342057</v>
          </cell>
          <cell r="B14263">
            <v>104064</v>
          </cell>
          <cell r="C14263" t="str">
            <v>Hockley Heath Primary School</v>
          </cell>
          <cell r="D14263" t="str">
            <v>Solihull</v>
          </cell>
          <cell r="E14263" t="str">
            <v>Community School</v>
          </cell>
          <cell r="F14263" t="str">
            <v>Primary</v>
          </cell>
        </row>
        <row r="14264">
          <cell r="A14264">
            <v>8815247</v>
          </cell>
          <cell r="B14264">
            <v>115287</v>
          </cell>
          <cell r="C14264" t="str">
            <v>Hockley Primary School</v>
          </cell>
          <cell r="D14264" t="str">
            <v>Essex</v>
          </cell>
          <cell r="E14264" t="str">
            <v>Foundation School</v>
          </cell>
          <cell r="F14264" t="str">
            <v>Primary</v>
          </cell>
        </row>
        <row r="14265">
          <cell r="A14265">
            <v>8232218</v>
          </cell>
          <cell r="B14265">
            <v>109529</v>
          </cell>
          <cell r="C14265" t="str">
            <v>Hockliffe Lower School</v>
          </cell>
          <cell r="D14265" t="str">
            <v>Central Bedfordshire</v>
          </cell>
          <cell r="E14265" t="str">
            <v>Community School</v>
          </cell>
          <cell r="F14265" t="str">
            <v>Primary</v>
          </cell>
        </row>
        <row r="14266">
          <cell r="A14266">
            <v>9264047</v>
          </cell>
          <cell r="B14266">
            <v>121165</v>
          </cell>
          <cell r="C14266" t="str">
            <v>Hockwold and Methwold Community School</v>
          </cell>
          <cell r="D14266" t="str">
            <v>Norfolk</v>
          </cell>
          <cell r="E14266" t="str">
            <v>Community School</v>
          </cell>
          <cell r="F14266" t="str">
            <v>Secondary</v>
          </cell>
        </row>
        <row r="14267">
          <cell r="A14267">
            <v>9262085</v>
          </cell>
          <cell r="B14267">
            <v>120820</v>
          </cell>
          <cell r="C14267" t="str">
            <v>Hockwold Primary School</v>
          </cell>
          <cell r="D14267" t="str">
            <v>Norfolk</v>
          </cell>
          <cell r="E14267" t="str">
            <v>Community School</v>
          </cell>
          <cell r="F14267" t="str">
            <v>Primary</v>
          </cell>
        </row>
        <row r="14268">
          <cell r="A14268">
            <v>8452110</v>
          </cell>
          <cell r="B14268">
            <v>114439</v>
          </cell>
          <cell r="C14268" t="str">
            <v>Hoddern Junior School</v>
          </cell>
          <cell r="D14268" t="str">
            <v>East Sussex</v>
          </cell>
          <cell r="E14268" t="str">
            <v>Community School</v>
          </cell>
          <cell r="F14268" t="str">
            <v>Primary</v>
          </cell>
        </row>
        <row r="14269">
          <cell r="A14269">
            <v>8893373</v>
          </cell>
          <cell r="B14269">
            <v>119455</v>
          </cell>
          <cell r="C14269" t="str">
            <v>Hoddlesden St Paul's Church of England Primary School</v>
          </cell>
          <cell r="D14269" t="str">
            <v>Blackburn with Darwen</v>
          </cell>
          <cell r="E14269" t="str">
            <v>Voluntary Aided School</v>
          </cell>
          <cell r="F14269" t="str">
            <v>Primary</v>
          </cell>
        </row>
        <row r="14270">
          <cell r="A14270">
            <v>3532049</v>
          </cell>
          <cell r="B14270">
            <v>105647</v>
          </cell>
          <cell r="C14270" t="str">
            <v>Hodge Clough Infant and Nursery School</v>
          </cell>
          <cell r="D14270" t="str">
            <v>Oldham</v>
          </cell>
          <cell r="E14270" t="str">
            <v>Community School</v>
          </cell>
          <cell r="F14270" t="str">
            <v>Primary</v>
          </cell>
        </row>
        <row r="14271">
          <cell r="A14271">
            <v>3532048</v>
          </cell>
          <cell r="B14271">
            <v>105646</v>
          </cell>
          <cell r="C14271" t="str">
            <v>Hodge Clough Junior School</v>
          </cell>
          <cell r="D14271" t="str">
            <v>Oldham</v>
          </cell>
          <cell r="E14271" t="str">
            <v>Community School</v>
          </cell>
          <cell r="F14271" t="str">
            <v>Primary</v>
          </cell>
        </row>
        <row r="14272">
          <cell r="A14272">
            <v>3533509</v>
          </cell>
          <cell r="B14272">
            <v>136223</v>
          </cell>
          <cell r="C14272" t="str">
            <v>Hodge Clough Primary School</v>
          </cell>
          <cell r="D14272" t="str">
            <v>Oldham</v>
          </cell>
          <cell r="E14272" t="str">
            <v>Community School</v>
          </cell>
          <cell r="F14272" t="str">
            <v>Primary</v>
          </cell>
        </row>
        <row r="14273">
          <cell r="A14273">
            <v>3304015</v>
          </cell>
          <cell r="B14273">
            <v>103483</v>
          </cell>
          <cell r="C14273" t="str">
            <v>Hodge Hill Girls' School</v>
          </cell>
          <cell r="D14273" t="str">
            <v>Birmingham</v>
          </cell>
          <cell r="E14273" t="str">
            <v>Community School</v>
          </cell>
          <cell r="F14273" t="str">
            <v>Secondary</v>
          </cell>
        </row>
        <row r="14274">
          <cell r="A14274">
            <v>3303430</v>
          </cell>
          <cell r="B14274">
            <v>134673</v>
          </cell>
          <cell r="C14274" t="str">
            <v>Hodge Hill Primary School</v>
          </cell>
          <cell r="D14274" t="str">
            <v>Birmingham</v>
          </cell>
          <cell r="E14274" t="str">
            <v>Community School</v>
          </cell>
          <cell r="F14274" t="str">
            <v>Primary</v>
          </cell>
        </row>
        <row r="14275">
          <cell r="A14275">
            <v>3304201</v>
          </cell>
          <cell r="B14275">
            <v>103503</v>
          </cell>
          <cell r="C14275" t="str">
            <v>Hodge Hill Sports and Enterprise College</v>
          </cell>
          <cell r="D14275" t="str">
            <v>Birmingham</v>
          </cell>
          <cell r="E14275" t="str">
            <v>Community School</v>
          </cell>
          <cell r="F14275" t="str">
            <v>Secondary</v>
          </cell>
        </row>
        <row r="14276">
          <cell r="A14276">
            <v>8884010</v>
          </cell>
          <cell r="B14276">
            <v>136717</v>
          </cell>
          <cell r="C14276" t="str">
            <v>Hodgson Academy</v>
          </cell>
          <cell r="D14276" t="str">
            <v>Lancashire</v>
          </cell>
          <cell r="E14276" t="str">
            <v>Academy Converters</v>
          </cell>
          <cell r="F14276" t="str">
            <v>Secondary</v>
          </cell>
        </row>
        <row r="14277">
          <cell r="A14277">
            <v>8884010</v>
          </cell>
          <cell r="B14277">
            <v>119713</v>
          </cell>
          <cell r="C14277" t="str">
            <v>Hodgson School</v>
          </cell>
          <cell r="D14277" t="str">
            <v>Lancashire</v>
          </cell>
          <cell r="E14277" t="str">
            <v>Community School</v>
          </cell>
          <cell r="F14277" t="str">
            <v>Secondary</v>
          </cell>
        </row>
        <row r="14278">
          <cell r="A14278">
            <v>8932055</v>
          </cell>
          <cell r="B14278">
            <v>123373</v>
          </cell>
          <cell r="C14278" t="str">
            <v>Hodnet Primary School</v>
          </cell>
          <cell r="D14278" t="str">
            <v>Shropshire</v>
          </cell>
          <cell r="E14278" t="str">
            <v>Community School</v>
          </cell>
          <cell r="F14278" t="str">
            <v>Primary</v>
          </cell>
        </row>
        <row r="14279">
          <cell r="A14279">
            <v>8302272</v>
          </cell>
          <cell r="B14279">
            <v>112650</v>
          </cell>
          <cell r="C14279" t="str">
            <v>Hodthorpe Primary School</v>
          </cell>
          <cell r="D14279" t="str">
            <v>Derbyshire</v>
          </cell>
          <cell r="E14279" t="str">
            <v>Community School</v>
          </cell>
          <cell r="F14279" t="str">
            <v>Primary</v>
          </cell>
        </row>
        <row r="14280">
          <cell r="A14280">
            <v>9366395</v>
          </cell>
          <cell r="B14280">
            <v>125397</v>
          </cell>
          <cell r="C14280" t="str">
            <v>Hoe Bridge School</v>
          </cell>
          <cell r="D14280" t="str">
            <v>Surrey</v>
          </cell>
          <cell r="E14280" t="str">
            <v>Other Independent School</v>
          </cell>
          <cell r="F14280" t="str">
            <v>Not applicable</v>
          </cell>
        </row>
        <row r="14281">
          <cell r="A14281">
            <v>9362934</v>
          </cell>
          <cell r="B14281">
            <v>130065</v>
          </cell>
          <cell r="C14281" t="str">
            <v>Hoefield County Middle School</v>
          </cell>
          <cell r="D14281" t="str">
            <v>Surrey</v>
          </cell>
          <cell r="E14281" t="str">
            <v>Community School</v>
          </cell>
          <cell r="F14281" t="str">
            <v>Middle Deemed Primary</v>
          </cell>
        </row>
        <row r="14282">
          <cell r="A14282">
            <v>3132028</v>
          </cell>
          <cell r="B14282">
            <v>126944</v>
          </cell>
          <cell r="C14282" t="str">
            <v>Hogarth Infant School</v>
          </cell>
          <cell r="D14282" t="str">
            <v>Hounslow</v>
          </cell>
          <cell r="E14282" t="str">
            <v>Community School</v>
          </cell>
          <cell r="F14282" t="str">
            <v>Primary</v>
          </cell>
        </row>
        <row r="14283">
          <cell r="A14283">
            <v>3132027</v>
          </cell>
          <cell r="B14283">
            <v>126943</v>
          </cell>
          <cell r="C14283" t="str">
            <v>Hogarth Junior School</v>
          </cell>
          <cell r="D14283" t="str">
            <v>Hounslow</v>
          </cell>
          <cell r="E14283" t="str">
            <v>Community School</v>
          </cell>
          <cell r="F14283" t="str">
            <v>Primary</v>
          </cell>
        </row>
        <row r="14284">
          <cell r="A14284">
            <v>8922077</v>
          </cell>
          <cell r="B14284">
            <v>122425</v>
          </cell>
          <cell r="C14284" t="str">
            <v>Hogarth Primary and Nursery School</v>
          </cell>
          <cell r="D14284" t="str">
            <v>Nottingham</v>
          </cell>
          <cell r="E14284" t="str">
            <v>Community School</v>
          </cell>
          <cell r="F14284" t="str">
            <v>Primary</v>
          </cell>
        </row>
        <row r="14285">
          <cell r="A14285">
            <v>3132074</v>
          </cell>
          <cell r="B14285">
            <v>102521</v>
          </cell>
          <cell r="C14285" t="str">
            <v>Hogarth Primary School</v>
          </cell>
          <cell r="D14285" t="str">
            <v>Hounslow</v>
          </cell>
          <cell r="E14285" t="str">
            <v>Community School</v>
          </cell>
          <cell r="F14285" t="str">
            <v>Primary</v>
          </cell>
        </row>
        <row r="14286">
          <cell r="A14286">
            <v>8812838</v>
          </cell>
          <cell r="B14286">
            <v>115018</v>
          </cell>
          <cell r="C14286" t="str">
            <v>Hogarth Primary School</v>
          </cell>
          <cell r="D14286" t="str">
            <v>Essex</v>
          </cell>
          <cell r="E14286" t="str">
            <v>Community School</v>
          </cell>
          <cell r="F14286" t="str">
            <v>Primary</v>
          </cell>
        </row>
        <row r="14287">
          <cell r="A14287">
            <v>8819901</v>
          </cell>
          <cell r="B14287">
            <v>133199</v>
          </cell>
          <cell r="C14287" t="str">
            <v>Hogarth Tutorial Centre</v>
          </cell>
          <cell r="D14287" t="str">
            <v>Essex</v>
          </cell>
          <cell r="E14287" t="str">
            <v>Miscellaneous</v>
          </cell>
          <cell r="F14287" t="str">
            <v>Not applicable</v>
          </cell>
        </row>
        <row r="14288">
          <cell r="A14288">
            <v>9252161</v>
          </cell>
          <cell r="B14288">
            <v>120452</v>
          </cell>
          <cell r="C14288" t="str">
            <v>Hogsthorpe Community Primary School</v>
          </cell>
          <cell r="D14288" t="str">
            <v>Lincolnshire</v>
          </cell>
          <cell r="E14288" t="str">
            <v>Community School</v>
          </cell>
          <cell r="F14288" t="str">
            <v>Primary</v>
          </cell>
        </row>
        <row r="14289">
          <cell r="A14289">
            <v>9252092</v>
          </cell>
          <cell r="B14289">
            <v>120413</v>
          </cell>
          <cell r="C14289" t="str">
            <v>Holbeach Bank Primary School</v>
          </cell>
          <cell r="D14289" t="str">
            <v>Lincolnshire</v>
          </cell>
          <cell r="E14289" t="str">
            <v>Community School</v>
          </cell>
          <cell r="F14289" t="str">
            <v>Primary</v>
          </cell>
        </row>
        <row r="14290">
          <cell r="A14290">
            <v>9253099</v>
          </cell>
          <cell r="B14290">
            <v>132972</v>
          </cell>
          <cell r="C14290" t="str">
            <v>Holbeach CofE Infant School</v>
          </cell>
          <cell r="D14290" t="str">
            <v>Lincolnshire</v>
          </cell>
          <cell r="E14290" t="str">
            <v>Miscellaneous</v>
          </cell>
          <cell r="F14290" t="str">
            <v>Not applicable</v>
          </cell>
        </row>
        <row r="14291">
          <cell r="A14291">
            <v>2092307</v>
          </cell>
          <cell r="B14291">
            <v>100688</v>
          </cell>
          <cell r="C14291" t="str">
            <v>Holbeach Primary School</v>
          </cell>
          <cell r="D14291" t="str">
            <v>Lewisham</v>
          </cell>
          <cell r="E14291" t="str">
            <v>Community School</v>
          </cell>
          <cell r="F14291" t="str">
            <v>Primary</v>
          </cell>
        </row>
        <row r="14292">
          <cell r="A14292">
            <v>9252093</v>
          </cell>
          <cell r="B14292">
            <v>120414</v>
          </cell>
          <cell r="C14292" t="str">
            <v>Holbeach Primary School</v>
          </cell>
          <cell r="D14292" t="str">
            <v>Lincolnshire</v>
          </cell>
          <cell r="E14292" t="str">
            <v>Community School</v>
          </cell>
          <cell r="F14292" t="str">
            <v>Primary</v>
          </cell>
        </row>
        <row r="14293">
          <cell r="A14293">
            <v>8782607</v>
          </cell>
          <cell r="B14293">
            <v>113252</v>
          </cell>
          <cell r="C14293" t="str">
            <v>Holbeton School</v>
          </cell>
          <cell r="D14293" t="str">
            <v>Devon</v>
          </cell>
          <cell r="E14293" t="str">
            <v>Community School</v>
          </cell>
          <cell r="F14293" t="str">
            <v>Primary</v>
          </cell>
        </row>
        <row r="14294">
          <cell r="A14294">
            <v>2056394</v>
          </cell>
          <cell r="B14294">
            <v>131650</v>
          </cell>
          <cell r="C14294" t="str">
            <v>Holborn College</v>
          </cell>
          <cell r="D14294" t="str">
            <v>Hammersmith and Fulham</v>
          </cell>
          <cell r="E14294" t="str">
            <v>Other Independent School</v>
          </cell>
          <cell r="F14294" t="str">
            <v>Not applicable</v>
          </cell>
        </row>
        <row r="14295">
          <cell r="A14295">
            <v>2058200</v>
          </cell>
          <cell r="B14295">
            <v>133038</v>
          </cell>
          <cell r="C14295" t="str">
            <v>Holborn College</v>
          </cell>
          <cell r="D14295" t="str">
            <v>Hammersmith and Fulham</v>
          </cell>
          <cell r="E14295" t="str">
            <v>Miscellaneous</v>
          </cell>
          <cell r="F14295" t="str">
            <v>Not applicable</v>
          </cell>
        </row>
        <row r="14296">
          <cell r="A14296">
            <v>8307001</v>
          </cell>
          <cell r="B14296">
            <v>131323</v>
          </cell>
          <cell r="C14296" t="str">
            <v>Holbrook Centre for Autism</v>
          </cell>
          <cell r="D14296" t="str">
            <v>Derbyshire</v>
          </cell>
          <cell r="E14296" t="str">
            <v>Community Special School</v>
          </cell>
          <cell r="F14296" t="str">
            <v>Special</v>
          </cell>
        </row>
        <row r="14297">
          <cell r="A14297">
            <v>8303160</v>
          </cell>
          <cell r="B14297">
            <v>112874</v>
          </cell>
          <cell r="C14297" t="str">
            <v>Holbrook CofE Primary School</v>
          </cell>
          <cell r="D14297" t="str">
            <v>Derbyshire</v>
          </cell>
          <cell r="E14297" t="str">
            <v>Voluntary Controlled School</v>
          </cell>
          <cell r="F14297" t="str">
            <v>Primary</v>
          </cell>
        </row>
        <row r="14298">
          <cell r="A14298">
            <v>9354098</v>
          </cell>
          <cell r="B14298">
            <v>124848</v>
          </cell>
          <cell r="C14298" t="str">
            <v>Holbrook High School</v>
          </cell>
          <cell r="D14298" t="str">
            <v>Suffolk</v>
          </cell>
          <cell r="E14298" t="str">
            <v>Community School</v>
          </cell>
          <cell r="F14298" t="str">
            <v>Secondary</v>
          </cell>
        </row>
        <row r="14299">
          <cell r="A14299">
            <v>9354098</v>
          </cell>
          <cell r="B14299">
            <v>137208</v>
          </cell>
          <cell r="C14299" t="str">
            <v>Holbrook High School</v>
          </cell>
          <cell r="D14299" t="str">
            <v>Suffolk</v>
          </cell>
          <cell r="E14299" t="str">
            <v>Academy Converters</v>
          </cell>
          <cell r="F14299" t="str">
            <v>Secondary</v>
          </cell>
        </row>
        <row r="14300">
          <cell r="A14300">
            <v>3312031</v>
          </cell>
          <cell r="B14300">
            <v>127087</v>
          </cell>
          <cell r="C14300" t="str">
            <v>Holbrook Infant School</v>
          </cell>
          <cell r="D14300" t="str">
            <v>Coventry</v>
          </cell>
          <cell r="E14300" t="str">
            <v>Community School</v>
          </cell>
          <cell r="F14300" t="str">
            <v>Primary</v>
          </cell>
        </row>
        <row r="14301">
          <cell r="A14301">
            <v>9172628</v>
          </cell>
          <cell r="B14301">
            <v>116178</v>
          </cell>
          <cell r="C14301" t="str">
            <v>Holbrook Infants' School</v>
          </cell>
          <cell r="D14301" t="str">
            <v>Pre LGR (1997) Hampshire</v>
          </cell>
          <cell r="E14301" t="str">
            <v>Community School</v>
          </cell>
          <cell r="F14301" t="str">
            <v>Primary</v>
          </cell>
        </row>
        <row r="14302">
          <cell r="A14302">
            <v>9172629</v>
          </cell>
          <cell r="B14302">
            <v>116179</v>
          </cell>
          <cell r="C14302" t="str">
            <v>Holbrook Junior School</v>
          </cell>
          <cell r="D14302" t="str">
            <v>Pre LGR (1997) Hampshire</v>
          </cell>
          <cell r="E14302" t="str">
            <v>Community School</v>
          </cell>
          <cell r="F14302" t="str">
            <v>Primary</v>
          </cell>
        </row>
        <row r="14303">
          <cell r="A14303">
            <v>3312029</v>
          </cell>
          <cell r="B14303">
            <v>127086</v>
          </cell>
          <cell r="C14303" t="str">
            <v>Holbrook Junior School</v>
          </cell>
          <cell r="D14303" t="str">
            <v>Coventry</v>
          </cell>
          <cell r="E14303" t="str">
            <v>Community School</v>
          </cell>
          <cell r="F14303" t="str">
            <v>Primary</v>
          </cell>
        </row>
        <row r="14304">
          <cell r="A14304">
            <v>9186044</v>
          </cell>
          <cell r="B14304">
            <v>129096</v>
          </cell>
          <cell r="C14304" t="str">
            <v>Holbrook Manor School</v>
          </cell>
          <cell r="D14304" t="str">
            <v>Pre LGR (1998) Hereford &amp; Worcester</v>
          </cell>
          <cell r="E14304" t="str">
            <v>Other Independent School</v>
          </cell>
          <cell r="F14304" t="str">
            <v>Not applicable</v>
          </cell>
        </row>
        <row r="14305">
          <cell r="A14305">
            <v>3312125</v>
          </cell>
          <cell r="B14305">
            <v>103676</v>
          </cell>
          <cell r="C14305" t="str">
            <v>Holbrook Primary School</v>
          </cell>
          <cell r="D14305" t="str">
            <v>Coventry</v>
          </cell>
          <cell r="E14305" t="str">
            <v>Community School</v>
          </cell>
          <cell r="F14305" t="str">
            <v>Primary</v>
          </cell>
        </row>
        <row r="14306">
          <cell r="A14306">
            <v>9352084</v>
          </cell>
          <cell r="B14306">
            <v>124588</v>
          </cell>
          <cell r="C14306" t="str">
            <v>Holbrook Primary School</v>
          </cell>
          <cell r="D14306" t="str">
            <v>Suffolk</v>
          </cell>
          <cell r="E14306" t="str">
            <v>Community School</v>
          </cell>
          <cell r="F14306" t="str">
            <v>Primary</v>
          </cell>
        </row>
        <row r="14307">
          <cell r="A14307">
            <v>9382243</v>
          </cell>
          <cell r="B14307">
            <v>125965</v>
          </cell>
          <cell r="C14307" t="str">
            <v>Holbrook Primary School</v>
          </cell>
          <cell r="D14307" t="str">
            <v>West Sussex</v>
          </cell>
          <cell r="E14307" t="str">
            <v>Community School</v>
          </cell>
          <cell r="F14307" t="str">
            <v>Primary</v>
          </cell>
        </row>
        <row r="14308">
          <cell r="A14308">
            <v>8652196</v>
          </cell>
          <cell r="B14308">
            <v>126269</v>
          </cell>
          <cell r="C14308" t="str">
            <v>Holbrook Primary School</v>
          </cell>
          <cell r="D14308" t="str">
            <v>Wiltshire</v>
          </cell>
          <cell r="E14308" t="str">
            <v>Community School</v>
          </cell>
          <cell r="F14308" t="str">
            <v>Primary</v>
          </cell>
        </row>
        <row r="14309">
          <cell r="A14309">
            <v>8502777</v>
          </cell>
          <cell r="B14309">
            <v>131116</v>
          </cell>
          <cell r="C14309" t="str">
            <v>Holbrook Primary School</v>
          </cell>
          <cell r="D14309" t="str">
            <v>Hampshire</v>
          </cell>
          <cell r="E14309" t="str">
            <v>Community School</v>
          </cell>
          <cell r="F14309" t="str">
            <v>Primary</v>
          </cell>
        </row>
        <row r="14310">
          <cell r="A14310">
            <v>8502307</v>
          </cell>
          <cell r="B14310">
            <v>116029</v>
          </cell>
          <cell r="C14310" t="str">
            <v>Holbury Infant School</v>
          </cell>
          <cell r="D14310" t="str">
            <v>Hampshire</v>
          </cell>
          <cell r="E14310" t="str">
            <v>Community School</v>
          </cell>
          <cell r="F14310" t="str">
            <v>Primary</v>
          </cell>
        </row>
        <row r="14311">
          <cell r="A14311">
            <v>8502247</v>
          </cell>
          <cell r="B14311">
            <v>115987</v>
          </cell>
          <cell r="C14311" t="str">
            <v>Holbury Junior School</v>
          </cell>
          <cell r="D14311" t="str">
            <v>Hampshire</v>
          </cell>
          <cell r="E14311" t="str">
            <v>Community School</v>
          </cell>
          <cell r="F14311" t="str">
            <v>Primary</v>
          </cell>
        </row>
        <row r="14312">
          <cell r="A14312">
            <v>3512042</v>
          </cell>
          <cell r="B14312">
            <v>105311</v>
          </cell>
          <cell r="C14312" t="str">
            <v>Holcombe Brook Primary School</v>
          </cell>
          <cell r="D14312" t="str">
            <v>Bury</v>
          </cell>
          <cell r="E14312" t="str">
            <v>Community School</v>
          </cell>
          <cell r="F14312" t="str">
            <v>Primary</v>
          </cell>
        </row>
        <row r="14313">
          <cell r="A14313">
            <v>9192016</v>
          </cell>
          <cell r="B14313">
            <v>117091</v>
          </cell>
          <cell r="C14313" t="str">
            <v>Holdbrook Primary School</v>
          </cell>
          <cell r="D14313" t="str">
            <v>Hertfordshire</v>
          </cell>
          <cell r="E14313" t="str">
            <v>Community School</v>
          </cell>
          <cell r="F14313" t="str">
            <v>Primary</v>
          </cell>
        </row>
        <row r="14314">
          <cell r="A14314">
            <v>3572063</v>
          </cell>
          <cell r="B14314">
            <v>106216</v>
          </cell>
          <cell r="C14314" t="str">
            <v>Holden Clough Community Primary School</v>
          </cell>
          <cell r="D14314" t="str">
            <v>Tameside</v>
          </cell>
          <cell r="E14314" t="str">
            <v>Community School</v>
          </cell>
          <cell r="F14314" t="str">
            <v>Primary</v>
          </cell>
        </row>
        <row r="14315">
          <cell r="A14315">
            <v>8614038</v>
          </cell>
          <cell r="B14315">
            <v>124385</v>
          </cell>
          <cell r="C14315" t="str">
            <v>Holden Lane High School Specialist Sports College</v>
          </cell>
          <cell r="D14315" t="str">
            <v>Stoke-on-Trent</v>
          </cell>
          <cell r="E14315" t="str">
            <v>Community School</v>
          </cell>
          <cell r="F14315" t="str">
            <v>Secondary</v>
          </cell>
        </row>
        <row r="14316">
          <cell r="A14316">
            <v>8612101</v>
          </cell>
          <cell r="B14316">
            <v>124021</v>
          </cell>
          <cell r="C14316" t="str">
            <v>Holden Lane Primary School</v>
          </cell>
          <cell r="D14316" t="str">
            <v>Stoke-on-Trent</v>
          </cell>
          <cell r="E14316" t="str">
            <v>Community School</v>
          </cell>
          <cell r="F14316" t="str">
            <v>Primary</v>
          </cell>
        </row>
        <row r="14317">
          <cell r="A14317">
            <v>3737041</v>
          </cell>
          <cell r="B14317">
            <v>126712</v>
          </cell>
          <cell r="C14317" t="str">
            <v>Holgate Meadows Community Special School</v>
          </cell>
          <cell r="D14317" t="str">
            <v>Sheffield</v>
          </cell>
          <cell r="E14317" t="str">
            <v>Community Special School</v>
          </cell>
          <cell r="F14317" t="str">
            <v>Special</v>
          </cell>
        </row>
        <row r="14318">
          <cell r="A14318">
            <v>3704500</v>
          </cell>
          <cell r="B14318">
            <v>106657</v>
          </cell>
          <cell r="C14318" t="str">
            <v>Holgate School Sports College</v>
          </cell>
          <cell r="D14318" t="str">
            <v>Barnsley</v>
          </cell>
          <cell r="E14318" t="str">
            <v>Voluntary Controlled School</v>
          </cell>
          <cell r="F14318" t="str">
            <v>Secondary</v>
          </cell>
        </row>
        <row r="14319">
          <cell r="A14319">
            <v>8815216</v>
          </cell>
          <cell r="B14319">
            <v>115256</v>
          </cell>
          <cell r="C14319" t="str">
            <v>Holland Haven Primary School</v>
          </cell>
          <cell r="D14319" t="str">
            <v>Essex</v>
          </cell>
          <cell r="E14319" t="str">
            <v>Foundation School</v>
          </cell>
          <cell r="F14319" t="str">
            <v>Primary</v>
          </cell>
        </row>
        <row r="14320">
          <cell r="A14320">
            <v>3302429</v>
          </cell>
          <cell r="B14320">
            <v>103360</v>
          </cell>
          <cell r="C14320" t="str">
            <v>Holland House Infant School and Nursery</v>
          </cell>
          <cell r="D14320" t="str">
            <v>Birmingham</v>
          </cell>
          <cell r="E14320" t="str">
            <v>Community School</v>
          </cell>
          <cell r="F14320" t="str">
            <v>Primary</v>
          </cell>
        </row>
        <row r="14321">
          <cell r="A14321">
            <v>3026066</v>
          </cell>
          <cell r="B14321">
            <v>101380</v>
          </cell>
          <cell r="C14321" t="str">
            <v>Holland House School</v>
          </cell>
          <cell r="D14321" t="str">
            <v>Barnet</v>
          </cell>
          <cell r="E14321" t="str">
            <v>Other Independent School</v>
          </cell>
          <cell r="F14321" t="str">
            <v>Not applicable</v>
          </cell>
        </row>
        <row r="14322">
          <cell r="A14322">
            <v>9362454</v>
          </cell>
          <cell r="B14322">
            <v>125069</v>
          </cell>
          <cell r="C14322" t="str">
            <v>Holland Junior School</v>
          </cell>
          <cell r="D14322" t="str">
            <v>Surrey</v>
          </cell>
          <cell r="E14322" t="str">
            <v>Community School</v>
          </cell>
          <cell r="F14322" t="str">
            <v>Primary</v>
          </cell>
        </row>
        <row r="14323">
          <cell r="A14323">
            <v>8882656</v>
          </cell>
          <cell r="B14323">
            <v>119323</v>
          </cell>
          <cell r="C14323" t="str">
            <v>Holland Moor Primary School</v>
          </cell>
          <cell r="D14323" t="str">
            <v>Lancashire</v>
          </cell>
          <cell r="E14323" t="str">
            <v>Community School</v>
          </cell>
          <cell r="F14323" t="str">
            <v>Primary</v>
          </cell>
        </row>
        <row r="14324">
          <cell r="A14324">
            <v>2076398</v>
          </cell>
          <cell r="B14324">
            <v>132790</v>
          </cell>
          <cell r="C14324" t="str">
            <v>Holland Park Pre-Preparatory School</v>
          </cell>
          <cell r="D14324" t="str">
            <v>Kensington and Chelsea</v>
          </cell>
          <cell r="E14324" t="str">
            <v>Other Independent School</v>
          </cell>
          <cell r="F14324" t="str">
            <v>Not applicable</v>
          </cell>
        </row>
        <row r="14325">
          <cell r="A14325">
            <v>8815215</v>
          </cell>
          <cell r="B14325">
            <v>115255</v>
          </cell>
          <cell r="C14325" t="str">
            <v>Holland Park Primary School</v>
          </cell>
          <cell r="D14325" t="str">
            <v>Essex</v>
          </cell>
          <cell r="E14325" t="str">
            <v>Foundation School</v>
          </cell>
          <cell r="F14325" t="str">
            <v>Primary</v>
          </cell>
        </row>
        <row r="14326">
          <cell r="A14326">
            <v>2074320</v>
          </cell>
          <cell r="B14326">
            <v>100501</v>
          </cell>
          <cell r="C14326" t="str">
            <v>Holland Park School</v>
          </cell>
          <cell r="D14326" t="str">
            <v>Kensington and Chelsea</v>
          </cell>
          <cell r="E14326" t="str">
            <v>Community School</v>
          </cell>
          <cell r="F14326" t="str">
            <v>Secondary</v>
          </cell>
        </row>
        <row r="14327">
          <cell r="A14327">
            <v>9352085</v>
          </cell>
          <cell r="B14327">
            <v>124589</v>
          </cell>
          <cell r="C14327" t="str">
            <v>Hollesley Primary School</v>
          </cell>
          <cell r="D14327" t="str">
            <v>Suffolk</v>
          </cell>
          <cell r="E14327" t="str">
            <v>Community School</v>
          </cell>
          <cell r="F14327" t="str">
            <v>Primary</v>
          </cell>
        </row>
        <row r="14328">
          <cell r="A14328">
            <v>3942163</v>
          </cell>
          <cell r="B14328">
            <v>108820</v>
          </cell>
          <cell r="C14328" t="str">
            <v>Holley Park Primary School</v>
          </cell>
          <cell r="D14328" t="str">
            <v>Sunderland</v>
          </cell>
          <cell r="E14328" t="str">
            <v>Community School</v>
          </cell>
          <cell r="F14328" t="str">
            <v>Primary</v>
          </cell>
        </row>
        <row r="14329">
          <cell r="A14329">
            <v>3022031</v>
          </cell>
          <cell r="B14329">
            <v>101285</v>
          </cell>
          <cell r="C14329" t="str">
            <v>Hollickwood Primary School</v>
          </cell>
          <cell r="D14329" t="str">
            <v>Barnet</v>
          </cell>
          <cell r="E14329" t="str">
            <v>Foundation School</v>
          </cell>
          <cell r="F14329" t="str">
            <v>Primary</v>
          </cell>
        </row>
        <row r="14330">
          <cell r="A14330">
            <v>8552044</v>
          </cell>
          <cell r="B14330">
            <v>119927</v>
          </cell>
          <cell r="C14330" t="str">
            <v>Holliers Walk Primary School</v>
          </cell>
          <cell r="D14330" t="str">
            <v>Leicestershire</v>
          </cell>
          <cell r="E14330" t="str">
            <v>Community School</v>
          </cell>
          <cell r="F14330" t="str">
            <v>Primary</v>
          </cell>
        </row>
        <row r="14331">
          <cell r="A14331">
            <v>3544073</v>
          </cell>
          <cell r="B14331">
            <v>127452</v>
          </cell>
          <cell r="C14331" t="str">
            <v>Hollin High School</v>
          </cell>
          <cell r="D14331" t="str">
            <v>Rochdale</v>
          </cell>
          <cell r="E14331" t="str">
            <v>Community School</v>
          </cell>
          <cell r="F14331" t="str">
            <v>Secondary</v>
          </cell>
        </row>
        <row r="14332">
          <cell r="A14332">
            <v>3542048</v>
          </cell>
          <cell r="B14332">
            <v>105792</v>
          </cell>
          <cell r="C14332" t="str">
            <v>Hollin Primary School</v>
          </cell>
          <cell r="D14332" t="str">
            <v>Rochdale</v>
          </cell>
          <cell r="E14332" t="str">
            <v>Community School</v>
          </cell>
          <cell r="F14332" t="str">
            <v>Primary</v>
          </cell>
        </row>
        <row r="14333">
          <cell r="A14333">
            <v>8862166</v>
          </cell>
          <cell r="B14333">
            <v>118292</v>
          </cell>
          <cell r="C14333" t="str">
            <v>Hollingbourne Primary School</v>
          </cell>
          <cell r="D14333" t="str">
            <v>Kent</v>
          </cell>
          <cell r="E14333" t="str">
            <v>Community School</v>
          </cell>
          <cell r="F14333" t="str">
            <v>Primary</v>
          </cell>
        </row>
        <row r="14334">
          <cell r="A14334">
            <v>8452126</v>
          </cell>
          <cell r="B14334">
            <v>114453</v>
          </cell>
          <cell r="C14334" t="str">
            <v>Hollington Infants' School</v>
          </cell>
          <cell r="D14334" t="str">
            <v>East Sussex</v>
          </cell>
          <cell r="E14334" t="str">
            <v>Community School</v>
          </cell>
          <cell r="F14334" t="str">
            <v>Primary</v>
          </cell>
        </row>
        <row r="14335">
          <cell r="A14335">
            <v>8452125</v>
          </cell>
          <cell r="B14335">
            <v>114452</v>
          </cell>
          <cell r="C14335" t="str">
            <v>Hollington Junior School</v>
          </cell>
          <cell r="D14335" t="str">
            <v>East Sussex</v>
          </cell>
          <cell r="E14335" t="str">
            <v>Community School</v>
          </cell>
          <cell r="F14335" t="str">
            <v>Primary</v>
          </cell>
        </row>
        <row r="14336">
          <cell r="A14336">
            <v>8452170</v>
          </cell>
          <cell r="B14336">
            <v>131155</v>
          </cell>
          <cell r="C14336" t="str">
            <v>Hollington Primary School</v>
          </cell>
          <cell r="D14336" t="str">
            <v>East Sussex</v>
          </cell>
          <cell r="E14336" t="str">
            <v>Community School</v>
          </cell>
          <cell r="F14336" t="str">
            <v>Primary</v>
          </cell>
        </row>
        <row r="14337">
          <cell r="A14337">
            <v>9226071</v>
          </cell>
          <cell r="B14337">
            <v>118961</v>
          </cell>
          <cell r="C14337" t="str">
            <v>Hollington School</v>
          </cell>
          <cell r="D14337" t="str">
            <v>Pre LGR (1998) Kent</v>
          </cell>
          <cell r="E14337" t="str">
            <v>Other Independent School</v>
          </cell>
          <cell r="F14337" t="str">
            <v>Not applicable</v>
          </cell>
        </row>
        <row r="14338">
          <cell r="A14338">
            <v>9102235</v>
          </cell>
          <cell r="B14338">
            <v>128619</v>
          </cell>
          <cell r="C14338" t="str">
            <v>Hollingwood Infant School</v>
          </cell>
          <cell r="D14338" t="str">
            <v>Pre LGR (1997) Derbyshire</v>
          </cell>
          <cell r="E14338" t="str">
            <v>Community School</v>
          </cell>
          <cell r="F14338" t="str">
            <v>Primary</v>
          </cell>
        </row>
        <row r="14339">
          <cell r="A14339">
            <v>9102234</v>
          </cell>
          <cell r="B14339">
            <v>128618</v>
          </cell>
          <cell r="C14339" t="str">
            <v>Hollingwood Junior School</v>
          </cell>
          <cell r="D14339" t="str">
            <v>Pre LGR (1997) Derbyshire</v>
          </cell>
          <cell r="E14339" t="str">
            <v>Community School</v>
          </cell>
          <cell r="F14339" t="str">
            <v>Primary</v>
          </cell>
        </row>
        <row r="14340">
          <cell r="A14340">
            <v>3805204</v>
          </cell>
          <cell r="B14340">
            <v>107435</v>
          </cell>
          <cell r="C14340" t="str">
            <v>Hollingwood Primary School</v>
          </cell>
          <cell r="D14340" t="str">
            <v>Bradford</v>
          </cell>
          <cell r="E14340" t="str">
            <v>Foundation School</v>
          </cell>
          <cell r="F14340" t="str">
            <v>Primary</v>
          </cell>
        </row>
        <row r="14341">
          <cell r="A14341">
            <v>8302631</v>
          </cell>
          <cell r="B14341">
            <v>112794</v>
          </cell>
          <cell r="C14341" t="str">
            <v>Hollingwood Primary School</v>
          </cell>
          <cell r="D14341" t="str">
            <v>Derbyshire</v>
          </cell>
          <cell r="E14341" t="str">
            <v>Community School</v>
          </cell>
          <cell r="F14341" t="str">
            <v>Primary</v>
          </cell>
        </row>
        <row r="14342">
          <cell r="A14342">
            <v>3545401</v>
          </cell>
          <cell r="B14342">
            <v>105853</v>
          </cell>
          <cell r="C14342" t="str">
            <v>Hollingworth Business and Enterprise College</v>
          </cell>
          <cell r="D14342" t="str">
            <v>Rochdale</v>
          </cell>
          <cell r="E14342" t="str">
            <v>Foundation School</v>
          </cell>
          <cell r="F14342" t="str">
            <v>Secondary</v>
          </cell>
        </row>
        <row r="14343">
          <cell r="A14343">
            <v>3546002</v>
          </cell>
          <cell r="B14343">
            <v>136132</v>
          </cell>
          <cell r="C14343" t="str">
            <v>Hollingworth Fold</v>
          </cell>
          <cell r="D14343" t="str">
            <v>Rochdale</v>
          </cell>
          <cell r="E14343" t="str">
            <v>Other Independent Special School</v>
          </cell>
          <cell r="F14343" t="str">
            <v>Not applicable</v>
          </cell>
        </row>
        <row r="14344">
          <cell r="A14344">
            <v>3572004</v>
          </cell>
          <cell r="B14344">
            <v>106179</v>
          </cell>
          <cell r="C14344" t="str">
            <v>Hollingworth Primary School</v>
          </cell>
          <cell r="D14344" t="str">
            <v>Tameside</v>
          </cell>
          <cell r="E14344" t="str">
            <v>Community School</v>
          </cell>
          <cell r="F14344" t="str">
            <v>Primary</v>
          </cell>
        </row>
        <row r="14345">
          <cell r="A14345">
            <v>8952159</v>
          </cell>
          <cell r="B14345">
            <v>111030</v>
          </cell>
          <cell r="C14345" t="str">
            <v>Hollinhey Primary School</v>
          </cell>
          <cell r="D14345" t="str">
            <v>Cheshire East</v>
          </cell>
          <cell r="E14345" t="str">
            <v>Community School</v>
          </cell>
          <cell r="F14345" t="str">
            <v>Primary</v>
          </cell>
        </row>
        <row r="14346">
          <cell r="A14346">
            <v>3592060</v>
          </cell>
          <cell r="B14346">
            <v>106435</v>
          </cell>
          <cell r="C14346" t="str">
            <v>Hollins Community Primary School</v>
          </cell>
          <cell r="D14346" t="str">
            <v>Wigan</v>
          </cell>
          <cell r="E14346" t="str">
            <v>Community School</v>
          </cell>
          <cell r="F14346" t="str">
            <v>Primary</v>
          </cell>
        </row>
        <row r="14347">
          <cell r="A14347">
            <v>8773602</v>
          </cell>
          <cell r="B14347">
            <v>111364</v>
          </cell>
          <cell r="C14347" t="str">
            <v>Hollins Green St Helen's CofE (Aided) Primary School</v>
          </cell>
          <cell r="D14347" t="str">
            <v>Warrington</v>
          </cell>
          <cell r="E14347" t="str">
            <v>Voluntary Aided School</v>
          </cell>
          <cell r="F14347" t="str">
            <v>Primary</v>
          </cell>
        </row>
        <row r="14348">
          <cell r="A14348">
            <v>3512046</v>
          </cell>
          <cell r="B14348">
            <v>105314</v>
          </cell>
          <cell r="C14348" t="str">
            <v>Hollins Grundy Primary School</v>
          </cell>
          <cell r="D14348" t="str">
            <v>Bury</v>
          </cell>
          <cell r="E14348" t="str">
            <v>Community School</v>
          </cell>
          <cell r="F14348" t="str">
            <v>Primary</v>
          </cell>
        </row>
        <row r="14349">
          <cell r="A14349">
            <v>3571002</v>
          </cell>
          <cell r="B14349">
            <v>127525</v>
          </cell>
          <cell r="C14349" t="str">
            <v>Hollins Nursery School</v>
          </cell>
          <cell r="D14349" t="str">
            <v>Tameside</v>
          </cell>
          <cell r="E14349" t="str">
            <v>LA Nursery School</v>
          </cell>
          <cell r="F14349" t="str">
            <v>Nursery</v>
          </cell>
        </row>
        <row r="14350">
          <cell r="A14350">
            <v>8605200</v>
          </cell>
          <cell r="B14350">
            <v>124462</v>
          </cell>
          <cell r="C14350" t="str">
            <v>Hollinsclough CofE (VA) Primary School</v>
          </cell>
          <cell r="D14350" t="str">
            <v>Staffordshire</v>
          </cell>
          <cell r="E14350" t="str">
            <v>Voluntary Aided School</v>
          </cell>
          <cell r="F14350" t="str">
            <v>Primary</v>
          </cell>
        </row>
        <row r="14351">
          <cell r="A14351">
            <v>9324433</v>
          </cell>
          <cell r="B14351">
            <v>129812</v>
          </cell>
          <cell r="C14351" t="str">
            <v>Hollinswood County Middle School</v>
          </cell>
          <cell r="D14351" t="str">
            <v>Pre LGR (1998) Shropshire</v>
          </cell>
          <cell r="E14351" t="str">
            <v>Community School</v>
          </cell>
          <cell r="F14351" t="str">
            <v>Middle Deemed Secondary</v>
          </cell>
        </row>
        <row r="14352">
          <cell r="A14352">
            <v>8942161</v>
          </cell>
          <cell r="B14352">
            <v>123436</v>
          </cell>
          <cell r="C14352" t="str">
            <v>Hollinswood Infant and Nursery School</v>
          </cell>
          <cell r="D14352" t="str">
            <v>Telford and Wrekin</v>
          </cell>
          <cell r="E14352" t="str">
            <v>Community School</v>
          </cell>
          <cell r="F14352" t="str">
            <v>Primary</v>
          </cell>
        </row>
        <row r="14353">
          <cell r="A14353">
            <v>8942200</v>
          </cell>
          <cell r="B14353">
            <v>123456</v>
          </cell>
          <cell r="C14353" t="str">
            <v>Hollinswood Junior School</v>
          </cell>
          <cell r="D14353" t="str">
            <v>Telford and Wrekin</v>
          </cell>
          <cell r="E14353" t="str">
            <v>Community School</v>
          </cell>
          <cell r="F14353" t="str">
            <v>Primary</v>
          </cell>
        </row>
        <row r="14354">
          <cell r="A14354">
            <v>2064112</v>
          </cell>
          <cell r="B14354">
            <v>100453</v>
          </cell>
          <cell r="C14354" t="str">
            <v>Holloway School</v>
          </cell>
          <cell r="D14354" t="str">
            <v>Islington</v>
          </cell>
          <cell r="E14354" t="str">
            <v>Community School</v>
          </cell>
          <cell r="F14354" t="str">
            <v>Secondary</v>
          </cell>
        </row>
        <row r="14355">
          <cell r="A14355">
            <v>9066004</v>
          </cell>
          <cell r="B14355">
            <v>128477</v>
          </cell>
          <cell r="C14355" t="str">
            <v>Holly Bank School</v>
          </cell>
          <cell r="D14355" t="str">
            <v>Pre LGR (1998) Cheshire</v>
          </cell>
          <cell r="E14355" t="str">
            <v>Other Independent School</v>
          </cell>
          <cell r="F14355" t="str">
            <v>Not applicable</v>
          </cell>
        </row>
        <row r="14356">
          <cell r="A14356">
            <v>2027102</v>
          </cell>
          <cell r="B14356">
            <v>126574</v>
          </cell>
          <cell r="C14356" t="str">
            <v>Holly Court School</v>
          </cell>
          <cell r="D14356" t="str">
            <v>Camden</v>
          </cell>
          <cell r="E14356" t="str">
            <v>Community Special School</v>
          </cell>
          <cell r="F14356" t="str">
            <v>Special</v>
          </cell>
        </row>
        <row r="14357">
          <cell r="A14357">
            <v>9342364</v>
          </cell>
          <cell r="B14357">
            <v>129903</v>
          </cell>
          <cell r="C14357" t="str">
            <v>Holly Grove First School</v>
          </cell>
          <cell r="D14357" t="str">
            <v>Pre LGR (1997) Staffordshire</v>
          </cell>
          <cell r="E14357" t="str">
            <v>Community School</v>
          </cell>
          <cell r="F14357" t="str">
            <v>Primary</v>
          </cell>
        </row>
        <row r="14358">
          <cell r="A14358">
            <v>8602416</v>
          </cell>
          <cell r="B14358">
            <v>124212</v>
          </cell>
          <cell r="C14358" t="str">
            <v>Holly Grove Primary School</v>
          </cell>
          <cell r="D14358" t="str">
            <v>Staffordshire</v>
          </cell>
          <cell r="E14358" t="str">
            <v>Community School</v>
          </cell>
          <cell r="F14358" t="str">
            <v>Primary</v>
          </cell>
        </row>
        <row r="14359">
          <cell r="A14359">
            <v>8887114</v>
          </cell>
          <cell r="B14359">
            <v>135014</v>
          </cell>
          <cell r="C14359" t="str">
            <v>Holly Grove School</v>
          </cell>
          <cell r="D14359" t="str">
            <v>Lancashire</v>
          </cell>
          <cell r="E14359" t="str">
            <v>Community Special School</v>
          </cell>
          <cell r="F14359" t="str">
            <v>Special</v>
          </cell>
        </row>
        <row r="14360">
          <cell r="A14360">
            <v>3325405</v>
          </cell>
          <cell r="B14360">
            <v>103875</v>
          </cell>
          <cell r="C14360" t="str">
            <v>Holly Hall Maths and Computing College</v>
          </cell>
          <cell r="D14360" t="str">
            <v>Dudley</v>
          </cell>
          <cell r="E14360" t="str">
            <v>Foundation School</v>
          </cell>
          <cell r="F14360" t="str">
            <v>Secondary</v>
          </cell>
        </row>
        <row r="14361">
          <cell r="A14361">
            <v>3325405</v>
          </cell>
          <cell r="B14361">
            <v>137390</v>
          </cell>
          <cell r="C14361" t="str">
            <v>Holly Hall Maths and Computing College</v>
          </cell>
          <cell r="D14361" t="str">
            <v>Dudley</v>
          </cell>
          <cell r="E14361" t="str">
            <v>Academy Converters</v>
          </cell>
          <cell r="F14361" t="str">
            <v>Secondary</v>
          </cell>
        </row>
        <row r="14362">
          <cell r="A14362">
            <v>3303411</v>
          </cell>
          <cell r="B14362">
            <v>103479</v>
          </cell>
          <cell r="C14362" t="str">
            <v>Holly Hill Methodist CofE Infant School</v>
          </cell>
          <cell r="D14362" t="str">
            <v>Birmingham</v>
          </cell>
          <cell r="E14362" t="str">
            <v>Voluntary Aided School</v>
          </cell>
          <cell r="F14362" t="str">
            <v>Primary</v>
          </cell>
        </row>
        <row r="14363">
          <cell r="A14363">
            <v>8912440</v>
          </cell>
          <cell r="B14363">
            <v>122579</v>
          </cell>
          <cell r="C14363" t="str">
            <v>Holly Hill Primary and Nursery School</v>
          </cell>
          <cell r="D14363" t="str">
            <v>Nottinghamshire</v>
          </cell>
          <cell r="E14363" t="str">
            <v>Community School</v>
          </cell>
          <cell r="F14363" t="str">
            <v>Primary</v>
          </cell>
        </row>
        <row r="14364">
          <cell r="A14364">
            <v>8301103</v>
          </cell>
          <cell r="B14364">
            <v>112489</v>
          </cell>
          <cell r="C14364" t="str">
            <v>Holly House</v>
          </cell>
          <cell r="D14364" t="str">
            <v>Derbyshire</v>
          </cell>
          <cell r="E14364" t="str">
            <v>Pupil Referral Unit</v>
          </cell>
          <cell r="F14364" t="str">
            <v>PRU</v>
          </cell>
        </row>
        <row r="14365">
          <cell r="A14365">
            <v>8316008</v>
          </cell>
          <cell r="B14365">
            <v>125493</v>
          </cell>
          <cell r="C14365" t="str">
            <v>Holly House</v>
          </cell>
          <cell r="D14365" t="str">
            <v>Derby</v>
          </cell>
          <cell r="E14365" t="str">
            <v>Other Independent Special School</v>
          </cell>
          <cell r="F14365" t="str">
            <v>Not applicable</v>
          </cell>
        </row>
        <row r="14366">
          <cell r="A14366">
            <v>9107800</v>
          </cell>
          <cell r="B14366">
            <v>132880</v>
          </cell>
          <cell r="C14366" t="str">
            <v>Holly House</v>
          </cell>
          <cell r="D14366" t="str">
            <v>Pre LGR (1997) Derbyshire</v>
          </cell>
          <cell r="E14366" t="str">
            <v>Miscellaneous</v>
          </cell>
          <cell r="F14366" t="str">
            <v>Not applicable</v>
          </cell>
        </row>
        <row r="14367">
          <cell r="A14367">
            <v>9146159</v>
          </cell>
          <cell r="B14367">
            <v>128869</v>
          </cell>
          <cell r="C14367" t="str">
            <v>Holly House School</v>
          </cell>
          <cell r="D14367" t="str">
            <v>Pre LGR (1997) East Sussex</v>
          </cell>
          <cell r="E14367" t="str">
            <v>Other Independent School</v>
          </cell>
          <cell r="F14367" t="str">
            <v>Not applicable</v>
          </cell>
        </row>
        <row r="14368">
          <cell r="A14368">
            <v>8307000</v>
          </cell>
          <cell r="B14368">
            <v>131322</v>
          </cell>
          <cell r="C14368" t="str">
            <v>Holly House Special School</v>
          </cell>
          <cell r="D14368" t="str">
            <v>Derbyshire</v>
          </cell>
          <cell r="E14368" t="str">
            <v>Community Special School</v>
          </cell>
          <cell r="F14368" t="str">
            <v>Special</v>
          </cell>
        </row>
        <row r="14369">
          <cell r="A14369">
            <v>3334138</v>
          </cell>
          <cell r="B14369">
            <v>104018</v>
          </cell>
          <cell r="C14369" t="str">
            <v>Holly Lodge Foundation High School College of Science</v>
          </cell>
          <cell r="D14369" t="str">
            <v>Sandwell</v>
          </cell>
          <cell r="E14369" t="str">
            <v>Foundation School</v>
          </cell>
          <cell r="F14369" t="str">
            <v>Secondary</v>
          </cell>
        </row>
        <row r="14370">
          <cell r="A14370">
            <v>3414404</v>
          </cell>
          <cell r="B14370">
            <v>104688</v>
          </cell>
          <cell r="C14370" t="str">
            <v>Holly Lodge Girls' College</v>
          </cell>
          <cell r="D14370" t="str">
            <v>Liverpool</v>
          </cell>
          <cell r="E14370" t="str">
            <v>Community School</v>
          </cell>
          <cell r="F14370" t="str">
            <v>Secondary</v>
          </cell>
        </row>
        <row r="14371">
          <cell r="A14371">
            <v>3334106</v>
          </cell>
          <cell r="B14371">
            <v>127168</v>
          </cell>
          <cell r="C14371" t="str">
            <v>Holly Lodge High School</v>
          </cell>
          <cell r="D14371" t="str">
            <v>Sandwell</v>
          </cell>
          <cell r="E14371" t="str">
            <v>Community School</v>
          </cell>
          <cell r="F14371" t="str">
            <v>Secondary</v>
          </cell>
        </row>
        <row r="14372">
          <cell r="A14372">
            <v>9362403</v>
          </cell>
          <cell r="B14372">
            <v>125046</v>
          </cell>
          <cell r="C14372" t="str">
            <v>Holly Lodge Primary School</v>
          </cell>
          <cell r="D14372" t="str">
            <v>Surrey</v>
          </cell>
          <cell r="E14372" t="str">
            <v>Community School</v>
          </cell>
          <cell r="F14372" t="str">
            <v>Primary</v>
          </cell>
        </row>
        <row r="14373">
          <cell r="A14373">
            <v>9263433</v>
          </cell>
          <cell r="B14373">
            <v>136536</v>
          </cell>
          <cell r="C14373" t="str">
            <v>Holly Meadows School</v>
          </cell>
          <cell r="D14373" t="str">
            <v>Norfolk</v>
          </cell>
          <cell r="E14373" t="str">
            <v>Community School</v>
          </cell>
          <cell r="F14373" t="str">
            <v>Primary</v>
          </cell>
        </row>
        <row r="14374">
          <cell r="A14374">
            <v>3513336</v>
          </cell>
          <cell r="B14374">
            <v>105344</v>
          </cell>
          <cell r="C14374" t="str">
            <v>Holly Mount Roman Catholic Primary School, Bury</v>
          </cell>
          <cell r="D14374" t="str">
            <v>Bury</v>
          </cell>
          <cell r="E14374" t="str">
            <v>Voluntary Aided School</v>
          </cell>
          <cell r="F14374" t="str">
            <v>Primary</v>
          </cell>
        </row>
        <row r="14375">
          <cell r="A14375">
            <v>2066376</v>
          </cell>
          <cell r="B14375">
            <v>100465</v>
          </cell>
          <cell r="C14375" t="str">
            <v>Holly Park Montessori School</v>
          </cell>
          <cell r="D14375" t="str">
            <v>Islington</v>
          </cell>
          <cell r="E14375" t="str">
            <v>Other Independent School</v>
          </cell>
          <cell r="F14375" t="str">
            <v>Not applicable</v>
          </cell>
        </row>
        <row r="14376">
          <cell r="A14376">
            <v>3022032</v>
          </cell>
          <cell r="B14376">
            <v>101286</v>
          </cell>
          <cell r="C14376" t="str">
            <v>Holly Park Primary School</v>
          </cell>
          <cell r="D14376" t="str">
            <v>Barnet</v>
          </cell>
          <cell r="E14376" t="str">
            <v>Community School</v>
          </cell>
          <cell r="F14376" t="str">
            <v>Primary</v>
          </cell>
        </row>
        <row r="14377">
          <cell r="A14377">
            <v>8912923</v>
          </cell>
          <cell r="B14377">
            <v>122727</v>
          </cell>
          <cell r="C14377" t="str">
            <v>Holly Primary School</v>
          </cell>
          <cell r="D14377" t="str">
            <v>Nottinghamshire</v>
          </cell>
          <cell r="E14377" t="str">
            <v>Community School</v>
          </cell>
          <cell r="F14377" t="str">
            <v>Primary</v>
          </cell>
        </row>
        <row r="14378">
          <cell r="A14378">
            <v>8672060</v>
          </cell>
          <cell r="B14378">
            <v>109807</v>
          </cell>
          <cell r="C14378" t="str">
            <v>Holly Spring Infant and Nursery School</v>
          </cell>
          <cell r="D14378" t="str">
            <v>Bracknell Forest</v>
          </cell>
          <cell r="E14378" t="str">
            <v>Community School</v>
          </cell>
          <cell r="F14378" t="str">
            <v>Primary</v>
          </cell>
        </row>
        <row r="14379">
          <cell r="A14379">
            <v>8672059</v>
          </cell>
          <cell r="B14379">
            <v>109806</v>
          </cell>
          <cell r="C14379" t="str">
            <v>Holly Spring Junior School</v>
          </cell>
          <cell r="D14379" t="str">
            <v>Bracknell Forest</v>
          </cell>
          <cell r="E14379" t="str">
            <v>Community School</v>
          </cell>
          <cell r="F14379" t="str">
            <v>Primary</v>
          </cell>
        </row>
        <row r="14380">
          <cell r="A14380">
            <v>8812102</v>
          </cell>
          <cell r="B14380">
            <v>114776</v>
          </cell>
          <cell r="C14380" t="str">
            <v>Holly Trees Infant School</v>
          </cell>
          <cell r="D14380" t="str">
            <v>Essex</v>
          </cell>
          <cell r="E14380" t="str">
            <v>Community School</v>
          </cell>
          <cell r="F14380" t="str">
            <v>Primary</v>
          </cell>
        </row>
        <row r="14381">
          <cell r="A14381">
            <v>8812122</v>
          </cell>
          <cell r="B14381">
            <v>114785</v>
          </cell>
          <cell r="C14381" t="str">
            <v>Holly Trees Junior School</v>
          </cell>
          <cell r="D14381" t="str">
            <v>Essex</v>
          </cell>
          <cell r="E14381" t="str">
            <v>Community School</v>
          </cell>
          <cell r="F14381" t="str">
            <v>Primary</v>
          </cell>
        </row>
        <row r="14382">
          <cell r="A14382">
            <v>8812013</v>
          </cell>
          <cell r="B14382">
            <v>132142</v>
          </cell>
          <cell r="C14382" t="str">
            <v>Holly Trees Primary School</v>
          </cell>
          <cell r="D14382" t="str">
            <v>Essex</v>
          </cell>
          <cell r="E14382" t="str">
            <v>Community School</v>
          </cell>
          <cell r="F14382" t="str">
            <v>Primary</v>
          </cell>
        </row>
        <row r="14383">
          <cell r="A14383">
            <v>3827000</v>
          </cell>
          <cell r="B14383">
            <v>107796</v>
          </cell>
          <cell r="C14383" t="str">
            <v>Hollybank School</v>
          </cell>
          <cell r="D14383" t="str">
            <v>Kirklees</v>
          </cell>
          <cell r="E14383" t="str">
            <v>Non-Maintained Special School</v>
          </cell>
          <cell r="F14383" t="str">
            <v>Special</v>
          </cell>
        </row>
        <row r="14384">
          <cell r="A14384">
            <v>8522458</v>
          </cell>
          <cell r="B14384">
            <v>116129</v>
          </cell>
          <cell r="C14384" t="str">
            <v>Hollybrook Infant School</v>
          </cell>
          <cell r="D14384" t="str">
            <v>Southampton</v>
          </cell>
          <cell r="E14384" t="str">
            <v>Foundation School</v>
          </cell>
          <cell r="F14384" t="str">
            <v>Primary</v>
          </cell>
        </row>
        <row r="14385">
          <cell r="A14385">
            <v>8522459</v>
          </cell>
          <cell r="B14385">
            <v>116130</v>
          </cell>
          <cell r="C14385" t="str">
            <v>Hollybrook Junior School</v>
          </cell>
          <cell r="D14385" t="str">
            <v>Southampton</v>
          </cell>
          <cell r="E14385" t="str">
            <v>Foundation School</v>
          </cell>
          <cell r="F14385" t="str">
            <v>Primary</v>
          </cell>
        </row>
        <row r="14386">
          <cell r="A14386">
            <v>3833922</v>
          </cell>
          <cell r="B14386">
            <v>134513</v>
          </cell>
          <cell r="C14386" t="str">
            <v>Hollybush Primary</v>
          </cell>
          <cell r="D14386" t="str">
            <v>Leeds</v>
          </cell>
          <cell r="E14386" t="str">
            <v>Community School</v>
          </cell>
          <cell r="F14386" t="str">
            <v>Primary</v>
          </cell>
        </row>
        <row r="14387">
          <cell r="A14387">
            <v>9192304</v>
          </cell>
          <cell r="B14387">
            <v>117263</v>
          </cell>
          <cell r="C14387" t="str">
            <v>Hollybush Primary School</v>
          </cell>
          <cell r="D14387" t="str">
            <v>Hertfordshire</v>
          </cell>
          <cell r="E14387" t="str">
            <v>Community School</v>
          </cell>
          <cell r="F14387" t="str">
            <v>Primary</v>
          </cell>
        </row>
        <row r="14388">
          <cell r="A14388">
            <v>6782271</v>
          </cell>
          <cell r="B14388">
            <v>401443</v>
          </cell>
          <cell r="C14388" t="str">
            <v>Hollybush Primary School</v>
          </cell>
          <cell r="D14388" t="str">
            <v>Torfaen</v>
          </cell>
          <cell r="E14388" t="str">
            <v>Welsh Establishment</v>
          </cell>
          <cell r="F14388" t="str">
            <v>Primary</v>
          </cell>
        </row>
        <row r="14389">
          <cell r="A14389">
            <v>9382030</v>
          </cell>
          <cell r="B14389">
            <v>125832</v>
          </cell>
          <cell r="C14389" t="str">
            <v>Hollycombe Primary School</v>
          </cell>
          <cell r="D14389" t="str">
            <v>West Sussex</v>
          </cell>
          <cell r="E14389" t="str">
            <v>Community School</v>
          </cell>
          <cell r="F14389" t="str">
            <v>Primary</v>
          </cell>
        </row>
        <row r="14390">
          <cell r="A14390">
            <v>2102308</v>
          </cell>
          <cell r="B14390">
            <v>100794</v>
          </cell>
          <cell r="C14390" t="str">
            <v>Hollydale Primary School</v>
          </cell>
          <cell r="D14390" t="str">
            <v>Southwark</v>
          </cell>
          <cell r="E14390" t="str">
            <v>Community School</v>
          </cell>
          <cell r="F14390" t="str">
            <v>Primary</v>
          </cell>
        </row>
        <row r="14391">
          <cell r="A14391">
            <v>3312008</v>
          </cell>
          <cell r="B14391">
            <v>103639</v>
          </cell>
          <cell r="C14391" t="str">
            <v>Hollyfast Primary School</v>
          </cell>
          <cell r="D14391" t="str">
            <v>Coventry</v>
          </cell>
          <cell r="E14391" t="str">
            <v>Community School</v>
          </cell>
          <cell r="F14391" t="str">
            <v>Primary</v>
          </cell>
        </row>
        <row r="14392">
          <cell r="A14392">
            <v>3302407</v>
          </cell>
          <cell r="B14392">
            <v>103346</v>
          </cell>
          <cell r="C14392" t="str">
            <v>Hollyfield Infant School</v>
          </cell>
          <cell r="D14392" t="str">
            <v>Birmingham</v>
          </cell>
          <cell r="E14392" t="str">
            <v>Community School</v>
          </cell>
          <cell r="F14392" t="str">
            <v>Primary</v>
          </cell>
        </row>
        <row r="14393">
          <cell r="A14393">
            <v>3302403</v>
          </cell>
          <cell r="B14393">
            <v>103343</v>
          </cell>
          <cell r="C14393" t="str">
            <v>Hollyfield Junior School</v>
          </cell>
          <cell r="D14393" t="str">
            <v>Birmingham</v>
          </cell>
          <cell r="E14393" t="str">
            <v>Community School</v>
          </cell>
          <cell r="F14393" t="str">
            <v>Primary</v>
          </cell>
        </row>
        <row r="14394">
          <cell r="A14394">
            <v>3302474</v>
          </cell>
          <cell r="B14394">
            <v>131672</v>
          </cell>
          <cell r="C14394" t="str">
            <v>Hollyfield Primary School</v>
          </cell>
          <cell r="D14394" t="str">
            <v>Birmingham</v>
          </cell>
          <cell r="E14394" t="str">
            <v>Community School</v>
          </cell>
          <cell r="F14394" t="str">
            <v>Primary</v>
          </cell>
        </row>
        <row r="14395">
          <cell r="A14395">
            <v>8356037</v>
          </cell>
          <cell r="B14395">
            <v>135395</v>
          </cell>
          <cell r="C14395" t="str">
            <v>Hollyfields School</v>
          </cell>
          <cell r="D14395" t="str">
            <v>Dorset</v>
          </cell>
          <cell r="E14395" t="str">
            <v>Other Independent School</v>
          </cell>
          <cell r="F14395" t="str">
            <v>Not applicable</v>
          </cell>
        </row>
        <row r="14396">
          <cell r="A14396">
            <v>3847049</v>
          </cell>
          <cell r="B14396">
            <v>108317</v>
          </cell>
          <cell r="C14396" t="str">
            <v>Hollygarth School</v>
          </cell>
          <cell r="D14396" t="str">
            <v>Wakefield</v>
          </cell>
          <cell r="E14396" t="str">
            <v>Community Special School</v>
          </cell>
          <cell r="F14396" t="str">
            <v>Special</v>
          </cell>
        </row>
        <row r="14397">
          <cell r="A14397">
            <v>8926001</v>
          </cell>
          <cell r="B14397">
            <v>122912</v>
          </cell>
          <cell r="C14397" t="str">
            <v>Hollygirt School</v>
          </cell>
          <cell r="D14397" t="str">
            <v>Nottingham</v>
          </cell>
          <cell r="E14397" t="str">
            <v>Other Independent School</v>
          </cell>
          <cell r="F14397" t="str">
            <v>Not applicable</v>
          </cell>
        </row>
        <row r="14398">
          <cell r="A14398">
            <v>3332039</v>
          </cell>
          <cell r="B14398">
            <v>103904</v>
          </cell>
          <cell r="C14398" t="str">
            <v>Hollyhedge Primary School</v>
          </cell>
          <cell r="D14398" t="str">
            <v>Sandwell</v>
          </cell>
          <cell r="E14398" t="str">
            <v>Community School</v>
          </cell>
          <cell r="F14398" t="str">
            <v>Primary</v>
          </cell>
        </row>
        <row r="14399">
          <cell r="A14399">
            <v>3152061</v>
          </cell>
          <cell r="B14399">
            <v>102633</v>
          </cell>
          <cell r="C14399" t="str">
            <v>Hollymount School</v>
          </cell>
          <cell r="D14399" t="str">
            <v>Merton</v>
          </cell>
          <cell r="E14399" t="str">
            <v>Community School</v>
          </cell>
          <cell r="F14399" t="str">
            <v>Primary</v>
          </cell>
        </row>
        <row r="14400">
          <cell r="A14400">
            <v>8936095</v>
          </cell>
          <cell r="B14400">
            <v>131533</v>
          </cell>
          <cell r="C14400" t="str">
            <v>Hollyoaks</v>
          </cell>
          <cell r="D14400" t="str">
            <v>Shropshire</v>
          </cell>
          <cell r="E14400" t="str">
            <v>Other Independent Special School</v>
          </cell>
          <cell r="F14400" t="str">
            <v>Not applicable</v>
          </cell>
        </row>
        <row r="14401">
          <cell r="A14401">
            <v>8612011</v>
          </cell>
          <cell r="B14401">
            <v>123978</v>
          </cell>
          <cell r="C14401" t="str">
            <v>Hollywall Primary School</v>
          </cell>
          <cell r="D14401" t="str">
            <v>Stoke-on-Trent</v>
          </cell>
          <cell r="E14401" t="str">
            <v>Community School</v>
          </cell>
          <cell r="F14401" t="str">
            <v>Primary</v>
          </cell>
        </row>
        <row r="14402">
          <cell r="A14402">
            <v>8507079</v>
          </cell>
          <cell r="B14402">
            <v>131068</v>
          </cell>
          <cell r="C14402" t="str">
            <v>Hollywater School</v>
          </cell>
          <cell r="D14402" t="str">
            <v>Hampshire</v>
          </cell>
          <cell r="E14402" t="str">
            <v>Community Special School</v>
          </cell>
          <cell r="F14402" t="str">
            <v>Special</v>
          </cell>
        </row>
        <row r="14403">
          <cell r="A14403">
            <v>8912910</v>
          </cell>
          <cell r="B14403">
            <v>122714</v>
          </cell>
          <cell r="C14403" t="str">
            <v>Hollywell Primary School</v>
          </cell>
          <cell r="D14403" t="str">
            <v>Nottinghamshire</v>
          </cell>
          <cell r="E14403" t="str">
            <v>Community School</v>
          </cell>
          <cell r="F14403" t="str">
            <v>Primary</v>
          </cell>
        </row>
        <row r="14404">
          <cell r="A14404">
            <v>3561002</v>
          </cell>
          <cell r="B14404">
            <v>106015</v>
          </cell>
          <cell r="C14404" t="str">
            <v>Hollywood Park Combined Nursery Centre</v>
          </cell>
          <cell r="D14404" t="str">
            <v>Stockport</v>
          </cell>
          <cell r="E14404" t="str">
            <v>LA Nursery School</v>
          </cell>
          <cell r="F14404" t="str">
            <v>Nursery</v>
          </cell>
        </row>
        <row r="14405">
          <cell r="A14405">
            <v>3302288</v>
          </cell>
          <cell r="B14405">
            <v>103314</v>
          </cell>
          <cell r="C14405" t="str">
            <v>Hollywood Primary School</v>
          </cell>
          <cell r="D14405" t="str">
            <v>Birmingham</v>
          </cell>
          <cell r="E14405" t="str">
            <v>Community School</v>
          </cell>
          <cell r="F14405" t="str">
            <v>Primary</v>
          </cell>
        </row>
        <row r="14406">
          <cell r="A14406">
            <v>9182076</v>
          </cell>
          <cell r="B14406">
            <v>129075</v>
          </cell>
          <cell r="C14406" t="str">
            <v>Hollywood Shawhurst Infant School</v>
          </cell>
          <cell r="D14406" t="str">
            <v>Pre LGR (1998) Hereford &amp; Worcester</v>
          </cell>
          <cell r="E14406" t="str">
            <v>Community School</v>
          </cell>
          <cell r="F14406" t="str">
            <v>Primary</v>
          </cell>
        </row>
        <row r="14407">
          <cell r="A14407">
            <v>8852915</v>
          </cell>
          <cell r="B14407">
            <v>116777</v>
          </cell>
          <cell r="C14407" t="str">
            <v>Hollywood, the Coppice Primary School</v>
          </cell>
          <cell r="D14407" t="str">
            <v>Worcestershire</v>
          </cell>
          <cell r="E14407" t="str">
            <v>Community School</v>
          </cell>
          <cell r="F14407" t="str">
            <v>Primary</v>
          </cell>
        </row>
        <row r="14408">
          <cell r="A14408">
            <v>9093014</v>
          </cell>
          <cell r="B14408">
            <v>112249</v>
          </cell>
          <cell r="C14408" t="str">
            <v>Holm Cultram Abbey CofE School</v>
          </cell>
          <cell r="D14408" t="str">
            <v>Cumbria</v>
          </cell>
          <cell r="E14408" t="str">
            <v>Voluntary Controlled School</v>
          </cell>
          <cell r="F14408" t="str">
            <v>Primary</v>
          </cell>
        </row>
        <row r="14409">
          <cell r="A14409">
            <v>9382166</v>
          </cell>
          <cell r="B14409">
            <v>125908</v>
          </cell>
          <cell r="C14409" t="str">
            <v>Holmbush Primary School</v>
          </cell>
          <cell r="D14409" t="str">
            <v>West Sussex</v>
          </cell>
          <cell r="E14409" t="str">
            <v>Community School</v>
          </cell>
          <cell r="F14409" t="str">
            <v>Primary</v>
          </cell>
        </row>
        <row r="14410">
          <cell r="A14410">
            <v>9344161</v>
          </cell>
          <cell r="B14410">
            <v>129943</v>
          </cell>
          <cell r="C14410" t="str">
            <v>Holmcroft Middle School</v>
          </cell>
          <cell r="D14410" t="str">
            <v>Pre LGR (1997) Staffordshire</v>
          </cell>
          <cell r="E14410" t="str">
            <v>Community School</v>
          </cell>
          <cell r="F14410" t="str">
            <v>Middle Deemed Secondary</v>
          </cell>
        </row>
        <row r="14411">
          <cell r="A14411">
            <v>8733070</v>
          </cell>
          <cell r="B14411">
            <v>110816</v>
          </cell>
          <cell r="C14411" t="str">
            <v>Holme CofE Primary School</v>
          </cell>
          <cell r="D14411" t="str">
            <v>Cambridgeshire</v>
          </cell>
          <cell r="E14411" t="str">
            <v>Voluntary Controlled School</v>
          </cell>
          <cell r="F14411" t="str">
            <v>Primary</v>
          </cell>
        </row>
        <row r="14412">
          <cell r="A14412">
            <v>8736051</v>
          </cell>
          <cell r="B14412">
            <v>108886</v>
          </cell>
          <cell r="C14412" t="str">
            <v>Holme Court School</v>
          </cell>
          <cell r="D14412" t="str">
            <v>Cambridgeshire</v>
          </cell>
          <cell r="E14412" t="str">
            <v>Other Independent Special School</v>
          </cell>
          <cell r="F14412" t="str">
            <v>Not applicable</v>
          </cell>
        </row>
        <row r="14413">
          <cell r="A14413">
            <v>8726004</v>
          </cell>
          <cell r="B14413">
            <v>110148</v>
          </cell>
          <cell r="C14413" t="str">
            <v>Holme Grange School</v>
          </cell>
          <cell r="D14413" t="str">
            <v>Wokingham</v>
          </cell>
          <cell r="E14413" t="str">
            <v>Other Independent School</v>
          </cell>
          <cell r="F14413" t="str">
            <v>Not applicable</v>
          </cell>
        </row>
        <row r="14414">
          <cell r="A14414">
            <v>8302510</v>
          </cell>
          <cell r="B14414">
            <v>112772</v>
          </cell>
          <cell r="C14414" t="str">
            <v>Holme Hall Primary School</v>
          </cell>
          <cell r="D14414" t="str">
            <v>Derbyshire</v>
          </cell>
          <cell r="E14414" t="str">
            <v>Community School</v>
          </cell>
          <cell r="F14414" t="str">
            <v>Primary</v>
          </cell>
        </row>
        <row r="14415">
          <cell r="A14415">
            <v>3822089</v>
          </cell>
          <cell r="B14415">
            <v>107659</v>
          </cell>
          <cell r="C14415" t="str">
            <v>Holme Junior and Infant School</v>
          </cell>
          <cell r="D14415" t="str">
            <v>Kirklees</v>
          </cell>
          <cell r="E14415" t="str">
            <v>Community School</v>
          </cell>
          <cell r="F14415" t="str">
            <v>Primary</v>
          </cell>
        </row>
        <row r="14416">
          <cell r="A14416">
            <v>8848350</v>
          </cell>
          <cell r="B14416">
            <v>130716</v>
          </cell>
          <cell r="C14416" t="str">
            <v>Holme Lacy College</v>
          </cell>
          <cell r="D14416" t="str">
            <v>Herefordshire</v>
          </cell>
          <cell r="E14416" t="str">
            <v>Further Education</v>
          </cell>
          <cell r="F14416" t="str">
            <v>16 Plus</v>
          </cell>
        </row>
        <row r="14417">
          <cell r="A14417">
            <v>8842077</v>
          </cell>
          <cell r="B14417">
            <v>116687</v>
          </cell>
          <cell r="C14417" t="str">
            <v>Holme Lacy Primary School</v>
          </cell>
          <cell r="D14417" t="str">
            <v>Herefordshire</v>
          </cell>
          <cell r="E14417" t="str">
            <v>Community School</v>
          </cell>
          <cell r="F14417" t="str">
            <v>Primary</v>
          </cell>
        </row>
        <row r="14418">
          <cell r="A14418">
            <v>3804070</v>
          </cell>
          <cell r="B14418">
            <v>107392</v>
          </cell>
          <cell r="C14418" t="str">
            <v>Holme Middle School</v>
          </cell>
          <cell r="D14418" t="str">
            <v>Bradford</v>
          </cell>
          <cell r="E14418" t="str">
            <v>Community School</v>
          </cell>
          <cell r="F14418" t="str">
            <v>Middle Deemed Secondary</v>
          </cell>
        </row>
        <row r="14419">
          <cell r="A14419">
            <v>9096012</v>
          </cell>
          <cell r="B14419">
            <v>112448</v>
          </cell>
          <cell r="C14419" t="str">
            <v>Holme Park School</v>
          </cell>
          <cell r="D14419" t="str">
            <v>Cumbria</v>
          </cell>
          <cell r="E14419" t="str">
            <v>Other Independent School</v>
          </cell>
          <cell r="F14419" t="str">
            <v>Not applicable</v>
          </cell>
        </row>
        <row r="14420">
          <cell r="A14420">
            <v>9146107</v>
          </cell>
          <cell r="B14420">
            <v>128857</v>
          </cell>
          <cell r="C14420" t="str">
            <v>Holme Park School</v>
          </cell>
          <cell r="D14420" t="str">
            <v>Pre LGR (1997) East Sussex</v>
          </cell>
          <cell r="E14420" t="str">
            <v>Other Independent School</v>
          </cell>
          <cell r="F14420" t="str">
            <v>Not applicable</v>
          </cell>
        </row>
        <row r="14421">
          <cell r="A14421">
            <v>8913560</v>
          </cell>
          <cell r="B14421">
            <v>122805</v>
          </cell>
          <cell r="C14421" t="str">
            <v>Holme Pierrepont CofE Primary School</v>
          </cell>
          <cell r="D14421" t="str">
            <v>Nottinghamshire</v>
          </cell>
          <cell r="E14421" t="str">
            <v>Voluntary Aided School</v>
          </cell>
          <cell r="F14421" t="str">
            <v>Primary</v>
          </cell>
        </row>
        <row r="14422">
          <cell r="A14422">
            <v>9092308</v>
          </cell>
          <cell r="B14422">
            <v>112179</v>
          </cell>
          <cell r="C14422" t="str">
            <v>Holme Primary School</v>
          </cell>
          <cell r="D14422" t="str">
            <v>Cumbria</v>
          </cell>
          <cell r="E14422" t="str">
            <v>Community School</v>
          </cell>
          <cell r="F14422" t="str">
            <v>Primary</v>
          </cell>
        </row>
        <row r="14423">
          <cell r="A14423">
            <v>8882193</v>
          </cell>
          <cell r="B14423">
            <v>119234</v>
          </cell>
          <cell r="C14423" t="str">
            <v>Holme Slack Community Primary School</v>
          </cell>
          <cell r="D14423" t="str">
            <v>Lancashire</v>
          </cell>
          <cell r="E14423" t="str">
            <v>Community School</v>
          </cell>
          <cell r="F14423" t="str">
            <v>Primary</v>
          </cell>
        </row>
        <row r="14424">
          <cell r="A14424">
            <v>9092032</v>
          </cell>
          <cell r="B14424">
            <v>112112</v>
          </cell>
          <cell r="C14424" t="str">
            <v>Holme St Cuthbert School</v>
          </cell>
          <cell r="D14424" t="str">
            <v>Cumbria</v>
          </cell>
          <cell r="E14424" t="str">
            <v>Community School</v>
          </cell>
          <cell r="F14424" t="str">
            <v>Primary</v>
          </cell>
        </row>
        <row r="14425">
          <cell r="A14425">
            <v>8132567</v>
          </cell>
          <cell r="B14425">
            <v>117811</v>
          </cell>
          <cell r="C14425" t="str">
            <v>Holme Valley Primary School</v>
          </cell>
          <cell r="D14425" t="str">
            <v>North Lincolnshire</v>
          </cell>
          <cell r="E14425" t="str">
            <v>Community School</v>
          </cell>
          <cell r="F14425" t="str">
            <v>Primary</v>
          </cell>
        </row>
        <row r="14426">
          <cell r="A14426">
            <v>8234006</v>
          </cell>
          <cell r="B14426">
            <v>109646</v>
          </cell>
          <cell r="C14426" t="str">
            <v>Holmemead Middle School</v>
          </cell>
          <cell r="D14426" t="str">
            <v>Central Bedfordshire</v>
          </cell>
          <cell r="E14426" t="str">
            <v>Community School</v>
          </cell>
          <cell r="F14426" t="str">
            <v>Middle Deemed Secondary</v>
          </cell>
        </row>
        <row r="14427">
          <cell r="A14427">
            <v>8843055</v>
          </cell>
          <cell r="B14427">
            <v>116820</v>
          </cell>
          <cell r="C14427" t="str">
            <v>Holmer CofE Primary School</v>
          </cell>
          <cell r="D14427" t="str">
            <v>Herefordshire</v>
          </cell>
          <cell r="E14427" t="str">
            <v>Voluntary Controlled School</v>
          </cell>
          <cell r="F14427" t="str">
            <v>Primary</v>
          </cell>
        </row>
        <row r="14428">
          <cell r="A14428">
            <v>8843055</v>
          </cell>
          <cell r="B14428">
            <v>137731</v>
          </cell>
          <cell r="C14428" t="str">
            <v>Holmer CofE Primary School</v>
          </cell>
          <cell r="D14428" t="str">
            <v>Herefordshire</v>
          </cell>
          <cell r="E14428" t="str">
            <v>Academy Converters</v>
          </cell>
          <cell r="F14428" t="str">
            <v>Primary</v>
          </cell>
        </row>
        <row r="14429">
          <cell r="A14429">
            <v>8252150</v>
          </cell>
          <cell r="B14429">
            <v>110268</v>
          </cell>
          <cell r="C14429" t="str">
            <v>Holmer Green Infant School</v>
          </cell>
          <cell r="D14429" t="str">
            <v>Buckinghamshire</v>
          </cell>
          <cell r="E14429" t="str">
            <v>Community School</v>
          </cell>
          <cell r="F14429" t="str">
            <v>Primary</v>
          </cell>
        </row>
        <row r="14430">
          <cell r="A14430">
            <v>8252200</v>
          </cell>
          <cell r="B14430">
            <v>110300</v>
          </cell>
          <cell r="C14430" t="str">
            <v>Holmer Green Junior School</v>
          </cell>
          <cell r="D14430" t="str">
            <v>Buckinghamshire</v>
          </cell>
          <cell r="E14430" t="str">
            <v>Community School</v>
          </cell>
          <cell r="F14430" t="str">
            <v>Primary</v>
          </cell>
        </row>
        <row r="14431">
          <cell r="A14431">
            <v>8254070</v>
          </cell>
          <cell r="B14431">
            <v>110499</v>
          </cell>
          <cell r="C14431" t="str">
            <v>Holmer Green Senior School</v>
          </cell>
          <cell r="D14431" t="str">
            <v>Buckinghamshire</v>
          </cell>
          <cell r="E14431" t="str">
            <v>Community School</v>
          </cell>
          <cell r="F14431" t="str">
            <v>Secondary</v>
          </cell>
        </row>
        <row r="14432">
          <cell r="A14432">
            <v>8942153</v>
          </cell>
          <cell r="B14432">
            <v>123429</v>
          </cell>
          <cell r="C14432" t="str">
            <v>Holmer Lake Primary School</v>
          </cell>
          <cell r="D14432" t="str">
            <v>Telford and Wrekin</v>
          </cell>
          <cell r="E14432" t="str">
            <v>Community School</v>
          </cell>
          <cell r="F14432" t="str">
            <v>Primary</v>
          </cell>
        </row>
        <row r="14433">
          <cell r="A14433">
            <v>8954165</v>
          </cell>
          <cell r="B14433">
            <v>111428</v>
          </cell>
          <cell r="C14433" t="str">
            <v>Holmes Chapel Comprehensive School</v>
          </cell>
          <cell r="D14433" t="str">
            <v>Cheshire East</v>
          </cell>
          <cell r="E14433" t="str">
            <v>Foundation School</v>
          </cell>
          <cell r="F14433" t="str">
            <v>Secondary</v>
          </cell>
        </row>
        <row r="14434">
          <cell r="A14434">
            <v>8954165</v>
          </cell>
          <cell r="B14434">
            <v>137449</v>
          </cell>
          <cell r="C14434" t="str">
            <v>Holmes Chapel Comprehensive School</v>
          </cell>
          <cell r="D14434" t="str">
            <v>Cheshire East</v>
          </cell>
          <cell r="E14434" t="str">
            <v>Academy Converters</v>
          </cell>
          <cell r="F14434" t="str">
            <v>Secondary</v>
          </cell>
        </row>
        <row r="14435">
          <cell r="A14435">
            <v>8952165</v>
          </cell>
          <cell r="B14435">
            <v>111035</v>
          </cell>
          <cell r="C14435" t="str">
            <v>Holmes Chapel Primary School</v>
          </cell>
          <cell r="D14435" t="str">
            <v>Cheshire East</v>
          </cell>
          <cell r="E14435" t="str">
            <v>Community School</v>
          </cell>
          <cell r="F14435" t="str">
            <v>Primary</v>
          </cell>
        </row>
        <row r="14436">
          <cell r="A14436">
            <v>9362210</v>
          </cell>
          <cell r="B14436">
            <v>124988</v>
          </cell>
          <cell r="C14436" t="str">
            <v>Holmesdale Community Infant School</v>
          </cell>
          <cell r="D14436" t="str">
            <v>Surrey</v>
          </cell>
          <cell r="E14436" t="str">
            <v>Community School</v>
          </cell>
          <cell r="F14436" t="str">
            <v>Primary</v>
          </cell>
        </row>
        <row r="14437">
          <cell r="A14437">
            <v>8302326</v>
          </cell>
          <cell r="B14437">
            <v>112680</v>
          </cell>
          <cell r="C14437" t="str">
            <v>Holmesdale Infant School</v>
          </cell>
          <cell r="D14437" t="str">
            <v>Derbyshire</v>
          </cell>
          <cell r="E14437" t="str">
            <v>Community School</v>
          </cell>
          <cell r="F14437" t="str">
            <v>Primary</v>
          </cell>
        </row>
        <row r="14438">
          <cell r="A14438">
            <v>8864065</v>
          </cell>
          <cell r="B14438">
            <v>118796</v>
          </cell>
          <cell r="C14438" t="str">
            <v>Holmesdale Technology College</v>
          </cell>
          <cell r="D14438" t="str">
            <v>Kent</v>
          </cell>
          <cell r="E14438" t="str">
            <v>Foundation School</v>
          </cell>
          <cell r="F14438" t="str">
            <v>Secondary</v>
          </cell>
        </row>
        <row r="14439">
          <cell r="A14439">
            <v>8883147</v>
          </cell>
          <cell r="B14439">
            <v>119403</v>
          </cell>
          <cell r="C14439" t="str">
            <v>Holmeswood Methodist School</v>
          </cell>
          <cell r="D14439" t="str">
            <v>Lancashire</v>
          </cell>
          <cell r="E14439" t="str">
            <v>Voluntary Controlled School</v>
          </cell>
          <cell r="F14439" t="str">
            <v>Primary</v>
          </cell>
        </row>
        <row r="14440">
          <cell r="A14440">
            <v>8112732</v>
          </cell>
          <cell r="B14440">
            <v>117852</v>
          </cell>
          <cell r="C14440" t="str">
            <v>Holme-upon-Spalding Moor Primary School</v>
          </cell>
          <cell r="D14440" t="str">
            <v>East Riding of Yorkshire</v>
          </cell>
          <cell r="E14440" t="str">
            <v>Community School</v>
          </cell>
          <cell r="F14440" t="str">
            <v>Primary</v>
          </cell>
        </row>
        <row r="14441">
          <cell r="A14441">
            <v>8866012</v>
          </cell>
          <cell r="B14441">
            <v>118950</v>
          </cell>
          <cell r="C14441" t="str">
            <v>Holmewood House School</v>
          </cell>
          <cell r="D14441" t="str">
            <v>Kent</v>
          </cell>
          <cell r="E14441" t="str">
            <v>Other Independent School</v>
          </cell>
          <cell r="F14441" t="str">
            <v>Not applicable</v>
          </cell>
        </row>
        <row r="14442">
          <cell r="A14442">
            <v>2081058</v>
          </cell>
          <cell r="B14442">
            <v>100554</v>
          </cell>
          <cell r="C14442" t="str">
            <v>Holmewood Nursery School</v>
          </cell>
          <cell r="D14442" t="str">
            <v>Lambeth</v>
          </cell>
          <cell r="E14442" t="str">
            <v>LA Nursery School</v>
          </cell>
          <cell r="F14442" t="str">
            <v>Nursery</v>
          </cell>
        </row>
        <row r="14443">
          <cell r="A14443">
            <v>3026067</v>
          </cell>
          <cell r="B14443">
            <v>126733</v>
          </cell>
          <cell r="C14443" t="str">
            <v>Holmewood Preparatory School</v>
          </cell>
          <cell r="D14443" t="str">
            <v>Barnet</v>
          </cell>
          <cell r="E14443" t="str">
            <v>Other Independent School</v>
          </cell>
          <cell r="F14443" t="str">
            <v>Not applicable</v>
          </cell>
        </row>
        <row r="14444">
          <cell r="A14444">
            <v>3814033</v>
          </cell>
          <cell r="B14444">
            <v>127768</v>
          </cell>
          <cell r="C14444" t="str">
            <v>Holmfield High School</v>
          </cell>
          <cell r="D14444" t="str">
            <v>Calderdale</v>
          </cell>
          <cell r="E14444" t="str">
            <v>Community School</v>
          </cell>
          <cell r="F14444" t="str">
            <v>Secondary</v>
          </cell>
        </row>
        <row r="14445">
          <cell r="A14445">
            <v>8552015</v>
          </cell>
          <cell r="B14445">
            <v>119908</v>
          </cell>
          <cell r="C14445" t="str">
            <v>Holmfield Primary School Leicester Forest East</v>
          </cell>
          <cell r="D14445" t="str">
            <v>Leicestershire</v>
          </cell>
          <cell r="E14445" t="str">
            <v>Community School</v>
          </cell>
          <cell r="F14445" t="str">
            <v>Primary</v>
          </cell>
        </row>
        <row r="14446">
          <cell r="A14446">
            <v>3824046</v>
          </cell>
          <cell r="B14446">
            <v>107769</v>
          </cell>
          <cell r="C14446" t="str">
            <v>Holmfirth High School</v>
          </cell>
          <cell r="D14446" t="str">
            <v>Kirklees</v>
          </cell>
          <cell r="E14446" t="str">
            <v>Community School</v>
          </cell>
          <cell r="F14446" t="str">
            <v>Secondary</v>
          </cell>
        </row>
        <row r="14447">
          <cell r="A14447">
            <v>3822085</v>
          </cell>
          <cell r="B14447">
            <v>107655</v>
          </cell>
          <cell r="C14447" t="str">
            <v>Holmfirth Junior Infant and Nursery School</v>
          </cell>
          <cell r="D14447" t="str">
            <v>Kirklees</v>
          </cell>
          <cell r="E14447" t="str">
            <v>Community School</v>
          </cell>
          <cell r="F14447" t="str">
            <v>Primary</v>
          </cell>
        </row>
        <row r="14448">
          <cell r="A14448">
            <v>8302076</v>
          </cell>
          <cell r="B14448">
            <v>112530</v>
          </cell>
          <cell r="C14448" t="str">
            <v>Holmgate Primary School and Nursery</v>
          </cell>
          <cell r="D14448" t="str">
            <v>Derbyshire</v>
          </cell>
          <cell r="E14448" t="str">
            <v>Community School</v>
          </cell>
          <cell r="F14448" t="str">
            <v>Primary</v>
          </cell>
        </row>
        <row r="14449">
          <cell r="A14449">
            <v>2042863</v>
          </cell>
          <cell r="B14449">
            <v>100257</v>
          </cell>
          <cell r="C14449" t="str">
            <v>Holmleigh Primary School</v>
          </cell>
          <cell r="D14449" t="str">
            <v>Hackney</v>
          </cell>
          <cell r="E14449" t="str">
            <v>Community School</v>
          </cell>
          <cell r="F14449" t="str">
            <v>Primary</v>
          </cell>
        </row>
        <row r="14450">
          <cell r="A14450">
            <v>9195428</v>
          </cell>
          <cell r="B14450">
            <v>117599</v>
          </cell>
          <cell r="C14450" t="str">
            <v>Holmshill School</v>
          </cell>
          <cell r="D14450" t="str">
            <v>Hertfordshire</v>
          </cell>
          <cell r="E14450" t="str">
            <v>Foundation School</v>
          </cell>
          <cell r="F14450" t="str">
            <v>Middle Deemed Secondary</v>
          </cell>
        </row>
        <row r="14451">
          <cell r="A14451">
            <v>8259903</v>
          </cell>
          <cell r="B14451">
            <v>133924</v>
          </cell>
          <cell r="C14451" t="str">
            <v>Holmstead School</v>
          </cell>
          <cell r="D14451" t="str">
            <v>Buckinghamshire</v>
          </cell>
          <cell r="E14451" t="str">
            <v>Miscellaneous</v>
          </cell>
          <cell r="F14451" t="str">
            <v>Not applicable</v>
          </cell>
        </row>
        <row r="14452">
          <cell r="A14452">
            <v>9396043</v>
          </cell>
          <cell r="B14452">
            <v>130226</v>
          </cell>
          <cell r="C14452" t="str">
            <v>Holmwood House</v>
          </cell>
          <cell r="D14452" t="str">
            <v>Pre LGR (1997) Wiltshire</v>
          </cell>
          <cell r="E14452" t="str">
            <v>Other Independent School</v>
          </cell>
          <cell r="F14452" t="str">
            <v>Not applicable</v>
          </cell>
        </row>
        <row r="14453">
          <cell r="A14453">
            <v>8816016</v>
          </cell>
          <cell r="B14453">
            <v>115410</v>
          </cell>
          <cell r="C14453" t="str">
            <v>Holmwood House School</v>
          </cell>
          <cell r="D14453" t="str">
            <v>Essex</v>
          </cell>
          <cell r="E14453" t="str">
            <v>Other Independent School</v>
          </cell>
          <cell r="F14453" t="str">
            <v>Not applicable</v>
          </cell>
        </row>
        <row r="14454">
          <cell r="A14454">
            <v>8262334</v>
          </cell>
          <cell r="B14454">
            <v>110392</v>
          </cell>
          <cell r="C14454" t="str">
            <v>Holmwood School</v>
          </cell>
          <cell r="D14454" t="str">
            <v>Milton Keynes</v>
          </cell>
          <cell r="E14454" t="str">
            <v>Community School</v>
          </cell>
          <cell r="F14454" t="str">
            <v>Primary</v>
          </cell>
        </row>
        <row r="14455">
          <cell r="A14455">
            <v>8067005</v>
          </cell>
          <cell r="B14455">
            <v>111775</v>
          </cell>
          <cell r="C14455" t="str">
            <v>Holmwood School</v>
          </cell>
          <cell r="D14455" t="str">
            <v>Middlesbrough</v>
          </cell>
          <cell r="E14455" t="str">
            <v>Community Special School</v>
          </cell>
          <cell r="F14455" t="str">
            <v>Special</v>
          </cell>
        </row>
        <row r="14456">
          <cell r="A14456">
            <v>3436004</v>
          </cell>
          <cell r="B14456">
            <v>127375</v>
          </cell>
          <cell r="C14456" t="str">
            <v>Holmwood School</v>
          </cell>
          <cell r="D14456" t="str">
            <v>Sefton</v>
          </cell>
          <cell r="E14456" t="str">
            <v>Other Independent School</v>
          </cell>
          <cell r="F14456" t="str">
            <v>Not applicable</v>
          </cell>
        </row>
        <row r="14457">
          <cell r="A14457">
            <v>8262185</v>
          </cell>
          <cell r="B14457">
            <v>110290</v>
          </cell>
          <cell r="C14457" t="str">
            <v>Holne Chase Primary School</v>
          </cell>
          <cell r="D14457" t="str">
            <v>Milton Keynes</v>
          </cell>
          <cell r="E14457" t="str">
            <v>Community School</v>
          </cell>
          <cell r="F14457" t="str">
            <v>Primary</v>
          </cell>
        </row>
        <row r="14458">
          <cell r="A14458">
            <v>8783063</v>
          </cell>
          <cell r="B14458">
            <v>113379</v>
          </cell>
          <cell r="C14458" t="str">
            <v>Holsworthy Church of England Primary School</v>
          </cell>
          <cell r="D14458" t="str">
            <v>Devon</v>
          </cell>
          <cell r="E14458" t="str">
            <v>Voluntary Controlled School</v>
          </cell>
          <cell r="F14458" t="str">
            <v>Primary</v>
          </cell>
        </row>
        <row r="14459">
          <cell r="A14459">
            <v>8784056</v>
          </cell>
          <cell r="B14459">
            <v>113511</v>
          </cell>
          <cell r="C14459" t="str">
            <v>Holsworthy Community College</v>
          </cell>
          <cell r="D14459" t="str">
            <v>Devon</v>
          </cell>
          <cell r="E14459" t="str">
            <v>Community School</v>
          </cell>
          <cell r="F14459" t="str">
            <v>Secondary</v>
          </cell>
        </row>
        <row r="14460">
          <cell r="A14460">
            <v>9262087</v>
          </cell>
          <cell r="B14460">
            <v>120821</v>
          </cell>
          <cell r="C14460" t="str">
            <v>Holt Community Primary School</v>
          </cell>
          <cell r="D14460" t="str">
            <v>Norfolk</v>
          </cell>
          <cell r="E14460" t="str">
            <v>Community School</v>
          </cell>
          <cell r="F14460" t="str">
            <v>Primary</v>
          </cell>
        </row>
        <row r="14461">
          <cell r="A14461">
            <v>8812521</v>
          </cell>
          <cell r="B14461">
            <v>114879</v>
          </cell>
          <cell r="C14461" t="str">
            <v>Holt Farm Infant School</v>
          </cell>
          <cell r="D14461" t="str">
            <v>Essex</v>
          </cell>
          <cell r="E14461" t="str">
            <v>Community School</v>
          </cell>
          <cell r="F14461" t="str">
            <v>Primary</v>
          </cell>
        </row>
        <row r="14462">
          <cell r="A14462">
            <v>8812701</v>
          </cell>
          <cell r="B14462">
            <v>114959</v>
          </cell>
          <cell r="C14462" t="str">
            <v>Holt Farm Junior School</v>
          </cell>
          <cell r="D14462" t="str">
            <v>Essex</v>
          </cell>
          <cell r="E14462" t="str">
            <v>Community School</v>
          </cell>
          <cell r="F14462" t="str">
            <v>Primary</v>
          </cell>
        </row>
        <row r="14463">
          <cell r="A14463">
            <v>3322105</v>
          </cell>
          <cell r="B14463">
            <v>103795</v>
          </cell>
          <cell r="C14463" t="str">
            <v>Holt Farm Primary School</v>
          </cell>
          <cell r="D14463" t="str">
            <v>Dudley</v>
          </cell>
          <cell r="E14463" t="str">
            <v>Community School</v>
          </cell>
          <cell r="F14463" t="str">
            <v>Primary</v>
          </cell>
        </row>
        <row r="14464">
          <cell r="A14464">
            <v>3732213</v>
          </cell>
          <cell r="B14464">
            <v>107026</v>
          </cell>
          <cell r="C14464" t="str">
            <v>Holt House Infant School</v>
          </cell>
          <cell r="D14464" t="str">
            <v>Sheffield</v>
          </cell>
          <cell r="E14464" t="str">
            <v>Community School</v>
          </cell>
          <cell r="F14464" t="str">
            <v>Primary</v>
          </cell>
        </row>
        <row r="14465">
          <cell r="A14465">
            <v>3834494</v>
          </cell>
          <cell r="B14465">
            <v>128009</v>
          </cell>
          <cell r="C14465" t="str">
            <v>Holt Park Middle School</v>
          </cell>
          <cell r="D14465" t="str">
            <v>Leeds</v>
          </cell>
          <cell r="E14465" t="str">
            <v>Community School</v>
          </cell>
          <cell r="F14465" t="str">
            <v>Middle Deemed Secondary</v>
          </cell>
        </row>
        <row r="14466">
          <cell r="A14466">
            <v>8653090</v>
          </cell>
          <cell r="B14466">
            <v>126329</v>
          </cell>
          <cell r="C14466" t="str">
            <v>Holt Voluntary Controlled Primary School</v>
          </cell>
          <cell r="D14466" t="str">
            <v>Wiltshire</v>
          </cell>
          <cell r="E14466" t="str">
            <v>Voluntary Controlled School</v>
          </cell>
          <cell r="F14466" t="str">
            <v>Primary</v>
          </cell>
        </row>
        <row r="14467">
          <cell r="A14467">
            <v>3304223</v>
          </cell>
          <cell r="B14467">
            <v>103509</v>
          </cell>
          <cell r="C14467" t="str">
            <v>Holte School</v>
          </cell>
          <cell r="D14467" t="str">
            <v>Birmingham</v>
          </cell>
          <cell r="E14467" t="str">
            <v>Community School</v>
          </cell>
          <cell r="F14467" t="str">
            <v>Secondary</v>
          </cell>
        </row>
        <row r="14468">
          <cell r="A14468">
            <v>9252162</v>
          </cell>
          <cell r="B14468">
            <v>120453</v>
          </cell>
          <cell r="C14468" t="str">
            <v>Holton Le Clay Infant School</v>
          </cell>
          <cell r="D14468" t="str">
            <v>Lincolnshire</v>
          </cell>
          <cell r="E14468" t="str">
            <v>Community School</v>
          </cell>
          <cell r="F14468" t="str">
            <v>Primary</v>
          </cell>
        </row>
        <row r="14469">
          <cell r="A14469">
            <v>6732122</v>
          </cell>
          <cell r="B14469">
            <v>401094</v>
          </cell>
          <cell r="C14469" t="str">
            <v>Holton Primary School</v>
          </cell>
          <cell r="D14469" t="str">
            <v>The Vale of Glamorgan</v>
          </cell>
          <cell r="E14469" t="str">
            <v>Welsh Establishment</v>
          </cell>
          <cell r="F14469" t="str">
            <v>Primary</v>
          </cell>
        </row>
        <row r="14470">
          <cell r="A14470">
            <v>9352086</v>
          </cell>
          <cell r="B14470">
            <v>124590</v>
          </cell>
          <cell r="C14470" t="str">
            <v>Holton St Peter Community Primary School</v>
          </cell>
          <cell r="D14470" t="str">
            <v>Suffolk</v>
          </cell>
          <cell r="E14470" t="str">
            <v>Community School</v>
          </cell>
          <cell r="F14470" t="str">
            <v>Primary</v>
          </cell>
        </row>
        <row r="14471">
          <cell r="A14471">
            <v>9252229</v>
          </cell>
          <cell r="B14471">
            <v>120497</v>
          </cell>
          <cell r="C14471" t="str">
            <v>Holton-le-Clay Junior School</v>
          </cell>
          <cell r="D14471" t="str">
            <v>Lincolnshire</v>
          </cell>
          <cell r="E14471" t="str">
            <v>Community School</v>
          </cell>
          <cell r="F14471" t="str">
            <v>Primary</v>
          </cell>
        </row>
        <row r="14472">
          <cell r="A14472">
            <v>6652235</v>
          </cell>
          <cell r="B14472">
            <v>400438</v>
          </cell>
          <cell r="C14472" t="str">
            <v>Holt's Community Primary School</v>
          </cell>
          <cell r="D14472" t="str">
            <v>Wrexham</v>
          </cell>
          <cell r="E14472" t="str">
            <v>Welsh Establishment</v>
          </cell>
          <cell r="F14472" t="str">
            <v>Primary</v>
          </cell>
        </row>
        <row r="14473">
          <cell r="A14473">
            <v>9192995</v>
          </cell>
          <cell r="B14473">
            <v>117377</v>
          </cell>
          <cell r="C14473" t="str">
            <v>Holtsmere End Infant and Nursery School</v>
          </cell>
          <cell r="D14473" t="str">
            <v>Hertfordshire</v>
          </cell>
          <cell r="E14473" t="str">
            <v>Community School</v>
          </cell>
          <cell r="F14473" t="str">
            <v>Primary</v>
          </cell>
        </row>
        <row r="14474">
          <cell r="A14474">
            <v>9192427</v>
          </cell>
          <cell r="B14474">
            <v>117336</v>
          </cell>
          <cell r="C14474" t="str">
            <v>Holtsmere End Junior School</v>
          </cell>
          <cell r="D14474" t="str">
            <v>Hertfordshire</v>
          </cell>
          <cell r="E14474" t="str">
            <v>Community School</v>
          </cell>
          <cell r="F14474" t="str">
            <v>Primary</v>
          </cell>
        </row>
        <row r="14475">
          <cell r="A14475">
            <v>9042227</v>
          </cell>
          <cell r="B14475">
            <v>128331</v>
          </cell>
          <cell r="C14475" t="str">
            <v>Holtspur County First School</v>
          </cell>
          <cell r="D14475" t="str">
            <v>Pre LGR (1997) Buckinghamshire</v>
          </cell>
          <cell r="E14475" t="str">
            <v>Community School</v>
          </cell>
          <cell r="F14475" t="str">
            <v>Primary</v>
          </cell>
        </row>
        <row r="14476">
          <cell r="A14476">
            <v>9042057</v>
          </cell>
          <cell r="B14476">
            <v>128320</v>
          </cell>
          <cell r="C14476" t="str">
            <v>Holtspur County Middle School</v>
          </cell>
          <cell r="D14476" t="str">
            <v>Pre LGR (1997) Buckinghamshire</v>
          </cell>
          <cell r="E14476" t="str">
            <v>Community School</v>
          </cell>
          <cell r="F14476" t="str">
            <v>Middle Deemed Primary</v>
          </cell>
        </row>
        <row r="14477">
          <cell r="A14477">
            <v>8252345</v>
          </cell>
          <cell r="B14477">
            <v>110398</v>
          </cell>
          <cell r="C14477" t="str">
            <v>Holtspur School</v>
          </cell>
          <cell r="D14477" t="str">
            <v>Buckinghamshire</v>
          </cell>
          <cell r="E14477" t="str">
            <v>Community School</v>
          </cell>
          <cell r="F14477" t="str">
            <v>Primary</v>
          </cell>
        </row>
        <row r="14478">
          <cell r="A14478">
            <v>9332321</v>
          </cell>
          <cell r="B14478">
            <v>129841</v>
          </cell>
          <cell r="C14478" t="str">
            <v>Holway Community Junior School</v>
          </cell>
          <cell r="D14478" t="str">
            <v>Somerset</v>
          </cell>
          <cell r="E14478" t="str">
            <v>Community School</v>
          </cell>
          <cell r="F14478" t="str">
            <v>Primary</v>
          </cell>
        </row>
        <row r="14479">
          <cell r="A14479">
            <v>9332322</v>
          </cell>
          <cell r="B14479">
            <v>129842</v>
          </cell>
          <cell r="C14479" t="str">
            <v>Holway Infants' School</v>
          </cell>
          <cell r="D14479" t="str">
            <v>Somerset</v>
          </cell>
          <cell r="E14479" t="str">
            <v>Community School</v>
          </cell>
          <cell r="F14479" t="str">
            <v>Primary</v>
          </cell>
        </row>
        <row r="14480">
          <cell r="A14480">
            <v>9332332</v>
          </cell>
          <cell r="B14480">
            <v>123739</v>
          </cell>
          <cell r="C14480" t="str">
            <v>Holway Park Community Primary School</v>
          </cell>
          <cell r="D14480" t="str">
            <v>Somerset</v>
          </cell>
          <cell r="E14480" t="str">
            <v>Community School</v>
          </cell>
          <cell r="F14480" t="str">
            <v>Primary</v>
          </cell>
        </row>
        <row r="14481">
          <cell r="A14481">
            <v>9192143</v>
          </cell>
          <cell r="B14481">
            <v>117175</v>
          </cell>
          <cell r="C14481" t="str">
            <v>Holwell Primary School</v>
          </cell>
          <cell r="D14481" t="str">
            <v>Hertfordshire</v>
          </cell>
          <cell r="E14481" t="str">
            <v>Community School</v>
          </cell>
          <cell r="F14481" t="str">
            <v>Primary</v>
          </cell>
        </row>
        <row r="14482">
          <cell r="A14482">
            <v>9126136</v>
          </cell>
          <cell r="B14482">
            <v>128801</v>
          </cell>
          <cell r="C14482" t="str">
            <v>Holwell School</v>
          </cell>
          <cell r="D14482" t="str">
            <v>Pre LGR (1997) Dorset</v>
          </cell>
          <cell r="E14482" t="str">
            <v>Other Independent School</v>
          </cell>
          <cell r="F14482" t="str">
            <v>Not applicable</v>
          </cell>
        </row>
        <row r="14483">
          <cell r="A14483">
            <v>3403333</v>
          </cell>
          <cell r="B14483">
            <v>127242</v>
          </cell>
          <cell r="C14483" t="str">
            <v>Holy Angels Infant School</v>
          </cell>
          <cell r="D14483" t="str">
            <v>Knowsley</v>
          </cell>
          <cell r="E14483" t="str">
            <v>Voluntary Aided School</v>
          </cell>
          <cell r="F14483" t="str">
            <v>Primary</v>
          </cell>
        </row>
        <row r="14484">
          <cell r="A14484">
            <v>9163316</v>
          </cell>
          <cell r="B14484">
            <v>115679</v>
          </cell>
          <cell r="C14484" t="str">
            <v>Holy Apostles' Church of England Primary School</v>
          </cell>
          <cell r="D14484" t="str">
            <v>Gloucestershire</v>
          </cell>
          <cell r="E14484" t="str">
            <v>Voluntary Aided School</v>
          </cell>
          <cell r="F14484" t="str">
            <v>Primary</v>
          </cell>
        </row>
        <row r="14485">
          <cell r="A14485">
            <v>3553515</v>
          </cell>
          <cell r="B14485">
            <v>105952</v>
          </cell>
          <cell r="C14485" t="str">
            <v>Holy Cross and All Saints RC Primary School</v>
          </cell>
          <cell r="D14485" t="str">
            <v>Salford</v>
          </cell>
          <cell r="E14485" t="str">
            <v>Voluntary Aided School</v>
          </cell>
          <cell r="F14485" t="str">
            <v>Primary</v>
          </cell>
        </row>
        <row r="14486">
          <cell r="A14486">
            <v>8884742</v>
          </cell>
          <cell r="B14486">
            <v>119803</v>
          </cell>
          <cell r="C14486" t="str">
            <v>Holy Cross Catholic High School, A Sports and Science College</v>
          </cell>
          <cell r="D14486" t="str">
            <v>Lancashire</v>
          </cell>
          <cell r="E14486" t="str">
            <v>Voluntary Aided School</v>
          </cell>
          <cell r="F14486" t="str">
            <v>Secondary</v>
          </cell>
        </row>
        <row r="14487">
          <cell r="A14487">
            <v>3303402</v>
          </cell>
          <cell r="B14487">
            <v>103474</v>
          </cell>
          <cell r="C14487" t="str">
            <v>Holy Cross Catholic Primary School</v>
          </cell>
          <cell r="D14487" t="str">
            <v>Birmingham</v>
          </cell>
          <cell r="E14487" t="str">
            <v>Voluntary Aided School</v>
          </cell>
          <cell r="F14487" t="str">
            <v>Primary</v>
          </cell>
        </row>
        <row r="14488">
          <cell r="A14488">
            <v>3413512</v>
          </cell>
          <cell r="B14488">
            <v>104633</v>
          </cell>
          <cell r="C14488" t="str">
            <v>Holy Cross Catholic Primary School</v>
          </cell>
          <cell r="D14488" t="str">
            <v>Liverpool</v>
          </cell>
          <cell r="E14488" t="str">
            <v>Voluntary Aided School</v>
          </cell>
          <cell r="F14488" t="str">
            <v>Primary</v>
          </cell>
        </row>
        <row r="14489">
          <cell r="A14489">
            <v>3423404</v>
          </cell>
          <cell r="B14489">
            <v>104804</v>
          </cell>
          <cell r="C14489" t="str">
            <v>Holy Cross Catholic Primary School</v>
          </cell>
          <cell r="D14489" t="str">
            <v>St. Helens</v>
          </cell>
          <cell r="E14489" t="str">
            <v>Voluntary Aided School</v>
          </cell>
          <cell r="F14489" t="str">
            <v>Primary</v>
          </cell>
        </row>
        <row r="14490">
          <cell r="A14490">
            <v>3443368</v>
          </cell>
          <cell r="B14490">
            <v>105087</v>
          </cell>
          <cell r="C14490" t="str">
            <v>Holy Cross Catholic Primary School</v>
          </cell>
          <cell r="D14490" t="str">
            <v>Wirral</v>
          </cell>
          <cell r="E14490" t="str">
            <v>Voluntary Aided School</v>
          </cell>
          <cell r="F14490" t="str">
            <v>Primary</v>
          </cell>
        </row>
        <row r="14491">
          <cell r="A14491">
            <v>8793761</v>
          </cell>
          <cell r="B14491">
            <v>113487</v>
          </cell>
          <cell r="C14491" t="str">
            <v>Holy Cross Catholic Primary School</v>
          </cell>
          <cell r="D14491" t="str">
            <v>Plymouth</v>
          </cell>
          <cell r="E14491" t="str">
            <v>Voluntary Aided School</v>
          </cell>
          <cell r="F14491" t="str">
            <v>Primary</v>
          </cell>
        </row>
        <row r="14492">
          <cell r="A14492">
            <v>8833605</v>
          </cell>
          <cell r="B14492">
            <v>115181</v>
          </cell>
          <cell r="C14492" t="str">
            <v>Holy Cross Catholic Primary School</v>
          </cell>
          <cell r="D14492" t="str">
            <v>Thurrock</v>
          </cell>
          <cell r="E14492" t="str">
            <v>Voluntary Aided School</v>
          </cell>
          <cell r="F14492" t="str">
            <v>Primary</v>
          </cell>
        </row>
        <row r="14493">
          <cell r="A14493">
            <v>9213313</v>
          </cell>
          <cell r="B14493">
            <v>118198</v>
          </cell>
          <cell r="C14493" t="str">
            <v>Holy Cross Catholic Primary School</v>
          </cell>
          <cell r="D14493" t="str">
            <v>Isle of Wight</v>
          </cell>
          <cell r="E14493" t="str">
            <v>Voluntary Aided School</v>
          </cell>
          <cell r="F14493" t="str">
            <v>Primary</v>
          </cell>
        </row>
        <row r="14494">
          <cell r="A14494">
            <v>8563425</v>
          </cell>
          <cell r="B14494">
            <v>120225</v>
          </cell>
          <cell r="C14494" t="str">
            <v>Holy Cross Catholic Primary School</v>
          </cell>
          <cell r="D14494" t="str">
            <v>Leicester</v>
          </cell>
          <cell r="E14494" t="str">
            <v>Voluntary Aided School</v>
          </cell>
          <cell r="F14494" t="str">
            <v>Primary</v>
          </cell>
        </row>
        <row r="14495">
          <cell r="A14495">
            <v>8913730</v>
          </cell>
          <cell r="B14495">
            <v>122814</v>
          </cell>
          <cell r="C14495" t="str">
            <v>Holy Cross Catholic Primary School</v>
          </cell>
          <cell r="D14495" t="str">
            <v>Nottinghamshire</v>
          </cell>
          <cell r="E14495" t="str">
            <v>Voluntary Aided School</v>
          </cell>
          <cell r="F14495" t="str">
            <v>Primary</v>
          </cell>
        </row>
        <row r="14496">
          <cell r="A14496">
            <v>8815278</v>
          </cell>
          <cell r="B14496">
            <v>115168</v>
          </cell>
          <cell r="C14496" t="str">
            <v>Holy Cross Catholic Primary School, Harlow</v>
          </cell>
          <cell r="D14496" t="str">
            <v>Essex</v>
          </cell>
          <cell r="E14496" t="str">
            <v>Voluntary Aided School</v>
          </cell>
          <cell r="F14496" t="str">
            <v>Primary</v>
          </cell>
        </row>
        <row r="14497">
          <cell r="A14497">
            <v>8815278</v>
          </cell>
          <cell r="B14497">
            <v>136967</v>
          </cell>
          <cell r="C14497" t="str">
            <v>Holy Cross Catholic Primary School, Harlow</v>
          </cell>
          <cell r="D14497" t="str">
            <v>Essex</v>
          </cell>
          <cell r="E14497" t="str">
            <v>Academy Converters</v>
          </cell>
          <cell r="F14497" t="str">
            <v>Primary</v>
          </cell>
        </row>
        <row r="14498">
          <cell r="A14498">
            <v>8553340</v>
          </cell>
          <cell r="B14498">
            <v>120214</v>
          </cell>
          <cell r="C14498" t="str">
            <v>Holy Cross Catholic Primary School, Whitwick, Leicestershire</v>
          </cell>
          <cell r="D14498" t="str">
            <v>Leicestershire</v>
          </cell>
          <cell r="E14498" t="str">
            <v>Voluntary Aided School</v>
          </cell>
          <cell r="F14498" t="str">
            <v>Primary</v>
          </cell>
        </row>
        <row r="14499">
          <cell r="A14499">
            <v>8453335</v>
          </cell>
          <cell r="B14499">
            <v>114562</v>
          </cell>
          <cell r="C14499" t="str">
            <v>Holy Cross Church of England Primary School</v>
          </cell>
          <cell r="D14499" t="str">
            <v>East Sussex</v>
          </cell>
          <cell r="E14499" t="str">
            <v>Voluntary Aided School</v>
          </cell>
          <cell r="F14499" t="str">
            <v>Primary</v>
          </cell>
        </row>
        <row r="14500">
          <cell r="A14500">
            <v>8935200</v>
          </cell>
          <cell r="B14500">
            <v>123590</v>
          </cell>
          <cell r="C14500" t="str">
            <v>Holy Cross CofE Junior School</v>
          </cell>
          <cell r="D14500" t="str">
            <v>Shropshire</v>
          </cell>
          <cell r="E14500" t="str">
            <v>Foundation School</v>
          </cell>
          <cell r="F14500" t="str">
            <v>Primary</v>
          </cell>
        </row>
        <row r="14501">
          <cell r="A14501">
            <v>3533393</v>
          </cell>
          <cell r="B14501">
            <v>135720</v>
          </cell>
          <cell r="C14501" t="str">
            <v>Holy Cross CofE Primary School</v>
          </cell>
          <cell r="D14501" t="str">
            <v>Oldham</v>
          </cell>
          <cell r="E14501" t="str">
            <v>Voluntary Aided School</v>
          </cell>
          <cell r="F14501" t="str">
            <v>Primary</v>
          </cell>
        </row>
        <row r="14502">
          <cell r="A14502">
            <v>3518600</v>
          </cell>
          <cell r="B14502">
            <v>130499</v>
          </cell>
          <cell r="C14502" t="str">
            <v>Holy Cross College</v>
          </cell>
          <cell r="D14502" t="str">
            <v>Bury</v>
          </cell>
          <cell r="E14502" t="str">
            <v>Further Education</v>
          </cell>
          <cell r="F14502" t="str">
            <v>16 Plus</v>
          </cell>
        </row>
        <row r="14503">
          <cell r="A14503">
            <v>8256025</v>
          </cell>
          <cell r="B14503">
            <v>110542</v>
          </cell>
          <cell r="C14503" t="str">
            <v>Holy Cross Convent School</v>
          </cell>
          <cell r="D14503" t="str">
            <v>Buckinghamshire</v>
          </cell>
          <cell r="E14503" t="str">
            <v>Other Independent School</v>
          </cell>
          <cell r="F14503" t="str">
            <v>Not applicable</v>
          </cell>
        </row>
        <row r="14504">
          <cell r="A14504">
            <v>3703301</v>
          </cell>
          <cell r="B14504">
            <v>106630</v>
          </cell>
          <cell r="C14504" t="str">
            <v>Holy Cross Deanery Church of England Voluntary Aided Primary School</v>
          </cell>
          <cell r="D14504" t="str">
            <v>Barnsley</v>
          </cell>
          <cell r="E14504" t="str">
            <v>Voluntary Aided School</v>
          </cell>
          <cell r="F14504" t="str">
            <v>Primary</v>
          </cell>
        </row>
        <row r="14505">
          <cell r="A14505">
            <v>9176031</v>
          </cell>
          <cell r="B14505">
            <v>129053</v>
          </cell>
          <cell r="C14505" t="str">
            <v>Holy Cross Junior School</v>
          </cell>
          <cell r="D14505" t="str">
            <v>Pre LGR (1997) Hampshire</v>
          </cell>
          <cell r="E14505" t="str">
            <v>Other Independent School</v>
          </cell>
          <cell r="F14505" t="str">
            <v>Not applicable</v>
          </cell>
        </row>
        <row r="14506">
          <cell r="A14506">
            <v>3146001</v>
          </cell>
          <cell r="B14506">
            <v>102609</v>
          </cell>
          <cell r="C14506" t="str">
            <v>Holy Cross Preparatory School</v>
          </cell>
          <cell r="D14506" t="str">
            <v>Kingston upon Thames</v>
          </cell>
          <cell r="E14506" t="str">
            <v>Other Independent School</v>
          </cell>
          <cell r="F14506" t="str">
            <v>Not applicable</v>
          </cell>
        </row>
        <row r="14507">
          <cell r="A14507">
            <v>8013401</v>
          </cell>
          <cell r="B14507">
            <v>109244</v>
          </cell>
          <cell r="C14507" t="str">
            <v>Holy Cross RC Primary School</v>
          </cell>
          <cell r="D14507" t="str">
            <v>Bristol City of</v>
          </cell>
          <cell r="E14507" t="str">
            <v>Voluntary Aided School</v>
          </cell>
          <cell r="F14507" t="str">
            <v>Primary</v>
          </cell>
        </row>
        <row r="14508">
          <cell r="A14508">
            <v>2053354</v>
          </cell>
          <cell r="B14508">
            <v>100345</v>
          </cell>
          <cell r="C14508" t="str">
            <v>Holy Cross RC School</v>
          </cell>
          <cell r="D14508" t="str">
            <v>Hammersmith and Fulham</v>
          </cell>
          <cell r="E14508" t="str">
            <v>Voluntary Aided School</v>
          </cell>
          <cell r="F14508" t="str">
            <v>Primary</v>
          </cell>
        </row>
        <row r="14509">
          <cell r="A14509">
            <v>9384609</v>
          </cell>
          <cell r="B14509">
            <v>126100</v>
          </cell>
          <cell r="C14509" t="str">
            <v>Holy Cross RC School</v>
          </cell>
          <cell r="D14509" t="str">
            <v>West Sussex</v>
          </cell>
          <cell r="E14509" t="str">
            <v>Voluntary Aided School</v>
          </cell>
          <cell r="F14509" t="str">
            <v>Middle Deemed Secondary</v>
          </cell>
        </row>
        <row r="14510">
          <cell r="A14510">
            <v>2093661</v>
          </cell>
          <cell r="B14510">
            <v>100739</v>
          </cell>
          <cell r="C14510" t="str">
            <v>Holy Cross Roman Catholic Primary School</v>
          </cell>
          <cell r="D14510" t="str">
            <v>Lewisham</v>
          </cell>
          <cell r="E14510" t="str">
            <v>Voluntary Aided School</v>
          </cell>
          <cell r="F14510" t="str">
            <v>Primary</v>
          </cell>
        </row>
        <row r="14511">
          <cell r="A14511">
            <v>3923318</v>
          </cell>
          <cell r="B14511">
            <v>108623</v>
          </cell>
          <cell r="C14511" t="str">
            <v>Holy Cross Roman Catholic Primary School Aided</v>
          </cell>
          <cell r="D14511" t="str">
            <v>North Tyneside</v>
          </cell>
          <cell r="E14511" t="str">
            <v>Voluntary Aided School</v>
          </cell>
          <cell r="F14511" t="str">
            <v>Primary</v>
          </cell>
        </row>
        <row r="14512">
          <cell r="A14512">
            <v>3843336</v>
          </cell>
          <cell r="B14512">
            <v>108267</v>
          </cell>
          <cell r="C14512" t="str">
            <v>Holy Family and St Michael's Catholic Primary School, Pontefract</v>
          </cell>
          <cell r="D14512" t="str">
            <v>Wakefield</v>
          </cell>
          <cell r="E14512" t="str">
            <v>Voluntary Aided School</v>
          </cell>
          <cell r="F14512" t="str">
            <v>Primary</v>
          </cell>
        </row>
        <row r="14513">
          <cell r="A14513">
            <v>3434624</v>
          </cell>
          <cell r="B14513">
            <v>104962</v>
          </cell>
          <cell r="C14513" t="str">
            <v>Holy Family Catholic High School</v>
          </cell>
          <cell r="D14513" t="str">
            <v>Sefton</v>
          </cell>
          <cell r="E14513" t="str">
            <v>Voluntary Aided School</v>
          </cell>
          <cell r="F14513" t="str">
            <v>Secondary</v>
          </cell>
        </row>
        <row r="14514">
          <cell r="A14514">
            <v>8154610</v>
          </cell>
          <cell r="B14514">
            <v>121718</v>
          </cell>
          <cell r="C14514" t="str">
            <v>Holy Family Catholic High School, Carlton</v>
          </cell>
          <cell r="D14514" t="str">
            <v>North Yorkshire</v>
          </cell>
          <cell r="E14514" t="str">
            <v>Voluntary Aided School</v>
          </cell>
          <cell r="F14514" t="str">
            <v>Secondary</v>
          </cell>
        </row>
        <row r="14515">
          <cell r="A14515">
            <v>8663428</v>
          </cell>
          <cell r="B14515">
            <v>126427</v>
          </cell>
          <cell r="C14515" t="str">
            <v>Holy Family Catholic Junior School, Swindon</v>
          </cell>
          <cell r="D14515" t="str">
            <v>Swindon</v>
          </cell>
          <cell r="E14515" t="str">
            <v>Voluntary Aided School</v>
          </cell>
          <cell r="F14515" t="str">
            <v>Primary</v>
          </cell>
        </row>
        <row r="14516">
          <cell r="A14516">
            <v>2033657</v>
          </cell>
          <cell r="B14516">
            <v>100178</v>
          </cell>
          <cell r="C14516" t="str">
            <v>Holy Family Catholic Primary School</v>
          </cell>
          <cell r="D14516" t="str">
            <v>Greenwich</v>
          </cell>
          <cell r="E14516" t="str">
            <v>Voluntary Aided School</v>
          </cell>
          <cell r="F14516" t="str">
            <v>Primary</v>
          </cell>
        </row>
        <row r="14517">
          <cell r="A14517">
            <v>3303317</v>
          </cell>
          <cell r="B14517">
            <v>103421</v>
          </cell>
          <cell r="C14517" t="str">
            <v>Holy Family Catholic Primary School</v>
          </cell>
          <cell r="D14517" t="str">
            <v>Birmingham</v>
          </cell>
          <cell r="E14517" t="str">
            <v>Voluntary Aided School</v>
          </cell>
          <cell r="F14517" t="str">
            <v>Primary</v>
          </cell>
        </row>
        <row r="14518">
          <cell r="A14518">
            <v>3313435</v>
          </cell>
          <cell r="B14518">
            <v>103726</v>
          </cell>
          <cell r="C14518" t="str">
            <v>Holy Family Catholic Primary School</v>
          </cell>
          <cell r="D14518" t="str">
            <v>Coventry</v>
          </cell>
          <cell r="E14518" t="str">
            <v>Voluntary Aided School</v>
          </cell>
          <cell r="F14518" t="str">
            <v>Primary</v>
          </cell>
        </row>
        <row r="14519">
          <cell r="A14519">
            <v>3403307</v>
          </cell>
          <cell r="B14519">
            <v>104454</v>
          </cell>
          <cell r="C14519" t="str">
            <v>Holy Family Catholic Primary School</v>
          </cell>
          <cell r="D14519" t="str">
            <v>Knowsley</v>
          </cell>
          <cell r="E14519" t="str">
            <v>Voluntary Aided School</v>
          </cell>
          <cell r="F14519" t="str">
            <v>Primary</v>
          </cell>
        </row>
        <row r="14520">
          <cell r="A14520">
            <v>3403326</v>
          </cell>
          <cell r="B14520">
            <v>104468</v>
          </cell>
          <cell r="C14520" t="str">
            <v>Holy Family Catholic Primary School</v>
          </cell>
          <cell r="D14520" t="str">
            <v>Knowsley</v>
          </cell>
          <cell r="E14520" t="str">
            <v>Voluntary Aided School</v>
          </cell>
          <cell r="F14520" t="str">
            <v>Primary</v>
          </cell>
        </row>
        <row r="14521">
          <cell r="A14521">
            <v>3433336</v>
          </cell>
          <cell r="B14521">
            <v>104915</v>
          </cell>
          <cell r="C14521" t="str">
            <v>Holy Family Catholic Primary School</v>
          </cell>
          <cell r="D14521" t="str">
            <v>Sefton</v>
          </cell>
          <cell r="E14521" t="str">
            <v>Voluntary Aided School</v>
          </cell>
          <cell r="F14521" t="str">
            <v>Primary</v>
          </cell>
        </row>
        <row r="14522">
          <cell r="A14522">
            <v>3583309</v>
          </cell>
          <cell r="B14522">
            <v>106345</v>
          </cell>
          <cell r="C14522" t="str">
            <v>Holy Family Catholic Primary School</v>
          </cell>
          <cell r="D14522" t="str">
            <v>Trafford</v>
          </cell>
          <cell r="E14522" t="str">
            <v>Voluntary Aided School</v>
          </cell>
          <cell r="F14522" t="str">
            <v>Primary</v>
          </cell>
        </row>
        <row r="14523">
          <cell r="A14523">
            <v>3593406</v>
          </cell>
          <cell r="B14523">
            <v>106504</v>
          </cell>
          <cell r="C14523" t="str">
            <v>Holy Family Catholic Primary School</v>
          </cell>
          <cell r="D14523" t="str">
            <v>Wigan</v>
          </cell>
          <cell r="E14523" t="str">
            <v>Voluntary Aided School</v>
          </cell>
          <cell r="F14523" t="str">
            <v>Primary</v>
          </cell>
        </row>
        <row r="14524">
          <cell r="A14524">
            <v>3713317</v>
          </cell>
          <cell r="B14524">
            <v>106772</v>
          </cell>
          <cell r="C14524" t="str">
            <v>Holy Family Catholic Primary School</v>
          </cell>
          <cell r="D14524" t="str">
            <v>Doncaster</v>
          </cell>
          <cell r="E14524" t="str">
            <v>Voluntary Aided School</v>
          </cell>
          <cell r="F14524" t="str">
            <v>Primary</v>
          </cell>
        </row>
        <row r="14525">
          <cell r="A14525">
            <v>3833372</v>
          </cell>
          <cell r="B14525">
            <v>108026</v>
          </cell>
          <cell r="C14525" t="str">
            <v>Holy Family Catholic Primary School</v>
          </cell>
          <cell r="D14525" t="str">
            <v>Leeds</v>
          </cell>
          <cell r="E14525" t="str">
            <v>Voluntary Aided School</v>
          </cell>
          <cell r="F14525" t="str">
            <v>Primary</v>
          </cell>
        </row>
        <row r="14526">
          <cell r="A14526">
            <v>8033435</v>
          </cell>
          <cell r="B14526">
            <v>109266</v>
          </cell>
          <cell r="C14526" t="str">
            <v>Holy Family Catholic Primary School</v>
          </cell>
          <cell r="D14526" t="str">
            <v>South Gloucestershire</v>
          </cell>
          <cell r="E14526" t="str">
            <v>Voluntary Aided School</v>
          </cell>
          <cell r="F14526" t="str">
            <v>Primary</v>
          </cell>
        </row>
        <row r="14527">
          <cell r="A14527">
            <v>8715202</v>
          </cell>
          <cell r="B14527">
            <v>110090</v>
          </cell>
          <cell r="C14527" t="str">
            <v>Holy Family Catholic Primary School</v>
          </cell>
          <cell r="D14527" t="str">
            <v>Slough</v>
          </cell>
          <cell r="E14527" t="str">
            <v>Voluntary Aided School</v>
          </cell>
          <cell r="F14527" t="str">
            <v>Primary</v>
          </cell>
        </row>
        <row r="14528">
          <cell r="A14528">
            <v>9093607</v>
          </cell>
          <cell r="B14528">
            <v>112366</v>
          </cell>
          <cell r="C14528" t="str">
            <v>Holy Family Catholic Primary School</v>
          </cell>
          <cell r="D14528" t="str">
            <v>Cumbria</v>
          </cell>
          <cell r="E14528" t="str">
            <v>Voluntary Aided School</v>
          </cell>
          <cell r="F14528" t="str">
            <v>Primary</v>
          </cell>
        </row>
        <row r="14529">
          <cell r="A14529">
            <v>8523657</v>
          </cell>
          <cell r="B14529">
            <v>116397</v>
          </cell>
          <cell r="C14529" t="str">
            <v>Holy Family Catholic Primary School</v>
          </cell>
          <cell r="D14529" t="str">
            <v>Southampton</v>
          </cell>
          <cell r="E14529" t="str">
            <v>Voluntary Aided School</v>
          </cell>
          <cell r="F14529" t="str">
            <v>Primary</v>
          </cell>
        </row>
        <row r="14530">
          <cell r="A14530">
            <v>8903629</v>
          </cell>
          <cell r="B14530">
            <v>119600</v>
          </cell>
          <cell r="C14530" t="str">
            <v>Holy Family Catholic Primary School</v>
          </cell>
          <cell r="D14530" t="str">
            <v>Blackpool</v>
          </cell>
          <cell r="E14530" t="str">
            <v>Voluntary Aided School</v>
          </cell>
          <cell r="F14530" t="str">
            <v>Primary</v>
          </cell>
        </row>
        <row r="14531">
          <cell r="A14531">
            <v>8663001</v>
          </cell>
          <cell r="B14531">
            <v>132830</v>
          </cell>
          <cell r="C14531" t="str">
            <v>Holy Family Catholic Primary School</v>
          </cell>
          <cell r="D14531" t="str">
            <v>Swindon</v>
          </cell>
          <cell r="E14531" t="str">
            <v>Voluntary Aided School</v>
          </cell>
          <cell r="F14531" t="str">
            <v>Primary</v>
          </cell>
        </row>
        <row r="14532">
          <cell r="A14532">
            <v>3412176</v>
          </cell>
          <cell r="B14532">
            <v>136062</v>
          </cell>
          <cell r="C14532" t="str">
            <v>Holy Family Catholic Primary School</v>
          </cell>
          <cell r="D14532" t="str">
            <v>Liverpool</v>
          </cell>
          <cell r="E14532" t="str">
            <v>Voluntary Aided School</v>
          </cell>
          <cell r="F14532" t="str">
            <v>Primary</v>
          </cell>
        </row>
        <row r="14533">
          <cell r="A14533">
            <v>3593393</v>
          </cell>
          <cell r="B14533">
            <v>106496</v>
          </cell>
          <cell r="C14533" t="str">
            <v>Holy Family Catholic Primary School Platt Bridge</v>
          </cell>
          <cell r="D14533" t="str">
            <v>Wigan</v>
          </cell>
          <cell r="E14533" t="str">
            <v>Voluntary Aided School</v>
          </cell>
          <cell r="F14533" t="str">
            <v>Primary</v>
          </cell>
        </row>
        <row r="14534">
          <cell r="A14534">
            <v>9363441</v>
          </cell>
          <cell r="B14534">
            <v>125210</v>
          </cell>
          <cell r="C14534" t="str">
            <v>Holy Family Catholic Primary School, Addlestone</v>
          </cell>
          <cell r="D14534" t="str">
            <v>Surrey</v>
          </cell>
          <cell r="E14534" t="str">
            <v>Voluntary Aided School</v>
          </cell>
          <cell r="F14534" t="str">
            <v>Primary</v>
          </cell>
        </row>
        <row r="14535">
          <cell r="A14535">
            <v>8813441</v>
          </cell>
          <cell r="B14535">
            <v>115158</v>
          </cell>
          <cell r="C14535" t="str">
            <v>Holy Family Catholic Primary School, Benfleet</v>
          </cell>
          <cell r="D14535" t="str">
            <v>Essex</v>
          </cell>
          <cell r="E14535" t="str">
            <v>Voluntary Aided School</v>
          </cell>
          <cell r="F14535" t="str">
            <v>Primary</v>
          </cell>
        </row>
        <row r="14536">
          <cell r="A14536">
            <v>8883653</v>
          </cell>
          <cell r="B14536">
            <v>119611</v>
          </cell>
          <cell r="C14536" t="str">
            <v>Holy Family Catholic Primary School, Ingol, Preston</v>
          </cell>
          <cell r="D14536" t="str">
            <v>Lancashire</v>
          </cell>
          <cell r="E14536" t="str">
            <v>Voluntary Aided School</v>
          </cell>
          <cell r="F14536" t="str">
            <v>Primary</v>
          </cell>
        </row>
        <row r="14537">
          <cell r="A14537">
            <v>8883616</v>
          </cell>
          <cell r="B14537">
            <v>119590</v>
          </cell>
          <cell r="C14537" t="str">
            <v>Holy Family Catholic Primary School, Warton</v>
          </cell>
          <cell r="D14537" t="str">
            <v>Lancashire</v>
          </cell>
          <cell r="E14537" t="str">
            <v>Voluntary Aided School</v>
          </cell>
          <cell r="F14537" t="str">
            <v>Primary</v>
          </cell>
        </row>
        <row r="14538">
          <cell r="A14538">
            <v>8813813</v>
          </cell>
          <cell r="B14538">
            <v>115199</v>
          </cell>
          <cell r="C14538" t="str">
            <v>Holy Family Catholic Primary School, Witham</v>
          </cell>
          <cell r="D14538" t="str">
            <v>Essex</v>
          </cell>
          <cell r="E14538" t="str">
            <v>Voluntary Aided School</v>
          </cell>
          <cell r="F14538" t="str">
            <v>Primary</v>
          </cell>
        </row>
        <row r="14539">
          <cell r="A14539">
            <v>2113667</v>
          </cell>
          <cell r="B14539">
            <v>100964</v>
          </cell>
          <cell r="C14539" t="str">
            <v>Holy Family Catholic School</v>
          </cell>
          <cell r="D14539" t="str">
            <v>Tower Hamlets</v>
          </cell>
          <cell r="E14539" t="str">
            <v>Voluntary Aided School</v>
          </cell>
          <cell r="F14539" t="str">
            <v>Primary</v>
          </cell>
        </row>
        <row r="14540">
          <cell r="A14540">
            <v>3084701</v>
          </cell>
          <cell r="B14540">
            <v>126892</v>
          </cell>
          <cell r="C14540" t="str">
            <v>Holy Family Covent RC School</v>
          </cell>
          <cell r="D14540" t="str">
            <v>Enfield</v>
          </cell>
          <cell r="E14540" t="str">
            <v>Voluntary Aided School</v>
          </cell>
          <cell r="F14540" t="str">
            <v>Secondary</v>
          </cell>
        </row>
        <row r="14541">
          <cell r="A14541">
            <v>3313420</v>
          </cell>
          <cell r="B14541">
            <v>127125</v>
          </cell>
          <cell r="C14541" t="str">
            <v>Holy Family Infant School</v>
          </cell>
          <cell r="D14541" t="str">
            <v>Coventry</v>
          </cell>
          <cell r="E14541" t="str">
            <v>Voluntary Aided School</v>
          </cell>
          <cell r="F14541" t="str">
            <v>Primary</v>
          </cell>
        </row>
        <row r="14542">
          <cell r="A14542">
            <v>6813354</v>
          </cell>
          <cell r="B14542">
            <v>401657</v>
          </cell>
          <cell r="C14542" t="str">
            <v>Holy Family R.C. Primary School</v>
          </cell>
          <cell r="D14542" t="str">
            <v>Cardiff</v>
          </cell>
          <cell r="E14542" t="str">
            <v>Welsh Establishment</v>
          </cell>
          <cell r="F14542" t="str">
            <v>Primary</v>
          </cell>
        </row>
        <row r="14543">
          <cell r="A14543">
            <v>3833614</v>
          </cell>
          <cell r="B14543">
            <v>127935</v>
          </cell>
          <cell r="C14543" t="str">
            <v>Holy Family RC First School</v>
          </cell>
          <cell r="D14543" t="str">
            <v>Leeds</v>
          </cell>
          <cell r="E14543" t="str">
            <v>Voluntary Aided School</v>
          </cell>
          <cell r="F14543" t="str">
            <v>Primary</v>
          </cell>
        </row>
        <row r="14544">
          <cell r="A14544">
            <v>9033356</v>
          </cell>
          <cell r="B14544">
            <v>128293</v>
          </cell>
          <cell r="C14544" t="str">
            <v>Holy Family RC First School</v>
          </cell>
          <cell r="D14544" t="str">
            <v>Pre LGR (1998) Berkshire</v>
          </cell>
          <cell r="E14544" t="str">
            <v>Voluntary Aided School</v>
          </cell>
          <cell r="F14544" t="str">
            <v>Primary</v>
          </cell>
        </row>
        <row r="14545">
          <cell r="A14545">
            <v>3313407</v>
          </cell>
          <cell r="B14545">
            <v>127122</v>
          </cell>
          <cell r="C14545" t="str">
            <v>Holy Family RC Junior School</v>
          </cell>
          <cell r="D14545" t="str">
            <v>Coventry</v>
          </cell>
          <cell r="E14545" t="str">
            <v>Voluntary Aided School</v>
          </cell>
          <cell r="F14545" t="str">
            <v>Primary</v>
          </cell>
        </row>
        <row r="14546">
          <cell r="A14546">
            <v>3533400</v>
          </cell>
          <cell r="B14546">
            <v>105724</v>
          </cell>
          <cell r="C14546" t="str">
            <v>Holy Family RC Primary School</v>
          </cell>
          <cell r="D14546" t="str">
            <v>Oldham</v>
          </cell>
          <cell r="E14546" t="str">
            <v>Voluntary Aided School</v>
          </cell>
          <cell r="F14546" t="str">
            <v>Primary</v>
          </cell>
        </row>
        <row r="14547">
          <cell r="A14547">
            <v>8413307</v>
          </cell>
          <cell r="B14547">
            <v>114239</v>
          </cell>
          <cell r="C14547" t="str">
            <v>Holy Family RC Primary School</v>
          </cell>
          <cell r="D14547" t="str">
            <v>Darlington</v>
          </cell>
          <cell r="E14547" t="str">
            <v>Voluntary Aided School</v>
          </cell>
          <cell r="F14547" t="str">
            <v>Primary</v>
          </cell>
        </row>
        <row r="14548">
          <cell r="A14548">
            <v>8865205</v>
          </cell>
          <cell r="B14548">
            <v>118851</v>
          </cell>
          <cell r="C14548" t="str">
            <v>Holy Family RC Primary School</v>
          </cell>
          <cell r="D14548" t="str">
            <v>Kent</v>
          </cell>
          <cell r="E14548" t="str">
            <v>Voluntary Aided School</v>
          </cell>
          <cell r="F14548" t="str">
            <v>Primary</v>
          </cell>
        </row>
        <row r="14549">
          <cell r="A14549">
            <v>3503357</v>
          </cell>
          <cell r="B14549">
            <v>127398</v>
          </cell>
          <cell r="C14549" t="str">
            <v>Holy Family RC Primary School</v>
          </cell>
          <cell r="D14549" t="str">
            <v>Bolton</v>
          </cell>
          <cell r="E14549" t="str">
            <v>Voluntary Aided School</v>
          </cell>
          <cell r="F14549" t="str">
            <v>Primary</v>
          </cell>
        </row>
        <row r="14550">
          <cell r="A14550">
            <v>3593387</v>
          </cell>
          <cell r="B14550">
            <v>106491</v>
          </cell>
          <cell r="C14550" t="str">
            <v>Holy Family RC Primary School, New Springs, Wigan</v>
          </cell>
          <cell r="D14550" t="str">
            <v>Wigan</v>
          </cell>
          <cell r="E14550" t="str">
            <v>Voluntary Aided School</v>
          </cell>
          <cell r="F14550" t="str">
            <v>Primary</v>
          </cell>
        </row>
        <row r="14551">
          <cell r="A14551">
            <v>3544801</v>
          </cell>
          <cell r="B14551">
            <v>131726</v>
          </cell>
          <cell r="C14551" t="str">
            <v>Holy Family Roman Catholic and Church of England College</v>
          </cell>
          <cell r="D14551" t="str">
            <v>Rochdale</v>
          </cell>
          <cell r="E14551" t="str">
            <v>Voluntary Aided School</v>
          </cell>
          <cell r="F14551" t="str">
            <v>Secondary</v>
          </cell>
        </row>
        <row r="14552">
          <cell r="A14552">
            <v>8663429</v>
          </cell>
          <cell r="B14552">
            <v>126428</v>
          </cell>
          <cell r="C14552" t="str">
            <v>Holy Family Roman Catholic Infant School</v>
          </cell>
          <cell r="D14552" t="str">
            <v>Swindon</v>
          </cell>
          <cell r="E14552" t="str">
            <v>Voluntary Aided School</v>
          </cell>
          <cell r="F14552" t="str">
            <v>Primary</v>
          </cell>
        </row>
        <row r="14553">
          <cell r="A14553">
            <v>3543507</v>
          </cell>
          <cell r="B14553">
            <v>105830</v>
          </cell>
          <cell r="C14553" t="str">
            <v>Holy Family Roman Catholic Primary School, Rochdale</v>
          </cell>
          <cell r="D14553" t="str">
            <v>Rochdale</v>
          </cell>
          <cell r="E14553" t="str">
            <v>Voluntary Aided School</v>
          </cell>
          <cell r="F14553" t="str">
            <v>Primary</v>
          </cell>
        </row>
        <row r="14554">
          <cell r="A14554">
            <v>3552043</v>
          </cell>
          <cell r="B14554">
            <v>136080</v>
          </cell>
          <cell r="C14554" t="str">
            <v>Holy Family VA RC Primary School</v>
          </cell>
          <cell r="D14554" t="str">
            <v>Salford</v>
          </cell>
          <cell r="E14554" t="str">
            <v>Voluntary Aided School</v>
          </cell>
          <cell r="F14554" t="str">
            <v>Primary</v>
          </cell>
        </row>
        <row r="14555">
          <cell r="A14555">
            <v>2123376</v>
          </cell>
          <cell r="B14555">
            <v>101036</v>
          </cell>
          <cell r="C14555" t="str">
            <v>Holy Ghost Catholic Primary School</v>
          </cell>
          <cell r="D14555" t="str">
            <v>Wandsworth</v>
          </cell>
          <cell r="E14555" t="str">
            <v>Voluntary Aided School</v>
          </cell>
          <cell r="F14555" t="str">
            <v>Primary</v>
          </cell>
        </row>
        <row r="14556">
          <cell r="A14556">
            <v>3503315</v>
          </cell>
          <cell r="B14556">
            <v>105219</v>
          </cell>
          <cell r="C14556" t="str">
            <v>Holy Infant and St Anthony RC Primary School</v>
          </cell>
          <cell r="D14556" t="str">
            <v>Bolton</v>
          </cell>
          <cell r="E14556" t="str">
            <v>Voluntary Aided School</v>
          </cell>
          <cell r="F14556" t="str">
            <v>Primary</v>
          </cell>
        </row>
        <row r="14557">
          <cell r="A14557">
            <v>3055201</v>
          </cell>
          <cell r="B14557">
            <v>101661</v>
          </cell>
          <cell r="C14557" t="str">
            <v>Holy Innocents Catholic Primary School</v>
          </cell>
          <cell r="D14557" t="str">
            <v>Bromley</v>
          </cell>
          <cell r="E14557" t="str">
            <v>Voluntary Aided School</v>
          </cell>
          <cell r="F14557" t="str">
            <v>Primary</v>
          </cell>
        </row>
        <row r="14558">
          <cell r="A14558">
            <v>9293447</v>
          </cell>
          <cell r="B14558">
            <v>122294</v>
          </cell>
          <cell r="C14558" t="str">
            <v>Holy Island Church of England First School</v>
          </cell>
          <cell r="D14558" t="str">
            <v>Northumberland</v>
          </cell>
          <cell r="E14558" t="str">
            <v>Voluntary Aided School</v>
          </cell>
          <cell r="F14558" t="str">
            <v>Primary</v>
          </cell>
        </row>
        <row r="14559">
          <cell r="A14559">
            <v>3333308</v>
          </cell>
          <cell r="B14559">
            <v>103996</v>
          </cell>
          <cell r="C14559" t="str">
            <v>Holy Name Catholic Primary School</v>
          </cell>
          <cell r="D14559" t="str">
            <v>Sandwell</v>
          </cell>
          <cell r="E14559" t="str">
            <v>Voluntary Aided School</v>
          </cell>
          <cell r="F14559" t="str">
            <v>Primary</v>
          </cell>
        </row>
        <row r="14560">
          <cell r="A14560">
            <v>3413513</v>
          </cell>
          <cell r="B14560">
            <v>104634</v>
          </cell>
          <cell r="C14560" t="str">
            <v>Holy Name Catholic Primary School</v>
          </cell>
          <cell r="D14560" t="str">
            <v>Liverpool</v>
          </cell>
          <cell r="E14560" t="str">
            <v>Voluntary Aided School</v>
          </cell>
          <cell r="F14560" t="str">
            <v>Primary</v>
          </cell>
        </row>
        <row r="14561">
          <cell r="A14561">
            <v>3833380</v>
          </cell>
          <cell r="B14561">
            <v>108034</v>
          </cell>
          <cell r="C14561" t="str">
            <v>Holy Name Catholic Primary School</v>
          </cell>
          <cell r="D14561" t="str">
            <v>Leeds</v>
          </cell>
          <cell r="E14561" t="str">
            <v>Voluntary Aided School</v>
          </cell>
          <cell r="F14561" t="str">
            <v>Primary</v>
          </cell>
        </row>
        <row r="14562">
          <cell r="A14562">
            <v>8103404</v>
          </cell>
          <cell r="B14562">
            <v>118047</v>
          </cell>
          <cell r="C14562" t="str">
            <v>Holy Name RC Primary School</v>
          </cell>
          <cell r="D14562" t="str">
            <v>Kingston upon Hull City of</v>
          </cell>
          <cell r="E14562" t="str">
            <v>Voluntary Aided School</v>
          </cell>
          <cell r="F14562" t="str">
            <v>Primary</v>
          </cell>
        </row>
        <row r="14563">
          <cell r="A14563">
            <v>3834750</v>
          </cell>
          <cell r="B14563">
            <v>128037</v>
          </cell>
          <cell r="C14563" t="str">
            <v>Holy Name RC School</v>
          </cell>
          <cell r="D14563" t="str">
            <v>Leeds</v>
          </cell>
          <cell r="E14563" t="str">
            <v>Voluntary Aided School</v>
          </cell>
          <cell r="F14563" t="str">
            <v>Secondary</v>
          </cell>
        </row>
        <row r="14564">
          <cell r="A14564">
            <v>3523408</v>
          </cell>
          <cell r="B14564">
            <v>105516</v>
          </cell>
          <cell r="C14564" t="str">
            <v>Holy Name Roman Catholic Primary School Manchester</v>
          </cell>
          <cell r="D14564" t="str">
            <v>Manchester</v>
          </cell>
          <cell r="E14564" t="str">
            <v>Voluntary Aided School</v>
          </cell>
          <cell r="F14564" t="str">
            <v>Primary</v>
          </cell>
        </row>
        <row r="14565">
          <cell r="A14565">
            <v>6683311</v>
          </cell>
          <cell r="B14565">
            <v>400720</v>
          </cell>
          <cell r="C14565" t="str">
            <v>Holy Name V.R.C. School</v>
          </cell>
          <cell r="D14565" t="str">
            <v>Pembrokeshire</v>
          </cell>
          <cell r="E14565" t="str">
            <v>Welsh Establishment</v>
          </cell>
          <cell r="F14565" t="str">
            <v>Primary</v>
          </cell>
        </row>
        <row r="14566">
          <cell r="A14566">
            <v>8853368</v>
          </cell>
          <cell r="B14566">
            <v>116908</v>
          </cell>
          <cell r="C14566" t="str">
            <v>Holy Redeemer Catholic Primary School</v>
          </cell>
          <cell r="D14566" t="str">
            <v>Worcestershire</v>
          </cell>
          <cell r="E14566" t="str">
            <v>Voluntary Aided School</v>
          </cell>
          <cell r="F14566" t="str">
            <v>Primary</v>
          </cell>
        </row>
        <row r="14567">
          <cell r="A14567">
            <v>8663426</v>
          </cell>
          <cell r="B14567">
            <v>126426</v>
          </cell>
          <cell r="C14567" t="str">
            <v>Holy Rood Catholic Infant School</v>
          </cell>
          <cell r="D14567" t="str">
            <v>Swindon</v>
          </cell>
          <cell r="E14567" t="str">
            <v>Voluntary Aided School</v>
          </cell>
          <cell r="F14567" t="str">
            <v>Primary</v>
          </cell>
        </row>
        <row r="14568">
          <cell r="A14568">
            <v>8663426</v>
          </cell>
          <cell r="B14568">
            <v>137074</v>
          </cell>
          <cell r="C14568" t="str">
            <v>Holy Rood Catholic Infant School</v>
          </cell>
          <cell r="D14568" t="str">
            <v>Swindon</v>
          </cell>
          <cell r="E14568" t="str">
            <v>Academy Converters</v>
          </cell>
          <cell r="F14568" t="str">
            <v>Primary</v>
          </cell>
        </row>
        <row r="14569">
          <cell r="A14569">
            <v>9193412</v>
          </cell>
          <cell r="B14569">
            <v>117486</v>
          </cell>
          <cell r="C14569" t="str">
            <v>Holy Rood Catholic Junior School</v>
          </cell>
          <cell r="D14569" t="str">
            <v>Hertfordshire</v>
          </cell>
          <cell r="E14569" t="str">
            <v>Voluntary Aided School</v>
          </cell>
          <cell r="F14569" t="str">
            <v>Primary</v>
          </cell>
        </row>
        <row r="14570">
          <cell r="A14570">
            <v>8665211</v>
          </cell>
          <cell r="B14570">
            <v>126485</v>
          </cell>
          <cell r="C14570" t="str">
            <v>Holy Rood Catholic Junior School</v>
          </cell>
          <cell r="D14570" t="str">
            <v>Swindon</v>
          </cell>
          <cell r="E14570" t="str">
            <v>Voluntary Aided School</v>
          </cell>
          <cell r="F14570" t="str">
            <v>Primary</v>
          </cell>
        </row>
        <row r="14571">
          <cell r="A14571">
            <v>8665211</v>
          </cell>
          <cell r="B14571">
            <v>136981</v>
          </cell>
          <cell r="C14571" t="str">
            <v>Holy Rood Catholic Junior School</v>
          </cell>
          <cell r="D14571" t="str">
            <v>Swindon</v>
          </cell>
          <cell r="E14571" t="str">
            <v>Academy Converters</v>
          </cell>
          <cell r="F14571" t="str">
            <v>Primary</v>
          </cell>
        </row>
        <row r="14572">
          <cell r="A14572">
            <v>3703304</v>
          </cell>
          <cell r="B14572">
            <v>106632</v>
          </cell>
          <cell r="C14572" t="str">
            <v>Holy Rood Catholic Primary School</v>
          </cell>
          <cell r="D14572" t="str">
            <v>Barnsley</v>
          </cell>
          <cell r="E14572" t="str">
            <v>Voluntary Aided School</v>
          </cell>
          <cell r="F14572" t="str">
            <v>Primary</v>
          </cell>
        </row>
        <row r="14573">
          <cell r="A14573">
            <v>9193985</v>
          </cell>
          <cell r="B14573">
            <v>127416</v>
          </cell>
          <cell r="C14573" t="str">
            <v>Holy Rood Catholic Primary School</v>
          </cell>
          <cell r="D14573" t="str">
            <v>Hertfordshire</v>
          </cell>
          <cell r="E14573" t="str">
            <v>Voluntary Aided School</v>
          </cell>
          <cell r="F14573" t="str">
            <v>Primary</v>
          </cell>
        </row>
        <row r="14574">
          <cell r="A14574">
            <v>9193426</v>
          </cell>
          <cell r="B14574">
            <v>117494</v>
          </cell>
          <cell r="C14574" t="str">
            <v>Holy Rood RC Infants' School</v>
          </cell>
          <cell r="D14574" t="str">
            <v>Hertfordshire</v>
          </cell>
          <cell r="E14574" t="str">
            <v>Voluntary Aided School</v>
          </cell>
          <cell r="F14574" t="str">
            <v>Primary</v>
          </cell>
        </row>
        <row r="14575">
          <cell r="A14575">
            <v>3833383</v>
          </cell>
          <cell r="B14575">
            <v>108037</v>
          </cell>
          <cell r="C14575" t="str">
            <v>Holy Rosary and St Anne's Catholic Primary School</v>
          </cell>
          <cell r="D14575" t="str">
            <v>Leeds</v>
          </cell>
          <cell r="E14575" t="str">
            <v>Voluntary Aided School</v>
          </cell>
          <cell r="F14575" t="str">
            <v>Primary</v>
          </cell>
        </row>
        <row r="14576">
          <cell r="A14576">
            <v>3833620</v>
          </cell>
          <cell r="B14576">
            <v>127938</v>
          </cell>
          <cell r="C14576" t="str">
            <v>Holy Rosary and St Anne's RC First School</v>
          </cell>
          <cell r="D14576" t="str">
            <v>Leeds</v>
          </cell>
          <cell r="E14576" t="str">
            <v>Voluntary Aided School</v>
          </cell>
          <cell r="F14576" t="str">
            <v>Primary</v>
          </cell>
        </row>
        <row r="14577">
          <cell r="A14577">
            <v>3363302</v>
          </cell>
          <cell r="B14577">
            <v>104373</v>
          </cell>
          <cell r="C14577" t="str">
            <v>Holy Rosary Catholic Primary School</v>
          </cell>
          <cell r="D14577" t="str">
            <v>Wolverhampton</v>
          </cell>
          <cell r="E14577" t="str">
            <v>Voluntary Aided School</v>
          </cell>
          <cell r="F14577" t="str">
            <v>Primary</v>
          </cell>
        </row>
        <row r="14578">
          <cell r="A14578">
            <v>3433374</v>
          </cell>
          <cell r="B14578">
            <v>104940</v>
          </cell>
          <cell r="C14578" t="str">
            <v>Holy Rosary Catholic Primary School</v>
          </cell>
          <cell r="D14578" t="str">
            <v>Sefton</v>
          </cell>
          <cell r="E14578" t="str">
            <v>Voluntary Aided School</v>
          </cell>
          <cell r="F14578" t="str">
            <v>Primary</v>
          </cell>
        </row>
        <row r="14579">
          <cell r="A14579">
            <v>8603422</v>
          </cell>
          <cell r="B14579">
            <v>124327</v>
          </cell>
          <cell r="C14579" t="str">
            <v>Holy Rosary Catholic Primary School</v>
          </cell>
          <cell r="D14579" t="str">
            <v>Staffordshire</v>
          </cell>
          <cell r="E14579" t="str">
            <v>Voluntary Aided School</v>
          </cell>
          <cell r="F14579" t="str">
            <v>Primary</v>
          </cell>
        </row>
        <row r="14580">
          <cell r="A14580">
            <v>3533328</v>
          </cell>
          <cell r="B14580">
            <v>105701</v>
          </cell>
          <cell r="C14580" t="str">
            <v>Holy Rosary RC Junior Infant and Nursery School</v>
          </cell>
          <cell r="D14580" t="str">
            <v>Oldham</v>
          </cell>
          <cell r="E14580" t="str">
            <v>Voluntary Aided School</v>
          </cell>
          <cell r="F14580" t="str">
            <v>Primary</v>
          </cell>
        </row>
        <row r="14581">
          <cell r="A14581">
            <v>8883757</v>
          </cell>
          <cell r="B14581">
            <v>119654</v>
          </cell>
          <cell r="C14581" t="str">
            <v>Holy Saviour Roman Catholic Primary School, Nelson</v>
          </cell>
          <cell r="D14581" t="str">
            <v>Lancashire</v>
          </cell>
          <cell r="E14581" t="str">
            <v>Voluntary Aided School</v>
          </cell>
          <cell r="F14581" t="str">
            <v>Primary</v>
          </cell>
        </row>
        <row r="14582">
          <cell r="A14582">
            <v>3303327</v>
          </cell>
          <cell r="B14582">
            <v>103429</v>
          </cell>
          <cell r="C14582" t="str">
            <v>Holy Souls Catholic Primary School</v>
          </cell>
          <cell r="D14582" t="str">
            <v>Birmingham</v>
          </cell>
          <cell r="E14582" t="str">
            <v>Voluntary Aided School</v>
          </cell>
          <cell r="F14582" t="str">
            <v>Primary</v>
          </cell>
        </row>
        <row r="14583">
          <cell r="A14583">
            <v>8893514</v>
          </cell>
          <cell r="B14583">
            <v>119517</v>
          </cell>
          <cell r="C14583" t="str">
            <v>Holy Souls Roman Catholic Primary School Blackburn</v>
          </cell>
          <cell r="D14583" t="str">
            <v>Blackburn with Darwen</v>
          </cell>
          <cell r="E14583" t="str">
            <v>Voluntary Aided School</v>
          </cell>
          <cell r="F14583" t="str">
            <v>Primary</v>
          </cell>
        </row>
        <row r="14584">
          <cell r="A14584">
            <v>3443363</v>
          </cell>
          <cell r="B14584">
            <v>136124</v>
          </cell>
          <cell r="C14584" t="str">
            <v>Holy Spirit Catholic and Church of England Primary School</v>
          </cell>
          <cell r="D14584" t="str">
            <v>Wirral</v>
          </cell>
          <cell r="E14584" t="str">
            <v>Voluntary Aided School</v>
          </cell>
          <cell r="F14584" t="str">
            <v>Primary</v>
          </cell>
        </row>
        <row r="14585">
          <cell r="A14585">
            <v>3433322</v>
          </cell>
          <cell r="B14585">
            <v>104910</v>
          </cell>
          <cell r="C14585" t="str">
            <v>Holy Spirit Catholic Primary School</v>
          </cell>
          <cell r="D14585" t="str">
            <v>Sefton</v>
          </cell>
          <cell r="E14585" t="str">
            <v>Voluntary Aided School</v>
          </cell>
          <cell r="F14585" t="str">
            <v>Primary</v>
          </cell>
        </row>
        <row r="14586">
          <cell r="A14586">
            <v>3823336</v>
          </cell>
          <cell r="B14586">
            <v>107748</v>
          </cell>
          <cell r="C14586" t="str">
            <v>Holy Spirit Catholic Primary School</v>
          </cell>
          <cell r="D14586" t="str">
            <v>Kirklees</v>
          </cell>
          <cell r="E14586" t="str">
            <v>Voluntary Aided School</v>
          </cell>
          <cell r="F14586" t="str">
            <v>Primary</v>
          </cell>
        </row>
        <row r="14587">
          <cell r="A14587">
            <v>3422072</v>
          </cell>
          <cell r="B14587">
            <v>132188</v>
          </cell>
          <cell r="C14587" t="str">
            <v>Holy Spirit Catholic Primary School</v>
          </cell>
          <cell r="D14587" t="str">
            <v>St. Helens</v>
          </cell>
          <cell r="E14587" t="str">
            <v>Voluntary Aided School</v>
          </cell>
          <cell r="F14587" t="str">
            <v>Primary</v>
          </cell>
        </row>
        <row r="14588">
          <cell r="A14588">
            <v>3703326</v>
          </cell>
          <cell r="B14588">
            <v>135896</v>
          </cell>
          <cell r="C14588" t="str">
            <v>Holy Trinity</v>
          </cell>
          <cell r="D14588" t="str">
            <v>Barnsley</v>
          </cell>
          <cell r="E14588" t="str">
            <v>Voluntary Aided School</v>
          </cell>
          <cell r="F14588" t="str">
            <v>Middle Deemed Primary</v>
          </cell>
        </row>
        <row r="14589">
          <cell r="A14589">
            <v>2023361</v>
          </cell>
          <cell r="B14589">
            <v>100033</v>
          </cell>
          <cell r="C14589" t="str">
            <v>Holy Trinity and Saint Silas CofE Primary School, NW1</v>
          </cell>
          <cell r="D14589" t="str">
            <v>Camden</v>
          </cell>
          <cell r="E14589" t="str">
            <v>Voluntary Aided School</v>
          </cell>
          <cell r="F14589" t="str">
            <v>Primary</v>
          </cell>
        </row>
        <row r="14590">
          <cell r="A14590">
            <v>3304664</v>
          </cell>
          <cell r="B14590">
            <v>103538</v>
          </cell>
          <cell r="C14590" t="str">
            <v>Holy Trinity Catholic Media Arts College</v>
          </cell>
          <cell r="D14590" t="str">
            <v>Birmingham</v>
          </cell>
          <cell r="E14590" t="str">
            <v>Voluntary Aided School</v>
          </cell>
          <cell r="F14590" t="str">
            <v>Secondary</v>
          </cell>
        </row>
        <row r="14591">
          <cell r="A14591">
            <v>3363309</v>
          </cell>
          <cell r="B14591">
            <v>104378</v>
          </cell>
          <cell r="C14591" t="str">
            <v>Holy Trinity Catholic Primary School</v>
          </cell>
          <cell r="D14591" t="str">
            <v>Wolverhampton</v>
          </cell>
          <cell r="E14591" t="str">
            <v>Voluntary Aided School</v>
          </cell>
          <cell r="F14591" t="str">
            <v>Primary</v>
          </cell>
        </row>
        <row r="14592">
          <cell r="A14592">
            <v>3413514</v>
          </cell>
          <cell r="B14592">
            <v>104635</v>
          </cell>
          <cell r="C14592" t="str">
            <v>Holy Trinity Catholic Primary School</v>
          </cell>
          <cell r="D14592" t="str">
            <v>Liverpool</v>
          </cell>
          <cell r="E14592" t="str">
            <v>Voluntary Aided School</v>
          </cell>
          <cell r="F14592" t="str">
            <v>Primary</v>
          </cell>
        </row>
        <row r="14593">
          <cell r="A14593">
            <v>9083895</v>
          </cell>
          <cell r="B14593">
            <v>134792</v>
          </cell>
          <cell r="C14593" t="str">
            <v>Holy Trinity Catholic Primary School</v>
          </cell>
          <cell r="D14593" t="str">
            <v>Cornwall</v>
          </cell>
          <cell r="E14593" t="str">
            <v>Voluntary Aided School</v>
          </cell>
          <cell r="F14593" t="str">
            <v>Primary</v>
          </cell>
        </row>
        <row r="14594">
          <cell r="A14594">
            <v>8913766</v>
          </cell>
          <cell r="B14594">
            <v>122818</v>
          </cell>
          <cell r="C14594" t="str">
            <v>Holy Trinity Catholic School</v>
          </cell>
          <cell r="D14594" t="str">
            <v>Nottinghamshire</v>
          </cell>
          <cell r="E14594" t="str">
            <v>Voluntary Aided School</v>
          </cell>
          <cell r="F14594" t="str">
            <v>Primary</v>
          </cell>
        </row>
        <row r="14595">
          <cell r="A14595">
            <v>9313420</v>
          </cell>
          <cell r="B14595">
            <v>123184</v>
          </cell>
          <cell r="C14595" t="str">
            <v>Holy Trinity Catholic School, Chipping Norton</v>
          </cell>
          <cell r="D14595" t="str">
            <v>Oxfordshire</v>
          </cell>
          <cell r="E14595" t="str">
            <v>Voluntary Aided School</v>
          </cell>
          <cell r="F14595" t="str">
            <v>Primary</v>
          </cell>
        </row>
        <row r="14596">
          <cell r="A14596">
            <v>8053330</v>
          </cell>
          <cell r="B14596">
            <v>111699</v>
          </cell>
          <cell r="C14596" t="str">
            <v>Holy Trinity Church of England (Aided) Primary School</v>
          </cell>
          <cell r="D14596" t="str">
            <v>Hartlepool</v>
          </cell>
          <cell r="E14596" t="str">
            <v>Voluntary Aided School</v>
          </cell>
          <cell r="F14596" t="str">
            <v>Primary</v>
          </cell>
        </row>
        <row r="14597">
          <cell r="A14597">
            <v>8253347</v>
          </cell>
          <cell r="B14597">
            <v>110471</v>
          </cell>
          <cell r="C14597" t="str">
            <v>Holy Trinity Church of England (Aided) School</v>
          </cell>
          <cell r="D14597" t="str">
            <v>Buckinghamshire</v>
          </cell>
          <cell r="E14597" t="str">
            <v>Voluntary Aided School</v>
          </cell>
          <cell r="F14597" t="str">
            <v>Primary</v>
          </cell>
        </row>
        <row r="14598">
          <cell r="A14598">
            <v>9293346</v>
          </cell>
          <cell r="B14598">
            <v>122282</v>
          </cell>
          <cell r="C14598" t="str">
            <v>Holy Trinity Church of England First School</v>
          </cell>
          <cell r="D14598" t="str">
            <v>Northumberland</v>
          </cell>
          <cell r="E14598" t="str">
            <v>Voluntary Aided School</v>
          </cell>
          <cell r="F14598" t="str">
            <v>Primary</v>
          </cell>
        </row>
        <row r="14599">
          <cell r="A14599">
            <v>8353201</v>
          </cell>
          <cell r="B14599">
            <v>113786</v>
          </cell>
          <cell r="C14599" t="str">
            <v>Holy Trinity Church of England Infant School and Community Nursery, Weymouth</v>
          </cell>
          <cell r="D14599" t="str">
            <v>Dorset</v>
          </cell>
          <cell r="E14599" t="str">
            <v>Voluntary Controlled School</v>
          </cell>
          <cell r="F14599" t="str">
            <v>Primary</v>
          </cell>
        </row>
        <row r="14600">
          <cell r="A14600">
            <v>8353200</v>
          </cell>
          <cell r="B14600">
            <v>113785</v>
          </cell>
          <cell r="C14600" t="str">
            <v>Holy Trinity Church of England Junior School</v>
          </cell>
          <cell r="D14600" t="str">
            <v>Dorset</v>
          </cell>
          <cell r="E14600" t="str">
            <v>Voluntary Controlled School</v>
          </cell>
          <cell r="F14600" t="str">
            <v>Primary</v>
          </cell>
        </row>
        <row r="14601">
          <cell r="A14601">
            <v>8935203</v>
          </cell>
          <cell r="B14601">
            <v>135786</v>
          </cell>
          <cell r="C14601" t="str">
            <v>Holy Trinity Church of England Primary</v>
          </cell>
          <cell r="D14601" t="str">
            <v>Shropshire</v>
          </cell>
          <cell r="E14601" t="str">
            <v>Voluntary Controlled School</v>
          </cell>
          <cell r="F14601" t="str">
            <v>Primary</v>
          </cell>
        </row>
        <row r="14602">
          <cell r="A14602">
            <v>2043358</v>
          </cell>
          <cell r="B14602">
            <v>100263</v>
          </cell>
          <cell r="C14602" t="str">
            <v>Holy Trinity Church of England Primary School</v>
          </cell>
          <cell r="D14602" t="str">
            <v>Hackney</v>
          </cell>
          <cell r="E14602" t="str">
            <v>Voluntary Aided School</v>
          </cell>
          <cell r="F14602" t="str">
            <v>Primary</v>
          </cell>
        </row>
        <row r="14603">
          <cell r="A14603">
            <v>2083621</v>
          </cell>
          <cell r="B14603">
            <v>100622</v>
          </cell>
          <cell r="C14603" t="str">
            <v>Holy Trinity Church of England Primary School</v>
          </cell>
          <cell r="D14603" t="str">
            <v>Lambeth</v>
          </cell>
          <cell r="E14603" t="str">
            <v>Voluntary Aided School</v>
          </cell>
          <cell r="F14603" t="str">
            <v>Primary</v>
          </cell>
        </row>
        <row r="14604">
          <cell r="A14604">
            <v>2093360</v>
          </cell>
          <cell r="B14604">
            <v>100723</v>
          </cell>
          <cell r="C14604" t="str">
            <v>Holy Trinity Church of England Primary School</v>
          </cell>
          <cell r="D14604" t="str">
            <v>Lewisham</v>
          </cell>
          <cell r="E14604" t="str">
            <v>Voluntary Aided School</v>
          </cell>
          <cell r="F14604" t="str">
            <v>Primary</v>
          </cell>
        </row>
        <row r="14605">
          <cell r="A14605">
            <v>3183304</v>
          </cell>
          <cell r="B14605">
            <v>102908</v>
          </cell>
          <cell r="C14605" t="str">
            <v>Holy Trinity Church of England Primary School</v>
          </cell>
          <cell r="D14605" t="str">
            <v>Richmond upon Thames</v>
          </cell>
          <cell r="E14605" t="str">
            <v>Voluntary Aided School</v>
          </cell>
          <cell r="F14605" t="str">
            <v>Primary</v>
          </cell>
        </row>
        <row r="14606">
          <cell r="A14606">
            <v>3303303</v>
          </cell>
          <cell r="B14606">
            <v>103413</v>
          </cell>
          <cell r="C14606" t="str">
            <v>Holy Trinity Church of England Primary School</v>
          </cell>
          <cell r="D14606" t="str">
            <v>Birmingham</v>
          </cell>
          <cell r="E14606" t="str">
            <v>Voluntary Aided School</v>
          </cell>
          <cell r="F14606" t="str">
            <v>Primary</v>
          </cell>
        </row>
        <row r="14607">
          <cell r="A14607">
            <v>3353010</v>
          </cell>
          <cell r="B14607">
            <v>104223</v>
          </cell>
          <cell r="C14607" t="str">
            <v>Holy Trinity Church of England Primary School</v>
          </cell>
          <cell r="D14607" t="str">
            <v>Walsall</v>
          </cell>
          <cell r="E14607" t="str">
            <v>Voluntary Controlled School</v>
          </cell>
          <cell r="F14607" t="str">
            <v>Primary</v>
          </cell>
        </row>
        <row r="14608">
          <cell r="A14608">
            <v>3433304</v>
          </cell>
          <cell r="B14608">
            <v>104901</v>
          </cell>
          <cell r="C14608" t="str">
            <v>Holy Trinity Church of England Primary School</v>
          </cell>
          <cell r="D14608" t="str">
            <v>Sefton</v>
          </cell>
          <cell r="E14608" t="str">
            <v>Voluntary Aided School</v>
          </cell>
          <cell r="F14608" t="str">
            <v>Primary</v>
          </cell>
        </row>
        <row r="14609">
          <cell r="A14609">
            <v>3543306</v>
          </cell>
          <cell r="B14609">
            <v>105814</v>
          </cell>
          <cell r="C14609" t="str">
            <v>Holy Trinity Church of England Primary School</v>
          </cell>
          <cell r="D14609" t="str">
            <v>Rochdale</v>
          </cell>
          <cell r="E14609" t="str">
            <v>Voluntary Aided School</v>
          </cell>
          <cell r="F14609" t="str">
            <v>Primary</v>
          </cell>
        </row>
        <row r="14610">
          <cell r="A14610">
            <v>9163093</v>
          </cell>
          <cell r="B14610">
            <v>115666</v>
          </cell>
          <cell r="C14610" t="str">
            <v>Holy Trinity Church of England Primary School</v>
          </cell>
          <cell r="D14610" t="str">
            <v>Gloucestershire</v>
          </cell>
          <cell r="E14610" t="str">
            <v>Voluntary Controlled School</v>
          </cell>
          <cell r="F14610" t="str">
            <v>Primary</v>
          </cell>
        </row>
        <row r="14611">
          <cell r="A14611">
            <v>9193326</v>
          </cell>
          <cell r="B14611">
            <v>117428</v>
          </cell>
          <cell r="C14611" t="str">
            <v>Holy Trinity Church of England Primary School</v>
          </cell>
          <cell r="D14611" t="str">
            <v>Hertfordshire</v>
          </cell>
          <cell r="E14611" t="str">
            <v>Voluntary Aided School</v>
          </cell>
          <cell r="F14611" t="str">
            <v>Primary</v>
          </cell>
        </row>
        <row r="14612">
          <cell r="A14612">
            <v>9333489</v>
          </cell>
          <cell r="B14612">
            <v>123859</v>
          </cell>
          <cell r="C14612" t="str">
            <v>Holy Trinity Church of England Primary School</v>
          </cell>
          <cell r="D14612" t="str">
            <v>Somerset</v>
          </cell>
          <cell r="E14612" t="str">
            <v>Voluntary Aided School</v>
          </cell>
          <cell r="F14612" t="str">
            <v>Primary</v>
          </cell>
        </row>
        <row r="14613">
          <cell r="A14613">
            <v>8865213</v>
          </cell>
          <cell r="B14613">
            <v>118859</v>
          </cell>
          <cell r="C14613" t="str">
            <v>Holy Trinity Church of England Primary School, Dartford</v>
          </cell>
          <cell r="D14613" t="str">
            <v>Kent</v>
          </cell>
          <cell r="E14613" t="str">
            <v>Voluntary Aided School</v>
          </cell>
          <cell r="F14613" t="str">
            <v>Primary</v>
          </cell>
        </row>
        <row r="14614">
          <cell r="A14614">
            <v>8655213</v>
          </cell>
          <cell r="B14614">
            <v>126487</v>
          </cell>
          <cell r="C14614" t="str">
            <v>Holy Trinity Church of England School, Calne</v>
          </cell>
          <cell r="D14614" t="str">
            <v>Wiltshire</v>
          </cell>
          <cell r="E14614" t="str">
            <v>Voluntary Aided School</v>
          </cell>
          <cell r="F14614" t="str">
            <v>Primary</v>
          </cell>
        </row>
        <row r="14615">
          <cell r="A14615">
            <v>8865202</v>
          </cell>
          <cell r="B14615">
            <v>118848</v>
          </cell>
          <cell r="C14615" t="str">
            <v>Holy Trinity Church of England Voluntary Aided Primary School</v>
          </cell>
          <cell r="D14615" t="str">
            <v>Kent</v>
          </cell>
          <cell r="E14615" t="str">
            <v>Voluntary Aided School</v>
          </cell>
          <cell r="F14615" t="str">
            <v>Primary</v>
          </cell>
        </row>
        <row r="14616">
          <cell r="A14616">
            <v>8813006</v>
          </cell>
          <cell r="B14616">
            <v>115066</v>
          </cell>
          <cell r="C14616" t="str">
            <v>Holy Trinity Church of England Voluntary Controlled Primary School, Halstead</v>
          </cell>
          <cell r="D14616" t="str">
            <v>Essex</v>
          </cell>
          <cell r="E14616" t="str">
            <v>Voluntary Controlled School</v>
          </cell>
          <cell r="F14616" t="str">
            <v>Primary</v>
          </cell>
        </row>
        <row r="14617">
          <cell r="A14617">
            <v>3813301</v>
          </cell>
          <cell r="B14617">
            <v>107542</v>
          </cell>
          <cell r="C14617" t="str">
            <v>Holy Trinity CofE (Aided) Junior School</v>
          </cell>
          <cell r="D14617" t="str">
            <v>Calderdale</v>
          </cell>
          <cell r="E14617" t="str">
            <v>Voluntary Aided School</v>
          </cell>
          <cell r="F14617" t="str">
            <v>Primary</v>
          </cell>
        </row>
        <row r="14618">
          <cell r="A14618">
            <v>8603144</v>
          </cell>
          <cell r="B14618">
            <v>124294</v>
          </cell>
          <cell r="C14618" t="str">
            <v>Holy Trinity CofE (C) Primary School</v>
          </cell>
          <cell r="D14618" t="str">
            <v>Staffordshire</v>
          </cell>
          <cell r="E14618" t="str">
            <v>Voluntary Controlled School</v>
          </cell>
          <cell r="F14618" t="str">
            <v>Primary</v>
          </cell>
        </row>
        <row r="14619">
          <cell r="A14619">
            <v>3533009</v>
          </cell>
          <cell r="B14619">
            <v>105691</v>
          </cell>
          <cell r="C14619" t="str">
            <v>Holy Trinity CofE Dobcross Primary School</v>
          </cell>
          <cell r="D14619" t="str">
            <v>Oldham</v>
          </cell>
          <cell r="E14619" t="str">
            <v>Voluntary Controlled School</v>
          </cell>
          <cell r="F14619" t="str">
            <v>Primary</v>
          </cell>
        </row>
        <row r="14620">
          <cell r="A14620">
            <v>3813002</v>
          </cell>
          <cell r="B14620">
            <v>107536</v>
          </cell>
          <cell r="C14620" t="str">
            <v>Holy Trinity CofE Infant School</v>
          </cell>
          <cell r="D14620" t="str">
            <v>Calderdale</v>
          </cell>
          <cell r="E14620" t="str">
            <v>Voluntary Controlled School</v>
          </cell>
          <cell r="F14620" t="str">
            <v>Primary</v>
          </cell>
        </row>
        <row r="14621">
          <cell r="A14621">
            <v>8153284</v>
          </cell>
          <cell r="B14621">
            <v>121598</v>
          </cell>
          <cell r="C14621" t="str">
            <v>Holy Trinity CofE Infant School</v>
          </cell>
          <cell r="D14621" t="str">
            <v>North Yorkshire</v>
          </cell>
          <cell r="E14621" t="str">
            <v>Voluntary Controlled School</v>
          </cell>
          <cell r="F14621" t="str">
            <v>Primary</v>
          </cell>
        </row>
        <row r="14622">
          <cell r="A14622">
            <v>8913132</v>
          </cell>
          <cell r="B14622">
            <v>122768</v>
          </cell>
          <cell r="C14622" t="str">
            <v>Holy Trinity CofE Infant School</v>
          </cell>
          <cell r="D14622" t="str">
            <v>Nottinghamshire</v>
          </cell>
          <cell r="E14622" t="str">
            <v>Voluntary Controlled School</v>
          </cell>
          <cell r="F14622" t="str">
            <v>Primary</v>
          </cell>
        </row>
        <row r="14623">
          <cell r="A14623">
            <v>2123362</v>
          </cell>
          <cell r="B14623">
            <v>126695</v>
          </cell>
          <cell r="C14623" t="str">
            <v>Holy Trinity CofE Infant School</v>
          </cell>
          <cell r="D14623" t="str">
            <v>Wandsworth</v>
          </cell>
          <cell r="E14623" t="str">
            <v>Voluntary Aided School</v>
          </cell>
          <cell r="F14623" t="str">
            <v>Primary</v>
          </cell>
        </row>
        <row r="14624">
          <cell r="A14624">
            <v>3843320</v>
          </cell>
          <cell r="B14624">
            <v>128082</v>
          </cell>
          <cell r="C14624" t="str">
            <v>Holy Trinity CofE Infant School</v>
          </cell>
          <cell r="D14624" t="str">
            <v>Wakefield</v>
          </cell>
          <cell r="E14624" t="str">
            <v>Voluntary Aided School</v>
          </cell>
          <cell r="F14624" t="str">
            <v>Primary</v>
          </cell>
        </row>
        <row r="14625">
          <cell r="A14625">
            <v>3193303</v>
          </cell>
          <cell r="B14625">
            <v>102991</v>
          </cell>
          <cell r="C14625" t="str">
            <v>Holy Trinity CofE Junior School</v>
          </cell>
          <cell r="D14625" t="str">
            <v>Sutton</v>
          </cell>
          <cell r="E14625" t="str">
            <v>Voluntary Aided School</v>
          </cell>
          <cell r="F14625" t="str">
            <v>Primary</v>
          </cell>
        </row>
        <row r="14626">
          <cell r="A14626">
            <v>8083310</v>
          </cell>
          <cell r="B14626">
            <v>111682</v>
          </cell>
          <cell r="C14626" t="str">
            <v>Holy Trinity CofE Junior School</v>
          </cell>
          <cell r="D14626" t="str">
            <v>Stockton-on-Tees</v>
          </cell>
          <cell r="E14626" t="str">
            <v>Voluntary Aided School</v>
          </cell>
          <cell r="F14626" t="str">
            <v>Primary</v>
          </cell>
        </row>
        <row r="14627">
          <cell r="A14627">
            <v>8153263</v>
          </cell>
          <cell r="B14627">
            <v>121582</v>
          </cell>
          <cell r="C14627" t="str">
            <v>Holy Trinity CofE Junior School</v>
          </cell>
          <cell r="D14627" t="str">
            <v>North Yorkshire</v>
          </cell>
          <cell r="E14627" t="str">
            <v>Voluntary Controlled School</v>
          </cell>
          <cell r="F14627" t="str">
            <v>Primary</v>
          </cell>
        </row>
        <row r="14628">
          <cell r="A14628">
            <v>3834739</v>
          </cell>
          <cell r="B14628">
            <v>128026</v>
          </cell>
          <cell r="C14628" t="str">
            <v>Holy Trinity CofE Middle School</v>
          </cell>
          <cell r="D14628" t="str">
            <v>Leeds</v>
          </cell>
          <cell r="E14628" t="str">
            <v>Voluntary Aided School</v>
          </cell>
          <cell r="F14628" t="str">
            <v>Middle Deemed Secondary</v>
          </cell>
        </row>
        <row r="14629">
          <cell r="A14629">
            <v>2073356</v>
          </cell>
          <cell r="B14629">
            <v>100490</v>
          </cell>
          <cell r="C14629" t="str">
            <v>Holy Trinity CofE Primary School</v>
          </cell>
          <cell r="D14629" t="str">
            <v>Kensington and Chelsea</v>
          </cell>
          <cell r="E14629" t="str">
            <v>Voluntary Aided School</v>
          </cell>
          <cell r="F14629" t="str">
            <v>Primary</v>
          </cell>
        </row>
        <row r="14630">
          <cell r="A14630">
            <v>3023304</v>
          </cell>
          <cell r="B14630">
            <v>101317</v>
          </cell>
          <cell r="C14630" t="str">
            <v>Holy Trinity CofE Primary School</v>
          </cell>
          <cell r="D14630" t="str">
            <v>Barnet</v>
          </cell>
          <cell r="E14630" t="str">
            <v>Voluntary Aided School</v>
          </cell>
          <cell r="F14630" t="str">
            <v>Primary</v>
          </cell>
        </row>
        <row r="14631">
          <cell r="A14631">
            <v>3123302</v>
          </cell>
          <cell r="B14631">
            <v>102418</v>
          </cell>
          <cell r="C14631" t="str">
            <v>Holy Trinity CofE Primary School</v>
          </cell>
          <cell r="D14631" t="str">
            <v>Hillingdon</v>
          </cell>
          <cell r="E14631" t="str">
            <v>Voluntary Aided School</v>
          </cell>
          <cell r="F14631" t="str">
            <v>Primary</v>
          </cell>
        </row>
        <row r="14632">
          <cell r="A14632">
            <v>3153303</v>
          </cell>
          <cell r="B14632">
            <v>102665</v>
          </cell>
          <cell r="C14632" t="str">
            <v>Holy Trinity CofE Primary School</v>
          </cell>
          <cell r="D14632" t="str">
            <v>Merton</v>
          </cell>
          <cell r="E14632" t="str">
            <v>Voluntary Aided School</v>
          </cell>
          <cell r="F14632" t="str">
            <v>Primary</v>
          </cell>
        </row>
        <row r="14633">
          <cell r="A14633">
            <v>3333002</v>
          </cell>
          <cell r="B14633">
            <v>103986</v>
          </cell>
          <cell r="C14633" t="str">
            <v>Holy Trinity CofE Primary School</v>
          </cell>
          <cell r="D14633" t="str">
            <v>Sandwell</v>
          </cell>
          <cell r="E14633" t="str">
            <v>Voluntary Controlled School</v>
          </cell>
          <cell r="F14633" t="str">
            <v>Primary</v>
          </cell>
        </row>
        <row r="14634">
          <cell r="A14634">
            <v>3433346</v>
          </cell>
          <cell r="B14634">
            <v>104923</v>
          </cell>
          <cell r="C14634" t="str">
            <v>Holy Trinity CofE Primary School</v>
          </cell>
          <cell r="D14634" t="str">
            <v>Sefton</v>
          </cell>
          <cell r="E14634" t="str">
            <v>Voluntary Aided School</v>
          </cell>
          <cell r="F14634" t="str">
            <v>Primary</v>
          </cell>
        </row>
        <row r="14635">
          <cell r="A14635">
            <v>3523005</v>
          </cell>
          <cell r="B14635">
            <v>105488</v>
          </cell>
          <cell r="C14635" t="str">
            <v>Holy Trinity CofE Primary School</v>
          </cell>
          <cell r="D14635" t="str">
            <v>Manchester</v>
          </cell>
          <cell r="E14635" t="str">
            <v>Voluntary Controlled School</v>
          </cell>
          <cell r="F14635" t="str">
            <v>Primary</v>
          </cell>
        </row>
        <row r="14636">
          <cell r="A14636">
            <v>3573312</v>
          </cell>
          <cell r="B14636">
            <v>106244</v>
          </cell>
          <cell r="C14636" t="str">
            <v>Holy Trinity CofE Primary School</v>
          </cell>
          <cell r="D14636" t="str">
            <v>Tameside</v>
          </cell>
          <cell r="E14636" t="str">
            <v>Voluntary Aided School</v>
          </cell>
          <cell r="F14636" t="str">
            <v>Primary</v>
          </cell>
        </row>
        <row r="14637">
          <cell r="A14637">
            <v>9253146</v>
          </cell>
          <cell r="B14637">
            <v>120586</v>
          </cell>
          <cell r="C14637" t="str">
            <v>Holy Trinity CofE Primary School</v>
          </cell>
          <cell r="D14637" t="str">
            <v>Lincolnshire</v>
          </cell>
          <cell r="E14637" t="str">
            <v>Voluntary Controlled School</v>
          </cell>
          <cell r="F14637" t="str">
            <v>Primary</v>
          </cell>
        </row>
        <row r="14638">
          <cell r="A14638">
            <v>9363014</v>
          </cell>
          <cell r="B14638">
            <v>125139</v>
          </cell>
          <cell r="C14638" t="str">
            <v>Holy Trinity CofE Primary School</v>
          </cell>
          <cell r="D14638" t="str">
            <v>Surrey</v>
          </cell>
          <cell r="E14638" t="str">
            <v>Voluntary Controlled School</v>
          </cell>
          <cell r="F14638" t="str">
            <v>Primary</v>
          </cell>
        </row>
        <row r="14639">
          <cell r="A14639">
            <v>9383022</v>
          </cell>
          <cell r="B14639">
            <v>125987</v>
          </cell>
          <cell r="C14639" t="str">
            <v>Holy Trinity CofE Primary School</v>
          </cell>
          <cell r="D14639" t="str">
            <v>West Sussex</v>
          </cell>
          <cell r="E14639" t="str">
            <v>Voluntary Controlled School</v>
          </cell>
          <cell r="F14639" t="str">
            <v>Primary</v>
          </cell>
        </row>
        <row r="14640">
          <cell r="A14640">
            <v>9223113</v>
          </cell>
          <cell r="B14640">
            <v>129403</v>
          </cell>
          <cell r="C14640" t="str">
            <v>Holy Trinity CofE Primary School</v>
          </cell>
          <cell r="D14640" t="str">
            <v>Pre LGR (1998) Kent</v>
          </cell>
          <cell r="E14640" t="str">
            <v>Voluntary Controlled School</v>
          </cell>
          <cell r="F14640" t="str">
            <v>Primary</v>
          </cell>
        </row>
        <row r="14641">
          <cell r="A14641">
            <v>8683022</v>
          </cell>
          <cell r="B14641">
            <v>109961</v>
          </cell>
          <cell r="C14641" t="str">
            <v>Holy Trinity CofE Primary School, Cookham</v>
          </cell>
          <cell r="D14641" t="str">
            <v>Windsor and Maidenhead</v>
          </cell>
          <cell r="E14641" t="str">
            <v>Voluntary Controlled School</v>
          </cell>
          <cell r="F14641" t="str">
            <v>Primary</v>
          </cell>
        </row>
        <row r="14642">
          <cell r="A14642">
            <v>9383350</v>
          </cell>
          <cell r="B14642">
            <v>126054</v>
          </cell>
          <cell r="C14642" t="str">
            <v>Holy Trinity CofE Primary School, Cuckfield</v>
          </cell>
          <cell r="D14642" t="str">
            <v>West Sussex</v>
          </cell>
          <cell r="E14642" t="str">
            <v>Voluntary Aided School</v>
          </cell>
          <cell r="F14642" t="str">
            <v>Primary</v>
          </cell>
        </row>
        <row r="14643">
          <cell r="A14643">
            <v>8813021</v>
          </cell>
          <cell r="B14643">
            <v>115075</v>
          </cell>
          <cell r="C14643" t="str">
            <v>Holy Trinity CofE Primary School, Eight Ash Green and Aldham</v>
          </cell>
          <cell r="D14643" t="str">
            <v>Essex</v>
          </cell>
          <cell r="E14643" t="str">
            <v>Voluntary Controlled School</v>
          </cell>
          <cell r="F14643" t="str">
            <v>Primary</v>
          </cell>
        </row>
        <row r="14644">
          <cell r="A14644">
            <v>2023359</v>
          </cell>
          <cell r="B14644">
            <v>100032</v>
          </cell>
          <cell r="C14644" t="str">
            <v>Holy Trinity CofE Primary School, NW3</v>
          </cell>
          <cell r="D14644" t="str">
            <v>Camden</v>
          </cell>
          <cell r="E14644" t="str">
            <v>Voluntary Aided School</v>
          </cell>
          <cell r="F14644" t="str">
            <v>Primary</v>
          </cell>
        </row>
        <row r="14645">
          <cell r="A14645">
            <v>8683322</v>
          </cell>
          <cell r="B14645">
            <v>110018</v>
          </cell>
          <cell r="C14645" t="str">
            <v>Holy Trinity CofE Primary School, Sunningdale</v>
          </cell>
          <cell r="D14645" t="str">
            <v>Windsor and Maidenhead</v>
          </cell>
          <cell r="E14645" t="str">
            <v>Voluntary Aided School</v>
          </cell>
          <cell r="F14645" t="str">
            <v>Primary</v>
          </cell>
        </row>
        <row r="14646">
          <cell r="A14646">
            <v>9384606</v>
          </cell>
          <cell r="B14646">
            <v>126098</v>
          </cell>
          <cell r="C14646" t="str">
            <v>Holy Trinity CofE Secondary School, Crawley</v>
          </cell>
          <cell r="D14646" t="str">
            <v>West Sussex</v>
          </cell>
          <cell r="E14646" t="str">
            <v>Voluntary Aided School</v>
          </cell>
          <cell r="F14646" t="str">
            <v>Secondary</v>
          </cell>
        </row>
        <row r="14647">
          <cell r="A14647">
            <v>3815403</v>
          </cell>
          <cell r="B14647">
            <v>107577</v>
          </cell>
          <cell r="C14647" t="str">
            <v>Holy Trinity CofE Senior School</v>
          </cell>
          <cell r="D14647" t="str">
            <v>Calderdale</v>
          </cell>
          <cell r="E14647" t="str">
            <v>Voluntary Aided School</v>
          </cell>
          <cell r="F14647" t="str">
            <v>Secondary</v>
          </cell>
        </row>
        <row r="14648">
          <cell r="A14648">
            <v>9333433</v>
          </cell>
          <cell r="B14648">
            <v>123848</v>
          </cell>
          <cell r="C14648" t="str">
            <v>Holy Trinity CofE VA Primary School</v>
          </cell>
          <cell r="D14648" t="str">
            <v>Somerset</v>
          </cell>
          <cell r="E14648" t="str">
            <v>Voluntary Aided School</v>
          </cell>
          <cell r="F14648" t="str">
            <v>Primary</v>
          </cell>
        </row>
        <row r="14649">
          <cell r="A14649">
            <v>3933317</v>
          </cell>
          <cell r="B14649">
            <v>135591</v>
          </cell>
          <cell r="C14649" t="str">
            <v>Holy Trinity CofE VA Primary School</v>
          </cell>
          <cell r="D14649" t="str">
            <v>South Tyneside</v>
          </cell>
          <cell r="E14649" t="str">
            <v>Voluntary Aided School</v>
          </cell>
          <cell r="F14649" t="str">
            <v>Primary</v>
          </cell>
        </row>
        <row r="14650">
          <cell r="A14650">
            <v>8353700</v>
          </cell>
          <cell r="B14650">
            <v>126911</v>
          </cell>
          <cell r="C14650" t="str">
            <v>Holy Trinity CofE VC Primary School and Nursery Unit</v>
          </cell>
          <cell r="D14650" t="str">
            <v>Dorset</v>
          </cell>
          <cell r="E14650" t="str">
            <v>Voluntary Controlled School</v>
          </cell>
          <cell r="F14650" t="str">
            <v>Primary</v>
          </cell>
        </row>
        <row r="14651">
          <cell r="A14651">
            <v>3056008</v>
          </cell>
          <cell r="B14651">
            <v>101686</v>
          </cell>
          <cell r="C14651" t="str">
            <v>Holy Trinity College</v>
          </cell>
          <cell r="D14651" t="str">
            <v>Bromley</v>
          </cell>
          <cell r="E14651" t="str">
            <v>Other Independent School</v>
          </cell>
          <cell r="F14651" t="str">
            <v>Not applicable</v>
          </cell>
        </row>
        <row r="14652">
          <cell r="A14652">
            <v>3033301</v>
          </cell>
          <cell r="B14652">
            <v>101453</v>
          </cell>
          <cell r="C14652" t="str">
            <v>Holy Trinity Lamorbey Church of England Primary School</v>
          </cell>
          <cell r="D14652" t="str">
            <v>Bexley</v>
          </cell>
          <cell r="E14652" t="str">
            <v>Voluntary Aided School</v>
          </cell>
          <cell r="F14652" t="str">
            <v>Primary</v>
          </cell>
        </row>
        <row r="14653">
          <cell r="A14653">
            <v>3513302</v>
          </cell>
          <cell r="B14653">
            <v>105331</v>
          </cell>
          <cell r="C14653" t="str">
            <v>Holy Trinity Primary School</v>
          </cell>
          <cell r="D14653" t="str">
            <v>Bury</v>
          </cell>
          <cell r="E14653" t="str">
            <v>Voluntary Aided School</v>
          </cell>
          <cell r="F14653" t="str">
            <v>Primary</v>
          </cell>
        </row>
        <row r="14654">
          <cell r="A14654">
            <v>8033410</v>
          </cell>
          <cell r="B14654">
            <v>109249</v>
          </cell>
          <cell r="C14654" t="str">
            <v>Holy Trinity Primary School</v>
          </cell>
          <cell r="D14654" t="str">
            <v>South Gloucestershire</v>
          </cell>
          <cell r="E14654" t="str">
            <v>Voluntary Aided School</v>
          </cell>
          <cell r="F14654" t="str">
            <v>Primary</v>
          </cell>
        </row>
        <row r="14655">
          <cell r="A14655">
            <v>8883754</v>
          </cell>
          <cell r="B14655">
            <v>119652</v>
          </cell>
          <cell r="C14655" t="str">
            <v>Holy Trinity Roman Catholic Primary School, Brierfield</v>
          </cell>
          <cell r="D14655" t="str">
            <v>Lancashire</v>
          </cell>
          <cell r="E14655" t="str">
            <v>Voluntary Aided School</v>
          </cell>
          <cell r="F14655" t="str">
            <v>Primary</v>
          </cell>
        </row>
        <row r="14656">
          <cell r="A14656">
            <v>8083396</v>
          </cell>
          <cell r="B14656">
            <v>131251</v>
          </cell>
          <cell r="C14656" t="str">
            <v>Holy Trinity Rosehill CofE Voluntary Aided Primary School</v>
          </cell>
          <cell r="D14656" t="str">
            <v>Stockton-on-Tees</v>
          </cell>
          <cell r="E14656" t="str">
            <v>Voluntary Aided School</v>
          </cell>
          <cell r="F14656" t="str">
            <v>Primary</v>
          </cell>
        </row>
        <row r="14657">
          <cell r="A14657">
            <v>8856009</v>
          </cell>
          <cell r="B14657">
            <v>117015</v>
          </cell>
          <cell r="C14657" t="str">
            <v>Holy Trinity School</v>
          </cell>
          <cell r="D14657" t="str">
            <v>Worcestershire</v>
          </cell>
          <cell r="E14657" t="str">
            <v>Other Independent School</v>
          </cell>
          <cell r="F14657" t="str">
            <v>Not applicable</v>
          </cell>
        </row>
        <row r="14658">
          <cell r="A14658">
            <v>8893005</v>
          </cell>
          <cell r="B14658">
            <v>119357</v>
          </cell>
          <cell r="C14658" t="str">
            <v>Holy Trinity VC School</v>
          </cell>
          <cell r="D14658" t="str">
            <v>Blackburn with Darwen</v>
          </cell>
          <cell r="E14658" t="str">
            <v>Voluntary Controlled School</v>
          </cell>
          <cell r="F14658" t="str">
            <v>Primary</v>
          </cell>
        </row>
        <row r="14659">
          <cell r="A14659">
            <v>9365206</v>
          </cell>
          <cell r="B14659">
            <v>125288</v>
          </cell>
          <cell r="C14659" t="str">
            <v>Holy Trinity, Guildford, CofE Aided Junior School</v>
          </cell>
          <cell r="D14659" t="str">
            <v>Surrey</v>
          </cell>
          <cell r="E14659" t="str">
            <v>Voluntary Aided School</v>
          </cell>
          <cell r="F14659" t="str">
            <v>Primary</v>
          </cell>
        </row>
        <row r="14660">
          <cell r="A14660">
            <v>3802196</v>
          </cell>
          <cell r="B14660">
            <v>132184</v>
          </cell>
          <cell r="C14660" t="str">
            <v>Holybrook Primary School</v>
          </cell>
          <cell r="D14660" t="str">
            <v>Bradford</v>
          </cell>
          <cell r="E14660" t="str">
            <v>Community School</v>
          </cell>
          <cell r="F14660" t="str">
            <v>Primary</v>
          </cell>
        </row>
        <row r="14661">
          <cell r="A14661">
            <v>3802123</v>
          </cell>
          <cell r="B14661">
            <v>107261</v>
          </cell>
          <cell r="C14661" t="str">
            <v>Holycroft Primary School</v>
          </cell>
          <cell r="D14661" t="str">
            <v>Bradford</v>
          </cell>
          <cell r="E14661" t="str">
            <v>Community School</v>
          </cell>
          <cell r="F14661" t="str">
            <v>Primary</v>
          </cell>
        </row>
        <row r="14662">
          <cell r="A14662">
            <v>3332078</v>
          </cell>
          <cell r="B14662">
            <v>103927</v>
          </cell>
          <cell r="C14662" t="str">
            <v>Holyhead Primary School</v>
          </cell>
          <cell r="D14662" t="str">
            <v>Sandwell</v>
          </cell>
          <cell r="E14662" t="str">
            <v>Foundation School</v>
          </cell>
          <cell r="F14662" t="str">
            <v>Primary</v>
          </cell>
        </row>
        <row r="14663">
          <cell r="A14663">
            <v>3304241</v>
          </cell>
          <cell r="B14663">
            <v>103517</v>
          </cell>
          <cell r="C14663" t="str">
            <v>Holyhead School</v>
          </cell>
          <cell r="D14663" t="str">
            <v>Birmingham</v>
          </cell>
          <cell r="E14663" t="str">
            <v>Foundation School</v>
          </cell>
          <cell r="F14663" t="str">
            <v>Secondary</v>
          </cell>
        </row>
        <row r="14664">
          <cell r="A14664">
            <v>3304241</v>
          </cell>
          <cell r="B14664">
            <v>137034</v>
          </cell>
          <cell r="C14664" t="str">
            <v>Holyhead School</v>
          </cell>
          <cell r="D14664" t="str">
            <v>Birmingham</v>
          </cell>
          <cell r="E14664" t="str">
            <v>Academy Converters</v>
          </cell>
          <cell r="F14664" t="str">
            <v>Secondary</v>
          </cell>
        </row>
        <row r="14665">
          <cell r="A14665">
            <v>8012098</v>
          </cell>
          <cell r="B14665">
            <v>108975</v>
          </cell>
          <cell r="C14665" t="str">
            <v>Holymead Infant School</v>
          </cell>
          <cell r="D14665" t="str">
            <v>Bristol City of</v>
          </cell>
          <cell r="E14665" t="str">
            <v>Community School</v>
          </cell>
          <cell r="F14665" t="str">
            <v>Primary</v>
          </cell>
        </row>
        <row r="14666">
          <cell r="A14666">
            <v>8012097</v>
          </cell>
          <cell r="B14666">
            <v>108974</v>
          </cell>
          <cell r="C14666" t="str">
            <v>Holymead Junior School</v>
          </cell>
          <cell r="D14666" t="str">
            <v>Bristol City of</v>
          </cell>
          <cell r="E14666" t="str">
            <v>Community School</v>
          </cell>
          <cell r="F14666" t="str">
            <v>Primary</v>
          </cell>
        </row>
        <row r="14667">
          <cell r="A14667">
            <v>8852131</v>
          </cell>
          <cell r="B14667">
            <v>116724</v>
          </cell>
          <cell r="C14667" t="str">
            <v>Holyoakes Field First School</v>
          </cell>
          <cell r="D14667" t="str">
            <v>Worcestershire</v>
          </cell>
          <cell r="E14667" t="str">
            <v>Community School</v>
          </cell>
          <cell r="F14667" t="str">
            <v>Primary</v>
          </cell>
        </row>
        <row r="14668">
          <cell r="A14668">
            <v>8851106</v>
          </cell>
          <cell r="B14668">
            <v>130988</v>
          </cell>
          <cell r="C14668" t="str">
            <v>Holyoakes Field Pupil Referral Unit</v>
          </cell>
          <cell r="D14668" t="str">
            <v>Worcestershire</v>
          </cell>
          <cell r="E14668" t="str">
            <v>Pupil Referral Unit</v>
          </cell>
          <cell r="F14668" t="str">
            <v>PRU</v>
          </cell>
        </row>
        <row r="14669">
          <cell r="A14669">
            <v>8683012</v>
          </cell>
          <cell r="B14669">
            <v>109953</v>
          </cell>
          <cell r="C14669" t="str">
            <v>Holyport CofE (Aided) Primary School</v>
          </cell>
          <cell r="D14669" t="str">
            <v>Windsor and Maidenhead</v>
          </cell>
          <cell r="E14669" t="str">
            <v>Voluntary Aided School</v>
          </cell>
          <cell r="F14669" t="str">
            <v>Primary</v>
          </cell>
        </row>
        <row r="14670">
          <cell r="A14670">
            <v>9334274</v>
          </cell>
          <cell r="B14670">
            <v>136295</v>
          </cell>
          <cell r="C14670" t="str">
            <v>Holyrood Academy</v>
          </cell>
          <cell r="D14670" t="str">
            <v>Somerset</v>
          </cell>
          <cell r="E14670" t="str">
            <v>Academy Converters</v>
          </cell>
          <cell r="F14670" t="str">
            <v>Secondary</v>
          </cell>
        </row>
        <row r="14671">
          <cell r="A14671">
            <v>9334274</v>
          </cell>
          <cell r="B14671">
            <v>123870</v>
          </cell>
          <cell r="C14671" t="str">
            <v>Holyrood Community School</v>
          </cell>
          <cell r="D14671" t="str">
            <v>Somerset</v>
          </cell>
          <cell r="E14671" t="str">
            <v>Community School</v>
          </cell>
          <cell r="F14671" t="str">
            <v>Secondary</v>
          </cell>
        </row>
        <row r="14672">
          <cell r="A14672">
            <v>3922036</v>
          </cell>
          <cell r="B14672">
            <v>108581</v>
          </cell>
          <cell r="C14672" t="str">
            <v>Holystone Primary School</v>
          </cell>
          <cell r="D14672" t="str">
            <v>North Tyneside</v>
          </cell>
          <cell r="E14672" t="str">
            <v>Community School</v>
          </cell>
          <cell r="F14672" t="str">
            <v>Primary</v>
          </cell>
        </row>
        <row r="14673">
          <cell r="A14673">
            <v>8783064</v>
          </cell>
          <cell r="B14673">
            <v>113380</v>
          </cell>
          <cell r="C14673" t="str">
            <v>Holywell Church of England Primary School</v>
          </cell>
          <cell r="D14673" t="str">
            <v>Devon</v>
          </cell>
          <cell r="E14673" t="str">
            <v>Voluntary Controlled School</v>
          </cell>
          <cell r="F14673" t="str">
            <v>Primary</v>
          </cell>
        </row>
        <row r="14674">
          <cell r="A14674">
            <v>8733071</v>
          </cell>
          <cell r="B14674">
            <v>110817</v>
          </cell>
          <cell r="C14674" t="str">
            <v>Holywell CofE Primary School</v>
          </cell>
          <cell r="D14674" t="str">
            <v>Cambridgeshire</v>
          </cell>
          <cell r="E14674" t="str">
            <v>Voluntary Controlled School</v>
          </cell>
          <cell r="F14674" t="str">
            <v>Primary</v>
          </cell>
        </row>
        <row r="14675">
          <cell r="A14675">
            <v>8235408</v>
          </cell>
          <cell r="B14675">
            <v>109712</v>
          </cell>
          <cell r="C14675" t="str">
            <v>Holywell CofE VA Middle School</v>
          </cell>
          <cell r="D14675" t="str">
            <v>Central Bedfordshire</v>
          </cell>
          <cell r="E14675" t="str">
            <v>Voluntary Aided School</v>
          </cell>
          <cell r="F14675" t="str">
            <v>Middle Deemed Secondary</v>
          </cell>
        </row>
        <row r="14676">
          <cell r="A14676">
            <v>3812050</v>
          </cell>
          <cell r="B14676">
            <v>107505</v>
          </cell>
          <cell r="C14676" t="str">
            <v>Holywell Green Primary School</v>
          </cell>
          <cell r="D14676" t="str">
            <v>Calderdale</v>
          </cell>
          <cell r="E14676" t="str">
            <v>Community School</v>
          </cell>
          <cell r="F14676" t="str">
            <v>Primary</v>
          </cell>
        </row>
        <row r="14677">
          <cell r="A14677">
            <v>6644012</v>
          </cell>
          <cell r="B14677">
            <v>401702</v>
          </cell>
          <cell r="C14677" t="str">
            <v>Holywell High School</v>
          </cell>
          <cell r="D14677" t="str">
            <v>Flintshire</v>
          </cell>
          <cell r="E14677" t="str">
            <v>Welsh Establishment</v>
          </cell>
          <cell r="F14677" t="str">
            <v>Secondary</v>
          </cell>
        </row>
        <row r="14678">
          <cell r="A14678">
            <v>8852921</v>
          </cell>
          <cell r="B14678">
            <v>132060</v>
          </cell>
          <cell r="C14678" t="str">
            <v>Holywell Primary and Nursery School</v>
          </cell>
          <cell r="D14678" t="str">
            <v>Worcestershire</v>
          </cell>
          <cell r="E14678" t="str">
            <v>Community School</v>
          </cell>
          <cell r="F14678" t="str">
            <v>Primary</v>
          </cell>
        </row>
        <row r="14679">
          <cell r="A14679">
            <v>9192349</v>
          </cell>
          <cell r="B14679">
            <v>117290</v>
          </cell>
          <cell r="C14679" t="str">
            <v>Holywell Primary School</v>
          </cell>
          <cell r="D14679" t="str">
            <v>Hertfordshire</v>
          </cell>
          <cell r="E14679" t="str">
            <v>Community School</v>
          </cell>
          <cell r="F14679" t="str">
            <v>Primary</v>
          </cell>
        </row>
        <row r="14680">
          <cell r="A14680">
            <v>8862629</v>
          </cell>
          <cell r="B14680">
            <v>118549</v>
          </cell>
          <cell r="C14680" t="str">
            <v>Holywell Primary School</v>
          </cell>
          <cell r="D14680" t="str">
            <v>Kent</v>
          </cell>
          <cell r="E14680" t="str">
            <v>Community School</v>
          </cell>
          <cell r="F14680" t="str">
            <v>Primary</v>
          </cell>
        </row>
        <row r="14681">
          <cell r="A14681">
            <v>8552331</v>
          </cell>
          <cell r="B14681">
            <v>120059</v>
          </cell>
          <cell r="C14681" t="str">
            <v>Holywell Primary School</v>
          </cell>
          <cell r="D14681" t="str">
            <v>Leicestershire</v>
          </cell>
          <cell r="E14681" t="str">
            <v>Community School</v>
          </cell>
          <cell r="F14681" t="str">
            <v>Primary</v>
          </cell>
        </row>
        <row r="14682">
          <cell r="A14682">
            <v>9292091</v>
          </cell>
          <cell r="B14682">
            <v>122195</v>
          </cell>
          <cell r="C14682" t="str">
            <v>Holywell Village First School</v>
          </cell>
          <cell r="D14682" t="str">
            <v>Northumberland</v>
          </cell>
          <cell r="E14682" t="str">
            <v>Community School</v>
          </cell>
          <cell r="F14682" t="str">
            <v>Primary</v>
          </cell>
        </row>
        <row r="14683">
          <cell r="A14683">
            <v>9354093</v>
          </cell>
          <cell r="B14683">
            <v>124843</v>
          </cell>
          <cell r="C14683" t="str">
            <v>Holywells High School</v>
          </cell>
          <cell r="D14683" t="str">
            <v>Suffolk</v>
          </cell>
          <cell r="E14683" t="str">
            <v>Community School</v>
          </cell>
          <cell r="F14683" t="str">
            <v>Secondary</v>
          </cell>
        </row>
        <row r="14684">
          <cell r="A14684">
            <v>3081107</v>
          </cell>
          <cell r="B14684">
            <v>134031</v>
          </cell>
          <cell r="C14684" t="str">
            <v>Home and Hospital Service</v>
          </cell>
          <cell r="D14684" t="str">
            <v>Enfield</v>
          </cell>
          <cell r="E14684" t="str">
            <v>Pupil Referral Unit</v>
          </cell>
          <cell r="F14684" t="str">
            <v>PRU</v>
          </cell>
        </row>
        <row r="14685">
          <cell r="A14685">
            <v>6741119</v>
          </cell>
          <cell r="B14685">
            <v>402162</v>
          </cell>
          <cell r="C14685" t="str">
            <v>Home and Hospital Tuition</v>
          </cell>
          <cell r="D14685" t="str">
            <v>Rhondda, Cynon, Taff</v>
          </cell>
          <cell r="E14685" t="str">
            <v>Welsh Establishment</v>
          </cell>
          <cell r="F14685" t="str">
            <v>Not applicable</v>
          </cell>
        </row>
        <row r="14686">
          <cell r="A14686">
            <v>8846013</v>
          </cell>
          <cell r="B14686">
            <v>133252</v>
          </cell>
          <cell r="C14686" t="str">
            <v>Home End School</v>
          </cell>
          <cell r="D14686" t="str">
            <v>Herefordshire</v>
          </cell>
          <cell r="E14686" t="str">
            <v>Other Independent School</v>
          </cell>
          <cell r="F14686" t="str">
            <v>Not applicable</v>
          </cell>
        </row>
        <row r="14687">
          <cell r="A14687">
            <v>8812064</v>
          </cell>
          <cell r="B14687">
            <v>114752</v>
          </cell>
          <cell r="C14687" t="str">
            <v>Home Farm Primary School</v>
          </cell>
          <cell r="D14687" t="str">
            <v>Essex</v>
          </cell>
          <cell r="E14687" t="str">
            <v>Community School</v>
          </cell>
          <cell r="F14687" t="str">
            <v>Primary</v>
          </cell>
        </row>
        <row r="14688">
          <cell r="A14688">
            <v>3803379</v>
          </cell>
          <cell r="B14688">
            <v>131357</v>
          </cell>
          <cell r="C14688" t="str">
            <v>Home Farm Primary School</v>
          </cell>
          <cell r="D14688" t="str">
            <v>Bradford</v>
          </cell>
          <cell r="E14688" t="str">
            <v>Community School</v>
          </cell>
          <cell r="F14688" t="str">
            <v>Primary</v>
          </cell>
        </row>
        <row r="14689">
          <cell r="A14689">
            <v>9197038</v>
          </cell>
          <cell r="B14689">
            <v>129186</v>
          </cell>
          <cell r="C14689" t="str">
            <v>Home Field School</v>
          </cell>
          <cell r="D14689" t="str">
            <v>Hertfordshire</v>
          </cell>
          <cell r="E14689" t="str">
            <v>Community Special School</v>
          </cell>
          <cell r="F14689" t="str">
            <v>Special</v>
          </cell>
        </row>
        <row r="14690">
          <cell r="A14690">
            <v>2046396</v>
          </cell>
          <cell r="B14690">
            <v>100306</v>
          </cell>
          <cell r="C14690" t="str">
            <v>Home School of Stoke Newington</v>
          </cell>
          <cell r="D14690" t="str">
            <v>Hackney</v>
          </cell>
          <cell r="E14690" t="str">
            <v>Other Independent School</v>
          </cell>
          <cell r="F14690" t="str">
            <v>Not applicable</v>
          </cell>
        </row>
        <row r="14691">
          <cell r="A14691">
            <v>8519900</v>
          </cell>
          <cell r="B14691">
            <v>133034</v>
          </cell>
          <cell r="C14691" t="str">
            <v>Home Tuition Centre</v>
          </cell>
          <cell r="D14691" t="str">
            <v>Portsmouth</v>
          </cell>
          <cell r="E14691" t="str">
            <v>Miscellaneous</v>
          </cell>
          <cell r="F14691" t="str">
            <v>Not applicable</v>
          </cell>
        </row>
        <row r="14692">
          <cell r="A14692">
            <v>8259901</v>
          </cell>
          <cell r="B14692">
            <v>133000</v>
          </cell>
          <cell r="C14692" t="str">
            <v>Home Tuition Service</v>
          </cell>
          <cell r="D14692" t="str">
            <v>Buckinghamshire</v>
          </cell>
          <cell r="E14692" t="str">
            <v>Miscellaneous</v>
          </cell>
          <cell r="F14692" t="str">
            <v>Not applicable</v>
          </cell>
        </row>
        <row r="14693">
          <cell r="A14693">
            <v>8109903</v>
          </cell>
          <cell r="B14693">
            <v>133218</v>
          </cell>
          <cell r="C14693" t="str">
            <v>Home Tuition Service</v>
          </cell>
          <cell r="D14693" t="str">
            <v>Kingston upon Hull City of</v>
          </cell>
          <cell r="E14693" t="str">
            <v>Miscellaneous</v>
          </cell>
          <cell r="F14693" t="str">
            <v>Not applicable</v>
          </cell>
        </row>
        <row r="14694">
          <cell r="A14694">
            <v>6791102</v>
          </cell>
          <cell r="B14694">
            <v>402142</v>
          </cell>
          <cell r="C14694" t="str">
            <v>Home Tuition Unit</v>
          </cell>
          <cell r="D14694" t="str">
            <v>Monmouthshire</v>
          </cell>
          <cell r="E14694" t="str">
            <v>Welsh Establishment</v>
          </cell>
          <cell r="F14694" t="str">
            <v>Not applicable</v>
          </cell>
        </row>
        <row r="14695">
          <cell r="A14695">
            <v>8557904</v>
          </cell>
          <cell r="B14695">
            <v>131893</v>
          </cell>
          <cell r="C14695" t="str">
            <v>Homefield College</v>
          </cell>
          <cell r="D14695" t="str">
            <v>Leicestershire</v>
          </cell>
          <cell r="E14695" t="str">
            <v>Special College</v>
          </cell>
          <cell r="F14695" t="str">
            <v>16 Plus</v>
          </cell>
        </row>
        <row r="14696">
          <cell r="A14696">
            <v>3196001</v>
          </cell>
          <cell r="B14696">
            <v>103015</v>
          </cell>
          <cell r="C14696" t="str">
            <v>Homefield Preparatory School</v>
          </cell>
          <cell r="D14696" t="str">
            <v>Sutton</v>
          </cell>
          <cell r="E14696" t="str">
            <v>Other Independent School</v>
          </cell>
          <cell r="F14696" t="str">
            <v>Not applicable</v>
          </cell>
        </row>
        <row r="14697">
          <cell r="A14697">
            <v>8356007</v>
          </cell>
          <cell r="B14697">
            <v>113938</v>
          </cell>
          <cell r="C14697" t="str">
            <v>Homefield School</v>
          </cell>
          <cell r="D14697" t="str">
            <v>Dorset</v>
          </cell>
          <cell r="E14697" t="str">
            <v>Other Independent School</v>
          </cell>
          <cell r="F14697" t="str">
            <v>Not applicable</v>
          </cell>
        </row>
        <row r="14698">
          <cell r="A14698">
            <v>9376078</v>
          </cell>
          <cell r="B14698">
            <v>130170</v>
          </cell>
          <cell r="C14698" t="str">
            <v>Homefield School</v>
          </cell>
          <cell r="D14698" t="str">
            <v>Warwickshire</v>
          </cell>
          <cell r="E14698" t="str">
            <v>Other Independent School</v>
          </cell>
          <cell r="F14698" t="str">
            <v>Not applicable</v>
          </cell>
        </row>
        <row r="14699">
          <cell r="A14699">
            <v>9263140</v>
          </cell>
          <cell r="B14699">
            <v>121097</v>
          </cell>
          <cell r="C14699" t="str">
            <v>Homefield VC CofE Primary School</v>
          </cell>
          <cell r="D14699" t="str">
            <v>Norfolk</v>
          </cell>
          <cell r="E14699" t="str">
            <v>Voluntary Controlled School</v>
          </cell>
          <cell r="F14699" t="str">
            <v>Primary</v>
          </cell>
        </row>
        <row r="14700">
          <cell r="A14700">
            <v>8312006</v>
          </cell>
          <cell r="B14700">
            <v>133258</v>
          </cell>
          <cell r="C14700" t="str">
            <v>Homefields Primary School</v>
          </cell>
          <cell r="D14700" t="str">
            <v>Derby</v>
          </cell>
          <cell r="E14700" t="str">
            <v>Community School</v>
          </cell>
          <cell r="F14700" t="str">
            <v>Primary</v>
          </cell>
        </row>
        <row r="14701">
          <cell r="A14701">
            <v>8802455</v>
          </cell>
          <cell r="B14701">
            <v>113231</v>
          </cell>
          <cell r="C14701" t="str">
            <v>Homelands Primary School</v>
          </cell>
          <cell r="D14701" t="str">
            <v>Torbay</v>
          </cell>
          <cell r="E14701" t="str">
            <v>Community School</v>
          </cell>
          <cell r="F14701" t="str">
            <v>Primary</v>
          </cell>
        </row>
        <row r="14702">
          <cell r="A14702">
            <v>9104139</v>
          </cell>
          <cell r="B14702">
            <v>128651</v>
          </cell>
          <cell r="C14702" t="str">
            <v>Homelands School</v>
          </cell>
          <cell r="D14702" t="str">
            <v>Pre LGR (1997) Derbyshire</v>
          </cell>
          <cell r="E14702" t="str">
            <v>Community School</v>
          </cell>
          <cell r="F14702" t="str">
            <v>Secondary</v>
          </cell>
        </row>
        <row r="14703">
          <cell r="A14703">
            <v>8682143</v>
          </cell>
          <cell r="B14703">
            <v>109873</v>
          </cell>
          <cell r="C14703" t="str">
            <v>Homer First School</v>
          </cell>
          <cell r="D14703" t="str">
            <v>Windsor and Maidenhead</v>
          </cell>
          <cell r="E14703" t="str">
            <v>Community School</v>
          </cell>
          <cell r="F14703" t="str">
            <v>Primary</v>
          </cell>
        </row>
        <row r="14704">
          <cell r="A14704">
            <v>9192283</v>
          </cell>
          <cell r="B14704">
            <v>117252</v>
          </cell>
          <cell r="C14704" t="str">
            <v>Homerswood Primary and Nursery School</v>
          </cell>
          <cell r="D14704" t="str">
            <v>Hertfordshire</v>
          </cell>
          <cell r="E14704" t="str">
            <v>Community School</v>
          </cell>
          <cell r="F14704" t="str">
            <v>Primary</v>
          </cell>
        </row>
        <row r="14705">
          <cell r="A14705">
            <v>8731002</v>
          </cell>
          <cell r="B14705">
            <v>110594</v>
          </cell>
          <cell r="C14705" t="str">
            <v>Homerton Children's Centre</v>
          </cell>
          <cell r="D14705" t="str">
            <v>Cambridgeshire</v>
          </cell>
          <cell r="E14705" t="str">
            <v>LA Nursery School</v>
          </cell>
          <cell r="F14705" t="str">
            <v>Nursery</v>
          </cell>
        </row>
        <row r="14706">
          <cell r="A14706">
            <v>2044312</v>
          </cell>
          <cell r="B14706">
            <v>100280</v>
          </cell>
          <cell r="C14706" t="str">
            <v>Homerton College of Technology</v>
          </cell>
          <cell r="D14706" t="str">
            <v>Hackney</v>
          </cell>
          <cell r="E14706" t="str">
            <v>Community School</v>
          </cell>
          <cell r="F14706" t="str">
            <v>Secondary</v>
          </cell>
        </row>
        <row r="14707">
          <cell r="A14707">
            <v>8817028</v>
          </cell>
          <cell r="B14707">
            <v>115451</v>
          </cell>
          <cell r="C14707" t="str">
            <v>Homestead School</v>
          </cell>
          <cell r="D14707" t="str">
            <v>Essex</v>
          </cell>
          <cell r="E14707" t="str">
            <v>Community Special School</v>
          </cell>
          <cell r="F14707" t="str">
            <v>Special</v>
          </cell>
        </row>
        <row r="14708">
          <cell r="A14708">
            <v>9196133</v>
          </cell>
          <cell r="B14708">
            <v>117637</v>
          </cell>
          <cell r="C14708" t="str">
            <v>Homewood Independent School</v>
          </cell>
          <cell r="D14708" t="str">
            <v>Hertfordshire</v>
          </cell>
          <cell r="E14708" t="str">
            <v>Other Independent School</v>
          </cell>
          <cell r="F14708" t="str">
            <v>Not applicable</v>
          </cell>
        </row>
        <row r="14709">
          <cell r="A14709">
            <v>8862255</v>
          </cell>
          <cell r="B14709">
            <v>118355</v>
          </cell>
          <cell r="C14709" t="str">
            <v>Homewood Infant School</v>
          </cell>
          <cell r="D14709" t="str">
            <v>Kent</v>
          </cell>
          <cell r="E14709" t="str">
            <v>Community School</v>
          </cell>
          <cell r="F14709" t="str">
            <v>Primary</v>
          </cell>
        </row>
        <row r="14710">
          <cell r="A14710">
            <v>8865408</v>
          </cell>
          <cell r="B14710">
            <v>118880</v>
          </cell>
          <cell r="C14710" t="str">
            <v>Homewood School and Sixth Form Centre</v>
          </cell>
          <cell r="D14710" t="str">
            <v>Kent</v>
          </cell>
          <cell r="E14710" t="str">
            <v>Foundation School</v>
          </cell>
          <cell r="F14710" t="str">
            <v>Secondary</v>
          </cell>
        </row>
        <row r="14711">
          <cell r="A14711">
            <v>8865408</v>
          </cell>
          <cell r="B14711">
            <v>137484</v>
          </cell>
          <cell r="C14711" t="str">
            <v>Homewood School and Sixth Form Centre</v>
          </cell>
          <cell r="D14711" t="str">
            <v>Kent</v>
          </cell>
          <cell r="E14711" t="str">
            <v>Academy Converters</v>
          </cell>
          <cell r="F14711" t="str">
            <v>Secondary</v>
          </cell>
        </row>
        <row r="14712">
          <cell r="A14712">
            <v>8852078</v>
          </cell>
          <cell r="B14712">
            <v>116688</v>
          </cell>
          <cell r="C14712" t="str">
            <v>Honeybourne First School</v>
          </cell>
          <cell r="D14712" t="str">
            <v>Worcestershire</v>
          </cell>
          <cell r="E14712" t="str">
            <v>Community School</v>
          </cell>
          <cell r="F14712" t="str">
            <v>Primary</v>
          </cell>
        </row>
        <row r="14713">
          <cell r="A14713">
            <v>3306021</v>
          </cell>
          <cell r="B14713">
            <v>103569</v>
          </cell>
          <cell r="C14713" t="str">
            <v>Honeybourne School</v>
          </cell>
          <cell r="D14713" t="str">
            <v>Birmingham</v>
          </cell>
          <cell r="E14713" t="str">
            <v>Other Independent School</v>
          </cell>
          <cell r="F14713" t="str">
            <v>Not applicable</v>
          </cell>
        </row>
        <row r="14714">
          <cell r="A14714">
            <v>8742311</v>
          </cell>
          <cell r="B14714">
            <v>110745</v>
          </cell>
          <cell r="C14714" t="str">
            <v>Honeyhill Community Primary School</v>
          </cell>
          <cell r="D14714" t="str">
            <v>Peterborough</v>
          </cell>
          <cell r="E14714" t="str">
            <v>Community School</v>
          </cell>
          <cell r="F14714" t="str">
            <v>Primary</v>
          </cell>
        </row>
        <row r="14715">
          <cell r="A14715">
            <v>2125203</v>
          </cell>
          <cell r="B14715">
            <v>101012</v>
          </cell>
          <cell r="C14715" t="str">
            <v>Honeywell Infant School</v>
          </cell>
          <cell r="D14715" t="str">
            <v>Wandsworth</v>
          </cell>
          <cell r="E14715" t="str">
            <v>Foundation School</v>
          </cell>
          <cell r="F14715" t="str">
            <v>Primary</v>
          </cell>
        </row>
        <row r="14716">
          <cell r="A14716">
            <v>2125204</v>
          </cell>
          <cell r="B14716">
            <v>101011</v>
          </cell>
          <cell r="C14716" t="str">
            <v>Honeywell Junior School</v>
          </cell>
          <cell r="D14716" t="str">
            <v>Wandsworth</v>
          </cell>
          <cell r="E14716" t="str">
            <v>Foundation School</v>
          </cell>
          <cell r="F14716" t="str">
            <v>Primary</v>
          </cell>
        </row>
        <row r="14717">
          <cell r="A14717">
            <v>3704010</v>
          </cell>
          <cell r="B14717">
            <v>127592</v>
          </cell>
          <cell r="C14717" t="str">
            <v>Honeywell School</v>
          </cell>
          <cell r="D14717" t="str">
            <v>Barnsley</v>
          </cell>
          <cell r="E14717" t="str">
            <v>Community School</v>
          </cell>
          <cell r="F14717" t="str">
            <v>Secondary</v>
          </cell>
        </row>
        <row r="14718">
          <cell r="A14718">
            <v>9114164</v>
          </cell>
          <cell r="B14718">
            <v>128723</v>
          </cell>
          <cell r="C14718" t="str">
            <v>Honicknowle Secondary School</v>
          </cell>
          <cell r="D14718" t="str">
            <v>Pre LGR (1998) Devon</v>
          </cell>
          <cell r="E14718" t="str">
            <v>Community School</v>
          </cell>
          <cell r="F14718" t="str">
            <v>Secondary</v>
          </cell>
        </row>
        <row r="14719">
          <cell r="A14719">
            <v>3082042</v>
          </cell>
          <cell r="B14719">
            <v>101998</v>
          </cell>
          <cell r="C14719" t="str">
            <v>Honilands Primary School</v>
          </cell>
          <cell r="D14719" t="str">
            <v>Enfield</v>
          </cell>
          <cell r="E14719" t="str">
            <v>Community School</v>
          </cell>
          <cell r="F14719" t="str">
            <v>Primary</v>
          </cell>
        </row>
        <row r="14720">
          <cell r="A14720">
            <v>9263025</v>
          </cell>
          <cell r="B14720">
            <v>129617</v>
          </cell>
          <cell r="C14720" t="str">
            <v>Honingham Primary School</v>
          </cell>
          <cell r="D14720" t="str">
            <v>Norfolk</v>
          </cell>
          <cell r="E14720" t="str">
            <v>Voluntary Controlled School</v>
          </cell>
          <cell r="F14720" t="str">
            <v>Primary</v>
          </cell>
        </row>
        <row r="14721">
          <cell r="A14721">
            <v>9353036</v>
          </cell>
          <cell r="B14721">
            <v>124702</v>
          </cell>
          <cell r="C14721" t="str">
            <v>Honington Church of England Voluntary Controlled Primary School</v>
          </cell>
          <cell r="D14721" t="str">
            <v>Suffolk</v>
          </cell>
          <cell r="E14721" t="str">
            <v>Voluntary Controlled School</v>
          </cell>
          <cell r="F14721" t="str">
            <v>Primary</v>
          </cell>
        </row>
        <row r="14722">
          <cell r="A14722">
            <v>8784004</v>
          </cell>
          <cell r="B14722">
            <v>113499</v>
          </cell>
          <cell r="C14722" t="str">
            <v>Honiton Community College</v>
          </cell>
          <cell r="D14722" t="str">
            <v>Devon</v>
          </cell>
          <cell r="E14722" t="str">
            <v>Community School</v>
          </cell>
          <cell r="F14722" t="str">
            <v>Secondary</v>
          </cell>
        </row>
        <row r="14723">
          <cell r="A14723">
            <v>8784004</v>
          </cell>
          <cell r="B14723">
            <v>136912</v>
          </cell>
          <cell r="C14723" t="str">
            <v>Honiton Community College</v>
          </cell>
          <cell r="D14723" t="str">
            <v>Devon</v>
          </cell>
          <cell r="E14723" t="str">
            <v>Academy Converters</v>
          </cell>
          <cell r="F14723" t="str">
            <v>Secondary</v>
          </cell>
        </row>
        <row r="14724">
          <cell r="A14724">
            <v>8866028</v>
          </cell>
          <cell r="B14724">
            <v>118970</v>
          </cell>
          <cell r="C14724" t="str">
            <v>Honiton House School</v>
          </cell>
          <cell r="D14724" t="str">
            <v>Kent</v>
          </cell>
          <cell r="E14724" t="str">
            <v>Other Independent School</v>
          </cell>
          <cell r="F14724" t="str">
            <v>Not applicable</v>
          </cell>
        </row>
        <row r="14725">
          <cell r="A14725">
            <v>8782048</v>
          </cell>
          <cell r="B14725">
            <v>113098</v>
          </cell>
          <cell r="C14725" t="str">
            <v>Honiton Primary School</v>
          </cell>
          <cell r="D14725" t="str">
            <v>Devon</v>
          </cell>
          <cell r="E14725" t="str">
            <v>Community School</v>
          </cell>
          <cell r="F14725" t="str">
            <v>Primary</v>
          </cell>
        </row>
        <row r="14726">
          <cell r="A14726">
            <v>3823040</v>
          </cell>
          <cell r="B14726">
            <v>107724</v>
          </cell>
          <cell r="C14726" t="str">
            <v>Honley Church of England Voluntary Controlled Infant and Nursery School</v>
          </cell>
          <cell r="D14726" t="str">
            <v>Kirklees</v>
          </cell>
          <cell r="E14726" t="str">
            <v>Voluntary Controlled School</v>
          </cell>
          <cell r="F14726" t="str">
            <v>Primary</v>
          </cell>
        </row>
        <row r="14727">
          <cell r="A14727">
            <v>3823020</v>
          </cell>
          <cell r="B14727">
            <v>107712</v>
          </cell>
          <cell r="C14727" t="str">
            <v>Honley Church of England Voluntary Controlled Junior School</v>
          </cell>
          <cell r="D14727" t="str">
            <v>Kirklees</v>
          </cell>
          <cell r="E14727" t="str">
            <v>Voluntary Controlled School</v>
          </cell>
          <cell r="F14727" t="str">
            <v>Primary</v>
          </cell>
        </row>
        <row r="14728">
          <cell r="A14728">
            <v>3824038</v>
          </cell>
          <cell r="B14728">
            <v>107763</v>
          </cell>
          <cell r="C14728" t="str">
            <v>Honley High School</v>
          </cell>
          <cell r="D14728" t="str">
            <v>Kirklees</v>
          </cell>
          <cell r="E14728" t="str">
            <v>Community School</v>
          </cell>
          <cell r="F14728" t="str">
            <v>Secondary</v>
          </cell>
        </row>
        <row r="14729">
          <cell r="A14729">
            <v>3826027</v>
          </cell>
          <cell r="B14729">
            <v>135403</v>
          </cell>
          <cell r="C14729" t="str">
            <v>Honley Preparatory School</v>
          </cell>
          <cell r="D14729" t="str">
            <v>Kirklees</v>
          </cell>
          <cell r="E14729" t="str">
            <v>Other Independent School</v>
          </cell>
          <cell r="F14729" t="str">
            <v>Not applicable</v>
          </cell>
        </row>
        <row r="14730">
          <cell r="A14730">
            <v>9224236</v>
          </cell>
          <cell r="B14730">
            <v>129436</v>
          </cell>
          <cell r="C14730" t="str">
            <v>Hoo St Werburgh Middle School</v>
          </cell>
          <cell r="D14730" t="str">
            <v>Pre LGR (1998) Kent</v>
          </cell>
          <cell r="E14730" t="str">
            <v>Community School</v>
          </cell>
          <cell r="F14730" t="str">
            <v>Middle Deemed Secondary</v>
          </cell>
        </row>
        <row r="14731">
          <cell r="A14731">
            <v>8872213</v>
          </cell>
          <cell r="B14731">
            <v>118327</v>
          </cell>
          <cell r="C14731" t="str">
            <v>Hoo St Werburgh Primary School and Marlborough Centre</v>
          </cell>
          <cell r="D14731" t="str">
            <v>Medway</v>
          </cell>
          <cell r="E14731" t="str">
            <v>Community School</v>
          </cell>
          <cell r="F14731" t="str">
            <v>Primary</v>
          </cell>
        </row>
        <row r="14732">
          <cell r="A14732">
            <v>8772430</v>
          </cell>
          <cell r="B14732">
            <v>111201</v>
          </cell>
          <cell r="C14732" t="str">
            <v>Hood Manor Community Primary School</v>
          </cell>
          <cell r="D14732" t="str">
            <v>Warrington</v>
          </cell>
          <cell r="E14732" t="str">
            <v>Community School</v>
          </cell>
          <cell r="F14732" t="str">
            <v>Primary</v>
          </cell>
        </row>
        <row r="14733">
          <cell r="A14733">
            <v>8792691</v>
          </cell>
          <cell r="B14733">
            <v>113313</v>
          </cell>
          <cell r="C14733" t="str">
            <v>Hooe Primary School</v>
          </cell>
          <cell r="D14733" t="str">
            <v>Plymouth</v>
          </cell>
          <cell r="E14733" t="str">
            <v>Community School</v>
          </cell>
          <cell r="F14733" t="str">
            <v>Primary</v>
          </cell>
        </row>
        <row r="14734">
          <cell r="A14734">
            <v>6682228</v>
          </cell>
          <cell r="B14734">
            <v>400665</v>
          </cell>
          <cell r="C14734" t="str">
            <v>Hook C.P. School</v>
          </cell>
          <cell r="D14734" t="str">
            <v>Pembrokeshire</v>
          </cell>
          <cell r="E14734" t="str">
            <v>Welsh Establishment</v>
          </cell>
          <cell r="F14734" t="str">
            <v>Primary</v>
          </cell>
        </row>
        <row r="14735">
          <cell r="A14735">
            <v>8113087</v>
          </cell>
          <cell r="B14735">
            <v>118029</v>
          </cell>
          <cell r="C14735" t="str">
            <v>Hook Church of England Voluntary Controlled Primary School</v>
          </cell>
          <cell r="D14735" t="str">
            <v>East Riding of Yorkshire</v>
          </cell>
          <cell r="E14735" t="str">
            <v>Voluntary Controlled School</v>
          </cell>
          <cell r="F14735" t="str">
            <v>Primary</v>
          </cell>
        </row>
        <row r="14736">
          <cell r="A14736">
            <v>9203080</v>
          </cell>
          <cell r="B14736">
            <v>129254</v>
          </cell>
          <cell r="C14736" t="str">
            <v>Hook CofE First School</v>
          </cell>
          <cell r="D14736" t="str">
            <v>Pre LGR (1996) Humberside</v>
          </cell>
          <cell r="E14736" t="str">
            <v>Voluntary Controlled School</v>
          </cell>
          <cell r="F14736" t="str">
            <v>Primary</v>
          </cell>
        </row>
        <row r="14737">
          <cell r="A14737">
            <v>8502723</v>
          </cell>
          <cell r="B14737">
            <v>116228</v>
          </cell>
          <cell r="C14737" t="str">
            <v>Hook Infant School</v>
          </cell>
          <cell r="D14737" t="str">
            <v>Hampshire</v>
          </cell>
          <cell r="E14737" t="str">
            <v>Community School</v>
          </cell>
          <cell r="F14737" t="str">
            <v>Primary</v>
          </cell>
        </row>
        <row r="14738">
          <cell r="A14738">
            <v>8502325</v>
          </cell>
          <cell r="B14738">
            <v>116045</v>
          </cell>
          <cell r="C14738" t="str">
            <v>Hook Junior School</v>
          </cell>
          <cell r="D14738" t="str">
            <v>Hampshire</v>
          </cell>
          <cell r="E14738" t="str">
            <v>Community School</v>
          </cell>
          <cell r="F14738" t="str">
            <v>Primary</v>
          </cell>
        </row>
        <row r="14739">
          <cell r="A14739">
            <v>3032008</v>
          </cell>
          <cell r="B14739">
            <v>101409</v>
          </cell>
          <cell r="C14739" t="str">
            <v>Hook Lane Primary School</v>
          </cell>
          <cell r="D14739" t="str">
            <v>Bexley</v>
          </cell>
          <cell r="E14739" t="str">
            <v>Community School</v>
          </cell>
          <cell r="F14739" t="str">
            <v>Primary</v>
          </cell>
        </row>
        <row r="14740">
          <cell r="A14740">
            <v>9313044</v>
          </cell>
          <cell r="B14740">
            <v>123097</v>
          </cell>
          <cell r="C14740" t="str">
            <v>Hook Norton Church of England Primary School</v>
          </cell>
          <cell r="D14740" t="str">
            <v>Oxfordshire</v>
          </cell>
          <cell r="E14740" t="str">
            <v>Voluntary Controlled School</v>
          </cell>
          <cell r="F14740" t="str">
            <v>Primary</v>
          </cell>
        </row>
        <row r="14741">
          <cell r="A14741">
            <v>8356013</v>
          </cell>
          <cell r="B14741">
            <v>131027</v>
          </cell>
          <cell r="C14741" t="str">
            <v>Hooke Court School</v>
          </cell>
          <cell r="D14741" t="str">
            <v>Dorset</v>
          </cell>
          <cell r="E14741" t="str">
            <v>Other Independent School</v>
          </cell>
          <cell r="F14741" t="str">
            <v>Not applicable</v>
          </cell>
        </row>
        <row r="14742">
          <cell r="A14742">
            <v>3904038</v>
          </cell>
          <cell r="B14742">
            <v>108408</v>
          </cell>
          <cell r="C14742" t="str">
            <v>Hookergate School</v>
          </cell>
          <cell r="D14742" t="str">
            <v>Gateshead</v>
          </cell>
          <cell r="E14742" t="str">
            <v>Community School</v>
          </cell>
          <cell r="F14742" t="str">
            <v>Secondary</v>
          </cell>
        </row>
        <row r="14743">
          <cell r="A14743">
            <v>8152368</v>
          </cell>
          <cell r="B14743">
            <v>121428</v>
          </cell>
          <cell r="C14743" t="str">
            <v>Hookstone Chase Community Primary School</v>
          </cell>
          <cell r="D14743" t="str">
            <v>North Yorkshire</v>
          </cell>
          <cell r="E14743" t="str">
            <v>Community School</v>
          </cell>
          <cell r="F14743" t="str">
            <v>Primary</v>
          </cell>
        </row>
        <row r="14744">
          <cell r="A14744">
            <v>8503079</v>
          </cell>
          <cell r="B14744">
            <v>116291</v>
          </cell>
          <cell r="C14744" t="str">
            <v>Hook-with-Warsash Church of England Primary School</v>
          </cell>
          <cell r="D14744" t="str">
            <v>Hampshire</v>
          </cell>
          <cell r="E14744" t="str">
            <v>Voluntary Controlled School</v>
          </cell>
          <cell r="F14744" t="str">
            <v>Primary</v>
          </cell>
        </row>
        <row r="14745">
          <cell r="A14745">
            <v>8753003</v>
          </cell>
          <cell r="B14745">
            <v>111243</v>
          </cell>
          <cell r="C14745" t="str">
            <v>Hoole All Saints' CofE Infant and Nursery School</v>
          </cell>
          <cell r="D14745" t="str">
            <v>Pre LGR (2009) Cheshire</v>
          </cell>
          <cell r="E14745" t="str">
            <v>Voluntary Controlled School</v>
          </cell>
          <cell r="F14745" t="str">
            <v>Primary</v>
          </cell>
        </row>
        <row r="14746">
          <cell r="A14746">
            <v>8962012</v>
          </cell>
          <cell r="B14746">
            <v>134248</v>
          </cell>
          <cell r="C14746" t="str">
            <v>Hoole Church of England Primary School</v>
          </cell>
          <cell r="D14746" t="str">
            <v>Cheshire West and Chester</v>
          </cell>
          <cell r="E14746" t="str">
            <v>Voluntary Controlled School</v>
          </cell>
          <cell r="F14746" t="str">
            <v>Primary</v>
          </cell>
        </row>
        <row r="14747">
          <cell r="A14747">
            <v>8753001</v>
          </cell>
          <cell r="B14747">
            <v>111242</v>
          </cell>
          <cell r="C14747" t="str">
            <v>Hoole St James's CofE Junior School</v>
          </cell>
          <cell r="D14747" t="str">
            <v>Pre LGR (2009) Cheshire</v>
          </cell>
          <cell r="E14747" t="str">
            <v>Voluntary Controlled School</v>
          </cell>
          <cell r="F14747" t="str">
            <v>Primary</v>
          </cell>
        </row>
        <row r="14748">
          <cell r="A14748">
            <v>8883586</v>
          </cell>
          <cell r="B14748">
            <v>119570</v>
          </cell>
          <cell r="C14748" t="str">
            <v>Hoole St Michael CofE Primary School</v>
          </cell>
          <cell r="D14748" t="str">
            <v>Lancashire</v>
          </cell>
          <cell r="E14748" t="str">
            <v>Voluntary Aided School</v>
          </cell>
          <cell r="F14748" t="str">
            <v>Primary</v>
          </cell>
        </row>
        <row r="14749">
          <cell r="A14749">
            <v>3713307</v>
          </cell>
          <cell r="B14749">
            <v>106763</v>
          </cell>
          <cell r="C14749" t="str">
            <v>Hooton Pagnell All Saints Church of England Primary School</v>
          </cell>
          <cell r="D14749" t="str">
            <v>Doncaster</v>
          </cell>
          <cell r="E14749" t="str">
            <v>Voluntary Aided School</v>
          </cell>
          <cell r="F14749" t="str">
            <v>Primary</v>
          </cell>
        </row>
        <row r="14750">
          <cell r="A14750">
            <v>3424803</v>
          </cell>
          <cell r="B14750">
            <v>136421</v>
          </cell>
          <cell r="C14750" t="str">
            <v>Hope Academy</v>
          </cell>
          <cell r="D14750" t="str">
            <v>St. Helens</v>
          </cell>
          <cell r="E14750" t="str">
            <v>Academy Sponsor Led</v>
          </cell>
          <cell r="F14750" t="str">
            <v>Secondary</v>
          </cell>
        </row>
        <row r="14751">
          <cell r="A14751">
            <v>9162184</v>
          </cell>
          <cell r="B14751">
            <v>133395</v>
          </cell>
          <cell r="C14751" t="str">
            <v>Hope Brook CofE Primary School</v>
          </cell>
          <cell r="D14751" t="str">
            <v>Gloucestershire</v>
          </cell>
          <cell r="E14751" t="str">
            <v>Voluntary Controlled School</v>
          </cell>
          <cell r="F14751" t="str">
            <v>Primary</v>
          </cell>
        </row>
        <row r="14752">
          <cell r="A14752">
            <v>8933051</v>
          </cell>
          <cell r="B14752">
            <v>123479</v>
          </cell>
          <cell r="C14752" t="str">
            <v>Hope CofE Primary School</v>
          </cell>
          <cell r="D14752" t="str">
            <v>Shropshire</v>
          </cell>
          <cell r="E14752" t="str">
            <v>Voluntary Controlled School</v>
          </cell>
          <cell r="F14752" t="str">
            <v>Primary</v>
          </cell>
        </row>
        <row r="14753">
          <cell r="A14753">
            <v>8563432</v>
          </cell>
          <cell r="B14753">
            <v>133962</v>
          </cell>
          <cell r="C14753" t="str">
            <v>Hope Hamilton CofE Primary School</v>
          </cell>
          <cell r="D14753" t="str">
            <v>Leicester</v>
          </cell>
          <cell r="E14753" t="str">
            <v>Voluntary Aided School</v>
          </cell>
          <cell r="F14753" t="str">
            <v>Primary</v>
          </cell>
        </row>
        <row r="14754">
          <cell r="A14754">
            <v>3554016</v>
          </cell>
          <cell r="B14754">
            <v>105972</v>
          </cell>
          <cell r="C14754" t="str">
            <v>Hope High School</v>
          </cell>
          <cell r="D14754" t="str">
            <v>Salford</v>
          </cell>
          <cell r="E14754" t="str">
            <v>Community School</v>
          </cell>
          <cell r="F14754" t="str">
            <v>Secondary</v>
          </cell>
        </row>
        <row r="14755">
          <cell r="A14755">
            <v>8887104</v>
          </cell>
          <cell r="B14755">
            <v>119898</v>
          </cell>
          <cell r="C14755" t="str">
            <v>Hope High School</v>
          </cell>
          <cell r="D14755" t="str">
            <v>Lancashire</v>
          </cell>
          <cell r="E14755" t="str">
            <v>Community Special School</v>
          </cell>
          <cell r="F14755" t="str">
            <v>Special</v>
          </cell>
        </row>
        <row r="14756">
          <cell r="A14756">
            <v>8916032</v>
          </cell>
          <cell r="B14756">
            <v>135393</v>
          </cell>
          <cell r="C14756" t="str">
            <v>Hope House School</v>
          </cell>
          <cell r="D14756" t="str">
            <v>Nottinghamshire</v>
          </cell>
          <cell r="E14756" t="str">
            <v>Other Independent Special School</v>
          </cell>
          <cell r="F14756" t="str">
            <v>Not applicable</v>
          </cell>
        </row>
        <row r="14757">
          <cell r="A14757">
            <v>8526004</v>
          </cell>
          <cell r="B14757">
            <v>116572</v>
          </cell>
          <cell r="C14757" t="str">
            <v>Hope Lodge School</v>
          </cell>
          <cell r="D14757" t="str">
            <v>Southampton</v>
          </cell>
          <cell r="E14757" t="str">
            <v>Other Independent Special School</v>
          </cell>
          <cell r="F14757" t="str">
            <v>Not applicable</v>
          </cell>
        </row>
        <row r="14758">
          <cell r="A14758">
            <v>2106383</v>
          </cell>
          <cell r="B14758">
            <v>100868</v>
          </cell>
          <cell r="C14758" t="str">
            <v>Hope Primary School</v>
          </cell>
          <cell r="D14758" t="str">
            <v>Southwark</v>
          </cell>
          <cell r="E14758" t="str">
            <v>Other Independent School</v>
          </cell>
          <cell r="F14758" t="str">
            <v>Not applicable</v>
          </cell>
        </row>
        <row r="14759">
          <cell r="A14759">
            <v>8302132</v>
          </cell>
          <cell r="B14759">
            <v>112566</v>
          </cell>
          <cell r="C14759" t="str">
            <v>Hope Primary School</v>
          </cell>
          <cell r="D14759" t="str">
            <v>Derbyshire</v>
          </cell>
          <cell r="E14759" t="str">
            <v>Community School</v>
          </cell>
          <cell r="F14759" t="str">
            <v>Primary</v>
          </cell>
        </row>
        <row r="14760">
          <cell r="A14760">
            <v>3403363</v>
          </cell>
          <cell r="B14760">
            <v>135796</v>
          </cell>
          <cell r="C14760" t="str">
            <v>Hope Primary School - A Joint Catholic and Church of England Primary School</v>
          </cell>
          <cell r="D14760" t="str">
            <v>Knowsley</v>
          </cell>
          <cell r="E14760" t="str">
            <v>Voluntary Aided School</v>
          </cell>
          <cell r="F14760" t="str">
            <v>Primary</v>
          </cell>
        </row>
        <row r="14761">
          <cell r="A14761">
            <v>3597002</v>
          </cell>
          <cell r="B14761">
            <v>106543</v>
          </cell>
          <cell r="C14761" t="str">
            <v>Hope School</v>
          </cell>
          <cell r="D14761" t="str">
            <v>Wigan</v>
          </cell>
          <cell r="E14761" t="str">
            <v>Community Special School</v>
          </cell>
          <cell r="F14761" t="str">
            <v>Special</v>
          </cell>
        </row>
        <row r="14762">
          <cell r="A14762">
            <v>3417065</v>
          </cell>
          <cell r="B14762">
            <v>133421</v>
          </cell>
          <cell r="C14762" t="str">
            <v>Hope School</v>
          </cell>
          <cell r="D14762" t="str">
            <v>Liverpool</v>
          </cell>
          <cell r="E14762" t="str">
            <v>Community Special School</v>
          </cell>
          <cell r="F14762" t="str">
            <v>Special</v>
          </cell>
        </row>
        <row r="14763">
          <cell r="A14763">
            <v>8304111</v>
          </cell>
          <cell r="B14763">
            <v>112942</v>
          </cell>
          <cell r="C14763" t="str">
            <v>Hope Valley College</v>
          </cell>
          <cell r="D14763" t="str">
            <v>Derbyshire</v>
          </cell>
          <cell r="E14763" t="str">
            <v>Community School</v>
          </cell>
          <cell r="F14763" t="str">
            <v>Secondary</v>
          </cell>
        </row>
        <row r="14764">
          <cell r="A14764">
            <v>8304111</v>
          </cell>
          <cell r="B14764">
            <v>137350</v>
          </cell>
          <cell r="C14764" t="str">
            <v>Hope Valley College</v>
          </cell>
          <cell r="D14764" t="str">
            <v>Derbyshire</v>
          </cell>
          <cell r="E14764" t="str">
            <v>Academy Converters</v>
          </cell>
          <cell r="F14764" t="str">
            <v>Secondary</v>
          </cell>
        </row>
        <row r="14765">
          <cell r="A14765">
            <v>8866123</v>
          </cell>
          <cell r="B14765">
            <v>135438</v>
          </cell>
          <cell r="C14765" t="str">
            <v>Hope View School</v>
          </cell>
          <cell r="D14765" t="str">
            <v>Kent</v>
          </cell>
          <cell r="E14765" t="str">
            <v>Other Independent Special School</v>
          </cell>
          <cell r="F14765" t="str">
            <v>Not applicable</v>
          </cell>
        </row>
        <row r="14766">
          <cell r="A14766">
            <v>9361123</v>
          </cell>
          <cell r="B14766">
            <v>134871</v>
          </cell>
          <cell r="C14766" t="str">
            <v>Hope, Epsom</v>
          </cell>
          <cell r="D14766" t="str">
            <v>Surrey</v>
          </cell>
          <cell r="E14766" t="str">
            <v>Pupil Referral Unit</v>
          </cell>
          <cell r="F14766" t="str">
            <v>PRU</v>
          </cell>
        </row>
        <row r="14767">
          <cell r="A14767">
            <v>9361122</v>
          </cell>
          <cell r="B14767">
            <v>134870</v>
          </cell>
          <cell r="C14767" t="str">
            <v>Hope, Guildford</v>
          </cell>
          <cell r="D14767" t="str">
            <v>Surrey</v>
          </cell>
          <cell r="E14767" t="str">
            <v>Pupil Referral Unit</v>
          </cell>
          <cell r="F14767" t="str">
            <v>PRU</v>
          </cell>
        </row>
        <row r="14768">
          <cell r="A14768">
            <v>9166051</v>
          </cell>
          <cell r="B14768">
            <v>115805</v>
          </cell>
          <cell r="C14768" t="str">
            <v>Hopelands Preparatory School</v>
          </cell>
          <cell r="D14768" t="str">
            <v>Gloucestershire</v>
          </cell>
          <cell r="E14768" t="str">
            <v>Other Independent School</v>
          </cell>
          <cell r="F14768" t="str">
            <v>Not applicable</v>
          </cell>
        </row>
        <row r="14769">
          <cell r="A14769">
            <v>9162076</v>
          </cell>
          <cell r="B14769">
            <v>115530</v>
          </cell>
          <cell r="C14769" t="str">
            <v>Hopes Hill Community Primary School</v>
          </cell>
          <cell r="D14769" t="str">
            <v>Gloucestershire</v>
          </cell>
          <cell r="E14769" t="str">
            <v>Community School</v>
          </cell>
          <cell r="F14769" t="str">
            <v>Primary</v>
          </cell>
        </row>
        <row r="14770">
          <cell r="A14770">
            <v>9323052</v>
          </cell>
          <cell r="B14770">
            <v>129797</v>
          </cell>
          <cell r="C14770" t="str">
            <v>Hopesay Parochial Primary School</v>
          </cell>
          <cell r="D14770" t="str">
            <v>Pre LGR (1998) Shropshire</v>
          </cell>
          <cell r="E14770" t="str">
            <v>Voluntary Controlled School</v>
          </cell>
          <cell r="F14770" t="str">
            <v>Primary</v>
          </cell>
        </row>
        <row r="14771">
          <cell r="A14771">
            <v>9202282</v>
          </cell>
          <cell r="B14771">
            <v>129197</v>
          </cell>
          <cell r="C14771" t="str">
            <v>Hopewell Primary School</v>
          </cell>
          <cell r="D14771" t="str">
            <v>Pre LGR (1996) Humberside</v>
          </cell>
          <cell r="E14771" t="str">
            <v>Community School</v>
          </cell>
          <cell r="F14771" t="str">
            <v>Primary</v>
          </cell>
        </row>
        <row r="14772">
          <cell r="A14772">
            <v>8862271</v>
          </cell>
          <cell r="B14772">
            <v>118366</v>
          </cell>
          <cell r="C14772" t="str">
            <v>Hopewell School</v>
          </cell>
          <cell r="D14772" t="str">
            <v>Kent</v>
          </cell>
          <cell r="E14772" t="str">
            <v>Community School</v>
          </cell>
          <cell r="F14772" t="str">
            <v>Primary</v>
          </cell>
        </row>
        <row r="14773">
          <cell r="A14773">
            <v>2096034</v>
          </cell>
          <cell r="B14773">
            <v>136017</v>
          </cell>
          <cell r="C14773" t="str">
            <v>Hopewell School (Bartram)</v>
          </cell>
          <cell r="D14773" t="str">
            <v>Lewisham</v>
          </cell>
          <cell r="E14773" t="str">
            <v>Other Independent Special School</v>
          </cell>
          <cell r="F14773" t="str">
            <v>Not applicable</v>
          </cell>
        </row>
        <row r="14774">
          <cell r="A14774">
            <v>3016002</v>
          </cell>
          <cell r="B14774">
            <v>134388</v>
          </cell>
          <cell r="C14774" t="str">
            <v>Hopewell School (Harmony House)</v>
          </cell>
          <cell r="D14774" t="str">
            <v>Barking and Dagenham</v>
          </cell>
          <cell r="E14774" t="str">
            <v>Other Independent Special School</v>
          </cell>
          <cell r="F14774" t="str">
            <v>Not applicable</v>
          </cell>
        </row>
        <row r="14775">
          <cell r="A14775">
            <v>9282184</v>
          </cell>
          <cell r="B14775">
            <v>121927</v>
          </cell>
          <cell r="C14775" t="str">
            <v>Hopping Hill Primary School</v>
          </cell>
          <cell r="D14775" t="str">
            <v>Northamptonshire</v>
          </cell>
          <cell r="E14775" t="str">
            <v>Community School</v>
          </cell>
          <cell r="F14775" t="str">
            <v>Primary</v>
          </cell>
        </row>
        <row r="14776">
          <cell r="A14776">
            <v>9263141</v>
          </cell>
          <cell r="B14776">
            <v>121098</v>
          </cell>
          <cell r="C14776" t="str">
            <v>Hopton Church of England Primary School</v>
          </cell>
          <cell r="D14776" t="str">
            <v>Norfolk</v>
          </cell>
          <cell r="E14776" t="str">
            <v>Voluntary Controlled School</v>
          </cell>
          <cell r="F14776" t="str">
            <v>Primary</v>
          </cell>
        </row>
        <row r="14777">
          <cell r="A14777">
            <v>9353037</v>
          </cell>
          <cell r="B14777">
            <v>124703</v>
          </cell>
          <cell r="C14777" t="str">
            <v>Hopton Church of England Voluntary Controlled Primary School</v>
          </cell>
          <cell r="D14777" t="str">
            <v>Suffolk</v>
          </cell>
          <cell r="E14777" t="str">
            <v>Voluntary Controlled School</v>
          </cell>
          <cell r="F14777" t="str">
            <v>Primary</v>
          </cell>
        </row>
        <row r="14778">
          <cell r="A14778">
            <v>3822097</v>
          </cell>
          <cell r="B14778">
            <v>107665</v>
          </cell>
          <cell r="C14778" t="str">
            <v>Hopton Primary School</v>
          </cell>
          <cell r="D14778" t="str">
            <v>Kirklees</v>
          </cell>
          <cell r="E14778" t="str">
            <v>Community School</v>
          </cell>
          <cell r="F14778" t="str">
            <v>Primary</v>
          </cell>
        </row>
        <row r="14779">
          <cell r="A14779">
            <v>8933132</v>
          </cell>
          <cell r="B14779">
            <v>123522</v>
          </cell>
          <cell r="C14779" t="str">
            <v>Hopton Wafers CofE (Controlled) Primary School</v>
          </cell>
          <cell r="D14779" t="str">
            <v>Shropshire</v>
          </cell>
          <cell r="E14779" t="str">
            <v>Voluntary Controlled School</v>
          </cell>
          <cell r="F14779" t="str">
            <v>Primary</v>
          </cell>
        </row>
        <row r="14780">
          <cell r="A14780">
            <v>9307008</v>
          </cell>
          <cell r="B14780">
            <v>129739</v>
          </cell>
          <cell r="C14780" t="str">
            <v>Hopwell School</v>
          </cell>
          <cell r="D14780" t="str">
            <v>Pre LGR (1998) Nottinghamshire</v>
          </cell>
          <cell r="E14780" t="str">
            <v>Community Special School</v>
          </cell>
          <cell r="F14780" t="str">
            <v>Special</v>
          </cell>
        </row>
        <row r="14781">
          <cell r="A14781">
            <v>3542063</v>
          </cell>
          <cell r="B14781">
            <v>105798</v>
          </cell>
          <cell r="C14781" t="str">
            <v>Hopwood Community Primary School</v>
          </cell>
          <cell r="D14781" t="str">
            <v>Rochdale</v>
          </cell>
          <cell r="E14781" t="str">
            <v>Community School</v>
          </cell>
          <cell r="F14781" t="str">
            <v>Primary</v>
          </cell>
        </row>
        <row r="14782">
          <cell r="A14782">
            <v>3548003</v>
          </cell>
          <cell r="B14782">
            <v>130507</v>
          </cell>
          <cell r="C14782" t="str">
            <v>Hopwood Hall College</v>
          </cell>
          <cell r="D14782" t="str">
            <v>Rochdale</v>
          </cell>
          <cell r="E14782" t="str">
            <v>Further Education</v>
          </cell>
          <cell r="F14782" t="str">
            <v>16 Plus</v>
          </cell>
        </row>
        <row r="14783">
          <cell r="A14783">
            <v>3843006</v>
          </cell>
          <cell r="B14783">
            <v>108245</v>
          </cell>
          <cell r="C14783" t="str">
            <v>Horbury Bridge Church of England Voluntary Controlled Junior and Infant School</v>
          </cell>
          <cell r="D14783" t="str">
            <v>Wakefield</v>
          </cell>
          <cell r="E14783" t="str">
            <v>Voluntary Controlled School</v>
          </cell>
          <cell r="F14783" t="str">
            <v>Primary</v>
          </cell>
        </row>
        <row r="14784">
          <cell r="A14784">
            <v>3842089</v>
          </cell>
          <cell r="B14784">
            <v>108169</v>
          </cell>
          <cell r="C14784" t="str">
            <v>Horbury Clifton Infant School</v>
          </cell>
          <cell r="D14784" t="str">
            <v>Wakefield</v>
          </cell>
          <cell r="E14784" t="str">
            <v>Community School</v>
          </cell>
          <cell r="F14784" t="str">
            <v>Primary</v>
          </cell>
        </row>
        <row r="14785">
          <cell r="A14785">
            <v>3842130</v>
          </cell>
          <cell r="B14785">
            <v>108197</v>
          </cell>
          <cell r="C14785" t="str">
            <v>Horbury Infant School</v>
          </cell>
          <cell r="D14785" t="str">
            <v>Wakefield</v>
          </cell>
          <cell r="E14785" t="str">
            <v>Community School</v>
          </cell>
          <cell r="F14785" t="str">
            <v>Primary</v>
          </cell>
        </row>
        <row r="14786">
          <cell r="A14786">
            <v>3842102</v>
          </cell>
          <cell r="B14786">
            <v>108179</v>
          </cell>
          <cell r="C14786" t="str">
            <v>Horbury Junior School</v>
          </cell>
          <cell r="D14786" t="str">
            <v>Wakefield</v>
          </cell>
          <cell r="E14786" t="str">
            <v>Community School</v>
          </cell>
          <cell r="F14786" t="str">
            <v>Primary</v>
          </cell>
        </row>
        <row r="14787">
          <cell r="A14787">
            <v>3842207</v>
          </cell>
          <cell r="B14787">
            <v>133319</v>
          </cell>
          <cell r="C14787" t="str">
            <v>Horbury Primary School</v>
          </cell>
          <cell r="D14787" t="str">
            <v>Wakefield</v>
          </cell>
          <cell r="E14787" t="str">
            <v>Community School</v>
          </cell>
          <cell r="F14787" t="str">
            <v>Primary</v>
          </cell>
        </row>
        <row r="14788">
          <cell r="A14788">
            <v>3844028</v>
          </cell>
          <cell r="B14788">
            <v>108280</v>
          </cell>
          <cell r="C14788" t="str">
            <v>Horbury School - A Specialist Language College</v>
          </cell>
          <cell r="D14788" t="str">
            <v>Wakefield</v>
          </cell>
          <cell r="E14788" t="str">
            <v>Foundation School</v>
          </cell>
          <cell r="F14788" t="str">
            <v>Secondary</v>
          </cell>
        </row>
        <row r="14789">
          <cell r="A14789">
            <v>3843343</v>
          </cell>
          <cell r="B14789">
            <v>136005</v>
          </cell>
          <cell r="C14789" t="str">
            <v>Horbury St Peter's and Clifton CofE (VC) Primary School</v>
          </cell>
          <cell r="D14789" t="str">
            <v>Wakefield</v>
          </cell>
          <cell r="E14789" t="str">
            <v>Voluntary Controlled School</v>
          </cell>
          <cell r="F14789" t="str">
            <v>Primary</v>
          </cell>
        </row>
        <row r="14790">
          <cell r="A14790">
            <v>3843005</v>
          </cell>
          <cell r="B14790">
            <v>108244</v>
          </cell>
          <cell r="C14790" t="str">
            <v>Horbury St Peters Church of England Voluntary Controlled Junior School</v>
          </cell>
          <cell r="D14790" t="str">
            <v>Wakefield</v>
          </cell>
          <cell r="E14790" t="str">
            <v>Voluntary Controlled School</v>
          </cell>
          <cell r="F14790" t="str">
            <v>Primary</v>
          </cell>
        </row>
        <row r="14791">
          <cell r="A14791">
            <v>8407009</v>
          </cell>
          <cell r="B14791">
            <v>114339</v>
          </cell>
          <cell r="C14791" t="str">
            <v>Horden Dene View School</v>
          </cell>
          <cell r="D14791" t="str">
            <v>Durham</v>
          </cell>
          <cell r="E14791" t="str">
            <v>Community Special School</v>
          </cell>
          <cell r="F14791" t="str">
            <v>Special</v>
          </cell>
        </row>
        <row r="14792">
          <cell r="A14792">
            <v>8401035</v>
          </cell>
          <cell r="B14792">
            <v>113986</v>
          </cell>
          <cell r="C14792" t="str">
            <v>Horden Nursery School</v>
          </cell>
          <cell r="D14792" t="str">
            <v>Durham</v>
          </cell>
          <cell r="E14792" t="str">
            <v>LA Nursery School</v>
          </cell>
          <cell r="F14792" t="str">
            <v>Nursery</v>
          </cell>
        </row>
        <row r="14793">
          <cell r="A14793">
            <v>2051004</v>
          </cell>
          <cell r="B14793">
            <v>100314</v>
          </cell>
          <cell r="C14793" t="str">
            <v>Horder Nursery School</v>
          </cell>
          <cell r="D14793" t="str">
            <v>Hammersmith and Fulham</v>
          </cell>
          <cell r="E14793" t="str">
            <v>LA Nursery School</v>
          </cell>
          <cell r="F14793" t="str">
            <v>Nursery</v>
          </cell>
        </row>
        <row r="14794">
          <cell r="A14794">
            <v>8505206</v>
          </cell>
          <cell r="B14794">
            <v>116486</v>
          </cell>
          <cell r="C14794" t="str">
            <v>Hordle CofE Primary School</v>
          </cell>
          <cell r="D14794" t="str">
            <v>Hampshire</v>
          </cell>
          <cell r="E14794" t="str">
            <v>Voluntary Aided School</v>
          </cell>
          <cell r="F14794" t="str">
            <v>Primary</v>
          </cell>
        </row>
        <row r="14795">
          <cell r="A14795">
            <v>8506043</v>
          </cell>
          <cell r="B14795">
            <v>132892</v>
          </cell>
          <cell r="C14795" t="str">
            <v>Hordle House School</v>
          </cell>
          <cell r="D14795" t="str">
            <v>Hampshire</v>
          </cell>
          <cell r="E14795" t="str">
            <v>Other Independent School</v>
          </cell>
          <cell r="F14795" t="str">
            <v>Not applicable</v>
          </cell>
        </row>
        <row r="14796">
          <cell r="A14796">
            <v>8506028</v>
          </cell>
          <cell r="B14796">
            <v>116525</v>
          </cell>
          <cell r="C14796" t="str">
            <v>Hordle Walhampton School Trust Limited</v>
          </cell>
          <cell r="D14796" t="str">
            <v>Hampshire</v>
          </cell>
          <cell r="E14796" t="str">
            <v>Other Independent School</v>
          </cell>
          <cell r="F14796" t="str">
            <v>Not applicable</v>
          </cell>
        </row>
        <row r="14797">
          <cell r="A14797">
            <v>8013008</v>
          </cell>
          <cell r="B14797">
            <v>109143</v>
          </cell>
          <cell r="C14797" t="str">
            <v>Horfield Church of England Primary School</v>
          </cell>
          <cell r="D14797" t="str">
            <v>Bristol City of</v>
          </cell>
          <cell r="E14797" t="str">
            <v>Voluntary Controlled School</v>
          </cell>
          <cell r="F14797" t="str">
            <v>Primary</v>
          </cell>
        </row>
        <row r="14798">
          <cell r="A14798">
            <v>8771104</v>
          </cell>
          <cell r="B14798">
            <v>133572</v>
          </cell>
          <cell r="C14798" t="str">
            <v>Horizon Centre</v>
          </cell>
          <cell r="D14798" t="str">
            <v>Warrington</v>
          </cell>
          <cell r="E14798" t="str">
            <v>Pupil Referral Unit</v>
          </cell>
          <cell r="F14798" t="str">
            <v>PRU</v>
          </cell>
        </row>
        <row r="14799">
          <cell r="A14799">
            <v>9331118</v>
          </cell>
          <cell r="B14799">
            <v>135095</v>
          </cell>
          <cell r="C14799" t="str">
            <v>Horizon Centre</v>
          </cell>
          <cell r="D14799" t="str">
            <v>Somerset</v>
          </cell>
          <cell r="E14799" t="str">
            <v>Pupil Referral Unit</v>
          </cell>
          <cell r="F14799" t="str">
            <v>PRU</v>
          </cell>
        </row>
        <row r="14800">
          <cell r="A14800">
            <v>3704805</v>
          </cell>
          <cell r="B14800">
            <v>136404</v>
          </cell>
          <cell r="C14800" t="str">
            <v>Horizon Community College</v>
          </cell>
          <cell r="D14800" t="str">
            <v>Barnsley</v>
          </cell>
          <cell r="E14800" t="str">
            <v>Community School</v>
          </cell>
          <cell r="F14800" t="str">
            <v>Secondary</v>
          </cell>
        </row>
        <row r="14801">
          <cell r="A14801">
            <v>8862001</v>
          </cell>
          <cell r="B14801">
            <v>137136</v>
          </cell>
          <cell r="C14801" t="str">
            <v>Horizon Primary Academy</v>
          </cell>
          <cell r="D14801" t="str">
            <v>Kent</v>
          </cell>
          <cell r="E14801" t="str">
            <v>Academy Sponsor Led</v>
          </cell>
          <cell r="F14801" t="str">
            <v>Primary</v>
          </cell>
        </row>
        <row r="14802">
          <cell r="A14802">
            <v>8863908</v>
          </cell>
          <cell r="B14802">
            <v>135117</v>
          </cell>
          <cell r="C14802" t="str">
            <v>Horizon Primary School</v>
          </cell>
          <cell r="D14802" t="str">
            <v>Kent</v>
          </cell>
          <cell r="E14802" t="str">
            <v>Community School</v>
          </cell>
          <cell r="F14802" t="str">
            <v>Primary</v>
          </cell>
        </row>
        <row r="14803">
          <cell r="A14803">
            <v>2047161</v>
          </cell>
          <cell r="B14803">
            <v>100311</v>
          </cell>
          <cell r="C14803" t="str">
            <v>Horizon School</v>
          </cell>
          <cell r="D14803" t="str">
            <v>Hackney</v>
          </cell>
          <cell r="E14803" t="str">
            <v>Community Special School</v>
          </cell>
          <cell r="F14803" t="str">
            <v>Special</v>
          </cell>
        </row>
        <row r="14804">
          <cell r="A14804">
            <v>3516015</v>
          </cell>
          <cell r="B14804">
            <v>135753</v>
          </cell>
          <cell r="C14804" t="str">
            <v>Horizon School</v>
          </cell>
          <cell r="D14804" t="str">
            <v>Bury</v>
          </cell>
          <cell r="E14804" t="str">
            <v>Other Independent Special School</v>
          </cell>
          <cell r="F14804" t="str">
            <v>Not applicable</v>
          </cell>
        </row>
        <row r="14805">
          <cell r="A14805">
            <v>8606032</v>
          </cell>
          <cell r="B14805">
            <v>135513</v>
          </cell>
          <cell r="C14805" t="str">
            <v>Horizon School Cannock</v>
          </cell>
          <cell r="D14805" t="str">
            <v>Staffordshire</v>
          </cell>
          <cell r="E14805" t="str">
            <v>Other Independent Special School</v>
          </cell>
          <cell r="F14805" t="str">
            <v>Not applicable</v>
          </cell>
        </row>
        <row r="14806">
          <cell r="A14806">
            <v>8786054</v>
          </cell>
          <cell r="B14806">
            <v>133305</v>
          </cell>
          <cell r="C14806" t="str">
            <v>Horizons Small School</v>
          </cell>
          <cell r="D14806" t="str">
            <v>Devon</v>
          </cell>
          <cell r="E14806" t="str">
            <v>Other Independent School</v>
          </cell>
          <cell r="F14806" t="str">
            <v>Not applicable</v>
          </cell>
        </row>
        <row r="14807">
          <cell r="A14807">
            <v>8736014</v>
          </cell>
          <cell r="B14807">
            <v>110927</v>
          </cell>
          <cell r="C14807" t="str">
            <v>Horlers Pre-Preparatory School</v>
          </cell>
          <cell r="D14807" t="str">
            <v>Cambridgeshire</v>
          </cell>
          <cell r="E14807" t="str">
            <v>Other Independent School</v>
          </cell>
          <cell r="F14807" t="str">
            <v>Not applicable</v>
          </cell>
        </row>
        <row r="14808">
          <cell r="A14808">
            <v>9362140</v>
          </cell>
          <cell r="B14808">
            <v>124981</v>
          </cell>
          <cell r="C14808" t="str">
            <v>Horley Infant School</v>
          </cell>
          <cell r="D14808" t="str">
            <v>Surrey</v>
          </cell>
          <cell r="E14808" t="str">
            <v>Community School</v>
          </cell>
          <cell r="F14808" t="str">
            <v>Primary</v>
          </cell>
        </row>
        <row r="14809">
          <cell r="A14809">
            <v>9364068</v>
          </cell>
          <cell r="B14809">
            <v>130098</v>
          </cell>
          <cell r="C14809" t="str">
            <v>Horley School</v>
          </cell>
          <cell r="D14809" t="str">
            <v>Surrey</v>
          </cell>
          <cell r="E14809" t="str">
            <v>Community School</v>
          </cell>
          <cell r="F14809" t="str">
            <v>Secondary</v>
          </cell>
        </row>
        <row r="14810">
          <cell r="A14810">
            <v>9361116</v>
          </cell>
          <cell r="B14810">
            <v>124931</v>
          </cell>
          <cell r="C14810" t="str">
            <v>Horley Tuition Centre</v>
          </cell>
          <cell r="D14810" t="str">
            <v>Surrey</v>
          </cell>
          <cell r="E14810" t="str">
            <v>Pupil Referral Unit</v>
          </cell>
          <cell r="F14810" t="str">
            <v>PRU</v>
          </cell>
        </row>
        <row r="14811">
          <cell r="A14811">
            <v>9193347</v>
          </cell>
          <cell r="B14811">
            <v>117439</v>
          </cell>
          <cell r="C14811" t="str">
            <v>Hormead Church of England (VA) Primary School</v>
          </cell>
          <cell r="D14811" t="str">
            <v>Hertfordshire</v>
          </cell>
          <cell r="E14811" t="str">
            <v>Voluntary Aided School</v>
          </cell>
          <cell r="F14811" t="str">
            <v>Primary</v>
          </cell>
        </row>
        <row r="14812">
          <cell r="A14812">
            <v>2032787</v>
          </cell>
          <cell r="B14812">
            <v>126583</v>
          </cell>
          <cell r="C14812" t="str">
            <v>Horn Park Infant School</v>
          </cell>
          <cell r="D14812" t="str">
            <v>Greenwich</v>
          </cell>
          <cell r="E14812" t="str">
            <v>Community School</v>
          </cell>
          <cell r="F14812" t="str">
            <v>Primary</v>
          </cell>
        </row>
        <row r="14813">
          <cell r="A14813">
            <v>2032313</v>
          </cell>
          <cell r="B14813">
            <v>100132</v>
          </cell>
          <cell r="C14813" t="str">
            <v>Horn Park Primary School</v>
          </cell>
          <cell r="D14813" t="str">
            <v>Greenwich</v>
          </cell>
          <cell r="E14813" t="str">
            <v>Community School</v>
          </cell>
          <cell r="F14813" t="str">
            <v>Primary</v>
          </cell>
        </row>
        <row r="14814">
          <cell r="A14814">
            <v>8863911</v>
          </cell>
          <cell r="B14814">
            <v>135133</v>
          </cell>
          <cell r="C14814" t="str">
            <v>Hornbeam Primary School</v>
          </cell>
          <cell r="D14814" t="str">
            <v>Kent</v>
          </cell>
          <cell r="E14814" t="str">
            <v>Community School</v>
          </cell>
          <cell r="F14814" t="str">
            <v>Primary</v>
          </cell>
        </row>
        <row r="14815">
          <cell r="A14815">
            <v>7022083</v>
          </cell>
          <cell r="B14815">
            <v>132684</v>
          </cell>
          <cell r="C14815" t="str">
            <v>Hornbill School</v>
          </cell>
          <cell r="D14815" t="str">
            <v>BFPO Overseas Establishments</v>
          </cell>
          <cell r="E14815" t="str">
            <v>Service Childrens Education</v>
          </cell>
          <cell r="F14815" t="str">
            <v>Not applicable</v>
          </cell>
        </row>
        <row r="14816">
          <cell r="A14816">
            <v>8884170</v>
          </cell>
          <cell r="B14816">
            <v>119750</v>
          </cell>
          <cell r="C14816" t="str">
            <v>Hornby High School</v>
          </cell>
          <cell r="D14816" t="str">
            <v>Lancashire</v>
          </cell>
          <cell r="E14816" t="str">
            <v>Community School</v>
          </cell>
          <cell r="F14816" t="str">
            <v>Secondary</v>
          </cell>
        </row>
        <row r="14817">
          <cell r="A14817">
            <v>8883528</v>
          </cell>
          <cell r="B14817">
            <v>119530</v>
          </cell>
          <cell r="C14817" t="str">
            <v>Hornby St Margaret's Church of England Primary School</v>
          </cell>
          <cell r="D14817" t="str">
            <v>Lancashire</v>
          </cell>
          <cell r="E14817" t="str">
            <v>Voluntary Aided School</v>
          </cell>
          <cell r="F14817" t="str">
            <v>Primary</v>
          </cell>
        </row>
        <row r="14818">
          <cell r="A14818">
            <v>9258290</v>
          </cell>
          <cell r="B14818">
            <v>133196</v>
          </cell>
          <cell r="C14818" t="str">
            <v>Horncastle College</v>
          </cell>
          <cell r="D14818" t="str">
            <v>Lincolnshire</v>
          </cell>
          <cell r="E14818" t="str">
            <v>Miscellaneous</v>
          </cell>
          <cell r="F14818" t="str">
            <v>Not applicable</v>
          </cell>
        </row>
        <row r="14819">
          <cell r="A14819">
            <v>9252244</v>
          </cell>
          <cell r="B14819">
            <v>120507</v>
          </cell>
          <cell r="C14819" t="str">
            <v>Horncastle Community Primary School</v>
          </cell>
          <cell r="D14819" t="str">
            <v>Lincolnshire</v>
          </cell>
          <cell r="E14819" t="str">
            <v>Community School</v>
          </cell>
          <cell r="F14819" t="str">
            <v>Primary</v>
          </cell>
        </row>
        <row r="14820">
          <cell r="A14820">
            <v>9292150</v>
          </cell>
          <cell r="B14820">
            <v>122205</v>
          </cell>
          <cell r="C14820" t="str">
            <v>Horncliffe First School</v>
          </cell>
          <cell r="D14820" t="str">
            <v>Northumberland</v>
          </cell>
          <cell r="E14820" t="str">
            <v>Community School</v>
          </cell>
          <cell r="F14820" t="str">
            <v>Primary</v>
          </cell>
        </row>
        <row r="14821">
          <cell r="A14821">
            <v>8402708</v>
          </cell>
          <cell r="B14821">
            <v>114190</v>
          </cell>
          <cell r="C14821" t="str">
            <v>Horndale Infants' School</v>
          </cell>
          <cell r="D14821" t="str">
            <v>Durham</v>
          </cell>
          <cell r="E14821" t="str">
            <v>Community School</v>
          </cell>
          <cell r="F14821" t="str">
            <v>Primary</v>
          </cell>
        </row>
        <row r="14822">
          <cell r="A14822">
            <v>8503081</v>
          </cell>
          <cell r="B14822">
            <v>116292</v>
          </cell>
          <cell r="C14822" t="str">
            <v>Horndean Church of England Controlled Junior School</v>
          </cell>
          <cell r="D14822" t="str">
            <v>Hampshire</v>
          </cell>
          <cell r="E14822" t="str">
            <v>Voluntary Controlled School</v>
          </cell>
          <cell r="F14822" t="str">
            <v>Primary</v>
          </cell>
        </row>
        <row r="14823">
          <cell r="A14823">
            <v>8502239</v>
          </cell>
          <cell r="B14823">
            <v>115982</v>
          </cell>
          <cell r="C14823" t="str">
            <v>Horndean Infant School</v>
          </cell>
          <cell r="D14823" t="str">
            <v>Hampshire</v>
          </cell>
          <cell r="E14823" t="str">
            <v>Community School</v>
          </cell>
          <cell r="F14823" t="str">
            <v>Primary</v>
          </cell>
        </row>
        <row r="14824">
          <cell r="A14824">
            <v>8504173</v>
          </cell>
          <cell r="B14824">
            <v>116437</v>
          </cell>
          <cell r="C14824" t="str">
            <v>Horndean Technology College</v>
          </cell>
          <cell r="D14824" t="str">
            <v>Hampshire</v>
          </cell>
          <cell r="E14824" t="str">
            <v>Community School</v>
          </cell>
          <cell r="F14824" t="str">
            <v>Secondary</v>
          </cell>
        </row>
        <row r="14825">
          <cell r="A14825">
            <v>8835281</v>
          </cell>
          <cell r="B14825">
            <v>115093</v>
          </cell>
          <cell r="C14825" t="str">
            <v>Horndon-on-the-Hill CofE Primary School</v>
          </cell>
          <cell r="D14825" t="str">
            <v>Thurrock</v>
          </cell>
          <cell r="E14825" t="str">
            <v>Foundation School</v>
          </cell>
          <cell r="F14825" t="str">
            <v>Primary</v>
          </cell>
        </row>
        <row r="14826">
          <cell r="A14826">
            <v>9366553</v>
          </cell>
          <cell r="B14826">
            <v>130129</v>
          </cell>
          <cell r="C14826" t="str">
            <v>Horne School</v>
          </cell>
          <cell r="D14826" t="str">
            <v>Surrey</v>
          </cell>
          <cell r="E14826" t="str">
            <v>Other Independent School</v>
          </cell>
          <cell r="F14826" t="str">
            <v>Not applicable</v>
          </cell>
        </row>
        <row r="14827">
          <cell r="A14827">
            <v>2092870</v>
          </cell>
          <cell r="B14827">
            <v>100714</v>
          </cell>
          <cell r="C14827" t="str">
            <v>Horniman Primary School</v>
          </cell>
          <cell r="D14827" t="str">
            <v>Lewisham</v>
          </cell>
          <cell r="E14827" t="str">
            <v>Community School</v>
          </cell>
          <cell r="F14827" t="str">
            <v>Primary</v>
          </cell>
        </row>
        <row r="14828">
          <cell r="A14828">
            <v>9262089</v>
          </cell>
          <cell r="B14828">
            <v>120822</v>
          </cell>
          <cell r="C14828" t="str">
            <v>Horning Community Primary School</v>
          </cell>
          <cell r="D14828" t="str">
            <v>Norfolk</v>
          </cell>
          <cell r="E14828" t="str">
            <v>Community School</v>
          </cell>
          <cell r="F14828" t="str">
            <v>Primary</v>
          </cell>
        </row>
        <row r="14829">
          <cell r="A14829">
            <v>8602125</v>
          </cell>
          <cell r="B14829">
            <v>124036</v>
          </cell>
          <cell r="C14829" t="str">
            <v>Horninglow Primary School</v>
          </cell>
          <cell r="D14829" t="str">
            <v>Staffordshire</v>
          </cell>
          <cell r="E14829" t="str">
            <v>Foundation School</v>
          </cell>
          <cell r="F14829" t="str">
            <v>Primary</v>
          </cell>
        </row>
        <row r="14830">
          <cell r="A14830">
            <v>8652053</v>
          </cell>
          <cell r="B14830">
            <v>126199</v>
          </cell>
          <cell r="C14830" t="str">
            <v>Horningsham Primary School</v>
          </cell>
          <cell r="D14830" t="str">
            <v>Wiltshire</v>
          </cell>
          <cell r="E14830" t="str">
            <v>Community School</v>
          </cell>
          <cell r="F14830" t="str">
            <v>Primary</v>
          </cell>
        </row>
        <row r="14831">
          <cell r="A14831">
            <v>8962301</v>
          </cell>
          <cell r="B14831">
            <v>111129</v>
          </cell>
          <cell r="C14831" t="str">
            <v>Horn's Mill Primary School</v>
          </cell>
          <cell r="D14831" t="str">
            <v>Cheshire West and Chester</v>
          </cell>
          <cell r="E14831" t="str">
            <v>Community School</v>
          </cell>
          <cell r="F14831" t="str">
            <v>Primary</v>
          </cell>
        </row>
        <row r="14832">
          <cell r="A14832">
            <v>2126371</v>
          </cell>
          <cell r="B14832">
            <v>101078</v>
          </cell>
          <cell r="C14832" t="str">
            <v>Hornsby House School</v>
          </cell>
          <cell r="D14832" t="str">
            <v>Wandsworth</v>
          </cell>
          <cell r="E14832" t="str">
            <v>Other Independent School</v>
          </cell>
          <cell r="F14832" t="str">
            <v>Not applicable</v>
          </cell>
        </row>
        <row r="14833">
          <cell r="A14833">
            <v>8112003</v>
          </cell>
          <cell r="B14833">
            <v>133519</v>
          </cell>
          <cell r="C14833" t="str">
            <v>Hornsea Burton Primary School</v>
          </cell>
          <cell r="D14833" t="str">
            <v>East Riding of Yorkshire</v>
          </cell>
          <cell r="E14833" t="str">
            <v>Community School</v>
          </cell>
          <cell r="F14833" t="str">
            <v>Primary</v>
          </cell>
        </row>
        <row r="14834">
          <cell r="A14834">
            <v>8112733</v>
          </cell>
          <cell r="B14834">
            <v>117853</v>
          </cell>
          <cell r="C14834" t="str">
            <v>Hornsea Community Primary School</v>
          </cell>
          <cell r="D14834" t="str">
            <v>East Riding of Yorkshire</v>
          </cell>
          <cell r="E14834" t="str">
            <v>Community School</v>
          </cell>
          <cell r="F14834" t="str">
            <v>Primary</v>
          </cell>
        </row>
        <row r="14835">
          <cell r="A14835">
            <v>8111011</v>
          </cell>
          <cell r="B14835">
            <v>117699</v>
          </cell>
          <cell r="C14835" t="str">
            <v>Hornsea Nursery School</v>
          </cell>
          <cell r="D14835" t="str">
            <v>East Riding of Yorkshire</v>
          </cell>
          <cell r="E14835" t="str">
            <v>LA Nursery School</v>
          </cell>
          <cell r="F14835" t="str">
            <v>Nursery</v>
          </cell>
        </row>
        <row r="14836">
          <cell r="A14836">
            <v>8114061</v>
          </cell>
          <cell r="B14836">
            <v>118082</v>
          </cell>
          <cell r="C14836" t="str">
            <v>Hornsea School and Language College</v>
          </cell>
          <cell r="D14836" t="str">
            <v>East Riding of Yorkshire</v>
          </cell>
          <cell r="E14836" t="str">
            <v>Community School</v>
          </cell>
          <cell r="F14836" t="str">
            <v>Secondary</v>
          </cell>
        </row>
        <row r="14837">
          <cell r="A14837">
            <v>3096062</v>
          </cell>
          <cell r="B14837">
            <v>126909</v>
          </cell>
          <cell r="C14837" t="str">
            <v>Hornsey Centre for Handicapped Children</v>
          </cell>
          <cell r="D14837" t="str">
            <v>Haringey</v>
          </cell>
          <cell r="E14837" t="str">
            <v>Other Independent School</v>
          </cell>
          <cell r="F14837" t="str">
            <v>Not applicable</v>
          </cell>
        </row>
        <row r="14838">
          <cell r="A14838">
            <v>3094029</v>
          </cell>
          <cell r="B14838">
            <v>102153</v>
          </cell>
          <cell r="C14838" t="str">
            <v>Hornsey School for Girls</v>
          </cell>
          <cell r="D14838" t="str">
            <v>Haringey</v>
          </cell>
          <cell r="E14838" t="str">
            <v>Community School</v>
          </cell>
          <cell r="F14838" t="str">
            <v>Secondary</v>
          </cell>
        </row>
        <row r="14839">
          <cell r="A14839">
            <v>9312001</v>
          </cell>
          <cell r="B14839">
            <v>122991</v>
          </cell>
          <cell r="C14839" t="str">
            <v>Hornton Primary School</v>
          </cell>
          <cell r="D14839" t="str">
            <v>Oxfordshire</v>
          </cell>
          <cell r="E14839" t="str">
            <v>Community School</v>
          </cell>
          <cell r="F14839" t="str">
            <v>Primary</v>
          </cell>
        </row>
        <row r="14840">
          <cell r="A14840">
            <v>8782608</v>
          </cell>
          <cell r="B14840">
            <v>113253</v>
          </cell>
          <cell r="C14840" t="str">
            <v>Horrabridge Community Primary School</v>
          </cell>
          <cell r="D14840" t="str">
            <v>Devon</v>
          </cell>
          <cell r="E14840" t="str">
            <v>Community School</v>
          </cell>
          <cell r="F14840" t="str">
            <v>Primary</v>
          </cell>
        </row>
        <row r="14841">
          <cell r="A14841">
            <v>9354029</v>
          </cell>
          <cell r="B14841">
            <v>124806</v>
          </cell>
          <cell r="C14841" t="str">
            <v>Horringer Court Middle School</v>
          </cell>
          <cell r="D14841" t="str">
            <v>Suffolk</v>
          </cell>
          <cell r="E14841" t="str">
            <v>Community School</v>
          </cell>
          <cell r="F14841" t="str">
            <v>Middle Deemed Secondary</v>
          </cell>
        </row>
        <row r="14842">
          <cell r="A14842">
            <v>9354029</v>
          </cell>
          <cell r="B14842">
            <v>137179</v>
          </cell>
          <cell r="C14842" t="str">
            <v>Horringer Court Middle School</v>
          </cell>
          <cell r="D14842" t="str">
            <v>Suffolk</v>
          </cell>
          <cell r="E14842" t="str">
            <v>Academy Converters</v>
          </cell>
          <cell r="F14842" t="str">
            <v>Middle Deemed Secondary</v>
          </cell>
        </row>
        <row r="14843">
          <cell r="A14843">
            <v>9353038</v>
          </cell>
          <cell r="B14843">
            <v>129980</v>
          </cell>
          <cell r="C14843" t="str">
            <v>Horringer Primary School</v>
          </cell>
          <cell r="D14843" t="str">
            <v>Suffolk</v>
          </cell>
          <cell r="E14843" t="str">
            <v>Voluntary Controlled School</v>
          </cell>
          <cell r="F14843" t="str">
            <v>Primary</v>
          </cell>
        </row>
        <row r="14844">
          <cell r="A14844">
            <v>9332032</v>
          </cell>
          <cell r="B14844">
            <v>123647</v>
          </cell>
          <cell r="C14844" t="str">
            <v>Horrington Primary School</v>
          </cell>
          <cell r="D14844" t="str">
            <v>Somerset</v>
          </cell>
          <cell r="E14844" t="str">
            <v>Community School</v>
          </cell>
          <cell r="F14844" t="str">
            <v>Primary</v>
          </cell>
        </row>
        <row r="14845">
          <cell r="A14845">
            <v>8506072</v>
          </cell>
          <cell r="B14845">
            <v>116526</v>
          </cell>
          <cell r="C14845" t="str">
            <v>Horris Hill School</v>
          </cell>
          <cell r="D14845" t="str">
            <v>Hampshire</v>
          </cell>
          <cell r="E14845" t="str">
            <v>Other Independent School</v>
          </cell>
          <cell r="F14845" t="str">
            <v>Not applicable</v>
          </cell>
        </row>
        <row r="14846">
          <cell r="A14846">
            <v>9363416</v>
          </cell>
          <cell r="B14846">
            <v>125201</v>
          </cell>
          <cell r="C14846" t="str">
            <v>Horsell CofE Aided Junior School</v>
          </cell>
          <cell r="D14846" t="str">
            <v>Surrey</v>
          </cell>
          <cell r="E14846" t="str">
            <v>Voluntary Aided School</v>
          </cell>
          <cell r="F14846" t="str">
            <v>Primary</v>
          </cell>
        </row>
        <row r="14847">
          <cell r="A14847">
            <v>9362489</v>
          </cell>
          <cell r="B14847">
            <v>125080</v>
          </cell>
          <cell r="C14847" t="str">
            <v>Horsell Village School</v>
          </cell>
          <cell r="D14847" t="str">
            <v>Surrey</v>
          </cell>
          <cell r="E14847" t="str">
            <v>Community School</v>
          </cell>
          <cell r="F14847" t="str">
            <v>Primary</v>
          </cell>
        </row>
        <row r="14848">
          <cell r="A14848">
            <v>8912417</v>
          </cell>
          <cell r="B14848">
            <v>122576</v>
          </cell>
          <cell r="C14848" t="str">
            <v>Horsendale Primary School</v>
          </cell>
          <cell r="D14848" t="str">
            <v>Nottinghamshire</v>
          </cell>
          <cell r="E14848" t="str">
            <v>Community School</v>
          </cell>
          <cell r="F14848" t="str">
            <v>Primary</v>
          </cell>
        </row>
        <row r="14849">
          <cell r="A14849">
            <v>3072105</v>
          </cell>
          <cell r="B14849">
            <v>126845</v>
          </cell>
          <cell r="C14849" t="str">
            <v>Horsenden First School</v>
          </cell>
          <cell r="D14849" t="str">
            <v>Ealing</v>
          </cell>
          <cell r="E14849" t="str">
            <v>Community School</v>
          </cell>
          <cell r="F14849" t="str">
            <v>Primary</v>
          </cell>
        </row>
        <row r="14850">
          <cell r="A14850">
            <v>3072106</v>
          </cell>
          <cell r="B14850">
            <v>126846</v>
          </cell>
          <cell r="C14850" t="str">
            <v>Horsenden Middle School</v>
          </cell>
          <cell r="D14850" t="str">
            <v>Ealing</v>
          </cell>
          <cell r="E14850" t="str">
            <v>Community School</v>
          </cell>
          <cell r="F14850" t="str">
            <v>Middle Deemed Primary</v>
          </cell>
        </row>
        <row r="14851">
          <cell r="A14851">
            <v>3072171</v>
          </cell>
          <cell r="B14851">
            <v>101901</v>
          </cell>
          <cell r="C14851" t="str">
            <v>Horsenden Primary School</v>
          </cell>
          <cell r="D14851" t="str">
            <v>Ealing</v>
          </cell>
          <cell r="E14851" t="str">
            <v>Community School</v>
          </cell>
          <cell r="F14851" t="str">
            <v>Primary</v>
          </cell>
        </row>
        <row r="14852">
          <cell r="A14852">
            <v>9263132</v>
          </cell>
          <cell r="B14852">
            <v>121091</v>
          </cell>
          <cell r="C14852" t="str">
            <v>Horsford Church of England Junior School</v>
          </cell>
          <cell r="D14852" t="str">
            <v>Norfolk</v>
          </cell>
          <cell r="E14852" t="str">
            <v>Voluntary Controlled School</v>
          </cell>
          <cell r="F14852" t="str">
            <v>Primary</v>
          </cell>
        </row>
        <row r="14853">
          <cell r="A14853">
            <v>9263049</v>
          </cell>
          <cell r="B14853">
            <v>121044</v>
          </cell>
          <cell r="C14853" t="str">
            <v>Horsford CofE Infant School</v>
          </cell>
          <cell r="D14853" t="str">
            <v>Norfolk</v>
          </cell>
          <cell r="E14853" t="str">
            <v>Voluntary Controlled School</v>
          </cell>
          <cell r="F14853" t="str">
            <v>Primary</v>
          </cell>
        </row>
        <row r="14854">
          <cell r="A14854">
            <v>3832283</v>
          </cell>
          <cell r="B14854">
            <v>107817</v>
          </cell>
          <cell r="C14854" t="str">
            <v>Horsforth Featherbank Primary School</v>
          </cell>
          <cell r="D14854" t="str">
            <v>Leeds</v>
          </cell>
          <cell r="E14854" t="str">
            <v>Community School</v>
          </cell>
          <cell r="F14854" t="str">
            <v>Primary</v>
          </cell>
        </row>
        <row r="14855">
          <cell r="A14855">
            <v>3832363</v>
          </cell>
          <cell r="B14855">
            <v>107860</v>
          </cell>
          <cell r="C14855" t="str">
            <v>Horsforth Newlaithes Primary School</v>
          </cell>
          <cell r="D14855" t="str">
            <v>Leeds</v>
          </cell>
          <cell r="E14855" t="str">
            <v>Community School</v>
          </cell>
          <cell r="F14855" t="str">
            <v>Primary</v>
          </cell>
        </row>
        <row r="14856">
          <cell r="A14856">
            <v>3834115</v>
          </cell>
          <cell r="B14856">
            <v>108092</v>
          </cell>
          <cell r="C14856" t="str">
            <v>Horsforth School</v>
          </cell>
          <cell r="D14856" t="str">
            <v>Leeds</v>
          </cell>
          <cell r="E14856" t="str">
            <v>Community School</v>
          </cell>
          <cell r="F14856" t="str">
            <v>Secondary</v>
          </cell>
        </row>
        <row r="14857">
          <cell r="A14857">
            <v>9381003</v>
          </cell>
          <cell r="B14857">
            <v>125809</v>
          </cell>
          <cell r="C14857" t="str">
            <v>Horsham Nursery School Children and Family Centre</v>
          </cell>
          <cell r="D14857" t="str">
            <v>West Sussex</v>
          </cell>
          <cell r="E14857" t="str">
            <v>LA Nursery School</v>
          </cell>
          <cell r="F14857" t="str">
            <v>Nursery</v>
          </cell>
        </row>
        <row r="14858">
          <cell r="A14858">
            <v>9333065</v>
          </cell>
          <cell r="B14858">
            <v>123763</v>
          </cell>
          <cell r="C14858" t="str">
            <v>Horsington Church of England Primary School</v>
          </cell>
          <cell r="D14858" t="str">
            <v>Somerset</v>
          </cell>
          <cell r="E14858" t="str">
            <v>Voluntary Controlled School</v>
          </cell>
          <cell r="F14858" t="str">
            <v>Primary</v>
          </cell>
        </row>
        <row r="14859">
          <cell r="A14859">
            <v>9163327</v>
          </cell>
          <cell r="B14859">
            <v>115685</v>
          </cell>
          <cell r="C14859" t="str">
            <v>Horsley Church of England Primary School</v>
          </cell>
          <cell r="D14859" t="str">
            <v>Gloucestershire</v>
          </cell>
          <cell r="E14859" t="str">
            <v>Voluntary Aided School</v>
          </cell>
          <cell r="F14859" t="str">
            <v>Primary</v>
          </cell>
        </row>
        <row r="14860">
          <cell r="A14860">
            <v>8303055</v>
          </cell>
          <cell r="B14860">
            <v>112830</v>
          </cell>
          <cell r="C14860" t="str">
            <v>Horsley CofE (Controlled) Primary School</v>
          </cell>
          <cell r="D14860" t="str">
            <v>Derbyshire</v>
          </cell>
          <cell r="E14860" t="str">
            <v>Voluntary Controlled School</v>
          </cell>
          <cell r="F14860" t="str">
            <v>Primary</v>
          </cell>
        </row>
        <row r="14861">
          <cell r="A14861">
            <v>8302133</v>
          </cell>
          <cell r="B14861">
            <v>112567</v>
          </cell>
          <cell r="C14861" t="str">
            <v>Horsley Woodhouse Primary School</v>
          </cell>
          <cell r="D14861" t="str">
            <v>Derbyshire</v>
          </cell>
          <cell r="E14861" t="str">
            <v>Community School</v>
          </cell>
          <cell r="F14861" t="str">
            <v>Primary</v>
          </cell>
        </row>
        <row r="14862">
          <cell r="A14862">
            <v>8862135</v>
          </cell>
          <cell r="B14862">
            <v>118276</v>
          </cell>
          <cell r="C14862" t="str">
            <v>Horsmonden Primary School</v>
          </cell>
          <cell r="D14862" t="str">
            <v>Kent</v>
          </cell>
          <cell r="E14862" t="str">
            <v>Community School</v>
          </cell>
          <cell r="F14862" t="str">
            <v>Primary</v>
          </cell>
        </row>
        <row r="14863">
          <cell r="A14863">
            <v>9313161</v>
          </cell>
          <cell r="B14863">
            <v>123121</v>
          </cell>
          <cell r="C14863" t="str">
            <v>Horspath Church of England Primary School</v>
          </cell>
          <cell r="D14863" t="str">
            <v>Oxfordshire</v>
          </cell>
          <cell r="E14863" t="str">
            <v>Voluntary Controlled School</v>
          </cell>
          <cell r="F14863" t="str">
            <v>Primary</v>
          </cell>
        </row>
        <row r="14864">
          <cell r="A14864">
            <v>8872439</v>
          </cell>
          <cell r="B14864">
            <v>118442</v>
          </cell>
          <cell r="C14864" t="str">
            <v>Horsted Infant School</v>
          </cell>
          <cell r="D14864" t="str">
            <v>Medway</v>
          </cell>
          <cell r="E14864" t="str">
            <v>Community School</v>
          </cell>
          <cell r="F14864" t="str">
            <v>Primary</v>
          </cell>
        </row>
        <row r="14865">
          <cell r="A14865">
            <v>8872506</v>
          </cell>
          <cell r="B14865">
            <v>118477</v>
          </cell>
          <cell r="C14865" t="str">
            <v>Horsted Junior School</v>
          </cell>
          <cell r="D14865" t="str">
            <v>Medway</v>
          </cell>
          <cell r="E14865" t="str">
            <v>Community School</v>
          </cell>
          <cell r="F14865" t="str">
            <v>Primary</v>
          </cell>
        </row>
        <row r="14866">
          <cell r="A14866">
            <v>8033431</v>
          </cell>
          <cell r="B14866">
            <v>109262</v>
          </cell>
          <cell r="C14866" t="str">
            <v>Horton CofE VA Primary School</v>
          </cell>
          <cell r="D14866" t="str">
            <v>South Gloucestershire</v>
          </cell>
          <cell r="E14866" t="str">
            <v>Voluntary Aided School</v>
          </cell>
          <cell r="F14866" t="str">
            <v>Primary</v>
          </cell>
        </row>
        <row r="14867">
          <cell r="A14867">
            <v>3802029</v>
          </cell>
          <cell r="B14867">
            <v>107205</v>
          </cell>
          <cell r="C14867" t="str">
            <v>Horton Grange Primary School</v>
          </cell>
          <cell r="D14867" t="str">
            <v>Bradford</v>
          </cell>
          <cell r="E14867" t="str">
            <v>Community School</v>
          </cell>
          <cell r="F14867" t="str">
            <v>Primary</v>
          </cell>
        </row>
        <row r="14868">
          <cell r="A14868">
            <v>9292397</v>
          </cell>
          <cell r="B14868">
            <v>122254</v>
          </cell>
          <cell r="C14868" t="str">
            <v>Horton Grange Primary School</v>
          </cell>
          <cell r="D14868" t="str">
            <v>Northumberland</v>
          </cell>
          <cell r="E14868" t="str">
            <v>Community School</v>
          </cell>
          <cell r="F14868" t="str">
            <v>Primary</v>
          </cell>
        </row>
        <row r="14869">
          <cell r="A14869">
            <v>8106004</v>
          </cell>
          <cell r="B14869">
            <v>133640</v>
          </cell>
          <cell r="C14869" t="str">
            <v>Horton House School</v>
          </cell>
          <cell r="D14869" t="str">
            <v>Kingston upon Hull City of</v>
          </cell>
          <cell r="E14869" t="str">
            <v>Other Independent Special School</v>
          </cell>
          <cell r="F14869" t="str">
            <v>Not applicable</v>
          </cell>
        </row>
        <row r="14870">
          <cell r="A14870">
            <v>8865215</v>
          </cell>
          <cell r="B14870">
            <v>118861</v>
          </cell>
          <cell r="C14870" t="str">
            <v>Horton Kirby Church of England Primary School</v>
          </cell>
          <cell r="D14870" t="str">
            <v>Kent</v>
          </cell>
          <cell r="E14870" t="str">
            <v>Foundation School</v>
          </cell>
          <cell r="F14870" t="str">
            <v>Primary</v>
          </cell>
        </row>
        <row r="14871">
          <cell r="A14871">
            <v>8607003</v>
          </cell>
          <cell r="B14871">
            <v>124496</v>
          </cell>
          <cell r="C14871" t="str">
            <v>Horton Lodge Community Special School</v>
          </cell>
          <cell r="D14871" t="str">
            <v>Staffordshire</v>
          </cell>
          <cell r="E14871" t="str">
            <v>Community Special School</v>
          </cell>
          <cell r="F14871" t="str">
            <v>Special</v>
          </cell>
        </row>
        <row r="14872">
          <cell r="A14872">
            <v>3532098</v>
          </cell>
          <cell r="B14872">
            <v>105679</v>
          </cell>
          <cell r="C14872" t="str">
            <v>Horton Mill Community Primary School</v>
          </cell>
          <cell r="D14872" t="str">
            <v>Oldham</v>
          </cell>
          <cell r="E14872" t="str">
            <v>Community School</v>
          </cell>
          <cell r="F14872" t="str">
            <v>Primary</v>
          </cell>
        </row>
        <row r="14873">
          <cell r="A14873">
            <v>3802180</v>
          </cell>
          <cell r="B14873">
            <v>107292</v>
          </cell>
          <cell r="C14873" t="str">
            <v>Horton Park Primary School</v>
          </cell>
          <cell r="D14873" t="str">
            <v>Bradford</v>
          </cell>
          <cell r="E14873" t="str">
            <v>Community School</v>
          </cell>
          <cell r="F14873" t="str">
            <v>Primary</v>
          </cell>
        </row>
        <row r="14874">
          <cell r="A14874">
            <v>8153358</v>
          </cell>
          <cell r="B14874">
            <v>121628</v>
          </cell>
          <cell r="C14874" t="str">
            <v>Horton-in-Ribblesdale Church of England Voluntary Aided Primary School</v>
          </cell>
          <cell r="D14874" t="str">
            <v>North Yorkshire</v>
          </cell>
          <cell r="E14874" t="str">
            <v>Voluntary Aided School</v>
          </cell>
          <cell r="F14874" t="str">
            <v>Primary</v>
          </cell>
        </row>
        <row r="14875">
          <cell r="A14875">
            <v>3503344</v>
          </cell>
          <cell r="B14875">
            <v>105233</v>
          </cell>
          <cell r="C14875" t="str">
            <v>Horwich Parish CofE Primary School</v>
          </cell>
          <cell r="D14875" t="str">
            <v>Bolton</v>
          </cell>
          <cell r="E14875" t="str">
            <v>Voluntary Aided School</v>
          </cell>
          <cell r="F14875" t="str">
            <v>Primary</v>
          </cell>
        </row>
        <row r="14876">
          <cell r="A14876">
            <v>8782231</v>
          </cell>
          <cell r="B14876">
            <v>113154</v>
          </cell>
          <cell r="C14876" t="str">
            <v>Horwood and Newton Tracey Community Primary School</v>
          </cell>
          <cell r="D14876" t="str">
            <v>Devon</v>
          </cell>
          <cell r="E14876" t="str">
            <v>Community School</v>
          </cell>
          <cell r="F14876" t="str">
            <v>Primary</v>
          </cell>
        </row>
        <row r="14877">
          <cell r="A14877">
            <v>8553043</v>
          </cell>
          <cell r="B14877">
            <v>120135</v>
          </cell>
          <cell r="C14877" t="str">
            <v>Hose Church of England Primary School</v>
          </cell>
          <cell r="D14877" t="str">
            <v>Leicestershire</v>
          </cell>
          <cell r="E14877" t="str">
            <v>Voluntary Controlled School</v>
          </cell>
          <cell r="F14877" t="str">
            <v>Primary</v>
          </cell>
        </row>
        <row r="14878">
          <cell r="A14878">
            <v>8921109</v>
          </cell>
          <cell r="B14878">
            <v>133164</v>
          </cell>
          <cell r="C14878" t="str">
            <v>Hospital and Home Education PRU</v>
          </cell>
          <cell r="D14878" t="str">
            <v>Nottingham</v>
          </cell>
          <cell r="E14878" t="str">
            <v>Pupil Referral Unit</v>
          </cell>
          <cell r="F14878" t="str">
            <v>PRU</v>
          </cell>
        </row>
        <row r="14879">
          <cell r="A14879">
            <v>9091107</v>
          </cell>
          <cell r="B14879">
            <v>135157</v>
          </cell>
          <cell r="C14879" t="str">
            <v>Hospital and Home Tuition Service (Cumbria)</v>
          </cell>
          <cell r="D14879" t="str">
            <v>Cumbria</v>
          </cell>
          <cell r="E14879" t="str">
            <v>Pupil Referral Unit</v>
          </cell>
          <cell r="F14879" t="str">
            <v>PRU</v>
          </cell>
        </row>
        <row r="14880">
          <cell r="A14880">
            <v>2121103</v>
          </cell>
          <cell r="B14880">
            <v>108892</v>
          </cell>
          <cell r="C14880" t="str">
            <v>Hospital and Home Tuition Unit</v>
          </cell>
          <cell r="D14880" t="str">
            <v>Wandsworth</v>
          </cell>
          <cell r="E14880" t="str">
            <v>Pupil Referral Unit</v>
          </cell>
          <cell r="F14880" t="str">
            <v>PRU</v>
          </cell>
        </row>
        <row r="14881">
          <cell r="A14881">
            <v>3199900</v>
          </cell>
          <cell r="B14881">
            <v>132996</v>
          </cell>
          <cell r="C14881" t="str">
            <v>Hospital and Individual Tuition Service</v>
          </cell>
          <cell r="D14881" t="str">
            <v>Sutton</v>
          </cell>
          <cell r="E14881" t="str">
            <v>Miscellaneous</v>
          </cell>
          <cell r="F14881" t="str">
            <v>Not applicable</v>
          </cell>
        </row>
        <row r="14882">
          <cell r="A14882">
            <v>3711105</v>
          </cell>
          <cell r="B14882">
            <v>133670</v>
          </cell>
          <cell r="C14882" t="str">
            <v>Hospital and Interim Tuition Service</v>
          </cell>
          <cell r="D14882" t="str">
            <v>Doncaster</v>
          </cell>
          <cell r="E14882" t="str">
            <v>Pupil Referral Unit</v>
          </cell>
          <cell r="F14882" t="str">
            <v>PRU</v>
          </cell>
        </row>
        <row r="14883">
          <cell r="A14883">
            <v>8879900</v>
          </cell>
          <cell r="B14883">
            <v>133595</v>
          </cell>
          <cell r="C14883" t="str">
            <v>Hospital and Medical Tuition Service</v>
          </cell>
          <cell r="D14883" t="str">
            <v>Medway</v>
          </cell>
          <cell r="E14883" t="str">
            <v>Miscellaneous</v>
          </cell>
          <cell r="F14883" t="str">
            <v>Not applicable</v>
          </cell>
        </row>
        <row r="14884">
          <cell r="A14884">
            <v>9289900</v>
          </cell>
          <cell r="B14884">
            <v>133630</v>
          </cell>
          <cell r="C14884" t="str">
            <v>Hospital and Outreach Education</v>
          </cell>
          <cell r="D14884" t="str">
            <v>Northamptonshire</v>
          </cell>
          <cell r="E14884" t="str">
            <v>Miscellaneous</v>
          </cell>
          <cell r="F14884" t="str">
            <v>Not applicable</v>
          </cell>
        </row>
        <row r="14885">
          <cell r="A14885">
            <v>9281105</v>
          </cell>
          <cell r="B14885">
            <v>133717</v>
          </cell>
          <cell r="C14885" t="str">
            <v>Hospital and Outreach Education</v>
          </cell>
          <cell r="D14885" t="str">
            <v>Northamptonshire</v>
          </cell>
          <cell r="E14885" t="str">
            <v>Pupil Referral Unit</v>
          </cell>
          <cell r="F14885" t="str">
            <v>PRU</v>
          </cell>
        </row>
        <row r="14886">
          <cell r="A14886">
            <v>3311107</v>
          </cell>
          <cell r="B14886">
            <v>134970</v>
          </cell>
          <cell r="C14886" t="str">
            <v>Hospital Education Centre</v>
          </cell>
          <cell r="D14886" t="str">
            <v>Coventry</v>
          </cell>
          <cell r="E14886" t="str">
            <v>Pupil Referral Unit</v>
          </cell>
          <cell r="F14886" t="str">
            <v>PRU</v>
          </cell>
        </row>
        <row r="14887">
          <cell r="A14887">
            <v>2139901</v>
          </cell>
          <cell r="B14887">
            <v>133489</v>
          </cell>
          <cell r="C14887" t="str">
            <v>Hospital Home and Education Units co St Mary's Hospitial Tuition Unit</v>
          </cell>
          <cell r="D14887" t="str">
            <v>Westminster</v>
          </cell>
          <cell r="E14887" t="str">
            <v>Miscellaneous</v>
          </cell>
          <cell r="F14887" t="str">
            <v>Not applicable</v>
          </cell>
        </row>
        <row r="14888">
          <cell r="A14888">
            <v>3721103</v>
          </cell>
          <cell r="B14888">
            <v>133696</v>
          </cell>
          <cell r="C14888" t="str">
            <v>Hospital Teaching and Home Tuition Service</v>
          </cell>
          <cell r="D14888" t="str">
            <v>Rotherham</v>
          </cell>
          <cell r="E14888" t="str">
            <v>Pupil Referral Unit</v>
          </cell>
          <cell r="F14888" t="str">
            <v>PRU</v>
          </cell>
        </row>
        <row r="14889">
          <cell r="A14889">
            <v>3719901</v>
          </cell>
          <cell r="B14889">
            <v>133180</v>
          </cell>
          <cell r="C14889" t="str">
            <v>Hospital Teaching Service</v>
          </cell>
          <cell r="D14889" t="str">
            <v>Doncaster</v>
          </cell>
          <cell r="E14889" t="str">
            <v>Miscellaneous</v>
          </cell>
          <cell r="F14889" t="str">
            <v>Not applicable</v>
          </cell>
        </row>
        <row r="14890">
          <cell r="A14890">
            <v>8061118</v>
          </cell>
          <cell r="B14890">
            <v>134327</v>
          </cell>
          <cell r="C14890" t="str">
            <v>Hospital Teaching Service</v>
          </cell>
          <cell r="D14890" t="str">
            <v>Middlesbrough</v>
          </cell>
          <cell r="E14890" t="str">
            <v>Pupil Referral Unit</v>
          </cell>
          <cell r="F14890" t="str">
            <v>PRU</v>
          </cell>
        </row>
        <row r="14891">
          <cell r="A14891">
            <v>2122314</v>
          </cell>
          <cell r="B14891">
            <v>101013</v>
          </cell>
          <cell r="C14891" t="str">
            <v>Hotham Primary School</v>
          </cell>
          <cell r="D14891" t="str">
            <v>Wandsworth</v>
          </cell>
          <cell r="E14891" t="str">
            <v>Community School</v>
          </cell>
          <cell r="F14891" t="str">
            <v>Primary</v>
          </cell>
        </row>
        <row r="14892">
          <cell r="A14892">
            <v>3802169</v>
          </cell>
          <cell r="B14892">
            <v>107284</v>
          </cell>
          <cell r="C14892" t="str">
            <v>Hothfield Junior School</v>
          </cell>
          <cell r="D14892" t="str">
            <v>Bradford</v>
          </cell>
          <cell r="E14892" t="str">
            <v>Community School</v>
          </cell>
          <cell r="F14892" t="str">
            <v>Primary</v>
          </cell>
        </row>
        <row r="14893">
          <cell r="A14893">
            <v>8862283</v>
          </cell>
          <cell r="B14893">
            <v>118376</v>
          </cell>
          <cell r="C14893" t="str">
            <v>Hothfield Village Primary School</v>
          </cell>
          <cell r="D14893" t="str">
            <v>Kent</v>
          </cell>
          <cell r="E14893" t="str">
            <v>Community School</v>
          </cell>
          <cell r="F14893" t="str">
            <v>Primary</v>
          </cell>
        </row>
        <row r="14894">
          <cell r="A14894">
            <v>3912998</v>
          </cell>
          <cell r="B14894">
            <v>108491</v>
          </cell>
          <cell r="C14894" t="str">
            <v>Hotspur Primary School</v>
          </cell>
          <cell r="D14894" t="str">
            <v>Newcastle upon Tyne</v>
          </cell>
          <cell r="E14894" t="str">
            <v>Community School</v>
          </cell>
          <cell r="F14894" t="str">
            <v>Primary</v>
          </cell>
        </row>
        <row r="14895">
          <cell r="A14895">
            <v>8012044</v>
          </cell>
          <cell r="B14895">
            <v>108937</v>
          </cell>
          <cell r="C14895" t="str">
            <v>Hotwells Primary School</v>
          </cell>
          <cell r="D14895" t="str">
            <v>Bristol City of</v>
          </cell>
          <cell r="E14895" t="str">
            <v>Community School</v>
          </cell>
          <cell r="F14895" t="str">
            <v>Primary</v>
          </cell>
        </row>
        <row r="14896">
          <cell r="A14896">
            <v>3834481</v>
          </cell>
          <cell r="B14896">
            <v>128005</v>
          </cell>
          <cell r="C14896" t="str">
            <v>Hough Side High School</v>
          </cell>
          <cell r="D14896" t="str">
            <v>Leeds</v>
          </cell>
          <cell r="E14896" t="str">
            <v>Community School</v>
          </cell>
          <cell r="F14896" t="str">
            <v>Secondary</v>
          </cell>
        </row>
        <row r="14897">
          <cell r="A14897">
            <v>9093015</v>
          </cell>
          <cell r="B14897">
            <v>112250</v>
          </cell>
          <cell r="C14897" t="str">
            <v>Houghton CofE School</v>
          </cell>
          <cell r="D14897" t="str">
            <v>Cumbria</v>
          </cell>
          <cell r="E14897" t="str">
            <v>Voluntary Controlled School</v>
          </cell>
          <cell r="F14897" t="str">
            <v>Primary</v>
          </cell>
        </row>
        <row r="14898">
          <cell r="A14898">
            <v>8232057</v>
          </cell>
          <cell r="B14898">
            <v>109458</v>
          </cell>
          <cell r="C14898" t="str">
            <v>Houghton Conquest Lower School</v>
          </cell>
          <cell r="D14898" t="str">
            <v>Central Bedfordshire</v>
          </cell>
          <cell r="E14898" t="str">
            <v>Community School</v>
          </cell>
          <cell r="F14898" t="str">
            <v>Primary</v>
          </cell>
        </row>
        <row r="14899">
          <cell r="A14899">
            <v>3942111</v>
          </cell>
          <cell r="B14899">
            <v>128194</v>
          </cell>
          <cell r="C14899" t="str">
            <v>Houghton Infant School</v>
          </cell>
          <cell r="D14899" t="str">
            <v>Sunderland</v>
          </cell>
          <cell r="E14899" t="str">
            <v>Community School</v>
          </cell>
          <cell r="F14899" t="str">
            <v>Primary</v>
          </cell>
        </row>
        <row r="14900">
          <cell r="A14900">
            <v>3944072</v>
          </cell>
          <cell r="B14900">
            <v>108868</v>
          </cell>
          <cell r="C14900" t="str">
            <v>Houghton Kepier Sports College:A Foundation School</v>
          </cell>
          <cell r="D14900" t="str">
            <v>Sunderland</v>
          </cell>
          <cell r="E14900" t="str">
            <v>Foundation School</v>
          </cell>
          <cell r="F14900" t="str">
            <v>Secondary</v>
          </cell>
        </row>
        <row r="14901">
          <cell r="A14901">
            <v>3944072</v>
          </cell>
          <cell r="B14901">
            <v>137262</v>
          </cell>
          <cell r="C14901" t="str">
            <v>Houghton Kepier Sports College:A Foundation School</v>
          </cell>
          <cell r="D14901" t="str">
            <v>Sunderland</v>
          </cell>
          <cell r="E14901" t="str">
            <v>Academy Converters</v>
          </cell>
          <cell r="F14901" t="str">
            <v>Secondary</v>
          </cell>
        </row>
        <row r="14902">
          <cell r="A14902">
            <v>3941003</v>
          </cell>
          <cell r="B14902">
            <v>108746</v>
          </cell>
          <cell r="C14902" t="str">
            <v>Houghton Le Spring Nursery School</v>
          </cell>
          <cell r="D14902" t="str">
            <v>Sunderland</v>
          </cell>
          <cell r="E14902" t="str">
            <v>LA Nursery School</v>
          </cell>
          <cell r="F14902" t="str">
            <v>Nursery</v>
          </cell>
        </row>
        <row r="14903">
          <cell r="A14903">
            <v>8732212</v>
          </cell>
          <cell r="B14903">
            <v>110680</v>
          </cell>
          <cell r="C14903" t="str">
            <v>Houghton Primary School</v>
          </cell>
          <cell r="D14903" t="str">
            <v>Cambridgeshire</v>
          </cell>
          <cell r="E14903" t="str">
            <v>Community School</v>
          </cell>
          <cell r="F14903" t="str">
            <v>Primary</v>
          </cell>
        </row>
        <row r="14904">
          <cell r="A14904">
            <v>8232058</v>
          </cell>
          <cell r="B14904">
            <v>109459</v>
          </cell>
          <cell r="C14904" t="str">
            <v>Houghton Regis Lower School</v>
          </cell>
          <cell r="D14904" t="str">
            <v>Central Bedfordshire</v>
          </cell>
          <cell r="E14904" t="str">
            <v>Community School</v>
          </cell>
          <cell r="F14904" t="str">
            <v>Primary</v>
          </cell>
        </row>
        <row r="14905">
          <cell r="A14905">
            <v>3942110</v>
          </cell>
          <cell r="B14905">
            <v>128193</v>
          </cell>
          <cell r="C14905" t="str">
            <v>Houghton-Le-Spring Junior School</v>
          </cell>
          <cell r="D14905" t="str">
            <v>Sunderland</v>
          </cell>
          <cell r="E14905" t="str">
            <v>Community School</v>
          </cell>
          <cell r="F14905" t="str">
            <v>Primary</v>
          </cell>
        </row>
        <row r="14906">
          <cell r="A14906">
            <v>8553044</v>
          </cell>
          <cell r="B14906">
            <v>120136</v>
          </cell>
          <cell r="C14906" t="str">
            <v>Houghton-on-the-Hill Church of England Primary School</v>
          </cell>
          <cell r="D14906" t="str">
            <v>Leicestershire</v>
          </cell>
          <cell r="E14906" t="str">
            <v>Voluntary Controlled School</v>
          </cell>
          <cell r="F14906" t="str">
            <v>Primary</v>
          </cell>
        </row>
        <row r="14907">
          <cell r="A14907">
            <v>9352023</v>
          </cell>
          <cell r="B14907">
            <v>124546</v>
          </cell>
          <cell r="C14907" t="str">
            <v>Houldsworth Valley Primary School</v>
          </cell>
          <cell r="D14907" t="str">
            <v>Suffolk</v>
          </cell>
          <cell r="E14907" t="str">
            <v>Community School</v>
          </cell>
          <cell r="F14907" t="str">
            <v>Primary</v>
          </cell>
        </row>
        <row r="14908">
          <cell r="A14908">
            <v>3082071</v>
          </cell>
          <cell r="B14908">
            <v>102011</v>
          </cell>
          <cell r="C14908" t="str">
            <v>Houndsfield Primary School</v>
          </cell>
          <cell r="D14908" t="str">
            <v>Enfield</v>
          </cell>
          <cell r="E14908" t="str">
            <v>Community School</v>
          </cell>
          <cell r="F14908" t="str">
            <v>Primary</v>
          </cell>
        </row>
        <row r="14909">
          <cell r="A14909">
            <v>8504168</v>
          </cell>
          <cell r="B14909">
            <v>116434</v>
          </cell>
          <cell r="C14909" t="str">
            <v>Hounsdown School</v>
          </cell>
          <cell r="D14909" t="str">
            <v>Hampshire</v>
          </cell>
          <cell r="E14909" t="str">
            <v>Foundation School</v>
          </cell>
          <cell r="F14909" t="str">
            <v>Secondary</v>
          </cell>
        </row>
        <row r="14910">
          <cell r="A14910">
            <v>8504168</v>
          </cell>
          <cell r="B14910">
            <v>137229</v>
          </cell>
          <cell r="C14910" t="str">
            <v>Hounsdown School</v>
          </cell>
          <cell r="D14910" t="str">
            <v>Hampshire</v>
          </cell>
          <cell r="E14910" t="str">
            <v>Academy Converters</v>
          </cell>
          <cell r="F14910" t="str">
            <v>Secondary</v>
          </cell>
        </row>
        <row r="14911">
          <cell r="A14911">
            <v>3136054</v>
          </cell>
          <cell r="B14911">
            <v>102548</v>
          </cell>
          <cell r="C14911" t="str">
            <v>Hounslow College</v>
          </cell>
          <cell r="D14911" t="str">
            <v>Hounslow</v>
          </cell>
          <cell r="E14911" t="str">
            <v>Other Independent School</v>
          </cell>
          <cell r="F14911" t="str">
            <v>Not applicable</v>
          </cell>
        </row>
        <row r="14912">
          <cell r="A14912">
            <v>3136055</v>
          </cell>
          <cell r="B14912">
            <v>102549</v>
          </cell>
          <cell r="C14912" t="str">
            <v>Hounslow College Preparatory School</v>
          </cell>
          <cell r="D14912" t="str">
            <v>Hounslow</v>
          </cell>
          <cell r="E14912" t="str">
            <v>Other Independent School</v>
          </cell>
          <cell r="F14912" t="str">
            <v>Not applicable</v>
          </cell>
        </row>
        <row r="14913">
          <cell r="A14913">
            <v>3132032</v>
          </cell>
          <cell r="B14913">
            <v>102490</v>
          </cell>
          <cell r="C14913" t="str">
            <v>Hounslow Heath Infant and Nursery School</v>
          </cell>
          <cell r="D14913" t="str">
            <v>Hounslow</v>
          </cell>
          <cell r="E14913" t="str">
            <v>Community School</v>
          </cell>
          <cell r="F14913" t="str">
            <v>Primary</v>
          </cell>
        </row>
        <row r="14914">
          <cell r="A14914">
            <v>3132031</v>
          </cell>
          <cell r="B14914">
            <v>102489</v>
          </cell>
          <cell r="C14914" t="str">
            <v>Hounslow Heath Junior School</v>
          </cell>
          <cell r="D14914" t="str">
            <v>Hounslow</v>
          </cell>
          <cell r="E14914" t="str">
            <v>Community School</v>
          </cell>
          <cell r="F14914" t="str">
            <v>Primary</v>
          </cell>
        </row>
        <row r="14915">
          <cell r="A14915">
            <v>3134021</v>
          </cell>
          <cell r="B14915">
            <v>102533</v>
          </cell>
          <cell r="C14915" t="str">
            <v>Hounslow Manor School</v>
          </cell>
          <cell r="D14915" t="str">
            <v>Hounslow</v>
          </cell>
          <cell r="E14915" t="str">
            <v>Community School</v>
          </cell>
          <cell r="F14915" t="str">
            <v>Secondary</v>
          </cell>
        </row>
        <row r="14916">
          <cell r="A14916">
            <v>3131101</v>
          </cell>
          <cell r="B14916">
            <v>134354</v>
          </cell>
          <cell r="C14916" t="str">
            <v>Hounslow PRU (Asylum and Refugees)</v>
          </cell>
          <cell r="D14916" t="str">
            <v>Hounslow</v>
          </cell>
          <cell r="E14916" t="str">
            <v>Pupil Referral Unit</v>
          </cell>
          <cell r="F14916" t="str">
            <v>PRU</v>
          </cell>
        </row>
        <row r="14917">
          <cell r="A14917">
            <v>3131104</v>
          </cell>
          <cell r="B14917">
            <v>134675</v>
          </cell>
          <cell r="C14917" t="str">
            <v>Hounslow PRU (EOTAS)</v>
          </cell>
          <cell r="D14917" t="str">
            <v>Hounslow</v>
          </cell>
          <cell r="E14917" t="str">
            <v>Pupil Referral Unit</v>
          </cell>
          <cell r="F14917" t="str">
            <v>PRU</v>
          </cell>
        </row>
        <row r="14918">
          <cell r="A14918">
            <v>3131103</v>
          </cell>
          <cell r="B14918">
            <v>134356</v>
          </cell>
          <cell r="C14918" t="str">
            <v>Hounslow PRU (Medical Needs)</v>
          </cell>
          <cell r="D14918" t="str">
            <v>Hounslow</v>
          </cell>
          <cell r="E14918" t="str">
            <v>Pupil Referral Unit</v>
          </cell>
          <cell r="F14918" t="str">
            <v>PRU</v>
          </cell>
        </row>
        <row r="14919">
          <cell r="A14919">
            <v>3132033</v>
          </cell>
          <cell r="B14919">
            <v>102491</v>
          </cell>
          <cell r="C14919" t="str">
            <v>Hounslow Town Primary School</v>
          </cell>
          <cell r="D14919" t="str">
            <v>Hounslow</v>
          </cell>
          <cell r="E14919" t="str">
            <v>Community School</v>
          </cell>
          <cell r="F14919" t="str">
            <v>Primary</v>
          </cell>
        </row>
        <row r="14920">
          <cell r="A14920">
            <v>9376107</v>
          </cell>
          <cell r="B14920">
            <v>136043</v>
          </cell>
          <cell r="C14920" t="str">
            <v>House of Light</v>
          </cell>
          <cell r="D14920" t="str">
            <v>Warwickshire</v>
          </cell>
          <cell r="E14920" t="str">
            <v>Other Independent School</v>
          </cell>
          <cell r="F14920" t="str">
            <v>Not applicable</v>
          </cell>
        </row>
        <row r="14921">
          <cell r="A14921">
            <v>8464068</v>
          </cell>
          <cell r="B14921">
            <v>114607</v>
          </cell>
          <cell r="C14921" t="str">
            <v>Hove Park School and Sixth Form Centre</v>
          </cell>
          <cell r="D14921" t="str">
            <v>Brighton and Hove</v>
          </cell>
          <cell r="E14921" t="str">
            <v>Community School</v>
          </cell>
          <cell r="F14921" t="str">
            <v>Secondary</v>
          </cell>
        </row>
        <row r="14922">
          <cell r="A14922">
            <v>8153054</v>
          </cell>
          <cell r="B14922">
            <v>121500</v>
          </cell>
          <cell r="C14922" t="str">
            <v>Hovingham Church of England Voluntary Controlled Primary School</v>
          </cell>
          <cell r="D14922" t="str">
            <v>North Yorkshire</v>
          </cell>
          <cell r="E14922" t="str">
            <v>Voluntary Controlled School</v>
          </cell>
          <cell r="F14922" t="str">
            <v>Primary</v>
          </cell>
        </row>
        <row r="14923">
          <cell r="A14923">
            <v>3832450</v>
          </cell>
          <cell r="B14923">
            <v>107926</v>
          </cell>
          <cell r="C14923" t="str">
            <v>Hovingham Primary School</v>
          </cell>
          <cell r="D14923" t="str">
            <v>Leeds</v>
          </cell>
          <cell r="E14923" t="str">
            <v>Community School</v>
          </cell>
          <cell r="F14923" t="str">
            <v>Primary</v>
          </cell>
        </row>
        <row r="14924">
          <cell r="A14924">
            <v>3832392</v>
          </cell>
          <cell r="B14924">
            <v>127912</v>
          </cell>
          <cell r="C14924" t="str">
            <v>Hovingham Primary School</v>
          </cell>
          <cell r="D14924" t="str">
            <v>Leeds</v>
          </cell>
          <cell r="E14924" t="str">
            <v>Community School</v>
          </cell>
          <cell r="F14924" t="str">
            <v>Primary</v>
          </cell>
        </row>
        <row r="14925">
          <cell r="A14925">
            <v>9192252</v>
          </cell>
          <cell r="B14925">
            <v>117235</v>
          </cell>
          <cell r="C14925" t="str">
            <v>How Wood Primary and Nursery School</v>
          </cell>
          <cell r="D14925" t="str">
            <v>Hertfordshire</v>
          </cell>
          <cell r="E14925" t="str">
            <v>Community School</v>
          </cell>
          <cell r="F14925" t="str">
            <v>Primary</v>
          </cell>
        </row>
        <row r="14926">
          <cell r="A14926">
            <v>9352038</v>
          </cell>
          <cell r="B14926">
            <v>124555</v>
          </cell>
          <cell r="C14926" t="str">
            <v>Howard Community Primary School</v>
          </cell>
          <cell r="D14926" t="str">
            <v>Suffolk</v>
          </cell>
          <cell r="E14926" t="str">
            <v>Community School</v>
          </cell>
          <cell r="F14926" t="str">
            <v>Primary</v>
          </cell>
        </row>
        <row r="14927">
          <cell r="A14927">
            <v>9296046</v>
          </cell>
          <cell r="B14927">
            <v>132855</v>
          </cell>
          <cell r="C14927" t="str">
            <v>Howard House</v>
          </cell>
          <cell r="D14927" t="str">
            <v>Northumberland</v>
          </cell>
          <cell r="E14927" t="str">
            <v>Other Independent Special School</v>
          </cell>
          <cell r="F14927" t="str">
            <v>Not applicable</v>
          </cell>
        </row>
        <row r="14928">
          <cell r="A14928">
            <v>9262237</v>
          </cell>
          <cell r="B14928">
            <v>120894</v>
          </cell>
          <cell r="C14928" t="str">
            <v>Howard Infant and Nursery School, King's Lynn</v>
          </cell>
          <cell r="D14928" t="str">
            <v>Norfolk</v>
          </cell>
          <cell r="E14928" t="str">
            <v>Community School</v>
          </cell>
          <cell r="F14928" t="str">
            <v>Primary</v>
          </cell>
        </row>
        <row r="14929">
          <cell r="A14929">
            <v>9354023</v>
          </cell>
          <cell r="B14929">
            <v>124801</v>
          </cell>
          <cell r="C14929" t="str">
            <v>Howard Middle School</v>
          </cell>
          <cell r="D14929" t="str">
            <v>Suffolk</v>
          </cell>
          <cell r="E14929" t="str">
            <v>Community School</v>
          </cell>
          <cell r="F14929" t="str">
            <v>Middle Deemed Secondary</v>
          </cell>
        </row>
        <row r="14930">
          <cell r="A14930">
            <v>9364036</v>
          </cell>
          <cell r="B14930">
            <v>125247</v>
          </cell>
          <cell r="C14930" t="str">
            <v>Howard of Effingham School</v>
          </cell>
          <cell r="D14930" t="str">
            <v>Surrey</v>
          </cell>
          <cell r="E14930" t="str">
            <v>Foundation School</v>
          </cell>
          <cell r="F14930" t="str">
            <v>Secondary</v>
          </cell>
        </row>
        <row r="14931">
          <cell r="A14931">
            <v>9364036</v>
          </cell>
          <cell r="B14931">
            <v>136833</v>
          </cell>
          <cell r="C14931" t="str">
            <v>Howard of Effingham School</v>
          </cell>
          <cell r="D14931" t="str">
            <v>Surrey</v>
          </cell>
          <cell r="E14931" t="str">
            <v>Academy Converters</v>
          </cell>
          <cell r="F14931" t="str">
            <v>Secondary</v>
          </cell>
        </row>
        <row r="14932">
          <cell r="A14932">
            <v>3822108</v>
          </cell>
          <cell r="B14932">
            <v>107671</v>
          </cell>
          <cell r="C14932" t="str">
            <v>Howard Park Community School</v>
          </cell>
          <cell r="D14932" t="str">
            <v>Kirklees</v>
          </cell>
          <cell r="E14932" t="str">
            <v>Community School</v>
          </cell>
          <cell r="F14932" t="str">
            <v>Primary</v>
          </cell>
        </row>
        <row r="14933">
          <cell r="A14933">
            <v>3062020</v>
          </cell>
          <cell r="B14933">
            <v>101725</v>
          </cell>
          <cell r="C14933" t="str">
            <v>Howard Primary School</v>
          </cell>
          <cell r="D14933" t="str">
            <v>Croydon</v>
          </cell>
          <cell r="E14933" t="str">
            <v>Community School</v>
          </cell>
          <cell r="F14933" t="str">
            <v>Primary</v>
          </cell>
        </row>
        <row r="14934">
          <cell r="A14934">
            <v>8602200</v>
          </cell>
          <cell r="B14934">
            <v>124080</v>
          </cell>
          <cell r="C14934" t="str">
            <v>Howard Primary School</v>
          </cell>
          <cell r="D14934" t="str">
            <v>Staffordshire</v>
          </cell>
          <cell r="E14934" t="str">
            <v>Community School</v>
          </cell>
          <cell r="F14934" t="str">
            <v>Primary</v>
          </cell>
        </row>
        <row r="14935">
          <cell r="A14935">
            <v>3541001</v>
          </cell>
          <cell r="B14935">
            <v>105757</v>
          </cell>
          <cell r="C14935" t="str">
            <v>Howard Street Nursery School</v>
          </cell>
          <cell r="D14935" t="str">
            <v>Rochdale</v>
          </cell>
          <cell r="E14935" t="str">
            <v>LA Nursery School</v>
          </cell>
          <cell r="F14935" t="str">
            <v>Nursery</v>
          </cell>
        </row>
        <row r="14936">
          <cell r="A14936">
            <v>8881010</v>
          </cell>
          <cell r="B14936">
            <v>119073</v>
          </cell>
          <cell r="C14936" t="str">
            <v>Howard Street Nursery School</v>
          </cell>
          <cell r="D14936" t="str">
            <v>Lancashire</v>
          </cell>
          <cell r="E14936" t="str">
            <v>LA Nursery School</v>
          </cell>
          <cell r="F14936" t="str">
            <v>Nursery</v>
          </cell>
        </row>
        <row r="14937">
          <cell r="A14937">
            <v>3544061</v>
          </cell>
          <cell r="B14937">
            <v>127445</v>
          </cell>
          <cell r="C14937" t="str">
            <v>Howarth Cross Middle School</v>
          </cell>
          <cell r="D14937" t="str">
            <v>Rochdale</v>
          </cell>
          <cell r="E14937" t="str">
            <v>Community School</v>
          </cell>
          <cell r="F14937" t="str">
            <v>Middle Deemed Secondary</v>
          </cell>
        </row>
        <row r="14938">
          <cell r="A14938">
            <v>8813204</v>
          </cell>
          <cell r="B14938">
            <v>115104</v>
          </cell>
          <cell r="C14938" t="str">
            <v>Howbridge CofE VC Junior School</v>
          </cell>
          <cell r="D14938" t="str">
            <v>Essex</v>
          </cell>
          <cell r="E14938" t="str">
            <v>Voluntary Controlled School</v>
          </cell>
          <cell r="F14938" t="str">
            <v>Primary</v>
          </cell>
        </row>
        <row r="14939">
          <cell r="A14939">
            <v>3034013</v>
          </cell>
          <cell r="B14939">
            <v>126754</v>
          </cell>
          <cell r="C14939" t="str">
            <v>Howbury Grange Technical School</v>
          </cell>
          <cell r="D14939" t="str">
            <v>Bexley</v>
          </cell>
          <cell r="E14939" t="str">
            <v>Community School</v>
          </cell>
          <cell r="F14939" t="str">
            <v>Secondary</v>
          </cell>
        </row>
        <row r="14940">
          <cell r="A14940">
            <v>8115201</v>
          </cell>
          <cell r="B14940">
            <v>118121</v>
          </cell>
          <cell r="C14940" t="str">
            <v>Howden Church of England Infant School</v>
          </cell>
          <cell r="D14940" t="str">
            <v>East Riding of Yorkshire</v>
          </cell>
          <cell r="E14940" t="str">
            <v>Foundation School</v>
          </cell>
          <cell r="F14940" t="str">
            <v>Primary</v>
          </cell>
        </row>
        <row r="14941">
          <cell r="A14941">
            <v>8112734</v>
          </cell>
          <cell r="B14941">
            <v>117854</v>
          </cell>
          <cell r="C14941" t="str">
            <v>Howden Junior School</v>
          </cell>
          <cell r="D14941" t="str">
            <v>East Riding of Yorkshire</v>
          </cell>
          <cell r="E14941" t="str">
            <v>Community School</v>
          </cell>
          <cell r="F14941" t="str">
            <v>Primary</v>
          </cell>
        </row>
        <row r="14942">
          <cell r="A14942">
            <v>8114063</v>
          </cell>
          <cell r="B14942">
            <v>118084</v>
          </cell>
          <cell r="C14942" t="str">
            <v>Howden School and Technology College</v>
          </cell>
          <cell r="D14942" t="str">
            <v>East Riding of Yorkshire</v>
          </cell>
          <cell r="E14942" t="str">
            <v>Community School</v>
          </cell>
          <cell r="F14942" t="str">
            <v>Secondary</v>
          </cell>
        </row>
        <row r="14943">
          <cell r="A14943">
            <v>8402318</v>
          </cell>
          <cell r="B14943">
            <v>114061</v>
          </cell>
          <cell r="C14943" t="str">
            <v>Howden-le-Wear Primary School</v>
          </cell>
          <cell r="D14943" t="str">
            <v>Durham</v>
          </cell>
          <cell r="E14943" t="str">
            <v>Community School</v>
          </cell>
          <cell r="F14943" t="str">
            <v>Primary</v>
          </cell>
        </row>
        <row r="14944">
          <cell r="A14944">
            <v>9192225</v>
          </cell>
          <cell r="B14944">
            <v>117220</v>
          </cell>
          <cell r="C14944" t="str">
            <v>Howe Dell Primary School</v>
          </cell>
          <cell r="D14944" t="str">
            <v>Hertfordshire</v>
          </cell>
          <cell r="E14944" t="str">
            <v>Community School</v>
          </cell>
          <cell r="F14944" t="str">
            <v>Primary</v>
          </cell>
        </row>
        <row r="14945">
          <cell r="A14945">
            <v>8816038</v>
          </cell>
          <cell r="B14945">
            <v>115433</v>
          </cell>
          <cell r="C14945" t="str">
            <v>Howe Green House</v>
          </cell>
          <cell r="D14945" t="str">
            <v>Essex</v>
          </cell>
          <cell r="E14945" t="str">
            <v>Other Independent School</v>
          </cell>
          <cell r="F14945" t="str">
            <v>Not applicable</v>
          </cell>
        </row>
        <row r="14946">
          <cell r="A14946">
            <v>8262006</v>
          </cell>
          <cell r="B14946">
            <v>132786</v>
          </cell>
          <cell r="C14946" t="str">
            <v>Howe Park School</v>
          </cell>
          <cell r="D14946" t="str">
            <v>Milton Keynes</v>
          </cell>
          <cell r="E14946" t="str">
            <v>Community School</v>
          </cell>
          <cell r="F14946" t="str">
            <v>Primary</v>
          </cell>
        </row>
        <row r="14947">
          <cell r="A14947">
            <v>6636039</v>
          </cell>
          <cell r="B14947">
            <v>401978</v>
          </cell>
          <cell r="C14947" t="str">
            <v>Howell's Preparatory School</v>
          </cell>
          <cell r="D14947" t="str">
            <v>Denbighshire</v>
          </cell>
          <cell r="E14947" t="str">
            <v>Welsh Establishment</v>
          </cell>
          <cell r="F14947" t="str">
            <v>Not applicable</v>
          </cell>
        </row>
        <row r="14948">
          <cell r="A14948">
            <v>6636021</v>
          </cell>
          <cell r="B14948">
            <v>401975</v>
          </cell>
          <cell r="C14948" t="str">
            <v>Howell's School</v>
          </cell>
          <cell r="D14948" t="str">
            <v>Denbighshire</v>
          </cell>
          <cell r="E14948" t="str">
            <v>Welsh Establishment</v>
          </cell>
          <cell r="F14948" t="str">
            <v>Not applicable</v>
          </cell>
        </row>
        <row r="14949">
          <cell r="A14949">
            <v>6816024</v>
          </cell>
          <cell r="B14949">
            <v>402018</v>
          </cell>
          <cell r="C14949" t="str">
            <v>Howell's School</v>
          </cell>
          <cell r="D14949" t="str">
            <v>Cardiff</v>
          </cell>
          <cell r="E14949" t="str">
            <v>Welsh Establishment</v>
          </cell>
          <cell r="F14949" t="str">
            <v>Not applicable</v>
          </cell>
        </row>
        <row r="14950">
          <cell r="A14950">
            <v>3312032</v>
          </cell>
          <cell r="B14950">
            <v>103645</v>
          </cell>
          <cell r="C14950" t="str">
            <v>Howes Community Primary School</v>
          </cell>
          <cell r="D14950" t="str">
            <v>Coventry</v>
          </cell>
          <cell r="E14950" t="str">
            <v>Community School</v>
          </cell>
          <cell r="F14950" t="str">
            <v>Primary</v>
          </cell>
        </row>
        <row r="14951">
          <cell r="A14951">
            <v>3313437</v>
          </cell>
          <cell r="B14951">
            <v>134426</v>
          </cell>
          <cell r="C14951" t="str">
            <v>Howes Community Primary School</v>
          </cell>
          <cell r="D14951" t="str">
            <v>Coventry</v>
          </cell>
          <cell r="E14951" t="str">
            <v>Community School</v>
          </cell>
          <cell r="F14951" t="str">
            <v>Primary</v>
          </cell>
        </row>
        <row r="14952">
          <cell r="A14952">
            <v>6663028</v>
          </cell>
          <cell r="B14952">
            <v>400547</v>
          </cell>
          <cell r="C14952" t="str">
            <v>Howey C.I.W. School</v>
          </cell>
          <cell r="D14952" t="str">
            <v>Powys</v>
          </cell>
          <cell r="E14952" t="str">
            <v>Welsh Establishment</v>
          </cell>
          <cell r="F14952" t="str">
            <v>Primary</v>
          </cell>
        </row>
        <row r="14953">
          <cell r="A14953">
            <v>8883019</v>
          </cell>
          <cell r="B14953">
            <v>119364</v>
          </cell>
          <cell r="C14953" t="str">
            <v>Howick Church Endowed Primary School</v>
          </cell>
          <cell r="D14953" t="str">
            <v>Lancashire</v>
          </cell>
          <cell r="E14953" t="str">
            <v>Voluntary Controlled School</v>
          </cell>
          <cell r="F14953" t="str">
            <v>Primary</v>
          </cell>
        </row>
        <row r="14954">
          <cell r="A14954">
            <v>8303550</v>
          </cell>
          <cell r="B14954">
            <v>135172</v>
          </cell>
          <cell r="C14954" t="str">
            <v>Howitt Primary Community School</v>
          </cell>
          <cell r="D14954" t="str">
            <v>Derbyshire</v>
          </cell>
          <cell r="E14954" t="str">
            <v>Community School</v>
          </cell>
          <cell r="F14954" t="str">
            <v>Primary</v>
          </cell>
        </row>
        <row r="14955">
          <cell r="A14955">
            <v>8402734</v>
          </cell>
          <cell r="B14955">
            <v>114198</v>
          </cell>
          <cell r="C14955" t="str">
            <v>Howletch Lane Primary School</v>
          </cell>
          <cell r="D14955" t="str">
            <v>Durham</v>
          </cell>
          <cell r="E14955" t="str">
            <v>Community School</v>
          </cell>
          <cell r="F14955" t="str">
            <v>Primary</v>
          </cell>
        </row>
        <row r="14956">
          <cell r="A14956">
            <v>3322137</v>
          </cell>
          <cell r="B14956">
            <v>103814</v>
          </cell>
          <cell r="C14956" t="str">
            <v>Howley Grange Primary School</v>
          </cell>
          <cell r="D14956" t="str">
            <v>Dudley</v>
          </cell>
          <cell r="E14956" t="str">
            <v>Community School</v>
          </cell>
          <cell r="F14956" t="str">
            <v>Primary</v>
          </cell>
        </row>
        <row r="14957">
          <cell r="A14957">
            <v>8156020</v>
          </cell>
          <cell r="B14957">
            <v>121750</v>
          </cell>
          <cell r="C14957" t="str">
            <v>Howsham Hall School</v>
          </cell>
          <cell r="D14957" t="str">
            <v>North Yorkshire</v>
          </cell>
          <cell r="E14957" t="str">
            <v>Other Independent School</v>
          </cell>
          <cell r="F14957" t="str">
            <v>Not applicable</v>
          </cell>
        </row>
        <row r="14958">
          <cell r="A14958">
            <v>846941</v>
          </cell>
          <cell r="B14958">
            <v>134131</v>
          </cell>
          <cell r="C14958" t="str">
            <v>Howzat Learning Centre</v>
          </cell>
          <cell r="D14958" t="str">
            <v>Brighton and Hove</v>
          </cell>
          <cell r="E14958" t="str">
            <v>Playing for Success Centres</v>
          </cell>
          <cell r="F14958" t="str">
            <v>Not applicable</v>
          </cell>
        </row>
        <row r="14959">
          <cell r="A14959">
            <v>845940</v>
          </cell>
          <cell r="B14959">
            <v>134636</v>
          </cell>
          <cell r="C14959" t="str">
            <v>Howzat! Learning Centre</v>
          </cell>
          <cell r="D14959" t="str">
            <v>East Sussex</v>
          </cell>
          <cell r="E14959" t="str">
            <v>Playing for Success Centres</v>
          </cell>
          <cell r="F14959" t="str">
            <v>Not applicable</v>
          </cell>
        </row>
        <row r="14960">
          <cell r="A14960">
            <v>3443010</v>
          </cell>
          <cell r="B14960">
            <v>105063</v>
          </cell>
          <cell r="C14960" t="str">
            <v>Hoylake Holy Trinity CofE Primary School</v>
          </cell>
          <cell r="D14960" t="str">
            <v>Wirral</v>
          </cell>
          <cell r="E14960" t="str">
            <v>Voluntary Controlled School</v>
          </cell>
          <cell r="F14960" t="str">
            <v>Primary</v>
          </cell>
        </row>
        <row r="14961">
          <cell r="A14961">
            <v>3702070</v>
          </cell>
          <cell r="B14961">
            <v>127577</v>
          </cell>
          <cell r="C14961" t="str">
            <v>Hoyland Common Infant School</v>
          </cell>
          <cell r="D14961" t="str">
            <v>Barnsley</v>
          </cell>
          <cell r="E14961" t="str">
            <v>Community School</v>
          </cell>
          <cell r="F14961" t="str">
            <v>Primary</v>
          </cell>
        </row>
        <row r="14962">
          <cell r="A14962">
            <v>3702069</v>
          </cell>
          <cell r="B14962">
            <v>127576</v>
          </cell>
          <cell r="C14962" t="str">
            <v>Hoyland Common Junior School</v>
          </cell>
          <cell r="D14962" t="str">
            <v>Barnsley</v>
          </cell>
          <cell r="E14962" t="str">
            <v>Community School</v>
          </cell>
          <cell r="F14962" t="str">
            <v>Primary</v>
          </cell>
        </row>
        <row r="14963">
          <cell r="A14963">
            <v>3702136</v>
          </cell>
          <cell r="B14963">
            <v>106624</v>
          </cell>
          <cell r="C14963" t="str">
            <v>Hoyland Common Primary School</v>
          </cell>
          <cell r="D14963" t="str">
            <v>Barnsley</v>
          </cell>
          <cell r="E14963" t="str">
            <v>Community School</v>
          </cell>
          <cell r="F14963" t="str">
            <v>Primary</v>
          </cell>
        </row>
        <row r="14964">
          <cell r="A14964">
            <v>3702111</v>
          </cell>
          <cell r="B14964">
            <v>106605</v>
          </cell>
          <cell r="C14964" t="str">
            <v>Hoyland Springwood Primary School</v>
          </cell>
          <cell r="D14964" t="str">
            <v>Barnsley</v>
          </cell>
          <cell r="E14964" t="str">
            <v>Community School</v>
          </cell>
          <cell r="F14964" t="str">
            <v>Primary</v>
          </cell>
        </row>
        <row r="14965">
          <cell r="A14965">
            <v>3702076</v>
          </cell>
          <cell r="B14965">
            <v>106585</v>
          </cell>
          <cell r="C14965" t="str">
            <v>Hoylandswaine Primary School</v>
          </cell>
          <cell r="D14965" t="str">
            <v>Barnsley</v>
          </cell>
          <cell r="E14965" t="str">
            <v>Community School</v>
          </cell>
          <cell r="F14965" t="str">
            <v>Primary</v>
          </cell>
        </row>
        <row r="14966">
          <cell r="A14966">
            <v>3802168</v>
          </cell>
          <cell r="B14966">
            <v>107283</v>
          </cell>
          <cell r="C14966" t="str">
            <v>Hoyle Court Primary School</v>
          </cell>
          <cell r="D14966" t="str">
            <v>Bradford</v>
          </cell>
          <cell r="E14966" t="str">
            <v>Community School</v>
          </cell>
          <cell r="F14966" t="str">
            <v>Primary</v>
          </cell>
        </row>
        <row r="14967">
          <cell r="A14967">
            <v>3511003</v>
          </cell>
          <cell r="B14967">
            <v>105283</v>
          </cell>
          <cell r="C14967" t="str">
            <v>Hoyle Nursery School</v>
          </cell>
          <cell r="D14967" t="str">
            <v>Bury</v>
          </cell>
          <cell r="E14967" t="str">
            <v>LA Nursery School</v>
          </cell>
          <cell r="F14967" t="str">
            <v>Nursery</v>
          </cell>
        </row>
        <row r="14968">
          <cell r="A14968">
            <v>6683057</v>
          </cell>
          <cell r="B14968">
            <v>400718</v>
          </cell>
          <cell r="C14968" t="str">
            <v>Hubberston V.C. School</v>
          </cell>
          <cell r="D14968" t="str">
            <v>Pembrokeshire</v>
          </cell>
          <cell r="E14968" t="str">
            <v>Welsh Establishment</v>
          </cell>
          <cell r="F14968" t="str">
            <v>Primary</v>
          </cell>
        </row>
        <row r="14969">
          <cell r="A14969">
            <v>3556008</v>
          </cell>
          <cell r="B14969">
            <v>105994</v>
          </cell>
          <cell r="C14969" t="str">
            <v>Hubert Jewish High School for Girls</v>
          </cell>
          <cell r="D14969" t="str">
            <v>Salford</v>
          </cell>
          <cell r="E14969" t="str">
            <v>Other Independent School</v>
          </cell>
          <cell r="F14969" t="str">
            <v>Not applicable</v>
          </cell>
        </row>
        <row r="14970">
          <cell r="A14970">
            <v>8153055</v>
          </cell>
          <cell r="B14970">
            <v>121501</v>
          </cell>
          <cell r="C14970" t="str">
            <v>Huby Church of England Voluntary Controlled Primary School</v>
          </cell>
          <cell r="D14970" t="str">
            <v>North Yorkshire</v>
          </cell>
          <cell r="E14970" t="str">
            <v>Voluntary Controlled School</v>
          </cell>
          <cell r="F14970" t="str">
            <v>Primary</v>
          </cell>
        </row>
        <row r="14971">
          <cell r="A14971">
            <v>9164013</v>
          </cell>
          <cell r="B14971">
            <v>128954</v>
          </cell>
          <cell r="C14971" t="str">
            <v>Hucclecote School</v>
          </cell>
          <cell r="D14971" t="str">
            <v>Gloucestershire</v>
          </cell>
          <cell r="E14971" t="str">
            <v>Community School</v>
          </cell>
          <cell r="F14971" t="str">
            <v>Secondary</v>
          </cell>
        </row>
        <row r="14972">
          <cell r="A14972">
            <v>3732057</v>
          </cell>
          <cell r="B14972">
            <v>127651</v>
          </cell>
          <cell r="C14972" t="str">
            <v>Hucklow First School</v>
          </cell>
          <cell r="D14972" t="str">
            <v>Sheffield</v>
          </cell>
          <cell r="E14972" t="str">
            <v>Community School</v>
          </cell>
          <cell r="F14972" t="str">
            <v>Primary</v>
          </cell>
        </row>
        <row r="14973">
          <cell r="A14973">
            <v>3732056</v>
          </cell>
          <cell r="B14973">
            <v>127650</v>
          </cell>
          <cell r="C14973" t="str">
            <v>Hucklow Middle School</v>
          </cell>
          <cell r="D14973" t="str">
            <v>Sheffield</v>
          </cell>
          <cell r="E14973" t="str">
            <v>Community School</v>
          </cell>
          <cell r="F14973" t="str">
            <v>Middle Deemed Primary</v>
          </cell>
        </row>
        <row r="14974">
          <cell r="A14974">
            <v>3732337</v>
          </cell>
          <cell r="B14974">
            <v>107080</v>
          </cell>
          <cell r="C14974" t="str">
            <v>Hucklow Primary School</v>
          </cell>
          <cell r="D14974" t="str">
            <v>Sheffield</v>
          </cell>
          <cell r="E14974" t="str">
            <v>Community School</v>
          </cell>
          <cell r="F14974" t="str">
            <v>Primary</v>
          </cell>
        </row>
        <row r="14975">
          <cell r="A14975">
            <v>8913791</v>
          </cell>
          <cell r="B14975">
            <v>128075</v>
          </cell>
          <cell r="C14975" t="str">
            <v>Hucknall National Church of England (VA) Primary School</v>
          </cell>
          <cell r="D14975" t="str">
            <v>Nottinghamshire</v>
          </cell>
          <cell r="E14975" t="str">
            <v>Voluntary Aided School</v>
          </cell>
          <cell r="F14975" t="str">
            <v>Primary</v>
          </cell>
        </row>
        <row r="14976">
          <cell r="A14976">
            <v>8913432</v>
          </cell>
          <cell r="B14976">
            <v>122791</v>
          </cell>
          <cell r="C14976" t="str">
            <v>Hucknall National CofE Infant School</v>
          </cell>
          <cell r="D14976" t="str">
            <v>Nottinghamshire</v>
          </cell>
          <cell r="E14976" t="str">
            <v>Voluntary Aided School</v>
          </cell>
          <cell r="F14976" t="str">
            <v>Primary</v>
          </cell>
        </row>
        <row r="14977">
          <cell r="A14977">
            <v>8913431</v>
          </cell>
          <cell r="B14977">
            <v>122790</v>
          </cell>
          <cell r="C14977" t="str">
            <v>Hucknall National CofE Junior School</v>
          </cell>
          <cell r="D14977" t="str">
            <v>Nottinghamshire</v>
          </cell>
          <cell r="E14977" t="str">
            <v>Voluntary Aided School</v>
          </cell>
          <cell r="F14977" t="str">
            <v>Primary</v>
          </cell>
        </row>
        <row r="14978">
          <cell r="A14978">
            <v>382944</v>
          </cell>
          <cell r="B14978">
            <v>135590</v>
          </cell>
          <cell r="C14978" t="str">
            <v>Huddersfield Giants Study Centre</v>
          </cell>
          <cell r="D14978" t="str">
            <v>Kirklees</v>
          </cell>
          <cell r="E14978" t="str">
            <v>Playing for Success Centres</v>
          </cell>
          <cell r="F14978" t="str">
            <v>Not applicable</v>
          </cell>
        </row>
        <row r="14979">
          <cell r="A14979">
            <v>3826005</v>
          </cell>
          <cell r="B14979">
            <v>107786</v>
          </cell>
          <cell r="C14979" t="str">
            <v>Huddersfield Grammar School</v>
          </cell>
          <cell r="D14979" t="str">
            <v>Kirklees</v>
          </cell>
          <cell r="E14979" t="str">
            <v>Other Independent School</v>
          </cell>
          <cell r="F14979" t="str">
            <v>Not applicable</v>
          </cell>
        </row>
        <row r="14980">
          <cell r="A14980">
            <v>3824015</v>
          </cell>
          <cell r="B14980">
            <v>127794</v>
          </cell>
          <cell r="C14980" t="str">
            <v>Huddersfield New College</v>
          </cell>
          <cell r="D14980" t="str">
            <v>Kirklees</v>
          </cell>
          <cell r="E14980" t="str">
            <v>Community School</v>
          </cell>
          <cell r="F14980" t="str">
            <v>Secondary</v>
          </cell>
        </row>
        <row r="14981">
          <cell r="A14981">
            <v>3828601</v>
          </cell>
          <cell r="B14981">
            <v>130539</v>
          </cell>
          <cell r="C14981" t="str">
            <v>Huddersfield New College</v>
          </cell>
          <cell r="D14981" t="str">
            <v>Kirklees</v>
          </cell>
          <cell r="E14981" t="str">
            <v>Further Education</v>
          </cell>
          <cell r="F14981" t="str">
            <v>16 Plus</v>
          </cell>
        </row>
        <row r="14982">
          <cell r="A14982">
            <v>382940</v>
          </cell>
          <cell r="B14982">
            <v>132712</v>
          </cell>
          <cell r="C14982" t="str">
            <v>Huddersfield Town Study Centre</v>
          </cell>
          <cell r="D14982" t="str">
            <v>Kirklees</v>
          </cell>
          <cell r="E14982" t="str">
            <v>Playing for Success Centres</v>
          </cell>
          <cell r="F14982" t="str">
            <v>Not applicable</v>
          </cell>
        </row>
        <row r="14983">
          <cell r="A14983">
            <v>3432053</v>
          </cell>
          <cell r="B14983">
            <v>104869</v>
          </cell>
          <cell r="C14983" t="str">
            <v>Hudson Primary School</v>
          </cell>
          <cell r="D14983" t="str">
            <v>Sefton</v>
          </cell>
          <cell r="E14983" t="str">
            <v>Community School</v>
          </cell>
          <cell r="F14983" t="str">
            <v>Primary</v>
          </cell>
        </row>
        <row r="14984">
          <cell r="A14984">
            <v>3942042</v>
          </cell>
          <cell r="B14984">
            <v>108772</v>
          </cell>
          <cell r="C14984" t="str">
            <v>Hudson Road Primary School</v>
          </cell>
          <cell r="D14984" t="str">
            <v>Sunderland</v>
          </cell>
          <cell r="E14984" t="str">
            <v>Community School</v>
          </cell>
          <cell r="F14984" t="str">
            <v>Primary</v>
          </cell>
        </row>
        <row r="14985">
          <cell r="A14985">
            <v>8552024</v>
          </cell>
          <cell r="B14985">
            <v>119915</v>
          </cell>
          <cell r="C14985" t="str">
            <v>Hugglescote Community Primary School</v>
          </cell>
          <cell r="D14985" t="str">
            <v>Leicestershire</v>
          </cell>
          <cell r="E14985" t="str">
            <v>Community School</v>
          </cell>
          <cell r="F14985" t="str">
            <v>Primary</v>
          </cell>
        </row>
        <row r="14986">
          <cell r="A14986">
            <v>3438000</v>
          </cell>
          <cell r="B14986">
            <v>130490</v>
          </cell>
          <cell r="C14986" t="str">
            <v>Hugh Baird College</v>
          </cell>
          <cell r="D14986" t="str">
            <v>Sefton</v>
          </cell>
          <cell r="E14986" t="str">
            <v>Further Education</v>
          </cell>
          <cell r="F14986" t="str">
            <v>16 Plus</v>
          </cell>
        </row>
        <row r="14987">
          <cell r="A14987">
            <v>8865431</v>
          </cell>
          <cell r="B14987">
            <v>118903</v>
          </cell>
          <cell r="C14987" t="str">
            <v>Hugh Christie Technology College</v>
          </cell>
          <cell r="D14987" t="str">
            <v>Kent</v>
          </cell>
          <cell r="E14987" t="str">
            <v>Foundation School</v>
          </cell>
          <cell r="F14987" t="str">
            <v>Secondary</v>
          </cell>
        </row>
        <row r="14988">
          <cell r="A14988">
            <v>3832483</v>
          </cell>
          <cell r="B14988">
            <v>107959</v>
          </cell>
          <cell r="C14988" t="str">
            <v>Hugh Gaitskell Primary School</v>
          </cell>
          <cell r="D14988" t="str">
            <v>Leeds</v>
          </cell>
          <cell r="E14988" t="str">
            <v>Foundation School</v>
          </cell>
          <cell r="F14988" t="str">
            <v>Primary</v>
          </cell>
        </row>
        <row r="14989">
          <cell r="A14989">
            <v>3834017</v>
          </cell>
          <cell r="B14989">
            <v>127963</v>
          </cell>
          <cell r="C14989" t="str">
            <v>Hugh Gaitskell School</v>
          </cell>
          <cell r="D14989" t="str">
            <v>Leeds</v>
          </cell>
          <cell r="E14989" t="str">
            <v>Community School</v>
          </cell>
          <cell r="F14989" t="str">
            <v>Secondary</v>
          </cell>
        </row>
        <row r="14990">
          <cell r="A14990">
            <v>9293411</v>
          </cell>
          <cell r="B14990">
            <v>122291</v>
          </cell>
          <cell r="C14990" t="str">
            <v>Hugh Joicey Church of England First School, Ford</v>
          </cell>
          <cell r="D14990" t="str">
            <v>Northumberland</v>
          </cell>
          <cell r="E14990" t="str">
            <v>Voluntary Aided School</v>
          </cell>
          <cell r="F14990" t="str">
            <v>Primary</v>
          </cell>
        </row>
        <row r="14991">
          <cell r="A14991">
            <v>2062317</v>
          </cell>
          <cell r="B14991">
            <v>100410</v>
          </cell>
          <cell r="C14991" t="str">
            <v>Hugh Myddelton Infant School</v>
          </cell>
          <cell r="D14991" t="str">
            <v>Islington</v>
          </cell>
          <cell r="E14991" t="str">
            <v>Community School</v>
          </cell>
          <cell r="F14991" t="str">
            <v>Primary</v>
          </cell>
        </row>
        <row r="14992">
          <cell r="A14992">
            <v>2062316</v>
          </cell>
          <cell r="B14992">
            <v>100409</v>
          </cell>
          <cell r="C14992" t="str">
            <v>Hugh Myddelton Junior School</v>
          </cell>
          <cell r="D14992" t="str">
            <v>Islington</v>
          </cell>
          <cell r="E14992" t="str">
            <v>Community School</v>
          </cell>
          <cell r="F14992" t="str">
            <v>Primary</v>
          </cell>
        </row>
        <row r="14993">
          <cell r="A14993">
            <v>2062855</v>
          </cell>
          <cell r="B14993">
            <v>131842</v>
          </cell>
          <cell r="C14993" t="str">
            <v>Hugh Myddelton Primary School</v>
          </cell>
          <cell r="D14993" t="str">
            <v>Islington</v>
          </cell>
          <cell r="E14993" t="str">
            <v>Community School</v>
          </cell>
          <cell r="F14993" t="str">
            <v>Primary</v>
          </cell>
        </row>
        <row r="14994">
          <cell r="A14994">
            <v>9334584</v>
          </cell>
          <cell r="B14994">
            <v>123897</v>
          </cell>
          <cell r="C14994" t="str">
            <v>Hugh Sexey Church of England Middle School</v>
          </cell>
          <cell r="D14994" t="str">
            <v>Somerset</v>
          </cell>
          <cell r="E14994" t="str">
            <v>Voluntary Controlled School</v>
          </cell>
          <cell r="F14994" t="str">
            <v>Middle Deemed Secondary</v>
          </cell>
        </row>
        <row r="14995">
          <cell r="A14995">
            <v>8252242</v>
          </cell>
          <cell r="B14995">
            <v>110328</v>
          </cell>
          <cell r="C14995" t="str">
            <v>Hughenden Primary School</v>
          </cell>
          <cell r="D14995" t="str">
            <v>Buckinghamshire</v>
          </cell>
          <cell r="E14995" t="str">
            <v>Community School</v>
          </cell>
          <cell r="F14995" t="str">
            <v>Primary</v>
          </cell>
        </row>
        <row r="14996">
          <cell r="A14996">
            <v>2032318</v>
          </cell>
          <cell r="B14996">
            <v>100133</v>
          </cell>
          <cell r="C14996" t="str">
            <v>Hughes Fields Primary School</v>
          </cell>
          <cell r="D14996" t="str">
            <v>Greenwich</v>
          </cell>
          <cell r="E14996" t="str">
            <v>Community School</v>
          </cell>
          <cell r="F14996" t="str">
            <v>Primary</v>
          </cell>
        </row>
        <row r="14997">
          <cell r="A14997">
            <v>8603026</v>
          </cell>
          <cell r="B14997">
            <v>124232</v>
          </cell>
          <cell r="C14997" t="str">
            <v>Hugo Meynell CofE (VC) Primary School</v>
          </cell>
          <cell r="D14997" t="str">
            <v>Staffordshire</v>
          </cell>
          <cell r="E14997" t="str">
            <v>Voluntary Controlled School</v>
          </cell>
          <cell r="F14997" t="str">
            <v>Primary</v>
          </cell>
        </row>
        <row r="14998">
          <cell r="A14998">
            <v>9334259</v>
          </cell>
          <cell r="B14998">
            <v>136294</v>
          </cell>
          <cell r="C14998" t="str">
            <v>Huish Episcopi Academy</v>
          </cell>
          <cell r="D14998" t="str">
            <v>Somerset</v>
          </cell>
          <cell r="E14998" t="str">
            <v>Academy Converters</v>
          </cell>
          <cell r="F14998" t="str">
            <v>Secondary</v>
          </cell>
        </row>
        <row r="14999">
          <cell r="A14999">
            <v>9332034</v>
          </cell>
          <cell r="B14999">
            <v>123648</v>
          </cell>
          <cell r="C14999" t="str">
            <v>Huish Episcopi Primary School</v>
          </cell>
          <cell r="D14999" t="str">
            <v>Somerset</v>
          </cell>
          <cell r="E14999" t="str">
            <v>Foundation School</v>
          </cell>
          <cell r="F14999" t="str">
            <v>Primary</v>
          </cell>
        </row>
        <row r="15000">
          <cell r="A15000">
            <v>9334259</v>
          </cell>
          <cell r="B15000">
            <v>123868</v>
          </cell>
          <cell r="C15000" t="str">
            <v>Huish Episcopi Science College</v>
          </cell>
          <cell r="D15000" t="str">
            <v>Somerset</v>
          </cell>
          <cell r="E15000" t="str">
            <v>Community School</v>
          </cell>
          <cell r="F15000" t="str">
            <v>Secondary</v>
          </cell>
        </row>
        <row r="15001">
          <cell r="A15001">
            <v>9332309</v>
          </cell>
          <cell r="B15001">
            <v>123722</v>
          </cell>
          <cell r="C15001" t="str">
            <v>Huish Primary School</v>
          </cell>
          <cell r="D15001" t="str">
            <v>Somerset</v>
          </cell>
          <cell r="E15001" t="str">
            <v>Community School</v>
          </cell>
          <cell r="F15001" t="str">
            <v>Primary</v>
          </cell>
        </row>
        <row r="15002">
          <cell r="A15002">
            <v>8502361</v>
          </cell>
          <cell r="B15002">
            <v>116067</v>
          </cell>
          <cell r="C15002" t="str">
            <v>Hulbert Junior School</v>
          </cell>
          <cell r="D15002" t="str">
            <v>Hampshire</v>
          </cell>
          <cell r="E15002" t="str">
            <v>Community School</v>
          </cell>
          <cell r="F15002" t="str">
            <v>Primary</v>
          </cell>
        </row>
        <row r="15003">
          <cell r="A15003">
            <v>8108001</v>
          </cell>
          <cell r="B15003">
            <v>130579</v>
          </cell>
          <cell r="C15003" t="str">
            <v>Hull College</v>
          </cell>
          <cell r="D15003" t="str">
            <v>Kingston upon Hull City of</v>
          </cell>
          <cell r="E15003" t="str">
            <v>Further Education</v>
          </cell>
          <cell r="F15003" t="str">
            <v>16 Plus</v>
          </cell>
        </row>
        <row r="15004">
          <cell r="A15004">
            <v>8116000</v>
          </cell>
          <cell r="B15004">
            <v>118126</v>
          </cell>
          <cell r="C15004" t="str">
            <v>Hull Collegiate School</v>
          </cell>
          <cell r="D15004" t="str">
            <v>East Riding of Yorkshire</v>
          </cell>
          <cell r="E15004" t="str">
            <v>Other Independent School</v>
          </cell>
          <cell r="F15004" t="str">
            <v>Not applicable</v>
          </cell>
        </row>
        <row r="15005">
          <cell r="A15005">
            <v>8106002</v>
          </cell>
          <cell r="B15005">
            <v>118133</v>
          </cell>
          <cell r="C15005" t="str">
            <v>Hull Grammar School</v>
          </cell>
          <cell r="D15005" t="str">
            <v>Kingston upon Hull City of</v>
          </cell>
          <cell r="E15005" t="str">
            <v>Other Independent School</v>
          </cell>
          <cell r="F15005" t="str">
            <v>Not applicable</v>
          </cell>
        </row>
        <row r="15006">
          <cell r="A15006">
            <v>9204010</v>
          </cell>
          <cell r="B15006">
            <v>129265</v>
          </cell>
          <cell r="C15006" t="str">
            <v>Hull Grammar School</v>
          </cell>
          <cell r="D15006" t="str">
            <v>Pre LGR (1996) Humberside</v>
          </cell>
          <cell r="E15006" t="str">
            <v>Community School</v>
          </cell>
          <cell r="F15006" t="str">
            <v>Secondary</v>
          </cell>
        </row>
        <row r="15007">
          <cell r="A15007">
            <v>8116009</v>
          </cell>
          <cell r="B15007">
            <v>135068</v>
          </cell>
          <cell r="C15007" t="str">
            <v>Hull Preparatory School</v>
          </cell>
          <cell r="D15007" t="str">
            <v>East Riding of Yorkshire</v>
          </cell>
          <cell r="E15007" t="str">
            <v>Other Independent School</v>
          </cell>
          <cell r="F15007" t="str">
            <v>Not applicable</v>
          </cell>
        </row>
        <row r="15008">
          <cell r="A15008">
            <v>8104622</v>
          </cell>
          <cell r="B15008">
            <v>118115</v>
          </cell>
          <cell r="C15008" t="str">
            <v>Hull Trinity House School</v>
          </cell>
          <cell r="D15008" t="str">
            <v>Kingston upon Hull City of</v>
          </cell>
          <cell r="E15008" t="str">
            <v>Voluntary Aided School</v>
          </cell>
          <cell r="F15008" t="str">
            <v>Secondary</v>
          </cell>
        </row>
        <row r="15009">
          <cell r="A15009">
            <v>8303056</v>
          </cell>
          <cell r="B15009">
            <v>112831</v>
          </cell>
          <cell r="C15009" t="str">
            <v>Hulland CofE Primary School</v>
          </cell>
          <cell r="D15009" t="str">
            <v>Derbyshire</v>
          </cell>
          <cell r="E15009" t="str">
            <v>Voluntary Controlled School</v>
          </cell>
          <cell r="F15009" t="str">
            <v>Primary</v>
          </cell>
        </row>
        <row r="15010">
          <cell r="A15010">
            <v>8653091</v>
          </cell>
          <cell r="B15010">
            <v>126330</v>
          </cell>
          <cell r="C15010" t="str">
            <v>Hullavington CofE Primary School</v>
          </cell>
          <cell r="D15010" t="str">
            <v>Wiltshire</v>
          </cell>
          <cell r="E15010" t="str">
            <v>Voluntary Controlled School</v>
          </cell>
          <cell r="F15010" t="str">
            <v>Primary</v>
          </cell>
        </row>
        <row r="15011">
          <cell r="A15011">
            <v>3536013</v>
          </cell>
          <cell r="B15011">
            <v>105746</v>
          </cell>
          <cell r="C15011" t="str">
            <v>Hulme Grammar School for Girls</v>
          </cell>
          <cell r="D15011" t="str">
            <v>Oldham</v>
          </cell>
          <cell r="E15011" t="str">
            <v>Other Independent School</v>
          </cell>
          <cell r="F15011" t="str">
            <v>Not applicable</v>
          </cell>
        </row>
        <row r="15012">
          <cell r="A15012">
            <v>3566009</v>
          </cell>
          <cell r="B15012">
            <v>106151</v>
          </cell>
          <cell r="C15012" t="str">
            <v>Hulme Hall Grammar School</v>
          </cell>
          <cell r="D15012" t="str">
            <v>Stockport</v>
          </cell>
          <cell r="E15012" t="str">
            <v>Other Independent School</v>
          </cell>
          <cell r="F15012" t="str">
            <v>Not applicable</v>
          </cell>
        </row>
        <row r="15013">
          <cell r="A15013">
            <v>3551002</v>
          </cell>
          <cell r="B15013">
            <v>105866</v>
          </cell>
          <cell r="C15013" t="str">
            <v>Hulme Street Nursery School</v>
          </cell>
          <cell r="D15013" t="str">
            <v>Salford</v>
          </cell>
          <cell r="E15013" t="str">
            <v>LA Nursery School</v>
          </cell>
          <cell r="F15013" t="str">
            <v>Nursery</v>
          </cell>
        </row>
        <row r="15014">
          <cell r="A15014">
            <v>3552050</v>
          </cell>
          <cell r="B15014">
            <v>127466</v>
          </cell>
          <cell r="C15014" t="str">
            <v>Hulton East School</v>
          </cell>
          <cell r="D15014" t="str">
            <v>Salford</v>
          </cell>
          <cell r="E15014" t="str">
            <v>Community School</v>
          </cell>
          <cell r="F15014" t="str">
            <v>Primary</v>
          </cell>
        </row>
        <row r="15015">
          <cell r="A15015">
            <v>8122939</v>
          </cell>
          <cell r="B15015">
            <v>117966</v>
          </cell>
          <cell r="C15015" t="str">
            <v>Humberston Cloverfields Primary School</v>
          </cell>
          <cell r="D15015" t="str">
            <v>North East Lincolnshire</v>
          </cell>
          <cell r="E15015" t="str">
            <v>Community School</v>
          </cell>
          <cell r="F15015" t="str">
            <v>Primary</v>
          </cell>
        </row>
        <row r="15016">
          <cell r="A15016">
            <v>9202157</v>
          </cell>
          <cell r="B15016">
            <v>129195</v>
          </cell>
          <cell r="C15016" t="str">
            <v>Humberston Infants School</v>
          </cell>
          <cell r="D15016" t="str">
            <v>Pre LGR (1996) Humberside</v>
          </cell>
          <cell r="E15016" t="str">
            <v>Community School</v>
          </cell>
          <cell r="F15016" t="str">
            <v>Primary</v>
          </cell>
        </row>
        <row r="15017">
          <cell r="A15017">
            <v>9202170</v>
          </cell>
          <cell r="B15017">
            <v>129196</v>
          </cell>
          <cell r="C15017" t="str">
            <v>Humberston Junior School</v>
          </cell>
          <cell r="D15017" t="str">
            <v>Pre LGR (1996) Humberside</v>
          </cell>
          <cell r="E15017" t="str">
            <v>Community School</v>
          </cell>
          <cell r="F15017" t="str">
            <v>Primary</v>
          </cell>
        </row>
        <row r="15018">
          <cell r="A15018">
            <v>8124092</v>
          </cell>
          <cell r="B15018">
            <v>118101</v>
          </cell>
          <cell r="C15018" t="str">
            <v>Humberston Maths and Computing College</v>
          </cell>
          <cell r="D15018" t="str">
            <v>North East Lincolnshire</v>
          </cell>
          <cell r="E15018" t="str">
            <v>Foundation School</v>
          </cell>
          <cell r="F15018" t="str">
            <v>Secondary</v>
          </cell>
        </row>
        <row r="15019">
          <cell r="A15019">
            <v>8124092</v>
          </cell>
          <cell r="B15019">
            <v>137200</v>
          </cell>
          <cell r="C15019" t="str">
            <v>Humberston Maths and Computing College</v>
          </cell>
          <cell r="D15019" t="str">
            <v>North East Lincolnshire</v>
          </cell>
          <cell r="E15019" t="str">
            <v>Academy Converters</v>
          </cell>
          <cell r="F15019" t="str">
            <v>Secondary</v>
          </cell>
        </row>
        <row r="15020">
          <cell r="A15020">
            <v>8127011</v>
          </cell>
          <cell r="B15020">
            <v>118143</v>
          </cell>
          <cell r="C15020" t="str">
            <v>Humberston Park School</v>
          </cell>
          <cell r="D15020" t="str">
            <v>North East Lincolnshire</v>
          </cell>
          <cell r="E15020" t="str">
            <v>Community Special School</v>
          </cell>
          <cell r="F15020" t="str">
            <v>Special</v>
          </cell>
        </row>
        <row r="15021">
          <cell r="A15021">
            <v>8127011</v>
          </cell>
          <cell r="B15021">
            <v>137394</v>
          </cell>
          <cell r="C15021" t="str">
            <v>Humberston Park School</v>
          </cell>
          <cell r="D15021" t="str">
            <v>North East Lincolnshire</v>
          </cell>
          <cell r="E15021" t="str">
            <v>Academy Converters</v>
          </cell>
          <cell r="F15021" t="str">
            <v>Not applicable</v>
          </cell>
        </row>
        <row r="15022">
          <cell r="A15022">
            <v>8562236</v>
          </cell>
          <cell r="B15022">
            <v>120012</v>
          </cell>
          <cell r="C15022" t="str">
            <v>Humberstone Infant School</v>
          </cell>
          <cell r="D15022" t="str">
            <v>Leicester</v>
          </cell>
          <cell r="E15022" t="str">
            <v>Community School</v>
          </cell>
          <cell r="F15022" t="str">
            <v>Primary</v>
          </cell>
        </row>
        <row r="15023">
          <cell r="A15023">
            <v>8562237</v>
          </cell>
          <cell r="B15023">
            <v>120013</v>
          </cell>
          <cell r="C15023" t="str">
            <v>Humberstone Junior School</v>
          </cell>
          <cell r="D15023" t="str">
            <v>Leicester</v>
          </cell>
          <cell r="E15023" t="str">
            <v>Community School</v>
          </cell>
          <cell r="F15023" t="str">
            <v>Primary</v>
          </cell>
        </row>
        <row r="15024">
          <cell r="A15024">
            <v>3947009</v>
          </cell>
          <cell r="B15024">
            <v>128211</v>
          </cell>
          <cell r="C15024" t="str">
            <v>Humbledon School</v>
          </cell>
          <cell r="D15024" t="str">
            <v>Sunderland</v>
          </cell>
          <cell r="E15024" t="str">
            <v>Community Special School</v>
          </cell>
          <cell r="F15024" t="str">
            <v>Special</v>
          </cell>
        </row>
        <row r="15025">
          <cell r="A15025">
            <v>8072311</v>
          </cell>
          <cell r="B15025">
            <v>111618</v>
          </cell>
          <cell r="C15025" t="str">
            <v>Hummersea Primary School</v>
          </cell>
          <cell r="D15025" t="str">
            <v>Redcar and Cleveland</v>
          </cell>
          <cell r="E15025" t="str">
            <v>Community School</v>
          </cell>
          <cell r="F15025" t="str">
            <v>Primary</v>
          </cell>
        </row>
        <row r="15026">
          <cell r="A15026">
            <v>8414288</v>
          </cell>
          <cell r="B15026">
            <v>136838</v>
          </cell>
          <cell r="C15026" t="str">
            <v>Hummersknott Academy</v>
          </cell>
          <cell r="D15026" t="str">
            <v>Darlington</v>
          </cell>
          <cell r="E15026" t="str">
            <v>Academy Converters</v>
          </cell>
          <cell r="F15026" t="str">
            <v>Secondary</v>
          </cell>
        </row>
        <row r="15027">
          <cell r="A15027">
            <v>8414288</v>
          </cell>
          <cell r="B15027">
            <v>114323</v>
          </cell>
          <cell r="C15027" t="str">
            <v>Hummersknott School and Language College</v>
          </cell>
          <cell r="D15027" t="str">
            <v>Darlington</v>
          </cell>
          <cell r="E15027" t="str">
            <v>Community School</v>
          </cell>
          <cell r="F15027" t="str">
            <v>Secondary</v>
          </cell>
        </row>
        <row r="15028">
          <cell r="A15028">
            <v>8554000</v>
          </cell>
          <cell r="B15028">
            <v>120234</v>
          </cell>
          <cell r="C15028" t="str">
            <v>Humphrey Perkins High School &amp; Community Centre Barrow Upon Soar</v>
          </cell>
          <cell r="D15028" t="str">
            <v>Leicestershire</v>
          </cell>
          <cell r="E15028" t="str">
            <v>Community School</v>
          </cell>
          <cell r="F15028" t="str">
            <v>Secondary</v>
          </cell>
        </row>
        <row r="15029">
          <cell r="A15029">
            <v>9084173</v>
          </cell>
          <cell r="B15029">
            <v>112067</v>
          </cell>
          <cell r="C15029" t="str">
            <v>Humphry Davy School</v>
          </cell>
          <cell r="D15029" t="str">
            <v>Cornwall</v>
          </cell>
          <cell r="E15029" t="str">
            <v>Community School</v>
          </cell>
          <cell r="F15029" t="str">
            <v>Secondary</v>
          </cell>
        </row>
        <row r="15030">
          <cell r="A15030">
            <v>9293454</v>
          </cell>
          <cell r="B15030">
            <v>122295</v>
          </cell>
          <cell r="C15030" t="str">
            <v>Humshaugh Church of England First School</v>
          </cell>
          <cell r="D15030" t="str">
            <v>Northumberland</v>
          </cell>
          <cell r="E15030" t="str">
            <v>Voluntary Aided School</v>
          </cell>
          <cell r="F15030" t="str">
            <v>Primary</v>
          </cell>
        </row>
        <row r="15031">
          <cell r="A15031">
            <v>8552173</v>
          </cell>
          <cell r="B15031">
            <v>119979</v>
          </cell>
          <cell r="C15031" t="str">
            <v>Huncote Community Primary School</v>
          </cell>
          <cell r="D15031" t="str">
            <v>Leicestershire</v>
          </cell>
          <cell r="E15031" t="str">
            <v>Community School</v>
          </cell>
          <cell r="F15031" t="str">
            <v>Primary</v>
          </cell>
        </row>
        <row r="15032">
          <cell r="A15032">
            <v>8842060</v>
          </cell>
          <cell r="B15032">
            <v>116682</v>
          </cell>
          <cell r="C15032" t="str">
            <v>Hunderton Infants' School</v>
          </cell>
          <cell r="D15032" t="str">
            <v>Herefordshire</v>
          </cell>
          <cell r="E15032" t="str">
            <v>Community School</v>
          </cell>
          <cell r="F15032" t="str">
            <v>Primary</v>
          </cell>
        </row>
        <row r="15033">
          <cell r="A15033">
            <v>8842059</v>
          </cell>
          <cell r="B15033">
            <v>116681</v>
          </cell>
          <cell r="C15033" t="str">
            <v>Hunderton Junior School</v>
          </cell>
          <cell r="D15033" t="str">
            <v>Herefordshire</v>
          </cell>
          <cell r="E15033" t="str">
            <v>Community School</v>
          </cell>
          <cell r="F15033" t="str">
            <v>Primary</v>
          </cell>
        </row>
        <row r="15034">
          <cell r="A15034">
            <v>9352012</v>
          </cell>
          <cell r="B15034">
            <v>124538</v>
          </cell>
          <cell r="C15034" t="str">
            <v>Hundon Community Primary School</v>
          </cell>
          <cell r="D15034" t="str">
            <v>Suffolk</v>
          </cell>
          <cell r="E15034" t="str">
            <v>Community School</v>
          </cell>
          <cell r="F15034" t="str">
            <v>Primary</v>
          </cell>
        </row>
        <row r="15035">
          <cell r="A15035">
            <v>2062321</v>
          </cell>
          <cell r="B15035">
            <v>126634</v>
          </cell>
          <cell r="C15035" t="str">
            <v>Hungerford Infant School</v>
          </cell>
          <cell r="D15035" t="str">
            <v>Islington</v>
          </cell>
          <cell r="E15035" t="str">
            <v>Community School</v>
          </cell>
          <cell r="F15035" t="str">
            <v>Primary</v>
          </cell>
        </row>
        <row r="15036">
          <cell r="A15036">
            <v>2062319</v>
          </cell>
          <cell r="B15036">
            <v>126633</v>
          </cell>
          <cell r="C15036" t="str">
            <v>Hungerford Junior School</v>
          </cell>
          <cell r="D15036" t="str">
            <v>Islington</v>
          </cell>
          <cell r="E15036" t="str">
            <v>Community School</v>
          </cell>
          <cell r="F15036" t="str">
            <v>Primary</v>
          </cell>
        </row>
        <row r="15037">
          <cell r="A15037">
            <v>8691012</v>
          </cell>
          <cell r="B15037">
            <v>109755</v>
          </cell>
          <cell r="C15037" t="str">
            <v>Hungerford Nursery School Centre for Children</v>
          </cell>
          <cell r="D15037" t="str">
            <v>West Berkshire</v>
          </cell>
          <cell r="E15037" t="str">
            <v>LA Nursery School</v>
          </cell>
          <cell r="F15037" t="str">
            <v>Nursery</v>
          </cell>
        </row>
        <row r="15038">
          <cell r="A15038">
            <v>8692069</v>
          </cell>
          <cell r="B15038">
            <v>109816</v>
          </cell>
          <cell r="C15038" t="str">
            <v>Hungerford Primary School</v>
          </cell>
          <cell r="D15038" t="str">
            <v>West Berkshire</v>
          </cell>
          <cell r="E15038" t="str">
            <v>Community School</v>
          </cell>
          <cell r="F15038" t="str">
            <v>Primary</v>
          </cell>
        </row>
        <row r="15039">
          <cell r="A15039">
            <v>8952211</v>
          </cell>
          <cell r="B15039">
            <v>111069</v>
          </cell>
          <cell r="C15039" t="str">
            <v>Hungerford Primary School</v>
          </cell>
          <cell r="D15039" t="str">
            <v>Cheshire East</v>
          </cell>
          <cell r="E15039" t="str">
            <v>Community School</v>
          </cell>
          <cell r="F15039" t="str">
            <v>Primary</v>
          </cell>
        </row>
        <row r="15040">
          <cell r="A15040">
            <v>2062851</v>
          </cell>
          <cell r="B15040">
            <v>100435</v>
          </cell>
          <cell r="C15040" t="str">
            <v>Hungerford Primary School and Children's Centre</v>
          </cell>
          <cell r="D15040" t="str">
            <v>Islington</v>
          </cell>
          <cell r="E15040" t="str">
            <v>Community School</v>
          </cell>
          <cell r="F15040" t="str">
            <v>Primary</v>
          </cell>
        </row>
        <row r="15041">
          <cell r="A15041">
            <v>3714040</v>
          </cell>
          <cell r="B15041">
            <v>106795</v>
          </cell>
          <cell r="C15041" t="str">
            <v>Hungerhill School A Specialist Centre for Science, Mathematics and Computing</v>
          </cell>
          <cell r="D15041" t="str">
            <v>Doncaster</v>
          </cell>
          <cell r="E15041" t="str">
            <v>Foundation School</v>
          </cell>
          <cell r="F15041" t="str">
            <v>Secondary</v>
          </cell>
        </row>
        <row r="15042">
          <cell r="A15042">
            <v>8302359</v>
          </cell>
          <cell r="B15042">
            <v>112697</v>
          </cell>
          <cell r="C15042" t="str">
            <v>Hunloke Park Primary School</v>
          </cell>
          <cell r="D15042" t="str">
            <v>Derbyshire</v>
          </cell>
          <cell r="E15042" t="str">
            <v>Community School</v>
          </cell>
          <cell r="F15042" t="str">
            <v>Primary</v>
          </cell>
        </row>
        <row r="15043">
          <cell r="A15043">
            <v>9276051</v>
          </cell>
          <cell r="B15043">
            <v>129673</v>
          </cell>
          <cell r="C15043" t="str">
            <v>Hunmanby Hall School</v>
          </cell>
          <cell r="D15043" t="str">
            <v>Pre LGR (1996) North Yorkshire</v>
          </cell>
          <cell r="E15043" t="str">
            <v>Other Independent School</v>
          </cell>
          <cell r="F15043" t="str">
            <v>Not applicable</v>
          </cell>
        </row>
        <row r="15044">
          <cell r="A15044">
            <v>8152403</v>
          </cell>
          <cell r="B15044">
            <v>121451</v>
          </cell>
          <cell r="C15044" t="str">
            <v>Hunmanby Primary School</v>
          </cell>
          <cell r="D15044" t="str">
            <v>North Yorkshire</v>
          </cell>
          <cell r="E15044" t="str">
            <v>Community School</v>
          </cell>
          <cell r="F15044" t="str">
            <v>Primary</v>
          </cell>
        </row>
        <row r="15045">
          <cell r="A15045">
            <v>3702126</v>
          </cell>
          <cell r="B15045">
            <v>106614</v>
          </cell>
          <cell r="C15045" t="str">
            <v>Hunningley Primary School</v>
          </cell>
          <cell r="D15045" t="str">
            <v>Barnsley</v>
          </cell>
          <cell r="E15045" t="str">
            <v>Community School</v>
          </cell>
          <cell r="F15045" t="str">
            <v>Primary</v>
          </cell>
        </row>
        <row r="15046">
          <cell r="A15046">
            <v>9212018</v>
          </cell>
          <cell r="B15046">
            <v>118167</v>
          </cell>
          <cell r="C15046" t="str">
            <v>Hunnyhill Primary School</v>
          </cell>
          <cell r="D15046" t="str">
            <v>Isle of Wight</v>
          </cell>
          <cell r="E15046" t="str">
            <v>Community School</v>
          </cell>
          <cell r="F15046" t="str">
            <v>Primary</v>
          </cell>
        </row>
        <row r="15047">
          <cell r="A15047">
            <v>9282218</v>
          </cell>
          <cell r="B15047">
            <v>121952</v>
          </cell>
          <cell r="C15047" t="str">
            <v>Hunsbury Park Primary School</v>
          </cell>
          <cell r="D15047" t="str">
            <v>Northamptonshire</v>
          </cell>
          <cell r="E15047" t="str">
            <v>Community School</v>
          </cell>
          <cell r="F15047" t="str">
            <v>Primary</v>
          </cell>
        </row>
        <row r="15048">
          <cell r="A15048">
            <v>9192061</v>
          </cell>
          <cell r="B15048">
            <v>117117</v>
          </cell>
          <cell r="C15048" t="str">
            <v>Hunsdon Junior Mixed and Infant School</v>
          </cell>
          <cell r="D15048" t="str">
            <v>Hertfordshire</v>
          </cell>
          <cell r="E15048" t="str">
            <v>Community School</v>
          </cell>
          <cell r="F15048" t="str">
            <v>Primary</v>
          </cell>
        </row>
        <row r="15049">
          <cell r="A15049">
            <v>9272341</v>
          </cell>
          <cell r="B15049">
            <v>129653</v>
          </cell>
          <cell r="C15049" t="str">
            <v>Hunsingore County Primary School</v>
          </cell>
          <cell r="D15049" t="str">
            <v>Pre LGR (1996) North Yorkshire</v>
          </cell>
          <cell r="E15049" t="str">
            <v>Community School</v>
          </cell>
          <cell r="F15049" t="str">
            <v>Primary</v>
          </cell>
        </row>
        <row r="15050">
          <cell r="A15050">
            <v>3832098</v>
          </cell>
          <cell r="B15050">
            <v>127830</v>
          </cell>
          <cell r="C15050" t="str">
            <v>Hunslet Carr First School</v>
          </cell>
          <cell r="D15050" t="str">
            <v>Leeds</v>
          </cell>
          <cell r="E15050" t="str">
            <v>Community School</v>
          </cell>
          <cell r="F15050" t="str">
            <v>Primary</v>
          </cell>
        </row>
        <row r="15051">
          <cell r="A15051">
            <v>3832474</v>
          </cell>
          <cell r="B15051">
            <v>107950</v>
          </cell>
          <cell r="C15051" t="str">
            <v>Hunslet Carr Primary School</v>
          </cell>
          <cell r="D15051" t="str">
            <v>Leeds</v>
          </cell>
          <cell r="E15051" t="str">
            <v>Community School</v>
          </cell>
          <cell r="F15051" t="str">
            <v>Primary</v>
          </cell>
        </row>
        <row r="15052">
          <cell r="A15052">
            <v>3834737</v>
          </cell>
          <cell r="B15052">
            <v>128024</v>
          </cell>
          <cell r="C15052" t="str">
            <v>Hunslet CofE Middle School</v>
          </cell>
          <cell r="D15052" t="str">
            <v>Leeds</v>
          </cell>
          <cell r="E15052" t="str">
            <v>Voluntary Aided School</v>
          </cell>
          <cell r="F15052" t="str">
            <v>Middle Deemed Secondary</v>
          </cell>
        </row>
        <row r="15053">
          <cell r="A15053">
            <v>3831107</v>
          </cell>
          <cell r="B15053">
            <v>132257</v>
          </cell>
          <cell r="C15053" t="str">
            <v>Hunslet Gate Centre</v>
          </cell>
          <cell r="D15053" t="str">
            <v>Leeds</v>
          </cell>
          <cell r="E15053" t="str">
            <v>Pupil Referral Unit</v>
          </cell>
          <cell r="F15053" t="str">
            <v>PRU</v>
          </cell>
        </row>
        <row r="15054">
          <cell r="A15054">
            <v>383942</v>
          </cell>
          <cell r="B15054">
            <v>135515</v>
          </cell>
          <cell r="C15054" t="str">
            <v>Hunslet Hawks Learning Centre</v>
          </cell>
          <cell r="D15054" t="str">
            <v>Leeds</v>
          </cell>
          <cell r="E15054" t="str">
            <v>Playing for Success Centres</v>
          </cell>
          <cell r="F15054" t="str">
            <v>Not applicable</v>
          </cell>
        </row>
        <row r="15055">
          <cell r="A15055">
            <v>3832102</v>
          </cell>
          <cell r="B15055">
            <v>127831</v>
          </cell>
          <cell r="C15055" t="str">
            <v>Hunslet Moor First School</v>
          </cell>
          <cell r="D15055" t="str">
            <v>Leeds</v>
          </cell>
          <cell r="E15055" t="str">
            <v>Community School</v>
          </cell>
          <cell r="F15055" t="str">
            <v>Primary</v>
          </cell>
        </row>
        <row r="15056">
          <cell r="A15056">
            <v>3832475</v>
          </cell>
          <cell r="B15056">
            <v>107951</v>
          </cell>
          <cell r="C15056" t="str">
            <v>Hunslet Moor Primary School</v>
          </cell>
          <cell r="D15056" t="str">
            <v>Leeds</v>
          </cell>
          <cell r="E15056" t="str">
            <v>Community School</v>
          </cell>
          <cell r="F15056" t="str">
            <v>Primary</v>
          </cell>
        </row>
        <row r="15057">
          <cell r="A15057">
            <v>3831000</v>
          </cell>
          <cell r="B15057">
            <v>107806</v>
          </cell>
          <cell r="C15057" t="str">
            <v>Hunslet Nursery School</v>
          </cell>
          <cell r="D15057" t="str">
            <v>Leeds</v>
          </cell>
          <cell r="E15057" t="str">
            <v>LA Nursery School</v>
          </cell>
          <cell r="F15057" t="str">
            <v>Nursery</v>
          </cell>
        </row>
        <row r="15058">
          <cell r="A15058">
            <v>3833914</v>
          </cell>
          <cell r="B15058">
            <v>108053</v>
          </cell>
          <cell r="C15058" t="str">
            <v>Hunslet St Mary's Church of England Primary School</v>
          </cell>
          <cell r="D15058" t="str">
            <v>Leeds</v>
          </cell>
          <cell r="E15058" t="str">
            <v>Voluntary Aided School</v>
          </cell>
          <cell r="F15058" t="str">
            <v>Primary</v>
          </cell>
        </row>
        <row r="15059">
          <cell r="A15059">
            <v>9262208</v>
          </cell>
          <cell r="B15059">
            <v>120879</v>
          </cell>
          <cell r="C15059" t="str">
            <v>Hunstanton Infant School</v>
          </cell>
          <cell r="D15059" t="str">
            <v>Norfolk</v>
          </cell>
          <cell r="E15059" t="str">
            <v>Community School</v>
          </cell>
          <cell r="F15059" t="str">
            <v>Primary</v>
          </cell>
        </row>
        <row r="15060">
          <cell r="A15060">
            <v>8776006</v>
          </cell>
          <cell r="B15060">
            <v>135325</v>
          </cell>
          <cell r="C15060" t="str">
            <v>Hunt Close Greencorns</v>
          </cell>
          <cell r="D15060" t="str">
            <v>Warrington</v>
          </cell>
          <cell r="E15060" t="str">
            <v>Other Independent Special School</v>
          </cell>
          <cell r="F15060" t="str">
            <v>Not applicable</v>
          </cell>
        </row>
        <row r="15061">
          <cell r="A15061">
            <v>8074007</v>
          </cell>
          <cell r="B15061">
            <v>111726</v>
          </cell>
          <cell r="C15061" t="str">
            <v>Huntcliff School</v>
          </cell>
          <cell r="D15061" t="str">
            <v>Redcar and Cleveland</v>
          </cell>
          <cell r="E15061" t="str">
            <v>Community School</v>
          </cell>
          <cell r="F15061" t="str">
            <v>Secondary</v>
          </cell>
        </row>
        <row r="15062">
          <cell r="A15062">
            <v>8134074</v>
          </cell>
          <cell r="B15062">
            <v>118087</v>
          </cell>
          <cell r="C15062" t="str">
            <v>Huntcliff School</v>
          </cell>
          <cell r="D15062" t="str">
            <v>North Lincolnshire</v>
          </cell>
          <cell r="E15062" t="str">
            <v>Community School</v>
          </cell>
          <cell r="F15062" t="str">
            <v>Secondary</v>
          </cell>
        </row>
        <row r="15063">
          <cell r="A15063">
            <v>9096041</v>
          </cell>
          <cell r="B15063">
            <v>112459</v>
          </cell>
          <cell r="C15063" t="str">
            <v>Hunter Hall School</v>
          </cell>
          <cell r="D15063" t="str">
            <v>Cumbria</v>
          </cell>
          <cell r="E15063" t="str">
            <v>Other Independent School</v>
          </cell>
          <cell r="F15063" t="str">
            <v>Not applicable</v>
          </cell>
        </row>
        <row r="15064">
          <cell r="A15064">
            <v>3732060</v>
          </cell>
          <cell r="B15064">
            <v>106995</v>
          </cell>
          <cell r="C15064" t="str">
            <v>Hunter's Bar Infant School</v>
          </cell>
          <cell r="D15064" t="str">
            <v>Sheffield</v>
          </cell>
          <cell r="E15064" t="str">
            <v>Community School</v>
          </cell>
          <cell r="F15064" t="str">
            <v>Primary</v>
          </cell>
        </row>
        <row r="15065">
          <cell r="A15065">
            <v>3732058</v>
          </cell>
          <cell r="B15065">
            <v>106994</v>
          </cell>
          <cell r="C15065" t="str">
            <v>Hunter's Bar Junior School</v>
          </cell>
          <cell r="D15065" t="str">
            <v>Sheffield</v>
          </cell>
          <cell r="E15065" t="str">
            <v>Community School</v>
          </cell>
          <cell r="F15065" t="str">
            <v>Primary</v>
          </cell>
        </row>
        <row r="15066">
          <cell r="A15066">
            <v>3012039</v>
          </cell>
          <cell r="B15066">
            <v>101209</v>
          </cell>
          <cell r="C15066" t="str">
            <v>Hunters Hall Infants' School</v>
          </cell>
          <cell r="D15066" t="str">
            <v>Barking and Dagenham</v>
          </cell>
          <cell r="E15066" t="str">
            <v>Community School</v>
          </cell>
          <cell r="F15066" t="str">
            <v>Primary</v>
          </cell>
        </row>
        <row r="15067">
          <cell r="A15067">
            <v>3012037</v>
          </cell>
          <cell r="B15067">
            <v>101208</v>
          </cell>
          <cell r="C15067" t="str">
            <v>Hunters Hall Junior School</v>
          </cell>
          <cell r="D15067" t="str">
            <v>Barking and Dagenham</v>
          </cell>
          <cell r="E15067" t="str">
            <v>Community School</v>
          </cell>
          <cell r="F15067" t="str">
            <v>Primary</v>
          </cell>
        </row>
        <row r="15068">
          <cell r="A15068">
            <v>3012073</v>
          </cell>
          <cell r="B15068">
            <v>131844</v>
          </cell>
          <cell r="C15068" t="str">
            <v>Hunters Hall Primary School</v>
          </cell>
          <cell r="D15068" t="str">
            <v>Barking and Dagenham</v>
          </cell>
          <cell r="E15068" t="str">
            <v>Community School</v>
          </cell>
          <cell r="F15068" t="str">
            <v>Primary</v>
          </cell>
        </row>
        <row r="15069">
          <cell r="A15069">
            <v>3307026</v>
          </cell>
          <cell r="B15069">
            <v>103609</v>
          </cell>
          <cell r="C15069" t="str">
            <v>Hunters Hill Technology College</v>
          </cell>
          <cell r="D15069" t="str">
            <v>Birmingham</v>
          </cell>
          <cell r="E15069" t="str">
            <v>Community Special School</v>
          </cell>
          <cell r="F15069" t="str">
            <v>Special</v>
          </cell>
        </row>
        <row r="15070">
          <cell r="A15070">
            <v>9302161</v>
          </cell>
          <cell r="B15070">
            <v>122484</v>
          </cell>
          <cell r="C15070" t="str">
            <v>Huntingdon Infant School</v>
          </cell>
          <cell r="D15070" t="str">
            <v>Pre LGR (1998) Nottinghamshire</v>
          </cell>
          <cell r="E15070" t="str">
            <v>Community School</v>
          </cell>
          <cell r="F15070" t="str">
            <v>Primary</v>
          </cell>
        </row>
        <row r="15071">
          <cell r="A15071">
            <v>8732228</v>
          </cell>
          <cell r="B15071">
            <v>110695</v>
          </cell>
          <cell r="C15071" t="str">
            <v>Huntingdon Infants School</v>
          </cell>
          <cell r="D15071" t="str">
            <v>Cambridgeshire</v>
          </cell>
          <cell r="E15071" t="str">
            <v>Community School</v>
          </cell>
          <cell r="F15071" t="str">
            <v>Primary</v>
          </cell>
        </row>
        <row r="15072">
          <cell r="A15072">
            <v>8732227</v>
          </cell>
          <cell r="B15072">
            <v>110694</v>
          </cell>
          <cell r="C15072" t="str">
            <v>Huntingdon Junior School</v>
          </cell>
          <cell r="D15072" t="str">
            <v>Cambridgeshire</v>
          </cell>
          <cell r="E15072" t="str">
            <v>Community School</v>
          </cell>
          <cell r="F15072" t="str">
            <v>Primary</v>
          </cell>
        </row>
        <row r="15073">
          <cell r="A15073">
            <v>8731007</v>
          </cell>
          <cell r="B15073">
            <v>110598</v>
          </cell>
          <cell r="C15073" t="str">
            <v>Huntingdon Nursery School</v>
          </cell>
          <cell r="D15073" t="str">
            <v>Cambridgeshire</v>
          </cell>
          <cell r="E15073" t="str">
            <v>LA Nursery School</v>
          </cell>
          <cell r="F15073" t="str">
            <v>Nursery</v>
          </cell>
        </row>
        <row r="15074">
          <cell r="A15074">
            <v>8922939</v>
          </cell>
          <cell r="B15074">
            <v>131090</v>
          </cell>
          <cell r="C15074" t="str">
            <v>Huntingdon Primary and Nursery School</v>
          </cell>
          <cell r="D15074" t="str">
            <v>Nottingham</v>
          </cell>
          <cell r="E15074" t="str">
            <v>Community School</v>
          </cell>
          <cell r="F15074" t="str">
            <v>Primary</v>
          </cell>
        </row>
        <row r="15075">
          <cell r="A15075">
            <v>8922939</v>
          </cell>
          <cell r="B15075">
            <v>137550</v>
          </cell>
          <cell r="C15075" t="str">
            <v>Huntingdon Primary and Nursery School</v>
          </cell>
          <cell r="D15075" t="str">
            <v>Nottingham</v>
          </cell>
          <cell r="E15075" t="str">
            <v>Academy Converters</v>
          </cell>
          <cell r="F15075" t="str">
            <v>Primary</v>
          </cell>
        </row>
        <row r="15076">
          <cell r="A15076">
            <v>8733945</v>
          </cell>
          <cell r="B15076">
            <v>135568</v>
          </cell>
          <cell r="C15076" t="str">
            <v>Huntingdon Primary School</v>
          </cell>
          <cell r="D15076" t="str">
            <v>Cambridgeshire</v>
          </cell>
          <cell r="E15076" t="str">
            <v>Community School</v>
          </cell>
          <cell r="F15076" t="str">
            <v>Primary</v>
          </cell>
        </row>
        <row r="15077">
          <cell r="A15077">
            <v>8738009</v>
          </cell>
          <cell r="B15077">
            <v>130612</v>
          </cell>
          <cell r="C15077" t="str">
            <v>Huntingdonshire Regional College</v>
          </cell>
          <cell r="D15077" t="str">
            <v>Cambridgeshire</v>
          </cell>
          <cell r="E15077" t="str">
            <v>Further Education</v>
          </cell>
          <cell r="F15077" t="str">
            <v>16 Plus</v>
          </cell>
        </row>
        <row r="15078">
          <cell r="A15078">
            <v>2122322</v>
          </cell>
          <cell r="B15078">
            <v>126683</v>
          </cell>
          <cell r="C15078" t="str">
            <v>Huntingfield School</v>
          </cell>
          <cell r="D15078" t="str">
            <v>Wandsworth</v>
          </cell>
          <cell r="E15078" t="str">
            <v>Community School</v>
          </cell>
          <cell r="F15078" t="str">
            <v>Primary</v>
          </cell>
        </row>
        <row r="15079">
          <cell r="A15079">
            <v>8962247</v>
          </cell>
          <cell r="B15079">
            <v>111093</v>
          </cell>
          <cell r="C15079" t="str">
            <v>Huntington Community Primary School</v>
          </cell>
          <cell r="D15079" t="str">
            <v>Cheshire West and Chester</v>
          </cell>
          <cell r="E15079" t="str">
            <v>Community School</v>
          </cell>
          <cell r="F15079" t="str">
            <v>Primary</v>
          </cell>
        </row>
        <row r="15080">
          <cell r="A15080">
            <v>8162180</v>
          </cell>
          <cell r="B15080">
            <v>121340</v>
          </cell>
          <cell r="C15080" t="str">
            <v>Huntington Primary School</v>
          </cell>
          <cell r="D15080" t="str">
            <v>York</v>
          </cell>
          <cell r="E15080" t="str">
            <v>Community School</v>
          </cell>
          <cell r="F15080" t="str">
            <v>Primary</v>
          </cell>
        </row>
        <row r="15081">
          <cell r="A15081">
            <v>8164063</v>
          </cell>
          <cell r="B15081">
            <v>121673</v>
          </cell>
          <cell r="C15081" t="str">
            <v>Huntington School</v>
          </cell>
          <cell r="D15081" t="str">
            <v>York</v>
          </cell>
          <cell r="E15081" t="str">
            <v>Community School</v>
          </cell>
          <cell r="F15081" t="str">
            <v>Secondary</v>
          </cell>
        </row>
        <row r="15082">
          <cell r="A15082">
            <v>9252020</v>
          </cell>
          <cell r="B15082">
            <v>120377</v>
          </cell>
          <cell r="C15082" t="str">
            <v>Huntingtower Community Primary School</v>
          </cell>
          <cell r="D15082" t="str">
            <v>Lincolnshire</v>
          </cell>
          <cell r="E15082" t="str">
            <v>Community School</v>
          </cell>
          <cell r="F15082" t="str">
            <v>Primary</v>
          </cell>
        </row>
        <row r="15083">
          <cell r="A15083">
            <v>3322116</v>
          </cell>
          <cell r="B15083">
            <v>103802</v>
          </cell>
          <cell r="C15083" t="str">
            <v>Huntingtree Primary School</v>
          </cell>
          <cell r="D15083" t="str">
            <v>Dudley</v>
          </cell>
          <cell r="E15083" t="str">
            <v>Community School</v>
          </cell>
          <cell r="F15083" t="str">
            <v>Primary</v>
          </cell>
        </row>
        <row r="15084">
          <cell r="A15084">
            <v>9163328</v>
          </cell>
          <cell r="B15084">
            <v>115686</v>
          </cell>
          <cell r="C15084" t="str">
            <v>Huntley Church of England Primary School</v>
          </cell>
          <cell r="D15084" t="str">
            <v>Gloucestershire</v>
          </cell>
          <cell r="E15084" t="str">
            <v>Voluntary Aided School</v>
          </cell>
          <cell r="F15084" t="str">
            <v>Primary</v>
          </cell>
        </row>
        <row r="15085">
          <cell r="A15085">
            <v>9224050</v>
          </cell>
          <cell r="B15085">
            <v>129414</v>
          </cell>
          <cell r="C15085" t="str">
            <v>Huntleys Secondary School for Boys</v>
          </cell>
          <cell r="D15085" t="str">
            <v>Pre LGR (1998) Kent</v>
          </cell>
          <cell r="E15085" t="str">
            <v>Community School</v>
          </cell>
          <cell r="F15085" t="str">
            <v>Secondary</v>
          </cell>
        </row>
        <row r="15086">
          <cell r="A15086">
            <v>8741102</v>
          </cell>
          <cell r="B15086">
            <v>131707</v>
          </cell>
          <cell r="C15086" t="str">
            <v>Huntly Lodge PRU</v>
          </cell>
          <cell r="D15086" t="str">
            <v>Peterborough</v>
          </cell>
          <cell r="E15086" t="str">
            <v>Pupil Referral Unit</v>
          </cell>
          <cell r="F15086" t="str">
            <v>PRU</v>
          </cell>
        </row>
        <row r="15087">
          <cell r="A15087">
            <v>8152063</v>
          </cell>
          <cell r="B15087">
            <v>121302</v>
          </cell>
          <cell r="C15087" t="str">
            <v>Hunton and Arrathorne Community Primary School</v>
          </cell>
          <cell r="D15087" t="str">
            <v>North Yorkshire</v>
          </cell>
          <cell r="E15087" t="str">
            <v>Community School</v>
          </cell>
          <cell r="F15087" t="str">
            <v>Primary</v>
          </cell>
        </row>
        <row r="15088">
          <cell r="A15088">
            <v>8863323</v>
          </cell>
          <cell r="B15088">
            <v>118726</v>
          </cell>
          <cell r="C15088" t="str">
            <v>Hunton Church of England Primary School</v>
          </cell>
          <cell r="D15088" t="str">
            <v>Kent</v>
          </cell>
          <cell r="E15088" t="str">
            <v>Voluntary Aided School</v>
          </cell>
          <cell r="F15088" t="str">
            <v>Primary</v>
          </cell>
        </row>
        <row r="15089">
          <cell r="A15089">
            <v>3412085</v>
          </cell>
          <cell r="B15089">
            <v>127267</v>
          </cell>
          <cell r="C15089" t="str">
            <v>Hunts Cross County Infant School</v>
          </cell>
          <cell r="D15089" t="str">
            <v>Liverpool</v>
          </cell>
          <cell r="E15089" t="str">
            <v>Community School</v>
          </cell>
          <cell r="F15089" t="str">
            <v>Primary</v>
          </cell>
        </row>
        <row r="15090">
          <cell r="A15090">
            <v>3412084</v>
          </cell>
          <cell r="B15090">
            <v>104549</v>
          </cell>
          <cell r="C15090" t="str">
            <v>Hunts Cross Primary School</v>
          </cell>
          <cell r="D15090" t="str">
            <v>Liverpool</v>
          </cell>
          <cell r="E15090" t="str">
            <v>Community School</v>
          </cell>
          <cell r="F15090" t="str">
            <v>Primary</v>
          </cell>
        </row>
        <row r="15091">
          <cell r="A15091">
            <v>8402302</v>
          </cell>
          <cell r="B15091">
            <v>114054</v>
          </cell>
          <cell r="C15091" t="str">
            <v>Hunwick Primary School</v>
          </cell>
          <cell r="D15091" t="str">
            <v>Durham</v>
          </cell>
          <cell r="E15091" t="str">
            <v>Community School</v>
          </cell>
          <cell r="F15091" t="str">
            <v>Primary</v>
          </cell>
        </row>
        <row r="15092">
          <cell r="A15092">
            <v>8952716</v>
          </cell>
          <cell r="B15092">
            <v>111233</v>
          </cell>
          <cell r="C15092" t="str">
            <v>Hurdsfield Community Primary School</v>
          </cell>
          <cell r="D15092" t="str">
            <v>Cheshire East</v>
          </cell>
          <cell r="E15092" t="str">
            <v>Community School</v>
          </cell>
          <cell r="F15092" t="str">
            <v>Primary</v>
          </cell>
        </row>
        <row r="15093">
          <cell r="A15093">
            <v>9062338</v>
          </cell>
          <cell r="B15093">
            <v>128437</v>
          </cell>
          <cell r="C15093" t="str">
            <v>Hurdsfield County Infant School</v>
          </cell>
          <cell r="D15093" t="str">
            <v>Pre LGR (1998) Cheshire</v>
          </cell>
          <cell r="E15093" t="str">
            <v>Community School</v>
          </cell>
          <cell r="F15093" t="str">
            <v>Primary</v>
          </cell>
        </row>
        <row r="15094">
          <cell r="A15094">
            <v>9062150</v>
          </cell>
          <cell r="B15094">
            <v>128402</v>
          </cell>
          <cell r="C15094" t="str">
            <v>Hurdsfield County Junior School</v>
          </cell>
          <cell r="D15094" t="str">
            <v>Pre LGR (1998) Cheshire</v>
          </cell>
          <cell r="E15094" t="str">
            <v>Community School</v>
          </cell>
          <cell r="F15094" t="str">
            <v>Primary</v>
          </cell>
        </row>
        <row r="15095">
          <cell r="A15095">
            <v>9372032</v>
          </cell>
          <cell r="B15095">
            <v>125515</v>
          </cell>
          <cell r="C15095" t="str">
            <v>Hurley Primary School</v>
          </cell>
          <cell r="D15095" t="str">
            <v>Warwickshire</v>
          </cell>
          <cell r="E15095" t="str">
            <v>Community School</v>
          </cell>
          <cell r="F15095" t="str">
            <v>Primary</v>
          </cell>
        </row>
        <row r="15096">
          <cell r="A15096">
            <v>3734237</v>
          </cell>
          <cell r="B15096">
            <v>127722</v>
          </cell>
          <cell r="C15096" t="str">
            <v>Hurlfield School</v>
          </cell>
          <cell r="D15096" t="str">
            <v>Sheffield</v>
          </cell>
          <cell r="E15096" t="str">
            <v>Community School</v>
          </cell>
          <cell r="F15096" t="str">
            <v>Secondary</v>
          </cell>
        </row>
        <row r="15097">
          <cell r="A15097">
            <v>2054319</v>
          </cell>
          <cell r="B15097">
            <v>100361</v>
          </cell>
          <cell r="C15097" t="str">
            <v>Hurlingham and Chelsea Secondary School</v>
          </cell>
          <cell r="D15097" t="str">
            <v>Hammersmith and Fulham</v>
          </cell>
          <cell r="E15097" t="str">
            <v>Community School</v>
          </cell>
          <cell r="F15097" t="str">
            <v>Secondary</v>
          </cell>
        </row>
        <row r="15098">
          <cell r="A15098">
            <v>2126147</v>
          </cell>
          <cell r="B15098">
            <v>101067</v>
          </cell>
          <cell r="C15098" t="str">
            <v>Hurlingham School</v>
          </cell>
          <cell r="D15098" t="str">
            <v>Wandsworth</v>
          </cell>
          <cell r="E15098" t="str">
            <v>Other Independent School</v>
          </cell>
          <cell r="F15098" t="str">
            <v>Not applicable</v>
          </cell>
        </row>
        <row r="15099">
          <cell r="A15099">
            <v>9126127</v>
          </cell>
          <cell r="B15099">
            <v>128798</v>
          </cell>
          <cell r="C15099" t="str">
            <v>Hurn Court School</v>
          </cell>
          <cell r="D15099" t="str">
            <v>Pre LGR (1997) Dorset</v>
          </cell>
          <cell r="E15099" t="str">
            <v>Other Independent School</v>
          </cell>
          <cell r="F15099" t="str">
            <v>Not applicable</v>
          </cell>
        </row>
        <row r="15100">
          <cell r="A15100">
            <v>9192151</v>
          </cell>
          <cell r="B15100">
            <v>117180</v>
          </cell>
          <cell r="C15100" t="str">
            <v>Hurst Drive Primary School</v>
          </cell>
          <cell r="D15100" t="str">
            <v>Hertfordshire</v>
          </cell>
          <cell r="E15100" t="str">
            <v>Community School</v>
          </cell>
          <cell r="F15100" t="str">
            <v>Primary</v>
          </cell>
        </row>
        <row r="15101">
          <cell r="A15101">
            <v>8936103</v>
          </cell>
          <cell r="B15101">
            <v>135104</v>
          </cell>
          <cell r="C15101" t="str">
            <v>Hurst Farm</v>
          </cell>
          <cell r="D15101" t="str">
            <v>Shropshire</v>
          </cell>
          <cell r="E15101" t="str">
            <v>Other Independent Special School</v>
          </cell>
          <cell r="F15101" t="str">
            <v>Not applicable</v>
          </cell>
        </row>
        <row r="15102">
          <cell r="A15102">
            <v>8453035</v>
          </cell>
          <cell r="B15102">
            <v>114508</v>
          </cell>
          <cell r="C15102" t="str">
            <v>Hurst Green Church of England Primary School</v>
          </cell>
          <cell r="D15102" t="str">
            <v>East Sussex</v>
          </cell>
          <cell r="E15102" t="str">
            <v>Voluntary Controlled School</v>
          </cell>
          <cell r="F15102" t="str">
            <v>Primary</v>
          </cell>
        </row>
        <row r="15103">
          <cell r="A15103">
            <v>9362302</v>
          </cell>
          <cell r="B15103">
            <v>125010</v>
          </cell>
          <cell r="C15103" t="str">
            <v>Hurst Green Infant School</v>
          </cell>
          <cell r="D15103" t="str">
            <v>Surrey</v>
          </cell>
          <cell r="E15103" t="str">
            <v>Community School</v>
          </cell>
          <cell r="F15103" t="str">
            <v>Primary</v>
          </cell>
        </row>
        <row r="15104">
          <cell r="A15104">
            <v>3322124</v>
          </cell>
          <cell r="B15104">
            <v>103807</v>
          </cell>
          <cell r="C15104" t="str">
            <v>Hurst Green Primary School</v>
          </cell>
          <cell r="D15104" t="str">
            <v>Dudley</v>
          </cell>
          <cell r="E15104" t="str">
            <v>Community School</v>
          </cell>
          <cell r="F15104" t="str">
            <v>Primary</v>
          </cell>
        </row>
        <row r="15105">
          <cell r="A15105">
            <v>3322148</v>
          </cell>
          <cell r="B15105">
            <v>103825</v>
          </cell>
          <cell r="C15105" t="str">
            <v>Hurst Hill Primary School</v>
          </cell>
          <cell r="D15105" t="str">
            <v>Dudley</v>
          </cell>
          <cell r="E15105" t="str">
            <v>Community School</v>
          </cell>
          <cell r="F15105" t="str">
            <v>Primary</v>
          </cell>
        </row>
        <row r="15106">
          <cell r="A15106">
            <v>3572036</v>
          </cell>
          <cell r="B15106">
            <v>106200</v>
          </cell>
          <cell r="C15106" t="str">
            <v>Hurst Infant School</v>
          </cell>
          <cell r="D15106" t="str">
            <v>Tameside</v>
          </cell>
          <cell r="E15106" t="str">
            <v>Community School</v>
          </cell>
          <cell r="F15106" t="str">
            <v>Primary</v>
          </cell>
        </row>
        <row r="15107">
          <cell r="A15107">
            <v>3032011</v>
          </cell>
          <cell r="B15107">
            <v>126745</v>
          </cell>
          <cell r="C15107" t="str">
            <v>Hurst Infant School</v>
          </cell>
          <cell r="D15107" t="str">
            <v>Bexley</v>
          </cell>
          <cell r="E15107" t="str">
            <v>Community School</v>
          </cell>
          <cell r="F15107" t="str">
            <v>Primary</v>
          </cell>
        </row>
        <row r="15108">
          <cell r="A15108">
            <v>3032010</v>
          </cell>
          <cell r="B15108">
            <v>126744</v>
          </cell>
          <cell r="C15108" t="str">
            <v>Hurst Junior School</v>
          </cell>
          <cell r="D15108" t="str">
            <v>Bexley</v>
          </cell>
          <cell r="E15108" t="str">
            <v>Community School</v>
          </cell>
          <cell r="F15108" t="str">
            <v>Primary</v>
          </cell>
        </row>
        <row r="15109">
          <cell r="A15109">
            <v>3573019</v>
          </cell>
          <cell r="B15109">
            <v>106229</v>
          </cell>
          <cell r="C15109" t="str">
            <v>Hurst Knoll St James' Church of England Primary School</v>
          </cell>
          <cell r="D15109" t="str">
            <v>Tameside</v>
          </cell>
          <cell r="E15109" t="str">
            <v>Voluntary Controlled School</v>
          </cell>
          <cell r="F15109" t="str">
            <v>Primary</v>
          </cell>
        </row>
        <row r="15110">
          <cell r="A15110">
            <v>8686012</v>
          </cell>
          <cell r="B15110">
            <v>110150</v>
          </cell>
          <cell r="C15110" t="str">
            <v>Hurst Lodge School</v>
          </cell>
          <cell r="D15110" t="str">
            <v>Windsor and Maidenhead</v>
          </cell>
          <cell r="E15110" t="str">
            <v>Other Independent School</v>
          </cell>
          <cell r="F15110" t="str">
            <v>Not applicable</v>
          </cell>
        </row>
        <row r="15111">
          <cell r="A15111">
            <v>3573024</v>
          </cell>
          <cell r="B15111">
            <v>106232</v>
          </cell>
          <cell r="C15111" t="str">
            <v>Hurst Methodist Junior School</v>
          </cell>
          <cell r="D15111" t="str">
            <v>Tameside</v>
          </cell>
          <cell r="E15111" t="str">
            <v>Voluntary Controlled School</v>
          </cell>
          <cell r="F15111" t="str">
            <v>Primary</v>
          </cell>
        </row>
        <row r="15112">
          <cell r="A15112">
            <v>9362385</v>
          </cell>
          <cell r="B15112">
            <v>125038</v>
          </cell>
          <cell r="C15112" t="str">
            <v>Hurst Park Primary School</v>
          </cell>
          <cell r="D15112" t="str">
            <v>Surrey</v>
          </cell>
          <cell r="E15112" t="str">
            <v>Community School</v>
          </cell>
          <cell r="F15112" t="str">
            <v>Primary</v>
          </cell>
        </row>
        <row r="15113">
          <cell r="A15113">
            <v>3032080</v>
          </cell>
          <cell r="B15113">
            <v>101446</v>
          </cell>
          <cell r="C15113" t="str">
            <v>Hurst Primary School</v>
          </cell>
          <cell r="D15113" t="str">
            <v>Bexley</v>
          </cell>
          <cell r="E15113" t="str">
            <v>Community School</v>
          </cell>
          <cell r="F15113" t="str">
            <v>Primary</v>
          </cell>
        </row>
        <row r="15114">
          <cell r="A15114">
            <v>3427000</v>
          </cell>
          <cell r="B15114">
            <v>104840</v>
          </cell>
          <cell r="C15114" t="str">
            <v>Hurst School</v>
          </cell>
          <cell r="D15114" t="str">
            <v>St. Helens</v>
          </cell>
          <cell r="E15114" t="str">
            <v>Community Special School</v>
          </cell>
          <cell r="F15114" t="str">
            <v>Special</v>
          </cell>
        </row>
        <row r="15115">
          <cell r="A15115">
            <v>8503082</v>
          </cell>
          <cell r="B15115">
            <v>116293</v>
          </cell>
          <cell r="C15115" t="str">
            <v>Hurstbourne Tarrant Church of England Primary School</v>
          </cell>
          <cell r="D15115" t="str">
            <v>Hampshire</v>
          </cell>
          <cell r="E15115" t="str">
            <v>Voluntary Controlled School</v>
          </cell>
          <cell r="F15115" t="str">
            <v>Primary</v>
          </cell>
        </row>
        <row r="15116">
          <cell r="A15116">
            <v>3572012</v>
          </cell>
          <cell r="B15116">
            <v>106185</v>
          </cell>
          <cell r="C15116" t="str">
            <v>Hurstclough Primary School</v>
          </cell>
          <cell r="D15116" t="str">
            <v>Tameside</v>
          </cell>
          <cell r="E15116" t="str">
            <v>Community School</v>
          </cell>
          <cell r="F15116" t="str">
            <v>Primary</v>
          </cell>
        </row>
        <row r="15117">
          <cell r="A15117">
            <v>3562046</v>
          </cell>
          <cell r="B15117">
            <v>106052</v>
          </cell>
          <cell r="C15117" t="str">
            <v>Hursthead Infant School</v>
          </cell>
          <cell r="D15117" t="str">
            <v>Stockport</v>
          </cell>
          <cell r="E15117" t="str">
            <v>Community School</v>
          </cell>
          <cell r="F15117" t="str">
            <v>Primary</v>
          </cell>
        </row>
        <row r="15118">
          <cell r="A15118">
            <v>3562047</v>
          </cell>
          <cell r="B15118">
            <v>106053</v>
          </cell>
          <cell r="C15118" t="str">
            <v>Hursthead Junior School</v>
          </cell>
          <cell r="D15118" t="str">
            <v>Stockport</v>
          </cell>
          <cell r="E15118" t="str">
            <v>Community School</v>
          </cell>
          <cell r="F15118" t="str">
            <v>Primary</v>
          </cell>
        </row>
        <row r="15119">
          <cell r="A15119">
            <v>3035404</v>
          </cell>
          <cell r="B15119">
            <v>101480</v>
          </cell>
          <cell r="C15119" t="str">
            <v>Hurstmere Foundation School for Boys</v>
          </cell>
          <cell r="D15119" t="str">
            <v>Bexley</v>
          </cell>
          <cell r="E15119" t="str">
            <v>Foundation School</v>
          </cell>
          <cell r="F15119" t="str">
            <v>Secondary</v>
          </cell>
        </row>
        <row r="15120">
          <cell r="A15120">
            <v>3035404</v>
          </cell>
          <cell r="B15120">
            <v>137368</v>
          </cell>
          <cell r="C15120" t="str">
            <v>Hurstmere Foundation School for Boys</v>
          </cell>
          <cell r="D15120" t="str">
            <v>Bexley</v>
          </cell>
          <cell r="E15120" t="str">
            <v>Academy Converters</v>
          </cell>
          <cell r="F15120" t="str">
            <v>Secondary</v>
          </cell>
        </row>
        <row r="15121">
          <cell r="A15121">
            <v>9386206</v>
          </cell>
          <cell r="B15121">
            <v>126136</v>
          </cell>
          <cell r="C15121" t="str">
            <v>Hurstpierpoint College</v>
          </cell>
          <cell r="D15121" t="str">
            <v>West Sussex</v>
          </cell>
          <cell r="E15121" t="str">
            <v>Other Independent School</v>
          </cell>
          <cell r="F15121" t="str">
            <v>Not applicable</v>
          </cell>
        </row>
        <row r="15122">
          <cell r="A15122">
            <v>9366564</v>
          </cell>
          <cell r="B15122">
            <v>125442</v>
          </cell>
          <cell r="C15122" t="str">
            <v>Hurtwood House School</v>
          </cell>
          <cell r="D15122" t="str">
            <v>Surrey</v>
          </cell>
          <cell r="E15122" t="str">
            <v>Other Independent School</v>
          </cell>
          <cell r="F15122" t="str">
            <v>Not applicable</v>
          </cell>
        </row>
        <row r="15123">
          <cell r="A15123">
            <v>8416001</v>
          </cell>
          <cell r="B15123">
            <v>114333</v>
          </cell>
          <cell r="C15123" t="str">
            <v>Hurworth House School</v>
          </cell>
          <cell r="D15123" t="str">
            <v>Darlington</v>
          </cell>
          <cell r="E15123" t="str">
            <v>Other Independent School</v>
          </cell>
          <cell r="F15123" t="str">
            <v>Not applicable</v>
          </cell>
        </row>
        <row r="15124">
          <cell r="A15124">
            <v>8412732</v>
          </cell>
          <cell r="B15124">
            <v>114196</v>
          </cell>
          <cell r="C15124" t="str">
            <v>Hurworth Primary School</v>
          </cell>
          <cell r="D15124" t="str">
            <v>Darlington</v>
          </cell>
          <cell r="E15124" t="str">
            <v>Community School</v>
          </cell>
          <cell r="F15124" t="str">
            <v>Primary</v>
          </cell>
        </row>
        <row r="15125">
          <cell r="A15125">
            <v>8414221</v>
          </cell>
          <cell r="B15125">
            <v>114316</v>
          </cell>
          <cell r="C15125" t="str">
            <v>Hurworth School</v>
          </cell>
          <cell r="D15125" t="str">
            <v>Darlington</v>
          </cell>
          <cell r="E15125" t="str">
            <v>Foundation School</v>
          </cell>
          <cell r="F15125" t="str">
            <v>Secondary</v>
          </cell>
        </row>
        <row r="15126">
          <cell r="A15126">
            <v>8414221</v>
          </cell>
          <cell r="B15126">
            <v>136525</v>
          </cell>
          <cell r="C15126" t="str">
            <v>Hurworth School</v>
          </cell>
          <cell r="D15126" t="str">
            <v>Darlington</v>
          </cell>
          <cell r="E15126" t="str">
            <v>Academy Converters</v>
          </cell>
          <cell r="F15126" t="str">
            <v>Secondary</v>
          </cell>
        </row>
        <row r="15127">
          <cell r="A15127">
            <v>8553046</v>
          </cell>
          <cell r="B15127">
            <v>120137</v>
          </cell>
          <cell r="C15127" t="str">
            <v>Husbands Bosworth Church of England Primary School</v>
          </cell>
          <cell r="D15127" t="str">
            <v>Leicestershire</v>
          </cell>
          <cell r="E15127" t="str">
            <v>Voluntary Controlled School</v>
          </cell>
          <cell r="F15127" t="str">
            <v>Primary</v>
          </cell>
        </row>
        <row r="15128">
          <cell r="A15128">
            <v>8232059</v>
          </cell>
          <cell r="B15128">
            <v>109460</v>
          </cell>
          <cell r="C15128" t="str">
            <v>Husborne Crawley Lower School</v>
          </cell>
          <cell r="D15128" t="str">
            <v>Central Bedfordshire</v>
          </cell>
          <cell r="E15128" t="str">
            <v>Community School</v>
          </cell>
          <cell r="F15128" t="str">
            <v>Primary</v>
          </cell>
        </row>
        <row r="15129">
          <cell r="A15129">
            <v>8153057</v>
          </cell>
          <cell r="B15129">
            <v>121502</v>
          </cell>
          <cell r="C15129" t="str">
            <v>Husthwaite Church of England Voluntary Controlled Primary School</v>
          </cell>
          <cell r="D15129" t="str">
            <v>North Yorkshire</v>
          </cell>
          <cell r="E15129" t="str">
            <v>Voluntary Controlled School</v>
          </cell>
          <cell r="F15129" t="str">
            <v>Primary</v>
          </cell>
        </row>
        <row r="15130">
          <cell r="A15130">
            <v>9074114</v>
          </cell>
          <cell r="B15130">
            <v>128511</v>
          </cell>
          <cell r="C15130" t="str">
            <v>Hustler School</v>
          </cell>
          <cell r="D15130" t="str">
            <v>Pre LGR (1996) Cleveland</v>
          </cell>
          <cell r="E15130" t="str">
            <v>Community School</v>
          </cell>
          <cell r="F15130" t="str">
            <v>Secondary</v>
          </cell>
        </row>
        <row r="15131">
          <cell r="A15131">
            <v>8603432</v>
          </cell>
          <cell r="B15131">
            <v>124333</v>
          </cell>
          <cell r="C15131" t="str">
            <v>Hutchinson Memorial CofE (A) First School</v>
          </cell>
          <cell r="D15131" t="str">
            <v>Staffordshire</v>
          </cell>
          <cell r="E15131" t="str">
            <v>Voluntary Aided School</v>
          </cell>
          <cell r="F15131" t="str">
            <v>Primary</v>
          </cell>
        </row>
        <row r="15132">
          <cell r="A15132">
            <v>8913774</v>
          </cell>
          <cell r="B15132">
            <v>122824</v>
          </cell>
          <cell r="C15132" t="str">
            <v>Huthwaite All Saint's CofE (Aided) Infant School</v>
          </cell>
          <cell r="D15132" t="str">
            <v>Nottinghamshire</v>
          </cell>
          <cell r="E15132" t="str">
            <v>Voluntary Aided School</v>
          </cell>
          <cell r="F15132" t="str">
            <v>Primary</v>
          </cell>
        </row>
        <row r="15133">
          <cell r="A15133">
            <v>9303007</v>
          </cell>
          <cell r="B15133">
            <v>129721</v>
          </cell>
          <cell r="C15133" t="str">
            <v>Huthwaite CofE Infant School</v>
          </cell>
          <cell r="D15133" t="str">
            <v>Pre LGR (1998) Nottinghamshire</v>
          </cell>
          <cell r="E15133" t="str">
            <v>Voluntary Controlled School</v>
          </cell>
          <cell r="F15133" t="str">
            <v>Primary</v>
          </cell>
        </row>
        <row r="15134">
          <cell r="A15134">
            <v>9255209</v>
          </cell>
          <cell r="B15134">
            <v>120676</v>
          </cell>
          <cell r="C15134" t="str">
            <v>Huttoft Primary School</v>
          </cell>
          <cell r="D15134" t="str">
            <v>Lincolnshire</v>
          </cell>
          <cell r="E15134" t="str">
            <v>Foundation School</v>
          </cell>
          <cell r="F15134" t="str">
            <v>Primary</v>
          </cell>
        </row>
        <row r="15135">
          <cell r="A15135">
            <v>8815218</v>
          </cell>
          <cell r="B15135">
            <v>115258</v>
          </cell>
          <cell r="C15135" t="str">
            <v>Hutton All Saints' Church of England Primary School</v>
          </cell>
          <cell r="D15135" t="str">
            <v>Essex</v>
          </cell>
          <cell r="E15135" t="str">
            <v>Voluntary Aided School</v>
          </cell>
          <cell r="F15135" t="str">
            <v>Primary</v>
          </cell>
        </row>
        <row r="15136">
          <cell r="A15136">
            <v>8815218</v>
          </cell>
          <cell r="B15136">
            <v>137698</v>
          </cell>
          <cell r="C15136" t="str">
            <v>Hutton All Saints' Church of England Primary School</v>
          </cell>
          <cell r="D15136" t="str">
            <v>Essex</v>
          </cell>
          <cell r="E15136" t="str">
            <v>Academy Converters</v>
          </cell>
          <cell r="F15136" t="str">
            <v>Primary</v>
          </cell>
        </row>
        <row r="15137">
          <cell r="A15137">
            <v>8884685</v>
          </cell>
          <cell r="B15137">
            <v>119794</v>
          </cell>
          <cell r="C15137" t="str">
            <v>Hutton Church of England Grammar School</v>
          </cell>
          <cell r="D15137" t="str">
            <v>Lancashire</v>
          </cell>
          <cell r="E15137" t="str">
            <v>Voluntary Aided School</v>
          </cell>
          <cell r="F15137" t="str">
            <v>Secondary</v>
          </cell>
        </row>
        <row r="15138">
          <cell r="A15138">
            <v>8023116</v>
          </cell>
          <cell r="B15138">
            <v>109218</v>
          </cell>
          <cell r="C15138" t="str">
            <v>Hutton Church of England Primary School</v>
          </cell>
          <cell r="D15138" t="str">
            <v>North Somerset</v>
          </cell>
          <cell r="E15138" t="str">
            <v>Voluntary Controlled School</v>
          </cell>
          <cell r="F15138" t="str">
            <v>Primary</v>
          </cell>
        </row>
        <row r="15139">
          <cell r="A15139">
            <v>8112735</v>
          </cell>
          <cell r="B15139">
            <v>117855</v>
          </cell>
          <cell r="C15139" t="str">
            <v>Hutton Cranswick Community Primary School</v>
          </cell>
          <cell r="D15139" t="str">
            <v>East Riding of Yorkshire</v>
          </cell>
          <cell r="E15139" t="str">
            <v>Community School</v>
          </cell>
          <cell r="F15139" t="str">
            <v>Primary</v>
          </cell>
        </row>
        <row r="15140">
          <cell r="A15140">
            <v>8403183</v>
          </cell>
          <cell r="B15140">
            <v>114232</v>
          </cell>
          <cell r="C15140" t="str">
            <v>Hutton Henry CofE (Controlled) Primary School</v>
          </cell>
          <cell r="D15140" t="str">
            <v>Durham</v>
          </cell>
          <cell r="E15140" t="str">
            <v>Voluntary Controlled School</v>
          </cell>
          <cell r="F15140" t="str">
            <v>Primary</v>
          </cell>
        </row>
        <row r="15141">
          <cell r="A15141">
            <v>3804008</v>
          </cell>
          <cell r="B15141">
            <v>107354</v>
          </cell>
          <cell r="C15141" t="str">
            <v>Hutton Middle School</v>
          </cell>
          <cell r="D15141" t="str">
            <v>Bradford</v>
          </cell>
          <cell r="E15141" t="str">
            <v>Community School</v>
          </cell>
          <cell r="F15141" t="str">
            <v>Middle Deemed Secondary</v>
          </cell>
        </row>
        <row r="15142">
          <cell r="A15142">
            <v>8152228</v>
          </cell>
          <cell r="B15142">
            <v>121361</v>
          </cell>
          <cell r="C15142" t="str">
            <v>Hutton Rudby Primary School</v>
          </cell>
          <cell r="D15142" t="str">
            <v>North Yorkshire</v>
          </cell>
          <cell r="E15142" t="str">
            <v>Community School</v>
          </cell>
          <cell r="F15142" t="str">
            <v>Primary</v>
          </cell>
        </row>
        <row r="15143">
          <cell r="A15143">
            <v>8963168</v>
          </cell>
          <cell r="B15143">
            <v>111286</v>
          </cell>
          <cell r="C15143" t="str">
            <v>Huxley CofE Primary School</v>
          </cell>
          <cell r="D15143" t="str">
            <v>Cheshire West and Chester</v>
          </cell>
          <cell r="E15143" t="str">
            <v>Voluntary Controlled School</v>
          </cell>
          <cell r="F15143" t="str">
            <v>Primary</v>
          </cell>
        </row>
        <row r="15144">
          <cell r="A15144">
            <v>9284017</v>
          </cell>
          <cell r="B15144">
            <v>122053</v>
          </cell>
          <cell r="C15144" t="str">
            <v>Huxlow Science College</v>
          </cell>
          <cell r="D15144" t="str">
            <v>Northamptonshire</v>
          </cell>
          <cell r="E15144" t="str">
            <v>Community School</v>
          </cell>
          <cell r="F15144" t="str">
            <v>Secondary</v>
          </cell>
        </row>
        <row r="15145">
          <cell r="A15145">
            <v>3404612</v>
          </cell>
          <cell r="B15145">
            <v>135476</v>
          </cell>
          <cell r="C15145" t="str">
            <v>Huyton Arts &amp; Sports Centre for Learning (Community)</v>
          </cell>
          <cell r="D15145" t="str">
            <v>Knowsley</v>
          </cell>
          <cell r="E15145" t="str">
            <v>Community School</v>
          </cell>
          <cell r="F15145" t="str">
            <v>Secondary</v>
          </cell>
        </row>
        <row r="15146">
          <cell r="A15146">
            <v>3406000</v>
          </cell>
          <cell r="B15146">
            <v>127247</v>
          </cell>
          <cell r="C15146" t="str">
            <v>Huyton College</v>
          </cell>
          <cell r="D15146" t="str">
            <v>Knowsley</v>
          </cell>
          <cell r="E15146" t="str">
            <v>Other Independent School</v>
          </cell>
          <cell r="F15146" t="str">
            <v>Not applicable</v>
          </cell>
        </row>
        <row r="15147">
          <cell r="A15147">
            <v>3403303</v>
          </cell>
          <cell r="B15147">
            <v>127239</v>
          </cell>
          <cell r="C15147" t="str">
            <v>Huyton-With-Roby CofE (Aided) Infant School</v>
          </cell>
          <cell r="D15147" t="str">
            <v>Knowsley</v>
          </cell>
          <cell r="E15147" t="str">
            <v>Voluntary Aided School</v>
          </cell>
          <cell r="F15147" t="str">
            <v>Primary</v>
          </cell>
        </row>
        <row r="15148">
          <cell r="A15148">
            <v>3403302</v>
          </cell>
          <cell r="B15148">
            <v>104451</v>
          </cell>
          <cell r="C15148" t="str">
            <v>Huyton-with-Roby CofE Primary School</v>
          </cell>
          <cell r="D15148" t="str">
            <v>Knowsley</v>
          </cell>
          <cell r="E15148" t="str">
            <v>Voluntary Aided School</v>
          </cell>
          <cell r="F15148" t="str">
            <v>Primary</v>
          </cell>
        </row>
        <row r="15149">
          <cell r="A15149">
            <v>9093201</v>
          </cell>
          <cell r="B15149">
            <v>128596</v>
          </cell>
          <cell r="C15149" t="str">
            <v>Hycemoor School</v>
          </cell>
          <cell r="D15149" t="str">
            <v>Cumbria</v>
          </cell>
          <cell r="E15149" t="str">
            <v>Voluntary Controlled School</v>
          </cell>
          <cell r="F15149" t="str">
            <v>Primary</v>
          </cell>
        </row>
        <row r="15150">
          <cell r="A15150">
            <v>8503083</v>
          </cell>
          <cell r="B15150">
            <v>116294</v>
          </cell>
          <cell r="C15150" t="str">
            <v>Hyde Church of England Primary School</v>
          </cell>
          <cell r="D15150" t="str">
            <v>Hampshire</v>
          </cell>
          <cell r="E15150" t="str">
            <v>Voluntary Controlled School</v>
          </cell>
          <cell r="F15150" t="str">
            <v>Primary</v>
          </cell>
        </row>
        <row r="15151">
          <cell r="A15151">
            <v>2087140</v>
          </cell>
          <cell r="B15151">
            <v>126654</v>
          </cell>
          <cell r="C15151" t="str">
            <v>Hyde Farm School</v>
          </cell>
          <cell r="D15151" t="str">
            <v>Lambeth</v>
          </cell>
          <cell r="E15151" t="str">
            <v>Community Special School</v>
          </cell>
          <cell r="F15151" t="str">
            <v>Special</v>
          </cell>
        </row>
        <row r="15152">
          <cell r="A15152">
            <v>8252059</v>
          </cell>
          <cell r="B15152">
            <v>110237</v>
          </cell>
          <cell r="C15152" t="str">
            <v>Hyde Heath Infant School</v>
          </cell>
          <cell r="D15152" t="str">
            <v>Buckinghamshire</v>
          </cell>
          <cell r="E15152" t="str">
            <v>Community School</v>
          </cell>
          <cell r="F15152" t="str">
            <v>Primary</v>
          </cell>
        </row>
        <row r="15153">
          <cell r="A15153">
            <v>3022033</v>
          </cell>
          <cell r="B15153">
            <v>101287</v>
          </cell>
          <cell r="C15153" t="str">
            <v>Hyde Junior School</v>
          </cell>
          <cell r="D15153" t="str">
            <v>Barnet</v>
          </cell>
          <cell r="E15153" t="str">
            <v>Community School</v>
          </cell>
          <cell r="F15153" t="str">
            <v>Primary</v>
          </cell>
        </row>
        <row r="15154">
          <cell r="A15154">
            <v>8792637</v>
          </cell>
          <cell r="B15154">
            <v>113275</v>
          </cell>
          <cell r="C15154" t="str">
            <v>Hyde Park Infants' School</v>
          </cell>
          <cell r="D15154" t="str">
            <v>Plymouth</v>
          </cell>
          <cell r="E15154" t="str">
            <v>Community School</v>
          </cell>
          <cell r="F15154" t="str">
            <v>Primary</v>
          </cell>
        </row>
        <row r="15155">
          <cell r="A15155">
            <v>8792636</v>
          </cell>
          <cell r="B15155">
            <v>113274</v>
          </cell>
          <cell r="C15155" t="str">
            <v>Hyde Park Junior School</v>
          </cell>
          <cell r="D15155" t="str">
            <v>Plymouth</v>
          </cell>
          <cell r="E15155" t="str">
            <v>Community School</v>
          </cell>
          <cell r="F15155" t="str">
            <v>Primary</v>
          </cell>
        </row>
        <row r="15156">
          <cell r="A15156">
            <v>2136378</v>
          </cell>
          <cell r="B15156">
            <v>126711</v>
          </cell>
          <cell r="C15156" t="str">
            <v>Hyde Park School</v>
          </cell>
          <cell r="D15156" t="str">
            <v>Westminster</v>
          </cell>
          <cell r="E15156" t="str">
            <v>Other Independent School</v>
          </cell>
          <cell r="F15156" t="str">
            <v>Not applicable</v>
          </cell>
        </row>
        <row r="15157">
          <cell r="A15157">
            <v>3571100</v>
          </cell>
          <cell r="B15157">
            <v>106177</v>
          </cell>
          <cell r="C15157" t="str">
            <v>Hyde Pupil Referral Unit</v>
          </cell>
          <cell r="D15157" t="str">
            <v>Tameside</v>
          </cell>
          <cell r="E15157" t="str">
            <v>Pupil Referral Unit</v>
          </cell>
          <cell r="F15157" t="str">
            <v>PRU</v>
          </cell>
        </row>
        <row r="15158">
          <cell r="A15158">
            <v>3574004</v>
          </cell>
          <cell r="B15158">
            <v>127532</v>
          </cell>
          <cell r="C15158" t="str">
            <v>Hyde Sixth Form College</v>
          </cell>
          <cell r="D15158" t="str">
            <v>Tameside</v>
          </cell>
          <cell r="E15158" t="str">
            <v>Community School</v>
          </cell>
          <cell r="F15158" t="str">
            <v>Secondary</v>
          </cell>
        </row>
        <row r="15159">
          <cell r="A15159">
            <v>3574025</v>
          </cell>
          <cell r="B15159">
            <v>106268</v>
          </cell>
          <cell r="C15159" t="str">
            <v>Hyde Technology School and Hearing Impaired Resource Base</v>
          </cell>
          <cell r="D15159" t="str">
            <v>Tameside</v>
          </cell>
          <cell r="E15159" t="str">
            <v>Community School</v>
          </cell>
          <cell r="F15159" t="str">
            <v>Secondary</v>
          </cell>
        </row>
        <row r="15160">
          <cell r="A15160">
            <v>3578600</v>
          </cell>
          <cell r="B15160">
            <v>130517</v>
          </cell>
          <cell r="C15160" t="str">
            <v>Hyde-Clarendon College</v>
          </cell>
          <cell r="D15160" t="str">
            <v>Tameside</v>
          </cell>
          <cell r="E15160" t="str">
            <v>Further Education</v>
          </cell>
          <cell r="F15160" t="str">
            <v>16 Plus</v>
          </cell>
        </row>
        <row r="15161">
          <cell r="A15161">
            <v>2046383</v>
          </cell>
          <cell r="B15161">
            <v>126608</v>
          </cell>
          <cell r="C15161" t="str">
            <v>Hyderabad Islamic School</v>
          </cell>
          <cell r="D15161" t="str">
            <v>Hackney</v>
          </cell>
          <cell r="E15161" t="str">
            <v>Other Independent School</v>
          </cell>
          <cell r="F15161" t="str">
            <v>Not applicable</v>
          </cell>
        </row>
        <row r="15162">
          <cell r="A15162">
            <v>3356007</v>
          </cell>
          <cell r="B15162">
            <v>104266</v>
          </cell>
          <cell r="C15162" t="str">
            <v>Hydesville Tower School</v>
          </cell>
          <cell r="D15162" t="str">
            <v>Walsall</v>
          </cell>
          <cell r="E15162" t="str">
            <v>Other Independent School</v>
          </cell>
          <cell r="F15162" t="str">
            <v>Not applicable</v>
          </cell>
        </row>
        <row r="15163">
          <cell r="A15163">
            <v>3206052</v>
          </cell>
          <cell r="B15163">
            <v>103111</v>
          </cell>
          <cell r="C15163" t="str">
            <v>Hyland House School</v>
          </cell>
          <cell r="D15163" t="str">
            <v>Waltham Forest</v>
          </cell>
          <cell r="E15163" t="str">
            <v>Other Independent School</v>
          </cell>
          <cell r="F15163" t="str">
            <v>Not applicable</v>
          </cell>
        </row>
        <row r="15164">
          <cell r="A15164">
            <v>3112014</v>
          </cell>
          <cell r="B15164">
            <v>102276</v>
          </cell>
          <cell r="C15164" t="str">
            <v>Hylands Primary School</v>
          </cell>
          <cell r="D15164" t="str">
            <v>Havering</v>
          </cell>
          <cell r="E15164" t="str">
            <v>Community School</v>
          </cell>
          <cell r="F15164" t="str">
            <v>Primary</v>
          </cell>
        </row>
        <row r="15165">
          <cell r="A15165">
            <v>8815455</v>
          </cell>
          <cell r="B15165">
            <v>115371</v>
          </cell>
          <cell r="C15165" t="str">
            <v>Hylands School</v>
          </cell>
          <cell r="D15165" t="str">
            <v>Essex</v>
          </cell>
          <cell r="E15165" t="str">
            <v>Foundation School</v>
          </cell>
          <cell r="F15165" t="str">
            <v>Secondary</v>
          </cell>
        </row>
        <row r="15166">
          <cell r="A15166">
            <v>8815455</v>
          </cell>
          <cell r="B15166">
            <v>137072</v>
          </cell>
          <cell r="C15166" t="str">
            <v>Hylands School</v>
          </cell>
          <cell r="D15166" t="str">
            <v>Essex</v>
          </cell>
          <cell r="E15166" t="str">
            <v>Academy Converters</v>
          </cell>
          <cell r="F15166" t="str">
            <v>Secondary</v>
          </cell>
        </row>
        <row r="15167">
          <cell r="A15167">
            <v>3177005</v>
          </cell>
          <cell r="B15167">
            <v>102880</v>
          </cell>
          <cell r="C15167" t="str">
            <v>Hyleford School</v>
          </cell>
          <cell r="D15167" t="str">
            <v>Redbridge</v>
          </cell>
          <cell r="E15167" t="str">
            <v>Community Special School</v>
          </cell>
          <cell r="F15167" t="str">
            <v>Special</v>
          </cell>
        </row>
        <row r="15168">
          <cell r="A15168">
            <v>3942161</v>
          </cell>
          <cell r="B15168">
            <v>128203</v>
          </cell>
          <cell r="C15168" t="str">
            <v>Hylton Castle Infants' School</v>
          </cell>
          <cell r="D15168" t="str">
            <v>Sunderland</v>
          </cell>
          <cell r="E15168" t="str">
            <v>Community School</v>
          </cell>
          <cell r="F15168" t="str">
            <v>Primary</v>
          </cell>
        </row>
        <row r="15169">
          <cell r="A15169">
            <v>3942160</v>
          </cell>
          <cell r="B15169">
            <v>128202</v>
          </cell>
          <cell r="C15169" t="str">
            <v>Hylton Castle Junior School</v>
          </cell>
          <cell r="D15169" t="str">
            <v>Sunderland</v>
          </cell>
          <cell r="E15169" t="str">
            <v>Community School</v>
          </cell>
          <cell r="F15169" t="str">
            <v>Primary</v>
          </cell>
        </row>
        <row r="15170">
          <cell r="A15170">
            <v>3942178</v>
          </cell>
          <cell r="B15170">
            <v>108832</v>
          </cell>
          <cell r="C15170" t="str">
            <v>Hylton Castle Primary School</v>
          </cell>
          <cell r="D15170" t="str">
            <v>Sunderland</v>
          </cell>
          <cell r="E15170" t="str">
            <v>Community School</v>
          </cell>
          <cell r="F15170" t="str">
            <v>Primary</v>
          </cell>
        </row>
        <row r="15171">
          <cell r="A15171">
            <v>8786003</v>
          </cell>
          <cell r="B15171">
            <v>113564</v>
          </cell>
          <cell r="C15171" t="str">
            <v>Hylton Pre-Preparatory School</v>
          </cell>
          <cell r="D15171" t="str">
            <v>Devon</v>
          </cell>
          <cell r="E15171" t="str">
            <v>Other Independent School</v>
          </cell>
          <cell r="F15171" t="str">
            <v>Not applicable</v>
          </cell>
        </row>
        <row r="15172">
          <cell r="A15172">
            <v>3941006</v>
          </cell>
          <cell r="B15172">
            <v>108748</v>
          </cell>
          <cell r="C15172" t="str">
            <v>Hylton Red House Nursery School</v>
          </cell>
          <cell r="D15172" t="str">
            <v>Sunderland</v>
          </cell>
          <cell r="E15172" t="str">
            <v>LA Nursery School</v>
          </cell>
          <cell r="F15172" t="str">
            <v>Nursery</v>
          </cell>
        </row>
        <row r="15173">
          <cell r="A15173">
            <v>3942169</v>
          </cell>
          <cell r="B15173">
            <v>108824</v>
          </cell>
          <cell r="C15173" t="str">
            <v>Hylton Red House Primary School</v>
          </cell>
          <cell r="D15173" t="str">
            <v>Sunderland</v>
          </cell>
          <cell r="E15173" t="str">
            <v>Community School</v>
          </cell>
          <cell r="F15173" t="str">
            <v>Primary</v>
          </cell>
        </row>
        <row r="15174">
          <cell r="A15174">
            <v>3944014</v>
          </cell>
          <cell r="B15174">
            <v>108855</v>
          </cell>
          <cell r="C15174" t="str">
            <v>Hylton Red House School</v>
          </cell>
          <cell r="D15174" t="str">
            <v>Sunderland</v>
          </cell>
          <cell r="E15174" t="str">
            <v>Community School</v>
          </cell>
          <cell r="F15174" t="str">
            <v>Secondary</v>
          </cell>
        </row>
        <row r="15175">
          <cell r="A15175">
            <v>8106001</v>
          </cell>
          <cell r="B15175">
            <v>118131</v>
          </cell>
          <cell r="C15175" t="str">
            <v>Hymers College</v>
          </cell>
          <cell r="D15175" t="str">
            <v>Kingston upon Hull City of</v>
          </cell>
          <cell r="E15175" t="str">
            <v>Other Independent School</v>
          </cell>
          <cell r="F15175" t="str">
            <v>Not applicable</v>
          </cell>
        </row>
        <row r="15176">
          <cell r="A15176">
            <v>3822129</v>
          </cell>
          <cell r="B15176">
            <v>107682</v>
          </cell>
          <cell r="C15176" t="str">
            <v>Hyrstmount Junior School</v>
          </cell>
          <cell r="D15176" t="str">
            <v>Kirklees</v>
          </cell>
          <cell r="E15176" t="str">
            <v>Community School</v>
          </cell>
          <cell r="F15176" t="str">
            <v>Primary</v>
          </cell>
        </row>
        <row r="15177">
          <cell r="A15177">
            <v>8863902</v>
          </cell>
          <cell r="B15177">
            <v>131020</v>
          </cell>
          <cell r="C15177" t="str">
            <v>Hythe Bay CofE Primary School</v>
          </cell>
          <cell r="D15177" t="str">
            <v>Kent</v>
          </cell>
          <cell r="E15177" t="str">
            <v>Voluntary Controlled School</v>
          </cell>
          <cell r="F15177" t="str">
            <v>Primary</v>
          </cell>
        </row>
        <row r="15178">
          <cell r="A15178">
            <v>8862299</v>
          </cell>
          <cell r="B15178">
            <v>118386</v>
          </cell>
          <cell r="C15178" t="str">
            <v>Hythe Community School</v>
          </cell>
          <cell r="D15178" t="str">
            <v>Kent</v>
          </cell>
          <cell r="E15178" t="str">
            <v>Community School</v>
          </cell>
          <cell r="F15178" t="str">
            <v>Primary</v>
          </cell>
        </row>
        <row r="15179">
          <cell r="A15179">
            <v>8866107</v>
          </cell>
          <cell r="B15179">
            <v>134606</v>
          </cell>
          <cell r="C15179" t="str">
            <v>Hythe House Education</v>
          </cell>
          <cell r="D15179" t="str">
            <v>Kent</v>
          </cell>
          <cell r="E15179" t="str">
            <v>Other Independent Special School</v>
          </cell>
          <cell r="F15179" t="str">
            <v>Not applicable</v>
          </cell>
        </row>
        <row r="15180">
          <cell r="A15180">
            <v>8502113</v>
          </cell>
          <cell r="B15180">
            <v>115916</v>
          </cell>
          <cell r="C15180" t="str">
            <v>Hythe Primary School</v>
          </cell>
          <cell r="D15180" t="str">
            <v>Hampshire</v>
          </cell>
          <cell r="E15180" t="str">
            <v>Community School</v>
          </cell>
          <cell r="F15180" t="str">
            <v>Primary</v>
          </cell>
        </row>
        <row r="15181">
          <cell r="A15181">
            <v>9362928</v>
          </cell>
          <cell r="B15181">
            <v>125107</v>
          </cell>
          <cell r="C15181" t="str">
            <v>Hythe Primary School</v>
          </cell>
          <cell r="D15181" t="str">
            <v>Surrey</v>
          </cell>
          <cell r="E15181" t="str">
            <v>Community School</v>
          </cell>
          <cell r="F15181" t="str">
            <v>Primary</v>
          </cell>
        </row>
        <row r="15182">
          <cell r="A15182">
            <v>8863152</v>
          </cell>
          <cell r="B15182">
            <v>118677</v>
          </cell>
          <cell r="C15182" t="str">
            <v>Hythe, St Leonard's Church of England Junior School</v>
          </cell>
          <cell r="D15182" t="str">
            <v>Kent</v>
          </cell>
          <cell r="E15182" t="str">
            <v>Voluntary Controlled School</v>
          </cell>
          <cell r="F15182" t="str">
            <v>Primary</v>
          </cell>
        </row>
        <row r="15183">
          <cell r="A15183">
            <v>6812030</v>
          </cell>
          <cell r="B15183">
            <v>401574</v>
          </cell>
          <cell r="C15183" t="str">
            <v>Hywel Dda Infant School</v>
          </cell>
          <cell r="D15183" t="str">
            <v>Cardiff</v>
          </cell>
          <cell r="E15183" t="str">
            <v>Welsh Establishment</v>
          </cell>
          <cell r="F15183" t="str">
            <v>Primary</v>
          </cell>
        </row>
        <row r="15184">
          <cell r="A15184">
            <v>6812029</v>
          </cell>
          <cell r="B15184">
            <v>401573</v>
          </cell>
          <cell r="C15184" t="str">
            <v>Hywel Dda Junior School</v>
          </cell>
          <cell r="D15184" t="str">
            <v>Cardiff</v>
          </cell>
          <cell r="E15184" t="str">
            <v>Welsh Establishment</v>
          </cell>
          <cell r="F15184" t="str">
            <v>Primary</v>
          </cell>
        </row>
        <row r="15185">
          <cell r="A15185">
            <v>6812322</v>
          </cell>
          <cell r="B15185">
            <v>402194</v>
          </cell>
          <cell r="C15185" t="str">
            <v>Hywel Dda Primary School</v>
          </cell>
          <cell r="D15185" t="str">
            <v>Cardiff</v>
          </cell>
          <cell r="E15185" t="str">
            <v>Welsh Establishment</v>
          </cell>
          <cell r="F15185" t="str">
            <v>Primary</v>
          </cell>
        </row>
        <row r="15186">
          <cell r="A15186">
            <v>2117171</v>
          </cell>
          <cell r="B15186">
            <v>131598</v>
          </cell>
          <cell r="C15186" t="str">
            <v>Ian Mikardo School</v>
          </cell>
          <cell r="D15186" t="str">
            <v>Tower Hamlets</v>
          </cell>
          <cell r="E15186" t="str">
            <v>Community Special School</v>
          </cell>
          <cell r="F15186" t="str">
            <v>Special</v>
          </cell>
        </row>
        <row r="15187">
          <cell r="A15187">
            <v>8084640</v>
          </cell>
          <cell r="B15187">
            <v>111764</v>
          </cell>
          <cell r="C15187" t="str">
            <v>Ian Ramsey Church of England Aided Comprehensive School</v>
          </cell>
          <cell r="D15187" t="str">
            <v>Stockton-on-Tees</v>
          </cell>
          <cell r="E15187" t="str">
            <v>Voluntary Aided School</v>
          </cell>
          <cell r="F15187" t="str">
            <v>Secondary</v>
          </cell>
        </row>
        <row r="15188">
          <cell r="A15188">
            <v>9277021</v>
          </cell>
          <cell r="B15188">
            <v>129685</v>
          </cell>
          <cell r="C15188" t="str">
            <v>Ian Tetley Memorial School</v>
          </cell>
          <cell r="D15188" t="str">
            <v>Pre LGR (1996) North Yorkshire</v>
          </cell>
          <cell r="E15188" t="str">
            <v>Community Special School</v>
          </cell>
          <cell r="F15188" t="str">
            <v>Special</v>
          </cell>
        </row>
        <row r="15189">
          <cell r="A15189">
            <v>8554012</v>
          </cell>
          <cell r="B15189">
            <v>120242</v>
          </cell>
          <cell r="C15189" t="str">
            <v>Ibstock Community College</v>
          </cell>
          <cell r="D15189" t="str">
            <v>Leicestershire</v>
          </cell>
          <cell r="E15189" t="str">
            <v>Community School</v>
          </cell>
          <cell r="F15189" t="str">
            <v>Secondary</v>
          </cell>
        </row>
        <row r="15190">
          <cell r="A15190">
            <v>8552051</v>
          </cell>
          <cell r="B15190">
            <v>119931</v>
          </cell>
          <cell r="C15190" t="str">
            <v>Ibstock Junior School</v>
          </cell>
          <cell r="D15190" t="str">
            <v>Leicestershire</v>
          </cell>
          <cell r="E15190" t="str">
            <v>Community School</v>
          </cell>
          <cell r="F15190" t="str">
            <v>Primary</v>
          </cell>
        </row>
        <row r="15191">
          <cell r="A15191">
            <v>2126040</v>
          </cell>
          <cell r="B15191">
            <v>101064</v>
          </cell>
          <cell r="C15191" t="str">
            <v>Ibstock Place School</v>
          </cell>
          <cell r="D15191" t="str">
            <v>Wandsworth</v>
          </cell>
          <cell r="E15191" t="str">
            <v>Other Independent School</v>
          </cell>
          <cell r="F15191" t="str">
            <v>Not applicable</v>
          </cell>
        </row>
        <row r="15192">
          <cell r="A15192">
            <v>8253335</v>
          </cell>
          <cell r="B15192">
            <v>110464</v>
          </cell>
          <cell r="C15192" t="str">
            <v>Ibstone CofE Infant School</v>
          </cell>
          <cell r="D15192" t="str">
            <v>Buckinghamshire</v>
          </cell>
          <cell r="E15192" t="str">
            <v>Voluntary Aided School</v>
          </cell>
          <cell r="F15192" t="str">
            <v>Primary</v>
          </cell>
        </row>
        <row r="15193">
          <cell r="A15193">
            <v>894941</v>
          </cell>
          <cell r="B15193">
            <v>134168</v>
          </cell>
          <cell r="C15193" t="str">
            <v>Ice Zone Study Centre</v>
          </cell>
          <cell r="D15193" t="str">
            <v>Telford and Wrekin</v>
          </cell>
          <cell r="E15193" t="str">
            <v>Playing for Success Centres</v>
          </cell>
          <cell r="F15193" t="str">
            <v>Not applicable</v>
          </cell>
        </row>
        <row r="15194">
          <cell r="A15194">
            <v>2047171</v>
          </cell>
          <cell r="B15194">
            <v>100312</v>
          </cell>
          <cell r="C15194" t="str">
            <v>Ickburgh School</v>
          </cell>
          <cell r="D15194" t="str">
            <v>Hackney</v>
          </cell>
          <cell r="E15194" t="str">
            <v>Community Special School</v>
          </cell>
          <cell r="F15194" t="str">
            <v>Special</v>
          </cell>
        </row>
        <row r="15195">
          <cell r="A15195">
            <v>8252060</v>
          </cell>
          <cell r="B15195">
            <v>110238</v>
          </cell>
          <cell r="C15195" t="str">
            <v>Ickford Combined School</v>
          </cell>
          <cell r="D15195" t="str">
            <v>Buckinghamshire</v>
          </cell>
          <cell r="E15195" t="str">
            <v>Community School</v>
          </cell>
          <cell r="F15195" t="str">
            <v>Primary</v>
          </cell>
        </row>
        <row r="15196">
          <cell r="A15196">
            <v>9193030</v>
          </cell>
          <cell r="B15196">
            <v>117401</v>
          </cell>
          <cell r="C15196" t="str">
            <v>Ickleford Primary School</v>
          </cell>
          <cell r="D15196" t="str">
            <v>Hertfordshire</v>
          </cell>
          <cell r="E15196" t="str">
            <v>Voluntary Controlled School</v>
          </cell>
          <cell r="F15196" t="str">
            <v>Primary</v>
          </cell>
        </row>
        <row r="15197">
          <cell r="A15197">
            <v>8453072</v>
          </cell>
          <cell r="B15197">
            <v>114527</v>
          </cell>
          <cell r="C15197" t="str">
            <v>Icklesham Church of England Primary School</v>
          </cell>
          <cell r="D15197" t="str">
            <v>East Sussex</v>
          </cell>
          <cell r="E15197" t="str">
            <v>Voluntary Controlled School</v>
          </cell>
          <cell r="F15197" t="str">
            <v>Primary</v>
          </cell>
        </row>
        <row r="15198">
          <cell r="A15198">
            <v>9353304</v>
          </cell>
          <cell r="B15198">
            <v>129986</v>
          </cell>
          <cell r="C15198" t="str">
            <v>Icklingham CofE Primary School</v>
          </cell>
          <cell r="D15198" t="str">
            <v>Suffolk</v>
          </cell>
          <cell r="E15198" t="str">
            <v>Voluntary Aided School</v>
          </cell>
          <cell r="F15198" t="str">
            <v>Primary</v>
          </cell>
        </row>
        <row r="15199">
          <cell r="A15199">
            <v>9314082</v>
          </cell>
          <cell r="B15199">
            <v>123244</v>
          </cell>
          <cell r="C15199" t="str">
            <v>Icknield Community College</v>
          </cell>
          <cell r="D15199" t="str">
            <v>Oxfordshire</v>
          </cell>
          <cell r="E15199" t="str">
            <v>Community School</v>
          </cell>
          <cell r="F15199" t="str">
            <v>Secondary</v>
          </cell>
        </row>
        <row r="15200">
          <cell r="A15200">
            <v>8215407</v>
          </cell>
          <cell r="B15200">
            <v>109711</v>
          </cell>
          <cell r="C15200" t="str">
            <v>Icknield High School</v>
          </cell>
          <cell r="D15200" t="str">
            <v>Luton</v>
          </cell>
          <cell r="E15200" t="str">
            <v>Foundation School</v>
          </cell>
          <cell r="F15200" t="str">
            <v>Secondary</v>
          </cell>
        </row>
        <row r="15201">
          <cell r="A15201">
            <v>8215407</v>
          </cell>
          <cell r="B15201">
            <v>137679</v>
          </cell>
          <cell r="C15201" t="str">
            <v>Icknield High School</v>
          </cell>
          <cell r="D15201" t="str">
            <v>Luton</v>
          </cell>
          <cell r="E15201" t="str">
            <v>Academy Converters</v>
          </cell>
          <cell r="F15201" t="str">
            <v>Secondary</v>
          </cell>
        </row>
        <row r="15202">
          <cell r="A15202">
            <v>9192165</v>
          </cell>
          <cell r="B15202">
            <v>117186</v>
          </cell>
          <cell r="C15202" t="str">
            <v>Icknield Infant and Nursery School</v>
          </cell>
          <cell r="D15202" t="str">
            <v>Hertfordshire</v>
          </cell>
          <cell r="E15202" t="str">
            <v>Community School</v>
          </cell>
          <cell r="F15202" t="str">
            <v>Primary</v>
          </cell>
        </row>
        <row r="15203">
          <cell r="A15203">
            <v>8252161</v>
          </cell>
          <cell r="B15203">
            <v>110275</v>
          </cell>
          <cell r="C15203" t="str">
            <v>Icknield Junior School</v>
          </cell>
          <cell r="D15203" t="str">
            <v>Buckinghamshire</v>
          </cell>
          <cell r="E15203" t="str">
            <v>Community School</v>
          </cell>
          <cell r="F15203" t="str">
            <v>Primary</v>
          </cell>
        </row>
        <row r="15204">
          <cell r="A15204">
            <v>8212234</v>
          </cell>
          <cell r="B15204">
            <v>109543</v>
          </cell>
          <cell r="C15204" t="str">
            <v>Icknield Primary School</v>
          </cell>
          <cell r="D15204" t="str">
            <v>Luton</v>
          </cell>
          <cell r="E15204" t="str">
            <v>Community School</v>
          </cell>
          <cell r="F15204" t="str">
            <v>Primary</v>
          </cell>
        </row>
        <row r="15205">
          <cell r="A15205">
            <v>8212272</v>
          </cell>
          <cell r="B15205">
            <v>109579</v>
          </cell>
          <cell r="C15205" t="str">
            <v>Icknield Primary School</v>
          </cell>
          <cell r="D15205" t="str">
            <v>Luton</v>
          </cell>
          <cell r="E15205" t="str">
            <v>Community School</v>
          </cell>
          <cell r="F15205" t="str">
            <v>Primary</v>
          </cell>
        </row>
        <row r="15206">
          <cell r="A15206">
            <v>8507020</v>
          </cell>
          <cell r="B15206">
            <v>116609</v>
          </cell>
          <cell r="C15206" t="str">
            <v>Icknield School</v>
          </cell>
          <cell r="D15206" t="str">
            <v>Hampshire</v>
          </cell>
          <cell r="E15206" t="str">
            <v>Community Special School</v>
          </cell>
          <cell r="F15206" t="str">
            <v>Special</v>
          </cell>
        </row>
        <row r="15207">
          <cell r="A15207">
            <v>9192331</v>
          </cell>
          <cell r="B15207">
            <v>117278</v>
          </cell>
          <cell r="C15207" t="str">
            <v>Icknield Walk First School</v>
          </cell>
          <cell r="D15207" t="str">
            <v>Hertfordshire</v>
          </cell>
          <cell r="E15207" t="str">
            <v>Community School</v>
          </cell>
          <cell r="F15207" t="str">
            <v>Primary</v>
          </cell>
        </row>
        <row r="15208">
          <cell r="A15208">
            <v>9352921</v>
          </cell>
          <cell r="B15208">
            <v>124678</v>
          </cell>
          <cell r="C15208" t="str">
            <v>Ickworth Park Primary School</v>
          </cell>
          <cell r="D15208" t="str">
            <v>Suffolk</v>
          </cell>
          <cell r="E15208" t="str">
            <v>Community School</v>
          </cell>
          <cell r="F15208" t="str">
            <v>Primary</v>
          </cell>
        </row>
        <row r="15209">
          <cell r="A15209">
            <v>8863318</v>
          </cell>
          <cell r="B15209">
            <v>118722</v>
          </cell>
          <cell r="C15209" t="str">
            <v>Ide Hill Church of England Primary School</v>
          </cell>
          <cell r="D15209" t="str">
            <v>Kent</v>
          </cell>
          <cell r="E15209" t="str">
            <v>Voluntary Aided School</v>
          </cell>
          <cell r="F15209" t="str">
            <v>Primary</v>
          </cell>
        </row>
        <row r="15210">
          <cell r="A15210">
            <v>8782087</v>
          </cell>
          <cell r="B15210">
            <v>113122</v>
          </cell>
          <cell r="C15210" t="str">
            <v>Ide Primary School</v>
          </cell>
          <cell r="D15210" t="str">
            <v>Devon</v>
          </cell>
          <cell r="E15210" t="str">
            <v>Community School</v>
          </cell>
          <cell r="F15210" t="str">
            <v>Primary</v>
          </cell>
        </row>
        <row r="15211">
          <cell r="A15211">
            <v>3803304</v>
          </cell>
          <cell r="B15211">
            <v>107320</v>
          </cell>
          <cell r="C15211" t="str">
            <v>Idle CofE Primary School</v>
          </cell>
          <cell r="D15211" t="str">
            <v>Bradford</v>
          </cell>
          <cell r="E15211" t="str">
            <v>Voluntary Aided School</v>
          </cell>
          <cell r="F15211" t="str">
            <v>Primary</v>
          </cell>
        </row>
        <row r="15212">
          <cell r="A15212">
            <v>9103057</v>
          </cell>
          <cell r="B15212">
            <v>128626</v>
          </cell>
          <cell r="C15212" t="str">
            <v>Idridgehay Parochial Primary School</v>
          </cell>
          <cell r="D15212" t="str">
            <v>Pre LGR (1997) Derbyshire</v>
          </cell>
          <cell r="E15212" t="str">
            <v>Voluntary Controlled School</v>
          </cell>
          <cell r="F15212" t="str">
            <v>Primary</v>
          </cell>
        </row>
        <row r="15213">
          <cell r="A15213">
            <v>8934394</v>
          </cell>
          <cell r="B15213">
            <v>123568</v>
          </cell>
          <cell r="C15213" t="str">
            <v>Idsall School</v>
          </cell>
          <cell r="D15213" t="str">
            <v>Shropshire</v>
          </cell>
          <cell r="E15213" t="str">
            <v>Community School</v>
          </cell>
          <cell r="F15213" t="str">
            <v>Secondary</v>
          </cell>
        </row>
        <row r="15214">
          <cell r="A15214">
            <v>9317018</v>
          </cell>
          <cell r="B15214">
            <v>123338</v>
          </cell>
          <cell r="C15214" t="str">
            <v>Iffley Mead School</v>
          </cell>
          <cell r="D15214" t="str">
            <v>Oxfordshire</v>
          </cell>
          <cell r="E15214" t="str">
            <v>Community Special School</v>
          </cell>
          <cell r="F15214" t="str">
            <v>Special</v>
          </cell>
        </row>
        <row r="15215">
          <cell r="A15215">
            <v>9384030</v>
          </cell>
          <cell r="B15215">
            <v>126071</v>
          </cell>
          <cell r="C15215" t="str">
            <v>Ifield Community College</v>
          </cell>
          <cell r="D15215" t="str">
            <v>West Sussex</v>
          </cell>
          <cell r="E15215" t="str">
            <v>Community School</v>
          </cell>
          <cell r="F15215" t="str">
            <v>Secondary</v>
          </cell>
        </row>
        <row r="15216">
          <cell r="A15216">
            <v>9382120</v>
          </cell>
          <cell r="B15216">
            <v>125882</v>
          </cell>
          <cell r="C15216" t="str">
            <v>Ifield First School</v>
          </cell>
          <cell r="D15216" t="str">
            <v>West Sussex</v>
          </cell>
          <cell r="E15216" t="str">
            <v>Community School</v>
          </cell>
          <cell r="F15216" t="str">
            <v>Primary</v>
          </cell>
        </row>
        <row r="15217">
          <cell r="A15217">
            <v>9382090</v>
          </cell>
          <cell r="B15217">
            <v>125867</v>
          </cell>
          <cell r="C15217" t="str">
            <v>Ifield Middle School, Crawley</v>
          </cell>
          <cell r="D15217" t="str">
            <v>West Sussex</v>
          </cell>
          <cell r="E15217" t="str">
            <v>Community School</v>
          </cell>
          <cell r="F15217" t="str">
            <v>Middle Deemed Primary</v>
          </cell>
        </row>
        <row r="15218">
          <cell r="A15218">
            <v>8867039</v>
          </cell>
          <cell r="B15218">
            <v>119040</v>
          </cell>
          <cell r="C15218" t="str">
            <v>Ifield School</v>
          </cell>
          <cell r="D15218" t="str">
            <v>Kent</v>
          </cell>
          <cell r="E15218" t="str">
            <v>Community Special School</v>
          </cell>
          <cell r="F15218" t="str">
            <v>Special</v>
          </cell>
        </row>
        <row r="15219">
          <cell r="A15219">
            <v>8453077</v>
          </cell>
          <cell r="B15219">
            <v>114530</v>
          </cell>
          <cell r="C15219" t="str">
            <v>Iford and Kingston Church of England Primary School</v>
          </cell>
          <cell r="D15219" t="str">
            <v>East Sussex</v>
          </cell>
          <cell r="E15219" t="str">
            <v>Voluntary Controlled School</v>
          </cell>
          <cell r="F15219" t="str">
            <v>Primary</v>
          </cell>
        </row>
        <row r="15220">
          <cell r="A15220">
            <v>8932056</v>
          </cell>
          <cell r="B15220">
            <v>123374</v>
          </cell>
          <cell r="C15220" t="str">
            <v>Ifton Heath Primary School</v>
          </cell>
          <cell r="D15220" t="str">
            <v>Shropshire</v>
          </cell>
          <cell r="E15220" t="str">
            <v>Community School</v>
          </cell>
          <cell r="F15220" t="str">
            <v>Primary</v>
          </cell>
        </row>
        <row r="15221">
          <cell r="A15221">
            <v>8881008</v>
          </cell>
          <cell r="B15221">
            <v>119071</v>
          </cell>
          <cell r="C15221" t="str">
            <v>Ightenhill Nursery School</v>
          </cell>
          <cell r="D15221" t="str">
            <v>Lancashire</v>
          </cell>
          <cell r="E15221" t="str">
            <v>LA Nursery School</v>
          </cell>
          <cell r="F15221" t="str">
            <v>Nursery</v>
          </cell>
        </row>
        <row r="15222">
          <cell r="A15222">
            <v>9323053</v>
          </cell>
          <cell r="B15222">
            <v>129798</v>
          </cell>
          <cell r="C15222" t="str">
            <v>Ightfield CofE School</v>
          </cell>
          <cell r="D15222" t="str">
            <v>Pre LGR (1998) Shropshire</v>
          </cell>
          <cell r="E15222" t="str">
            <v>Voluntary Controlled School</v>
          </cell>
          <cell r="F15222" t="str">
            <v>Primary</v>
          </cell>
        </row>
        <row r="15223">
          <cell r="A15223">
            <v>8862167</v>
          </cell>
          <cell r="B15223">
            <v>118293</v>
          </cell>
          <cell r="C15223" t="str">
            <v>Ightham Primary School</v>
          </cell>
          <cell r="D15223" t="str">
            <v>Kent</v>
          </cell>
          <cell r="E15223" t="str">
            <v>Community School</v>
          </cell>
          <cell r="F15223" t="str">
            <v>Primary</v>
          </cell>
        </row>
        <row r="15224">
          <cell r="A15224">
            <v>8603438</v>
          </cell>
          <cell r="B15224">
            <v>124337</v>
          </cell>
          <cell r="C15224" t="str">
            <v>Ilam CofE (VA) Primary School</v>
          </cell>
          <cell r="D15224" t="str">
            <v>Staffordshire</v>
          </cell>
          <cell r="E15224" t="str">
            <v>Voluntary Aided School</v>
          </cell>
          <cell r="F15224" t="str">
            <v>Primary</v>
          </cell>
        </row>
        <row r="15225">
          <cell r="A15225">
            <v>9332327</v>
          </cell>
          <cell r="B15225">
            <v>123735</v>
          </cell>
          <cell r="C15225" t="str">
            <v>Ilchester Community School</v>
          </cell>
          <cell r="D15225" t="str">
            <v>Somerset</v>
          </cell>
          <cell r="E15225" t="str">
            <v>Community School</v>
          </cell>
          <cell r="F15225" t="str">
            <v>Primary</v>
          </cell>
        </row>
        <row r="15226">
          <cell r="A15226">
            <v>2102323</v>
          </cell>
          <cell r="B15226">
            <v>100795</v>
          </cell>
          <cell r="C15226" t="str">
            <v>Ilderton Primary School</v>
          </cell>
          <cell r="D15226" t="str">
            <v>Southwark</v>
          </cell>
          <cell r="E15226" t="str">
            <v>Community School</v>
          </cell>
          <cell r="F15226" t="str">
            <v>Primary</v>
          </cell>
        </row>
        <row r="15227">
          <cell r="A15227">
            <v>3174007</v>
          </cell>
          <cell r="B15227">
            <v>102850</v>
          </cell>
          <cell r="C15227" t="str">
            <v>Ilford County High School</v>
          </cell>
          <cell r="D15227" t="str">
            <v>Redbridge</v>
          </cell>
          <cell r="E15227" t="str">
            <v>Community School</v>
          </cell>
          <cell r="F15227" t="str">
            <v>Secondary</v>
          </cell>
        </row>
        <row r="15228">
          <cell r="A15228">
            <v>3176066</v>
          </cell>
          <cell r="B15228">
            <v>102876</v>
          </cell>
          <cell r="C15228" t="str">
            <v>Ilford Grammar School</v>
          </cell>
          <cell r="D15228" t="str">
            <v>Redbridge</v>
          </cell>
          <cell r="E15228" t="str">
            <v>Other Independent School</v>
          </cell>
          <cell r="F15228" t="str">
            <v>Not applicable</v>
          </cell>
        </row>
        <row r="15229">
          <cell r="A15229">
            <v>3173509</v>
          </cell>
          <cell r="B15229">
            <v>102847</v>
          </cell>
          <cell r="C15229" t="str">
            <v>Ilford Jewish Primary School</v>
          </cell>
          <cell r="D15229" t="str">
            <v>Redbridge</v>
          </cell>
          <cell r="E15229" t="str">
            <v>Voluntary Aided School</v>
          </cell>
          <cell r="F15229" t="str">
            <v>Primary</v>
          </cell>
        </row>
        <row r="15230">
          <cell r="A15230">
            <v>3174605</v>
          </cell>
          <cell r="B15230">
            <v>132106</v>
          </cell>
          <cell r="C15230" t="str">
            <v>Ilford Ursuline High School</v>
          </cell>
          <cell r="D15230" t="str">
            <v>Redbridge</v>
          </cell>
          <cell r="E15230" t="str">
            <v>Voluntary Aided School</v>
          </cell>
          <cell r="F15230" t="str">
            <v>Secondary</v>
          </cell>
        </row>
        <row r="15231">
          <cell r="A15231">
            <v>3174605</v>
          </cell>
          <cell r="B15231">
            <v>137418</v>
          </cell>
          <cell r="C15231" t="str">
            <v>Ilford Ursuline High School</v>
          </cell>
          <cell r="D15231" t="str">
            <v>Redbridge</v>
          </cell>
          <cell r="E15231" t="str">
            <v>Academy Converters</v>
          </cell>
          <cell r="F15231" t="str">
            <v>Secondary</v>
          </cell>
        </row>
        <row r="15232">
          <cell r="A15232">
            <v>3176062</v>
          </cell>
          <cell r="B15232">
            <v>102874</v>
          </cell>
          <cell r="C15232" t="str">
            <v>Ilford Ursuline Preparatory School</v>
          </cell>
          <cell r="D15232" t="str">
            <v>Redbridge</v>
          </cell>
          <cell r="E15232" t="str">
            <v>Other Independent School</v>
          </cell>
          <cell r="F15232" t="str">
            <v>Not applicable</v>
          </cell>
        </row>
        <row r="15233">
          <cell r="A15233">
            <v>8784058</v>
          </cell>
          <cell r="B15233">
            <v>113513</v>
          </cell>
          <cell r="C15233" t="str">
            <v>Ilfracombe Arts College</v>
          </cell>
          <cell r="D15233" t="str">
            <v>Devon</v>
          </cell>
          <cell r="E15233" t="str">
            <v>Community School</v>
          </cell>
          <cell r="F15233" t="str">
            <v>Secondary</v>
          </cell>
        </row>
        <row r="15234">
          <cell r="A15234">
            <v>8783065</v>
          </cell>
          <cell r="B15234">
            <v>113381</v>
          </cell>
          <cell r="C15234" t="str">
            <v>Ilfracombe Church of England Junior School</v>
          </cell>
          <cell r="D15234" t="str">
            <v>Devon</v>
          </cell>
          <cell r="E15234" t="str">
            <v>Voluntary Controlled School</v>
          </cell>
          <cell r="F15234" t="str">
            <v>Primary</v>
          </cell>
        </row>
        <row r="15235">
          <cell r="A15235">
            <v>8782232</v>
          </cell>
          <cell r="B15235">
            <v>113155</v>
          </cell>
          <cell r="C15235" t="str">
            <v>Ilfracombe Infant and Nursery School</v>
          </cell>
          <cell r="D15235" t="str">
            <v>Devon</v>
          </cell>
          <cell r="E15235" t="str">
            <v>Community School</v>
          </cell>
          <cell r="F15235" t="str">
            <v>Primary</v>
          </cell>
        </row>
        <row r="15236">
          <cell r="A15236">
            <v>8304167</v>
          </cell>
          <cell r="B15236">
            <v>112945</v>
          </cell>
          <cell r="C15236" t="str">
            <v>Ilkeston School: Specialist Arts College</v>
          </cell>
          <cell r="D15236" t="str">
            <v>Derbyshire</v>
          </cell>
          <cell r="E15236" t="str">
            <v>Community School</v>
          </cell>
          <cell r="F15236" t="str">
            <v>Secondary</v>
          </cell>
        </row>
        <row r="15237">
          <cell r="A15237">
            <v>9352088</v>
          </cell>
          <cell r="B15237">
            <v>124592</v>
          </cell>
          <cell r="C15237" t="str">
            <v>Ilketshall St Lawrence School</v>
          </cell>
          <cell r="D15237" t="str">
            <v>Suffolk</v>
          </cell>
          <cell r="E15237" t="str">
            <v>Community School</v>
          </cell>
          <cell r="F15237" t="str">
            <v>Primary</v>
          </cell>
        </row>
        <row r="15238">
          <cell r="A15238">
            <v>3804502</v>
          </cell>
          <cell r="B15238">
            <v>107421</v>
          </cell>
          <cell r="C15238" t="str">
            <v>Ilkley Grammar School</v>
          </cell>
          <cell r="D15238" t="str">
            <v>Bradford</v>
          </cell>
          <cell r="E15238" t="str">
            <v>Voluntary Controlled School</v>
          </cell>
          <cell r="F15238" t="str">
            <v>Secondary</v>
          </cell>
        </row>
        <row r="15239">
          <cell r="A15239">
            <v>3804502</v>
          </cell>
          <cell r="B15239">
            <v>136905</v>
          </cell>
          <cell r="C15239" t="str">
            <v>Ilkley Grammar School</v>
          </cell>
          <cell r="D15239" t="str">
            <v>Bradford</v>
          </cell>
          <cell r="E15239" t="str">
            <v>Academy Converters</v>
          </cell>
          <cell r="F15239" t="str">
            <v>Secondary</v>
          </cell>
        </row>
        <row r="15240">
          <cell r="A15240">
            <v>3804082</v>
          </cell>
          <cell r="B15240">
            <v>107401</v>
          </cell>
          <cell r="C15240" t="str">
            <v>Ilkley Middle School</v>
          </cell>
          <cell r="D15240" t="str">
            <v>Bradford</v>
          </cell>
          <cell r="E15240" t="str">
            <v>Community School</v>
          </cell>
          <cell r="F15240" t="str">
            <v>Middle Deemed Secondary</v>
          </cell>
        </row>
        <row r="15241">
          <cell r="A15241">
            <v>9082240</v>
          </cell>
          <cell r="B15241">
            <v>111857</v>
          </cell>
          <cell r="C15241" t="str">
            <v>Illogan School</v>
          </cell>
          <cell r="D15241" t="str">
            <v>Cornwall</v>
          </cell>
          <cell r="E15241" t="str">
            <v>Community School</v>
          </cell>
          <cell r="F15241" t="str">
            <v>Primary</v>
          </cell>
        </row>
        <row r="15242">
          <cell r="A15242">
            <v>9373035</v>
          </cell>
          <cell r="B15242">
            <v>125637</v>
          </cell>
          <cell r="C15242" t="str">
            <v>Ilmington CofE Primary School</v>
          </cell>
          <cell r="D15242" t="str">
            <v>Warwickshire</v>
          </cell>
          <cell r="E15242" t="str">
            <v>Voluntary Controlled School</v>
          </cell>
          <cell r="F15242" t="str">
            <v>Primary</v>
          </cell>
        </row>
        <row r="15243">
          <cell r="A15243">
            <v>8012029</v>
          </cell>
          <cell r="B15243">
            <v>137700</v>
          </cell>
          <cell r="C15243" t="str">
            <v>Ilminster Avenue E-ACT Academy</v>
          </cell>
          <cell r="D15243" t="str">
            <v>Bristol City of</v>
          </cell>
          <cell r="E15243" t="str">
            <v>Academy Sponsor Led</v>
          </cell>
          <cell r="F15243" t="str">
            <v>Primary</v>
          </cell>
        </row>
        <row r="15244">
          <cell r="A15244">
            <v>8012046</v>
          </cell>
          <cell r="B15244">
            <v>108939</v>
          </cell>
          <cell r="C15244" t="str">
            <v>Ilminster Avenue Infant School</v>
          </cell>
          <cell r="D15244" t="str">
            <v>Bristol City of</v>
          </cell>
          <cell r="E15244" t="str">
            <v>Community School</v>
          </cell>
          <cell r="F15244" t="str">
            <v>Primary</v>
          </cell>
        </row>
        <row r="15245">
          <cell r="A15245">
            <v>8012045</v>
          </cell>
          <cell r="B15245">
            <v>108938</v>
          </cell>
          <cell r="C15245" t="str">
            <v>Ilminster Avenue Junior School</v>
          </cell>
          <cell r="D15245" t="str">
            <v>Bristol City of</v>
          </cell>
          <cell r="E15245" t="str">
            <v>Community School</v>
          </cell>
          <cell r="F15245" t="str">
            <v>Primary</v>
          </cell>
        </row>
        <row r="15246">
          <cell r="A15246">
            <v>8012026</v>
          </cell>
          <cell r="B15246">
            <v>131794</v>
          </cell>
          <cell r="C15246" t="str">
            <v>Ilminster Avenue Primary School</v>
          </cell>
          <cell r="D15246" t="str">
            <v>Bristol City of</v>
          </cell>
          <cell r="E15246" t="str">
            <v>Community School</v>
          </cell>
          <cell r="F15246" t="str">
            <v>Primary</v>
          </cell>
        </row>
        <row r="15247">
          <cell r="A15247">
            <v>8011005</v>
          </cell>
          <cell r="B15247">
            <v>108896</v>
          </cell>
          <cell r="C15247" t="str">
            <v>Ilminster Avenue Specialist Nursery School</v>
          </cell>
          <cell r="D15247" t="str">
            <v>Bristol City of</v>
          </cell>
          <cell r="E15247" t="str">
            <v>LA Nursery School</v>
          </cell>
          <cell r="F15247" t="str">
            <v>Nursery</v>
          </cell>
        </row>
        <row r="15248">
          <cell r="A15248">
            <v>8803119</v>
          </cell>
          <cell r="B15248">
            <v>137304</v>
          </cell>
          <cell r="C15248" t="str">
            <v>Ilsham Church of England Academy</v>
          </cell>
          <cell r="D15248" t="str">
            <v>Torbay</v>
          </cell>
          <cell r="E15248" t="str">
            <v>Academy Converters</v>
          </cell>
          <cell r="F15248" t="str">
            <v>Primary</v>
          </cell>
        </row>
        <row r="15249">
          <cell r="A15249">
            <v>8803119</v>
          </cell>
          <cell r="B15249">
            <v>113401</v>
          </cell>
          <cell r="C15249" t="str">
            <v>Ilsham Church of England Primary School</v>
          </cell>
          <cell r="D15249" t="str">
            <v>Torbay</v>
          </cell>
          <cell r="E15249" t="str">
            <v>Voluntary Controlled School</v>
          </cell>
          <cell r="F15249" t="str">
            <v>Primary</v>
          </cell>
        </row>
        <row r="15250">
          <cell r="A15250">
            <v>8783110</v>
          </cell>
          <cell r="B15250">
            <v>113396</v>
          </cell>
          <cell r="C15250" t="str">
            <v>Ilsington Church of England Primary School</v>
          </cell>
          <cell r="D15250" t="str">
            <v>Devon</v>
          </cell>
          <cell r="E15250" t="str">
            <v>Voluntary Controlled School</v>
          </cell>
          <cell r="F15250" t="str">
            <v>Primary</v>
          </cell>
        </row>
        <row r="15251">
          <cell r="A15251">
            <v>8783110</v>
          </cell>
          <cell r="B15251">
            <v>136919</v>
          </cell>
          <cell r="C15251" t="str">
            <v>Ilsington Church of England Primary School</v>
          </cell>
          <cell r="D15251" t="str">
            <v>Devon</v>
          </cell>
          <cell r="E15251" t="str">
            <v>Academy Converters</v>
          </cell>
          <cell r="F15251" t="str">
            <v>Primary</v>
          </cell>
        </row>
        <row r="15252">
          <cell r="A15252">
            <v>9332036</v>
          </cell>
          <cell r="B15252">
            <v>123649</v>
          </cell>
          <cell r="C15252" t="str">
            <v>Ilton First School</v>
          </cell>
          <cell r="D15252" t="str">
            <v>Somerset</v>
          </cell>
          <cell r="E15252" t="str">
            <v>Community School</v>
          </cell>
          <cell r="F15252" t="str">
            <v>Primary</v>
          </cell>
        </row>
        <row r="15253">
          <cell r="A15253">
            <v>8886047</v>
          </cell>
          <cell r="B15253">
            <v>132738</v>
          </cell>
          <cell r="C15253" t="str">
            <v>Imam Muhammad Zakariya School</v>
          </cell>
          <cell r="D15253" t="str">
            <v>Lancashire</v>
          </cell>
          <cell r="E15253" t="str">
            <v>Other Independent School</v>
          </cell>
          <cell r="F15253" t="str">
            <v>Not applicable</v>
          </cell>
        </row>
        <row r="15254">
          <cell r="A15254">
            <v>3166063</v>
          </cell>
          <cell r="B15254">
            <v>134577</v>
          </cell>
          <cell r="C15254" t="str">
            <v>Imam Zakariya Academy</v>
          </cell>
          <cell r="D15254" t="str">
            <v>Newham</v>
          </cell>
          <cell r="E15254" t="str">
            <v>Other Independent School</v>
          </cell>
          <cell r="F15254" t="str">
            <v>Not applicable</v>
          </cell>
        </row>
        <row r="15255">
          <cell r="A15255">
            <v>8966028</v>
          </cell>
          <cell r="B15255">
            <v>131792</v>
          </cell>
          <cell r="C15255" t="str">
            <v>iMap Centre</v>
          </cell>
          <cell r="D15255" t="str">
            <v>Cheshire West and Chester</v>
          </cell>
          <cell r="E15255" t="str">
            <v>Other Independent Special School</v>
          </cell>
          <cell r="F15255" t="str">
            <v>Not applicable</v>
          </cell>
        </row>
        <row r="15256">
          <cell r="A15256">
            <v>9384106</v>
          </cell>
          <cell r="B15256">
            <v>126088</v>
          </cell>
          <cell r="C15256" t="str">
            <v>Imberhorne School</v>
          </cell>
          <cell r="D15256" t="str">
            <v>West Sussex</v>
          </cell>
          <cell r="E15256" t="str">
            <v>Community School</v>
          </cell>
          <cell r="F15256" t="str">
            <v>Secondary</v>
          </cell>
        </row>
        <row r="15257">
          <cell r="A15257">
            <v>8303503</v>
          </cell>
          <cell r="B15257">
            <v>112899</v>
          </cell>
          <cell r="C15257" t="str">
            <v>Immaculate Conception Catholic Primary</v>
          </cell>
          <cell r="D15257" t="str">
            <v>Derbyshire</v>
          </cell>
          <cell r="E15257" t="str">
            <v>Voluntary Aided School</v>
          </cell>
          <cell r="F15257" t="str">
            <v>Primary</v>
          </cell>
        </row>
        <row r="15258">
          <cell r="A15258">
            <v>3833381</v>
          </cell>
          <cell r="B15258">
            <v>108035</v>
          </cell>
          <cell r="C15258" t="str">
            <v>Immaculate Heart of Mary Catholic Primary School</v>
          </cell>
          <cell r="D15258" t="str">
            <v>Leeds</v>
          </cell>
          <cell r="E15258" t="str">
            <v>Voluntary Aided School</v>
          </cell>
          <cell r="F15258" t="str">
            <v>Primary</v>
          </cell>
        </row>
        <row r="15259">
          <cell r="A15259">
            <v>2085205</v>
          </cell>
          <cell r="B15259">
            <v>100633</v>
          </cell>
          <cell r="C15259" t="str">
            <v>Immanuel and St Andrew Church of England Primary School</v>
          </cell>
          <cell r="D15259" t="str">
            <v>Lambeth</v>
          </cell>
          <cell r="E15259" t="str">
            <v>Voluntary Aided School</v>
          </cell>
          <cell r="F15259" t="str">
            <v>Primary</v>
          </cell>
        </row>
        <row r="15260">
          <cell r="A15260">
            <v>9196231</v>
          </cell>
          <cell r="B15260">
            <v>117657</v>
          </cell>
          <cell r="C15260" t="str">
            <v>Immanuel College</v>
          </cell>
          <cell r="D15260" t="str">
            <v>Hertfordshire</v>
          </cell>
          <cell r="E15260" t="str">
            <v>Other Independent School</v>
          </cell>
          <cell r="F15260" t="str">
            <v>Not applicable</v>
          </cell>
        </row>
        <row r="15261">
          <cell r="A15261">
            <v>3804616</v>
          </cell>
          <cell r="B15261">
            <v>132219</v>
          </cell>
          <cell r="C15261" t="str">
            <v>Immanuel College</v>
          </cell>
          <cell r="D15261" t="str">
            <v>Bradford</v>
          </cell>
          <cell r="E15261" t="str">
            <v>Voluntary Aided School</v>
          </cell>
          <cell r="F15261" t="str">
            <v>Secondary</v>
          </cell>
        </row>
        <row r="15262">
          <cell r="A15262">
            <v>3116058</v>
          </cell>
          <cell r="B15262">
            <v>102359</v>
          </cell>
          <cell r="C15262" t="str">
            <v>Immanuel School</v>
          </cell>
          <cell r="D15262" t="str">
            <v>Havering</v>
          </cell>
          <cell r="E15262" t="str">
            <v>Other Independent School</v>
          </cell>
          <cell r="F15262" t="str">
            <v>Not applicable</v>
          </cell>
        </row>
        <row r="15263">
          <cell r="A15263">
            <v>3116060</v>
          </cell>
          <cell r="B15263">
            <v>102360</v>
          </cell>
          <cell r="C15263" t="str">
            <v>Immanuel School</v>
          </cell>
          <cell r="D15263" t="str">
            <v>Havering</v>
          </cell>
          <cell r="E15263" t="str">
            <v>Other Independent School</v>
          </cell>
          <cell r="F15263" t="str">
            <v>Not applicable</v>
          </cell>
        </row>
        <row r="15264">
          <cell r="A15264">
            <v>9326094</v>
          </cell>
          <cell r="B15264">
            <v>129829</v>
          </cell>
          <cell r="C15264" t="str">
            <v>Immanuel School</v>
          </cell>
          <cell r="D15264" t="str">
            <v>Pre LGR (1998) Shropshire</v>
          </cell>
          <cell r="E15264" t="str">
            <v>Other Independent School</v>
          </cell>
          <cell r="F15264" t="str">
            <v>Not applicable</v>
          </cell>
        </row>
        <row r="15265">
          <cell r="A15265">
            <v>8796006</v>
          </cell>
          <cell r="B15265">
            <v>131075</v>
          </cell>
          <cell r="C15265" t="str">
            <v>Immanuel School</v>
          </cell>
          <cell r="D15265" t="str">
            <v>Plymouth</v>
          </cell>
          <cell r="E15265" t="str">
            <v>Other Independent School</v>
          </cell>
          <cell r="F15265" t="str">
            <v>Not applicable</v>
          </cell>
        </row>
        <row r="15266">
          <cell r="A15266">
            <v>8123066</v>
          </cell>
          <cell r="B15266">
            <v>118013</v>
          </cell>
          <cell r="C15266" t="str">
            <v>Immingham St Andrew's CofE Junior School</v>
          </cell>
          <cell r="D15266" t="str">
            <v>North East Lincolnshire</v>
          </cell>
          <cell r="E15266" t="str">
            <v>Voluntary Controlled School</v>
          </cell>
          <cell r="F15266" t="str">
            <v>Primary</v>
          </cell>
        </row>
        <row r="15267">
          <cell r="A15267">
            <v>3431100</v>
          </cell>
          <cell r="B15267">
            <v>104849</v>
          </cell>
          <cell r="C15267" t="str">
            <v>Impact Alternative Povision</v>
          </cell>
          <cell r="D15267" t="str">
            <v>Sefton</v>
          </cell>
          <cell r="E15267" t="str">
            <v>Pupil Referral Unit</v>
          </cell>
          <cell r="F15267" t="str">
            <v>PRU</v>
          </cell>
        </row>
        <row r="15268">
          <cell r="A15268">
            <v>6686017</v>
          </cell>
          <cell r="B15268">
            <v>402132</v>
          </cell>
          <cell r="C15268" t="str">
            <v>Impact Youth Services Ltd</v>
          </cell>
          <cell r="D15268" t="str">
            <v>Pembrokeshire</v>
          </cell>
          <cell r="E15268" t="str">
            <v>Welsh Establishment</v>
          </cell>
          <cell r="F15268" t="str">
            <v>Not applicable</v>
          </cell>
        </row>
        <row r="15269">
          <cell r="A15269">
            <v>8562238</v>
          </cell>
          <cell r="B15269">
            <v>120014</v>
          </cell>
          <cell r="C15269" t="str">
            <v>Imperial Avenue Infant School</v>
          </cell>
          <cell r="D15269" t="str">
            <v>Leicester</v>
          </cell>
          <cell r="E15269" t="str">
            <v>Community School</v>
          </cell>
          <cell r="F15269" t="str">
            <v>Primary</v>
          </cell>
        </row>
        <row r="15270">
          <cell r="A15270">
            <v>207</v>
          </cell>
          <cell r="B15270">
            <v>133887</v>
          </cell>
          <cell r="C15270" t="str">
            <v>Imperial College of Science, Technology and Medicine</v>
          </cell>
          <cell r="D15270" t="str">
            <v>Kensington and Chelsea</v>
          </cell>
          <cell r="E15270" t="str">
            <v>Higher Education Institutions</v>
          </cell>
          <cell r="F15270" t="str">
            <v>Not applicable</v>
          </cell>
        </row>
        <row r="15271">
          <cell r="A15271">
            <v>8734004</v>
          </cell>
          <cell r="B15271">
            <v>110861</v>
          </cell>
          <cell r="C15271" t="str">
            <v>Impington Village College</v>
          </cell>
          <cell r="D15271" t="str">
            <v>Cambridgeshire</v>
          </cell>
          <cell r="E15271" t="str">
            <v>Foundation School</v>
          </cell>
          <cell r="F15271" t="str">
            <v>Secondary</v>
          </cell>
        </row>
        <row r="15272">
          <cell r="A15272">
            <v>9336000</v>
          </cell>
          <cell r="B15272">
            <v>135735</v>
          </cell>
          <cell r="C15272" t="str">
            <v>Inaura School</v>
          </cell>
          <cell r="D15272" t="str">
            <v>Somerset</v>
          </cell>
          <cell r="E15272" t="str">
            <v>Other Independent Special School</v>
          </cell>
          <cell r="F15272" t="str">
            <v>Not applicable</v>
          </cell>
        </row>
        <row r="15273">
          <cell r="A15273">
            <v>3433360</v>
          </cell>
          <cell r="B15273">
            <v>127373</v>
          </cell>
          <cell r="C15273" t="str">
            <v>Ince Blundell RC Primary School</v>
          </cell>
          <cell r="D15273" t="str">
            <v>Sefton</v>
          </cell>
          <cell r="E15273" t="str">
            <v>Voluntary Aided School</v>
          </cell>
          <cell r="F15273" t="str">
            <v>Primary</v>
          </cell>
        </row>
        <row r="15274">
          <cell r="A15274">
            <v>3593367</v>
          </cell>
          <cell r="B15274">
            <v>106476</v>
          </cell>
          <cell r="C15274" t="str">
            <v>Ince CofE Primary School</v>
          </cell>
          <cell r="D15274" t="str">
            <v>Wigan</v>
          </cell>
          <cell r="E15274" t="str">
            <v>Voluntary Aided School</v>
          </cell>
          <cell r="F15274" t="str">
            <v>Primary</v>
          </cell>
        </row>
        <row r="15275">
          <cell r="A15275">
            <v>3593029</v>
          </cell>
          <cell r="B15275">
            <v>106447</v>
          </cell>
          <cell r="C15275" t="str">
            <v>Ince St Mary's CofE Primary School</v>
          </cell>
          <cell r="D15275" t="str">
            <v>Wigan</v>
          </cell>
          <cell r="E15275" t="str">
            <v>Voluntary Controlled School</v>
          </cell>
          <cell r="F15275" t="str">
            <v>Primary</v>
          </cell>
        </row>
        <row r="15276">
          <cell r="A15276">
            <v>2138260</v>
          </cell>
          <cell r="B15276">
            <v>133168</v>
          </cell>
          <cell r="C15276" t="str">
            <v>Inchbald School of Design</v>
          </cell>
          <cell r="D15276" t="str">
            <v>Westminster</v>
          </cell>
          <cell r="E15276" t="str">
            <v>Miscellaneous</v>
          </cell>
          <cell r="F15276" t="str">
            <v>Not applicable</v>
          </cell>
        </row>
        <row r="15277">
          <cell r="A15277">
            <v>8929901</v>
          </cell>
          <cell r="B15277">
            <v>133133</v>
          </cell>
          <cell r="C15277" t="str">
            <v>Include</v>
          </cell>
          <cell r="D15277" t="str">
            <v>Nottingham</v>
          </cell>
          <cell r="E15277" t="str">
            <v>Miscellaneous</v>
          </cell>
          <cell r="F15277" t="str">
            <v>Not applicable</v>
          </cell>
        </row>
        <row r="15278">
          <cell r="A15278">
            <v>8256035</v>
          </cell>
          <cell r="B15278">
            <v>134415</v>
          </cell>
          <cell r="C15278" t="str">
            <v>Include - Buckinghamshire</v>
          </cell>
          <cell r="D15278" t="str">
            <v>Buckinghamshire</v>
          </cell>
          <cell r="E15278" t="str">
            <v>Other Independent Special School</v>
          </cell>
          <cell r="F15278" t="str">
            <v>Not applicable</v>
          </cell>
        </row>
        <row r="15279">
          <cell r="A15279">
            <v>8406007</v>
          </cell>
          <cell r="B15279">
            <v>134435</v>
          </cell>
          <cell r="C15279" t="str">
            <v>Include - Durham Bridge Year 10/11</v>
          </cell>
          <cell r="D15279" t="str">
            <v>Durham</v>
          </cell>
          <cell r="E15279" t="str">
            <v>Other Independent School</v>
          </cell>
          <cell r="F15279" t="str">
            <v>Not applicable</v>
          </cell>
        </row>
        <row r="15280">
          <cell r="A15280">
            <v>8016023</v>
          </cell>
          <cell r="B15280">
            <v>134441</v>
          </cell>
          <cell r="C15280" t="str">
            <v>Include Bristol</v>
          </cell>
          <cell r="D15280" t="str">
            <v>Bristol City of</v>
          </cell>
          <cell r="E15280" t="str">
            <v>Other Independent School</v>
          </cell>
          <cell r="F15280" t="str">
            <v>Not applicable</v>
          </cell>
        </row>
        <row r="15281">
          <cell r="A15281">
            <v>8021101</v>
          </cell>
          <cell r="B15281">
            <v>131623</v>
          </cell>
          <cell r="C15281" t="str">
            <v>Inclusion Support Service</v>
          </cell>
          <cell r="D15281" t="str">
            <v>North Somerset</v>
          </cell>
          <cell r="E15281" t="str">
            <v>Pupil Referral Unit</v>
          </cell>
          <cell r="F15281" t="str">
            <v>PRU</v>
          </cell>
        </row>
        <row r="15282">
          <cell r="A15282">
            <v>3111106</v>
          </cell>
          <cell r="B15282">
            <v>134332</v>
          </cell>
          <cell r="C15282" t="str">
            <v>Inclusion Support Tutor</v>
          </cell>
          <cell r="D15282" t="str">
            <v>Havering</v>
          </cell>
          <cell r="E15282" t="str">
            <v>Pupil Referral Unit</v>
          </cell>
          <cell r="F15282" t="str">
            <v>PRU</v>
          </cell>
        </row>
        <row r="15283">
          <cell r="A15283">
            <v>3023515</v>
          </cell>
          <cell r="B15283">
            <v>101343</v>
          </cell>
          <cell r="C15283" t="str">
            <v>Independent Jewish Day School</v>
          </cell>
          <cell r="D15283" t="str">
            <v>Barnet</v>
          </cell>
          <cell r="E15283" t="str">
            <v>Voluntary Aided School</v>
          </cell>
          <cell r="F15283" t="str">
            <v>Primary</v>
          </cell>
        </row>
        <row r="15284">
          <cell r="A15284">
            <v>3026091</v>
          </cell>
          <cell r="B15284">
            <v>126736</v>
          </cell>
          <cell r="C15284" t="str">
            <v>Independent Jewish Day School</v>
          </cell>
          <cell r="D15284" t="str">
            <v>Barnet</v>
          </cell>
          <cell r="E15284" t="str">
            <v>Other Independent School</v>
          </cell>
          <cell r="F15284" t="str">
            <v>Not applicable</v>
          </cell>
        </row>
        <row r="15285">
          <cell r="A15285">
            <v>3023515</v>
          </cell>
          <cell r="B15285">
            <v>137303</v>
          </cell>
          <cell r="C15285" t="str">
            <v>Independent Jewish Day School</v>
          </cell>
          <cell r="D15285" t="str">
            <v>Barnet</v>
          </cell>
          <cell r="E15285" t="str">
            <v>Academy Converters</v>
          </cell>
          <cell r="F15285" t="str">
            <v>Primary</v>
          </cell>
        </row>
        <row r="15286">
          <cell r="A15286">
            <v>3356001</v>
          </cell>
          <cell r="B15286">
            <v>136937</v>
          </cell>
          <cell r="C15286" t="str">
            <v>Independent Learning Centre</v>
          </cell>
          <cell r="D15286" t="str">
            <v>Walsall</v>
          </cell>
          <cell r="E15286" t="str">
            <v>Other Independent School</v>
          </cell>
          <cell r="F15286" t="str">
            <v>Not applicable</v>
          </cell>
        </row>
        <row r="15287">
          <cell r="A15287">
            <v>9082432</v>
          </cell>
          <cell r="B15287">
            <v>111894</v>
          </cell>
          <cell r="C15287" t="str">
            <v>Indian Queens Community Primary School and Nursery</v>
          </cell>
          <cell r="D15287" t="str">
            <v>Cornwall</v>
          </cell>
          <cell r="E15287" t="str">
            <v>Community School</v>
          </cell>
          <cell r="F15287" t="str">
            <v>Primary</v>
          </cell>
        </row>
        <row r="15288">
          <cell r="A15288">
            <v>3569900</v>
          </cell>
          <cell r="B15288">
            <v>132967</v>
          </cell>
          <cell r="C15288" t="str">
            <v>Individual Teaching and Support Service</v>
          </cell>
          <cell r="D15288" t="str">
            <v>Stockport</v>
          </cell>
          <cell r="E15288" t="str">
            <v>Miscellaneous</v>
          </cell>
          <cell r="F15288" t="str">
            <v>Not applicable</v>
          </cell>
        </row>
        <row r="15289">
          <cell r="A15289">
            <v>3842192</v>
          </cell>
          <cell r="B15289">
            <v>130863</v>
          </cell>
          <cell r="C15289" t="str">
            <v>Infant School Moorthorpe Primary (J and I ) School</v>
          </cell>
          <cell r="D15289" t="str">
            <v>Wakefield</v>
          </cell>
          <cell r="E15289" t="str">
            <v>Community School</v>
          </cell>
          <cell r="F15289" t="str">
            <v>Primary</v>
          </cell>
        </row>
        <row r="15290">
          <cell r="A15290">
            <v>8813780</v>
          </cell>
          <cell r="B15290">
            <v>115193</v>
          </cell>
          <cell r="C15290" t="str">
            <v>Ingatestone and Fryerning Church of England Voluntary Aided Junior School</v>
          </cell>
          <cell r="D15290" t="str">
            <v>Essex</v>
          </cell>
          <cell r="E15290" t="str">
            <v>Voluntary Aided School</v>
          </cell>
          <cell r="F15290" t="str">
            <v>Primary</v>
          </cell>
        </row>
        <row r="15291">
          <cell r="A15291">
            <v>8812599</v>
          </cell>
          <cell r="B15291">
            <v>114909</v>
          </cell>
          <cell r="C15291" t="str">
            <v>Ingatestone Infant School</v>
          </cell>
          <cell r="D15291" t="str">
            <v>Essex</v>
          </cell>
          <cell r="E15291" t="str">
            <v>Community School</v>
          </cell>
          <cell r="F15291" t="str">
            <v>Primary</v>
          </cell>
        </row>
        <row r="15292">
          <cell r="A15292">
            <v>9386175</v>
          </cell>
          <cell r="B15292">
            <v>126131</v>
          </cell>
          <cell r="C15292" t="str">
            <v>Ingfield Manor School</v>
          </cell>
          <cell r="D15292" t="str">
            <v>West Sussex</v>
          </cell>
          <cell r="E15292" t="str">
            <v>Independent School Approved for SEN Pupils</v>
          </cell>
          <cell r="F15292" t="str">
            <v>Not applicable</v>
          </cell>
        </row>
        <row r="15293">
          <cell r="A15293">
            <v>9387023</v>
          </cell>
          <cell r="B15293">
            <v>135814</v>
          </cell>
          <cell r="C15293" t="str">
            <v>Ingfield Manor School</v>
          </cell>
          <cell r="D15293" t="str">
            <v>West Sussex</v>
          </cell>
          <cell r="E15293" t="str">
            <v>Non-Maintained Special School</v>
          </cell>
          <cell r="F15293" t="str">
            <v>Special</v>
          </cell>
        </row>
        <row r="15294">
          <cell r="A15294">
            <v>9252166</v>
          </cell>
          <cell r="B15294">
            <v>120454</v>
          </cell>
          <cell r="C15294" t="str">
            <v>Ingham Primary School</v>
          </cell>
          <cell r="D15294" t="str">
            <v>Lincolnshire</v>
          </cell>
          <cell r="E15294" t="str">
            <v>Community School</v>
          </cell>
          <cell r="F15294" t="str">
            <v>Primary</v>
          </cell>
        </row>
        <row r="15295">
          <cell r="A15295">
            <v>9353039</v>
          </cell>
          <cell r="B15295">
            <v>129981</v>
          </cell>
          <cell r="C15295" t="str">
            <v>Ingham VC Primary School</v>
          </cell>
          <cell r="D15295" t="str">
            <v>Suffolk</v>
          </cell>
          <cell r="E15295" t="str">
            <v>Voluntary Controlled School</v>
          </cell>
          <cell r="F15295" t="str">
            <v>Primary</v>
          </cell>
        </row>
        <row r="15296">
          <cell r="A15296">
            <v>3846112</v>
          </cell>
          <cell r="B15296">
            <v>108304</v>
          </cell>
          <cell r="C15296" t="str">
            <v>Inglebrook School</v>
          </cell>
          <cell r="D15296" t="str">
            <v>Wakefield</v>
          </cell>
          <cell r="E15296" t="str">
            <v>Other Independent School</v>
          </cell>
          <cell r="F15296" t="str">
            <v>Not applicable</v>
          </cell>
        </row>
        <row r="15297">
          <cell r="A15297">
            <v>8153336</v>
          </cell>
          <cell r="B15297">
            <v>121618</v>
          </cell>
          <cell r="C15297" t="str">
            <v>Ingleby Arncliffe Church of England Voluntary Aided Primary School</v>
          </cell>
          <cell r="D15297" t="str">
            <v>North Yorkshire</v>
          </cell>
          <cell r="E15297" t="str">
            <v>Voluntary Aided School</v>
          </cell>
          <cell r="F15297" t="str">
            <v>Primary</v>
          </cell>
        </row>
        <row r="15298">
          <cell r="A15298">
            <v>8153060</v>
          </cell>
          <cell r="B15298">
            <v>121503</v>
          </cell>
          <cell r="C15298" t="str">
            <v>Ingleby Greenhow Church of England Voluntary Controlled Primary School</v>
          </cell>
          <cell r="D15298" t="str">
            <v>North Yorkshire</v>
          </cell>
          <cell r="E15298" t="str">
            <v>Voluntary Controlled School</v>
          </cell>
          <cell r="F15298" t="str">
            <v>Primary</v>
          </cell>
        </row>
        <row r="15299">
          <cell r="A15299">
            <v>8082362</v>
          </cell>
          <cell r="B15299">
            <v>130256</v>
          </cell>
          <cell r="C15299" t="str">
            <v>Ingleby Mill Primary School</v>
          </cell>
          <cell r="D15299" t="str">
            <v>Stockton-on-Tees</v>
          </cell>
          <cell r="E15299" t="str">
            <v>Community School</v>
          </cell>
          <cell r="F15299" t="str">
            <v>Primary</v>
          </cell>
        </row>
        <row r="15300">
          <cell r="A15300">
            <v>8562239</v>
          </cell>
          <cell r="B15300">
            <v>120015</v>
          </cell>
          <cell r="C15300" t="str">
            <v>Inglehurst Infant School</v>
          </cell>
          <cell r="D15300" t="str">
            <v>Leicester</v>
          </cell>
          <cell r="E15300" t="str">
            <v>Community School</v>
          </cell>
          <cell r="F15300" t="str">
            <v>Primary</v>
          </cell>
        </row>
        <row r="15301">
          <cell r="A15301">
            <v>8562240</v>
          </cell>
          <cell r="B15301">
            <v>120016</v>
          </cell>
          <cell r="C15301" t="str">
            <v>Inglehurst Junior School</v>
          </cell>
          <cell r="D15301" t="str">
            <v>Leicester</v>
          </cell>
          <cell r="E15301" t="str">
            <v>Community School</v>
          </cell>
          <cell r="F15301" t="str">
            <v>Primary</v>
          </cell>
        </row>
        <row r="15302">
          <cell r="A15302">
            <v>9166022</v>
          </cell>
          <cell r="B15302">
            <v>115790</v>
          </cell>
          <cell r="C15302" t="str">
            <v>Ingleside PNEU School</v>
          </cell>
          <cell r="D15302" t="str">
            <v>Gloucestershire</v>
          </cell>
          <cell r="E15302" t="str">
            <v>Other Independent School</v>
          </cell>
          <cell r="F15302" t="str">
            <v>Not applicable</v>
          </cell>
        </row>
        <row r="15303">
          <cell r="A15303">
            <v>8403134</v>
          </cell>
          <cell r="B15303">
            <v>114225</v>
          </cell>
          <cell r="C15303" t="str">
            <v>Ingleton CofE Primary School</v>
          </cell>
          <cell r="D15303" t="str">
            <v>Durham</v>
          </cell>
          <cell r="E15303" t="str">
            <v>Voluntary Controlled School</v>
          </cell>
          <cell r="F15303" t="str">
            <v>Primary</v>
          </cell>
        </row>
        <row r="15304">
          <cell r="A15304">
            <v>8154201</v>
          </cell>
          <cell r="B15304">
            <v>121686</v>
          </cell>
          <cell r="C15304" t="str">
            <v>Ingleton Middle School</v>
          </cell>
          <cell r="D15304" t="str">
            <v>North Yorkshire</v>
          </cell>
          <cell r="E15304" t="str">
            <v>Community School</v>
          </cell>
          <cell r="F15304" t="str">
            <v>Middle Deemed Secondary</v>
          </cell>
        </row>
        <row r="15305">
          <cell r="A15305">
            <v>8152391</v>
          </cell>
          <cell r="B15305">
            <v>121445</v>
          </cell>
          <cell r="C15305" t="str">
            <v>Ingleton Primary School</v>
          </cell>
          <cell r="D15305" t="str">
            <v>North Yorkshire</v>
          </cell>
          <cell r="E15305" t="str">
            <v>Community School</v>
          </cell>
          <cell r="F15305" t="str">
            <v>Primary</v>
          </cell>
        </row>
        <row r="15306">
          <cell r="A15306">
            <v>9092607</v>
          </cell>
          <cell r="B15306">
            <v>112217</v>
          </cell>
          <cell r="C15306" t="str">
            <v>Inglewood Infant School</v>
          </cell>
          <cell r="D15306" t="str">
            <v>Cumbria</v>
          </cell>
          <cell r="E15306" t="str">
            <v>Community School</v>
          </cell>
          <cell r="F15306" t="str">
            <v>Primary</v>
          </cell>
        </row>
        <row r="15307">
          <cell r="A15307">
            <v>9092606</v>
          </cell>
          <cell r="B15307">
            <v>112216</v>
          </cell>
          <cell r="C15307" t="str">
            <v>Inglewood Junior School</v>
          </cell>
          <cell r="D15307" t="str">
            <v>Cumbria</v>
          </cell>
          <cell r="E15307" t="str">
            <v>Community School</v>
          </cell>
          <cell r="F15307" t="str">
            <v>Primary</v>
          </cell>
        </row>
        <row r="15308">
          <cell r="A15308">
            <v>9276071</v>
          </cell>
          <cell r="B15308">
            <v>129676</v>
          </cell>
          <cell r="C15308" t="str">
            <v>Ingmanthorpe Hall School</v>
          </cell>
          <cell r="D15308" t="str">
            <v>Pre LGR (1996) North Yorkshire</v>
          </cell>
          <cell r="E15308" t="str">
            <v>Other Independent School</v>
          </cell>
          <cell r="F15308" t="str">
            <v>Not applicable</v>
          </cell>
        </row>
        <row r="15309">
          <cell r="A15309">
            <v>8882200</v>
          </cell>
          <cell r="B15309">
            <v>119239</v>
          </cell>
          <cell r="C15309" t="str">
            <v>Ingol Community Primary School</v>
          </cell>
          <cell r="D15309" t="str">
            <v>Lancashire</v>
          </cell>
          <cell r="E15309" t="str">
            <v>Community School</v>
          </cell>
          <cell r="F15309" t="str">
            <v>Primary</v>
          </cell>
        </row>
        <row r="15310">
          <cell r="A15310">
            <v>9263383</v>
          </cell>
          <cell r="B15310">
            <v>121134</v>
          </cell>
          <cell r="C15310" t="str">
            <v>Ingoldisthorpe Church of England Voluntary Aided Primary School</v>
          </cell>
          <cell r="D15310" t="str">
            <v>Norfolk</v>
          </cell>
          <cell r="E15310" t="str">
            <v>Voluntary Aided School</v>
          </cell>
          <cell r="F15310" t="str">
            <v>Primary</v>
          </cell>
        </row>
        <row r="15311">
          <cell r="A15311">
            <v>9252167</v>
          </cell>
          <cell r="B15311">
            <v>120455</v>
          </cell>
          <cell r="C15311" t="str">
            <v>Ingoldmells Primary School</v>
          </cell>
          <cell r="D15311" t="str">
            <v>Lincolnshire</v>
          </cell>
          <cell r="E15311" t="str">
            <v>Community School</v>
          </cell>
          <cell r="F15311" t="str">
            <v>Primary</v>
          </cell>
        </row>
        <row r="15312">
          <cell r="A15312">
            <v>9252026</v>
          </cell>
          <cell r="B15312">
            <v>120380</v>
          </cell>
          <cell r="C15312" t="str">
            <v>Ingoldsby Primary School</v>
          </cell>
          <cell r="D15312" t="str">
            <v>Lincolnshire</v>
          </cell>
          <cell r="E15312" t="str">
            <v>Community School</v>
          </cell>
          <cell r="F15312" t="str">
            <v>Primary</v>
          </cell>
        </row>
        <row r="15313">
          <cell r="A15313">
            <v>3832107</v>
          </cell>
          <cell r="B15313">
            <v>127833</v>
          </cell>
          <cell r="C15313" t="str">
            <v>Ingram Road First School</v>
          </cell>
          <cell r="D15313" t="str">
            <v>Leeds</v>
          </cell>
          <cell r="E15313" t="str">
            <v>Community School</v>
          </cell>
          <cell r="F15313" t="str">
            <v>Primary</v>
          </cell>
        </row>
        <row r="15314">
          <cell r="A15314">
            <v>3832476</v>
          </cell>
          <cell r="B15314">
            <v>107952</v>
          </cell>
          <cell r="C15314" t="str">
            <v>Ingram Road Primary School</v>
          </cell>
          <cell r="D15314" t="str">
            <v>Leeds</v>
          </cell>
          <cell r="E15314" t="str">
            <v>Community School</v>
          </cell>
          <cell r="F15314" t="str">
            <v>Primary</v>
          </cell>
        </row>
        <row r="15315">
          <cell r="A15315">
            <v>8813422</v>
          </cell>
          <cell r="B15315">
            <v>115154</v>
          </cell>
          <cell r="C15315" t="str">
            <v>Ingrave Johnstone Church of England Voluntary Aided Primary School</v>
          </cell>
          <cell r="D15315" t="str">
            <v>Essex</v>
          </cell>
          <cell r="E15315" t="str">
            <v>Voluntary Aided School</v>
          </cell>
          <cell r="F15315" t="str">
            <v>Primary</v>
          </cell>
        </row>
        <row r="15316">
          <cell r="A15316">
            <v>3112082</v>
          </cell>
          <cell r="B15316">
            <v>102318</v>
          </cell>
          <cell r="C15316" t="str">
            <v>Ingrebourne Primary School</v>
          </cell>
          <cell r="D15316" t="str">
            <v>Havering</v>
          </cell>
          <cell r="E15316" t="str">
            <v>Community School</v>
          </cell>
          <cell r="F15316" t="str">
            <v>Primary</v>
          </cell>
        </row>
        <row r="15317">
          <cell r="A15317">
            <v>3802124</v>
          </cell>
          <cell r="B15317">
            <v>107262</v>
          </cell>
          <cell r="C15317" t="str">
            <v>Ingrow Primary School</v>
          </cell>
          <cell r="D15317" t="str">
            <v>Bradford</v>
          </cell>
          <cell r="E15317" t="str">
            <v>Community School</v>
          </cell>
          <cell r="F15317" t="str">
            <v>Primary</v>
          </cell>
        </row>
        <row r="15318">
          <cell r="A15318">
            <v>8072229</v>
          </cell>
          <cell r="B15318">
            <v>111610</v>
          </cell>
          <cell r="C15318" t="str">
            <v>Ings Farm Primary School</v>
          </cell>
          <cell r="D15318" t="str">
            <v>Redcar and Cleveland</v>
          </cell>
          <cell r="E15318" t="str">
            <v>Community School</v>
          </cell>
          <cell r="F15318" t="str">
            <v>Primary</v>
          </cell>
        </row>
        <row r="15319">
          <cell r="A15319">
            <v>9204476</v>
          </cell>
          <cell r="B15319">
            <v>129307</v>
          </cell>
          <cell r="C15319" t="str">
            <v>Ings Junior High School</v>
          </cell>
          <cell r="D15319" t="str">
            <v>Pre LGR (1996) Humberside</v>
          </cell>
          <cell r="E15319" t="str">
            <v>Community School</v>
          </cell>
          <cell r="F15319" t="str">
            <v>Secondary</v>
          </cell>
        </row>
        <row r="15320">
          <cell r="A15320">
            <v>8102285</v>
          </cell>
          <cell r="B15320">
            <v>117797</v>
          </cell>
          <cell r="C15320" t="str">
            <v>Ings Primary School</v>
          </cell>
          <cell r="D15320" t="str">
            <v>Kingston upon Hull City of</v>
          </cell>
          <cell r="E15320" t="str">
            <v>Community School</v>
          </cell>
          <cell r="F15320" t="str">
            <v>Primary</v>
          </cell>
        </row>
        <row r="15321">
          <cell r="A15321">
            <v>9097000</v>
          </cell>
          <cell r="B15321">
            <v>128607</v>
          </cell>
          <cell r="C15321" t="str">
            <v>Ingwell School</v>
          </cell>
          <cell r="D15321" t="str">
            <v>Cumbria</v>
          </cell>
          <cell r="E15321" t="str">
            <v>Community Special School</v>
          </cell>
          <cell r="F15321" t="str">
            <v>Special</v>
          </cell>
        </row>
        <row r="15322">
          <cell r="A15322">
            <v>8506054</v>
          </cell>
          <cell r="B15322">
            <v>116561</v>
          </cell>
          <cell r="C15322" t="str">
            <v>Inhurst House School</v>
          </cell>
          <cell r="D15322" t="str">
            <v>Hampshire</v>
          </cell>
          <cell r="E15322" t="str">
            <v>Other Independent School</v>
          </cell>
          <cell r="F15322" t="str">
            <v>Not applicable</v>
          </cell>
        </row>
        <row r="15323">
          <cell r="A15323">
            <v>8852079</v>
          </cell>
          <cell r="B15323">
            <v>116689</v>
          </cell>
          <cell r="C15323" t="str">
            <v>Inkberrow First School</v>
          </cell>
          <cell r="D15323" t="str">
            <v>Worcestershire</v>
          </cell>
          <cell r="E15323" t="str">
            <v>Community School</v>
          </cell>
          <cell r="F15323" t="str">
            <v>Primary</v>
          </cell>
        </row>
        <row r="15324">
          <cell r="A15324">
            <v>9107020</v>
          </cell>
          <cell r="B15324">
            <v>128682</v>
          </cell>
          <cell r="C15324" t="str">
            <v>Inkersall Green School</v>
          </cell>
          <cell r="D15324" t="str">
            <v>Pre LGR (1997) Derbyshire</v>
          </cell>
          <cell r="E15324" t="str">
            <v>Community Special School</v>
          </cell>
          <cell r="F15324" t="str">
            <v>Special</v>
          </cell>
        </row>
        <row r="15325">
          <cell r="A15325">
            <v>9102236</v>
          </cell>
          <cell r="B15325">
            <v>128620</v>
          </cell>
          <cell r="C15325" t="str">
            <v>Inkersall Junior School</v>
          </cell>
          <cell r="D15325" t="str">
            <v>Pre LGR (1997) Derbyshire</v>
          </cell>
          <cell r="E15325" t="str">
            <v>Community School</v>
          </cell>
          <cell r="F15325" t="str">
            <v>Primary</v>
          </cell>
        </row>
        <row r="15326">
          <cell r="A15326">
            <v>8302632</v>
          </cell>
          <cell r="B15326">
            <v>112795</v>
          </cell>
          <cell r="C15326" t="str">
            <v>Inkersall Primary School</v>
          </cell>
          <cell r="D15326" t="str">
            <v>Derbyshire</v>
          </cell>
          <cell r="E15326" t="str">
            <v>Community School</v>
          </cell>
          <cell r="F15326" t="str">
            <v>Primary</v>
          </cell>
        </row>
        <row r="15327">
          <cell r="A15327">
            <v>8692070</v>
          </cell>
          <cell r="B15327">
            <v>109817</v>
          </cell>
          <cell r="C15327" t="str">
            <v>Inkpen Primary School</v>
          </cell>
          <cell r="D15327" t="str">
            <v>West Berkshire</v>
          </cell>
          <cell r="E15327" t="str">
            <v>Community School</v>
          </cell>
          <cell r="F15327" t="str">
            <v>Primary</v>
          </cell>
        </row>
        <row r="15328">
          <cell r="A15328">
            <v>8112881</v>
          </cell>
          <cell r="B15328">
            <v>117911</v>
          </cell>
          <cell r="C15328" t="str">
            <v>Inmans Primary School</v>
          </cell>
          <cell r="D15328" t="str">
            <v>East Riding of Yorkshire</v>
          </cell>
          <cell r="E15328" t="str">
            <v>Community School</v>
          </cell>
          <cell r="F15328" t="str">
            <v>Primary</v>
          </cell>
        </row>
        <row r="15329">
          <cell r="A15329">
            <v>3106066</v>
          </cell>
          <cell r="B15329">
            <v>102255</v>
          </cell>
          <cell r="C15329" t="str">
            <v>Innellan House School</v>
          </cell>
          <cell r="D15329" t="str">
            <v>Harrow</v>
          </cell>
          <cell r="E15329" t="str">
            <v>Other Independent School</v>
          </cell>
          <cell r="F15329" t="str">
            <v>Not applicable</v>
          </cell>
        </row>
        <row r="15330">
          <cell r="A15330">
            <v>3547004</v>
          </cell>
          <cell r="B15330">
            <v>105860</v>
          </cell>
          <cell r="C15330" t="str">
            <v>Innes School</v>
          </cell>
          <cell r="D15330" t="str">
            <v>Rochdale</v>
          </cell>
          <cell r="E15330" t="str">
            <v>Community Special School</v>
          </cell>
          <cell r="F15330" t="str">
            <v>Special</v>
          </cell>
        </row>
        <row r="15331">
          <cell r="A15331">
            <v>8856017</v>
          </cell>
          <cell r="B15331">
            <v>117025</v>
          </cell>
          <cell r="C15331" t="str">
            <v>Innisfree House School</v>
          </cell>
          <cell r="D15331" t="str">
            <v>Worcestershire</v>
          </cell>
          <cell r="E15331" t="str">
            <v>Other Independent School</v>
          </cell>
          <cell r="F15331" t="str">
            <v>Not applicable</v>
          </cell>
        </row>
        <row r="15332">
          <cell r="A15332">
            <v>9162145</v>
          </cell>
          <cell r="B15332">
            <v>115580</v>
          </cell>
          <cell r="C15332" t="str">
            <v>Innsworth Infant School</v>
          </cell>
          <cell r="D15332" t="str">
            <v>Gloucestershire</v>
          </cell>
          <cell r="E15332" t="str">
            <v>Community School</v>
          </cell>
          <cell r="F15332" t="str">
            <v>Primary</v>
          </cell>
        </row>
        <row r="15333">
          <cell r="A15333">
            <v>9162118</v>
          </cell>
          <cell r="B15333">
            <v>115562</v>
          </cell>
          <cell r="C15333" t="str">
            <v>Innsworth Junior School</v>
          </cell>
          <cell r="D15333" t="str">
            <v>Gloucestershire</v>
          </cell>
          <cell r="E15333" t="str">
            <v>Community School</v>
          </cell>
          <cell r="F15333" t="str">
            <v>Primary</v>
          </cell>
        </row>
        <row r="15334">
          <cell r="A15334">
            <v>8756025</v>
          </cell>
          <cell r="B15334">
            <v>111492</v>
          </cell>
          <cell r="C15334" t="str">
            <v>Inscape House</v>
          </cell>
          <cell r="D15334" t="str">
            <v>Pre LGR (2009) Cheshire</v>
          </cell>
          <cell r="E15334" t="str">
            <v>Independent School Approved for SEN Pupils</v>
          </cell>
          <cell r="F15334" t="str">
            <v>Not applicable</v>
          </cell>
        </row>
        <row r="15335">
          <cell r="A15335">
            <v>3557030</v>
          </cell>
          <cell r="B15335">
            <v>134901</v>
          </cell>
          <cell r="C15335" t="str">
            <v>Inscape House</v>
          </cell>
          <cell r="D15335" t="str">
            <v>Salford</v>
          </cell>
          <cell r="E15335" t="str">
            <v>Non-Maintained Special School</v>
          </cell>
          <cell r="F15335" t="str">
            <v>Special</v>
          </cell>
        </row>
        <row r="15336">
          <cell r="A15336">
            <v>3556036</v>
          </cell>
          <cell r="B15336">
            <v>131738</v>
          </cell>
          <cell r="C15336" t="str">
            <v>Inscape House Salford</v>
          </cell>
          <cell r="D15336" t="str">
            <v>Salford</v>
          </cell>
          <cell r="E15336" t="str">
            <v>Other Independent Special School</v>
          </cell>
          <cell r="F15336" t="str">
            <v>Not applicable</v>
          </cell>
        </row>
        <row r="15337">
          <cell r="A15337">
            <v>3567103</v>
          </cell>
          <cell r="B15337">
            <v>134064</v>
          </cell>
          <cell r="C15337" t="str">
            <v>Inscape House School</v>
          </cell>
          <cell r="D15337" t="str">
            <v>Stockport</v>
          </cell>
          <cell r="E15337" t="str">
            <v>Non-Maintained Special School</v>
          </cell>
          <cell r="F15337" t="str">
            <v>Special</v>
          </cell>
        </row>
        <row r="15338">
          <cell r="A15338">
            <v>3076339</v>
          </cell>
          <cell r="B15338">
            <v>135493</v>
          </cell>
          <cell r="C15338" t="str">
            <v>Insights Independent School</v>
          </cell>
          <cell r="D15338" t="str">
            <v>Ealing</v>
          </cell>
          <cell r="E15338" t="str">
            <v>Other Independent Special School</v>
          </cell>
          <cell r="F15338" t="str">
            <v>Not applicable</v>
          </cell>
        </row>
        <row r="15339">
          <cell r="A15339">
            <v>8883529</v>
          </cell>
          <cell r="B15339">
            <v>119531</v>
          </cell>
          <cell r="C15339" t="str">
            <v>Inskip St Peter's Church of England Voluntary Aided School</v>
          </cell>
          <cell r="D15339" t="str">
            <v>Lancashire</v>
          </cell>
          <cell r="E15339" t="str">
            <v>Voluntary Aided School</v>
          </cell>
          <cell r="F15339" t="str">
            <v>Primary</v>
          </cell>
        </row>
        <row r="15340">
          <cell r="A15340">
            <v>3306028</v>
          </cell>
          <cell r="B15340">
            <v>136053</v>
          </cell>
          <cell r="C15340" t="str">
            <v>Inspirations Independent School</v>
          </cell>
          <cell r="D15340" t="str">
            <v>Birmingham</v>
          </cell>
          <cell r="E15340" t="str">
            <v>Other Independent Special School</v>
          </cell>
          <cell r="F15340" t="str">
            <v>Not applicable</v>
          </cell>
        </row>
        <row r="15341">
          <cell r="A15341">
            <v>2138201</v>
          </cell>
          <cell r="B15341">
            <v>133048</v>
          </cell>
          <cell r="C15341" t="str">
            <v>Institute of Advanced Nursing Education</v>
          </cell>
          <cell r="D15341" t="str">
            <v>Westminster</v>
          </cell>
          <cell r="E15341" t="str">
            <v>Miscellaneous</v>
          </cell>
          <cell r="F15341" t="str">
            <v>Not applicable</v>
          </cell>
        </row>
        <row r="15342">
          <cell r="A15342">
            <v>207</v>
          </cell>
          <cell r="B15342">
            <v>133890</v>
          </cell>
          <cell r="C15342" t="str">
            <v>Institute of Cancer Research</v>
          </cell>
          <cell r="D15342" t="str">
            <v>Kensington and Chelsea</v>
          </cell>
          <cell r="E15342" t="str">
            <v>Higher Education Institutions</v>
          </cell>
          <cell r="F15342" t="str">
            <v>Not applicable</v>
          </cell>
        </row>
        <row r="15343">
          <cell r="A15343">
            <v>202</v>
          </cell>
          <cell r="B15343">
            <v>133906</v>
          </cell>
          <cell r="C15343" t="str">
            <v>Institute of Education</v>
          </cell>
          <cell r="D15343" t="str">
            <v>Camden</v>
          </cell>
          <cell r="E15343" t="str">
            <v>Higher Education Institutions</v>
          </cell>
          <cell r="F15343" t="str">
            <v>Not applicable</v>
          </cell>
        </row>
        <row r="15344">
          <cell r="A15344">
            <v>3306100</v>
          </cell>
          <cell r="B15344">
            <v>132000</v>
          </cell>
          <cell r="C15344" t="str">
            <v>Institute of Higher Excellence</v>
          </cell>
          <cell r="D15344" t="str">
            <v>Birmingham</v>
          </cell>
          <cell r="E15344" t="str">
            <v>Other Independent School</v>
          </cell>
          <cell r="F15344" t="str">
            <v>Not applicable</v>
          </cell>
        </row>
        <row r="15345">
          <cell r="A15345">
            <v>3826013</v>
          </cell>
          <cell r="B15345">
            <v>107791</v>
          </cell>
          <cell r="C15345" t="str">
            <v>Institute of Islamic Education</v>
          </cell>
          <cell r="D15345" t="str">
            <v>Kirklees</v>
          </cell>
          <cell r="E15345" t="str">
            <v>Other Independent School</v>
          </cell>
          <cell r="F15345" t="str">
            <v>Not applicable</v>
          </cell>
        </row>
        <row r="15346">
          <cell r="A15346">
            <v>2076305</v>
          </cell>
          <cell r="B15346">
            <v>100532</v>
          </cell>
          <cell r="C15346" t="str">
            <v>Instituto Espanol Canada Blanch</v>
          </cell>
          <cell r="D15346" t="str">
            <v>Kensington and Chelsea</v>
          </cell>
          <cell r="E15346" t="str">
            <v>Other Independent School</v>
          </cell>
          <cell r="F15346" t="str">
            <v>Not applicable</v>
          </cell>
        </row>
        <row r="15347">
          <cell r="A15347">
            <v>8782233</v>
          </cell>
          <cell r="B15347">
            <v>113156</v>
          </cell>
          <cell r="C15347" t="str">
            <v>Instow Community Primary School</v>
          </cell>
          <cell r="D15347" t="str">
            <v>Devon</v>
          </cell>
          <cell r="E15347" t="str">
            <v>Community School</v>
          </cell>
          <cell r="F15347" t="str">
            <v>Primary</v>
          </cell>
        </row>
        <row r="15348">
          <cell r="A15348">
            <v>8892006</v>
          </cell>
          <cell r="B15348">
            <v>119118</v>
          </cell>
          <cell r="C15348" t="str">
            <v>Intack Primary School</v>
          </cell>
          <cell r="D15348" t="str">
            <v>Blackburn with Darwen</v>
          </cell>
          <cell r="E15348" t="str">
            <v>Community School</v>
          </cell>
          <cell r="F15348" t="str">
            <v>Primary</v>
          </cell>
        </row>
        <row r="15349">
          <cell r="A15349">
            <v>8912885</v>
          </cell>
          <cell r="B15349">
            <v>122695</v>
          </cell>
          <cell r="C15349" t="str">
            <v>Intake Farm First School and Nursery</v>
          </cell>
          <cell r="D15349" t="str">
            <v>Nottinghamshire</v>
          </cell>
          <cell r="E15349" t="str">
            <v>Community School</v>
          </cell>
          <cell r="F15349" t="str">
            <v>Primary</v>
          </cell>
        </row>
        <row r="15350">
          <cell r="A15350">
            <v>8913780</v>
          </cell>
          <cell r="B15350">
            <v>133273</v>
          </cell>
          <cell r="C15350" t="str">
            <v>Intake Farm Primary School</v>
          </cell>
          <cell r="D15350" t="str">
            <v>Nottinghamshire</v>
          </cell>
          <cell r="E15350" t="str">
            <v>Community School</v>
          </cell>
          <cell r="F15350" t="str">
            <v>Primary</v>
          </cell>
        </row>
        <row r="15351">
          <cell r="A15351">
            <v>3834322</v>
          </cell>
          <cell r="B15351">
            <v>127996</v>
          </cell>
          <cell r="C15351" t="str">
            <v>Intake High School</v>
          </cell>
          <cell r="D15351" t="str">
            <v>Leeds</v>
          </cell>
          <cell r="E15351" t="str">
            <v>Community School</v>
          </cell>
          <cell r="F15351" t="str">
            <v>Secondary</v>
          </cell>
        </row>
        <row r="15352">
          <cell r="A15352">
            <v>3834054</v>
          </cell>
          <cell r="B15352">
            <v>108070</v>
          </cell>
          <cell r="C15352" t="str">
            <v>Intake High School Arts College</v>
          </cell>
          <cell r="D15352" t="str">
            <v>Leeds</v>
          </cell>
          <cell r="E15352" t="str">
            <v>Community School</v>
          </cell>
          <cell r="F15352" t="str">
            <v>Secondary</v>
          </cell>
        </row>
        <row r="15353">
          <cell r="A15353">
            <v>3714053</v>
          </cell>
          <cell r="B15353">
            <v>106799</v>
          </cell>
          <cell r="C15353" t="str">
            <v>Intake Middle School</v>
          </cell>
          <cell r="D15353" t="str">
            <v>Doncaster</v>
          </cell>
          <cell r="E15353" t="str">
            <v>Community School</v>
          </cell>
          <cell r="F15353" t="str">
            <v>Middle Deemed Secondary</v>
          </cell>
        </row>
        <row r="15354">
          <cell r="A15354">
            <v>3834018</v>
          </cell>
          <cell r="B15354">
            <v>127964</v>
          </cell>
          <cell r="C15354" t="str">
            <v>Intake Middle School</v>
          </cell>
          <cell r="D15354" t="str">
            <v>Leeds</v>
          </cell>
          <cell r="E15354" t="str">
            <v>Community School</v>
          </cell>
          <cell r="F15354" t="str">
            <v>Middle Deemed Secondary</v>
          </cell>
        </row>
        <row r="15355">
          <cell r="A15355">
            <v>3712166</v>
          </cell>
          <cell r="B15355">
            <v>106729</v>
          </cell>
          <cell r="C15355" t="str">
            <v>Intake Primary School</v>
          </cell>
          <cell r="D15355" t="str">
            <v>Doncaster</v>
          </cell>
          <cell r="E15355" t="str">
            <v>Community School</v>
          </cell>
          <cell r="F15355" t="str">
            <v>Primary</v>
          </cell>
        </row>
        <row r="15356">
          <cell r="A15356">
            <v>3732063</v>
          </cell>
          <cell r="B15356">
            <v>106996</v>
          </cell>
          <cell r="C15356" t="str">
            <v>Intake Primary School</v>
          </cell>
          <cell r="D15356" t="str">
            <v>Sheffield</v>
          </cell>
          <cell r="E15356" t="str">
            <v>Foundation School</v>
          </cell>
          <cell r="F15356" t="str">
            <v>Primary</v>
          </cell>
        </row>
        <row r="15357">
          <cell r="A15357">
            <v>6811018</v>
          </cell>
          <cell r="B15357">
            <v>402110</v>
          </cell>
          <cell r="C15357" t="str">
            <v>Integrated Children's Centre</v>
          </cell>
          <cell r="D15357" t="str">
            <v>Cardiff</v>
          </cell>
          <cell r="E15357" t="str">
            <v>Welsh Establishment</v>
          </cell>
          <cell r="F15357" t="str">
            <v>Nursery</v>
          </cell>
        </row>
        <row r="15358">
          <cell r="A15358">
            <v>9196241</v>
          </cell>
          <cell r="B15358">
            <v>133295</v>
          </cell>
          <cell r="C15358" t="str">
            <v>Integrated Services Programme</v>
          </cell>
          <cell r="D15358" t="str">
            <v>Hertfordshire</v>
          </cell>
          <cell r="E15358" t="str">
            <v>Other Independent School</v>
          </cell>
          <cell r="F15358" t="str">
            <v>Not applicable</v>
          </cell>
        </row>
        <row r="15359">
          <cell r="A15359">
            <v>8158222</v>
          </cell>
          <cell r="B15359">
            <v>133195</v>
          </cell>
          <cell r="C15359" t="str">
            <v>International Christian Language School for Functional English</v>
          </cell>
          <cell r="D15359" t="str">
            <v>North Yorkshire</v>
          </cell>
          <cell r="E15359" t="str">
            <v>Miscellaneous</v>
          </cell>
          <cell r="F15359" t="str">
            <v>Not applicable</v>
          </cell>
        </row>
        <row r="15360">
          <cell r="A15360">
            <v>8356030</v>
          </cell>
          <cell r="B15360">
            <v>113948</v>
          </cell>
          <cell r="C15360" t="str">
            <v>International College, Sherborne School</v>
          </cell>
          <cell r="D15360" t="str">
            <v>Dorset</v>
          </cell>
          <cell r="E15360" t="str">
            <v>Other Independent School</v>
          </cell>
          <cell r="F15360" t="str">
            <v>Not applicable</v>
          </cell>
        </row>
        <row r="15361">
          <cell r="A15361">
            <v>2136304</v>
          </cell>
          <cell r="B15361">
            <v>101171</v>
          </cell>
          <cell r="C15361" t="str">
            <v>International Community School</v>
          </cell>
          <cell r="D15361" t="str">
            <v>Westminster</v>
          </cell>
          <cell r="E15361" t="str">
            <v>Other Independent School</v>
          </cell>
          <cell r="F15361" t="str">
            <v>Not applicable</v>
          </cell>
        </row>
        <row r="15362">
          <cell r="A15362">
            <v>9266109</v>
          </cell>
          <cell r="B15362">
            <v>129635</v>
          </cell>
          <cell r="C15362" t="str">
            <v>International High School</v>
          </cell>
          <cell r="D15362" t="str">
            <v>Norfolk</v>
          </cell>
          <cell r="E15362" t="str">
            <v>Other Independent School</v>
          </cell>
          <cell r="F15362" t="str">
            <v>Not applicable</v>
          </cell>
        </row>
        <row r="15363">
          <cell r="A15363">
            <v>8036005</v>
          </cell>
          <cell r="B15363">
            <v>109375</v>
          </cell>
          <cell r="C15363" t="str">
            <v>International School of Choueifat</v>
          </cell>
          <cell r="D15363" t="str">
            <v>South Gloucestershire</v>
          </cell>
          <cell r="E15363" t="str">
            <v>Other Independent School</v>
          </cell>
          <cell r="F15363" t="str">
            <v>Not applicable</v>
          </cell>
        </row>
        <row r="15364">
          <cell r="A15364">
            <v>3136063</v>
          </cell>
          <cell r="B15364">
            <v>102550</v>
          </cell>
          <cell r="C15364" t="str">
            <v>International School of London</v>
          </cell>
          <cell r="D15364" t="str">
            <v>Hounslow</v>
          </cell>
          <cell r="E15364" t="str">
            <v>Other Independent School</v>
          </cell>
          <cell r="F15364" t="str">
            <v>Not applicable</v>
          </cell>
        </row>
        <row r="15365">
          <cell r="A15365">
            <v>9366559</v>
          </cell>
          <cell r="B15365">
            <v>125439</v>
          </cell>
          <cell r="C15365" t="str">
            <v>International School of London</v>
          </cell>
          <cell r="D15365" t="str">
            <v>Surrey</v>
          </cell>
          <cell r="E15365" t="str">
            <v>Other Independent School</v>
          </cell>
          <cell r="F15365" t="str">
            <v>Not applicable</v>
          </cell>
        </row>
        <row r="15366">
          <cell r="A15366">
            <v>2026266</v>
          </cell>
          <cell r="B15366">
            <v>126568</v>
          </cell>
          <cell r="C15366" t="str">
            <v>International School of London</v>
          </cell>
          <cell r="D15366" t="str">
            <v>Camden</v>
          </cell>
          <cell r="E15366" t="str">
            <v>Other Independent School</v>
          </cell>
          <cell r="F15366" t="str">
            <v>Not applicable</v>
          </cell>
        </row>
        <row r="15367">
          <cell r="A15367">
            <v>9196209</v>
          </cell>
          <cell r="B15367">
            <v>134933</v>
          </cell>
          <cell r="C15367" t="str">
            <v>International Stanborough School</v>
          </cell>
          <cell r="D15367" t="str">
            <v>Hertfordshire</v>
          </cell>
          <cell r="E15367" t="str">
            <v>Other Independent School</v>
          </cell>
          <cell r="F15367" t="str">
            <v>Not applicable</v>
          </cell>
        </row>
        <row r="15368">
          <cell r="A15368">
            <v>8783774</v>
          </cell>
          <cell r="B15368">
            <v>133780</v>
          </cell>
          <cell r="C15368" t="str">
            <v>Inverteign Community Nursery and Primary School</v>
          </cell>
          <cell r="D15368" t="str">
            <v>Devon</v>
          </cell>
          <cell r="E15368" t="str">
            <v>Community School</v>
          </cell>
          <cell r="F15368" t="str">
            <v>Primary</v>
          </cell>
        </row>
        <row r="15369">
          <cell r="A15369">
            <v>8783774</v>
          </cell>
          <cell r="B15369">
            <v>136493</v>
          </cell>
          <cell r="C15369" t="str">
            <v>Inverteign Community Nursery and Primary School</v>
          </cell>
          <cell r="D15369" t="str">
            <v>Devon</v>
          </cell>
          <cell r="E15369" t="str">
            <v>Academy Converters</v>
          </cell>
          <cell r="F15369" t="str">
            <v>Primary</v>
          </cell>
        </row>
        <row r="15370">
          <cell r="A15370">
            <v>8782449</v>
          </cell>
          <cell r="B15370">
            <v>113225</v>
          </cell>
          <cell r="C15370" t="str">
            <v>Inverteign Infants' and Nursery School</v>
          </cell>
          <cell r="D15370" t="str">
            <v>Devon</v>
          </cell>
          <cell r="E15370" t="str">
            <v>Community School</v>
          </cell>
          <cell r="F15370" t="str">
            <v>Primary</v>
          </cell>
        </row>
        <row r="15371">
          <cell r="A15371">
            <v>8782450</v>
          </cell>
          <cell r="B15371">
            <v>113226</v>
          </cell>
          <cell r="C15371" t="str">
            <v>Inverteign Junior School</v>
          </cell>
          <cell r="D15371" t="str">
            <v>Devon</v>
          </cell>
          <cell r="E15371" t="str">
            <v>Community School</v>
          </cell>
          <cell r="F15371" t="str">
            <v>Primary</v>
          </cell>
        </row>
        <row r="15372">
          <cell r="A15372">
            <v>8864058</v>
          </cell>
          <cell r="B15372">
            <v>118792</v>
          </cell>
          <cell r="C15372" t="str">
            <v>Invicta Grammar School</v>
          </cell>
          <cell r="D15372" t="str">
            <v>Kent</v>
          </cell>
          <cell r="E15372" t="str">
            <v>Foundation School</v>
          </cell>
          <cell r="F15372" t="str">
            <v>Secondary</v>
          </cell>
        </row>
        <row r="15373">
          <cell r="A15373">
            <v>8864058</v>
          </cell>
          <cell r="B15373">
            <v>136582</v>
          </cell>
          <cell r="C15373" t="str">
            <v>Invicta Grammar School</v>
          </cell>
          <cell r="D15373" t="str">
            <v>Kent</v>
          </cell>
          <cell r="E15373" t="str">
            <v>Academy Converters</v>
          </cell>
          <cell r="F15373" t="str">
            <v>Secondary</v>
          </cell>
        </row>
        <row r="15374">
          <cell r="A15374">
            <v>2032325</v>
          </cell>
          <cell r="B15374">
            <v>100134</v>
          </cell>
          <cell r="C15374" t="str">
            <v>Invicta Primary School</v>
          </cell>
          <cell r="D15374" t="str">
            <v>Greenwich</v>
          </cell>
          <cell r="E15374" t="str">
            <v>Community School</v>
          </cell>
          <cell r="F15374" t="str">
            <v>Primary</v>
          </cell>
        </row>
        <row r="15375">
          <cell r="A15375">
            <v>8926010</v>
          </cell>
          <cell r="B15375">
            <v>122941</v>
          </cell>
          <cell r="C15375" t="str">
            <v>Iona School</v>
          </cell>
          <cell r="D15375" t="str">
            <v>Nottingham</v>
          </cell>
          <cell r="E15375" t="str">
            <v>Other Independent School</v>
          </cell>
          <cell r="F15375" t="str">
            <v>Not applicable</v>
          </cell>
        </row>
        <row r="15376">
          <cell r="A15376">
            <v>8266012</v>
          </cell>
          <cell r="B15376">
            <v>136067</v>
          </cell>
          <cell r="C15376" t="str">
            <v>iPEC</v>
          </cell>
          <cell r="D15376" t="str">
            <v>Milton Keynes</v>
          </cell>
          <cell r="E15376" t="str">
            <v>Other Independent School</v>
          </cell>
          <cell r="F15376" t="str">
            <v>Not applicable</v>
          </cell>
        </row>
        <row r="15377">
          <cell r="A15377">
            <v>8782423</v>
          </cell>
          <cell r="B15377">
            <v>113203</v>
          </cell>
          <cell r="C15377" t="str">
            <v>Ipplepen Primary School</v>
          </cell>
          <cell r="D15377" t="str">
            <v>Devon</v>
          </cell>
          <cell r="E15377" t="str">
            <v>Community School</v>
          </cell>
          <cell r="F15377" t="str">
            <v>Primary</v>
          </cell>
        </row>
        <row r="15378">
          <cell r="A15378">
            <v>9313806</v>
          </cell>
          <cell r="B15378">
            <v>129766</v>
          </cell>
          <cell r="C15378" t="str">
            <v>Ipsden CofE Aided School</v>
          </cell>
          <cell r="D15378" t="str">
            <v>Oxfordshire</v>
          </cell>
          <cell r="E15378" t="str">
            <v>Voluntary Aided School</v>
          </cell>
          <cell r="F15378" t="str">
            <v>Primary</v>
          </cell>
        </row>
        <row r="15379">
          <cell r="A15379">
            <v>8854583</v>
          </cell>
          <cell r="B15379">
            <v>132822</v>
          </cell>
          <cell r="C15379" t="str">
            <v>Ipsley CofE Middle School</v>
          </cell>
          <cell r="D15379" t="str">
            <v>Worcestershire</v>
          </cell>
          <cell r="E15379" t="str">
            <v>Voluntary Controlled School</v>
          </cell>
          <cell r="F15379" t="str">
            <v>Middle Deemed Secondary</v>
          </cell>
        </row>
        <row r="15380">
          <cell r="A15380">
            <v>9354606</v>
          </cell>
          <cell r="B15380">
            <v>136453</v>
          </cell>
          <cell r="C15380" t="str">
            <v>Ipswich Academy</v>
          </cell>
          <cell r="D15380" t="str">
            <v>Suffolk</v>
          </cell>
          <cell r="E15380" t="str">
            <v>Academy Sponsor Led</v>
          </cell>
          <cell r="F15380" t="str">
            <v>Secondary</v>
          </cell>
        </row>
        <row r="15381">
          <cell r="A15381">
            <v>9356055</v>
          </cell>
          <cell r="B15381">
            <v>124888</v>
          </cell>
          <cell r="C15381" t="str">
            <v>Ipswich High School</v>
          </cell>
          <cell r="D15381" t="str">
            <v>Suffolk</v>
          </cell>
          <cell r="E15381" t="str">
            <v>Other Independent School</v>
          </cell>
          <cell r="F15381" t="str">
            <v>Not applicable</v>
          </cell>
        </row>
        <row r="15382">
          <cell r="A15382">
            <v>9356039</v>
          </cell>
          <cell r="B15382">
            <v>124881</v>
          </cell>
          <cell r="C15382" t="str">
            <v>Ipswich School</v>
          </cell>
          <cell r="D15382" t="str">
            <v>Suffolk</v>
          </cell>
          <cell r="E15382" t="str">
            <v>Other Independent School</v>
          </cell>
          <cell r="F15382" t="str">
            <v>Not applicable</v>
          </cell>
        </row>
        <row r="15383">
          <cell r="A15383">
            <v>8746003</v>
          </cell>
          <cell r="B15383">
            <v>136023</v>
          </cell>
          <cell r="C15383" t="str">
            <v>Iqra Academy</v>
          </cell>
          <cell r="D15383" t="str">
            <v>Peterborough</v>
          </cell>
          <cell r="E15383" t="str">
            <v>Other Independent School</v>
          </cell>
          <cell r="F15383" t="str">
            <v>Not applicable</v>
          </cell>
        </row>
        <row r="15384">
          <cell r="A15384">
            <v>3802195</v>
          </cell>
          <cell r="B15384">
            <v>132177</v>
          </cell>
          <cell r="C15384" t="str">
            <v>Iqra Community Primary School</v>
          </cell>
          <cell r="D15384" t="str">
            <v>Bradford</v>
          </cell>
          <cell r="E15384" t="str">
            <v>Community School</v>
          </cell>
          <cell r="F15384" t="str">
            <v>Primary</v>
          </cell>
        </row>
        <row r="15385">
          <cell r="A15385">
            <v>2086394</v>
          </cell>
          <cell r="B15385">
            <v>131524</v>
          </cell>
          <cell r="C15385" t="str">
            <v>Iqra Independent School</v>
          </cell>
          <cell r="D15385" t="str">
            <v>Lambeth</v>
          </cell>
          <cell r="E15385" t="str">
            <v>Other Independent School</v>
          </cell>
          <cell r="F15385" t="str">
            <v>Not applicable</v>
          </cell>
        </row>
        <row r="15386">
          <cell r="A15386">
            <v>2086395</v>
          </cell>
          <cell r="B15386">
            <v>131615</v>
          </cell>
          <cell r="C15386" t="str">
            <v>Iqra Independent School (Girls')</v>
          </cell>
          <cell r="D15386" t="str">
            <v>Lambeth</v>
          </cell>
          <cell r="E15386" t="str">
            <v>Other Independent School</v>
          </cell>
          <cell r="F15386" t="str">
            <v>Not applicable</v>
          </cell>
        </row>
        <row r="15387">
          <cell r="A15387">
            <v>2083643</v>
          </cell>
          <cell r="B15387">
            <v>135614</v>
          </cell>
          <cell r="C15387" t="str">
            <v>Iqra Primary School</v>
          </cell>
          <cell r="D15387" t="str">
            <v>Lambeth</v>
          </cell>
          <cell r="E15387" t="str">
            <v>Voluntary Aided School</v>
          </cell>
          <cell r="F15387" t="str">
            <v>Primary</v>
          </cell>
        </row>
        <row r="15388">
          <cell r="A15388">
            <v>9316123</v>
          </cell>
          <cell r="B15388">
            <v>134799</v>
          </cell>
          <cell r="C15388" t="str">
            <v>IQRA School, Oxford</v>
          </cell>
          <cell r="D15388" t="str">
            <v>Oxfordshire</v>
          </cell>
          <cell r="E15388" t="str">
            <v>Other Independent School</v>
          </cell>
          <cell r="F15388" t="str">
            <v>Not applicable</v>
          </cell>
        </row>
        <row r="15389">
          <cell r="A15389">
            <v>8713367</v>
          </cell>
          <cell r="B15389">
            <v>135099</v>
          </cell>
          <cell r="C15389" t="str">
            <v>Iqra Slough Islamic Primary School</v>
          </cell>
          <cell r="D15389" t="str">
            <v>Slough</v>
          </cell>
          <cell r="E15389" t="str">
            <v>Voluntary Aided School</v>
          </cell>
          <cell r="F15389" t="str">
            <v>Primary</v>
          </cell>
        </row>
        <row r="15390">
          <cell r="A15390">
            <v>3526043</v>
          </cell>
          <cell r="B15390">
            <v>105600</v>
          </cell>
          <cell r="C15390" t="str">
            <v>Iranian School of Manchester</v>
          </cell>
          <cell r="D15390" t="str">
            <v>Manchester</v>
          </cell>
          <cell r="E15390" t="str">
            <v>Other Independent School</v>
          </cell>
          <cell r="F15390" t="str">
            <v>Not applicable</v>
          </cell>
        </row>
        <row r="15391">
          <cell r="A15391">
            <v>3442224</v>
          </cell>
          <cell r="B15391">
            <v>105025</v>
          </cell>
          <cell r="C15391" t="str">
            <v>Irby Primary School</v>
          </cell>
          <cell r="D15391" t="str">
            <v>Wirral</v>
          </cell>
          <cell r="E15391" t="str">
            <v>Community School</v>
          </cell>
          <cell r="F15391" t="str">
            <v>Primary</v>
          </cell>
        </row>
        <row r="15392">
          <cell r="A15392">
            <v>9282232</v>
          </cell>
          <cell r="B15392">
            <v>133601</v>
          </cell>
          <cell r="C15392" t="str">
            <v>Irchester Community Primary School</v>
          </cell>
          <cell r="D15392" t="str">
            <v>Northamptonshire</v>
          </cell>
          <cell r="E15392" t="str">
            <v>Community School</v>
          </cell>
          <cell r="F15392" t="str">
            <v>Primary</v>
          </cell>
        </row>
        <row r="15393">
          <cell r="A15393">
            <v>9282051</v>
          </cell>
          <cell r="B15393">
            <v>121830</v>
          </cell>
          <cell r="C15393" t="str">
            <v>Irchester Infant School</v>
          </cell>
          <cell r="D15393" t="str">
            <v>Northamptonshire</v>
          </cell>
          <cell r="E15393" t="str">
            <v>Community School</v>
          </cell>
          <cell r="F15393" t="str">
            <v>Primary</v>
          </cell>
        </row>
        <row r="15394">
          <cell r="A15394">
            <v>9282050</v>
          </cell>
          <cell r="B15394">
            <v>121829</v>
          </cell>
          <cell r="C15394" t="str">
            <v>Irchester Junior School</v>
          </cell>
          <cell r="D15394" t="str">
            <v>Northamptonshire</v>
          </cell>
          <cell r="E15394" t="str">
            <v>Community School</v>
          </cell>
          <cell r="F15394" t="str">
            <v>Primary</v>
          </cell>
        </row>
        <row r="15395">
          <cell r="A15395">
            <v>9093017</v>
          </cell>
          <cell r="B15395">
            <v>112251</v>
          </cell>
          <cell r="C15395" t="str">
            <v>Ireby CofE School</v>
          </cell>
          <cell r="D15395" t="str">
            <v>Cumbria</v>
          </cell>
          <cell r="E15395" t="str">
            <v>Voluntary Controlled School</v>
          </cell>
          <cell r="F15395" t="str">
            <v>Primary</v>
          </cell>
        </row>
        <row r="15396">
          <cell r="A15396">
            <v>3832001</v>
          </cell>
          <cell r="B15396">
            <v>127805</v>
          </cell>
          <cell r="C15396" t="str">
            <v>Ireland Wood First School</v>
          </cell>
          <cell r="D15396" t="str">
            <v>Leeds</v>
          </cell>
          <cell r="E15396" t="str">
            <v>Community School</v>
          </cell>
          <cell r="F15396" t="str">
            <v>Primary</v>
          </cell>
        </row>
        <row r="15397">
          <cell r="A15397">
            <v>3832420</v>
          </cell>
          <cell r="B15397">
            <v>107896</v>
          </cell>
          <cell r="C15397" t="str">
            <v>Ireland Wood Primary School</v>
          </cell>
          <cell r="D15397" t="str">
            <v>Leeds</v>
          </cell>
          <cell r="E15397" t="str">
            <v>Community School</v>
          </cell>
          <cell r="F15397" t="str">
            <v>Primary</v>
          </cell>
        </row>
        <row r="15398">
          <cell r="A15398">
            <v>9095213</v>
          </cell>
          <cell r="B15398">
            <v>112415</v>
          </cell>
          <cell r="C15398" t="str">
            <v>Ireleth St Peter's CofE Primary School</v>
          </cell>
          <cell r="D15398" t="str">
            <v>Cumbria</v>
          </cell>
          <cell r="E15398" t="str">
            <v>Voluntary Aided School</v>
          </cell>
          <cell r="F15398" t="str">
            <v>Primary</v>
          </cell>
        </row>
        <row r="15399">
          <cell r="A15399">
            <v>6662122</v>
          </cell>
          <cell r="B15399">
            <v>400531</v>
          </cell>
          <cell r="C15399" t="str">
            <v>Irfon Valley C.P. School</v>
          </cell>
          <cell r="D15399" t="str">
            <v>Powys</v>
          </cell>
          <cell r="E15399" t="str">
            <v>Welsh Establishment</v>
          </cell>
          <cell r="F15399" t="str">
            <v>Primary</v>
          </cell>
        </row>
        <row r="15400">
          <cell r="A15400">
            <v>3522249</v>
          </cell>
          <cell r="B15400">
            <v>105452</v>
          </cell>
          <cell r="C15400" t="str">
            <v>Irk Valley Community School</v>
          </cell>
          <cell r="D15400" t="str">
            <v>Manchester</v>
          </cell>
          <cell r="E15400" t="str">
            <v>Community School</v>
          </cell>
          <cell r="F15400" t="str">
            <v>Primary</v>
          </cell>
        </row>
        <row r="15401">
          <cell r="A15401">
            <v>3554036</v>
          </cell>
          <cell r="B15401">
            <v>105976</v>
          </cell>
          <cell r="C15401" t="str">
            <v>Irlam and Cadishead College</v>
          </cell>
          <cell r="D15401" t="str">
            <v>Salford</v>
          </cell>
          <cell r="E15401" t="str">
            <v>Community School</v>
          </cell>
          <cell r="F15401" t="str">
            <v>Secondary</v>
          </cell>
        </row>
        <row r="15402">
          <cell r="A15402">
            <v>3551022</v>
          </cell>
          <cell r="B15402">
            <v>105882</v>
          </cell>
          <cell r="C15402" t="str">
            <v>Irlam Community Nursery Centre</v>
          </cell>
          <cell r="D15402" t="str">
            <v>Salford</v>
          </cell>
          <cell r="E15402" t="str">
            <v>LA Nursery School</v>
          </cell>
          <cell r="F15402" t="str">
            <v>Nursery</v>
          </cell>
        </row>
        <row r="15403">
          <cell r="A15403">
            <v>3553040</v>
          </cell>
          <cell r="B15403">
            <v>105939</v>
          </cell>
          <cell r="C15403" t="str">
            <v>Irlam Endowed Primary School</v>
          </cell>
          <cell r="D15403" t="str">
            <v>Salford</v>
          </cell>
          <cell r="E15403" t="str">
            <v>Voluntary Controlled School</v>
          </cell>
          <cell r="F15403" t="str">
            <v>Primary</v>
          </cell>
        </row>
        <row r="15404">
          <cell r="A15404">
            <v>3552052</v>
          </cell>
          <cell r="B15404">
            <v>105898</v>
          </cell>
          <cell r="C15404" t="str">
            <v>Irlam Primary School</v>
          </cell>
          <cell r="D15404" t="str">
            <v>Salford</v>
          </cell>
          <cell r="E15404" t="str">
            <v>Community School</v>
          </cell>
          <cell r="F15404" t="str">
            <v>Primary</v>
          </cell>
        </row>
        <row r="15405">
          <cell r="A15405">
            <v>8033047</v>
          </cell>
          <cell r="B15405">
            <v>109162</v>
          </cell>
          <cell r="C15405" t="str">
            <v>Iron Acton Church of England Primary School</v>
          </cell>
          <cell r="D15405" t="str">
            <v>South Gloucestershire</v>
          </cell>
          <cell r="E15405" t="str">
            <v>Voluntary Controlled School</v>
          </cell>
          <cell r="F15405" t="str">
            <v>Primary</v>
          </cell>
        </row>
        <row r="15406">
          <cell r="A15406">
            <v>8302004</v>
          </cell>
          <cell r="B15406">
            <v>112495</v>
          </cell>
          <cell r="C15406" t="str">
            <v>Ironville and Codnor Park Primary School</v>
          </cell>
          <cell r="D15406" t="str">
            <v>Derbyshire</v>
          </cell>
          <cell r="E15406" t="str">
            <v>Community School</v>
          </cell>
          <cell r="F15406" t="str">
            <v>Primary</v>
          </cell>
        </row>
        <row r="15407">
          <cell r="A15407">
            <v>9092033</v>
          </cell>
          <cell r="B15407">
            <v>112113</v>
          </cell>
          <cell r="C15407" t="str">
            <v>Irthington Village School</v>
          </cell>
          <cell r="D15407" t="str">
            <v>Cumbria</v>
          </cell>
          <cell r="E15407" t="str">
            <v>Community School</v>
          </cell>
          <cell r="F15407" t="str">
            <v>Primary</v>
          </cell>
        </row>
        <row r="15408">
          <cell r="A15408">
            <v>9282054</v>
          </cell>
          <cell r="B15408">
            <v>121832</v>
          </cell>
          <cell r="C15408" t="str">
            <v>Irthlingborough Infant School and Nursery</v>
          </cell>
          <cell r="D15408" t="str">
            <v>Northamptonshire</v>
          </cell>
          <cell r="E15408" t="str">
            <v>Community School</v>
          </cell>
          <cell r="F15408" t="str">
            <v>Primary</v>
          </cell>
        </row>
        <row r="15409">
          <cell r="A15409">
            <v>9282053</v>
          </cell>
          <cell r="B15409">
            <v>121831</v>
          </cell>
          <cell r="C15409" t="str">
            <v>Irthlingborough Junior School</v>
          </cell>
          <cell r="D15409" t="str">
            <v>Northamptonshire</v>
          </cell>
          <cell r="E15409" t="str">
            <v>Community School</v>
          </cell>
          <cell r="F15409" t="str">
            <v>Primary</v>
          </cell>
        </row>
        <row r="15410">
          <cell r="A15410">
            <v>9062020</v>
          </cell>
          <cell r="B15410">
            <v>128392</v>
          </cell>
          <cell r="C15410" t="str">
            <v>Irwell County Infant School</v>
          </cell>
          <cell r="D15410" t="str">
            <v>Pre LGR (1998) Cheshire</v>
          </cell>
          <cell r="E15410" t="str">
            <v>Community School</v>
          </cell>
          <cell r="F15410" t="str">
            <v>Primary</v>
          </cell>
        </row>
        <row r="15411">
          <cell r="A15411">
            <v>8566001</v>
          </cell>
          <cell r="B15411">
            <v>120337</v>
          </cell>
          <cell r="C15411" t="str">
            <v>Irwin College</v>
          </cell>
          <cell r="D15411" t="str">
            <v>Leicester</v>
          </cell>
          <cell r="E15411" t="str">
            <v>Other Independent School</v>
          </cell>
          <cell r="F15411" t="str">
            <v>Not applicable</v>
          </cell>
        </row>
        <row r="15412">
          <cell r="A15412">
            <v>8104454</v>
          </cell>
          <cell r="B15412">
            <v>118107</v>
          </cell>
          <cell r="C15412" t="str">
            <v>Isaac Newton School</v>
          </cell>
          <cell r="D15412" t="str">
            <v>Kingston upon Hull City of</v>
          </cell>
          <cell r="E15412" t="str">
            <v>Community School</v>
          </cell>
          <cell r="F15412" t="str">
            <v>Secondary</v>
          </cell>
        </row>
        <row r="15413">
          <cell r="A15413">
            <v>8512707</v>
          </cell>
          <cell r="B15413">
            <v>116219</v>
          </cell>
          <cell r="C15413" t="str">
            <v>Isambard Brunel Junior School</v>
          </cell>
          <cell r="D15413" t="str">
            <v>Portsmouth</v>
          </cell>
          <cell r="E15413" t="str">
            <v>Community School</v>
          </cell>
          <cell r="F15413" t="str">
            <v>Primary</v>
          </cell>
        </row>
        <row r="15414">
          <cell r="A15414">
            <v>8664088</v>
          </cell>
          <cell r="B15414">
            <v>131196</v>
          </cell>
          <cell r="C15414" t="str">
            <v>Isambard Community School</v>
          </cell>
          <cell r="D15414" t="str">
            <v>Swindon</v>
          </cell>
          <cell r="E15414" t="str">
            <v>Community School</v>
          </cell>
          <cell r="F15414" t="str">
            <v>Secondary</v>
          </cell>
        </row>
        <row r="15415">
          <cell r="A15415">
            <v>9163374</v>
          </cell>
          <cell r="B15415">
            <v>135437</v>
          </cell>
          <cell r="C15415" t="str">
            <v>Isbourne Valley School</v>
          </cell>
          <cell r="D15415" t="str">
            <v>Gloucestershire</v>
          </cell>
          <cell r="E15415" t="str">
            <v>Community School</v>
          </cell>
          <cell r="F15415" t="str">
            <v>Primary</v>
          </cell>
        </row>
        <row r="15416">
          <cell r="A15416">
            <v>8784015</v>
          </cell>
          <cell r="B15416">
            <v>113506</v>
          </cell>
          <cell r="C15416" t="str">
            <v>Isca College of Media Arts</v>
          </cell>
          <cell r="D15416" t="str">
            <v>Devon</v>
          </cell>
          <cell r="E15416" t="str">
            <v>Community School</v>
          </cell>
          <cell r="F15416" t="str">
            <v>Secondary</v>
          </cell>
        </row>
        <row r="15417">
          <cell r="A15417">
            <v>9284019</v>
          </cell>
          <cell r="B15417">
            <v>122054</v>
          </cell>
          <cell r="C15417" t="str">
            <v>Ise Community College</v>
          </cell>
          <cell r="D15417" t="str">
            <v>Northamptonshire</v>
          </cell>
          <cell r="E15417" t="str">
            <v>Community School</v>
          </cell>
          <cell r="F15417" t="str">
            <v>Secondary</v>
          </cell>
        </row>
        <row r="15418">
          <cell r="A15418">
            <v>9287008</v>
          </cell>
          <cell r="B15418">
            <v>122157</v>
          </cell>
          <cell r="C15418" t="str">
            <v>Isebrook School</v>
          </cell>
          <cell r="D15418" t="str">
            <v>Northamptonshire</v>
          </cell>
          <cell r="E15418" t="str">
            <v>Community Special School</v>
          </cell>
          <cell r="F15418" t="str">
            <v>Special</v>
          </cell>
        </row>
        <row r="15419">
          <cell r="A15419">
            <v>8456046</v>
          </cell>
          <cell r="B15419">
            <v>131941</v>
          </cell>
          <cell r="C15419" t="str">
            <v>Isfield Independent School</v>
          </cell>
          <cell r="D15419" t="str">
            <v>East Sussex</v>
          </cell>
          <cell r="E15419" t="str">
            <v>Other Independent School</v>
          </cell>
          <cell r="F15419" t="str">
            <v>Not applicable</v>
          </cell>
        </row>
        <row r="15420">
          <cell r="A15420">
            <v>9283320</v>
          </cell>
          <cell r="B15420">
            <v>122023</v>
          </cell>
          <cell r="C15420" t="str">
            <v>Isham Church of England Primary School</v>
          </cell>
          <cell r="D15420" t="str">
            <v>Northamptonshire</v>
          </cell>
          <cell r="E15420" t="str">
            <v>Voluntary Aided School</v>
          </cell>
          <cell r="F15420" t="str">
            <v>Primary</v>
          </cell>
        </row>
        <row r="15421">
          <cell r="A15421">
            <v>3046069</v>
          </cell>
          <cell r="B15421">
            <v>101575</v>
          </cell>
          <cell r="C15421" t="str">
            <v>Islamia Girls' High School</v>
          </cell>
          <cell r="D15421" t="str">
            <v>Brent</v>
          </cell>
          <cell r="E15421" t="str">
            <v>Other Independent School</v>
          </cell>
          <cell r="F15421" t="str">
            <v>Not applicable</v>
          </cell>
        </row>
        <row r="15422">
          <cell r="A15422">
            <v>3826016</v>
          </cell>
          <cell r="B15422">
            <v>107793</v>
          </cell>
          <cell r="C15422" t="str">
            <v>Islamia Girls' High School</v>
          </cell>
          <cell r="D15422" t="str">
            <v>Kirklees</v>
          </cell>
          <cell r="E15422" t="str">
            <v>Other Independent School</v>
          </cell>
          <cell r="F15422" t="str">
            <v>Not applicable</v>
          </cell>
        </row>
        <row r="15423">
          <cell r="A15423">
            <v>3736023</v>
          </cell>
          <cell r="B15423">
            <v>127726</v>
          </cell>
          <cell r="C15423" t="str">
            <v>Islamia Girls' High School</v>
          </cell>
          <cell r="D15423" t="str">
            <v>Sheffield</v>
          </cell>
          <cell r="E15423" t="str">
            <v>Other Independent School</v>
          </cell>
          <cell r="F15423" t="str">
            <v>Not applicable</v>
          </cell>
        </row>
        <row r="15424">
          <cell r="A15424">
            <v>3026099</v>
          </cell>
          <cell r="B15424">
            <v>126738</v>
          </cell>
          <cell r="C15424" t="str">
            <v>Islamia Girls' School</v>
          </cell>
          <cell r="D15424" t="str">
            <v>Barnet</v>
          </cell>
          <cell r="E15424" t="str">
            <v>Other Independent School</v>
          </cell>
          <cell r="F15424" t="str">
            <v>Not applicable</v>
          </cell>
        </row>
        <row r="15425">
          <cell r="A15425">
            <v>8886052</v>
          </cell>
          <cell r="B15425">
            <v>133631</v>
          </cell>
          <cell r="C15425" t="str">
            <v>Islamia Girls' School</v>
          </cell>
          <cell r="D15425" t="str">
            <v>Lancashire</v>
          </cell>
          <cell r="E15425" t="str">
            <v>Other Independent School</v>
          </cell>
          <cell r="F15425" t="str">
            <v>Not applicable</v>
          </cell>
        </row>
        <row r="15426">
          <cell r="A15426">
            <v>3045949</v>
          </cell>
          <cell r="B15426">
            <v>101574</v>
          </cell>
          <cell r="C15426" t="str">
            <v>Islamia Primary School</v>
          </cell>
          <cell r="D15426" t="str">
            <v>Brent</v>
          </cell>
          <cell r="E15426" t="str">
            <v>Voluntary Aided School</v>
          </cell>
          <cell r="F15426" t="str">
            <v>Primary</v>
          </cell>
        </row>
        <row r="15427">
          <cell r="A15427">
            <v>2116352</v>
          </cell>
          <cell r="B15427">
            <v>100981</v>
          </cell>
          <cell r="C15427" t="str">
            <v>Islamic College London</v>
          </cell>
          <cell r="D15427" t="str">
            <v>Tower Hamlets</v>
          </cell>
          <cell r="E15427" t="str">
            <v>Other Independent School</v>
          </cell>
          <cell r="F15427" t="str">
            <v>Not applicable</v>
          </cell>
        </row>
        <row r="15428">
          <cell r="A15428">
            <v>8566023</v>
          </cell>
          <cell r="B15428">
            <v>136246</v>
          </cell>
          <cell r="C15428" t="str">
            <v>Islamic Dawah Academy</v>
          </cell>
          <cell r="D15428" t="str">
            <v>Leicester</v>
          </cell>
          <cell r="E15428" t="str">
            <v>Other Independent School</v>
          </cell>
          <cell r="F15428" t="str">
            <v>Not applicable</v>
          </cell>
        </row>
        <row r="15429">
          <cell r="A15429">
            <v>3076337</v>
          </cell>
          <cell r="B15429">
            <v>134818</v>
          </cell>
          <cell r="C15429" t="str">
            <v>Islamic Education and Recreational Institute</v>
          </cell>
          <cell r="D15429" t="str">
            <v>Ealing</v>
          </cell>
          <cell r="E15429" t="str">
            <v>Other Independent School</v>
          </cell>
          <cell r="F15429" t="str">
            <v>Not applicable</v>
          </cell>
        </row>
        <row r="15430">
          <cell r="A15430">
            <v>8566013</v>
          </cell>
          <cell r="B15430">
            <v>132055</v>
          </cell>
          <cell r="C15430" t="str">
            <v>Islamic Girls' School Leicester</v>
          </cell>
          <cell r="D15430" t="str">
            <v>Leicester</v>
          </cell>
          <cell r="E15430" t="str">
            <v>Other Independent School</v>
          </cell>
          <cell r="F15430" t="str">
            <v>Not applicable</v>
          </cell>
        </row>
        <row r="15431">
          <cell r="A15431">
            <v>3366024</v>
          </cell>
          <cell r="B15431">
            <v>134422</v>
          </cell>
          <cell r="C15431" t="str">
            <v>Islamic Preparatory School Wolverhampton</v>
          </cell>
          <cell r="D15431" t="str">
            <v>Wolverhampton</v>
          </cell>
          <cell r="E15431" t="str">
            <v>Other Independent School</v>
          </cell>
          <cell r="F15431" t="str">
            <v>Not applicable</v>
          </cell>
        </row>
        <row r="15432">
          <cell r="A15432">
            <v>3096087</v>
          </cell>
          <cell r="B15432">
            <v>134084</v>
          </cell>
          <cell r="C15432" t="str">
            <v>Islamic Shakhsiyah Foundation</v>
          </cell>
          <cell r="D15432" t="str">
            <v>Haringey</v>
          </cell>
          <cell r="E15432" t="str">
            <v>Other Independent School</v>
          </cell>
          <cell r="F15432" t="str">
            <v>Not applicable</v>
          </cell>
        </row>
        <row r="15433">
          <cell r="A15433">
            <v>8716003</v>
          </cell>
          <cell r="B15433">
            <v>134085</v>
          </cell>
          <cell r="C15433" t="str">
            <v>Islamic Shakhsiyah Foundation</v>
          </cell>
          <cell r="D15433" t="str">
            <v>Slough</v>
          </cell>
          <cell r="E15433" t="str">
            <v>Other Independent School</v>
          </cell>
          <cell r="F15433" t="str">
            <v>Not applicable</v>
          </cell>
        </row>
        <row r="15434">
          <cell r="A15434">
            <v>3806113</v>
          </cell>
          <cell r="B15434">
            <v>133453</v>
          </cell>
          <cell r="C15434" t="str">
            <v>Islamic Tarbiyah Preparatory School</v>
          </cell>
          <cell r="D15434" t="str">
            <v>Bradford</v>
          </cell>
          <cell r="E15434" t="str">
            <v>Other Independent School</v>
          </cell>
          <cell r="F15434" t="str">
            <v>Not applicable</v>
          </cell>
        </row>
        <row r="15435">
          <cell r="A15435">
            <v>8896007</v>
          </cell>
          <cell r="B15435">
            <v>132749</v>
          </cell>
          <cell r="C15435" t="str">
            <v>Islamiyah School</v>
          </cell>
          <cell r="D15435" t="str">
            <v>Blackburn with Darwen</v>
          </cell>
          <cell r="E15435" t="str">
            <v>Other Independent School</v>
          </cell>
          <cell r="F15435" t="str">
            <v>Not applicable</v>
          </cell>
        </row>
        <row r="15436">
          <cell r="A15436">
            <v>8738007</v>
          </cell>
          <cell r="B15436">
            <v>130611</v>
          </cell>
          <cell r="C15436" t="str">
            <v>Isle College</v>
          </cell>
          <cell r="D15436" t="str">
            <v>Cambridgeshire</v>
          </cell>
          <cell r="E15436" t="str">
            <v>Further Education</v>
          </cell>
          <cell r="F15436" t="str">
            <v>16 Plus</v>
          </cell>
        </row>
        <row r="15437">
          <cell r="A15437">
            <v>7058000</v>
          </cell>
          <cell r="B15437">
            <v>135752</v>
          </cell>
          <cell r="C15437" t="str">
            <v>Isle of Man College</v>
          </cell>
          <cell r="D15437" t="str">
            <v>Isle of Man Offshore Establishments</v>
          </cell>
          <cell r="E15437" t="str">
            <v>Offshore Schools</v>
          </cell>
          <cell r="F15437" t="str">
            <v>16 Plus</v>
          </cell>
        </row>
        <row r="15438">
          <cell r="A15438">
            <v>8733022</v>
          </cell>
          <cell r="B15438">
            <v>110791</v>
          </cell>
          <cell r="C15438" t="str">
            <v>Isleham Church of England Primary School</v>
          </cell>
          <cell r="D15438" t="str">
            <v>Cambridgeshire</v>
          </cell>
          <cell r="E15438" t="str">
            <v>Voluntary Controlled School</v>
          </cell>
          <cell r="F15438" t="str">
            <v>Primary</v>
          </cell>
        </row>
        <row r="15439">
          <cell r="A15439">
            <v>9336205</v>
          </cell>
          <cell r="B15439">
            <v>134878</v>
          </cell>
          <cell r="C15439" t="str">
            <v>Isleport School</v>
          </cell>
          <cell r="D15439" t="str">
            <v>Somerset</v>
          </cell>
          <cell r="E15439" t="str">
            <v>Other Independent Special School</v>
          </cell>
          <cell r="F15439" t="str">
            <v>Not applicable</v>
          </cell>
        </row>
        <row r="15440">
          <cell r="A15440">
            <v>3134500</v>
          </cell>
          <cell r="B15440">
            <v>102541</v>
          </cell>
          <cell r="C15440" t="str">
            <v>Isleworth and Syon School for Boys</v>
          </cell>
          <cell r="D15440" t="str">
            <v>Hounslow</v>
          </cell>
          <cell r="E15440" t="str">
            <v>Voluntary Controlled School</v>
          </cell>
          <cell r="F15440" t="str">
            <v>Secondary</v>
          </cell>
        </row>
        <row r="15441">
          <cell r="A15441">
            <v>3132034</v>
          </cell>
          <cell r="B15441">
            <v>102492</v>
          </cell>
          <cell r="C15441" t="str">
            <v>Isleworth Town Primary School</v>
          </cell>
          <cell r="D15441" t="str">
            <v>Hounslow</v>
          </cell>
          <cell r="E15441" t="str">
            <v>Community School</v>
          </cell>
          <cell r="F15441" t="str">
            <v>Primary</v>
          </cell>
        </row>
        <row r="15442">
          <cell r="A15442">
            <v>2064325</v>
          </cell>
          <cell r="B15442">
            <v>131690</v>
          </cell>
          <cell r="C15442" t="str">
            <v>Islington Arts and Media School</v>
          </cell>
          <cell r="D15442" t="str">
            <v>Islington</v>
          </cell>
          <cell r="E15442" t="str">
            <v>Foundation School</v>
          </cell>
          <cell r="F15442" t="str">
            <v>Secondary</v>
          </cell>
        </row>
        <row r="15443">
          <cell r="A15443">
            <v>2064211</v>
          </cell>
          <cell r="B15443">
            <v>100454</v>
          </cell>
          <cell r="C15443" t="str">
            <v>Islington Green School</v>
          </cell>
          <cell r="D15443" t="str">
            <v>Islington</v>
          </cell>
          <cell r="E15443" t="str">
            <v>Community School</v>
          </cell>
          <cell r="F15443" t="str">
            <v>Secondary</v>
          </cell>
        </row>
        <row r="15444">
          <cell r="A15444">
            <v>2064900</v>
          </cell>
          <cell r="B15444">
            <v>136138</v>
          </cell>
          <cell r="C15444" t="str">
            <v>Islington Sixth Form Consortium</v>
          </cell>
          <cell r="D15444" t="str">
            <v>Islington</v>
          </cell>
          <cell r="E15444" t="str">
            <v>Sixth Form Centres</v>
          </cell>
          <cell r="F15444" t="str">
            <v>16 Plus</v>
          </cell>
        </row>
        <row r="15445">
          <cell r="A15445">
            <v>3072038</v>
          </cell>
          <cell r="B15445">
            <v>126828</v>
          </cell>
          <cell r="C15445" t="str">
            <v>Islip Manor First School</v>
          </cell>
          <cell r="D15445" t="str">
            <v>Ealing</v>
          </cell>
          <cell r="E15445" t="str">
            <v>Community School</v>
          </cell>
          <cell r="F15445" t="str">
            <v>Primary</v>
          </cell>
        </row>
        <row r="15446">
          <cell r="A15446">
            <v>3072037</v>
          </cell>
          <cell r="B15446">
            <v>126827</v>
          </cell>
          <cell r="C15446" t="str">
            <v>Islip Manor Middle School</v>
          </cell>
          <cell r="D15446" t="str">
            <v>Ealing</v>
          </cell>
          <cell r="E15446" t="str">
            <v>Community School</v>
          </cell>
          <cell r="F15446" t="str">
            <v>Middle Deemed Primary</v>
          </cell>
        </row>
        <row r="15447">
          <cell r="A15447">
            <v>9283037</v>
          </cell>
          <cell r="B15447">
            <v>129692</v>
          </cell>
          <cell r="C15447" t="str">
            <v>Islip St Nicholas CofE Primary School</v>
          </cell>
          <cell r="D15447" t="str">
            <v>Northamptonshire</v>
          </cell>
          <cell r="E15447" t="str">
            <v>Voluntary Controlled School</v>
          </cell>
          <cell r="F15447" t="str">
            <v>Primary</v>
          </cell>
        </row>
        <row r="15448">
          <cell r="A15448">
            <v>8866078</v>
          </cell>
          <cell r="B15448">
            <v>131484</v>
          </cell>
          <cell r="C15448" t="str">
            <v>Isp Maidstone</v>
          </cell>
          <cell r="D15448" t="str">
            <v>Kent</v>
          </cell>
          <cell r="E15448" t="str">
            <v>Other Independent School</v>
          </cell>
          <cell r="F15448" t="str">
            <v>Not applicable</v>
          </cell>
        </row>
        <row r="15449">
          <cell r="A15449">
            <v>8876005</v>
          </cell>
          <cell r="B15449">
            <v>131485</v>
          </cell>
          <cell r="C15449" t="str">
            <v>Isp Rainham</v>
          </cell>
          <cell r="D15449" t="str">
            <v>Medway</v>
          </cell>
          <cell r="E15449" t="str">
            <v>Other Independent Special School</v>
          </cell>
          <cell r="F15449" t="str">
            <v>Not applicable</v>
          </cell>
        </row>
        <row r="15450">
          <cell r="A15450">
            <v>8866065</v>
          </cell>
          <cell r="B15450">
            <v>119015</v>
          </cell>
          <cell r="C15450" t="str">
            <v>Isp School (Kent)</v>
          </cell>
          <cell r="D15450" t="str">
            <v>Kent</v>
          </cell>
          <cell r="E15450" t="str">
            <v>Other Independent Special School</v>
          </cell>
          <cell r="F15450" t="str">
            <v>Not applicable</v>
          </cell>
        </row>
        <row r="15451">
          <cell r="A15451">
            <v>8866090</v>
          </cell>
          <cell r="B15451">
            <v>133310</v>
          </cell>
          <cell r="C15451" t="str">
            <v>Isp Teynham</v>
          </cell>
          <cell r="D15451" t="str">
            <v>Kent</v>
          </cell>
          <cell r="E15451" t="str">
            <v>Other Independent Special School</v>
          </cell>
          <cell r="F15451" t="str">
            <v>Not applicable</v>
          </cell>
        </row>
        <row r="15452">
          <cell r="A15452">
            <v>8866077</v>
          </cell>
          <cell r="B15452">
            <v>131483</v>
          </cell>
          <cell r="C15452" t="str">
            <v>Isp Whitstable</v>
          </cell>
          <cell r="D15452" t="str">
            <v>Kent</v>
          </cell>
          <cell r="E15452" t="str">
            <v>Other Independent School</v>
          </cell>
          <cell r="F15452" t="str">
            <v>Not applicable</v>
          </cell>
        </row>
        <row r="15453">
          <cell r="A15453">
            <v>9222501</v>
          </cell>
          <cell r="B15453">
            <v>129387</v>
          </cell>
          <cell r="C15453" t="str">
            <v>Istead Rise County Infant School</v>
          </cell>
          <cell r="D15453" t="str">
            <v>Pre LGR (1998) Kent</v>
          </cell>
          <cell r="E15453" t="str">
            <v>Community School</v>
          </cell>
          <cell r="F15453" t="str">
            <v>Primary</v>
          </cell>
        </row>
        <row r="15454">
          <cell r="A15454">
            <v>8862458</v>
          </cell>
          <cell r="B15454">
            <v>118452</v>
          </cell>
          <cell r="C15454" t="str">
            <v>Istead Rise Primary School</v>
          </cell>
          <cell r="D15454" t="str">
            <v>Kent</v>
          </cell>
          <cell r="E15454" t="str">
            <v>Community School</v>
          </cell>
          <cell r="F15454" t="str">
            <v>Primary</v>
          </cell>
        </row>
        <row r="15455">
          <cell r="A15455">
            <v>935940</v>
          </cell>
          <cell r="B15455">
            <v>133419</v>
          </cell>
          <cell r="C15455" t="str">
            <v>IT Learning Zone</v>
          </cell>
          <cell r="D15455" t="str">
            <v>Suffolk</v>
          </cell>
          <cell r="E15455" t="str">
            <v>Playing for Success Centres</v>
          </cell>
          <cell r="F15455" t="str">
            <v>Not applicable</v>
          </cell>
        </row>
        <row r="15456">
          <cell r="A15456">
            <v>2066162</v>
          </cell>
          <cell r="B15456">
            <v>100461</v>
          </cell>
          <cell r="C15456" t="str">
            <v>Italia Conti Academy of Theatre Arts</v>
          </cell>
          <cell r="D15456" t="str">
            <v>Islington</v>
          </cell>
          <cell r="E15456" t="str">
            <v>Other Independent School</v>
          </cell>
          <cell r="F15456" t="str">
            <v>Not applicable</v>
          </cell>
        </row>
        <row r="15457">
          <cell r="A15457">
            <v>8502117</v>
          </cell>
          <cell r="B15457">
            <v>115920</v>
          </cell>
          <cell r="C15457" t="str">
            <v>Itchen Abbas Primary School</v>
          </cell>
          <cell r="D15457" t="str">
            <v>Hampshire</v>
          </cell>
          <cell r="E15457" t="str">
            <v>Community School</v>
          </cell>
          <cell r="F15457" t="str">
            <v>Primary</v>
          </cell>
        </row>
        <row r="15458">
          <cell r="A15458">
            <v>9174269</v>
          </cell>
          <cell r="B15458">
            <v>129044</v>
          </cell>
          <cell r="C15458" t="str">
            <v>Itchen College</v>
          </cell>
          <cell r="D15458" t="str">
            <v>Pre LGR (1997) Hampshire</v>
          </cell>
          <cell r="E15458" t="str">
            <v>Community School</v>
          </cell>
          <cell r="F15458" t="str">
            <v>Secondary</v>
          </cell>
        </row>
        <row r="15459">
          <cell r="A15459">
            <v>8528605</v>
          </cell>
          <cell r="B15459">
            <v>130704</v>
          </cell>
          <cell r="C15459" t="str">
            <v>Itchen College</v>
          </cell>
          <cell r="D15459" t="str">
            <v>Southampton</v>
          </cell>
          <cell r="E15459" t="str">
            <v>Further Education</v>
          </cell>
          <cell r="F15459" t="str">
            <v>16 Plus</v>
          </cell>
        </row>
        <row r="15460">
          <cell r="A15460">
            <v>8509901</v>
          </cell>
          <cell r="B15460">
            <v>133228</v>
          </cell>
          <cell r="C15460" t="str">
            <v>Itchen Valley Education Trust</v>
          </cell>
          <cell r="D15460" t="str">
            <v>Hampshire</v>
          </cell>
          <cell r="E15460" t="str">
            <v>Miscellaneous</v>
          </cell>
          <cell r="F15460" t="str">
            <v>Not applicable</v>
          </cell>
        </row>
        <row r="15461">
          <cell r="A15461">
            <v>9382038</v>
          </cell>
          <cell r="B15461">
            <v>125838</v>
          </cell>
          <cell r="C15461" t="str">
            <v>Itchingfield Primary School</v>
          </cell>
          <cell r="D15461" t="str">
            <v>West Sussex</v>
          </cell>
          <cell r="E15461" t="str">
            <v>Community School</v>
          </cell>
          <cell r="F15461" t="str">
            <v>Primary</v>
          </cell>
        </row>
        <row r="15462">
          <cell r="A15462">
            <v>8554028</v>
          </cell>
          <cell r="B15462">
            <v>120251</v>
          </cell>
          <cell r="C15462" t="str">
            <v>Ivanhoe College Ashby-De-La-Zouch</v>
          </cell>
          <cell r="D15462" t="str">
            <v>Leicestershire</v>
          </cell>
          <cell r="E15462" t="str">
            <v>Community School</v>
          </cell>
          <cell r="F15462" t="str">
            <v>Secondary</v>
          </cell>
        </row>
        <row r="15463">
          <cell r="A15463">
            <v>9311100</v>
          </cell>
          <cell r="B15463">
            <v>122985</v>
          </cell>
          <cell r="C15463" t="str">
            <v>Ivanhoe Tutorial Unit</v>
          </cell>
          <cell r="D15463" t="str">
            <v>Oxfordshire</v>
          </cell>
          <cell r="E15463" t="str">
            <v>Pupil Referral Unit</v>
          </cell>
          <cell r="F15463" t="str">
            <v>PRU</v>
          </cell>
        </row>
        <row r="15464">
          <cell r="A15464">
            <v>9093309</v>
          </cell>
          <cell r="B15464">
            <v>112303</v>
          </cell>
          <cell r="C15464" t="str">
            <v>Ivegill CofE School</v>
          </cell>
          <cell r="D15464" t="str">
            <v>Cumbria</v>
          </cell>
          <cell r="E15464" t="str">
            <v>Voluntary Aided School</v>
          </cell>
          <cell r="F15464" t="str">
            <v>Primary</v>
          </cell>
        </row>
        <row r="15465">
          <cell r="A15465">
            <v>8252270</v>
          </cell>
          <cell r="B15465">
            <v>110343</v>
          </cell>
          <cell r="C15465" t="str">
            <v>Iver Heath Infant School and Nursery</v>
          </cell>
          <cell r="D15465" t="str">
            <v>Buckinghamshire</v>
          </cell>
          <cell r="E15465" t="str">
            <v>Community School</v>
          </cell>
          <cell r="F15465" t="str">
            <v>Primary</v>
          </cell>
        </row>
        <row r="15466">
          <cell r="A15466">
            <v>8252168</v>
          </cell>
          <cell r="B15466">
            <v>110279</v>
          </cell>
          <cell r="C15466" t="str">
            <v>Iver Heath Junior School</v>
          </cell>
          <cell r="D15466" t="str">
            <v>Buckinghamshire</v>
          </cell>
          <cell r="E15466" t="str">
            <v>Community School</v>
          </cell>
          <cell r="F15466" t="str">
            <v>Primary</v>
          </cell>
        </row>
        <row r="15467">
          <cell r="A15467">
            <v>8252315</v>
          </cell>
          <cell r="B15467">
            <v>110374</v>
          </cell>
          <cell r="C15467" t="str">
            <v>Iver Village Infant School</v>
          </cell>
          <cell r="D15467" t="str">
            <v>Buckinghamshire</v>
          </cell>
          <cell r="E15467" t="str">
            <v>Community School</v>
          </cell>
          <cell r="F15467" t="str">
            <v>Primary</v>
          </cell>
        </row>
        <row r="15468">
          <cell r="A15468">
            <v>8357905</v>
          </cell>
          <cell r="B15468">
            <v>131894</v>
          </cell>
          <cell r="C15468" t="str">
            <v>Ivers College</v>
          </cell>
          <cell r="D15468" t="str">
            <v>Dorset</v>
          </cell>
          <cell r="E15468" t="str">
            <v>Special College</v>
          </cell>
          <cell r="F15468" t="str">
            <v>16 Plus</v>
          </cell>
        </row>
        <row r="15469">
          <cell r="A15469">
            <v>3832109</v>
          </cell>
          <cell r="B15469">
            <v>127834</v>
          </cell>
          <cell r="C15469" t="str">
            <v>Iveson House First School</v>
          </cell>
          <cell r="D15469" t="str">
            <v>Leeds</v>
          </cell>
          <cell r="E15469" t="str">
            <v>Community School</v>
          </cell>
          <cell r="F15469" t="str">
            <v>Primary</v>
          </cell>
        </row>
        <row r="15470">
          <cell r="A15470">
            <v>3832410</v>
          </cell>
          <cell r="B15470">
            <v>107886</v>
          </cell>
          <cell r="C15470" t="str">
            <v>Iveson Primary School</v>
          </cell>
          <cell r="D15470" t="str">
            <v>Leeds</v>
          </cell>
          <cell r="E15470" t="str">
            <v>Community School</v>
          </cell>
          <cell r="F15470" t="str">
            <v>Primary</v>
          </cell>
        </row>
        <row r="15471">
          <cell r="A15471">
            <v>8843349</v>
          </cell>
          <cell r="B15471">
            <v>116894</v>
          </cell>
          <cell r="C15471" t="str">
            <v>Ivington CofE Primary School</v>
          </cell>
          <cell r="D15471" t="str">
            <v>Herefordshire</v>
          </cell>
          <cell r="E15471" t="str">
            <v>Voluntary Aided School</v>
          </cell>
          <cell r="F15471" t="str">
            <v>Primary</v>
          </cell>
        </row>
        <row r="15472">
          <cell r="A15472">
            <v>8952151</v>
          </cell>
          <cell r="B15472">
            <v>111022</v>
          </cell>
          <cell r="C15472" t="str">
            <v>Ivy Bank Primary School</v>
          </cell>
          <cell r="D15472" t="str">
            <v>Cheshire East</v>
          </cell>
          <cell r="E15472" t="str">
            <v>Community School</v>
          </cell>
          <cell r="F15472" t="str">
            <v>Primary</v>
          </cell>
        </row>
        <row r="15473">
          <cell r="A15473">
            <v>8812823</v>
          </cell>
          <cell r="B15473">
            <v>115013</v>
          </cell>
          <cell r="C15473" t="str">
            <v>Ivy Chimneys Primary School</v>
          </cell>
          <cell r="D15473" t="str">
            <v>Essex</v>
          </cell>
          <cell r="E15473" t="str">
            <v>Community School</v>
          </cell>
          <cell r="F15473" t="str">
            <v>Primary</v>
          </cell>
        </row>
        <row r="15474">
          <cell r="A15474">
            <v>3566029</v>
          </cell>
          <cell r="B15474">
            <v>134316</v>
          </cell>
          <cell r="C15474" t="str">
            <v>Ivy Cottage Residential School</v>
          </cell>
          <cell r="D15474" t="str">
            <v>Stockport</v>
          </cell>
          <cell r="E15474" t="str">
            <v>Other Independent Special School</v>
          </cell>
          <cell r="F15474" t="str">
            <v>Not applicable</v>
          </cell>
        </row>
        <row r="15475">
          <cell r="A15475">
            <v>8317026</v>
          </cell>
          <cell r="B15475">
            <v>113047</v>
          </cell>
          <cell r="C15475" t="str">
            <v>Ivy House School</v>
          </cell>
          <cell r="D15475" t="str">
            <v>Derby</v>
          </cell>
          <cell r="E15475" t="str">
            <v>Community Special School</v>
          </cell>
          <cell r="F15475" t="str">
            <v>Special</v>
          </cell>
        </row>
        <row r="15476">
          <cell r="A15476">
            <v>8652022</v>
          </cell>
          <cell r="B15476">
            <v>126181</v>
          </cell>
          <cell r="C15476" t="str">
            <v>Ivy Lane Primary School</v>
          </cell>
          <cell r="D15476" t="str">
            <v>Wiltshire</v>
          </cell>
          <cell r="E15476" t="str">
            <v>Community School</v>
          </cell>
          <cell r="F15476" t="str">
            <v>Primary</v>
          </cell>
        </row>
        <row r="15477">
          <cell r="A15477">
            <v>3922080</v>
          </cell>
          <cell r="B15477">
            <v>108606</v>
          </cell>
          <cell r="C15477" t="str">
            <v>Ivy Road Primary School</v>
          </cell>
          <cell r="D15477" t="str">
            <v>North Tyneside</v>
          </cell>
          <cell r="E15477" t="str">
            <v>Community School</v>
          </cell>
          <cell r="F15477" t="str">
            <v>Primary</v>
          </cell>
        </row>
        <row r="15478">
          <cell r="A15478">
            <v>8784184</v>
          </cell>
          <cell r="B15478">
            <v>113541</v>
          </cell>
          <cell r="C15478" t="str">
            <v>Ivybridge Community College</v>
          </cell>
          <cell r="D15478" t="str">
            <v>Devon</v>
          </cell>
          <cell r="E15478" t="str">
            <v>Community School</v>
          </cell>
          <cell r="F15478" t="str">
            <v>Secondary</v>
          </cell>
        </row>
        <row r="15479">
          <cell r="A15479">
            <v>8784184</v>
          </cell>
          <cell r="B15479">
            <v>136336</v>
          </cell>
          <cell r="C15479" t="str">
            <v>Ivybridge Community College</v>
          </cell>
          <cell r="D15479" t="str">
            <v>Devon</v>
          </cell>
          <cell r="E15479" t="str">
            <v>Academy Converters</v>
          </cell>
          <cell r="F15479" t="str">
            <v>Secondary</v>
          </cell>
        </row>
        <row r="15480">
          <cell r="A15480">
            <v>3132061</v>
          </cell>
          <cell r="B15480">
            <v>102512</v>
          </cell>
          <cell r="C15480" t="str">
            <v>Ivybridge Primary School</v>
          </cell>
          <cell r="D15480" t="str">
            <v>Hounslow</v>
          </cell>
          <cell r="E15480" t="str">
            <v>Community School</v>
          </cell>
          <cell r="F15480" t="str">
            <v>Primary</v>
          </cell>
        </row>
        <row r="15481">
          <cell r="A15481">
            <v>2102328</v>
          </cell>
          <cell r="B15481">
            <v>100796</v>
          </cell>
          <cell r="C15481" t="str">
            <v>Ivydale Primary School</v>
          </cell>
          <cell r="D15481" t="str">
            <v>Southwark</v>
          </cell>
          <cell r="E15481" t="str">
            <v>Community School</v>
          </cell>
          <cell r="F15481" t="str">
            <v>Primary</v>
          </cell>
        </row>
        <row r="15482">
          <cell r="A15482">
            <v>8862230</v>
          </cell>
          <cell r="B15482">
            <v>118340</v>
          </cell>
          <cell r="C15482" t="str">
            <v>Iwade Community Primary School</v>
          </cell>
          <cell r="D15482" t="str">
            <v>Kent</v>
          </cell>
          <cell r="E15482" t="str">
            <v>Community School</v>
          </cell>
          <cell r="F15482" t="str">
            <v>Primary</v>
          </cell>
        </row>
        <row r="15483">
          <cell r="A15483">
            <v>9353040</v>
          </cell>
          <cell r="B15483">
            <v>124704</v>
          </cell>
          <cell r="C15483" t="str">
            <v>Ixworth Church of England Voluntary Controlled Primary School</v>
          </cell>
          <cell r="D15483" t="str">
            <v>Suffolk</v>
          </cell>
          <cell r="E15483" t="str">
            <v>Voluntary Controlled School</v>
          </cell>
          <cell r="F15483" t="str">
            <v>Primary</v>
          </cell>
        </row>
        <row r="15484">
          <cell r="A15484">
            <v>9354015</v>
          </cell>
          <cell r="B15484">
            <v>124794</v>
          </cell>
          <cell r="C15484" t="str">
            <v>Ixworth Middle School</v>
          </cell>
          <cell r="D15484" t="str">
            <v>Suffolk</v>
          </cell>
          <cell r="E15484" t="str">
            <v>Community School</v>
          </cell>
          <cell r="F15484" t="str">
            <v>Middle Deemed Secondary</v>
          </cell>
        </row>
        <row r="15485">
          <cell r="A15485">
            <v>8962065</v>
          </cell>
          <cell r="B15485">
            <v>110983</v>
          </cell>
          <cell r="C15485" t="str">
            <v>J H Godwin Primary School</v>
          </cell>
          <cell r="D15485" t="str">
            <v>Cheshire West and Chester</v>
          </cell>
          <cell r="E15485" t="str">
            <v>Community School</v>
          </cell>
          <cell r="F15485" t="str">
            <v>Primary</v>
          </cell>
        </row>
        <row r="15486">
          <cell r="A15486">
            <v>3806109</v>
          </cell>
          <cell r="B15486">
            <v>107460</v>
          </cell>
          <cell r="C15486" t="str">
            <v>Jaamiatul Imaam Muhammad Zakaria</v>
          </cell>
          <cell r="D15486" t="str">
            <v>Bradford</v>
          </cell>
          <cell r="E15486" t="str">
            <v>Other Independent School</v>
          </cell>
          <cell r="F15486" t="str">
            <v>Not applicable</v>
          </cell>
        </row>
        <row r="15487">
          <cell r="A15487">
            <v>3186055</v>
          </cell>
          <cell r="B15487">
            <v>102939</v>
          </cell>
          <cell r="C15487" t="str">
            <v>Jack and Jill School</v>
          </cell>
          <cell r="D15487" t="str">
            <v>Richmond upon Thames</v>
          </cell>
          <cell r="E15487" t="str">
            <v>Other Independent School</v>
          </cell>
          <cell r="F15487" t="str">
            <v>Not applicable</v>
          </cell>
        </row>
        <row r="15488">
          <cell r="A15488">
            <v>8745405</v>
          </cell>
          <cell r="B15488">
            <v>110899</v>
          </cell>
          <cell r="C15488" t="str">
            <v>Jack Hunt School</v>
          </cell>
          <cell r="D15488" t="str">
            <v>Peterborough</v>
          </cell>
          <cell r="E15488" t="str">
            <v>Foundation School</v>
          </cell>
          <cell r="F15488" t="str">
            <v>Secondary</v>
          </cell>
        </row>
        <row r="15489">
          <cell r="A15489">
            <v>8832834</v>
          </cell>
          <cell r="B15489">
            <v>115017</v>
          </cell>
          <cell r="C15489" t="str">
            <v>Jack Lobley Primary School</v>
          </cell>
          <cell r="D15489" t="str">
            <v>Thurrock</v>
          </cell>
          <cell r="E15489" t="str">
            <v>Community School</v>
          </cell>
          <cell r="F15489" t="str">
            <v>Primary</v>
          </cell>
        </row>
        <row r="15490">
          <cell r="A15490">
            <v>2027185</v>
          </cell>
          <cell r="B15490">
            <v>100093</v>
          </cell>
          <cell r="C15490" t="str">
            <v>Jack Taylor School</v>
          </cell>
          <cell r="D15490" t="str">
            <v>Camden</v>
          </cell>
          <cell r="E15490" t="str">
            <v>Community Special School</v>
          </cell>
          <cell r="F15490" t="str">
            <v>Special</v>
          </cell>
        </row>
        <row r="15491">
          <cell r="A15491">
            <v>2057203</v>
          </cell>
          <cell r="B15491">
            <v>100381</v>
          </cell>
          <cell r="C15491" t="str">
            <v>Jack Tizard School</v>
          </cell>
          <cell r="D15491" t="str">
            <v>Hammersmith and Fulham</v>
          </cell>
          <cell r="E15491" t="str">
            <v>Community Special School</v>
          </cell>
          <cell r="F15491" t="str">
            <v>Special</v>
          </cell>
        </row>
        <row r="15492">
          <cell r="A15492">
            <v>8612020</v>
          </cell>
          <cell r="B15492">
            <v>123982</v>
          </cell>
          <cell r="C15492" t="str">
            <v>Jackfield Infant School</v>
          </cell>
          <cell r="D15492" t="str">
            <v>Stoke-on-Trent</v>
          </cell>
          <cell r="E15492" t="str">
            <v>Community School</v>
          </cell>
          <cell r="F15492" t="str">
            <v>Primary</v>
          </cell>
        </row>
        <row r="15493">
          <cell r="A15493">
            <v>8912444</v>
          </cell>
          <cell r="B15493">
            <v>122580</v>
          </cell>
          <cell r="C15493" t="str">
            <v>Jacksdale Primary and Nursery School</v>
          </cell>
          <cell r="D15493" t="str">
            <v>Nottinghamshire</v>
          </cell>
          <cell r="E15493" t="str">
            <v>Community School</v>
          </cell>
          <cell r="F15493" t="str">
            <v>Primary</v>
          </cell>
        </row>
        <row r="15494">
          <cell r="A15494">
            <v>9082630</v>
          </cell>
          <cell r="B15494">
            <v>111944</v>
          </cell>
          <cell r="C15494" t="str">
            <v>Jacobstow Community Primary School</v>
          </cell>
          <cell r="D15494" t="str">
            <v>Cornwall</v>
          </cell>
          <cell r="E15494" t="str">
            <v>Community School</v>
          </cell>
          <cell r="F15494" t="str">
            <v>Primary</v>
          </cell>
        </row>
        <row r="15495">
          <cell r="A15495">
            <v>8816039</v>
          </cell>
          <cell r="B15495">
            <v>115434</v>
          </cell>
          <cell r="C15495" t="str">
            <v>Jacques Hall Foundation</v>
          </cell>
          <cell r="D15495" t="str">
            <v>Essex</v>
          </cell>
          <cell r="E15495" t="str">
            <v>Other Independent Special School</v>
          </cell>
          <cell r="F15495" t="str">
            <v>Not applicable</v>
          </cell>
        </row>
        <row r="15496">
          <cell r="A15496">
            <v>3304232</v>
          </cell>
          <cell r="B15496">
            <v>103512</v>
          </cell>
          <cell r="C15496" t="str">
            <v>Jaffray School</v>
          </cell>
          <cell r="D15496" t="str">
            <v>Birmingham</v>
          </cell>
          <cell r="E15496" t="str">
            <v>Community School</v>
          </cell>
          <cell r="F15496" t="str">
            <v>Secondary</v>
          </cell>
        </row>
        <row r="15497">
          <cell r="A15497">
            <v>3301023</v>
          </cell>
          <cell r="B15497">
            <v>103136</v>
          </cell>
          <cell r="C15497" t="str">
            <v>Jakeman Nursery School</v>
          </cell>
          <cell r="D15497" t="str">
            <v>Birmingham</v>
          </cell>
          <cell r="E15497" t="str">
            <v>LA Nursery School</v>
          </cell>
          <cell r="F15497" t="str">
            <v>Nursery</v>
          </cell>
        </row>
        <row r="15498">
          <cell r="A15498">
            <v>3336005</v>
          </cell>
          <cell r="B15498">
            <v>135792</v>
          </cell>
          <cell r="C15498" t="str">
            <v>Jalaliah Educational Institution</v>
          </cell>
          <cell r="D15498" t="str">
            <v>Sandwell</v>
          </cell>
          <cell r="E15498" t="str">
            <v>Other Independent School</v>
          </cell>
          <cell r="F15498" t="str">
            <v>Not applicable</v>
          </cell>
        </row>
        <row r="15499">
          <cell r="A15499">
            <v>2076328</v>
          </cell>
          <cell r="B15499">
            <v>100535</v>
          </cell>
          <cell r="C15499" t="str">
            <v>Jamahiriya School</v>
          </cell>
          <cell r="D15499" t="str">
            <v>Kensington and Chelsea</v>
          </cell>
          <cell r="E15499" t="str">
            <v>Other Independent School</v>
          </cell>
          <cell r="F15499" t="str">
            <v>Not applicable</v>
          </cell>
        </row>
        <row r="15500">
          <cell r="A15500">
            <v>8886034</v>
          </cell>
          <cell r="B15500">
            <v>131355</v>
          </cell>
          <cell r="C15500" t="str">
            <v>Jamea Al Kauthar</v>
          </cell>
          <cell r="D15500" t="str">
            <v>Lancashire</v>
          </cell>
          <cell r="E15500" t="str">
            <v>Other Independent School</v>
          </cell>
          <cell r="F15500" t="str">
            <v>Not applicable</v>
          </cell>
        </row>
        <row r="15501">
          <cell r="A15501">
            <v>8566015</v>
          </cell>
          <cell r="B15501">
            <v>133349</v>
          </cell>
          <cell r="C15501" t="str">
            <v>Jameah Academy</v>
          </cell>
          <cell r="D15501" t="str">
            <v>Leicester</v>
          </cell>
          <cell r="E15501" t="str">
            <v>Other Independent School</v>
          </cell>
          <cell r="F15501" t="str">
            <v>Not applicable</v>
          </cell>
        </row>
        <row r="15502">
          <cell r="A15502">
            <v>8456052</v>
          </cell>
          <cell r="B15502">
            <v>134436</v>
          </cell>
          <cell r="C15502" t="str">
            <v>Jameah Islameah</v>
          </cell>
          <cell r="D15502" t="str">
            <v>East Sussex</v>
          </cell>
          <cell r="E15502" t="str">
            <v>Other Independent School</v>
          </cell>
          <cell r="F15502" t="str">
            <v>Not applicable</v>
          </cell>
        </row>
        <row r="15503">
          <cell r="A15503">
            <v>8456013</v>
          </cell>
          <cell r="B15503">
            <v>114668</v>
          </cell>
          <cell r="C15503" t="str">
            <v>Jameah Islameyah</v>
          </cell>
          <cell r="D15503" t="str">
            <v>East Sussex</v>
          </cell>
          <cell r="E15503" t="str">
            <v>Other Independent School</v>
          </cell>
          <cell r="F15503" t="str">
            <v>Not applicable</v>
          </cell>
        </row>
        <row r="15504">
          <cell r="A15504">
            <v>2106002</v>
          </cell>
          <cell r="B15504">
            <v>100863</v>
          </cell>
          <cell r="C15504" t="str">
            <v>James Allen's Girls' School</v>
          </cell>
          <cell r="D15504" t="str">
            <v>Southwark</v>
          </cell>
          <cell r="E15504" t="str">
            <v>Other Independent School</v>
          </cell>
          <cell r="F15504" t="str">
            <v>Not applicable</v>
          </cell>
        </row>
        <row r="15505">
          <cell r="A15505">
            <v>8604144</v>
          </cell>
          <cell r="B15505">
            <v>124428</v>
          </cell>
          <cell r="C15505" t="str">
            <v>James Bateman Junior High School</v>
          </cell>
          <cell r="D15505" t="str">
            <v>Staffordshire</v>
          </cell>
          <cell r="E15505" t="str">
            <v>Community School</v>
          </cell>
          <cell r="F15505" t="str">
            <v>Middle Deemed Secondary</v>
          </cell>
        </row>
        <row r="15506">
          <cell r="A15506">
            <v>3552082</v>
          </cell>
          <cell r="B15506">
            <v>105918</v>
          </cell>
          <cell r="C15506" t="str">
            <v>James Brindley Community Primary School</v>
          </cell>
          <cell r="D15506" t="str">
            <v>Salford</v>
          </cell>
          <cell r="E15506" t="str">
            <v>Community School</v>
          </cell>
          <cell r="F15506" t="str">
            <v>Primary</v>
          </cell>
        </row>
        <row r="15507">
          <cell r="A15507">
            <v>8614184</v>
          </cell>
          <cell r="B15507">
            <v>124447</v>
          </cell>
          <cell r="C15507" t="str">
            <v>James Brindley High School</v>
          </cell>
          <cell r="D15507" t="str">
            <v>Stoke-on-Trent</v>
          </cell>
          <cell r="E15507" t="str">
            <v>Community School</v>
          </cell>
          <cell r="F15507" t="str">
            <v>Secondary</v>
          </cell>
        </row>
        <row r="15508">
          <cell r="A15508">
            <v>3307063</v>
          </cell>
          <cell r="B15508">
            <v>131473</v>
          </cell>
          <cell r="C15508" t="str">
            <v>James Brindley School</v>
          </cell>
          <cell r="D15508" t="str">
            <v>Birmingham</v>
          </cell>
          <cell r="E15508" t="str">
            <v>Community Special School</v>
          </cell>
          <cell r="F15508" t="str">
            <v>Special</v>
          </cell>
        </row>
        <row r="15509">
          <cell r="A15509">
            <v>9294439</v>
          </cell>
          <cell r="B15509">
            <v>122363</v>
          </cell>
          <cell r="C15509" t="str">
            <v>James Calvert Spence College - Acklington Road</v>
          </cell>
          <cell r="D15509" t="str">
            <v>Northumberland</v>
          </cell>
          <cell r="E15509" t="str">
            <v>Community School</v>
          </cell>
          <cell r="F15509" t="str">
            <v>Secondary</v>
          </cell>
        </row>
        <row r="15510">
          <cell r="A15510">
            <v>9294239</v>
          </cell>
          <cell r="B15510">
            <v>122344</v>
          </cell>
          <cell r="C15510" t="str">
            <v>James Calvert Spence College - Hadston Road</v>
          </cell>
          <cell r="D15510" t="str">
            <v>Northumberland</v>
          </cell>
          <cell r="E15510" t="str">
            <v>Community School</v>
          </cell>
          <cell r="F15510" t="str">
            <v>Middle Deemed Secondary</v>
          </cell>
        </row>
        <row r="15511">
          <cell r="A15511">
            <v>9294337</v>
          </cell>
          <cell r="B15511">
            <v>122349</v>
          </cell>
          <cell r="C15511" t="str">
            <v>James Calvert Spence College - South Avenue</v>
          </cell>
          <cell r="D15511" t="str">
            <v>Northumberland</v>
          </cell>
          <cell r="E15511" t="str">
            <v>Community School</v>
          </cell>
          <cell r="F15511" t="str">
            <v>Middle Deemed Secondary</v>
          </cell>
        </row>
        <row r="15512">
          <cell r="A15512">
            <v>3052062</v>
          </cell>
          <cell r="B15512">
            <v>101631</v>
          </cell>
          <cell r="C15512" t="str">
            <v>James Dixon Primary School</v>
          </cell>
          <cell r="D15512" t="str">
            <v>Bromley</v>
          </cell>
          <cell r="E15512" t="str">
            <v>Community School</v>
          </cell>
          <cell r="F15512" t="str">
            <v>Primary</v>
          </cell>
        </row>
        <row r="15513">
          <cell r="A15513">
            <v>9032195</v>
          </cell>
          <cell r="B15513">
            <v>109902</v>
          </cell>
          <cell r="C15513" t="str">
            <v>James Elliman First School</v>
          </cell>
          <cell r="D15513" t="str">
            <v>Pre LGR (1998) Berkshire</v>
          </cell>
          <cell r="E15513" t="str">
            <v>Community School</v>
          </cell>
          <cell r="F15513" t="str">
            <v>Primary</v>
          </cell>
        </row>
        <row r="15514">
          <cell r="A15514">
            <v>9032224</v>
          </cell>
          <cell r="B15514">
            <v>109918</v>
          </cell>
          <cell r="C15514" t="str">
            <v>James Elliman Junior School</v>
          </cell>
          <cell r="D15514" t="str">
            <v>Pre LGR (1998) Berkshire</v>
          </cell>
          <cell r="E15514" t="str">
            <v>Community School</v>
          </cell>
          <cell r="F15514" t="str">
            <v>Middle Deemed Primary</v>
          </cell>
        </row>
        <row r="15515">
          <cell r="A15515">
            <v>8712815</v>
          </cell>
          <cell r="B15515">
            <v>131236</v>
          </cell>
          <cell r="C15515" t="str">
            <v>James Elliman School</v>
          </cell>
          <cell r="D15515" t="str">
            <v>Slough</v>
          </cell>
          <cell r="E15515" t="str">
            <v>Community School</v>
          </cell>
          <cell r="F15515" t="str">
            <v>Primary</v>
          </cell>
        </row>
        <row r="15516">
          <cell r="A15516">
            <v>2051056</v>
          </cell>
          <cell r="B15516">
            <v>100317</v>
          </cell>
          <cell r="C15516" t="str">
            <v>James Lee Nursery School</v>
          </cell>
          <cell r="D15516" t="str">
            <v>Hammersmith and Fulham</v>
          </cell>
          <cell r="E15516" t="str">
            <v>LA Nursery School</v>
          </cell>
          <cell r="F15516" t="str">
            <v>Nursery</v>
          </cell>
        </row>
        <row r="15517">
          <cell r="A15517">
            <v>9202316</v>
          </cell>
          <cell r="B15517">
            <v>129213</v>
          </cell>
          <cell r="C15517" t="str">
            <v>James Meadows Middle School</v>
          </cell>
          <cell r="D15517" t="str">
            <v>Pre LGR (1996) Humberside</v>
          </cell>
          <cell r="E15517" t="str">
            <v>Community School</v>
          </cell>
          <cell r="F15517" t="str">
            <v>Middle Deemed Primary</v>
          </cell>
        </row>
        <row r="15518">
          <cell r="A15518">
            <v>8912822</v>
          </cell>
          <cell r="B15518">
            <v>122675</v>
          </cell>
          <cell r="C15518" t="str">
            <v>James Peacock Infant and Nursery School</v>
          </cell>
          <cell r="D15518" t="str">
            <v>Nottinghamshire</v>
          </cell>
          <cell r="E15518" t="str">
            <v>Community School</v>
          </cell>
          <cell r="F15518" t="str">
            <v>Primary</v>
          </cell>
        </row>
        <row r="15519">
          <cell r="A15519">
            <v>9097022</v>
          </cell>
          <cell r="B15519">
            <v>112468</v>
          </cell>
          <cell r="C15519" t="str">
            <v>James Rennie School</v>
          </cell>
          <cell r="D15519" t="str">
            <v>Cumbria</v>
          </cell>
          <cell r="E15519" t="str">
            <v>Community Special School</v>
          </cell>
          <cell r="F15519" t="str">
            <v>Special</v>
          </cell>
        </row>
        <row r="15520">
          <cell r="A15520">
            <v>3302311</v>
          </cell>
          <cell r="B15520">
            <v>103331</v>
          </cell>
          <cell r="C15520" t="str">
            <v>James Watt Infant School</v>
          </cell>
          <cell r="D15520" t="str">
            <v>Birmingham</v>
          </cell>
          <cell r="E15520" t="str">
            <v>Community School</v>
          </cell>
          <cell r="F15520" t="str">
            <v>Primary</v>
          </cell>
        </row>
        <row r="15521">
          <cell r="A15521">
            <v>3302307</v>
          </cell>
          <cell r="B15521">
            <v>103327</v>
          </cell>
          <cell r="C15521" t="str">
            <v>James Watt Junior School</v>
          </cell>
          <cell r="D15521" t="str">
            <v>Birmingham</v>
          </cell>
          <cell r="E15521" t="str">
            <v>Community School</v>
          </cell>
          <cell r="F15521" t="str">
            <v>Primary</v>
          </cell>
        </row>
        <row r="15522">
          <cell r="A15522">
            <v>3302015</v>
          </cell>
          <cell r="B15522">
            <v>134102</v>
          </cell>
          <cell r="C15522" t="str">
            <v>James Watt Primary School</v>
          </cell>
          <cell r="D15522" t="str">
            <v>Birmingham</v>
          </cell>
          <cell r="E15522" t="str">
            <v>Community School</v>
          </cell>
          <cell r="F15522" t="str">
            <v>Primary</v>
          </cell>
        </row>
        <row r="15523">
          <cell r="A15523">
            <v>2032822</v>
          </cell>
          <cell r="B15523">
            <v>100153</v>
          </cell>
          <cell r="C15523" t="str">
            <v>James Wolfe Infant School</v>
          </cell>
          <cell r="D15523" t="str">
            <v>Greenwich</v>
          </cell>
          <cell r="E15523" t="str">
            <v>Community School</v>
          </cell>
          <cell r="F15523" t="str">
            <v>Primary</v>
          </cell>
        </row>
        <row r="15524">
          <cell r="A15524">
            <v>2032330</v>
          </cell>
          <cell r="B15524">
            <v>100135</v>
          </cell>
          <cell r="C15524" t="str">
            <v>James Wolfe Junior School</v>
          </cell>
          <cell r="D15524" t="str">
            <v>Greenwich</v>
          </cell>
          <cell r="E15524" t="str">
            <v>Community School</v>
          </cell>
          <cell r="F15524" t="str">
            <v>Primary</v>
          </cell>
        </row>
        <row r="15525">
          <cell r="A15525">
            <v>2032921</v>
          </cell>
          <cell r="B15525">
            <v>131246</v>
          </cell>
          <cell r="C15525" t="str">
            <v>James Wolfe Primary School and Centre for the Deaf</v>
          </cell>
          <cell r="D15525" t="str">
            <v>Greenwich</v>
          </cell>
          <cell r="E15525" t="str">
            <v>Community School</v>
          </cell>
          <cell r="F15525" t="str">
            <v>Primary</v>
          </cell>
        </row>
        <row r="15526">
          <cell r="A15526">
            <v>3736030</v>
          </cell>
          <cell r="B15526">
            <v>134574</v>
          </cell>
          <cell r="C15526" t="str">
            <v>Jamia Al Hudaa</v>
          </cell>
          <cell r="D15526" t="str">
            <v>Sheffield</v>
          </cell>
          <cell r="E15526" t="str">
            <v>Other Independent School</v>
          </cell>
          <cell r="F15526" t="str">
            <v>Not applicable</v>
          </cell>
        </row>
        <row r="15527">
          <cell r="A15527">
            <v>8926012</v>
          </cell>
          <cell r="B15527">
            <v>131119</v>
          </cell>
          <cell r="C15527" t="str">
            <v>Jamia Al-Hudaa Residential College</v>
          </cell>
          <cell r="D15527" t="str">
            <v>Nottingham</v>
          </cell>
          <cell r="E15527" t="str">
            <v>Other Independent School</v>
          </cell>
          <cell r="F15527" t="str">
            <v>Not applicable</v>
          </cell>
        </row>
        <row r="15528">
          <cell r="A15528">
            <v>3526048</v>
          </cell>
          <cell r="B15528">
            <v>122944</v>
          </cell>
          <cell r="C15528" t="str">
            <v>Jamia Arabia Manchester</v>
          </cell>
          <cell r="D15528" t="str">
            <v>Manchester</v>
          </cell>
          <cell r="E15528" t="str">
            <v>Other Independent School</v>
          </cell>
          <cell r="F15528" t="str">
            <v>Not applicable</v>
          </cell>
        </row>
        <row r="15529">
          <cell r="A15529">
            <v>8556015</v>
          </cell>
          <cell r="B15529">
            <v>130393</v>
          </cell>
          <cell r="C15529" t="str">
            <v>Jamia Islamia (Islamic Studies Centre)</v>
          </cell>
          <cell r="D15529" t="str">
            <v>Leicestershire</v>
          </cell>
          <cell r="E15529" t="str">
            <v>Other Independent School</v>
          </cell>
          <cell r="F15529" t="str">
            <v>Not applicable</v>
          </cell>
        </row>
        <row r="15530">
          <cell r="A15530">
            <v>3306106</v>
          </cell>
          <cell r="B15530">
            <v>134571</v>
          </cell>
          <cell r="C15530" t="str">
            <v>Jamia Islamia Birmingham</v>
          </cell>
          <cell r="D15530" t="str">
            <v>Birmingham</v>
          </cell>
          <cell r="E15530" t="str">
            <v>Other Independent School</v>
          </cell>
          <cell r="F15530" t="str">
            <v>Not applicable</v>
          </cell>
        </row>
        <row r="15531">
          <cell r="A15531">
            <v>3166065</v>
          </cell>
          <cell r="B15531">
            <v>134591</v>
          </cell>
          <cell r="C15531" t="str">
            <v>Jamiah Madaniyah Primary School</v>
          </cell>
          <cell r="D15531" t="str">
            <v>Newham</v>
          </cell>
          <cell r="E15531" t="str">
            <v>Other Independent School</v>
          </cell>
          <cell r="F15531" t="str">
            <v>Not applicable</v>
          </cell>
        </row>
        <row r="15532">
          <cell r="A15532">
            <v>8216006</v>
          </cell>
          <cell r="B15532">
            <v>134805</v>
          </cell>
          <cell r="C15532" t="str">
            <v>Jamiatul Uloom Al - Islamia</v>
          </cell>
          <cell r="D15532" t="str">
            <v>Luton</v>
          </cell>
          <cell r="E15532" t="str">
            <v>Other Independent School</v>
          </cell>
          <cell r="F15532" t="str">
            <v>Not applicable</v>
          </cell>
        </row>
        <row r="15533">
          <cell r="A15533">
            <v>2116387</v>
          </cell>
          <cell r="B15533">
            <v>131388</v>
          </cell>
          <cell r="C15533" t="str">
            <v>Jamiatul Ummah School</v>
          </cell>
          <cell r="D15533" t="str">
            <v>Tower Hamlets</v>
          </cell>
          <cell r="E15533" t="str">
            <v>Other Independent School</v>
          </cell>
          <cell r="F15533" t="str">
            <v>Not applicable</v>
          </cell>
        </row>
        <row r="15534">
          <cell r="A15534">
            <v>8896005</v>
          </cell>
          <cell r="B15534">
            <v>131389</v>
          </cell>
          <cell r="C15534" t="str">
            <v>Jamiatul-Ilm Wal-Huda UK School</v>
          </cell>
          <cell r="D15534" t="str">
            <v>Blackburn with Darwen</v>
          </cell>
          <cell r="E15534" t="str">
            <v>Other Independent School</v>
          </cell>
          <cell r="F15534" t="str">
            <v>Not applicable</v>
          </cell>
        </row>
        <row r="15535">
          <cell r="A15535">
            <v>8812201</v>
          </cell>
          <cell r="B15535">
            <v>114804</v>
          </cell>
          <cell r="C15535" t="str">
            <v>Janet Duke Junior School</v>
          </cell>
          <cell r="D15535" t="str">
            <v>Essex</v>
          </cell>
          <cell r="E15535" t="str">
            <v>Community School</v>
          </cell>
          <cell r="F15535" t="str">
            <v>Primary</v>
          </cell>
        </row>
        <row r="15536">
          <cell r="A15536">
            <v>8812781</v>
          </cell>
          <cell r="B15536">
            <v>114993</v>
          </cell>
          <cell r="C15536" t="str">
            <v>Janet Duke Primary School</v>
          </cell>
          <cell r="D15536" t="str">
            <v>Essex</v>
          </cell>
          <cell r="E15536" t="str">
            <v>Community School</v>
          </cell>
          <cell r="F15536" t="str">
            <v>Primary</v>
          </cell>
        </row>
        <row r="15537">
          <cell r="A15537">
            <v>7072005</v>
          </cell>
          <cell r="B15537">
            <v>132483</v>
          </cell>
          <cell r="C15537" t="str">
            <v>Janvrin School</v>
          </cell>
          <cell r="D15537" t="str">
            <v>Jersey Offshore Establishments</v>
          </cell>
          <cell r="E15537" t="str">
            <v>Offshore Schools</v>
          </cell>
          <cell r="F15537" t="str">
            <v>Not applicable</v>
          </cell>
        </row>
        <row r="15538">
          <cell r="A15538">
            <v>3933010</v>
          </cell>
          <cell r="B15538">
            <v>133680</v>
          </cell>
          <cell r="C15538" t="str">
            <v>Jarrow Cross CofE Primary School</v>
          </cell>
          <cell r="D15538" t="str">
            <v>South Tyneside</v>
          </cell>
          <cell r="E15538" t="str">
            <v>Voluntary Controlled School</v>
          </cell>
          <cell r="F15538" t="str">
            <v>Primary</v>
          </cell>
        </row>
        <row r="15539">
          <cell r="A15539">
            <v>3934033</v>
          </cell>
          <cell r="B15539">
            <v>133725</v>
          </cell>
          <cell r="C15539" t="str">
            <v>Jarrow School</v>
          </cell>
          <cell r="D15539" t="str">
            <v>South Tyneside</v>
          </cell>
          <cell r="E15539" t="str">
            <v>Foundation School</v>
          </cell>
          <cell r="F15539" t="str">
            <v>Secondary</v>
          </cell>
        </row>
        <row r="15540">
          <cell r="A15540">
            <v>8452115</v>
          </cell>
          <cell r="B15540">
            <v>114444</v>
          </cell>
          <cell r="C15540" t="str">
            <v>Jarvis Brook Primary School</v>
          </cell>
          <cell r="D15540" t="str">
            <v>East Sussex</v>
          </cell>
          <cell r="E15540" t="str">
            <v>Community School</v>
          </cell>
          <cell r="F15540" t="str">
            <v>Primary</v>
          </cell>
        </row>
        <row r="15541">
          <cell r="A15541">
            <v>3025427</v>
          </cell>
          <cell r="B15541">
            <v>135747</v>
          </cell>
          <cell r="C15541" t="str">
            <v>JCoSS</v>
          </cell>
          <cell r="D15541" t="str">
            <v>Barnet</v>
          </cell>
          <cell r="E15541" t="str">
            <v>Voluntary Aided School</v>
          </cell>
          <cell r="F15541" t="str">
            <v>Secondary</v>
          </cell>
        </row>
        <row r="15542">
          <cell r="A15542">
            <v>8735205</v>
          </cell>
          <cell r="B15542">
            <v>135817</v>
          </cell>
          <cell r="C15542" t="str">
            <v>Jeavons Wood Primary School</v>
          </cell>
          <cell r="D15542" t="str">
            <v>Cambridgeshire</v>
          </cell>
          <cell r="E15542" t="str">
            <v>Foundation School</v>
          </cell>
          <cell r="F15542" t="str">
            <v>Primary</v>
          </cell>
        </row>
        <row r="15543">
          <cell r="A15543">
            <v>8912920</v>
          </cell>
          <cell r="B15543">
            <v>122724</v>
          </cell>
          <cell r="C15543" t="str">
            <v>Jeffries Primary and Nursery School</v>
          </cell>
          <cell r="D15543" t="str">
            <v>Nottinghamshire</v>
          </cell>
          <cell r="E15543" t="str">
            <v>Community School</v>
          </cell>
          <cell r="F15543" t="str">
            <v>Primary</v>
          </cell>
        </row>
        <row r="15544">
          <cell r="A15544">
            <v>8456056</v>
          </cell>
          <cell r="B15544">
            <v>135572</v>
          </cell>
          <cell r="C15544" t="str">
            <v>Jemini Response</v>
          </cell>
          <cell r="D15544" t="str">
            <v>East Sussex</v>
          </cell>
          <cell r="E15544" t="str">
            <v>Other Independent Special School</v>
          </cell>
          <cell r="F15544" t="str">
            <v>Not applicable</v>
          </cell>
        </row>
        <row r="15545">
          <cell r="A15545">
            <v>6732124</v>
          </cell>
          <cell r="B15545">
            <v>401095</v>
          </cell>
          <cell r="C15545" t="str">
            <v>Jenner Park Primary</v>
          </cell>
          <cell r="D15545" t="str">
            <v>The Vale of Glamorgan</v>
          </cell>
          <cell r="E15545" t="str">
            <v>Welsh Establishment</v>
          </cell>
          <cell r="F15545" t="str">
            <v>Primary</v>
          </cell>
        </row>
        <row r="15546">
          <cell r="A15546">
            <v>8673358</v>
          </cell>
          <cell r="B15546">
            <v>135854</v>
          </cell>
          <cell r="C15546" t="str">
            <v>Jennett's Park CofE Primary School</v>
          </cell>
          <cell r="D15546" t="str">
            <v>Bracknell Forest</v>
          </cell>
          <cell r="E15546" t="str">
            <v>Voluntary Aided School</v>
          </cell>
          <cell r="F15546" t="str">
            <v>Primary</v>
          </cell>
        </row>
        <row r="15547">
          <cell r="A15547">
            <v>3369900</v>
          </cell>
          <cell r="B15547">
            <v>134450</v>
          </cell>
          <cell r="C15547" t="str">
            <v>Jennie Lee Centre</v>
          </cell>
          <cell r="D15547" t="str">
            <v>Wolverhampton</v>
          </cell>
          <cell r="E15547" t="str">
            <v>Miscellaneous</v>
          </cell>
          <cell r="F15547" t="str">
            <v>Not applicable</v>
          </cell>
        </row>
        <row r="15548">
          <cell r="A15548">
            <v>3202079</v>
          </cell>
          <cell r="B15548">
            <v>103082</v>
          </cell>
          <cell r="C15548" t="str">
            <v>Jenny Hammond Primary School</v>
          </cell>
          <cell r="D15548" t="str">
            <v>Waltham Forest</v>
          </cell>
          <cell r="E15548" t="str">
            <v>Community School</v>
          </cell>
          <cell r="F15548" t="str">
            <v>Primary</v>
          </cell>
        </row>
        <row r="15549">
          <cell r="A15549">
            <v>9192011</v>
          </cell>
          <cell r="B15549">
            <v>117087</v>
          </cell>
          <cell r="C15549" t="str">
            <v>Jenyns First School and Nursery</v>
          </cell>
          <cell r="D15549" t="str">
            <v>Hertfordshire</v>
          </cell>
          <cell r="E15549" t="str">
            <v>Community School</v>
          </cell>
          <cell r="F15549" t="str">
            <v>Primary</v>
          </cell>
        </row>
        <row r="15550">
          <cell r="A15550">
            <v>9092237</v>
          </cell>
          <cell r="B15550">
            <v>112175</v>
          </cell>
          <cell r="C15550" t="str">
            <v>Jericho Primary School</v>
          </cell>
          <cell r="D15550" t="str">
            <v>Cumbria</v>
          </cell>
          <cell r="E15550" t="str">
            <v>Community School</v>
          </cell>
          <cell r="F15550" t="str">
            <v>Primary</v>
          </cell>
        </row>
        <row r="15551">
          <cell r="A15551">
            <v>8602369</v>
          </cell>
          <cell r="B15551">
            <v>124175</v>
          </cell>
          <cell r="C15551" t="str">
            <v>Jerome Primary School</v>
          </cell>
          <cell r="D15551" t="str">
            <v>Staffordshire</v>
          </cell>
          <cell r="E15551" t="str">
            <v>Community School</v>
          </cell>
          <cell r="F15551" t="str">
            <v>Primary</v>
          </cell>
        </row>
        <row r="15552">
          <cell r="A15552">
            <v>8812853</v>
          </cell>
          <cell r="B15552">
            <v>115023</v>
          </cell>
          <cell r="C15552" t="str">
            <v>Jerounds Community Infant School</v>
          </cell>
          <cell r="D15552" t="str">
            <v>Essex</v>
          </cell>
          <cell r="E15552" t="str">
            <v>Community School</v>
          </cell>
          <cell r="F15552" t="str">
            <v>Primary</v>
          </cell>
        </row>
        <row r="15553">
          <cell r="A15553">
            <v>8812843</v>
          </cell>
          <cell r="B15553">
            <v>115021</v>
          </cell>
          <cell r="C15553" t="str">
            <v>Jerounds Community Junior School</v>
          </cell>
          <cell r="D15553" t="str">
            <v>Essex</v>
          </cell>
          <cell r="E15553" t="str">
            <v>Community School</v>
          </cell>
          <cell r="F15553" t="str">
            <v>Primary</v>
          </cell>
        </row>
        <row r="15554">
          <cell r="A15554">
            <v>3842142</v>
          </cell>
          <cell r="B15554">
            <v>137148</v>
          </cell>
          <cell r="C15554" t="str">
            <v>Jerry Clay Academy</v>
          </cell>
          <cell r="D15554" t="str">
            <v>Wakefield</v>
          </cell>
          <cell r="E15554" t="str">
            <v>Academy Converters</v>
          </cell>
          <cell r="F15554" t="str">
            <v>Primary</v>
          </cell>
        </row>
        <row r="15555">
          <cell r="A15555">
            <v>7074006</v>
          </cell>
          <cell r="B15555">
            <v>132487</v>
          </cell>
          <cell r="C15555" t="str">
            <v>Jersey College for Girls</v>
          </cell>
          <cell r="D15555" t="str">
            <v>Jersey Offshore Establishments</v>
          </cell>
          <cell r="E15555" t="str">
            <v>Offshore Schools</v>
          </cell>
          <cell r="F15555" t="str">
            <v>Not applicable</v>
          </cell>
        </row>
        <row r="15556">
          <cell r="A15556">
            <v>7072006</v>
          </cell>
          <cell r="B15556">
            <v>132511</v>
          </cell>
          <cell r="C15556" t="str">
            <v>Jersey College for Girls Preparatory School</v>
          </cell>
          <cell r="D15556" t="str">
            <v>Jersey Offshore Establishments</v>
          </cell>
          <cell r="E15556" t="str">
            <v>Offshore Schools</v>
          </cell>
          <cell r="F15556" t="str">
            <v>Not applicable</v>
          </cell>
        </row>
        <row r="15557">
          <cell r="A15557">
            <v>3302111</v>
          </cell>
          <cell r="B15557">
            <v>103218</v>
          </cell>
          <cell r="C15557" t="str">
            <v>Jervoise School</v>
          </cell>
          <cell r="D15557" t="str">
            <v>Birmingham</v>
          </cell>
          <cell r="E15557" t="str">
            <v>Community School</v>
          </cell>
          <cell r="F15557" t="str">
            <v>Primary</v>
          </cell>
        </row>
        <row r="15558">
          <cell r="A15558">
            <v>3917028</v>
          </cell>
          <cell r="B15558">
            <v>108557</v>
          </cell>
          <cell r="C15558" t="str">
            <v>Jesmond Dene House School</v>
          </cell>
          <cell r="D15558" t="str">
            <v>Newcastle upon Tyne</v>
          </cell>
          <cell r="E15558" t="str">
            <v>Community Special School</v>
          </cell>
          <cell r="F15558" t="str">
            <v>Special</v>
          </cell>
        </row>
        <row r="15559">
          <cell r="A15559">
            <v>8052127</v>
          </cell>
          <cell r="B15559">
            <v>111582</v>
          </cell>
          <cell r="C15559" t="str">
            <v>Jesmond Gardens Community Primary School</v>
          </cell>
          <cell r="D15559" t="str">
            <v>Hartlepool</v>
          </cell>
          <cell r="E15559" t="str">
            <v>Community School</v>
          </cell>
          <cell r="F15559" t="str">
            <v>Primary</v>
          </cell>
        </row>
        <row r="15560">
          <cell r="A15560">
            <v>9072150</v>
          </cell>
          <cell r="B15560">
            <v>128498</v>
          </cell>
          <cell r="C15560" t="str">
            <v>Jesmond Road Infant School</v>
          </cell>
          <cell r="D15560" t="str">
            <v>Pre LGR (1996) Cleveland</v>
          </cell>
          <cell r="E15560" t="str">
            <v>Community School</v>
          </cell>
          <cell r="F15560" t="str">
            <v>Primary</v>
          </cell>
        </row>
        <row r="15561">
          <cell r="A15561">
            <v>9302072</v>
          </cell>
          <cell r="B15561">
            <v>122421</v>
          </cell>
          <cell r="C15561" t="str">
            <v>Jesse Boot Infant and Nursery School</v>
          </cell>
          <cell r="D15561" t="str">
            <v>Pre LGR (1998) Nottinghamshire</v>
          </cell>
          <cell r="E15561" t="str">
            <v>Community School</v>
          </cell>
          <cell r="F15561" t="str">
            <v>Primary</v>
          </cell>
        </row>
        <row r="15562">
          <cell r="A15562">
            <v>9302071</v>
          </cell>
          <cell r="B15562">
            <v>122420</v>
          </cell>
          <cell r="C15562" t="str">
            <v>Jesse Boot Junior School</v>
          </cell>
          <cell r="D15562" t="str">
            <v>Pre LGR (1998) Nottinghamshire</v>
          </cell>
          <cell r="E15562" t="str">
            <v>Community School</v>
          </cell>
          <cell r="F15562" t="str">
            <v>Primary</v>
          </cell>
        </row>
        <row r="15563">
          <cell r="A15563">
            <v>8922941</v>
          </cell>
          <cell r="B15563">
            <v>131538</v>
          </cell>
          <cell r="C15563" t="str">
            <v>Jesse Boot Primary School</v>
          </cell>
          <cell r="D15563" t="str">
            <v>Nottingham</v>
          </cell>
          <cell r="E15563" t="str">
            <v>Community School</v>
          </cell>
          <cell r="F15563" t="str">
            <v>Primary</v>
          </cell>
        </row>
        <row r="15564">
          <cell r="A15564">
            <v>8912565</v>
          </cell>
          <cell r="B15564">
            <v>122597</v>
          </cell>
          <cell r="C15564" t="str">
            <v>Jesse Gray Primary School</v>
          </cell>
          <cell r="D15564" t="str">
            <v>Nottinghamshire</v>
          </cell>
          <cell r="E15564" t="str">
            <v>Community School</v>
          </cell>
          <cell r="F15564" t="str">
            <v>Primary</v>
          </cell>
        </row>
        <row r="15565">
          <cell r="A15565">
            <v>3801101</v>
          </cell>
          <cell r="B15565">
            <v>107192</v>
          </cell>
          <cell r="C15565" t="str">
            <v>Jesse Street Pre-Admission Centre</v>
          </cell>
          <cell r="D15565" t="str">
            <v>Bradford</v>
          </cell>
          <cell r="E15565" t="str">
            <v>Pupil Referral Unit</v>
          </cell>
          <cell r="F15565" t="str">
            <v>PRU</v>
          </cell>
        </row>
        <row r="15566">
          <cell r="A15566">
            <v>9382112</v>
          </cell>
          <cell r="B15566">
            <v>125880</v>
          </cell>
          <cell r="C15566" t="str">
            <v>Jessie Younghusband Primary School</v>
          </cell>
          <cell r="D15566" t="str">
            <v>West Sussex</v>
          </cell>
          <cell r="E15566" t="str">
            <v>Community School</v>
          </cell>
          <cell r="F15566" t="str">
            <v>Primary</v>
          </cell>
        </row>
        <row r="15567">
          <cell r="A15567">
            <v>3323001</v>
          </cell>
          <cell r="B15567">
            <v>127139</v>
          </cell>
          <cell r="C15567" t="str">
            <v>Jessons CofE First and Nursery School</v>
          </cell>
          <cell r="D15567" t="str">
            <v>Dudley</v>
          </cell>
          <cell r="E15567" t="str">
            <v>Voluntary Controlled School</v>
          </cell>
          <cell r="F15567" t="str">
            <v>Primary</v>
          </cell>
        </row>
        <row r="15568">
          <cell r="A15568">
            <v>3323306</v>
          </cell>
          <cell r="B15568">
            <v>103845</v>
          </cell>
          <cell r="C15568" t="str">
            <v>Jesson's CofE Primary School (VA)</v>
          </cell>
          <cell r="D15568" t="str">
            <v>Dudley</v>
          </cell>
          <cell r="E15568" t="str">
            <v>Voluntary Aided School</v>
          </cell>
          <cell r="F15568" t="str">
            <v>Primary</v>
          </cell>
        </row>
        <row r="15569">
          <cell r="A15569">
            <v>2082331</v>
          </cell>
          <cell r="B15569">
            <v>100572</v>
          </cell>
          <cell r="C15569" t="str">
            <v>Jessop Primary School</v>
          </cell>
          <cell r="D15569" t="str">
            <v>Lambeth</v>
          </cell>
          <cell r="E15569" t="str">
            <v>Community School</v>
          </cell>
          <cell r="F15569" t="str">
            <v>Primary</v>
          </cell>
        </row>
        <row r="15570">
          <cell r="A15570">
            <v>3556010</v>
          </cell>
          <cell r="B15570">
            <v>105995</v>
          </cell>
          <cell r="C15570" t="str">
            <v>Jewish Senior Boys' School</v>
          </cell>
          <cell r="D15570" t="str">
            <v>Salford</v>
          </cell>
          <cell r="E15570" t="str">
            <v>Other Independent School</v>
          </cell>
          <cell r="F15570" t="str">
            <v>Not applicable</v>
          </cell>
        </row>
        <row r="15571">
          <cell r="A15571">
            <v>3044033</v>
          </cell>
          <cell r="B15571">
            <v>133724</v>
          </cell>
          <cell r="C15571" t="str">
            <v>JFS</v>
          </cell>
          <cell r="D15571" t="str">
            <v>Brent</v>
          </cell>
          <cell r="E15571" t="str">
            <v>Voluntary Aided School</v>
          </cell>
          <cell r="F15571" t="str">
            <v>Secondary</v>
          </cell>
        </row>
        <row r="15572">
          <cell r="A15572">
            <v>8946007</v>
          </cell>
          <cell r="B15572">
            <v>135166</v>
          </cell>
          <cell r="C15572" t="str">
            <v>Jigsaw School</v>
          </cell>
          <cell r="D15572" t="str">
            <v>Telford and Wrekin</v>
          </cell>
          <cell r="E15572" t="str">
            <v>Other Independent Special School</v>
          </cell>
          <cell r="F15572" t="str">
            <v>Not applicable</v>
          </cell>
        </row>
        <row r="15573">
          <cell r="A15573">
            <v>3166057</v>
          </cell>
          <cell r="B15573">
            <v>131489</v>
          </cell>
          <cell r="C15573" t="str">
            <v>JMU Islamic Institute Uk</v>
          </cell>
          <cell r="D15573" t="str">
            <v>Newham</v>
          </cell>
          <cell r="E15573" t="str">
            <v>Other Independent School</v>
          </cell>
          <cell r="F15573" t="str">
            <v>Not applicable</v>
          </cell>
        </row>
        <row r="15574">
          <cell r="A15574">
            <v>3014029</v>
          </cell>
          <cell r="B15574">
            <v>133561</v>
          </cell>
          <cell r="C15574" t="str">
            <v>Jo Richardson Community School</v>
          </cell>
          <cell r="D15574" t="str">
            <v>Barking and Dagenham</v>
          </cell>
          <cell r="E15574" t="str">
            <v>Community School</v>
          </cell>
          <cell r="F15574" t="str">
            <v>Secondary</v>
          </cell>
        </row>
        <row r="15575">
          <cell r="A15575">
            <v>2082332</v>
          </cell>
          <cell r="B15575">
            <v>100573</v>
          </cell>
          <cell r="C15575" t="str">
            <v>Johanna Primary School</v>
          </cell>
          <cell r="D15575" t="str">
            <v>Lambeth</v>
          </cell>
          <cell r="E15575" t="str">
            <v>Community School</v>
          </cell>
          <cell r="F15575" t="str">
            <v>Primary</v>
          </cell>
        </row>
        <row r="15576">
          <cell r="A15576">
            <v>2082332</v>
          </cell>
          <cell r="B15576">
            <v>137430</v>
          </cell>
          <cell r="C15576" t="str">
            <v>Johanna Primary School</v>
          </cell>
          <cell r="D15576" t="str">
            <v>Lambeth</v>
          </cell>
          <cell r="E15576" t="str">
            <v>Academy Converters</v>
          </cell>
          <cell r="F15576" t="str">
            <v>Primary</v>
          </cell>
        </row>
        <row r="15577">
          <cell r="A15577">
            <v>2057040</v>
          </cell>
          <cell r="B15577">
            <v>126627</v>
          </cell>
          <cell r="C15577" t="str">
            <v>John Aird School</v>
          </cell>
          <cell r="D15577" t="str">
            <v>Hammersmith and Fulham</v>
          </cell>
          <cell r="E15577" t="str">
            <v>Community Special School</v>
          </cell>
          <cell r="F15577" t="str">
            <v>Special</v>
          </cell>
        </row>
        <row r="15578">
          <cell r="A15578">
            <v>2124325</v>
          </cell>
          <cell r="B15578">
            <v>126697</v>
          </cell>
          <cell r="C15578" t="str">
            <v>John Archer Boys' School</v>
          </cell>
          <cell r="D15578" t="str">
            <v>Wandsworth</v>
          </cell>
          <cell r="E15578" t="str">
            <v>Community School</v>
          </cell>
          <cell r="F15578" t="str">
            <v>Secondary</v>
          </cell>
        </row>
        <row r="15579">
          <cell r="A15579">
            <v>2092782</v>
          </cell>
          <cell r="B15579">
            <v>100709</v>
          </cell>
          <cell r="C15579" t="str">
            <v>John Ball Primary School</v>
          </cell>
          <cell r="D15579" t="str">
            <v>Lewisham</v>
          </cell>
          <cell r="E15579" t="str">
            <v>Community School</v>
          </cell>
          <cell r="F15579" t="str">
            <v>Primary</v>
          </cell>
        </row>
        <row r="15580">
          <cell r="A15580">
            <v>8602360</v>
          </cell>
          <cell r="B15580">
            <v>124171</v>
          </cell>
          <cell r="C15580" t="str">
            <v>John Bamford Primary School</v>
          </cell>
          <cell r="D15580" t="str">
            <v>Staffordshire</v>
          </cell>
          <cell r="E15580" t="str">
            <v>Community School</v>
          </cell>
          <cell r="F15580" t="str">
            <v>Primary</v>
          </cell>
        </row>
        <row r="15581">
          <cell r="A15581">
            <v>8613000</v>
          </cell>
          <cell r="B15581">
            <v>131793</v>
          </cell>
          <cell r="C15581" t="str">
            <v>John Baskeyfield VC CofE Primary School</v>
          </cell>
          <cell r="D15581" t="str">
            <v>Stoke-on-Trent</v>
          </cell>
          <cell r="E15581" t="str">
            <v>Voluntary Controlled School</v>
          </cell>
          <cell r="F15581" t="str">
            <v>Primary</v>
          </cell>
        </row>
        <row r="15582">
          <cell r="A15582">
            <v>6664014</v>
          </cell>
          <cell r="B15582">
            <v>401727</v>
          </cell>
          <cell r="C15582" t="str">
            <v>John Beddoes School</v>
          </cell>
          <cell r="D15582" t="str">
            <v>Powys</v>
          </cell>
          <cell r="E15582" t="str">
            <v>Welsh Establishment</v>
          </cell>
          <cell r="F15582" t="str">
            <v>Secondary</v>
          </cell>
        </row>
        <row r="15583">
          <cell r="A15583">
            <v>2053368</v>
          </cell>
          <cell r="B15583">
            <v>100346</v>
          </cell>
          <cell r="C15583" t="str">
            <v>John Betts Primary School</v>
          </cell>
          <cell r="D15583" t="str">
            <v>Hammersmith and Fulham</v>
          </cell>
          <cell r="E15583" t="str">
            <v>Voluntary Aided School</v>
          </cell>
          <cell r="F15583" t="str">
            <v>Primary</v>
          </cell>
        </row>
        <row r="15584">
          <cell r="A15584">
            <v>9313230</v>
          </cell>
          <cell r="B15584">
            <v>123150</v>
          </cell>
          <cell r="C15584" t="str">
            <v>John Blandy VC Primary School</v>
          </cell>
          <cell r="D15584" t="str">
            <v>Oxfordshire</v>
          </cell>
          <cell r="E15584" t="str">
            <v>Voluntary Controlled School</v>
          </cell>
          <cell r="F15584" t="str">
            <v>Primary</v>
          </cell>
        </row>
        <row r="15585">
          <cell r="A15585">
            <v>3834015</v>
          </cell>
          <cell r="B15585">
            <v>127961</v>
          </cell>
          <cell r="C15585" t="str">
            <v>John Blenkinsop Middle School</v>
          </cell>
          <cell r="D15585" t="str">
            <v>Leeds</v>
          </cell>
          <cell r="E15585" t="str">
            <v>Community School</v>
          </cell>
          <cell r="F15585" t="str">
            <v>Middle Deemed Secondary</v>
          </cell>
        </row>
        <row r="15586">
          <cell r="A15586">
            <v>8912718</v>
          </cell>
          <cell r="B15586">
            <v>122631</v>
          </cell>
          <cell r="C15586" t="str">
            <v>John Blow Primary School</v>
          </cell>
          <cell r="D15586" t="str">
            <v>Nottinghamshire</v>
          </cell>
          <cell r="E15586" t="str">
            <v>Community School</v>
          </cell>
          <cell r="F15586" t="str">
            <v>Primary</v>
          </cell>
        </row>
        <row r="15587">
          <cell r="A15587">
            <v>3557014</v>
          </cell>
          <cell r="B15587">
            <v>133078</v>
          </cell>
          <cell r="C15587" t="str">
            <v>John Bradley School</v>
          </cell>
          <cell r="D15587" t="str">
            <v>Salford</v>
          </cell>
          <cell r="E15587" t="str">
            <v>Community Special School</v>
          </cell>
          <cell r="F15587" t="str">
            <v>Special</v>
          </cell>
        </row>
        <row r="15588">
          <cell r="A15588">
            <v>3172062</v>
          </cell>
          <cell r="B15588">
            <v>102838</v>
          </cell>
          <cell r="C15588" t="str">
            <v>John Bramston Primary School</v>
          </cell>
          <cell r="D15588" t="str">
            <v>Redbridge</v>
          </cell>
          <cell r="E15588" t="str">
            <v>Community School</v>
          </cell>
          <cell r="F15588" t="str">
            <v>Primary</v>
          </cell>
        </row>
        <row r="15589">
          <cell r="A15589">
            <v>7023003</v>
          </cell>
          <cell r="B15589">
            <v>132396</v>
          </cell>
          <cell r="C15589" t="str">
            <v>John Buchan Middle School</v>
          </cell>
          <cell r="D15589" t="str">
            <v>BFPO Overseas Establishments</v>
          </cell>
          <cell r="E15589" t="str">
            <v>Service Childrens Education</v>
          </cell>
          <cell r="F15589" t="str">
            <v>Not applicable</v>
          </cell>
        </row>
        <row r="15590">
          <cell r="A15590">
            <v>8812300</v>
          </cell>
          <cell r="B15590">
            <v>114818</v>
          </cell>
          <cell r="C15590" t="str">
            <v>John Bunyan Infant School and Nursery</v>
          </cell>
          <cell r="D15590" t="str">
            <v>Essex</v>
          </cell>
          <cell r="E15590" t="str">
            <v>Community School</v>
          </cell>
          <cell r="F15590" t="str">
            <v>Primary</v>
          </cell>
        </row>
        <row r="15591">
          <cell r="A15591">
            <v>8812810</v>
          </cell>
          <cell r="B15591">
            <v>115007</v>
          </cell>
          <cell r="C15591" t="str">
            <v>John Bunyan Junior School</v>
          </cell>
          <cell r="D15591" t="str">
            <v>Essex</v>
          </cell>
          <cell r="E15591" t="str">
            <v>Community School</v>
          </cell>
          <cell r="F15591" t="str">
            <v>Primary</v>
          </cell>
        </row>
        <row r="15592">
          <cell r="A15592">
            <v>8224081</v>
          </cell>
          <cell r="B15592">
            <v>109672</v>
          </cell>
          <cell r="C15592" t="str">
            <v>John Bunyan School</v>
          </cell>
          <cell r="D15592" t="str">
            <v>Bedford</v>
          </cell>
          <cell r="E15592" t="str">
            <v>Community School</v>
          </cell>
          <cell r="F15592" t="str">
            <v>Secondary</v>
          </cell>
        </row>
        <row r="15593">
          <cell r="A15593">
            <v>2122334</v>
          </cell>
          <cell r="B15593">
            <v>101014</v>
          </cell>
          <cell r="C15593" t="str">
            <v>John Burns Primary School</v>
          </cell>
          <cell r="D15593" t="str">
            <v>Wandsworth</v>
          </cell>
          <cell r="E15593" t="str">
            <v>Community School</v>
          </cell>
          <cell r="F15593" t="str">
            <v>Primary</v>
          </cell>
        </row>
        <row r="15594">
          <cell r="A15594">
            <v>8036906</v>
          </cell>
          <cell r="B15594">
            <v>135295</v>
          </cell>
          <cell r="C15594" t="str">
            <v>John Cabot Academy</v>
          </cell>
          <cell r="D15594" t="str">
            <v>South Gloucestershire</v>
          </cell>
          <cell r="E15594" t="str">
            <v>Academy Sponsor Led</v>
          </cell>
          <cell r="F15594" t="str">
            <v>Secondary</v>
          </cell>
        </row>
        <row r="15595">
          <cell r="A15595">
            <v>8036900</v>
          </cell>
          <cell r="B15595">
            <v>109384</v>
          </cell>
          <cell r="C15595" t="str">
            <v>John Cabot City Technology College</v>
          </cell>
          <cell r="D15595" t="str">
            <v>South Gloucestershire</v>
          </cell>
          <cell r="E15595" t="str">
            <v>City Technology College</v>
          </cell>
          <cell r="F15595" t="str">
            <v>Not applicable</v>
          </cell>
        </row>
        <row r="15596">
          <cell r="A15596">
            <v>3077012</v>
          </cell>
          <cell r="B15596">
            <v>101969</v>
          </cell>
          <cell r="C15596" t="str">
            <v>John Chilton School</v>
          </cell>
          <cell r="D15596" t="str">
            <v>Ealing</v>
          </cell>
          <cell r="E15596" t="str">
            <v>Community Special School</v>
          </cell>
          <cell r="F15596" t="str">
            <v>Special</v>
          </cell>
        </row>
        <row r="15597">
          <cell r="A15597">
            <v>8742233</v>
          </cell>
          <cell r="B15597">
            <v>110699</v>
          </cell>
          <cell r="C15597" t="str">
            <v>John Clare Primary School</v>
          </cell>
          <cell r="D15597" t="str">
            <v>Peterborough</v>
          </cell>
          <cell r="E15597" t="str">
            <v>Community School</v>
          </cell>
          <cell r="F15597" t="str">
            <v>Primary</v>
          </cell>
        </row>
        <row r="15598">
          <cell r="A15598">
            <v>8554501</v>
          </cell>
          <cell r="B15598">
            <v>120299</v>
          </cell>
          <cell r="C15598" t="str">
            <v>John Cleveland College</v>
          </cell>
          <cell r="D15598" t="str">
            <v>Leicestershire</v>
          </cell>
          <cell r="E15598" t="str">
            <v>Voluntary Controlled School</v>
          </cell>
          <cell r="F15598" t="str">
            <v>Secondary</v>
          </cell>
        </row>
        <row r="15599">
          <cell r="A15599">
            <v>8912274</v>
          </cell>
          <cell r="B15599">
            <v>122539</v>
          </cell>
          <cell r="C15599" t="str">
            <v>John Clifford Primary School</v>
          </cell>
          <cell r="D15599" t="str">
            <v>Nottinghamshire</v>
          </cell>
          <cell r="E15599" t="str">
            <v>Community School</v>
          </cell>
          <cell r="F15599" t="str">
            <v>Primary</v>
          </cell>
        </row>
        <row r="15600">
          <cell r="A15600">
            <v>8254044</v>
          </cell>
          <cell r="B15600">
            <v>110491</v>
          </cell>
          <cell r="C15600" t="str">
            <v>John Colet School</v>
          </cell>
          <cell r="D15600" t="str">
            <v>Buckinghamshire</v>
          </cell>
          <cell r="E15600" t="str">
            <v>Community School</v>
          </cell>
          <cell r="F15600" t="str">
            <v>Secondary</v>
          </cell>
        </row>
        <row r="15601">
          <cell r="A15601">
            <v>8254044</v>
          </cell>
          <cell r="B15601">
            <v>137261</v>
          </cell>
          <cell r="C15601" t="str">
            <v>John Colet School</v>
          </cell>
          <cell r="D15601" t="str">
            <v>Buckinghamshire</v>
          </cell>
          <cell r="E15601" t="str">
            <v>Academy Converters</v>
          </cell>
          <cell r="F15601" t="str">
            <v>Secondary</v>
          </cell>
        </row>
        <row r="15602">
          <cell r="A15602">
            <v>8912150</v>
          </cell>
          <cell r="B15602">
            <v>122473</v>
          </cell>
          <cell r="C15602" t="str">
            <v>John Davies Primary and Nursery School</v>
          </cell>
          <cell r="D15602" t="str">
            <v>Nottinghamshire</v>
          </cell>
          <cell r="E15602" t="str">
            <v>Community School</v>
          </cell>
          <cell r="F15602" t="str">
            <v>Primary</v>
          </cell>
        </row>
        <row r="15603">
          <cell r="A15603">
            <v>8233302</v>
          </cell>
          <cell r="B15603">
            <v>109615</v>
          </cell>
          <cell r="C15603" t="str">
            <v>John Donne CofE Lower School</v>
          </cell>
          <cell r="D15603" t="str">
            <v>Central Bedfordshire</v>
          </cell>
          <cell r="E15603" t="str">
            <v>Voluntary Aided School</v>
          </cell>
          <cell r="F15603" t="str">
            <v>Primary</v>
          </cell>
        </row>
        <row r="15604">
          <cell r="A15604">
            <v>2102335</v>
          </cell>
          <cell r="B15604">
            <v>100797</v>
          </cell>
          <cell r="C15604" t="str">
            <v>John Donne Primary School</v>
          </cell>
          <cell r="D15604" t="str">
            <v>Southwark</v>
          </cell>
          <cell r="E15604" t="str">
            <v>Community School</v>
          </cell>
          <cell r="F15604" t="str">
            <v>Primary</v>
          </cell>
        </row>
        <row r="15605">
          <cell r="A15605">
            <v>8307002</v>
          </cell>
          <cell r="B15605">
            <v>113030</v>
          </cell>
          <cell r="C15605" t="str">
            <v>John Duncan School (Special)</v>
          </cell>
          <cell r="D15605" t="str">
            <v>Derbyshire</v>
          </cell>
          <cell r="E15605" t="str">
            <v>Community Special School</v>
          </cell>
          <cell r="F15605" t="str">
            <v>Special</v>
          </cell>
        </row>
        <row r="15606">
          <cell r="A15606">
            <v>8564248</v>
          </cell>
          <cell r="B15606">
            <v>120284</v>
          </cell>
          <cell r="C15606" t="str">
            <v>John Ellis Community College</v>
          </cell>
          <cell r="D15606" t="str">
            <v>Leicester</v>
          </cell>
          <cell r="E15606" t="str">
            <v>Community School</v>
          </cell>
          <cell r="F15606" t="str">
            <v>Secondary</v>
          </cell>
        </row>
        <row r="15607">
          <cell r="A15607">
            <v>8072223</v>
          </cell>
          <cell r="B15607">
            <v>111608</v>
          </cell>
          <cell r="C15607" t="str">
            <v>John Emmerson Batty Primary School</v>
          </cell>
          <cell r="D15607" t="str">
            <v>Redcar and Cleveland</v>
          </cell>
          <cell r="E15607" t="str">
            <v>Community School</v>
          </cell>
          <cell r="F15607" t="str">
            <v>Primary</v>
          </cell>
        </row>
        <row r="15608">
          <cell r="A15608">
            <v>2091101</v>
          </cell>
          <cell r="B15608">
            <v>100670</v>
          </cell>
          <cell r="C15608" t="str">
            <v>John Evelyn Education Centre</v>
          </cell>
          <cell r="D15608" t="str">
            <v>Lewisham</v>
          </cell>
          <cell r="E15608" t="str">
            <v>Pupil Referral Unit</v>
          </cell>
          <cell r="F15608" t="str">
            <v>PRU</v>
          </cell>
        </row>
        <row r="15609">
          <cell r="A15609">
            <v>9194619</v>
          </cell>
          <cell r="B15609">
            <v>117557</v>
          </cell>
          <cell r="C15609" t="str">
            <v>John F Kennedy Catholic School</v>
          </cell>
          <cell r="D15609" t="str">
            <v>Hertfordshire</v>
          </cell>
          <cell r="E15609" t="str">
            <v>Voluntary Aided School</v>
          </cell>
          <cell r="F15609" t="str">
            <v>Secondary</v>
          </cell>
        </row>
        <row r="15610">
          <cell r="A15610">
            <v>3942170</v>
          </cell>
          <cell r="B15610">
            <v>108825</v>
          </cell>
          <cell r="C15610" t="str">
            <v>John F Kennedy Primary School</v>
          </cell>
          <cell r="D15610" t="str">
            <v>Sunderland</v>
          </cell>
          <cell r="E15610" t="str">
            <v>Community School</v>
          </cell>
          <cell r="F15610" t="str">
            <v>Primary</v>
          </cell>
        </row>
        <row r="15611">
          <cell r="A15611">
            <v>3167004</v>
          </cell>
          <cell r="B15611">
            <v>102791</v>
          </cell>
          <cell r="C15611" t="str">
            <v>John F Kennedy Special School</v>
          </cell>
          <cell r="D15611" t="str">
            <v>Newham</v>
          </cell>
          <cell r="E15611" t="str">
            <v>Community Special School</v>
          </cell>
          <cell r="F15611" t="str">
            <v>Special</v>
          </cell>
        </row>
        <row r="15612">
          <cell r="A15612">
            <v>8732035</v>
          </cell>
          <cell r="B15612">
            <v>110618</v>
          </cell>
          <cell r="C15612" t="str">
            <v>John Falkner Community Infant School</v>
          </cell>
          <cell r="D15612" t="str">
            <v>Cambridgeshire</v>
          </cell>
          <cell r="E15612" t="str">
            <v>Community School</v>
          </cell>
          <cell r="F15612" t="str">
            <v>Primary</v>
          </cell>
        </row>
        <row r="15613">
          <cell r="A15613">
            <v>8554044</v>
          </cell>
          <cell r="B15613">
            <v>120264</v>
          </cell>
          <cell r="C15613" t="str">
            <v>John Ferneley College</v>
          </cell>
          <cell r="D15613" t="str">
            <v>Leicestershire</v>
          </cell>
          <cell r="E15613" t="str">
            <v>Community School</v>
          </cell>
          <cell r="F15613" t="str">
            <v>Secondary</v>
          </cell>
        </row>
        <row r="15614">
          <cell r="A15614">
            <v>8554044</v>
          </cell>
          <cell r="B15614">
            <v>137617</v>
          </cell>
          <cell r="C15614" t="str">
            <v>John Ferneley College</v>
          </cell>
          <cell r="D15614" t="str">
            <v>Leicestershire</v>
          </cell>
          <cell r="E15614" t="str">
            <v>Academy Converters</v>
          </cell>
          <cell r="F15614" t="str">
            <v>Secondary</v>
          </cell>
        </row>
        <row r="15615">
          <cell r="A15615">
            <v>8304172</v>
          </cell>
          <cell r="B15615">
            <v>112948</v>
          </cell>
          <cell r="C15615" t="str">
            <v>John Flamsteed Community School</v>
          </cell>
          <cell r="D15615" t="str">
            <v>Derbyshire</v>
          </cell>
          <cell r="E15615" t="str">
            <v>Community School</v>
          </cell>
          <cell r="F15615" t="str">
            <v>Secondary</v>
          </cell>
        </row>
        <row r="15616">
          <cell r="A15616">
            <v>8943152</v>
          </cell>
          <cell r="B15616">
            <v>123526</v>
          </cell>
          <cell r="C15616" t="str">
            <v>John Fletcher of Madeley Primary School</v>
          </cell>
          <cell r="D15616" t="str">
            <v>Telford and Wrekin</v>
          </cell>
          <cell r="E15616" t="str">
            <v>Voluntary Controlled School</v>
          </cell>
          <cell r="F15616" t="str">
            <v>Primary</v>
          </cell>
        </row>
        <row r="15617">
          <cell r="A15617">
            <v>9267020</v>
          </cell>
          <cell r="B15617">
            <v>121265</v>
          </cell>
          <cell r="C15617" t="str">
            <v>John Grant School, Caister-on-Sea</v>
          </cell>
          <cell r="D15617" t="str">
            <v>Norfolk</v>
          </cell>
          <cell r="E15617" t="str">
            <v>Community Special School</v>
          </cell>
          <cell r="F15617" t="str">
            <v>Special</v>
          </cell>
        </row>
        <row r="15618">
          <cell r="A15618">
            <v>3312113</v>
          </cell>
          <cell r="B15618">
            <v>127121</v>
          </cell>
          <cell r="C15618" t="str">
            <v>John Gulson Infant School</v>
          </cell>
          <cell r="D15618" t="str">
            <v>Coventry</v>
          </cell>
          <cell r="E15618" t="str">
            <v>Community School</v>
          </cell>
          <cell r="F15618" t="str">
            <v>Primary</v>
          </cell>
        </row>
        <row r="15619">
          <cell r="A15619">
            <v>3312075</v>
          </cell>
          <cell r="B15619">
            <v>127111</v>
          </cell>
          <cell r="C15619" t="str">
            <v>John Gulson Junior School</v>
          </cell>
          <cell r="D15619" t="str">
            <v>Coventry</v>
          </cell>
          <cell r="E15619" t="str">
            <v>Community School</v>
          </cell>
          <cell r="F15619" t="str">
            <v>Primary</v>
          </cell>
        </row>
        <row r="15620">
          <cell r="A15620">
            <v>3312140</v>
          </cell>
          <cell r="B15620">
            <v>103690</v>
          </cell>
          <cell r="C15620" t="str">
            <v>John Gulson Primary School</v>
          </cell>
          <cell r="D15620" t="str">
            <v>Coventry</v>
          </cell>
          <cell r="E15620" t="str">
            <v>Community School</v>
          </cell>
          <cell r="F15620" t="str">
            <v>Primary</v>
          </cell>
        </row>
        <row r="15621">
          <cell r="A15621">
            <v>8254009</v>
          </cell>
          <cell r="B15621">
            <v>110485</v>
          </cell>
          <cell r="C15621" t="str">
            <v>John Hampden Grammar School</v>
          </cell>
          <cell r="D15621" t="str">
            <v>Buckinghamshire</v>
          </cell>
          <cell r="E15621" t="str">
            <v>Community School</v>
          </cell>
          <cell r="F15621" t="str">
            <v>Secondary</v>
          </cell>
        </row>
        <row r="15622">
          <cell r="A15622">
            <v>8254009</v>
          </cell>
          <cell r="B15622">
            <v>136771</v>
          </cell>
          <cell r="C15622" t="str">
            <v>John Hampden Grammar School</v>
          </cell>
          <cell r="D15622" t="str">
            <v>Buckinghamshire</v>
          </cell>
          <cell r="E15622" t="str">
            <v>Academy Converters</v>
          </cell>
          <cell r="F15622" t="str">
            <v>Secondary</v>
          </cell>
        </row>
        <row r="15623">
          <cell r="A15623">
            <v>9311032</v>
          </cell>
          <cell r="B15623">
            <v>122984</v>
          </cell>
          <cell r="C15623" t="str">
            <v>John Hampden Nursery School</v>
          </cell>
          <cell r="D15623" t="str">
            <v>Oxfordshire</v>
          </cell>
          <cell r="E15623" t="str">
            <v>LA Nursery School</v>
          </cell>
          <cell r="F15623" t="str">
            <v>Nursery</v>
          </cell>
        </row>
        <row r="15624">
          <cell r="A15624">
            <v>9312591</v>
          </cell>
          <cell r="B15624">
            <v>123076</v>
          </cell>
          <cell r="C15624" t="str">
            <v>John Hampden Primary School</v>
          </cell>
          <cell r="D15624" t="str">
            <v>Oxfordshire</v>
          </cell>
          <cell r="E15624" t="str">
            <v>Community School</v>
          </cell>
          <cell r="F15624" t="str">
            <v>Primary</v>
          </cell>
        </row>
        <row r="15625">
          <cell r="A15625">
            <v>8504001</v>
          </cell>
          <cell r="B15625">
            <v>116405</v>
          </cell>
          <cell r="C15625" t="str">
            <v>John Hanson Community School</v>
          </cell>
          <cell r="D15625" t="str">
            <v>Hampshire</v>
          </cell>
          <cell r="E15625" t="str">
            <v>Community School</v>
          </cell>
          <cell r="F15625" t="str">
            <v>Secondary</v>
          </cell>
        </row>
        <row r="15626">
          <cell r="A15626">
            <v>8133056</v>
          </cell>
          <cell r="B15626">
            <v>118005</v>
          </cell>
          <cell r="C15626" t="str">
            <v>John Harrison CofE Primary School</v>
          </cell>
          <cell r="D15626" t="str">
            <v>North Lincolnshire</v>
          </cell>
          <cell r="E15626" t="str">
            <v>Voluntary Controlled School</v>
          </cell>
          <cell r="F15626" t="str">
            <v>Primary</v>
          </cell>
        </row>
        <row r="15627">
          <cell r="A15627">
            <v>9282076</v>
          </cell>
          <cell r="B15627">
            <v>121851</v>
          </cell>
          <cell r="C15627" t="str">
            <v>John Hellins Primary School</v>
          </cell>
          <cell r="D15627" t="str">
            <v>Northamptonshire</v>
          </cell>
          <cell r="E15627" t="str">
            <v>Community School</v>
          </cell>
          <cell r="F15627" t="str">
            <v>Primary</v>
          </cell>
        </row>
        <row r="15628">
          <cell r="A15628">
            <v>3344661</v>
          </cell>
          <cell r="B15628">
            <v>136347</v>
          </cell>
          <cell r="C15628" t="str">
            <v>John Henry Newman Catholic College</v>
          </cell>
          <cell r="D15628" t="str">
            <v>Solihull</v>
          </cell>
          <cell r="E15628" t="str">
            <v>Academy Sponsor Led</v>
          </cell>
          <cell r="F15628" t="str">
            <v>Secondary</v>
          </cell>
        </row>
        <row r="15629">
          <cell r="A15629">
            <v>9387007</v>
          </cell>
          <cell r="B15629">
            <v>126158</v>
          </cell>
          <cell r="C15629" t="str">
            <v>John Horniman School</v>
          </cell>
          <cell r="D15629" t="str">
            <v>West Sussex</v>
          </cell>
          <cell r="E15629" t="str">
            <v>Non-Maintained Special School</v>
          </cell>
          <cell r="F15629" t="str">
            <v>Special</v>
          </cell>
        </row>
        <row r="15630">
          <cell r="A15630">
            <v>9024123</v>
          </cell>
          <cell r="B15630">
            <v>128261</v>
          </cell>
          <cell r="C15630" t="str">
            <v>John Howard Upper School</v>
          </cell>
          <cell r="D15630" t="str">
            <v>Pre LGR (1997) Bedfordshire</v>
          </cell>
          <cell r="E15630" t="str">
            <v>Community School</v>
          </cell>
          <cell r="F15630" t="str">
            <v>Secondary</v>
          </cell>
        </row>
        <row r="15631">
          <cell r="A15631">
            <v>8912677</v>
          </cell>
          <cell r="B15631">
            <v>122613</v>
          </cell>
          <cell r="C15631" t="str">
            <v>John Hunt Junior School</v>
          </cell>
          <cell r="D15631" t="str">
            <v>Nottinghamshire</v>
          </cell>
          <cell r="E15631" t="str">
            <v>Community School</v>
          </cell>
          <cell r="F15631" t="str">
            <v>Primary</v>
          </cell>
        </row>
        <row r="15632">
          <cell r="A15632">
            <v>8912678</v>
          </cell>
          <cell r="B15632">
            <v>122614</v>
          </cell>
          <cell r="C15632" t="str">
            <v>John Hunt Primary and Nursery School</v>
          </cell>
          <cell r="D15632" t="str">
            <v>Nottinghamshire</v>
          </cell>
          <cell r="E15632" t="str">
            <v>Community School</v>
          </cell>
          <cell r="F15632" t="str">
            <v>Primary</v>
          </cell>
        </row>
        <row r="15633">
          <cell r="A15633">
            <v>3837015</v>
          </cell>
          <cell r="B15633">
            <v>108119</v>
          </cell>
          <cell r="C15633" t="str">
            <v>John Jamieson School</v>
          </cell>
          <cell r="D15633" t="str">
            <v>Leeds</v>
          </cell>
          <cell r="E15633" t="str">
            <v>Community Special School</v>
          </cell>
          <cell r="F15633" t="str">
            <v>Special</v>
          </cell>
        </row>
        <row r="15634">
          <cell r="A15634">
            <v>2027113</v>
          </cell>
          <cell r="B15634">
            <v>126576</v>
          </cell>
          <cell r="C15634" t="str">
            <v>John Keats Special School</v>
          </cell>
          <cell r="D15634" t="str">
            <v>Camden</v>
          </cell>
          <cell r="E15634" t="str">
            <v>Community Special School</v>
          </cell>
          <cell r="F15634" t="str">
            <v>Special</v>
          </cell>
        </row>
        <row r="15635">
          <cell r="A15635">
            <v>8503345</v>
          </cell>
          <cell r="B15635">
            <v>116361</v>
          </cell>
          <cell r="C15635" t="str">
            <v>John Keble Church of England Primary School</v>
          </cell>
          <cell r="D15635" t="str">
            <v>Hampshire</v>
          </cell>
          <cell r="E15635" t="str">
            <v>Voluntary Aided School</v>
          </cell>
          <cell r="F15635" t="str">
            <v>Primary</v>
          </cell>
        </row>
        <row r="15636">
          <cell r="A15636">
            <v>3043302</v>
          </cell>
          <cell r="B15636">
            <v>101534</v>
          </cell>
          <cell r="C15636" t="str">
            <v>John Keble CofE Primary School</v>
          </cell>
          <cell r="D15636" t="str">
            <v>Brent</v>
          </cell>
          <cell r="E15636" t="str">
            <v>Voluntary Aided School</v>
          </cell>
          <cell r="F15636" t="str">
            <v>Primary</v>
          </cell>
        </row>
        <row r="15637">
          <cell r="A15637">
            <v>3045408</v>
          </cell>
          <cell r="B15637">
            <v>101565</v>
          </cell>
          <cell r="C15637" t="str">
            <v>John Kelly Boys' Technology College</v>
          </cell>
          <cell r="D15637" t="str">
            <v>Brent</v>
          </cell>
          <cell r="E15637" t="str">
            <v>Foundation School</v>
          </cell>
          <cell r="F15637" t="str">
            <v>Secondary</v>
          </cell>
        </row>
        <row r="15638">
          <cell r="A15638">
            <v>3045409</v>
          </cell>
          <cell r="B15638">
            <v>101566</v>
          </cell>
          <cell r="C15638" t="str">
            <v>John Kelly Girls' Technology College</v>
          </cell>
          <cell r="D15638" t="str">
            <v>Brent</v>
          </cell>
          <cell r="E15638" t="str">
            <v>Foundation School</v>
          </cell>
          <cell r="F15638" t="str">
            <v>Secondary</v>
          </cell>
        </row>
        <row r="15639">
          <cell r="A15639">
            <v>8302192</v>
          </cell>
          <cell r="B15639">
            <v>112607</v>
          </cell>
          <cell r="C15639" t="str">
            <v>John King Infant School</v>
          </cell>
          <cell r="D15639" t="str">
            <v>Derbyshire</v>
          </cell>
          <cell r="E15639" t="str">
            <v>Community School</v>
          </cell>
          <cell r="F15639" t="str">
            <v>Primary</v>
          </cell>
        </row>
        <row r="15640">
          <cell r="A15640">
            <v>8794188</v>
          </cell>
          <cell r="B15640">
            <v>113545</v>
          </cell>
          <cell r="C15640" t="str">
            <v>John Kitto Community College</v>
          </cell>
          <cell r="D15640" t="str">
            <v>Plymouth</v>
          </cell>
          <cell r="E15640" t="str">
            <v>Community School</v>
          </cell>
          <cell r="F15640" t="str">
            <v>Secondary</v>
          </cell>
        </row>
        <row r="15641">
          <cell r="A15641">
            <v>8844428</v>
          </cell>
          <cell r="B15641">
            <v>116975</v>
          </cell>
          <cell r="C15641" t="str">
            <v>John Kyrle High School and Sixth Form Centre</v>
          </cell>
          <cell r="D15641" t="str">
            <v>Herefordshire</v>
          </cell>
          <cell r="E15641" t="str">
            <v>Community School</v>
          </cell>
          <cell r="F15641" t="str">
            <v>Secondary</v>
          </cell>
        </row>
        <row r="15642">
          <cell r="A15642">
            <v>8844428</v>
          </cell>
          <cell r="B15642">
            <v>136399</v>
          </cell>
          <cell r="C15642" t="str">
            <v>John Kyrle High School and Sixth Form Centre Academy</v>
          </cell>
          <cell r="D15642" t="str">
            <v>Herefordshire</v>
          </cell>
          <cell r="E15642" t="str">
            <v>Academy Converters</v>
          </cell>
          <cell r="F15642" t="str">
            <v>Secondary</v>
          </cell>
        </row>
        <row r="15643">
          <cell r="A15643">
            <v>9284030</v>
          </cell>
          <cell r="B15643">
            <v>122056</v>
          </cell>
          <cell r="C15643" t="str">
            <v>John Lea School</v>
          </cell>
          <cell r="D15643" t="str">
            <v>Northamptonshire</v>
          </cell>
          <cell r="E15643" t="str">
            <v>Community School</v>
          </cell>
          <cell r="F15643" t="str">
            <v>Secondary</v>
          </cell>
        </row>
        <row r="15644">
          <cell r="A15644">
            <v>9204089</v>
          </cell>
          <cell r="B15644">
            <v>129271</v>
          </cell>
          <cell r="C15644" t="str">
            <v>John Leggott College</v>
          </cell>
          <cell r="D15644" t="str">
            <v>Pre LGR (1996) Humberside</v>
          </cell>
          <cell r="E15644" t="str">
            <v>Community School</v>
          </cell>
          <cell r="F15644" t="str">
            <v>Secondary</v>
          </cell>
        </row>
        <row r="15645">
          <cell r="A15645">
            <v>8138603</v>
          </cell>
          <cell r="B15645">
            <v>130588</v>
          </cell>
          <cell r="C15645" t="str">
            <v>John Leggott Sixth Form College</v>
          </cell>
          <cell r="D15645" t="str">
            <v>North Lincolnshire</v>
          </cell>
          <cell r="E15645" t="str">
            <v>Further Education</v>
          </cell>
          <cell r="F15645" t="str">
            <v>16 Plus</v>
          </cell>
        </row>
        <row r="15646">
          <cell r="A15646">
            <v>8706905</v>
          </cell>
          <cell r="B15646">
            <v>130247</v>
          </cell>
          <cell r="C15646" t="str">
            <v>John Madejski Academy</v>
          </cell>
          <cell r="D15646" t="str">
            <v>Reading</v>
          </cell>
          <cell r="E15646" t="str">
            <v>Academy Sponsor Led</v>
          </cell>
          <cell r="F15646" t="str">
            <v>Secondary</v>
          </cell>
        </row>
        <row r="15647">
          <cell r="A15647">
            <v>8744074</v>
          </cell>
          <cell r="B15647">
            <v>110876</v>
          </cell>
          <cell r="C15647" t="str">
            <v>John Mansfield School</v>
          </cell>
          <cell r="D15647" t="str">
            <v>Peterborough</v>
          </cell>
          <cell r="E15647" t="str">
            <v>Foundation School</v>
          </cell>
          <cell r="F15647" t="str">
            <v>Secondary</v>
          </cell>
        </row>
        <row r="15648">
          <cell r="A15648">
            <v>8844058</v>
          </cell>
          <cell r="B15648">
            <v>116955</v>
          </cell>
          <cell r="C15648" t="str">
            <v>John Masefield High School</v>
          </cell>
          <cell r="D15648" t="str">
            <v>Herefordshire</v>
          </cell>
          <cell r="E15648" t="str">
            <v>Community School</v>
          </cell>
          <cell r="F15648" t="str">
            <v>Secondary</v>
          </cell>
        </row>
        <row r="15649">
          <cell r="A15649">
            <v>8844058</v>
          </cell>
          <cell r="B15649">
            <v>136803</v>
          </cell>
          <cell r="C15649" t="str">
            <v>John Masefield High School</v>
          </cell>
          <cell r="D15649" t="str">
            <v>Herefordshire</v>
          </cell>
          <cell r="E15649" t="str">
            <v>Academy Converters</v>
          </cell>
          <cell r="F15649" t="str">
            <v>Secondary</v>
          </cell>
        </row>
        <row r="15650">
          <cell r="A15650">
            <v>9314126</v>
          </cell>
          <cell r="B15650">
            <v>123256</v>
          </cell>
          <cell r="C15650" t="str">
            <v>John Mason School</v>
          </cell>
          <cell r="D15650" t="str">
            <v>Oxfordshire</v>
          </cell>
          <cell r="E15650" t="str">
            <v>Community School</v>
          </cell>
          <cell r="F15650" t="str">
            <v>Secondary</v>
          </cell>
        </row>
        <row r="15651">
          <cell r="A15651">
            <v>8863134</v>
          </cell>
          <cell r="B15651">
            <v>118662</v>
          </cell>
          <cell r="C15651" t="str">
            <v>John Mayne Church of England Primary School, Biddenden</v>
          </cell>
          <cell r="D15651" t="str">
            <v>Kent</v>
          </cell>
          <cell r="E15651" t="str">
            <v>Voluntary Controlled School</v>
          </cell>
          <cell r="F15651" t="str">
            <v>Primary</v>
          </cell>
        </row>
        <row r="15652">
          <cell r="A15652">
            <v>2122337</v>
          </cell>
          <cell r="B15652">
            <v>101015</v>
          </cell>
          <cell r="C15652" t="str">
            <v>John Milton Primary School</v>
          </cell>
          <cell r="D15652" t="str">
            <v>Wandsworth</v>
          </cell>
          <cell r="E15652" t="str">
            <v>Community School</v>
          </cell>
          <cell r="F15652" t="str">
            <v>Primary</v>
          </cell>
        </row>
        <row r="15653">
          <cell r="A15653">
            <v>9367064</v>
          </cell>
          <cell r="B15653">
            <v>125479</v>
          </cell>
          <cell r="C15653" t="str">
            <v>John Nightingale School</v>
          </cell>
          <cell r="D15653" t="str">
            <v>Surrey</v>
          </cell>
          <cell r="E15653" t="str">
            <v>Community Special School</v>
          </cell>
          <cell r="F15653" t="str">
            <v>Special</v>
          </cell>
        </row>
        <row r="15654">
          <cell r="A15654">
            <v>867940</v>
          </cell>
          <cell r="B15654">
            <v>133548</v>
          </cell>
          <cell r="C15654" t="str">
            <v>John Nike Study Support Centre</v>
          </cell>
          <cell r="D15654" t="str">
            <v>Bracknell Forest</v>
          </cell>
          <cell r="E15654" t="str">
            <v>Playing for Success Centres</v>
          </cell>
          <cell r="F15654" t="str">
            <v>Not applicable</v>
          </cell>
        </row>
        <row r="15655">
          <cell r="A15655">
            <v>9262368</v>
          </cell>
          <cell r="B15655">
            <v>120988</v>
          </cell>
          <cell r="C15655" t="str">
            <v>John of Gaunt Infant and Nursery School</v>
          </cell>
          <cell r="D15655" t="str">
            <v>Norfolk</v>
          </cell>
          <cell r="E15655" t="str">
            <v>Foundation School</v>
          </cell>
          <cell r="F15655" t="str">
            <v>Primary</v>
          </cell>
        </row>
        <row r="15656">
          <cell r="A15656">
            <v>8602422</v>
          </cell>
          <cell r="B15656">
            <v>124218</v>
          </cell>
          <cell r="C15656" t="str">
            <v>John of Rolleston Primary School</v>
          </cell>
          <cell r="D15656" t="str">
            <v>Staffordshire</v>
          </cell>
          <cell r="E15656" t="str">
            <v>Foundation School</v>
          </cell>
          <cell r="F15656" t="str">
            <v>Primary</v>
          </cell>
        </row>
        <row r="15657">
          <cell r="A15657">
            <v>8694034</v>
          </cell>
          <cell r="B15657">
            <v>110050</v>
          </cell>
          <cell r="C15657" t="str">
            <v>John O'Gaunt Community Technology College</v>
          </cell>
          <cell r="D15657" t="str">
            <v>West Berkshire</v>
          </cell>
          <cell r="E15657" t="str">
            <v>Community School</v>
          </cell>
          <cell r="F15657" t="str">
            <v>Secondary</v>
          </cell>
        </row>
        <row r="15658">
          <cell r="A15658">
            <v>2125404</v>
          </cell>
          <cell r="B15658">
            <v>101062</v>
          </cell>
          <cell r="C15658" t="str">
            <v>John Paul II School</v>
          </cell>
          <cell r="D15658" t="str">
            <v>Wandsworth</v>
          </cell>
          <cell r="E15658" t="str">
            <v>Voluntary Aided School</v>
          </cell>
          <cell r="F15658" t="str">
            <v>Secondary</v>
          </cell>
        </row>
        <row r="15659">
          <cell r="A15659">
            <v>3931014</v>
          </cell>
          <cell r="B15659">
            <v>128174</v>
          </cell>
          <cell r="C15659" t="str">
            <v>John Paul Nursery School</v>
          </cell>
          <cell r="D15659" t="str">
            <v>South Tyneside</v>
          </cell>
          <cell r="E15659" t="str">
            <v>LA Nursery School</v>
          </cell>
          <cell r="F15659" t="str">
            <v>Nursery</v>
          </cell>
        </row>
        <row r="15660">
          <cell r="A15660">
            <v>8732122</v>
          </cell>
          <cell r="B15660">
            <v>110667</v>
          </cell>
          <cell r="C15660" t="str">
            <v>John Paxton Junior School</v>
          </cell>
          <cell r="D15660" t="str">
            <v>Cambridgeshire</v>
          </cell>
          <cell r="E15660" t="str">
            <v>Community School</v>
          </cell>
          <cell r="F15660" t="str">
            <v>Primary</v>
          </cell>
        </row>
        <row r="15661">
          <cell r="A15661">
            <v>3124006</v>
          </cell>
          <cell r="B15661">
            <v>102428</v>
          </cell>
          <cell r="C15661" t="str">
            <v>John Penrose School</v>
          </cell>
          <cell r="D15661" t="str">
            <v>Hillingdon</v>
          </cell>
          <cell r="E15661" t="str">
            <v>Community School</v>
          </cell>
          <cell r="F15661" t="str">
            <v>Secondary</v>
          </cell>
        </row>
        <row r="15662">
          <cell r="A15662">
            <v>3012041</v>
          </cell>
          <cell r="B15662">
            <v>126716</v>
          </cell>
          <cell r="C15662" t="str">
            <v>John Perry Infants' School</v>
          </cell>
          <cell r="D15662" t="str">
            <v>Barking and Dagenham</v>
          </cell>
          <cell r="E15662" t="str">
            <v>Community School</v>
          </cell>
          <cell r="F15662" t="str">
            <v>Primary</v>
          </cell>
        </row>
        <row r="15663">
          <cell r="A15663">
            <v>3012040</v>
          </cell>
          <cell r="B15663">
            <v>126715</v>
          </cell>
          <cell r="C15663" t="str">
            <v>John Perry Junior School</v>
          </cell>
          <cell r="D15663" t="str">
            <v>Barking and Dagenham</v>
          </cell>
          <cell r="E15663" t="str">
            <v>Community School</v>
          </cell>
          <cell r="F15663" t="str">
            <v>Primary</v>
          </cell>
        </row>
        <row r="15664">
          <cell r="A15664">
            <v>3012069</v>
          </cell>
          <cell r="B15664">
            <v>101232</v>
          </cell>
          <cell r="C15664" t="str">
            <v>John Perry Primary School</v>
          </cell>
          <cell r="D15664" t="str">
            <v>Barking and Dagenham</v>
          </cell>
          <cell r="E15664" t="str">
            <v>Community School</v>
          </cell>
          <cell r="F15664" t="str">
            <v>Primary</v>
          </cell>
        </row>
        <row r="15665">
          <cell r="A15665">
            <v>3072153</v>
          </cell>
          <cell r="B15665">
            <v>101889</v>
          </cell>
          <cell r="C15665" t="str">
            <v>John Perryn Primary School</v>
          </cell>
          <cell r="D15665" t="str">
            <v>Ealing</v>
          </cell>
          <cell r="E15665" t="str">
            <v>Community School</v>
          </cell>
          <cell r="F15665" t="str">
            <v>Primary</v>
          </cell>
        </row>
        <row r="15666">
          <cell r="A15666">
            <v>8305405</v>
          </cell>
          <cell r="B15666">
            <v>112990</v>
          </cell>
          <cell r="C15666" t="str">
            <v>John Port School</v>
          </cell>
          <cell r="D15666" t="str">
            <v>Derbyshire</v>
          </cell>
          <cell r="E15666" t="str">
            <v>Foundation School</v>
          </cell>
          <cell r="F15666" t="str">
            <v>Secondary</v>
          </cell>
        </row>
        <row r="15667">
          <cell r="A15667">
            <v>8305405</v>
          </cell>
          <cell r="B15667">
            <v>136591</v>
          </cell>
          <cell r="C15667" t="str">
            <v>John Port School</v>
          </cell>
          <cell r="D15667" t="str">
            <v>Derbyshire</v>
          </cell>
          <cell r="E15667" t="str">
            <v>Academy Converters</v>
          </cell>
          <cell r="F15667" t="str">
            <v>Secondary</v>
          </cell>
        </row>
        <row r="15668">
          <cell r="A15668">
            <v>8942176</v>
          </cell>
          <cell r="B15668">
            <v>123445</v>
          </cell>
          <cell r="C15668" t="str">
            <v>John Randall Primary School</v>
          </cell>
          <cell r="D15668" t="str">
            <v>Telford and Wrekin</v>
          </cell>
          <cell r="E15668" t="str">
            <v>Community School</v>
          </cell>
          <cell r="F15668" t="str">
            <v>Primary</v>
          </cell>
        </row>
        <row r="15669">
          <cell r="A15669">
            <v>8692084</v>
          </cell>
          <cell r="B15669">
            <v>109826</v>
          </cell>
          <cell r="C15669" t="str">
            <v>John Rankin Infant and Nursery School</v>
          </cell>
          <cell r="D15669" t="str">
            <v>West Berkshire</v>
          </cell>
          <cell r="E15669" t="str">
            <v>Community School</v>
          </cell>
          <cell r="F15669" t="str">
            <v>Primary</v>
          </cell>
        </row>
        <row r="15670">
          <cell r="A15670">
            <v>8692083</v>
          </cell>
          <cell r="B15670">
            <v>109825</v>
          </cell>
          <cell r="C15670" t="str">
            <v>John Rankin Junior School</v>
          </cell>
          <cell r="D15670" t="str">
            <v>West Berkshire</v>
          </cell>
          <cell r="E15670" t="str">
            <v>Community School</v>
          </cell>
          <cell r="F15670" t="str">
            <v>Primary</v>
          </cell>
        </row>
        <row r="15671">
          <cell r="A15671">
            <v>8812669</v>
          </cell>
          <cell r="B15671">
            <v>114941</v>
          </cell>
          <cell r="C15671" t="str">
            <v>John Ray Infant School</v>
          </cell>
          <cell r="D15671" t="str">
            <v>Essex</v>
          </cell>
          <cell r="E15671" t="str">
            <v>Community School</v>
          </cell>
          <cell r="F15671" t="str">
            <v>Primary</v>
          </cell>
        </row>
        <row r="15672">
          <cell r="A15672">
            <v>8812880</v>
          </cell>
          <cell r="B15672">
            <v>115028</v>
          </cell>
          <cell r="C15672" t="str">
            <v>John Ray Junior School</v>
          </cell>
          <cell r="D15672" t="str">
            <v>Essex</v>
          </cell>
          <cell r="E15672" t="str">
            <v>Community School</v>
          </cell>
          <cell r="F15672" t="str">
            <v>Primary</v>
          </cell>
        </row>
        <row r="15673">
          <cell r="A15673">
            <v>3068601</v>
          </cell>
          <cell r="B15673">
            <v>130434</v>
          </cell>
          <cell r="C15673" t="str">
            <v>John Ruskin College</v>
          </cell>
          <cell r="D15673" t="str">
            <v>Croydon</v>
          </cell>
          <cell r="E15673" t="str">
            <v>Further Education</v>
          </cell>
          <cell r="F15673" t="str">
            <v>16 Plus</v>
          </cell>
        </row>
        <row r="15674">
          <cell r="A15674">
            <v>3064010</v>
          </cell>
          <cell r="B15674">
            <v>126812</v>
          </cell>
          <cell r="C15674" t="str">
            <v>John Ruskin High School</v>
          </cell>
          <cell r="D15674" t="str">
            <v>Croydon</v>
          </cell>
          <cell r="E15674" t="str">
            <v>Community School</v>
          </cell>
          <cell r="F15674" t="str">
            <v>Secondary</v>
          </cell>
        </row>
        <row r="15675">
          <cell r="A15675">
            <v>2102339</v>
          </cell>
          <cell r="B15675">
            <v>100798</v>
          </cell>
          <cell r="C15675" t="str">
            <v>John Ruskin Primary School and Language Classes</v>
          </cell>
          <cell r="D15675" t="str">
            <v>Southwark</v>
          </cell>
          <cell r="E15675" t="str">
            <v>Community School</v>
          </cell>
          <cell r="F15675" t="str">
            <v>Primary</v>
          </cell>
        </row>
        <row r="15676">
          <cell r="A15676">
            <v>9094151</v>
          </cell>
          <cell r="B15676">
            <v>112384</v>
          </cell>
          <cell r="C15676" t="str">
            <v>John Ruskin School</v>
          </cell>
          <cell r="D15676" t="str">
            <v>Cumbria</v>
          </cell>
          <cell r="E15676" t="str">
            <v>Community School</v>
          </cell>
          <cell r="F15676" t="str">
            <v>Secondary</v>
          </cell>
        </row>
        <row r="15677">
          <cell r="A15677">
            <v>3064044</v>
          </cell>
          <cell r="B15677">
            <v>126819</v>
          </cell>
          <cell r="C15677" t="str">
            <v>John Ruskin Sixth Form College</v>
          </cell>
          <cell r="D15677" t="str">
            <v>Croydon</v>
          </cell>
          <cell r="E15677" t="str">
            <v>Community School</v>
          </cell>
          <cell r="F15677" t="str">
            <v>Secondary</v>
          </cell>
        </row>
        <row r="15678">
          <cell r="A15678">
            <v>2112341</v>
          </cell>
          <cell r="B15678">
            <v>100906</v>
          </cell>
          <cell r="C15678" t="str">
            <v>John Scurr Primary School</v>
          </cell>
          <cell r="D15678" t="str">
            <v>Tower Hamlets</v>
          </cell>
          <cell r="E15678" t="str">
            <v>Community School</v>
          </cell>
          <cell r="F15678" t="str">
            <v>Primary</v>
          </cell>
        </row>
        <row r="15679">
          <cell r="A15679">
            <v>3312151</v>
          </cell>
          <cell r="B15679">
            <v>103698</v>
          </cell>
          <cell r="C15679" t="str">
            <v>John Shelton Community Primary School</v>
          </cell>
          <cell r="D15679" t="str">
            <v>Coventry</v>
          </cell>
          <cell r="E15679" t="str">
            <v>Community School</v>
          </cell>
          <cell r="F15679" t="str">
            <v>Primary</v>
          </cell>
        </row>
        <row r="15680">
          <cell r="A15680">
            <v>3312112</v>
          </cell>
          <cell r="B15680">
            <v>127120</v>
          </cell>
          <cell r="C15680" t="str">
            <v>John Shelton Infant School</v>
          </cell>
          <cell r="D15680" t="str">
            <v>Coventry</v>
          </cell>
          <cell r="E15680" t="str">
            <v>Community School</v>
          </cell>
          <cell r="F15680" t="str">
            <v>Primary</v>
          </cell>
        </row>
        <row r="15681">
          <cell r="A15681">
            <v>3312106</v>
          </cell>
          <cell r="B15681">
            <v>127119</v>
          </cell>
          <cell r="C15681" t="str">
            <v>John Shelton Junior School</v>
          </cell>
          <cell r="D15681" t="str">
            <v>Coventry</v>
          </cell>
          <cell r="E15681" t="str">
            <v>Community School</v>
          </cell>
          <cell r="F15681" t="str">
            <v>Primary</v>
          </cell>
        </row>
        <row r="15682">
          <cell r="A15682">
            <v>3834045</v>
          </cell>
          <cell r="B15682">
            <v>108063</v>
          </cell>
          <cell r="C15682" t="str">
            <v>John Smeaton Community College</v>
          </cell>
          <cell r="D15682" t="str">
            <v>Leeds</v>
          </cell>
          <cell r="E15682" t="str">
            <v>Community School</v>
          </cell>
          <cell r="F15682" t="str">
            <v>Secondary</v>
          </cell>
        </row>
        <row r="15683">
          <cell r="A15683">
            <v>3834011</v>
          </cell>
          <cell r="B15683">
            <v>127957</v>
          </cell>
          <cell r="C15683" t="str">
            <v>John Smeaton Community High School</v>
          </cell>
          <cell r="D15683" t="str">
            <v>Leeds</v>
          </cell>
          <cell r="E15683" t="str">
            <v>Community School</v>
          </cell>
          <cell r="F15683" t="str">
            <v>Secondary</v>
          </cell>
        </row>
        <row r="15684">
          <cell r="A15684">
            <v>3834009</v>
          </cell>
          <cell r="B15684">
            <v>127955</v>
          </cell>
          <cell r="C15684" t="str">
            <v>John Smeaton Middle School</v>
          </cell>
          <cell r="D15684" t="str">
            <v>Leeds</v>
          </cell>
          <cell r="E15684" t="str">
            <v>Community School</v>
          </cell>
          <cell r="F15684" t="str">
            <v>Middle Deemed Secondary</v>
          </cell>
        </row>
        <row r="15685">
          <cell r="A15685">
            <v>8891025</v>
          </cell>
          <cell r="B15685">
            <v>119087</v>
          </cell>
          <cell r="C15685" t="str">
            <v>John Smethurst Nursery School</v>
          </cell>
          <cell r="D15685" t="str">
            <v>Blackburn with Darwen</v>
          </cell>
          <cell r="E15685" t="str">
            <v>LA Nursery School</v>
          </cell>
          <cell r="F15685" t="str">
            <v>Nursery</v>
          </cell>
        </row>
        <row r="15686">
          <cell r="A15686">
            <v>3924038</v>
          </cell>
          <cell r="B15686">
            <v>108644</v>
          </cell>
          <cell r="C15686" t="str">
            <v>John Spence Community High School</v>
          </cell>
          <cell r="D15686" t="str">
            <v>North Tyneside</v>
          </cell>
          <cell r="E15686" t="str">
            <v>Foundation School</v>
          </cell>
          <cell r="F15686" t="str">
            <v>Secondary</v>
          </cell>
        </row>
        <row r="15687">
          <cell r="A15687">
            <v>9254048</v>
          </cell>
          <cell r="B15687">
            <v>120648</v>
          </cell>
          <cell r="C15687" t="str">
            <v>John Spendluffe Foundation Technology College</v>
          </cell>
          <cell r="D15687" t="str">
            <v>Lincolnshire</v>
          </cell>
          <cell r="E15687" t="str">
            <v>Foundation School</v>
          </cell>
          <cell r="F15687" t="str">
            <v>Secondary</v>
          </cell>
        </row>
        <row r="15688">
          <cell r="A15688">
            <v>9254048</v>
          </cell>
          <cell r="B15688">
            <v>136968</v>
          </cell>
          <cell r="C15688" t="str">
            <v>John Spendluffe Foundation Technology College</v>
          </cell>
          <cell r="D15688" t="str">
            <v>Lincolnshire</v>
          </cell>
          <cell r="E15688" t="str">
            <v>Academy Converters</v>
          </cell>
          <cell r="F15688" t="str">
            <v>Secondary</v>
          </cell>
        </row>
        <row r="15689">
          <cell r="A15689">
            <v>2092342</v>
          </cell>
          <cell r="B15689">
            <v>100689</v>
          </cell>
          <cell r="C15689" t="str">
            <v>John Stainer Community Primary School</v>
          </cell>
          <cell r="D15689" t="str">
            <v>Lewisham</v>
          </cell>
          <cell r="E15689" t="str">
            <v>Community School</v>
          </cell>
          <cell r="F15689" t="str">
            <v>Primary</v>
          </cell>
        </row>
        <row r="15690">
          <cell r="A15690">
            <v>8782081</v>
          </cell>
          <cell r="B15690">
            <v>113118</v>
          </cell>
          <cell r="C15690" t="str">
            <v>John Stocker Middle School</v>
          </cell>
          <cell r="D15690" t="str">
            <v>Devon</v>
          </cell>
          <cell r="E15690" t="str">
            <v>Community School</v>
          </cell>
          <cell r="F15690" t="str">
            <v>Middle Deemed Primary</v>
          </cell>
        </row>
        <row r="15691">
          <cell r="A15691">
            <v>6644019</v>
          </cell>
          <cell r="B15691">
            <v>401706</v>
          </cell>
          <cell r="C15691" t="str">
            <v>John Summers High School</v>
          </cell>
          <cell r="D15691" t="str">
            <v>Flintshire</v>
          </cell>
          <cell r="E15691" t="str">
            <v>Welsh Establishment</v>
          </cell>
          <cell r="F15691" t="str">
            <v>Secondary</v>
          </cell>
        </row>
        <row r="15692">
          <cell r="A15692">
            <v>8912107</v>
          </cell>
          <cell r="B15692">
            <v>122452</v>
          </cell>
          <cell r="C15692" t="str">
            <v>John T Rice Infant and Nursery School</v>
          </cell>
          <cell r="D15692" t="str">
            <v>Nottinghamshire</v>
          </cell>
          <cell r="E15692" t="str">
            <v>Community School</v>
          </cell>
          <cell r="F15692" t="str">
            <v>Primary</v>
          </cell>
        </row>
        <row r="15693">
          <cell r="A15693">
            <v>8604061</v>
          </cell>
          <cell r="B15693">
            <v>124394</v>
          </cell>
          <cell r="C15693" t="str">
            <v>John Taylor High School</v>
          </cell>
          <cell r="D15693" t="str">
            <v>Staffordshire</v>
          </cell>
          <cell r="E15693" t="str">
            <v>Community School</v>
          </cell>
          <cell r="F15693" t="str">
            <v>Secondary</v>
          </cell>
        </row>
        <row r="15694">
          <cell r="A15694">
            <v>8604061</v>
          </cell>
          <cell r="B15694">
            <v>136323</v>
          </cell>
          <cell r="C15694" t="str">
            <v>John Taylor High School</v>
          </cell>
          <cell r="D15694" t="str">
            <v>Staffordshire</v>
          </cell>
          <cell r="E15694" t="str">
            <v>Academy Converters</v>
          </cell>
          <cell r="F15694" t="str">
            <v>Secondary</v>
          </cell>
        </row>
        <row r="15695">
          <cell r="A15695">
            <v>9317011</v>
          </cell>
          <cell r="B15695">
            <v>123333</v>
          </cell>
          <cell r="C15695" t="str">
            <v>John Watson School</v>
          </cell>
          <cell r="D15695" t="str">
            <v>Oxfordshire</v>
          </cell>
          <cell r="E15695" t="str">
            <v>Community Special School</v>
          </cell>
          <cell r="F15695" t="str">
            <v>Special</v>
          </cell>
        </row>
        <row r="15696">
          <cell r="A15696">
            <v>9342384</v>
          </cell>
          <cell r="B15696">
            <v>129909</v>
          </cell>
          <cell r="C15696" t="str">
            <v>John Wheeldon First School</v>
          </cell>
          <cell r="D15696" t="str">
            <v>Pre LGR (1997) Staffordshire</v>
          </cell>
          <cell r="E15696" t="str">
            <v>Community School</v>
          </cell>
          <cell r="F15696" t="str">
            <v>Primary</v>
          </cell>
        </row>
        <row r="15697">
          <cell r="A15697">
            <v>8602402</v>
          </cell>
          <cell r="B15697">
            <v>124198</v>
          </cell>
          <cell r="C15697" t="str">
            <v>John Wheeldon Primary School</v>
          </cell>
          <cell r="D15697" t="str">
            <v>Staffordshire</v>
          </cell>
          <cell r="E15697" t="str">
            <v>Community School</v>
          </cell>
          <cell r="F15697" t="str">
            <v>Primary</v>
          </cell>
        </row>
        <row r="15698">
          <cell r="A15698">
            <v>8932159</v>
          </cell>
          <cell r="B15698">
            <v>123434</v>
          </cell>
          <cell r="C15698" t="str">
            <v>John Wilkinson Primary School</v>
          </cell>
          <cell r="D15698" t="str">
            <v>Shropshire</v>
          </cell>
          <cell r="E15698" t="str">
            <v>Community School</v>
          </cell>
          <cell r="F15698" t="str">
            <v>Primary</v>
          </cell>
        </row>
        <row r="15699">
          <cell r="A15699">
            <v>3304301</v>
          </cell>
          <cell r="B15699">
            <v>103522</v>
          </cell>
          <cell r="C15699" t="str">
            <v>John Willmott School</v>
          </cell>
          <cell r="D15699" t="str">
            <v>Birmingham</v>
          </cell>
          <cell r="E15699" t="str">
            <v>Community School</v>
          </cell>
          <cell r="F15699" t="str">
            <v>Secondary</v>
          </cell>
        </row>
        <row r="15700">
          <cell r="A15700">
            <v>8603429</v>
          </cell>
          <cell r="B15700">
            <v>124330</v>
          </cell>
          <cell r="C15700" t="str">
            <v>John Wood CofE (A) Infants School</v>
          </cell>
          <cell r="D15700" t="str">
            <v>Staffordshire</v>
          </cell>
          <cell r="E15700" t="str">
            <v>Voluntary Aided School</v>
          </cell>
          <cell r="F15700" t="str">
            <v>Primary</v>
          </cell>
        </row>
        <row r="15701">
          <cell r="A15701">
            <v>8552166</v>
          </cell>
          <cell r="B15701">
            <v>119974</v>
          </cell>
          <cell r="C15701" t="str">
            <v>John Wycliffe Primary School</v>
          </cell>
          <cell r="D15701" t="str">
            <v>Leicestershire</v>
          </cell>
          <cell r="E15701" t="str">
            <v>Community School</v>
          </cell>
          <cell r="F15701" t="str">
            <v>Primary</v>
          </cell>
        </row>
        <row r="15702">
          <cell r="A15702">
            <v>3502017</v>
          </cell>
          <cell r="B15702">
            <v>105157</v>
          </cell>
          <cell r="C15702" t="str">
            <v>Johnson Fold Community Primary School</v>
          </cell>
          <cell r="D15702" t="str">
            <v>Bolton</v>
          </cell>
          <cell r="E15702" t="str">
            <v>Community School</v>
          </cell>
          <cell r="F15702" t="str">
            <v>Primary</v>
          </cell>
        </row>
        <row r="15703">
          <cell r="A15703">
            <v>6682220</v>
          </cell>
          <cell r="B15703">
            <v>400658</v>
          </cell>
          <cell r="C15703" t="str">
            <v>Johnston C.P. School</v>
          </cell>
          <cell r="D15703" t="str">
            <v>Pembrokeshire</v>
          </cell>
          <cell r="E15703" t="str">
            <v>Welsh Establishment</v>
          </cell>
          <cell r="F15703" t="str">
            <v>Primary</v>
          </cell>
        </row>
        <row r="15704">
          <cell r="A15704">
            <v>6692114</v>
          </cell>
          <cell r="B15704">
            <v>400785</v>
          </cell>
          <cell r="C15704" t="str">
            <v>Johnstown C.P. School</v>
          </cell>
          <cell r="D15704" t="str">
            <v>Carmarthenshire</v>
          </cell>
          <cell r="E15704" t="str">
            <v>Welsh Establishment</v>
          </cell>
          <cell r="F15704" t="str">
            <v>Primary</v>
          </cell>
        </row>
        <row r="15705">
          <cell r="A15705">
            <v>6652222</v>
          </cell>
          <cell r="B15705">
            <v>400435</v>
          </cell>
          <cell r="C15705" t="str">
            <v>Johnstown Infants School</v>
          </cell>
          <cell r="D15705" t="str">
            <v>Wrexham</v>
          </cell>
          <cell r="E15705" t="str">
            <v>Welsh Establishment</v>
          </cell>
          <cell r="F15705" t="str">
            <v>Primary</v>
          </cell>
        </row>
        <row r="15706">
          <cell r="A15706">
            <v>6652153</v>
          </cell>
          <cell r="B15706">
            <v>400400</v>
          </cell>
          <cell r="C15706" t="str">
            <v>Johnstown Junior School</v>
          </cell>
          <cell r="D15706" t="str">
            <v>Wrexham</v>
          </cell>
          <cell r="E15706" t="str">
            <v>Welsh Establishment</v>
          </cell>
          <cell r="F15706" t="str">
            <v>Primary</v>
          </cell>
        </row>
        <row r="15707">
          <cell r="A15707">
            <v>3907000</v>
          </cell>
          <cell r="B15707">
            <v>108421</v>
          </cell>
          <cell r="C15707" t="str">
            <v>Joicey Road School</v>
          </cell>
          <cell r="D15707" t="str">
            <v>Gateshead</v>
          </cell>
          <cell r="E15707" t="str">
            <v>Community Special School</v>
          </cell>
          <cell r="F15707" t="str">
            <v>Special</v>
          </cell>
        </row>
        <row r="15708">
          <cell r="A15708">
            <v>8556017</v>
          </cell>
          <cell r="B15708">
            <v>131809</v>
          </cell>
          <cell r="C15708" t="str">
            <v>Joint Responsibility Preparatory School</v>
          </cell>
          <cell r="D15708" t="str">
            <v>Leicestershire</v>
          </cell>
          <cell r="E15708" t="str">
            <v>Other Independent School</v>
          </cell>
          <cell r="F15708" t="str">
            <v>Not applicable</v>
          </cell>
        </row>
        <row r="15709">
          <cell r="A15709">
            <v>9383020</v>
          </cell>
          <cell r="B15709">
            <v>125985</v>
          </cell>
          <cell r="C15709" t="str">
            <v>Jolesfield CofE Primary School</v>
          </cell>
          <cell r="D15709" t="str">
            <v>West Sussex</v>
          </cell>
          <cell r="E15709" t="str">
            <v>Voluntary Controlled School</v>
          </cell>
          <cell r="F15709" t="str">
            <v>Primary</v>
          </cell>
        </row>
        <row r="15710">
          <cell r="A15710">
            <v>8756029</v>
          </cell>
          <cell r="B15710">
            <v>133534</v>
          </cell>
          <cell r="C15710" t="str">
            <v>Jonagold School</v>
          </cell>
          <cell r="D15710" t="str">
            <v>Pre LGR (2009) Cheshire</v>
          </cell>
          <cell r="E15710" t="str">
            <v>Other Independent Special School</v>
          </cell>
          <cell r="F15710" t="str">
            <v>Not applicable</v>
          </cell>
        </row>
        <row r="15711">
          <cell r="A15711">
            <v>8717034</v>
          </cell>
          <cell r="B15711">
            <v>110192</v>
          </cell>
          <cell r="C15711" t="str">
            <v>Jonathan Miller School</v>
          </cell>
          <cell r="D15711" t="str">
            <v>Slough</v>
          </cell>
          <cell r="E15711" t="str">
            <v>Community Special School</v>
          </cell>
          <cell r="F15711" t="str">
            <v>Special</v>
          </cell>
        </row>
        <row r="15712">
          <cell r="A15712">
            <v>8252065</v>
          </cell>
          <cell r="B15712">
            <v>110241</v>
          </cell>
          <cell r="C15712" t="str">
            <v>Jordans School</v>
          </cell>
          <cell r="D15712" t="str">
            <v>Buckinghamshire</v>
          </cell>
          <cell r="E15712" t="str">
            <v>Community School</v>
          </cell>
          <cell r="F15712" t="str">
            <v>Primary</v>
          </cell>
        </row>
        <row r="15713">
          <cell r="A15713">
            <v>3734258</v>
          </cell>
          <cell r="B15713">
            <v>127725</v>
          </cell>
          <cell r="C15713" t="str">
            <v>Jordanthorpe School</v>
          </cell>
          <cell r="D15713" t="str">
            <v>Sheffield</v>
          </cell>
          <cell r="E15713" t="str">
            <v>Community School</v>
          </cell>
          <cell r="F15713" t="str">
            <v>Secondary</v>
          </cell>
        </row>
        <row r="15714">
          <cell r="A15714">
            <v>9316088</v>
          </cell>
          <cell r="B15714">
            <v>123307</v>
          </cell>
          <cell r="C15714" t="str">
            <v>Josca's Preparatory School</v>
          </cell>
          <cell r="D15714" t="str">
            <v>Oxfordshire</v>
          </cell>
          <cell r="E15714" t="str">
            <v>Other Independent School</v>
          </cell>
          <cell r="F15714" t="str">
            <v>Not applicable</v>
          </cell>
        </row>
        <row r="15715">
          <cell r="A15715">
            <v>3312121</v>
          </cell>
          <cell r="B15715">
            <v>103673</v>
          </cell>
          <cell r="C15715" t="str">
            <v>Joseph Cash Primary School</v>
          </cell>
          <cell r="D15715" t="str">
            <v>Coventry</v>
          </cell>
          <cell r="E15715" t="str">
            <v>Community School</v>
          </cell>
          <cell r="F15715" t="str">
            <v>Primary</v>
          </cell>
        </row>
        <row r="15716">
          <cell r="A15716">
            <v>3304327</v>
          </cell>
          <cell r="B15716">
            <v>127063</v>
          </cell>
          <cell r="C15716" t="str">
            <v>Joseph Chamberlain Sixth Form College</v>
          </cell>
          <cell r="D15716" t="str">
            <v>Birmingham</v>
          </cell>
          <cell r="E15716" t="str">
            <v>Community School</v>
          </cell>
          <cell r="F15716" t="str">
            <v>Secondary</v>
          </cell>
        </row>
        <row r="15717">
          <cell r="A15717">
            <v>3308600</v>
          </cell>
          <cell r="B15717">
            <v>130468</v>
          </cell>
          <cell r="C15717" t="str">
            <v>Joseph Chamberlain Sixth Form College</v>
          </cell>
          <cell r="D15717" t="str">
            <v>Birmingham</v>
          </cell>
          <cell r="E15717" t="str">
            <v>Further Education</v>
          </cell>
          <cell r="F15717" t="str">
            <v>16 Plus</v>
          </cell>
        </row>
        <row r="15718">
          <cell r="A15718">
            <v>9342137</v>
          </cell>
          <cell r="B15718">
            <v>124044</v>
          </cell>
          <cell r="C15718" t="str">
            <v>Joseph Clark Junior School</v>
          </cell>
          <cell r="D15718" t="str">
            <v>Pre LGR (1997) Staffordshire</v>
          </cell>
          <cell r="E15718" t="str">
            <v>Community School</v>
          </cell>
          <cell r="F15718" t="str">
            <v>Primary</v>
          </cell>
        </row>
        <row r="15719">
          <cell r="A15719">
            <v>3207000</v>
          </cell>
          <cell r="B15719">
            <v>103114</v>
          </cell>
          <cell r="C15719" t="str">
            <v>Joseph Clarke School</v>
          </cell>
          <cell r="D15719" t="str">
            <v>Waltham Forest</v>
          </cell>
          <cell r="E15719" t="str">
            <v>Community Special School</v>
          </cell>
          <cell r="F15719" t="str">
            <v>Special</v>
          </cell>
        </row>
        <row r="15720">
          <cell r="A15720">
            <v>3554042</v>
          </cell>
          <cell r="B15720">
            <v>105979</v>
          </cell>
          <cell r="C15720" t="str">
            <v>Joseph Eastham High School</v>
          </cell>
          <cell r="D15720" t="str">
            <v>Salford</v>
          </cell>
          <cell r="E15720" t="str">
            <v>Community School</v>
          </cell>
          <cell r="F15720" t="str">
            <v>Secondary</v>
          </cell>
        </row>
        <row r="15721">
          <cell r="A15721">
            <v>3332023</v>
          </cell>
          <cell r="B15721">
            <v>103902</v>
          </cell>
          <cell r="C15721" t="str">
            <v>Joseph Edward Cox Infant School</v>
          </cell>
          <cell r="D15721" t="str">
            <v>Sandwell</v>
          </cell>
          <cell r="E15721" t="str">
            <v>Community School</v>
          </cell>
          <cell r="F15721" t="str">
            <v>Primary</v>
          </cell>
        </row>
        <row r="15722">
          <cell r="A15722">
            <v>3332022</v>
          </cell>
          <cell r="B15722">
            <v>103901</v>
          </cell>
          <cell r="C15722" t="str">
            <v>Joseph Edward Cox Junior School</v>
          </cell>
          <cell r="D15722" t="str">
            <v>Sandwell</v>
          </cell>
          <cell r="E15722" t="str">
            <v>Community School</v>
          </cell>
          <cell r="F15722" t="str">
            <v>Primary</v>
          </cell>
        </row>
        <row r="15723">
          <cell r="A15723">
            <v>3152062</v>
          </cell>
          <cell r="B15723">
            <v>102634</v>
          </cell>
          <cell r="C15723" t="str">
            <v>Joseph Hood Primary School</v>
          </cell>
          <cell r="D15723" t="str">
            <v>Merton</v>
          </cell>
          <cell r="E15723" t="str">
            <v>Community School</v>
          </cell>
          <cell r="F15723" t="str">
            <v>Primary</v>
          </cell>
        </row>
        <row r="15724">
          <cell r="A15724">
            <v>2102344</v>
          </cell>
          <cell r="B15724">
            <v>100799</v>
          </cell>
          <cell r="C15724" t="str">
            <v>Joseph Lancaster Primary School</v>
          </cell>
          <cell r="D15724" t="str">
            <v>Southwark</v>
          </cell>
          <cell r="E15724" t="str">
            <v>Community School</v>
          </cell>
          <cell r="F15724" t="str">
            <v>Primary</v>
          </cell>
        </row>
        <row r="15725">
          <cell r="A15725">
            <v>3354007</v>
          </cell>
          <cell r="B15725">
            <v>104243</v>
          </cell>
          <cell r="C15725" t="str">
            <v>Joseph Leckie Community Technology College</v>
          </cell>
          <cell r="D15725" t="str">
            <v>Walsall</v>
          </cell>
          <cell r="E15725" t="str">
            <v>Community School</v>
          </cell>
          <cell r="F15725" t="str">
            <v>Secondary</v>
          </cell>
        </row>
        <row r="15726">
          <cell r="A15726">
            <v>3702123</v>
          </cell>
          <cell r="B15726">
            <v>106611</v>
          </cell>
          <cell r="C15726" t="str">
            <v>Joseph Locke Primary School</v>
          </cell>
          <cell r="D15726" t="str">
            <v>Barnsley</v>
          </cell>
          <cell r="E15726" t="str">
            <v>Community School</v>
          </cell>
          <cell r="F15726" t="str">
            <v>Primary</v>
          </cell>
        </row>
        <row r="15727">
          <cell r="A15727">
            <v>9362104</v>
          </cell>
          <cell r="B15727">
            <v>130021</v>
          </cell>
          <cell r="C15727" t="str">
            <v>Joseph Palmer First School</v>
          </cell>
          <cell r="D15727" t="str">
            <v>Surrey</v>
          </cell>
          <cell r="E15727" t="str">
            <v>Community School</v>
          </cell>
          <cell r="F15727" t="str">
            <v>Primary</v>
          </cell>
        </row>
        <row r="15728">
          <cell r="A15728">
            <v>3838024</v>
          </cell>
          <cell r="B15728">
            <v>130546</v>
          </cell>
          <cell r="C15728" t="str">
            <v>Joseph Priestley College</v>
          </cell>
          <cell r="D15728" t="str">
            <v>Leeds</v>
          </cell>
          <cell r="E15728" t="str">
            <v>Further Education</v>
          </cell>
          <cell r="F15728" t="str">
            <v>16 Plus</v>
          </cell>
        </row>
        <row r="15729">
          <cell r="A15729">
            <v>3536016</v>
          </cell>
          <cell r="B15729">
            <v>111493</v>
          </cell>
          <cell r="C15729" t="str">
            <v>Joseph Rayner Independent School</v>
          </cell>
          <cell r="D15729" t="str">
            <v>Oldham</v>
          </cell>
          <cell r="E15729" t="str">
            <v>Other Independent School</v>
          </cell>
          <cell r="F15729" t="str">
            <v>Not applicable</v>
          </cell>
        </row>
        <row r="15730">
          <cell r="A15730">
            <v>8164508</v>
          </cell>
          <cell r="B15730">
            <v>121711</v>
          </cell>
          <cell r="C15730" t="str">
            <v>Joseph Rowntree School</v>
          </cell>
          <cell r="D15730" t="str">
            <v>York</v>
          </cell>
          <cell r="E15730" t="str">
            <v>Voluntary Controlled School</v>
          </cell>
          <cell r="F15730" t="str">
            <v>Secondary</v>
          </cell>
        </row>
        <row r="15731">
          <cell r="A15731">
            <v>9255414</v>
          </cell>
          <cell r="B15731">
            <v>120710</v>
          </cell>
          <cell r="C15731" t="str">
            <v>Joseph Ruston Technology College</v>
          </cell>
          <cell r="D15731" t="str">
            <v>Lincolnshire</v>
          </cell>
          <cell r="E15731" t="str">
            <v>Foundation School</v>
          </cell>
          <cell r="F15731" t="str">
            <v>Secondary</v>
          </cell>
        </row>
        <row r="15732">
          <cell r="A15732">
            <v>3904043</v>
          </cell>
          <cell r="B15732">
            <v>131048</v>
          </cell>
          <cell r="C15732" t="str">
            <v>Joseph Swan School</v>
          </cell>
          <cell r="D15732" t="str">
            <v>Gateshead</v>
          </cell>
          <cell r="E15732" t="str">
            <v>Community School</v>
          </cell>
          <cell r="F15732" t="str">
            <v>Secondary</v>
          </cell>
        </row>
        <row r="15733">
          <cell r="A15733">
            <v>2122874</v>
          </cell>
          <cell r="B15733">
            <v>126694</v>
          </cell>
          <cell r="C15733" t="str">
            <v>Joseph Tritton Infant School</v>
          </cell>
          <cell r="D15733" t="str">
            <v>Wandsworth</v>
          </cell>
          <cell r="E15733" t="str">
            <v>Community School</v>
          </cell>
          <cell r="F15733" t="str">
            <v>Primary</v>
          </cell>
        </row>
        <row r="15734">
          <cell r="A15734">
            <v>2122796</v>
          </cell>
          <cell r="B15734">
            <v>101030</v>
          </cell>
          <cell r="C15734" t="str">
            <v>Joseph Tritton Primary School</v>
          </cell>
          <cell r="D15734" t="str">
            <v>Wandsworth</v>
          </cell>
          <cell r="E15734" t="str">
            <v>Community School</v>
          </cell>
          <cell r="F15734" t="str">
            <v>Primary</v>
          </cell>
        </row>
        <row r="15735">
          <cell r="A15735">
            <v>3332164</v>
          </cell>
          <cell r="B15735">
            <v>103970</v>
          </cell>
          <cell r="C15735" t="str">
            <v>Joseph Turner Primary School</v>
          </cell>
          <cell r="D15735" t="str">
            <v>Sandwell</v>
          </cell>
          <cell r="E15735" t="str">
            <v>Community School</v>
          </cell>
          <cell r="F15735" t="str">
            <v>Primary</v>
          </cell>
        </row>
        <row r="15736">
          <cell r="A15736">
            <v>8914408</v>
          </cell>
          <cell r="B15736">
            <v>122866</v>
          </cell>
          <cell r="C15736" t="str">
            <v>Joseph Whitaker School</v>
          </cell>
          <cell r="D15736" t="str">
            <v>Nottinghamshire</v>
          </cell>
          <cell r="E15736" t="str">
            <v>Foundation School</v>
          </cell>
          <cell r="F15736" t="str">
            <v>Secondary</v>
          </cell>
        </row>
        <row r="15737">
          <cell r="A15737">
            <v>8914408</v>
          </cell>
          <cell r="B15737">
            <v>137628</v>
          </cell>
          <cell r="C15737" t="str">
            <v>Joseph Whitaker School</v>
          </cell>
          <cell r="D15737" t="str">
            <v>Nottinghamshire</v>
          </cell>
          <cell r="E15737" t="str">
            <v>Academy Converters</v>
          </cell>
          <cell r="F15737" t="str">
            <v>Secondary</v>
          </cell>
        </row>
        <row r="15738">
          <cell r="A15738">
            <v>3412082</v>
          </cell>
          <cell r="B15738">
            <v>104548</v>
          </cell>
          <cell r="C15738" t="str">
            <v>Joseph Williams Junior Mixed and Infant School</v>
          </cell>
          <cell r="D15738" t="str">
            <v>Liverpool</v>
          </cell>
          <cell r="E15738" t="str">
            <v>Community School</v>
          </cell>
          <cell r="F15738" t="str">
            <v>Primary</v>
          </cell>
        </row>
        <row r="15739">
          <cell r="A15739">
            <v>3308602</v>
          </cell>
          <cell r="B15739">
            <v>130470</v>
          </cell>
          <cell r="C15739" t="str">
            <v>Josiah Mason College</v>
          </cell>
          <cell r="D15739" t="str">
            <v>Birmingham</v>
          </cell>
          <cell r="E15739" t="str">
            <v>Further Education</v>
          </cell>
          <cell r="F15739" t="str">
            <v>16 Plus</v>
          </cell>
        </row>
        <row r="15740">
          <cell r="A15740">
            <v>3304329</v>
          </cell>
          <cell r="B15740">
            <v>127065</v>
          </cell>
          <cell r="C15740" t="str">
            <v>Josiah Mason Sixth Form College</v>
          </cell>
          <cell r="D15740" t="str">
            <v>Birmingham</v>
          </cell>
          <cell r="E15740" t="str">
            <v>Community School</v>
          </cell>
          <cell r="F15740" t="str">
            <v>Secondary</v>
          </cell>
        </row>
        <row r="15741">
          <cell r="A15741">
            <v>8815211</v>
          </cell>
          <cell r="B15741">
            <v>115251</v>
          </cell>
          <cell r="C15741" t="str">
            <v>Jotmans Hall Primary School</v>
          </cell>
          <cell r="D15741" t="str">
            <v>Essex</v>
          </cell>
          <cell r="E15741" t="str">
            <v>Foundation School</v>
          </cell>
          <cell r="F15741" t="str">
            <v>Primary</v>
          </cell>
        </row>
        <row r="15742">
          <cell r="A15742">
            <v>8815211</v>
          </cell>
          <cell r="B15742">
            <v>137247</v>
          </cell>
          <cell r="C15742" t="str">
            <v>Jotmans Hall Primary School</v>
          </cell>
          <cell r="D15742" t="str">
            <v>Essex</v>
          </cell>
          <cell r="E15742" t="str">
            <v>Academy Converters</v>
          </cell>
          <cell r="F15742" t="str">
            <v>Primary</v>
          </cell>
        </row>
        <row r="15743">
          <cell r="A15743">
            <v>8862542</v>
          </cell>
          <cell r="B15743">
            <v>118503</v>
          </cell>
          <cell r="C15743" t="str">
            <v>Joy Lane Infant School</v>
          </cell>
          <cell r="D15743" t="str">
            <v>Kent</v>
          </cell>
          <cell r="E15743" t="str">
            <v>Community School</v>
          </cell>
          <cell r="F15743" t="str">
            <v>Primary</v>
          </cell>
        </row>
        <row r="15744">
          <cell r="A15744">
            <v>8862558</v>
          </cell>
          <cell r="B15744">
            <v>118514</v>
          </cell>
          <cell r="C15744" t="str">
            <v>Joy Lane Junior School</v>
          </cell>
          <cell r="D15744" t="str">
            <v>Kent</v>
          </cell>
          <cell r="E15744" t="str">
            <v>Community School</v>
          </cell>
          <cell r="F15744" t="str">
            <v>Primary</v>
          </cell>
        </row>
        <row r="15745">
          <cell r="A15745">
            <v>8863910</v>
          </cell>
          <cell r="B15745">
            <v>135130</v>
          </cell>
          <cell r="C15745" t="str">
            <v>Joy Lane Primary School</v>
          </cell>
          <cell r="D15745" t="str">
            <v>Kent</v>
          </cell>
          <cell r="E15745" t="str">
            <v>Community School</v>
          </cell>
          <cell r="F15745" t="str">
            <v>Primary</v>
          </cell>
        </row>
        <row r="15746">
          <cell r="A15746">
            <v>8862500</v>
          </cell>
          <cell r="B15746">
            <v>118474</v>
          </cell>
          <cell r="C15746" t="str">
            <v>Joydens Wood Infant School</v>
          </cell>
          <cell r="D15746" t="str">
            <v>Kent</v>
          </cell>
          <cell r="E15746" t="str">
            <v>Community School</v>
          </cell>
          <cell r="F15746" t="str">
            <v>Primary</v>
          </cell>
        </row>
        <row r="15747">
          <cell r="A15747">
            <v>8862500</v>
          </cell>
          <cell r="B15747">
            <v>137660</v>
          </cell>
          <cell r="C15747" t="str">
            <v>Joydens Wood Infant School</v>
          </cell>
          <cell r="D15747" t="str">
            <v>Kent</v>
          </cell>
          <cell r="E15747" t="str">
            <v>Academy Converters</v>
          </cell>
          <cell r="F15747" t="str">
            <v>Primary</v>
          </cell>
        </row>
        <row r="15748">
          <cell r="A15748">
            <v>8862438</v>
          </cell>
          <cell r="B15748">
            <v>118441</v>
          </cell>
          <cell r="C15748" t="str">
            <v>Joydens Wood Junior School</v>
          </cell>
          <cell r="D15748" t="str">
            <v>Kent</v>
          </cell>
          <cell r="E15748" t="str">
            <v>Community School</v>
          </cell>
          <cell r="F15748" t="str">
            <v>Primary</v>
          </cell>
        </row>
        <row r="15749">
          <cell r="A15749">
            <v>8862438</v>
          </cell>
          <cell r="B15749">
            <v>137661</v>
          </cell>
          <cell r="C15749" t="str">
            <v>Joydens Wood Junior School</v>
          </cell>
          <cell r="D15749" t="str">
            <v>Kent</v>
          </cell>
          <cell r="E15749" t="str">
            <v>Academy Converters</v>
          </cell>
          <cell r="F15749" t="str">
            <v>Primary</v>
          </cell>
        </row>
        <row r="15750">
          <cell r="A15750">
            <v>9162078</v>
          </cell>
          <cell r="B15750">
            <v>115532</v>
          </cell>
          <cell r="C15750" t="str">
            <v>Joys Green Primary School</v>
          </cell>
          <cell r="D15750" t="str">
            <v>Gloucestershire</v>
          </cell>
          <cell r="E15750" t="str">
            <v>Community School</v>
          </cell>
          <cell r="F15750" t="str">
            <v>Primary</v>
          </cell>
        </row>
        <row r="15751">
          <cell r="A15751">
            <v>9364469</v>
          </cell>
          <cell r="B15751">
            <v>133404</v>
          </cell>
          <cell r="C15751" t="str">
            <v>Jubilee High School</v>
          </cell>
          <cell r="D15751" t="str">
            <v>Surrey</v>
          </cell>
          <cell r="E15751" t="str">
            <v>Foundation School</v>
          </cell>
          <cell r="F15751" t="str">
            <v>Secondary</v>
          </cell>
        </row>
        <row r="15752">
          <cell r="A15752">
            <v>8916035</v>
          </cell>
          <cell r="B15752">
            <v>131998</v>
          </cell>
          <cell r="C15752" t="str">
            <v>Jubilee House Christian School</v>
          </cell>
          <cell r="D15752" t="str">
            <v>Nottinghamshire</v>
          </cell>
          <cell r="E15752" t="str">
            <v>Other Independent School</v>
          </cell>
          <cell r="F15752" t="str">
            <v>Not applicable</v>
          </cell>
        </row>
        <row r="15753">
          <cell r="A15753">
            <v>3332057</v>
          </cell>
          <cell r="B15753">
            <v>103916</v>
          </cell>
          <cell r="C15753" t="str">
            <v>Jubilee Park Primary School</v>
          </cell>
          <cell r="D15753" t="str">
            <v>Sandwell</v>
          </cell>
          <cell r="E15753" t="str">
            <v>Community School</v>
          </cell>
          <cell r="F15753" t="str">
            <v>Primary</v>
          </cell>
        </row>
        <row r="15754">
          <cell r="A15754">
            <v>2042859</v>
          </cell>
          <cell r="B15754">
            <v>100253</v>
          </cell>
          <cell r="C15754" t="str">
            <v>Jubilee Primary School</v>
          </cell>
          <cell r="D15754" t="str">
            <v>Hackney</v>
          </cell>
          <cell r="E15754" t="str">
            <v>Community School</v>
          </cell>
          <cell r="F15754" t="str">
            <v>Primary</v>
          </cell>
        </row>
        <row r="15755">
          <cell r="A15755">
            <v>3032063</v>
          </cell>
          <cell r="B15755">
            <v>101440</v>
          </cell>
          <cell r="C15755" t="str">
            <v>Jubilee Primary School</v>
          </cell>
          <cell r="D15755" t="str">
            <v>Bexley</v>
          </cell>
          <cell r="E15755" t="str">
            <v>Community School</v>
          </cell>
          <cell r="F15755" t="str">
            <v>Primary</v>
          </cell>
        </row>
        <row r="15756">
          <cell r="A15756">
            <v>2083000</v>
          </cell>
          <cell r="B15756">
            <v>133662</v>
          </cell>
          <cell r="C15756" t="str">
            <v>Jubilee Primary School</v>
          </cell>
          <cell r="D15756" t="str">
            <v>Lambeth</v>
          </cell>
          <cell r="E15756" t="str">
            <v>Community School</v>
          </cell>
          <cell r="F15756" t="str">
            <v>Primary</v>
          </cell>
        </row>
        <row r="15757">
          <cell r="A15757">
            <v>8564251</v>
          </cell>
          <cell r="B15757">
            <v>120287</v>
          </cell>
          <cell r="C15757" t="str">
            <v>Judgemeadow Community College</v>
          </cell>
          <cell r="D15757" t="str">
            <v>Leicester</v>
          </cell>
          <cell r="E15757" t="str">
            <v>Community School</v>
          </cell>
          <cell r="F15757" t="str">
            <v>Secondary</v>
          </cell>
        </row>
        <row r="15758">
          <cell r="A15758">
            <v>2085209</v>
          </cell>
          <cell r="B15758">
            <v>100602</v>
          </cell>
          <cell r="C15758" t="str">
            <v>Julian's School</v>
          </cell>
          <cell r="D15758" t="str">
            <v>Lambeth</v>
          </cell>
          <cell r="E15758" t="str">
            <v>Foundation School</v>
          </cell>
          <cell r="F15758" t="str">
            <v>Primary</v>
          </cell>
        </row>
        <row r="15759">
          <cell r="A15759">
            <v>3702085</v>
          </cell>
          <cell r="B15759">
            <v>106591</v>
          </cell>
          <cell r="C15759" t="str">
            <v>Jump Primary School</v>
          </cell>
          <cell r="D15759" t="str">
            <v>Barnsley</v>
          </cell>
          <cell r="E15759" t="str">
            <v>Community School</v>
          </cell>
          <cell r="F15759" t="str">
            <v>Primary</v>
          </cell>
        </row>
        <row r="15760">
          <cell r="A15760">
            <v>8082079</v>
          </cell>
          <cell r="B15760">
            <v>111561</v>
          </cell>
          <cell r="C15760" t="str">
            <v>Junction Farm Primary School</v>
          </cell>
          <cell r="D15760" t="str">
            <v>Stockton-on-Tees</v>
          </cell>
          <cell r="E15760" t="str">
            <v>Community School</v>
          </cell>
          <cell r="F15760" t="str">
            <v>Primary</v>
          </cell>
        </row>
        <row r="15761">
          <cell r="A15761">
            <v>8866061</v>
          </cell>
          <cell r="B15761">
            <v>119010</v>
          </cell>
          <cell r="C15761" t="str">
            <v>Junior King's School</v>
          </cell>
          <cell r="D15761" t="str">
            <v>Kent</v>
          </cell>
          <cell r="E15761" t="str">
            <v>Other Independent School</v>
          </cell>
          <cell r="F15761" t="str">
            <v>Not applicable</v>
          </cell>
        </row>
        <row r="15762">
          <cell r="A15762">
            <v>8252199</v>
          </cell>
          <cell r="B15762">
            <v>110299</v>
          </cell>
          <cell r="C15762" t="str">
            <v>Juniper Hill School</v>
          </cell>
          <cell r="D15762" t="str">
            <v>Buckinghamshire</v>
          </cell>
          <cell r="E15762" t="str">
            <v>Community School</v>
          </cell>
          <cell r="F15762" t="str">
            <v>Primary</v>
          </cell>
        </row>
        <row r="15763">
          <cell r="A15763">
            <v>9192439</v>
          </cell>
          <cell r="B15763">
            <v>117344</v>
          </cell>
          <cell r="C15763" t="str">
            <v>Jupiter Drive Junior Mixed and Infant School</v>
          </cell>
          <cell r="D15763" t="str">
            <v>Hertfordshire</v>
          </cell>
          <cell r="E15763" t="str">
            <v>Community School</v>
          </cell>
          <cell r="F15763" t="str">
            <v>Primary</v>
          </cell>
        </row>
        <row r="15764">
          <cell r="A15764">
            <v>7052015</v>
          </cell>
          <cell r="B15764">
            <v>132457</v>
          </cell>
          <cell r="C15764" t="str">
            <v>Jurby Community Primary School</v>
          </cell>
          <cell r="D15764" t="str">
            <v>Isle of Man Offshore Establishments</v>
          </cell>
          <cell r="E15764" t="str">
            <v>Offshore Schools</v>
          </cell>
          <cell r="F15764" t="str">
            <v>Not applicable</v>
          </cell>
        </row>
        <row r="15765">
          <cell r="A15765">
            <v>8868016</v>
          </cell>
          <cell r="B15765">
            <v>130727</v>
          </cell>
          <cell r="C15765" t="str">
            <v>K College</v>
          </cell>
          <cell r="D15765" t="str">
            <v>Kent</v>
          </cell>
          <cell r="E15765" t="str">
            <v>Further Education</v>
          </cell>
          <cell r="F15765" t="str">
            <v>16 Plus</v>
          </cell>
        </row>
        <row r="15766">
          <cell r="A15766">
            <v>9092309</v>
          </cell>
          <cell r="B15766">
            <v>128574</v>
          </cell>
          <cell r="C15766" t="str">
            <v>Kaber County Primary School</v>
          </cell>
          <cell r="D15766" t="str">
            <v>Cumbria</v>
          </cell>
          <cell r="E15766" t="str">
            <v>Community School</v>
          </cell>
          <cell r="F15766" t="str">
            <v>Primary</v>
          </cell>
        </row>
        <row r="15767">
          <cell r="A15767">
            <v>8062111</v>
          </cell>
          <cell r="B15767">
            <v>111574</v>
          </cell>
          <cell r="C15767" t="str">
            <v>Kader Primary School</v>
          </cell>
          <cell r="D15767" t="str">
            <v>Middlesbrough</v>
          </cell>
          <cell r="E15767" t="str">
            <v>Community School</v>
          </cell>
          <cell r="F15767" t="str">
            <v>Primary</v>
          </cell>
        </row>
        <row r="15768">
          <cell r="A15768">
            <v>9266421</v>
          </cell>
          <cell r="B15768">
            <v>136372</v>
          </cell>
          <cell r="C15768" t="str">
            <v>Kadesh Education</v>
          </cell>
          <cell r="D15768" t="str">
            <v>Norfolk</v>
          </cell>
          <cell r="E15768" t="str">
            <v>Other Independent Special School</v>
          </cell>
          <cell r="F15768" t="str">
            <v>Not applicable</v>
          </cell>
        </row>
        <row r="15769">
          <cell r="A15769">
            <v>3162102</v>
          </cell>
          <cell r="B15769">
            <v>132813</v>
          </cell>
          <cell r="C15769" t="str">
            <v>Kaizen Primary School</v>
          </cell>
          <cell r="D15769" t="str">
            <v>Newham</v>
          </cell>
          <cell r="E15769" t="str">
            <v>Community School</v>
          </cell>
          <cell r="F15769" t="str">
            <v>Primary</v>
          </cell>
        </row>
        <row r="15770">
          <cell r="A15770">
            <v>8522460</v>
          </cell>
          <cell r="B15770">
            <v>116131</v>
          </cell>
          <cell r="C15770" t="str">
            <v>Kanes Hill Primary School</v>
          </cell>
          <cell r="D15770" t="str">
            <v>Southampton</v>
          </cell>
          <cell r="E15770" t="str">
            <v>Community School</v>
          </cell>
          <cell r="F15770" t="str">
            <v>Primary</v>
          </cell>
        </row>
        <row r="15771">
          <cell r="A15771">
            <v>3551003</v>
          </cell>
          <cell r="B15771">
            <v>105867</v>
          </cell>
          <cell r="C15771" t="str">
            <v>Kara Street Nursery School</v>
          </cell>
          <cell r="D15771" t="str">
            <v>Salford</v>
          </cell>
          <cell r="E15771" t="str">
            <v>LA Nursery School</v>
          </cell>
          <cell r="F15771" t="str">
            <v>Nursery</v>
          </cell>
        </row>
        <row r="15772">
          <cell r="A15772">
            <v>3534015</v>
          </cell>
          <cell r="B15772">
            <v>105732</v>
          </cell>
          <cell r="C15772" t="str">
            <v>Kaskenmoor School</v>
          </cell>
          <cell r="D15772" t="str">
            <v>Oldham</v>
          </cell>
          <cell r="E15772" t="str">
            <v>Community School</v>
          </cell>
          <cell r="F15772" t="str">
            <v>Secondary</v>
          </cell>
        </row>
        <row r="15773">
          <cell r="A15773">
            <v>3526049</v>
          </cell>
          <cell r="B15773">
            <v>131979</v>
          </cell>
          <cell r="C15773" t="str">
            <v>Kassim Darwish Grammar School for Boys</v>
          </cell>
          <cell r="D15773" t="str">
            <v>Manchester</v>
          </cell>
          <cell r="E15773" t="str">
            <v>Other Independent School</v>
          </cell>
          <cell r="F15773" t="str">
            <v>Not applicable</v>
          </cell>
        </row>
        <row r="15774">
          <cell r="A15774">
            <v>2061033</v>
          </cell>
          <cell r="B15774">
            <v>100385</v>
          </cell>
          <cell r="C15774" t="str">
            <v>Kate Greenaway Nursery School and Children's Centre</v>
          </cell>
          <cell r="D15774" t="str">
            <v>Islington</v>
          </cell>
          <cell r="E15774" t="str">
            <v>LA Nursery School</v>
          </cell>
          <cell r="F15774" t="str">
            <v>Nursery</v>
          </cell>
        </row>
        <row r="15775">
          <cell r="A15775">
            <v>3322010</v>
          </cell>
          <cell r="B15775">
            <v>103774</v>
          </cell>
          <cell r="C15775" t="str">
            <v>Kate's Hill Community Primary School</v>
          </cell>
          <cell r="D15775" t="str">
            <v>Dudley</v>
          </cell>
          <cell r="E15775" t="str">
            <v>Community School</v>
          </cell>
          <cell r="F15775" t="str">
            <v>Primary</v>
          </cell>
        </row>
        <row r="15776">
          <cell r="A15776">
            <v>8702226</v>
          </cell>
          <cell r="B15776">
            <v>109920</v>
          </cell>
          <cell r="C15776" t="str">
            <v>Katesgrove Primary School</v>
          </cell>
          <cell r="D15776" t="str">
            <v>Reading</v>
          </cell>
          <cell r="E15776" t="str">
            <v>Community School</v>
          </cell>
          <cell r="F15776" t="str">
            <v>Primary</v>
          </cell>
        </row>
        <row r="15777">
          <cell r="A15777">
            <v>9327007</v>
          </cell>
          <cell r="B15777">
            <v>129832</v>
          </cell>
          <cell r="C15777" t="str">
            <v>Katharine Elliot School</v>
          </cell>
          <cell r="D15777" t="str">
            <v>Pre LGR (1998) Shropshire</v>
          </cell>
          <cell r="E15777" t="str">
            <v>Community Special School</v>
          </cell>
          <cell r="F15777" t="str">
            <v>Special</v>
          </cell>
        </row>
        <row r="15778">
          <cell r="A15778">
            <v>9165406</v>
          </cell>
          <cell r="B15778">
            <v>115757</v>
          </cell>
          <cell r="C15778" t="str">
            <v>Katharine Lady Berkeley's School</v>
          </cell>
          <cell r="D15778" t="str">
            <v>Gloucestershire</v>
          </cell>
          <cell r="E15778" t="str">
            <v>Voluntary Aided School</v>
          </cell>
          <cell r="F15778" t="str">
            <v>Secondary</v>
          </cell>
        </row>
        <row r="15779">
          <cell r="A15779">
            <v>9165406</v>
          </cell>
          <cell r="B15779">
            <v>137033</v>
          </cell>
          <cell r="C15779" t="str">
            <v>Katharine Lady Berkeley's School</v>
          </cell>
          <cell r="D15779" t="str">
            <v>Gloucestershire</v>
          </cell>
          <cell r="E15779" t="str">
            <v>Academy Converters</v>
          </cell>
          <cell r="F15779" t="str">
            <v>Secondary</v>
          </cell>
        </row>
        <row r="15780">
          <cell r="A15780">
            <v>8812717</v>
          </cell>
          <cell r="B15780">
            <v>114966</v>
          </cell>
          <cell r="C15780" t="str">
            <v>Katherine Semar Infant School</v>
          </cell>
          <cell r="D15780" t="str">
            <v>Essex</v>
          </cell>
          <cell r="E15780" t="str">
            <v>Community School</v>
          </cell>
          <cell r="F15780" t="str">
            <v>Primary</v>
          </cell>
        </row>
        <row r="15781">
          <cell r="A15781">
            <v>8812687</v>
          </cell>
          <cell r="B15781">
            <v>114950</v>
          </cell>
          <cell r="C15781" t="str">
            <v>Katherine Semar Junior School</v>
          </cell>
          <cell r="D15781" t="str">
            <v>Essex</v>
          </cell>
          <cell r="E15781" t="str">
            <v>Community School</v>
          </cell>
          <cell r="F15781" t="str">
            <v>Primary</v>
          </cell>
        </row>
        <row r="15782">
          <cell r="A15782">
            <v>8815205</v>
          </cell>
          <cell r="B15782">
            <v>115245</v>
          </cell>
          <cell r="C15782" t="str">
            <v>Katherines Primary School</v>
          </cell>
          <cell r="D15782" t="str">
            <v>Essex</v>
          </cell>
          <cell r="E15782" t="str">
            <v>Foundation School</v>
          </cell>
          <cell r="F15782" t="str">
            <v>Primary</v>
          </cell>
        </row>
        <row r="15783">
          <cell r="A15783">
            <v>3161001</v>
          </cell>
          <cell r="B15783">
            <v>102701</v>
          </cell>
          <cell r="C15783" t="str">
            <v>Kay Rowe Nursery School</v>
          </cell>
          <cell r="D15783" t="str">
            <v>Newham</v>
          </cell>
          <cell r="E15783" t="str">
            <v>LA Nursery School</v>
          </cell>
          <cell r="F15783" t="str">
            <v>Nursery</v>
          </cell>
        </row>
        <row r="15784">
          <cell r="A15784">
            <v>3822079</v>
          </cell>
          <cell r="B15784">
            <v>107650</v>
          </cell>
          <cell r="C15784" t="str">
            <v>Kaye's First and Nursery School</v>
          </cell>
          <cell r="D15784" t="str">
            <v>Kirklees</v>
          </cell>
          <cell r="E15784" t="str">
            <v>Community School</v>
          </cell>
          <cell r="F15784" t="str">
            <v>Primary</v>
          </cell>
        </row>
        <row r="15785">
          <cell r="A15785">
            <v>8466022</v>
          </cell>
          <cell r="B15785">
            <v>131463</v>
          </cell>
          <cell r="C15785" t="str">
            <v>K-BIS Theatre School</v>
          </cell>
          <cell r="D15785" t="str">
            <v>Brighton and Hove</v>
          </cell>
          <cell r="E15785" t="str">
            <v>Other Independent School</v>
          </cell>
          <cell r="F15785" t="str">
            <v>Not applicable</v>
          </cell>
        </row>
        <row r="15786">
          <cell r="A15786">
            <v>810940</v>
          </cell>
          <cell r="B15786">
            <v>134107</v>
          </cell>
          <cell r="C15786" t="str">
            <v>Kc Stadium Education Centre</v>
          </cell>
          <cell r="D15786" t="str">
            <v>Kingston upon Hull City of</v>
          </cell>
          <cell r="E15786" t="str">
            <v>Playing for Success Centres</v>
          </cell>
          <cell r="F15786" t="str">
            <v>Not applicable</v>
          </cell>
        </row>
        <row r="15787">
          <cell r="A15787">
            <v>9082302</v>
          </cell>
          <cell r="B15787">
            <v>111861</v>
          </cell>
          <cell r="C15787" t="str">
            <v>Kea Community Primary School</v>
          </cell>
          <cell r="D15787" t="str">
            <v>Cornwall</v>
          </cell>
          <cell r="E15787" t="str">
            <v>Community School</v>
          </cell>
          <cell r="F15787" t="str">
            <v>Primary</v>
          </cell>
        </row>
        <row r="15788">
          <cell r="A15788">
            <v>3506907</v>
          </cell>
          <cell r="B15788">
            <v>136135</v>
          </cell>
          <cell r="C15788" t="str">
            <v>Kearsley Academy</v>
          </cell>
          <cell r="D15788" t="str">
            <v>Bolton</v>
          </cell>
          <cell r="E15788" t="str">
            <v>Academy Sponsor Led</v>
          </cell>
          <cell r="F15788" t="str">
            <v>Secondary</v>
          </cell>
        </row>
        <row r="15789">
          <cell r="A15789">
            <v>3502061</v>
          </cell>
          <cell r="B15789">
            <v>105186</v>
          </cell>
          <cell r="C15789" t="str">
            <v>Kearsley West Primary School</v>
          </cell>
          <cell r="D15789" t="str">
            <v>Bolton</v>
          </cell>
          <cell r="E15789" t="str">
            <v>Community School</v>
          </cell>
          <cell r="F15789" t="str">
            <v>Primary</v>
          </cell>
        </row>
        <row r="15790">
          <cell r="A15790">
            <v>3086000</v>
          </cell>
          <cell r="B15790">
            <v>102060</v>
          </cell>
          <cell r="C15790" t="str">
            <v>Keble Preparatory School</v>
          </cell>
          <cell r="D15790" t="str">
            <v>Enfield</v>
          </cell>
          <cell r="E15790" t="str">
            <v>Other Independent School</v>
          </cell>
          <cell r="F15790" t="str">
            <v>Not applicable</v>
          </cell>
        </row>
        <row r="15791">
          <cell r="A15791">
            <v>9352054</v>
          </cell>
          <cell r="B15791">
            <v>124564</v>
          </cell>
          <cell r="C15791" t="str">
            <v>Kedington Primary School</v>
          </cell>
          <cell r="D15791" t="str">
            <v>Suffolk</v>
          </cell>
          <cell r="E15791" t="str">
            <v>Community School</v>
          </cell>
          <cell r="F15791" t="str">
            <v>Primary</v>
          </cell>
        </row>
        <row r="15792">
          <cell r="A15792">
            <v>9252168</v>
          </cell>
          <cell r="B15792">
            <v>120456</v>
          </cell>
          <cell r="C15792" t="str">
            <v>Keelby Primary School</v>
          </cell>
          <cell r="D15792" t="str">
            <v>Lincolnshire</v>
          </cell>
          <cell r="E15792" t="str">
            <v>Community School</v>
          </cell>
          <cell r="F15792" t="str">
            <v>Primary</v>
          </cell>
        </row>
        <row r="15793">
          <cell r="A15793">
            <v>3805207</v>
          </cell>
          <cell r="B15793">
            <v>107438</v>
          </cell>
          <cell r="C15793" t="str">
            <v>Keelham Primary School</v>
          </cell>
          <cell r="D15793" t="str">
            <v>Bradford</v>
          </cell>
          <cell r="E15793" t="str">
            <v>Foundation School</v>
          </cell>
          <cell r="F15793" t="str">
            <v>Primary</v>
          </cell>
        </row>
        <row r="15794">
          <cell r="A15794">
            <v>8722144</v>
          </cell>
          <cell r="B15794">
            <v>109874</v>
          </cell>
          <cell r="C15794" t="str">
            <v>Keep Hatch Junior School</v>
          </cell>
          <cell r="D15794" t="str">
            <v>Wokingham</v>
          </cell>
          <cell r="E15794" t="str">
            <v>Community School</v>
          </cell>
          <cell r="F15794" t="str">
            <v>Primary</v>
          </cell>
        </row>
        <row r="15795">
          <cell r="A15795">
            <v>8722106</v>
          </cell>
          <cell r="B15795">
            <v>109840</v>
          </cell>
          <cell r="C15795" t="str">
            <v>Keep Hatch Primary School</v>
          </cell>
          <cell r="D15795" t="str">
            <v>Wokingham</v>
          </cell>
          <cell r="E15795" t="str">
            <v>Community School</v>
          </cell>
          <cell r="F15795" t="str">
            <v>Primary</v>
          </cell>
        </row>
        <row r="15796">
          <cell r="A15796">
            <v>3342071</v>
          </cell>
          <cell r="B15796">
            <v>127172</v>
          </cell>
          <cell r="C15796" t="str">
            <v>Keepers Lodge Junior and Infant School</v>
          </cell>
          <cell r="D15796" t="str">
            <v>Solihull</v>
          </cell>
          <cell r="E15796" t="str">
            <v>Community School</v>
          </cell>
          <cell r="F15796" t="str">
            <v>Primary</v>
          </cell>
        </row>
        <row r="15797">
          <cell r="A15797">
            <v>8653094</v>
          </cell>
          <cell r="B15797">
            <v>126331</v>
          </cell>
          <cell r="C15797" t="str">
            <v>Keevil CofE Primary School</v>
          </cell>
          <cell r="D15797" t="str">
            <v>Wiltshire</v>
          </cell>
          <cell r="E15797" t="str">
            <v>Voluntary Aided School</v>
          </cell>
          <cell r="F15797" t="str">
            <v>Primary</v>
          </cell>
        </row>
        <row r="15798">
          <cell r="A15798">
            <v>9366533</v>
          </cell>
          <cell r="B15798">
            <v>130125</v>
          </cell>
          <cell r="C15798" t="str">
            <v>Keffolds Farm Tutorial</v>
          </cell>
          <cell r="D15798" t="str">
            <v>Surrey</v>
          </cell>
          <cell r="E15798" t="str">
            <v>Other Independent School</v>
          </cell>
          <cell r="F15798" t="str">
            <v>Not applicable</v>
          </cell>
        </row>
        <row r="15799">
          <cell r="A15799">
            <v>8552053</v>
          </cell>
          <cell r="B15799">
            <v>119932</v>
          </cell>
          <cell r="C15799" t="str">
            <v>Kegworth Primary School</v>
          </cell>
          <cell r="D15799" t="str">
            <v>Leicestershire</v>
          </cell>
          <cell r="E15799" t="str">
            <v>Community School</v>
          </cell>
          <cell r="F15799" t="str">
            <v>Primary</v>
          </cell>
        </row>
        <row r="15800">
          <cell r="A15800">
            <v>9082208</v>
          </cell>
          <cell r="B15800">
            <v>111836</v>
          </cell>
          <cell r="C15800" t="str">
            <v>Kehelland Village School</v>
          </cell>
          <cell r="D15800" t="str">
            <v>Cornwall</v>
          </cell>
          <cell r="E15800" t="str">
            <v>Community School</v>
          </cell>
          <cell r="F15800" t="str">
            <v>Primary</v>
          </cell>
        </row>
        <row r="15801">
          <cell r="A15801">
            <v>3808007</v>
          </cell>
          <cell r="B15801">
            <v>130533</v>
          </cell>
          <cell r="C15801" t="str">
            <v>Keighley College</v>
          </cell>
          <cell r="D15801" t="str">
            <v>Bradford</v>
          </cell>
          <cell r="E15801" t="str">
            <v>Further Education</v>
          </cell>
          <cell r="F15801" t="str">
            <v>16 Plus</v>
          </cell>
        </row>
        <row r="15802">
          <cell r="A15802">
            <v>3806080</v>
          </cell>
          <cell r="B15802">
            <v>107451</v>
          </cell>
          <cell r="C15802" t="str">
            <v>Keighley Preparatory School</v>
          </cell>
          <cell r="D15802" t="str">
            <v>Bradford</v>
          </cell>
          <cell r="E15802" t="str">
            <v>Other Independent School</v>
          </cell>
          <cell r="F15802" t="str">
            <v>Not applicable</v>
          </cell>
        </row>
        <row r="15803">
          <cell r="A15803">
            <v>3803363</v>
          </cell>
          <cell r="B15803">
            <v>107339</v>
          </cell>
          <cell r="C15803" t="str">
            <v>Keighley St Andrew's CofE Primary School and Nursery</v>
          </cell>
          <cell r="D15803" t="str">
            <v>Bradford</v>
          </cell>
          <cell r="E15803" t="str">
            <v>Voluntary Aided School</v>
          </cell>
          <cell r="F15803" t="str">
            <v>Primary</v>
          </cell>
        </row>
        <row r="15804">
          <cell r="A15804">
            <v>9332038</v>
          </cell>
          <cell r="B15804">
            <v>123650</v>
          </cell>
          <cell r="C15804" t="str">
            <v>Keinton Mandeville Primary School</v>
          </cell>
          <cell r="D15804" t="str">
            <v>Somerset</v>
          </cell>
          <cell r="E15804" t="str">
            <v>Community School</v>
          </cell>
          <cell r="F15804" t="str">
            <v>Primary</v>
          </cell>
        </row>
        <row r="15805">
          <cell r="A15805">
            <v>3162033</v>
          </cell>
          <cell r="B15805">
            <v>126981</v>
          </cell>
          <cell r="C15805" t="str">
            <v>Keir Hardie Infant School</v>
          </cell>
          <cell r="D15805" t="str">
            <v>Newham</v>
          </cell>
          <cell r="E15805" t="str">
            <v>Community School</v>
          </cell>
          <cell r="F15805" t="str">
            <v>Primary</v>
          </cell>
        </row>
        <row r="15806">
          <cell r="A15806">
            <v>3162032</v>
          </cell>
          <cell r="B15806">
            <v>102725</v>
          </cell>
          <cell r="C15806" t="str">
            <v>Keir Hardie Primary School</v>
          </cell>
          <cell r="D15806" t="str">
            <v>Newham</v>
          </cell>
          <cell r="E15806" t="str">
            <v>Community School</v>
          </cell>
          <cell r="F15806" t="str">
            <v>Primary</v>
          </cell>
        </row>
        <row r="15807">
          <cell r="A15807">
            <v>3702017</v>
          </cell>
          <cell r="B15807">
            <v>106561</v>
          </cell>
          <cell r="C15807" t="str">
            <v>Keir Street Junior School</v>
          </cell>
          <cell r="D15807" t="str">
            <v>Barnsley</v>
          </cell>
          <cell r="E15807" t="str">
            <v>Community School</v>
          </cell>
          <cell r="F15807" t="str">
            <v>Primary</v>
          </cell>
        </row>
        <row r="15808">
          <cell r="A15808">
            <v>8882214</v>
          </cell>
          <cell r="B15808">
            <v>119250</v>
          </cell>
          <cell r="C15808" t="str">
            <v>Kelbrook Primary School</v>
          </cell>
          <cell r="D15808" t="str">
            <v>Lancashire</v>
          </cell>
          <cell r="E15808" t="str">
            <v>Community School</v>
          </cell>
          <cell r="F15808" t="str">
            <v>Primary</v>
          </cell>
        </row>
        <row r="15809">
          <cell r="A15809">
            <v>8064135</v>
          </cell>
          <cell r="B15809">
            <v>111750</v>
          </cell>
          <cell r="C15809" t="str">
            <v>Keldholme School</v>
          </cell>
          <cell r="D15809" t="str">
            <v>Middlesbrough</v>
          </cell>
          <cell r="E15809" t="str">
            <v>Community School</v>
          </cell>
          <cell r="F15809" t="str">
            <v>Secondary</v>
          </cell>
        </row>
        <row r="15810">
          <cell r="A15810">
            <v>8112001</v>
          </cell>
          <cell r="B15810">
            <v>133481</v>
          </cell>
          <cell r="C15810" t="str">
            <v>Keldmarsh Primary School</v>
          </cell>
          <cell r="D15810" t="str">
            <v>East Riding of Yorkshire</v>
          </cell>
          <cell r="E15810" t="str">
            <v>Community School</v>
          </cell>
          <cell r="F15810" t="str">
            <v>Primary</v>
          </cell>
        </row>
        <row r="15811">
          <cell r="A15811">
            <v>3727003</v>
          </cell>
          <cell r="B15811">
            <v>106968</v>
          </cell>
          <cell r="C15811" t="str">
            <v>Kelford School</v>
          </cell>
          <cell r="D15811" t="str">
            <v>Rotherham</v>
          </cell>
          <cell r="E15811" t="str">
            <v>Community Special School</v>
          </cell>
          <cell r="F15811" t="str">
            <v>Special</v>
          </cell>
        </row>
        <row r="15812">
          <cell r="A15812">
            <v>8153076</v>
          </cell>
          <cell r="B15812">
            <v>121508</v>
          </cell>
          <cell r="C15812" t="str">
            <v>Kell Bank Church of England Primary School</v>
          </cell>
          <cell r="D15812" t="str">
            <v>North Yorkshire</v>
          </cell>
          <cell r="E15812" t="str">
            <v>Voluntary Controlled School</v>
          </cell>
          <cell r="F15812" t="str">
            <v>Primary</v>
          </cell>
        </row>
        <row r="15813">
          <cell r="A15813">
            <v>9262092</v>
          </cell>
          <cell r="B15813">
            <v>120823</v>
          </cell>
          <cell r="C15813" t="str">
            <v>Kelling Primary School</v>
          </cell>
          <cell r="D15813" t="str">
            <v>Norfolk</v>
          </cell>
          <cell r="E15813" t="str">
            <v>Community School</v>
          </cell>
          <cell r="F15813" t="str">
            <v>Primary</v>
          </cell>
        </row>
        <row r="15814">
          <cell r="A15814">
            <v>8152422</v>
          </cell>
          <cell r="B15814">
            <v>121462</v>
          </cell>
          <cell r="C15814" t="str">
            <v>Kellington Primary School</v>
          </cell>
          <cell r="D15814" t="str">
            <v>North Yorkshire</v>
          </cell>
          <cell r="E15814" t="str">
            <v>Community School</v>
          </cell>
          <cell r="F15814" t="str">
            <v>Primary</v>
          </cell>
        </row>
        <row r="15815">
          <cell r="A15815">
            <v>8402374</v>
          </cell>
          <cell r="B15815">
            <v>114081</v>
          </cell>
          <cell r="C15815" t="str">
            <v>Kelloe Primary School</v>
          </cell>
          <cell r="D15815" t="str">
            <v>Durham</v>
          </cell>
          <cell r="E15815" t="str">
            <v>Community School</v>
          </cell>
          <cell r="F15815" t="str">
            <v>Primary</v>
          </cell>
        </row>
        <row r="15816">
          <cell r="A15816">
            <v>9092230</v>
          </cell>
          <cell r="B15816">
            <v>112169</v>
          </cell>
          <cell r="C15816" t="str">
            <v>Kells Infant School</v>
          </cell>
          <cell r="D15816" t="str">
            <v>Cumbria</v>
          </cell>
          <cell r="E15816" t="str">
            <v>Community School</v>
          </cell>
          <cell r="F15816" t="str">
            <v>Primary</v>
          </cell>
        </row>
        <row r="15817">
          <cell r="A15817">
            <v>3902234</v>
          </cell>
          <cell r="B15817">
            <v>131106</v>
          </cell>
          <cell r="C15817" t="str">
            <v>Kells Lane Primary School</v>
          </cell>
          <cell r="D15817" t="str">
            <v>Gateshead</v>
          </cell>
          <cell r="E15817" t="str">
            <v>Community School</v>
          </cell>
          <cell r="F15817" t="str">
            <v>Primary</v>
          </cell>
        </row>
        <row r="15818">
          <cell r="A15818">
            <v>8786009</v>
          </cell>
          <cell r="B15818">
            <v>113573</v>
          </cell>
          <cell r="C15818" t="str">
            <v>Kelly College</v>
          </cell>
          <cell r="D15818" t="str">
            <v>Devon</v>
          </cell>
          <cell r="E15818" t="str">
            <v>Other Independent School</v>
          </cell>
          <cell r="F15818" t="str">
            <v>Not applicable</v>
          </cell>
        </row>
        <row r="15819">
          <cell r="A15819">
            <v>8786019</v>
          </cell>
          <cell r="B15819">
            <v>113585</v>
          </cell>
          <cell r="C15819" t="str">
            <v>Kelly College Preparatory School</v>
          </cell>
          <cell r="D15819" t="str">
            <v>Devon</v>
          </cell>
          <cell r="E15819" t="str">
            <v>Other Independent School</v>
          </cell>
          <cell r="F15819" t="str">
            <v>Not applicable</v>
          </cell>
        </row>
        <row r="15820">
          <cell r="A15820">
            <v>3204075</v>
          </cell>
          <cell r="B15820">
            <v>103105</v>
          </cell>
          <cell r="C15820" t="str">
            <v>Kelmscott School</v>
          </cell>
          <cell r="D15820" t="str">
            <v>Waltham Forest</v>
          </cell>
          <cell r="E15820" t="str">
            <v>Community School</v>
          </cell>
          <cell r="F15820" t="str">
            <v>Secondary</v>
          </cell>
        </row>
        <row r="15821">
          <cell r="A15821">
            <v>9353093</v>
          </cell>
          <cell r="B15821">
            <v>124735</v>
          </cell>
          <cell r="C15821" t="str">
            <v>Kelsale Church of England Voluntary Controlled Primary School</v>
          </cell>
          <cell r="D15821" t="str">
            <v>Suffolk</v>
          </cell>
          <cell r="E15821" t="str">
            <v>Voluntary Controlled School</v>
          </cell>
          <cell r="F15821" t="str">
            <v>Primary</v>
          </cell>
        </row>
        <row r="15822">
          <cell r="A15822">
            <v>8962269</v>
          </cell>
          <cell r="B15822">
            <v>111104</v>
          </cell>
          <cell r="C15822" t="str">
            <v>Kelsall Community Primary School</v>
          </cell>
          <cell r="D15822" t="str">
            <v>Cheshire West and Chester</v>
          </cell>
          <cell r="E15822" t="str">
            <v>Community School</v>
          </cell>
          <cell r="F15822" t="str">
            <v>Primary</v>
          </cell>
        </row>
        <row r="15823">
          <cell r="A15823">
            <v>3055404</v>
          </cell>
          <cell r="B15823">
            <v>101670</v>
          </cell>
          <cell r="C15823" t="str">
            <v>Kelsey Park Sports College</v>
          </cell>
          <cell r="D15823" t="str">
            <v>Bromley</v>
          </cell>
          <cell r="E15823" t="str">
            <v>Foundation School</v>
          </cell>
          <cell r="F15823" t="str">
            <v>Secondary</v>
          </cell>
        </row>
        <row r="15824">
          <cell r="A15824">
            <v>9252182</v>
          </cell>
          <cell r="B15824">
            <v>120469</v>
          </cell>
          <cell r="C15824" t="str">
            <v>Kelsey Primary School</v>
          </cell>
          <cell r="D15824" t="str">
            <v>Lincolnshire</v>
          </cell>
          <cell r="E15824" t="str">
            <v>Community School</v>
          </cell>
          <cell r="F15824" t="str">
            <v>Primary</v>
          </cell>
        </row>
        <row r="15825">
          <cell r="A15825">
            <v>3416001</v>
          </cell>
          <cell r="B15825">
            <v>135922</v>
          </cell>
          <cell r="C15825" t="str">
            <v>Kelso Independent School</v>
          </cell>
          <cell r="D15825" t="str">
            <v>Liverpool</v>
          </cell>
          <cell r="E15825" t="str">
            <v>Other Independent Special School</v>
          </cell>
          <cell r="F15825" t="str">
            <v>Not applicable</v>
          </cell>
        </row>
        <row r="15826">
          <cell r="A15826">
            <v>8812680</v>
          </cell>
          <cell r="B15826">
            <v>114945</v>
          </cell>
          <cell r="C15826" t="str">
            <v>Kelvedon Hatch Community Primary School</v>
          </cell>
          <cell r="D15826" t="str">
            <v>Essex</v>
          </cell>
          <cell r="E15826" t="str">
            <v>Community School</v>
          </cell>
          <cell r="F15826" t="str">
            <v>Primary</v>
          </cell>
        </row>
        <row r="15827">
          <cell r="A15827">
            <v>8813211</v>
          </cell>
          <cell r="B15827">
            <v>115109</v>
          </cell>
          <cell r="C15827" t="str">
            <v>Kelvedon St Mary's Church of England Primary School</v>
          </cell>
          <cell r="D15827" t="str">
            <v>Essex</v>
          </cell>
          <cell r="E15827" t="str">
            <v>Voluntary Controlled School</v>
          </cell>
          <cell r="F15827" t="str">
            <v>Primary</v>
          </cell>
        </row>
        <row r="15828">
          <cell r="A15828">
            <v>3902012</v>
          </cell>
          <cell r="B15828">
            <v>108323</v>
          </cell>
          <cell r="C15828" t="str">
            <v>Kelvin Grove Community Primary School</v>
          </cell>
          <cell r="D15828" t="str">
            <v>Gateshead</v>
          </cell>
          <cell r="E15828" t="str">
            <v>Community School</v>
          </cell>
          <cell r="F15828" t="str">
            <v>Primary</v>
          </cell>
        </row>
        <row r="15829">
          <cell r="A15829">
            <v>3902014</v>
          </cell>
          <cell r="B15829">
            <v>128095</v>
          </cell>
          <cell r="C15829" t="str">
            <v>Kelvin Grove Infant School</v>
          </cell>
          <cell r="D15829" t="str">
            <v>Gateshead</v>
          </cell>
          <cell r="E15829" t="str">
            <v>Community School</v>
          </cell>
          <cell r="F15829" t="str">
            <v>Primary</v>
          </cell>
        </row>
        <row r="15830">
          <cell r="A15830">
            <v>2092347</v>
          </cell>
          <cell r="B15830">
            <v>100690</v>
          </cell>
          <cell r="C15830" t="str">
            <v>Kelvin Grove Primary School</v>
          </cell>
          <cell r="D15830" t="str">
            <v>Lewisham</v>
          </cell>
          <cell r="E15830" t="str">
            <v>Community School</v>
          </cell>
          <cell r="F15830" t="str">
            <v>Primary</v>
          </cell>
        </row>
        <row r="15831">
          <cell r="A15831">
            <v>8104113</v>
          </cell>
          <cell r="B15831">
            <v>118103</v>
          </cell>
          <cell r="C15831" t="str">
            <v>Kelvin Hall School</v>
          </cell>
          <cell r="D15831" t="str">
            <v>Kingston upon Hull City of</v>
          </cell>
          <cell r="E15831" t="str">
            <v>Foundation School</v>
          </cell>
          <cell r="F15831" t="str">
            <v>Secondary</v>
          </cell>
        </row>
        <row r="15832">
          <cell r="A15832">
            <v>8617011</v>
          </cell>
          <cell r="B15832">
            <v>124503</v>
          </cell>
          <cell r="C15832" t="str">
            <v>Kemball Special School</v>
          </cell>
          <cell r="D15832" t="str">
            <v>Stoke-on-Trent</v>
          </cell>
          <cell r="E15832" t="str">
            <v>Community Special School</v>
          </cell>
          <cell r="F15832" t="str">
            <v>Special</v>
          </cell>
        </row>
        <row r="15833">
          <cell r="A15833">
            <v>9162073</v>
          </cell>
          <cell r="B15833">
            <v>115527</v>
          </cell>
          <cell r="C15833" t="str">
            <v>Kemble Primary School</v>
          </cell>
          <cell r="D15833" t="str">
            <v>Gloucestershire</v>
          </cell>
          <cell r="E15833" t="str">
            <v>Community School</v>
          </cell>
          <cell r="F15833" t="str">
            <v>Primary</v>
          </cell>
        </row>
        <row r="15834">
          <cell r="A15834">
            <v>3055406</v>
          </cell>
          <cell r="B15834">
            <v>101672</v>
          </cell>
          <cell r="C15834" t="str">
            <v>Kemnal Technology College</v>
          </cell>
          <cell r="D15834" t="str">
            <v>Bromley</v>
          </cell>
          <cell r="E15834" t="str">
            <v>Foundation School</v>
          </cell>
          <cell r="F15834" t="str">
            <v>Secondary</v>
          </cell>
        </row>
        <row r="15835">
          <cell r="A15835">
            <v>3055406</v>
          </cell>
          <cell r="B15835">
            <v>136281</v>
          </cell>
          <cell r="C15835" t="str">
            <v>Kemnal Technology College</v>
          </cell>
          <cell r="D15835" t="str">
            <v>Bromley</v>
          </cell>
          <cell r="E15835" t="str">
            <v>Academy Converters</v>
          </cell>
          <cell r="F15835" t="str">
            <v>Secondary</v>
          </cell>
        </row>
        <row r="15836">
          <cell r="A15836">
            <v>8072244</v>
          </cell>
          <cell r="B15836">
            <v>111615</v>
          </cell>
          <cell r="C15836" t="str">
            <v>Kemplah Primary School</v>
          </cell>
          <cell r="D15836" t="str">
            <v>Redcar and Cleveland</v>
          </cell>
          <cell r="E15836" t="str">
            <v>Community School</v>
          </cell>
          <cell r="F15836" t="str">
            <v>Primary</v>
          </cell>
        </row>
        <row r="15837">
          <cell r="A15837">
            <v>8852080</v>
          </cell>
          <cell r="B15837">
            <v>116690</v>
          </cell>
          <cell r="C15837" t="str">
            <v>Kempsey Primary School</v>
          </cell>
          <cell r="D15837" t="str">
            <v>Worcestershire</v>
          </cell>
          <cell r="E15837" t="str">
            <v>Community School</v>
          </cell>
          <cell r="F15837" t="str">
            <v>Primary</v>
          </cell>
        </row>
        <row r="15838">
          <cell r="A15838">
            <v>9163042</v>
          </cell>
          <cell r="B15838">
            <v>115629</v>
          </cell>
          <cell r="C15838" t="str">
            <v>Kempsford Church of England Primary School</v>
          </cell>
          <cell r="D15838" t="str">
            <v>Gloucestershire</v>
          </cell>
          <cell r="E15838" t="str">
            <v>Voluntary Controlled School</v>
          </cell>
          <cell r="F15838" t="str">
            <v>Primary</v>
          </cell>
        </row>
        <row r="15839">
          <cell r="A15839">
            <v>8502316</v>
          </cell>
          <cell r="B15839">
            <v>116036</v>
          </cell>
          <cell r="C15839" t="str">
            <v>Kempshott Infant School</v>
          </cell>
          <cell r="D15839" t="str">
            <v>Hampshire</v>
          </cell>
          <cell r="E15839" t="str">
            <v>Community School</v>
          </cell>
          <cell r="F15839" t="str">
            <v>Primary</v>
          </cell>
        </row>
        <row r="15840">
          <cell r="A15840">
            <v>8502286</v>
          </cell>
          <cell r="B15840">
            <v>116016</v>
          </cell>
          <cell r="C15840" t="str">
            <v>Kempshott Junior School</v>
          </cell>
          <cell r="D15840" t="str">
            <v>Hampshire</v>
          </cell>
          <cell r="E15840" t="str">
            <v>Community School</v>
          </cell>
          <cell r="F15840" t="str">
            <v>Primary</v>
          </cell>
        </row>
        <row r="15841">
          <cell r="A15841">
            <v>8222063</v>
          </cell>
          <cell r="B15841">
            <v>109463</v>
          </cell>
          <cell r="C15841" t="str">
            <v>Kempston Rural Lower School</v>
          </cell>
          <cell r="D15841" t="str">
            <v>Bedford</v>
          </cell>
          <cell r="E15841" t="str">
            <v>Community School</v>
          </cell>
          <cell r="F15841" t="str">
            <v>Primary</v>
          </cell>
        </row>
        <row r="15842">
          <cell r="A15842">
            <v>8862136</v>
          </cell>
          <cell r="B15842">
            <v>118277</v>
          </cell>
          <cell r="C15842" t="str">
            <v>Kemsing Primary School</v>
          </cell>
          <cell r="D15842" t="str">
            <v>Kent</v>
          </cell>
          <cell r="E15842" t="str">
            <v>Community School</v>
          </cell>
          <cell r="F15842" t="str">
            <v>Primary</v>
          </cell>
        </row>
        <row r="15843">
          <cell r="A15843">
            <v>8863891</v>
          </cell>
          <cell r="B15843">
            <v>133658</v>
          </cell>
          <cell r="C15843" t="str">
            <v>Kemsley Primary School</v>
          </cell>
          <cell r="D15843" t="str">
            <v>Kent</v>
          </cell>
          <cell r="E15843" t="str">
            <v>Community School</v>
          </cell>
          <cell r="F15843" t="str">
            <v>Primary</v>
          </cell>
        </row>
        <row r="15844">
          <cell r="A15844">
            <v>6782199</v>
          </cell>
          <cell r="B15844">
            <v>401429</v>
          </cell>
          <cell r="C15844" t="str">
            <v>Kemys Fawr Infants School</v>
          </cell>
          <cell r="D15844" t="str">
            <v>Torfaen</v>
          </cell>
          <cell r="E15844" t="str">
            <v>Welsh Establishment</v>
          </cell>
          <cell r="F15844" t="str">
            <v>Primary</v>
          </cell>
        </row>
        <row r="15845">
          <cell r="A15845">
            <v>8744081</v>
          </cell>
          <cell r="B15845">
            <v>110882</v>
          </cell>
          <cell r="C15845" t="str">
            <v>Ken Stimpson Community School</v>
          </cell>
          <cell r="D15845" t="str">
            <v>Peterborough</v>
          </cell>
          <cell r="E15845" t="str">
            <v>Community School</v>
          </cell>
          <cell r="F15845" t="str">
            <v>Secondary</v>
          </cell>
        </row>
        <row r="15846">
          <cell r="A15846">
            <v>9091106</v>
          </cell>
          <cell r="B15846">
            <v>112099</v>
          </cell>
          <cell r="C15846" t="str">
            <v>Kendal Centre</v>
          </cell>
          <cell r="D15846" t="str">
            <v>Cumbria</v>
          </cell>
          <cell r="E15846" t="str">
            <v>Pupil Referral Unit</v>
          </cell>
          <cell r="F15846" t="str">
            <v>PRU</v>
          </cell>
        </row>
        <row r="15847">
          <cell r="A15847">
            <v>9098001</v>
          </cell>
          <cell r="B15847">
            <v>130631</v>
          </cell>
          <cell r="C15847" t="str">
            <v>Kendal College</v>
          </cell>
          <cell r="D15847" t="str">
            <v>Cumbria</v>
          </cell>
          <cell r="E15847" t="str">
            <v>Further Education</v>
          </cell>
          <cell r="F15847" t="str">
            <v>16 Plus</v>
          </cell>
        </row>
        <row r="15848">
          <cell r="A15848">
            <v>9091005</v>
          </cell>
          <cell r="B15848">
            <v>112091</v>
          </cell>
          <cell r="C15848" t="str">
            <v>Kendal Nursery School</v>
          </cell>
          <cell r="D15848" t="str">
            <v>Cumbria</v>
          </cell>
          <cell r="E15848" t="str">
            <v>LA Nursery School</v>
          </cell>
          <cell r="F15848" t="str">
            <v>Nursery</v>
          </cell>
        </row>
        <row r="15849">
          <cell r="A15849">
            <v>8813001</v>
          </cell>
          <cell r="B15849">
            <v>115064</v>
          </cell>
          <cell r="C15849" t="str">
            <v>Kendall Church of England Primary School</v>
          </cell>
          <cell r="D15849" t="str">
            <v>Essex</v>
          </cell>
          <cell r="E15849" t="str">
            <v>Voluntary Controlled School</v>
          </cell>
          <cell r="F15849" t="str">
            <v>Primary</v>
          </cell>
        </row>
        <row r="15850">
          <cell r="A15850">
            <v>2092349</v>
          </cell>
          <cell r="B15850">
            <v>100691</v>
          </cell>
          <cell r="C15850" t="str">
            <v>Kender Primary School</v>
          </cell>
          <cell r="D15850" t="str">
            <v>Lewisham</v>
          </cell>
          <cell r="E15850" t="str">
            <v>Community School</v>
          </cell>
          <cell r="F15850" t="str">
            <v>Primary</v>
          </cell>
        </row>
        <row r="15851">
          <cell r="A15851">
            <v>3316019</v>
          </cell>
          <cell r="B15851">
            <v>103752</v>
          </cell>
          <cell r="C15851" t="str">
            <v>Kenderdine Montessori School</v>
          </cell>
          <cell r="D15851" t="str">
            <v>Coventry</v>
          </cell>
          <cell r="E15851" t="str">
            <v>Other Independent School</v>
          </cell>
          <cell r="F15851" t="str">
            <v>Not applicable</v>
          </cell>
        </row>
        <row r="15852">
          <cell r="A15852">
            <v>3702032</v>
          </cell>
          <cell r="B15852">
            <v>127568</v>
          </cell>
          <cell r="C15852" t="str">
            <v>Kendray Infant School</v>
          </cell>
          <cell r="D15852" t="str">
            <v>Barnsley</v>
          </cell>
          <cell r="E15852" t="str">
            <v>Community School</v>
          </cell>
          <cell r="F15852" t="str">
            <v>Primary</v>
          </cell>
        </row>
        <row r="15853">
          <cell r="A15853">
            <v>3702018</v>
          </cell>
          <cell r="B15853">
            <v>127566</v>
          </cell>
          <cell r="C15853" t="str">
            <v>Kendray Junior School</v>
          </cell>
          <cell r="D15853" t="str">
            <v>Barnsley</v>
          </cell>
          <cell r="E15853" t="str">
            <v>Community School</v>
          </cell>
          <cell r="F15853" t="str">
            <v>Primary</v>
          </cell>
        </row>
        <row r="15854">
          <cell r="A15854">
            <v>3702031</v>
          </cell>
          <cell r="B15854">
            <v>106568</v>
          </cell>
          <cell r="C15854" t="str">
            <v>Kendray Primary School</v>
          </cell>
          <cell r="D15854" t="str">
            <v>Barnsley</v>
          </cell>
          <cell r="E15854" t="str">
            <v>Community School</v>
          </cell>
          <cell r="F15854" t="str">
            <v>Primary</v>
          </cell>
        </row>
        <row r="15855">
          <cell r="A15855">
            <v>8705413</v>
          </cell>
          <cell r="B15855">
            <v>110042</v>
          </cell>
          <cell r="C15855" t="str">
            <v>Kendrick School</v>
          </cell>
          <cell r="D15855" t="str">
            <v>Reading</v>
          </cell>
          <cell r="E15855" t="str">
            <v>Foundation School</v>
          </cell>
          <cell r="F15855" t="str">
            <v>Secondary</v>
          </cell>
        </row>
        <row r="15856">
          <cell r="A15856">
            <v>8705413</v>
          </cell>
          <cell r="B15856">
            <v>136448</v>
          </cell>
          <cell r="C15856" t="str">
            <v>Kendrick School</v>
          </cell>
          <cell r="D15856" t="str">
            <v>Reading</v>
          </cell>
          <cell r="E15856" t="str">
            <v>Academy Converters</v>
          </cell>
          <cell r="F15856" t="str">
            <v>Secondary</v>
          </cell>
        </row>
        <row r="15857">
          <cell r="A15857">
            <v>9371020</v>
          </cell>
          <cell r="B15857">
            <v>125488</v>
          </cell>
          <cell r="C15857" t="str">
            <v>Kenilworth Nursery School</v>
          </cell>
          <cell r="D15857" t="str">
            <v>Warwickshire</v>
          </cell>
          <cell r="E15857" t="str">
            <v>LA Nursery School</v>
          </cell>
          <cell r="F15857" t="str">
            <v>Nursery</v>
          </cell>
        </row>
        <row r="15858">
          <cell r="A15858">
            <v>9192155</v>
          </cell>
          <cell r="B15858">
            <v>117183</v>
          </cell>
          <cell r="C15858" t="str">
            <v>Kenilworth Primary School</v>
          </cell>
          <cell r="D15858" t="str">
            <v>Hertfordshire</v>
          </cell>
          <cell r="E15858" t="str">
            <v>Community School</v>
          </cell>
          <cell r="F15858" t="str">
            <v>Primary</v>
          </cell>
        </row>
        <row r="15859">
          <cell r="A15859">
            <v>9374236</v>
          </cell>
          <cell r="B15859">
            <v>125747</v>
          </cell>
          <cell r="C15859" t="str">
            <v>Kenilworth School and Sports College</v>
          </cell>
          <cell r="D15859" t="str">
            <v>Warwickshire</v>
          </cell>
          <cell r="E15859" t="str">
            <v>Foundation School</v>
          </cell>
          <cell r="F15859" t="str">
            <v>Secondary</v>
          </cell>
        </row>
        <row r="15860">
          <cell r="A15860">
            <v>3062058</v>
          </cell>
          <cell r="B15860">
            <v>101753</v>
          </cell>
          <cell r="C15860" t="str">
            <v>Kenley Primary School</v>
          </cell>
          <cell r="D15860" t="str">
            <v>Croydon</v>
          </cell>
          <cell r="E15860" t="str">
            <v>Community School</v>
          </cell>
          <cell r="F15860" t="str">
            <v>Primary</v>
          </cell>
        </row>
        <row r="15861">
          <cell r="A15861">
            <v>2052350</v>
          </cell>
          <cell r="B15861">
            <v>100331</v>
          </cell>
          <cell r="C15861" t="str">
            <v>Kenmont Primary School</v>
          </cell>
          <cell r="D15861" t="str">
            <v>Hammersmith and Fulham</v>
          </cell>
          <cell r="E15861" t="str">
            <v>Community School</v>
          </cell>
          <cell r="F15861" t="str">
            <v>Primary</v>
          </cell>
        </row>
        <row r="15862">
          <cell r="A15862">
            <v>3102083</v>
          </cell>
          <cell r="B15862">
            <v>102212</v>
          </cell>
          <cell r="C15862" t="str">
            <v>Kenmore Park Infant and Nursery School</v>
          </cell>
          <cell r="D15862" t="str">
            <v>Harrow</v>
          </cell>
          <cell r="E15862" t="str">
            <v>Community School</v>
          </cell>
          <cell r="F15862" t="str">
            <v>Primary</v>
          </cell>
        </row>
        <row r="15863">
          <cell r="A15863">
            <v>3102059</v>
          </cell>
          <cell r="B15863">
            <v>102193</v>
          </cell>
          <cell r="C15863" t="str">
            <v>Kenmore Park Junior School</v>
          </cell>
          <cell r="D15863" t="str">
            <v>Harrow</v>
          </cell>
          <cell r="E15863" t="str">
            <v>Community School</v>
          </cell>
          <cell r="F15863" t="str">
            <v>Primary</v>
          </cell>
        </row>
        <row r="15864">
          <cell r="A15864">
            <v>8783111</v>
          </cell>
          <cell r="B15864">
            <v>113397</v>
          </cell>
          <cell r="C15864" t="str">
            <v>Kenn Church of England Primary School</v>
          </cell>
          <cell r="D15864" t="str">
            <v>Devon</v>
          </cell>
          <cell r="E15864" t="str">
            <v>Voluntary Controlled School</v>
          </cell>
          <cell r="F15864" t="str">
            <v>Primary</v>
          </cell>
        </row>
        <row r="15865">
          <cell r="A15865">
            <v>9082119</v>
          </cell>
          <cell r="B15865">
            <v>111820</v>
          </cell>
          <cell r="C15865" t="str">
            <v>Kennall Vale School</v>
          </cell>
          <cell r="D15865" t="str">
            <v>Cornwall</v>
          </cell>
          <cell r="E15865" t="str">
            <v>Community School</v>
          </cell>
          <cell r="F15865" t="str">
            <v>Primary</v>
          </cell>
        </row>
        <row r="15866">
          <cell r="A15866">
            <v>8677032</v>
          </cell>
          <cell r="B15866">
            <v>110190</v>
          </cell>
          <cell r="C15866" t="str">
            <v>Kennel Lane School</v>
          </cell>
          <cell r="D15866" t="str">
            <v>Bracknell Forest</v>
          </cell>
          <cell r="E15866" t="str">
            <v>Community Special School</v>
          </cell>
          <cell r="F15866" t="str">
            <v>Special</v>
          </cell>
        </row>
        <row r="15867">
          <cell r="A15867">
            <v>8694042</v>
          </cell>
          <cell r="B15867">
            <v>110055</v>
          </cell>
          <cell r="C15867" t="str">
            <v>Kennet School</v>
          </cell>
          <cell r="D15867" t="str">
            <v>West Berkshire</v>
          </cell>
          <cell r="E15867" t="str">
            <v>Community School</v>
          </cell>
          <cell r="F15867" t="str">
            <v>Secondary</v>
          </cell>
        </row>
        <row r="15868">
          <cell r="A15868">
            <v>8694042</v>
          </cell>
          <cell r="B15868">
            <v>136647</v>
          </cell>
          <cell r="C15868" t="str">
            <v>Kennet School</v>
          </cell>
          <cell r="D15868" t="str">
            <v>West Berkshire</v>
          </cell>
          <cell r="E15868" t="str">
            <v>Academy Converters</v>
          </cell>
          <cell r="F15868" t="str">
            <v>Secondary</v>
          </cell>
        </row>
        <row r="15869">
          <cell r="A15869">
            <v>8653461</v>
          </cell>
          <cell r="B15869">
            <v>126446</v>
          </cell>
          <cell r="C15869" t="str">
            <v>Kennet Valley Church of England Aided Primary School</v>
          </cell>
          <cell r="D15869" t="str">
            <v>Wiltshire</v>
          </cell>
          <cell r="E15869" t="str">
            <v>Voluntary Aided School</v>
          </cell>
          <cell r="F15869" t="str">
            <v>Primary</v>
          </cell>
        </row>
        <row r="15870">
          <cell r="A15870">
            <v>8692180</v>
          </cell>
          <cell r="B15870">
            <v>109898</v>
          </cell>
          <cell r="C15870" t="str">
            <v>Kennet Valley Primary School</v>
          </cell>
          <cell r="D15870" t="str">
            <v>West Berkshire</v>
          </cell>
          <cell r="E15870" t="str">
            <v>Community School</v>
          </cell>
          <cell r="F15870" t="str">
            <v>Primary</v>
          </cell>
        </row>
        <row r="15871">
          <cell r="A15871">
            <v>8732021</v>
          </cell>
          <cell r="B15871">
            <v>110613</v>
          </cell>
          <cell r="C15871" t="str">
            <v>Kennett Community Primary School</v>
          </cell>
          <cell r="D15871" t="str">
            <v>Cambridgeshire</v>
          </cell>
          <cell r="E15871" t="str">
            <v>Community School</v>
          </cell>
          <cell r="F15871" t="str">
            <v>Primary</v>
          </cell>
        </row>
        <row r="15872">
          <cell r="A15872">
            <v>9262093</v>
          </cell>
          <cell r="B15872">
            <v>120824</v>
          </cell>
          <cell r="C15872" t="str">
            <v>Kenninghall Community Primary School</v>
          </cell>
          <cell r="D15872" t="str">
            <v>Norfolk</v>
          </cell>
          <cell r="E15872" t="str">
            <v>Community School</v>
          </cell>
          <cell r="F15872" t="str">
            <v>Primary</v>
          </cell>
        </row>
        <row r="15873">
          <cell r="A15873">
            <v>8863133</v>
          </cell>
          <cell r="B15873">
            <v>118661</v>
          </cell>
          <cell r="C15873" t="str">
            <v>Kennington Church of England Junior School</v>
          </cell>
          <cell r="D15873" t="str">
            <v>Kent</v>
          </cell>
          <cell r="E15873" t="str">
            <v>Voluntary Controlled School</v>
          </cell>
          <cell r="F15873" t="str">
            <v>Primary</v>
          </cell>
        </row>
        <row r="15874">
          <cell r="A15874">
            <v>2081102</v>
          </cell>
          <cell r="B15874">
            <v>131143</v>
          </cell>
          <cell r="C15874" t="str">
            <v>Kennington Park Bridge To School</v>
          </cell>
          <cell r="D15874" t="str">
            <v>Lambeth</v>
          </cell>
          <cell r="E15874" t="str">
            <v>Pupil Referral Unit</v>
          </cell>
          <cell r="F15874" t="str">
            <v>PRU</v>
          </cell>
        </row>
        <row r="15875">
          <cell r="A15875">
            <v>8882052</v>
          </cell>
          <cell r="B15875">
            <v>119153</v>
          </cell>
          <cell r="C15875" t="str">
            <v>Kennington Primary School</v>
          </cell>
          <cell r="D15875" t="str">
            <v>Lancashire</v>
          </cell>
          <cell r="E15875" t="str">
            <v>Community School</v>
          </cell>
          <cell r="F15875" t="str">
            <v>Primary</v>
          </cell>
        </row>
        <row r="15876">
          <cell r="A15876">
            <v>8835266</v>
          </cell>
          <cell r="B15876">
            <v>115306</v>
          </cell>
          <cell r="C15876" t="str">
            <v>Kenningtons Primary School</v>
          </cell>
          <cell r="D15876" t="str">
            <v>Thurrock</v>
          </cell>
          <cell r="E15876" t="str">
            <v>Foundation School</v>
          </cell>
          <cell r="F15876" t="str">
            <v>Primary</v>
          </cell>
        </row>
        <row r="15877">
          <cell r="A15877">
            <v>3042065</v>
          </cell>
          <cell r="B15877">
            <v>101523</v>
          </cell>
          <cell r="C15877" t="str">
            <v>Kensal Rise Primary School</v>
          </cell>
          <cell r="D15877" t="str">
            <v>Brent</v>
          </cell>
          <cell r="E15877" t="str">
            <v>Community School</v>
          </cell>
          <cell r="F15877" t="str">
            <v>Primary</v>
          </cell>
        </row>
        <row r="15878">
          <cell r="A15878">
            <v>2078001</v>
          </cell>
          <cell r="B15878">
            <v>130410</v>
          </cell>
          <cell r="C15878" t="str">
            <v>Kensington and Chelsea College</v>
          </cell>
          <cell r="D15878" t="str">
            <v>Kensington and Chelsea</v>
          </cell>
          <cell r="E15878" t="str">
            <v>Further Education</v>
          </cell>
          <cell r="F15878" t="str">
            <v>16 Plus</v>
          </cell>
        </row>
        <row r="15879">
          <cell r="A15879">
            <v>3062022</v>
          </cell>
          <cell r="B15879">
            <v>101727</v>
          </cell>
          <cell r="C15879" t="str">
            <v>Kensington Avenue Infant School</v>
          </cell>
          <cell r="D15879" t="str">
            <v>Croydon</v>
          </cell>
          <cell r="E15879" t="str">
            <v>Community School</v>
          </cell>
          <cell r="F15879" t="str">
            <v>Primary</v>
          </cell>
        </row>
        <row r="15880">
          <cell r="A15880">
            <v>3062021</v>
          </cell>
          <cell r="B15880">
            <v>101726</v>
          </cell>
          <cell r="C15880" t="str">
            <v>Kensington Avenue Junior School</v>
          </cell>
          <cell r="D15880" t="str">
            <v>Croydon</v>
          </cell>
          <cell r="E15880" t="str">
            <v>Community School</v>
          </cell>
          <cell r="F15880" t="str">
            <v>Primary</v>
          </cell>
        </row>
        <row r="15881">
          <cell r="A15881">
            <v>3063415</v>
          </cell>
          <cell r="B15881">
            <v>134475</v>
          </cell>
          <cell r="C15881" t="str">
            <v>Kensington Avenue Primary School</v>
          </cell>
          <cell r="D15881" t="str">
            <v>Croydon</v>
          </cell>
          <cell r="E15881" t="str">
            <v>Community School</v>
          </cell>
          <cell r="F15881" t="str">
            <v>Primary</v>
          </cell>
        </row>
        <row r="15882">
          <cell r="A15882">
            <v>3412021</v>
          </cell>
          <cell r="B15882">
            <v>104523</v>
          </cell>
          <cell r="C15882" t="str">
            <v>Kensington Infants' School</v>
          </cell>
          <cell r="D15882" t="str">
            <v>Liverpool</v>
          </cell>
          <cell r="E15882" t="str">
            <v>Community School</v>
          </cell>
          <cell r="F15882" t="str">
            <v>Primary</v>
          </cell>
        </row>
        <row r="15883">
          <cell r="A15883">
            <v>2076394</v>
          </cell>
          <cell r="B15883">
            <v>131344</v>
          </cell>
          <cell r="C15883" t="str">
            <v>Kensington International School</v>
          </cell>
          <cell r="D15883" t="str">
            <v>Kensington and Chelsea</v>
          </cell>
          <cell r="E15883" t="str">
            <v>Other Independent School</v>
          </cell>
          <cell r="F15883" t="str">
            <v>Not applicable</v>
          </cell>
        </row>
        <row r="15884">
          <cell r="A15884">
            <v>3412206</v>
          </cell>
          <cell r="B15884">
            <v>104605</v>
          </cell>
          <cell r="C15884" t="str">
            <v>Kensington Junior School</v>
          </cell>
          <cell r="D15884" t="str">
            <v>Liverpool</v>
          </cell>
          <cell r="E15884" t="str">
            <v>Community School</v>
          </cell>
          <cell r="F15884" t="str">
            <v>Primary</v>
          </cell>
        </row>
        <row r="15885">
          <cell r="A15885">
            <v>8302143</v>
          </cell>
          <cell r="B15885">
            <v>112573</v>
          </cell>
          <cell r="C15885" t="str">
            <v>Kensington Junior School</v>
          </cell>
          <cell r="D15885" t="str">
            <v>Derbyshire</v>
          </cell>
          <cell r="E15885" t="str">
            <v>Community School</v>
          </cell>
          <cell r="F15885" t="str">
            <v>Primary</v>
          </cell>
        </row>
        <row r="15886">
          <cell r="A15886">
            <v>2056392</v>
          </cell>
          <cell r="B15886">
            <v>100509</v>
          </cell>
          <cell r="C15886" t="str">
            <v>Kensington Prep School</v>
          </cell>
          <cell r="D15886" t="str">
            <v>Hammersmith and Fulham</v>
          </cell>
          <cell r="E15886" t="str">
            <v>Other Independent School</v>
          </cell>
          <cell r="F15886" t="str">
            <v>Not applicable</v>
          </cell>
        </row>
        <row r="15887">
          <cell r="A15887">
            <v>3162036</v>
          </cell>
          <cell r="B15887">
            <v>102727</v>
          </cell>
          <cell r="C15887" t="str">
            <v>Kensington Primary School</v>
          </cell>
          <cell r="D15887" t="str">
            <v>Newham</v>
          </cell>
          <cell r="E15887" t="str">
            <v>Community School</v>
          </cell>
          <cell r="F15887" t="str">
            <v>Primary</v>
          </cell>
        </row>
        <row r="15888">
          <cell r="A15888">
            <v>3412242</v>
          </cell>
          <cell r="B15888">
            <v>136118</v>
          </cell>
          <cell r="C15888" t="str">
            <v>Kensington Primary School</v>
          </cell>
          <cell r="D15888" t="str">
            <v>Liverpool</v>
          </cell>
          <cell r="E15888" t="str">
            <v>Community School</v>
          </cell>
          <cell r="F15888" t="str">
            <v>Primary</v>
          </cell>
        </row>
        <row r="15889">
          <cell r="A15889">
            <v>8233010</v>
          </cell>
          <cell r="B15889">
            <v>109602</v>
          </cell>
          <cell r="C15889" t="str">
            <v>Kensworth VC Lower School</v>
          </cell>
          <cell r="D15889" t="str">
            <v>Central Bedfordshire</v>
          </cell>
          <cell r="E15889" t="str">
            <v>Voluntary Controlled School</v>
          </cell>
          <cell r="F15889" t="str">
            <v>Primary</v>
          </cell>
        </row>
        <row r="15890">
          <cell r="A15890">
            <v>3332034</v>
          </cell>
          <cell r="B15890">
            <v>103903</v>
          </cell>
          <cell r="C15890" t="str">
            <v>Kent Close Junior and Infant School</v>
          </cell>
          <cell r="D15890" t="str">
            <v>Sandwell</v>
          </cell>
          <cell r="E15890" t="str">
            <v>Community School</v>
          </cell>
          <cell r="F15890" t="str">
            <v>Primary</v>
          </cell>
        </row>
        <row r="15891">
          <cell r="A15891">
            <v>8866053</v>
          </cell>
          <cell r="B15891">
            <v>119001</v>
          </cell>
          <cell r="C15891" t="str">
            <v>Kent College (Canterbury)</v>
          </cell>
          <cell r="D15891" t="str">
            <v>Kent</v>
          </cell>
          <cell r="E15891" t="str">
            <v>Other Independent School</v>
          </cell>
          <cell r="F15891" t="str">
            <v>Not applicable</v>
          </cell>
        </row>
        <row r="15892">
          <cell r="A15892">
            <v>8866069</v>
          </cell>
          <cell r="B15892">
            <v>119020</v>
          </cell>
          <cell r="C15892" t="str">
            <v>Kent College Infant and Junior School</v>
          </cell>
          <cell r="D15892" t="str">
            <v>Kent</v>
          </cell>
          <cell r="E15892" t="str">
            <v>Other Independent School</v>
          </cell>
          <cell r="F15892" t="str">
            <v>Not applicable</v>
          </cell>
        </row>
        <row r="15893">
          <cell r="A15893">
            <v>8866097</v>
          </cell>
          <cell r="B15893">
            <v>134582</v>
          </cell>
          <cell r="C15893" t="str">
            <v>Kent College International Study Centre</v>
          </cell>
          <cell r="D15893" t="str">
            <v>Kent</v>
          </cell>
          <cell r="E15893" t="str">
            <v>Other Independent School</v>
          </cell>
          <cell r="F15893" t="str">
            <v>Not applicable</v>
          </cell>
        </row>
        <row r="15894">
          <cell r="A15894">
            <v>8866009</v>
          </cell>
          <cell r="B15894">
            <v>118946</v>
          </cell>
          <cell r="C15894" t="str">
            <v>Kent College Pembury</v>
          </cell>
          <cell r="D15894" t="str">
            <v>Kent</v>
          </cell>
          <cell r="E15894" t="str">
            <v>Other Independent School</v>
          </cell>
          <cell r="F15894" t="str">
            <v>Not applicable</v>
          </cell>
        </row>
        <row r="15895">
          <cell r="A15895">
            <v>8866071</v>
          </cell>
          <cell r="B15895">
            <v>119022</v>
          </cell>
          <cell r="C15895" t="str">
            <v>Kent College Preparatory School</v>
          </cell>
          <cell r="D15895" t="str">
            <v>Kent</v>
          </cell>
          <cell r="E15895" t="str">
            <v>Other Independent School</v>
          </cell>
          <cell r="F15895" t="str">
            <v>Not applicable</v>
          </cell>
        </row>
        <row r="15896">
          <cell r="A15896">
            <v>886</v>
          </cell>
          <cell r="B15896">
            <v>133847</v>
          </cell>
          <cell r="C15896" t="str">
            <v>Kent Institute of Art &amp; Design</v>
          </cell>
          <cell r="D15896" t="str">
            <v>Kent</v>
          </cell>
          <cell r="E15896" t="str">
            <v>Higher Education Institutions</v>
          </cell>
          <cell r="F15896" t="str">
            <v>Not applicable</v>
          </cell>
        </row>
        <row r="15897">
          <cell r="A15897">
            <v>8878150</v>
          </cell>
          <cell r="B15897">
            <v>133163</v>
          </cell>
          <cell r="C15897" t="str">
            <v>Kent Institute of Art and Design</v>
          </cell>
          <cell r="D15897" t="str">
            <v>Medway</v>
          </cell>
          <cell r="E15897" t="str">
            <v>Miscellaneous</v>
          </cell>
          <cell r="F15897" t="str">
            <v>Not applicable</v>
          </cell>
        </row>
        <row r="15898">
          <cell r="A15898">
            <v>8509900</v>
          </cell>
          <cell r="B15898">
            <v>133206</v>
          </cell>
          <cell r="C15898" t="str">
            <v>Kent Road Education Service</v>
          </cell>
          <cell r="D15898" t="str">
            <v>Hampshire</v>
          </cell>
          <cell r="E15898" t="str">
            <v>Miscellaneous</v>
          </cell>
          <cell r="F15898" t="str">
            <v>Not applicable</v>
          </cell>
        </row>
        <row r="15899">
          <cell r="A15899">
            <v>886940</v>
          </cell>
          <cell r="B15899">
            <v>134976</v>
          </cell>
          <cell r="C15899" t="str">
            <v>Kent Spitfires Study Centre</v>
          </cell>
          <cell r="D15899" t="str">
            <v>Kent</v>
          </cell>
          <cell r="E15899" t="str">
            <v>Playing for Success Centres</v>
          </cell>
          <cell r="F15899" t="str">
            <v>Not applicable</v>
          </cell>
        </row>
        <row r="15900">
          <cell r="A15900">
            <v>8783013</v>
          </cell>
          <cell r="B15900">
            <v>113357</v>
          </cell>
          <cell r="C15900" t="str">
            <v>Kentisbeare Church of England Primary School</v>
          </cell>
          <cell r="D15900" t="str">
            <v>Devon</v>
          </cell>
          <cell r="E15900" t="str">
            <v>Voluntary Controlled School</v>
          </cell>
          <cell r="F15900" t="str">
            <v>Primary</v>
          </cell>
        </row>
        <row r="15901">
          <cell r="A15901">
            <v>8782234</v>
          </cell>
          <cell r="B15901">
            <v>113157</v>
          </cell>
          <cell r="C15901" t="str">
            <v>Kentisbury Primary School</v>
          </cell>
          <cell r="D15901" t="str">
            <v>Devon</v>
          </cell>
          <cell r="E15901" t="str">
            <v>Community School</v>
          </cell>
          <cell r="F15901" t="str">
            <v>Primary</v>
          </cell>
        </row>
        <row r="15902">
          <cell r="A15902">
            <v>2023370</v>
          </cell>
          <cell r="B15902">
            <v>100034</v>
          </cell>
          <cell r="C15902" t="str">
            <v>Kentish Town Church of England Primary School</v>
          </cell>
          <cell r="D15902" t="str">
            <v>Camden</v>
          </cell>
          <cell r="E15902" t="str">
            <v>Voluntary Aided School</v>
          </cell>
          <cell r="F15902" t="str">
            <v>Primary</v>
          </cell>
        </row>
        <row r="15903">
          <cell r="A15903">
            <v>3542067</v>
          </cell>
          <cell r="B15903">
            <v>133479</v>
          </cell>
          <cell r="C15903" t="str">
            <v>Kentmere Primary School</v>
          </cell>
          <cell r="D15903" t="str">
            <v>Rochdale</v>
          </cell>
          <cell r="E15903" t="str">
            <v>Community School</v>
          </cell>
          <cell r="F15903" t="str">
            <v>Primary</v>
          </cell>
        </row>
        <row r="15904">
          <cell r="A15904">
            <v>3912995</v>
          </cell>
          <cell r="B15904">
            <v>108489</v>
          </cell>
          <cell r="C15904" t="str">
            <v>Kenton Bar Primary School</v>
          </cell>
          <cell r="D15904" t="str">
            <v>Newcastle upon Tyne</v>
          </cell>
          <cell r="E15904" t="str">
            <v>Community School</v>
          </cell>
          <cell r="F15904" t="str">
            <v>Primary</v>
          </cell>
        </row>
        <row r="15905">
          <cell r="A15905">
            <v>3917031</v>
          </cell>
          <cell r="B15905">
            <v>108560</v>
          </cell>
          <cell r="C15905" t="str">
            <v>Kenton Lodge School</v>
          </cell>
          <cell r="D15905" t="str">
            <v>Newcastle upon Tyne</v>
          </cell>
          <cell r="E15905" t="str">
            <v>Community Special School</v>
          </cell>
          <cell r="F15905" t="str">
            <v>Special</v>
          </cell>
        </row>
        <row r="15906">
          <cell r="A15906">
            <v>3917023</v>
          </cell>
          <cell r="B15906">
            <v>128149</v>
          </cell>
          <cell r="C15906" t="str">
            <v>Kenton Lodge School</v>
          </cell>
          <cell r="D15906" t="str">
            <v>Newcastle upon Tyne</v>
          </cell>
          <cell r="E15906" t="str">
            <v>Community Special School</v>
          </cell>
          <cell r="F15906" t="str">
            <v>Special</v>
          </cell>
        </row>
        <row r="15907">
          <cell r="A15907">
            <v>8782424</v>
          </cell>
          <cell r="B15907">
            <v>113204</v>
          </cell>
          <cell r="C15907" t="str">
            <v>Kenton Primary School</v>
          </cell>
          <cell r="D15907" t="str">
            <v>Devon</v>
          </cell>
          <cell r="E15907" t="str">
            <v>Community School</v>
          </cell>
          <cell r="F15907" t="str">
            <v>Primary</v>
          </cell>
        </row>
        <row r="15908">
          <cell r="A15908">
            <v>3914485</v>
          </cell>
          <cell r="B15908">
            <v>108528</v>
          </cell>
          <cell r="C15908" t="str">
            <v>Kenton School</v>
          </cell>
          <cell r="D15908" t="str">
            <v>Newcastle upon Tyne</v>
          </cell>
          <cell r="E15908" t="str">
            <v>Community School</v>
          </cell>
          <cell r="F15908" t="str">
            <v>Secondary</v>
          </cell>
        </row>
        <row r="15909">
          <cell r="A15909">
            <v>8812971</v>
          </cell>
          <cell r="B15909">
            <v>115050</v>
          </cell>
          <cell r="C15909" t="str">
            <v>Kents Hill Infant School</v>
          </cell>
          <cell r="D15909" t="str">
            <v>Essex</v>
          </cell>
          <cell r="E15909" t="str">
            <v>Community School</v>
          </cell>
          <cell r="F15909" t="str">
            <v>Primary</v>
          </cell>
        </row>
        <row r="15910">
          <cell r="A15910">
            <v>8812971</v>
          </cell>
          <cell r="B15910">
            <v>137395</v>
          </cell>
          <cell r="C15910" t="str">
            <v>Kents Hill Infant School</v>
          </cell>
          <cell r="D15910" t="str">
            <v>Essex</v>
          </cell>
          <cell r="E15910" t="str">
            <v>Academy Converters</v>
          </cell>
          <cell r="F15910" t="str">
            <v>Primary</v>
          </cell>
        </row>
        <row r="15911">
          <cell r="A15911">
            <v>8812811</v>
          </cell>
          <cell r="B15911">
            <v>115008</v>
          </cell>
          <cell r="C15911" t="str">
            <v>Kents Hill Junior School</v>
          </cell>
          <cell r="D15911" t="str">
            <v>Essex</v>
          </cell>
          <cell r="E15911" t="str">
            <v>Community School</v>
          </cell>
          <cell r="F15911" t="str">
            <v>Primary</v>
          </cell>
        </row>
        <row r="15912">
          <cell r="A15912">
            <v>8812811</v>
          </cell>
          <cell r="B15912">
            <v>137631</v>
          </cell>
          <cell r="C15912" t="str">
            <v>Kents Hill Junior School</v>
          </cell>
          <cell r="D15912" t="str">
            <v>Essex</v>
          </cell>
          <cell r="E15912" t="str">
            <v>Academy Converters</v>
          </cell>
          <cell r="F15912" t="str">
            <v>Primary</v>
          </cell>
        </row>
        <row r="15913">
          <cell r="A15913">
            <v>8262350</v>
          </cell>
          <cell r="B15913">
            <v>110402</v>
          </cell>
          <cell r="C15913" t="str">
            <v>Kents Hill School</v>
          </cell>
          <cell r="D15913" t="str">
            <v>Milton Keynes</v>
          </cell>
          <cell r="E15913" t="str">
            <v>Community School</v>
          </cell>
          <cell r="F15913" t="str">
            <v>Primary</v>
          </cell>
        </row>
        <row r="15914">
          <cell r="A15914">
            <v>9362927</v>
          </cell>
          <cell r="B15914">
            <v>125106</v>
          </cell>
          <cell r="C15914" t="str">
            <v>Kenyngton Manor Primary School</v>
          </cell>
          <cell r="D15914" t="str">
            <v>Surrey</v>
          </cell>
          <cell r="E15914" t="str">
            <v>Community School</v>
          </cell>
          <cell r="F15914" t="str">
            <v>Primary</v>
          </cell>
        </row>
        <row r="15915">
          <cell r="A15915">
            <v>3902217</v>
          </cell>
          <cell r="B15915">
            <v>108364</v>
          </cell>
          <cell r="C15915" t="str">
            <v>Kepier Chare Community Primary School</v>
          </cell>
          <cell r="D15915" t="str">
            <v>Gateshead</v>
          </cell>
          <cell r="E15915" t="str">
            <v>Community School</v>
          </cell>
          <cell r="F15915" t="str">
            <v>Primary</v>
          </cell>
        </row>
        <row r="15916">
          <cell r="A15916">
            <v>3026068</v>
          </cell>
          <cell r="B15916">
            <v>101381</v>
          </cell>
          <cell r="C15916" t="str">
            <v>Kerem School</v>
          </cell>
          <cell r="D15916" t="str">
            <v>Barnet</v>
          </cell>
          <cell r="E15916" t="str">
            <v>Other Independent School</v>
          </cell>
          <cell r="F15916" t="str">
            <v>Not applicable</v>
          </cell>
        </row>
        <row r="15917">
          <cell r="A15917">
            <v>3702066</v>
          </cell>
          <cell r="B15917">
            <v>106582</v>
          </cell>
          <cell r="C15917" t="str">
            <v>Keresforth Primary School</v>
          </cell>
          <cell r="D15917" t="str">
            <v>Barnsley</v>
          </cell>
          <cell r="E15917" t="str">
            <v>Community School</v>
          </cell>
          <cell r="F15917" t="str">
            <v>Primary</v>
          </cell>
        </row>
        <row r="15918">
          <cell r="A15918">
            <v>3312034</v>
          </cell>
          <cell r="B15918">
            <v>103646</v>
          </cell>
          <cell r="C15918" t="str">
            <v>Keresley Grange Primary School</v>
          </cell>
          <cell r="D15918" t="str">
            <v>Coventry</v>
          </cell>
          <cell r="E15918" t="str">
            <v>Community School</v>
          </cell>
          <cell r="F15918" t="str">
            <v>Primary</v>
          </cell>
        </row>
        <row r="15919">
          <cell r="A15919">
            <v>9372613</v>
          </cell>
          <cell r="B15919">
            <v>125615</v>
          </cell>
          <cell r="C15919" t="str">
            <v>Keresley Newland Primary School</v>
          </cell>
          <cell r="D15919" t="str">
            <v>Warwickshire</v>
          </cell>
          <cell r="E15919" t="str">
            <v>Community School</v>
          </cell>
          <cell r="F15919" t="str">
            <v>Primary</v>
          </cell>
        </row>
        <row r="15920">
          <cell r="A15920">
            <v>3832434</v>
          </cell>
          <cell r="B15920">
            <v>107910</v>
          </cell>
          <cell r="C15920" t="str">
            <v>Kerr Mackie Primary School</v>
          </cell>
          <cell r="D15920" t="str">
            <v>Leeds</v>
          </cell>
          <cell r="E15920" t="str">
            <v>Community School</v>
          </cell>
          <cell r="F15920" t="str">
            <v>Primary</v>
          </cell>
        </row>
        <row r="15921">
          <cell r="A15921">
            <v>3554017</v>
          </cell>
          <cell r="B15921">
            <v>105973</v>
          </cell>
          <cell r="C15921" t="str">
            <v>Kersal High School</v>
          </cell>
          <cell r="D15921" t="str">
            <v>Salford</v>
          </cell>
          <cell r="E15921" t="str">
            <v>Community School</v>
          </cell>
          <cell r="F15921" t="str">
            <v>Secondary</v>
          </cell>
        </row>
        <row r="15922">
          <cell r="A15922">
            <v>3556026</v>
          </cell>
          <cell r="B15922">
            <v>127489</v>
          </cell>
          <cell r="C15922" t="str">
            <v>Kersal Towers</v>
          </cell>
          <cell r="D15922" t="str">
            <v>Salford</v>
          </cell>
          <cell r="E15922" t="str">
            <v>Other Independent School</v>
          </cell>
          <cell r="F15922" t="str">
            <v>Not applicable</v>
          </cell>
        </row>
        <row r="15923">
          <cell r="A15923">
            <v>9353042</v>
          </cell>
          <cell r="B15923">
            <v>124705</v>
          </cell>
          <cell r="C15923" t="str">
            <v>Kersey Church of England Voluntary Controlled Primary School</v>
          </cell>
          <cell r="D15923" t="str">
            <v>Suffolk</v>
          </cell>
          <cell r="E15923" t="str">
            <v>Voluntary Controlled School</v>
          </cell>
          <cell r="F15923" t="str">
            <v>Primary</v>
          </cell>
        </row>
        <row r="15924">
          <cell r="A15924">
            <v>3817006</v>
          </cell>
          <cell r="B15924">
            <v>132958</v>
          </cell>
          <cell r="C15924" t="str">
            <v>Kershaw Dene School</v>
          </cell>
          <cell r="D15924" t="str">
            <v>Calderdale</v>
          </cell>
          <cell r="E15924" t="str">
            <v>Community Special School</v>
          </cell>
          <cell r="F15924" t="str">
            <v>Special</v>
          </cell>
        </row>
        <row r="15925">
          <cell r="A15925">
            <v>9354099</v>
          </cell>
          <cell r="B15925">
            <v>124849</v>
          </cell>
          <cell r="C15925" t="str">
            <v>Kesgrave High School</v>
          </cell>
          <cell r="D15925" t="str">
            <v>Suffolk</v>
          </cell>
          <cell r="E15925" t="str">
            <v>Community School</v>
          </cell>
          <cell r="F15925" t="str">
            <v>Secondary</v>
          </cell>
        </row>
        <row r="15926">
          <cell r="A15926">
            <v>9354099</v>
          </cell>
          <cell r="B15926">
            <v>136969</v>
          </cell>
          <cell r="C15926" t="str">
            <v>Kesgrave High School</v>
          </cell>
          <cell r="D15926" t="str">
            <v>Suffolk</v>
          </cell>
          <cell r="E15926" t="str">
            <v>Academy Converters</v>
          </cell>
          <cell r="F15926" t="str">
            <v>Secondary</v>
          </cell>
        </row>
        <row r="15927">
          <cell r="A15927">
            <v>9353095</v>
          </cell>
          <cell r="B15927">
            <v>124736</v>
          </cell>
          <cell r="C15927" t="str">
            <v>Kessingland Church of England Voluntary Controlled Primary School</v>
          </cell>
          <cell r="D15927" t="str">
            <v>Suffolk</v>
          </cell>
          <cell r="E15927" t="str">
            <v>Voluntary Controlled School</v>
          </cell>
          <cell r="F15927" t="str">
            <v>Primary</v>
          </cell>
        </row>
        <row r="15928">
          <cell r="A15928">
            <v>9254004</v>
          </cell>
          <cell r="B15928">
            <v>120632</v>
          </cell>
          <cell r="C15928" t="str">
            <v>Kesteven and Grantham Girls' School</v>
          </cell>
          <cell r="D15928" t="str">
            <v>Lincolnshire</v>
          </cell>
          <cell r="E15928" t="str">
            <v>Community School</v>
          </cell>
          <cell r="F15928" t="str">
            <v>Secondary</v>
          </cell>
        </row>
        <row r="15929">
          <cell r="A15929">
            <v>9254005</v>
          </cell>
          <cell r="B15929">
            <v>120633</v>
          </cell>
          <cell r="C15929" t="str">
            <v>Kesteven and Sleaford High School</v>
          </cell>
          <cell r="D15929" t="str">
            <v>Lincolnshire</v>
          </cell>
          <cell r="E15929" t="str">
            <v>Community School</v>
          </cell>
          <cell r="F15929" t="str">
            <v>Secondary</v>
          </cell>
        </row>
        <row r="15930">
          <cell r="A15930">
            <v>9254005</v>
          </cell>
          <cell r="B15930">
            <v>137667</v>
          </cell>
          <cell r="C15930" t="str">
            <v>Kesteven and Sleaford High School Selective Academy</v>
          </cell>
          <cell r="D15930" t="str">
            <v>Lincolnshire</v>
          </cell>
          <cell r="E15930" t="str">
            <v>Academy Converters</v>
          </cell>
          <cell r="F15930" t="str">
            <v>Secondary</v>
          </cell>
        </row>
        <row r="15931">
          <cell r="A15931">
            <v>9259901</v>
          </cell>
          <cell r="B15931">
            <v>133205</v>
          </cell>
          <cell r="C15931" t="str">
            <v>Kesteven House</v>
          </cell>
          <cell r="D15931" t="str">
            <v>Lincolnshire</v>
          </cell>
          <cell r="E15931" t="str">
            <v>Secure Units</v>
          </cell>
          <cell r="F15931" t="str">
            <v>Not applicable</v>
          </cell>
        </row>
        <row r="15932">
          <cell r="A15932">
            <v>3053000</v>
          </cell>
          <cell r="B15932">
            <v>101643</v>
          </cell>
          <cell r="C15932" t="str">
            <v>Keston Church of England Primary School</v>
          </cell>
          <cell r="D15932" t="str">
            <v>Bromley</v>
          </cell>
          <cell r="E15932" t="str">
            <v>Voluntary Controlled School</v>
          </cell>
          <cell r="F15932" t="str">
            <v>Primary</v>
          </cell>
        </row>
        <row r="15933">
          <cell r="A15933">
            <v>3062060</v>
          </cell>
          <cell r="B15933">
            <v>101755</v>
          </cell>
          <cell r="C15933" t="str">
            <v>Keston Infant and Nursery School</v>
          </cell>
          <cell r="D15933" t="str">
            <v>Croydon</v>
          </cell>
          <cell r="E15933" t="str">
            <v>Community School</v>
          </cell>
          <cell r="F15933" t="str">
            <v>Primary</v>
          </cell>
        </row>
        <row r="15934">
          <cell r="A15934">
            <v>3062059</v>
          </cell>
          <cell r="B15934">
            <v>101754</v>
          </cell>
          <cell r="C15934" t="str">
            <v>Keston Junior School</v>
          </cell>
          <cell r="D15934" t="str">
            <v>Croydon</v>
          </cell>
          <cell r="E15934" t="str">
            <v>Community School</v>
          </cell>
          <cell r="F15934" t="str">
            <v>Primary</v>
          </cell>
        </row>
        <row r="15935">
          <cell r="A15935">
            <v>3062004</v>
          </cell>
          <cell r="B15935">
            <v>134254</v>
          </cell>
          <cell r="C15935" t="str">
            <v>Keston Primary School</v>
          </cell>
          <cell r="D15935" t="str">
            <v>Croydon</v>
          </cell>
          <cell r="E15935" t="str">
            <v>Community School</v>
          </cell>
          <cell r="F15935" t="str">
            <v>Primary</v>
          </cell>
        </row>
        <row r="15936">
          <cell r="A15936">
            <v>3096002</v>
          </cell>
          <cell r="B15936">
            <v>135683</v>
          </cell>
          <cell r="C15936" t="str">
            <v>Kestrel House School</v>
          </cell>
          <cell r="D15936" t="str">
            <v>Haringey</v>
          </cell>
          <cell r="E15936" t="str">
            <v>Other Independent Special School</v>
          </cell>
          <cell r="F15936" t="str">
            <v>Not applicable</v>
          </cell>
        </row>
        <row r="15937">
          <cell r="A15937">
            <v>8562381</v>
          </cell>
          <cell r="B15937">
            <v>120103</v>
          </cell>
          <cell r="C15937" t="str">
            <v>Kestrels' Field Primary School</v>
          </cell>
          <cell r="D15937" t="str">
            <v>Leicester</v>
          </cell>
          <cell r="E15937" t="str">
            <v>Community School</v>
          </cell>
          <cell r="F15937" t="str">
            <v>Primary</v>
          </cell>
        </row>
        <row r="15938">
          <cell r="A15938">
            <v>9095414</v>
          </cell>
          <cell r="B15938">
            <v>112441</v>
          </cell>
          <cell r="C15938" t="str">
            <v>Keswick School</v>
          </cell>
          <cell r="D15938" t="str">
            <v>Cumbria</v>
          </cell>
          <cell r="E15938" t="str">
            <v>Voluntary Aided School</v>
          </cell>
          <cell r="F15938" t="str">
            <v>Secondary</v>
          </cell>
        </row>
        <row r="15939">
          <cell r="A15939">
            <v>9095414</v>
          </cell>
          <cell r="B15939">
            <v>136902</v>
          </cell>
          <cell r="C15939" t="str">
            <v>Keswick School</v>
          </cell>
          <cell r="D15939" t="str">
            <v>Cumbria</v>
          </cell>
          <cell r="E15939" t="str">
            <v>Academy Converters</v>
          </cell>
          <cell r="F15939" t="str">
            <v>Secondary</v>
          </cell>
        </row>
        <row r="15940">
          <cell r="A15940">
            <v>8942057</v>
          </cell>
          <cell r="B15940">
            <v>123375</v>
          </cell>
          <cell r="C15940" t="str">
            <v>Ketley Infant School</v>
          </cell>
          <cell r="D15940" t="str">
            <v>Telford and Wrekin</v>
          </cell>
          <cell r="E15940" t="str">
            <v>Community School</v>
          </cell>
          <cell r="F15940" t="str">
            <v>Primary</v>
          </cell>
        </row>
        <row r="15941">
          <cell r="A15941">
            <v>8942131</v>
          </cell>
          <cell r="B15941">
            <v>123416</v>
          </cell>
          <cell r="C15941" t="str">
            <v>Ketley Town Junior School</v>
          </cell>
          <cell r="D15941" t="str">
            <v>Telford and Wrekin</v>
          </cell>
          <cell r="E15941" t="str">
            <v>Community School</v>
          </cell>
          <cell r="F15941" t="str">
            <v>Primary</v>
          </cell>
        </row>
        <row r="15942">
          <cell r="A15942">
            <v>9264901</v>
          </cell>
          <cell r="B15942">
            <v>133685</v>
          </cell>
          <cell r="C15942" t="str">
            <v>Kett Sixth Form College</v>
          </cell>
          <cell r="D15942" t="str">
            <v>Norfolk</v>
          </cell>
          <cell r="E15942" t="str">
            <v>Sixth Form Centres</v>
          </cell>
          <cell r="F15942" t="str">
            <v>16 Plus</v>
          </cell>
        </row>
        <row r="15943">
          <cell r="A15943">
            <v>9286908</v>
          </cell>
          <cell r="B15943">
            <v>135966</v>
          </cell>
          <cell r="C15943" t="str">
            <v>Kettering Buccleuch Academy</v>
          </cell>
          <cell r="D15943" t="str">
            <v>Northamptonshire</v>
          </cell>
          <cell r="E15943" t="str">
            <v>Academy Sponsor Led</v>
          </cell>
          <cell r="F15943" t="str">
            <v>Not applicable</v>
          </cell>
        </row>
        <row r="15944">
          <cell r="A15944">
            <v>9282062</v>
          </cell>
          <cell r="B15944">
            <v>121840</v>
          </cell>
          <cell r="C15944" t="str">
            <v>Kettering Park Infant School</v>
          </cell>
          <cell r="D15944" t="str">
            <v>Northamptonshire</v>
          </cell>
          <cell r="E15944" t="str">
            <v>Community School</v>
          </cell>
          <cell r="F15944" t="str">
            <v>Primary</v>
          </cell>
        </row>
        <row r="15945">
          <cell r="A15945">
            <v>9284044</v>
          </cell>
          <cell r="B15945">
            <v>129698</v>
          </cell>
          <cell r="C15945" t="str">
            <v>Kettering School for Boys</v>
          </cell>
          <cell r="D15945" t="str">
            <v>Northamptonshire</v>
          </cell>
          <cell r="E15945" t="str">
            <v>Community School</v>
          </cell>
          <cell r="F15945" t="str">
            <v>Secondary</v>
          </cell>
        </row>
        <row r="15946">
          <cell r="A15946">
            <v>9286909</v>
          </cell>
          <cell r="B15946">
            <v>135967</v>
          </cell>
          <cell r="C15946" t="str">
            <v>Kettering Science Academy</v>
          </cell>
          <cell r="D15946" t="str">
            <v>Northamptonshire</v>
          </cell>
          <cell r="E15946" t="str">
            <v>Academy Sponsor Led</v>
          </cell>
          <cell r="F15946" t="str">
            <v>Not applicable</v>
          </cell>
        </row>
        <row r="15947">
          <cell r="A15947">
            <v>3732041</v>
          </cell>
          <cell r="B15947">
            <v>127646</v>
          </cell>
          <cell r="C15947" t="str">
            <v>Kettlebridge Nursery and Infant School</v>
          </cell>
          <cell r="D15947" t="str">
            <v>Sheffield</v>
          </cell>
          <cell r="E15947" t="str">
            <v>Community School</v>
          </cell>
          <cell r="F15947" t="str">
            <v>Primary</v>
          </cell>
        </row>
        <row r="15948">
          <cell r="A15948">
            <v>9342300</v>
          </cell>
          <cell r="B15948">
            <v>129895</v>
          </cell>
          <cell r="C15948" t="str">
            <v>Kettlebrook Infant School</v>
          </cell>
          <cell r="D15948" t="str">
            <v>Pre LGR (1997) Staffordshire</v>
          </cell>
          <cell r="E15948" t="str">
            <v>Community School</v>
          </cell>
          <cell r="F15948" t="str">
            <v>Primary</v>
          </cell>
        </row>
        <row r="15949">
          <cell r="A15949">
            <v>8601109</v>
          </cell>
          <cell r="B15949">
            <v>133583</v>
          </cell>
          <cell r="C15949" t="str">
            <v>Kettlebrook Pupil Referral Unit</v>
          </cell>
          <cell r="D15949" t="str">
            <v>Staffordshire</v>
          </cell>
          <cell r="E15949" t="str">
            <v>Pupil Referral Unit</v>
          </cell>
          <cell r="F15949" t="str">
            <v>PRU</v>
          </cell>
        </row>
        <row r="15950">
          <cell r="A15950">
            <v>8732442</v>
          </cell>
          <cell r="B15950">
            <v>110771</v>
          </cell>
          <cell r="C15950" t="str">
            <v>Kettlefields Primary School</v>
          </cell>
          <cell r="D15950" t="str">
            <v>Cambridgeshire</v>
          </cell>
          <cell r="E15950" t="str">
            <v>Community School</v>
          </cell>
          <cell r="F15950" t="str">
            <v>Primary</v>
          </cell>
        </row>
        <row r="15951">
          <cell r="A15951">
            <v>8955200</v>
          </cell>
          <cell r="B15951">
            <v>111459</v>
          </cell>
          <cell r="C15951" t="str">
            <v>Kettleshulme St James CofE (VA) Primary School</v>
          </cell>
          <cell r="D15951" t="str">
            <v>Cheshire East</v>
          </cell>
          <cell r="E15951" t="str">
            <v>Voluntary Aided School</v>
          </cell>
          <cell r="F15951" t="str">
            <v>Primary</v>
          </cell>
        </row>
        <row r="15952">
          <cell r="A15952">
            <v>8152321</v>
          </cell>
          <cell r="B15952">
            <v>121391</v>
          </cell>
          <cell r="C15952" t="str">
            <v>Kettlesing Felliscliffe Community Primary School</v>
          </cell>
          <cell r="D15952" t="str">
            <v>North Yorkshire</v>
          </cell>
          <cell r="E15952" t="str">
            <v>Community School</v>
          </cell>
          <cell r="F15952" t="str">
            <v>Primary</v>
          </cell>
        </row>
        <row r="15953">
          <cell r="A15953">
            <v>3842017</v>
          </cell>
          <cell r="B15953">
            <v>128068</v>
          </cell>
          <cell r="C15953" t="str">
            <v>Kettlethorpe First School</v>
          </cell>
          <cell r="D15953" t="str">
            <v>Wakefield</v>
          </cell>
          <cell r="E15953" t="str">
            <v>Community School</v>
          </cell>
          <cell r="F15953" t="str">
            <v>Primary</v>
          </cell>
        </row>
        <row r="15954">
          <cell r="A15954">
            <v>3844006</v>
          </cell>
          <cell r="B15954">
            <v>108271</v>
          </cell>
          <cell r="C15954" t="str">
            <v>Kettlethorpe High School, A Specialist Maths and Computing College</v>
          </cell>
          <cell r="D15954" t="str">
            <v>Wakefield</v>
          </cell>
          <cell r="E15954" t="str">
            <v>Community School</v>
          </cell>
          <cell r="F15954" t="str">
            <v>Secondary</v>
          </cell>
        </row>
        <row r="15955">
          <cell r="A15955">
            <v>3844011</v>
          </cell>
          <cell r="B15955">
            <v>132859</v>
          </cell>
          <cell r="C15955" t="str">
            <v>Kettlethorpe Middle School</v>
          </cell>
          <cell r="D15955" t="str">
            <v>Wakefield</v>
          </cell>
          <cell r="E15955" t="str">
            <v>Miscellaneous</v>
          </cell>
          <cell r="F15955" t="str">
            <v>Not applicable</v>
          </cell>
        </row>
        <row r="15956">
          <cell r="A15956">
            <v>8152343</v>
          </cell>
          <cell r="B15956">
            <v>121406</v>
          </cell>
          <cell r="C15956" t="str">
            <v>Kettlewell Primary School</v>
          </cell>
          <cell r="D15956" t="str">
            <v>North Yorkshire</v>
          </cell>
          <cell r="E15956" t="str">
            <v>Community School</v>
          </cell>
          <cell r="F15956" t="str">
            <v>Primary</v>
          </cell>
        </row>
        <row r="15957">
          <cell r="A15957">
            <v>8573113</v>
          </cell>
          <cell r="B15957">
            <v>120179</v>
          </cell>
          <cell r="C15957" t="str">
            <v>Ketton CofE Primary School</v>
          </cell>
          <cell r="D15957" t="str">
            <v>Rutland</v>
          </cell>
          <cell r="E15957" t="str">
            <v>Voluntary Controlled School</v>
          </cell>
          <cell r="F15957" t="str">
            <v>Primary</v>
          </cell>
        </row>
        <row r="15958">
          <cell r="A15958">
            <v>3052052</v>
          </cell>
          <cell r="B15958">
            <v>101623</v>
          </cell>
          <cell r="C15958" t="str">
            <v>Kevington Primary School</v>
          </cell>
          <cell r="D15958" t="str">
            <v>Bromley</v>
          </cell>
          <cell r="E15958" t="str">
            <v>Community School</v>
          </cell>
          <cell r="F15958" t="str">
            <v>Primary</v>
          </cell>
        </row>
        <row r="15959">
          <cell r="A15959">
            <v>3186056</v>
          </cell>
          <cell r="B15959">
            <v>102940</v>
          </cell>
          <cell r="C15959" t="str">
            <v>Kew College</v>
          </cell>
          <cell r="D15959" t="str">
            <v>Richmond upon Thames</v>
          </cell>
          <cell r="E15959" t="str">
            <v>Other Independent School</v>
          </cell>
          <cell r="F15959" t="str">
            <v>Not applicable</v>
          </cell>
        </row>
        <row r="15960">
          <cell r="A15960">
            <v>3186081</v>
          </cell>
          <cell r="B15960">
            <v>134932</v>
          </cell>
          <cell r="C15960" t="str">
            <v>Kew Green Preparatory School</v>
          </cell>
          <cell r="D15960" t="str">
            <v>Richmond upon Thames</v>
          </cell>
          <cell r="E15960" t="str">
            <v>Other Independent School</v>
          </cell>
          <cell r="F15960" t="str">
            <v>Not applicable</v>
          </cell>
        </row>
        <row r="15961">
          <cell r="A15961">
            <v>3182039</v>
          </cell>
          <cell r="B15961">
            <v>133343</v>
          </cell>
          <cell r="C15961" t="str">
            <v>Kew Riverside Primary School</v>
          </cell>
          <cell r="D15961" t="str">
            <v>Richmond upon Thames</v>
          </cell>
          <cell r="E15961" t="str">
            <v>Community School</v>
          </cell>
          <cell r="F15961" t="str">
            <v>Primary</v>
          </cell>
        </row>
        <row r="15962">
          <cell r="A15962">
            <v>3432048</v>
          </cell>
          <cell r="B15962">
            <v>104867</v>
          </cell>
          <cell r="C15962" t="str">
            <v>Kew Woods Primary School</v>
          </cell>
          <cell r="D15962" t="str">
            <v>Sefton</v>
          </cell>
          <cell r="E15962" t="str">
            <v>Community School</v>
          </cell>
          <cell r="F15962" t="str">
            <v>Primary</v>
          </cell>
        </row>
        <row r="15963">
          <cell r="A15963">
            <v>7052005</v>
          </cell>
          <cell r="B15963">
            <v>132527</v>
          </cell>
          <cell r="C15963" t="str">
            <v>Kewaigue Primary School</v>
          </cell>
          <cell r="D15963" t="str">
            <v>Isle of Man Offshore Establishments</v>
          </cell>
          <cell r="E15963" t="str">
            <v>Offshore Schools</v>
          </cell>
          <cell r="F15963" t="str">
            <v>Not applicable</v>
          </cell>
        </row>
        <row r="15964">
          <cell r="A15964">
            <v>8022273</v>
          </cell>
          <cell r="B15964">
            <v>109092</v>
          </cell>
          <cell r="C15964" t="str">
            <v>Kewstoke Primary School</v>
          </cell>
          <cell r="D15964" t="str">
            <v>North Somerset</v>
          </cell>
          <cell r="E15964" t="str">
            <v>Community School</v>
          </cell>
          <cell r="F15964" t="str">
            <v>Primary</v>
          </cell>
        </row>
        <row r="15965">
          <cell r="A15965">
            <v>3702095</v>
          </cell>
          <cell r="B15965">
            <v>127581</v>
          </cell>
          <cell r="C15965" t="str">
            <v>Kexborough Infant School</v>
          </cell>
          <cell r="D15965" t="str">
            <v>Barnsley</v>
          </cell>
          <cell r="E15965" t="str">
            <v>Community School</v>
          </cell>
          <cell r="F15965" t="str">
            <v>Primary</v>
          </cell>
        </row>
        <row r="15966">
          <cell r="A15966">
            <v>3702054</v>
          </cell>
          <cell r="B15966">
            <v>127573</v>
          </cell>
          <cell r="C15966" t="str">
            <v>Kexborough Junior School</v>
          </cell>
          <cell r="D15966" t="str">
            <v>Barnsley</v>
          </cell>
          <cell r="E15966" t="str">
            <v>Community School</v>
          </cell>
          <cell r="F15966" t="str">
            <v>Primary</v>
          </cell>
        </row>
        <row r="15967">
          <cell r="A15967">
            <v>3702135</v>
          </cell>
          <cell r="B15967">
            <v>106623</v>
          </cell>
          <cell r="C15967" t="str">
            <v>Kexborough Primary School</v>
          </cell>
          <cell r="D15967" t="str">
            <v>Barnsley</v>
          </cell>
          <cell r="E15967" t="str">
            <v>Community School</v>
          </cell>
          <cell r="F15967" t="str">
            <v>Primary</v>
          </cell>
        </row>
        <row r="15968">
          <cell r="A15968">
            <v>8941100</v>
          </cell>
          <cell r="B15968">
            <v>123349</v>
          </cell>
          <cell r="C15968" t="str">
            <v>Key Stage 1, 2 &amp; 3 Short         Stay School</v>
          </cell>
          <cell r="D15968" t="str">
            <v>Telford and Wrekin</v>
          </cell>
          <cell r="E15968" t="str">
            <v>Pupil Referral Unit</v>
          </cell>
          <cell r="F15968" t="str">
            <v>PRU</v>
          </cell>
        </row>
        <row r="15969">
          <cell r="A15969">
            <v>9331108</v>
          </cell>
          <cell r="B15969">
            <v>134520</v>
          </cell>
          <cell r="C15969" t="str">
            <v>Key Stage 2 Pupil Referral Unit</v>
          </cell>
          <cell r="D15969" t="str">
            <v>Somerset</v>
          </cell>
          <cell r="E15969" t="str">
            <v>Pupil Referral Unit</v>
          </cell>
          <cell r="F15969" t="str">
            <v>PRU</v>
          </cell>
        </row>
        <row r="15970">
          <cell r="A15970">
            <v>6731112</v>
          </cell>
          <cell r="B15970">
            <v>402275</v>
          </cell>
          <cell r="C15970" t="str">
            <v>Key Stage 3 &amp; 4 PRU</v>
          </cell>
          <cell r="D15970" t="str">
            <v>The Vale of Glamorgan</v>
          </cell>
          <cell r="E15970" t="str">
            <v>Welsh Establishment</v>
          </cell>
          <cell r="F15970" t="str">
            <v>Not applicable</v>
          </cell>
        </row>
        <row r="15971">
          <cell r="A15971">
            <v>6701101</v>
          </cell>
          <cell r="B15971">
            <v>401949</v>
          </cell>
          <cell r="C15971" t="str">
            <v>Key Stage 3 Education Centre</v>
          </cell>
          <cell r="D15971" t="str">
            <v>Swansea</v>
          </cell>
          <cell r="E15971" t="str">
            <v>Welsh Establishment</v>
          </cell>
          <cell r="F15971" t="str">
            <v>Not applicable</v>
          </cell>
        </row>
        <row r="15972">
          <cell r="A15972">
            <v>6731109</v>
          </cell>
          <cell r="B15972">
            <v>401958</v>
          </cell>
          <cell r="C15972" t="str">
            <v>Key Stage 3 PRU</v>
          </cell>
          <cell r="D15972" t="str">
            <v>The Vale of Glamorgan</v>
          </cell>
          <cell r="E15972" t="str">
            <v>Welsh Establishment</v>
          </cell>
          <cell r="F15972" t="str">
            <v>Not applicable</v>
          </cell>
        </row>
        <row r="15973">
          <cell r="A15973">
            <v>3201108</v>
          </cell>
          <cell r="B15973">
            <v>136029</v>
          </cell>
          <cell r="C15973" t="str">
            <v>Key Stage 3 Short Stay School/ AP</v>
          </cell>
          <cell r="D15973" t="str">
            <v>Waltham Forest</v>
          </cell>
          <cell r="E15973" t="str">
            <v>Pupil Referral Unit</v>
          </cell>
          <cell r="F15973" t="str">
            <v>PRU</v>
          </cell>
        </row>
        <row r="15974">
          <cell r="A15974">
            <v>6701102</v>
          </cell>
          <cell r="B15974">
            <v>401950</v>
          </cell>
          <cell r="C15974" t="str">
            <v>Key Stage 4 Education Centre</v>
          </cell>
          <cell r="D15974" t="str">
            <v>Swansea</v>
          </cell>
          <cell r="E15974" t="str">
            <v>Welsh Establishment</v>
          </cell>
          <cell r="F15974" t="str">
            <v>Not applicable</v>
          </cell>
        </row>
        <row r="15975">
          <cell r="A15975">
            <v>8886041</v>
          </cell>
          <cell r="B15975">
            <v>135543</v>
          </cell>
          <cell r="C15975" t="str">
            <v>Keyes Barn</v>
          </cell>
          <cell r="D15975" t="str">
            <v>Lancashire</v>
          </cell>
          <cell r="E15975" t="str">
            <v>Other Independent Special School</v>
          </cell>
          <cell r="F15975" t="str">
            <v>Not applicable</v>
          </cell>
        </row>
        <row r="15976">
          <cell r="A15976">
            <v>8793762</v>
          </cell>
          <cell r="B15976">
            <v>113488</v>
          </cell>
          <cell r="C15976" t="str">
            <v>Keyham Barton Catholic Primary School</v>
          </cell>
          <cell r="D15976" t="str">
            <v>Plymouth</v>
          </cell>
          <cell r="E15976" t="str">
            <v>Voluntary Aided School</v>
          </cell>
          <cell r="F15976" t="str">
            <v>Primary</v>
          </cell>
        </row>
        <row r="15977">
          <cell r="A15977">
            <v>8567220</v>
          </cell>
          <cell r="B15977">
            <v>131187</v>
          </cell>
          <cell r="C15977" t="str">
            <v>Keyham Lodge School</v>
          </cell>
          <cell r="D15977" t="str">
            <v>Leicester</v>
          </cell>
          <cell r="E15977" t="str">
            <v>Community Special School</v>
          </cell>
          <cell r="F15977" t="str">
            <v>Special</v>
          </cell>
        </row>
        <row r="15978">
          <cell r="A15978">
            <v>8112779</v>
          </cell>
          <cell r="B15978">
            <v>117890</v>
          </cell>
          <cell r="C15978" t="str">
            <v>Keyingham Infant School</v>
          </cell>
          <cell r="D15978" t="str">
            <v>East Riding of Yorkshire</v>
          </cell>
          <cell r="E15978" t="str">
            <v>Community School</v>
          </cell>
          <cell r="F15978" t="str">
            <v>Primary</v>
          </cell>
        </row>
        <row r="15979">
          <cell r="A15979">
            <v>8112736</v>
          </cell>
          <cell r="B15979">
            <v>117856</v>
          </cell>
          <cell r="C15979" t="str">
            <v>Keyingham Junior School</v>
          </cell>
          <cell r="D15979" t="str">
            <v>East Riding of Yorkshire</v>
          </cell>
          <cell r="E15979" t="str">
            <v>Community School</v>
          </cell>
          <cell r="F15979" t="str">
            <v>Primary</v>
          </cell>
        </row>
        <row r="15980">
          <cell r="A15980">
            <v>8113508</v>
          </cell>
          <cell r="B15980">
            <v>134741</v>
          </cell>
          <cell r="C15980" t="str">
            <v>Keyingham Primary School</v>
          </cell>
          <cell r="D15980" t="str">
            <v>East Riding of Yorkshire</v>
          </cell>
          <cell r="E15980" t="str">
            <v>Community School</v>
          </cell>
          <cell r="F15980" t="str">
            <v>Primary</v>
          </cell>
        </row>
        <row r="15981">
          <cell r="A15981">
            <v>8002241</v>
          </cell>
          <cell r="B15981">
            <v>109064</v>
          </cell>
          <cell r="C15981" t="str">
            <v>Keynsham Primary School</v>
          </cell>
          <cell r="D15981" t="str">
            <v>Bath and North East Somerset</v>
          </cell>
          <cell r="E15981" t="str">
            <v>Community School</v>
          </cell>
          <cell r="F15981" t="str">
            <v>Primary</v>
          </cell>
        </row>
        <row r="15982">
          <cell r="A15982">
            <v>9336209</v>
          </cell>
          <cell r="B15982">
            <v>135005</v>
          </cell>
          <cell r="C15982" t="str">
            <v>Keys Education</v>
          </cell>
          <cell r="D15982" t="str">
            <v>Somerset</v>
          </cell>
          <cell r="E15982" t="str">
            <v>Other Independent Special School</v>
          </cell>
          <cell r="F15982" t="str">
            <v>Not applicable</v>
          </cell>
        </row>
        <row r="15983">
          <cell r="A15983">
            <v>3082093</v>
          </cell>
          <cell r="B15983">
            <v>133520</v>
          </cell>
          <cell r="C15983" t="str">
            <v>Keys Meadow School</v>
          </cell>
          <cell r="D15983" t="str">
            <v>Enfield</v>
          </cell>
          <cell r="E15983" t="str">
            <v>Community School</v>
          </cell>
          <cell r="F15983" t="str">
            <v>Primary</v>
          </cell>
        </row>
        <row r="15984">
          <cell r="A15984">
            <v>6706023</v>
          </cell>
          <cell r="B15984">
            <v>402066</v>
          </cell>
          <cell r="C15984" t="str">
            <v>Keystone Education Trust</v>
          </cell>
          <cell r="D15984" t="str">
            <v>Swansea</v>
          </cell>
          <cell r="E15984" t="str">
            <v>Welsh Establishment</v>
          </cell>
          <cell r="F15984" t="str">
            <v>Not applicable</v>
          </cell>
        </row>
        <row r="15985">
          <cell r="A15985">
            <v>8912924</v>
          </cell>
          <cell r="B15985">
            <v>122728</v>
          </cell>
          <cell r="C15985" t="str">
            <v>Keyworth Primary and Nursery School</v>
          </cell>
          <cell r="D15985" t="str">
            <v>Nottinghamshire</v>
          </cell>
          <cell r="E15985" t="str">
            <v>Community School</v>
          </cell>
          <cell r="F15985" t="str">
            <v>Primary</v>
          </cell>
        </row>
        <row r="15986">
          <cell r="A15986">
            <v>2102351</v>
          </cell>
          <cell r="B15986">
            <v>100800</v>
          </cell>
          <cell r="C15986" t="str">
            <v>Keyworth Primary School</v>
          </cell>
          <cell r="D15986" t="str">
            <v>Southwark</v>
          </cell>
          <cell r="E15986" t="str">
            <v>Community School</v>
          </cell>
          <cell r="F15986" t="str">
            <v>Primary</v>
          </cell>
        </row>
        <row r="15987">
          <cell r="A15987">
            <v>3106083</v>
          </cell>
          <cell r="B15987">
            <v>135334</v>
          </cell>
          <cell r="C15987" t="str">
            <v>Khalsa College London</v>
          </cell>
          <cell r="D15987" t="str">
            <v>Harrow</v>
          </cell>
          <cell r="E15987" t="str">
            <v>Other Independent School</v>
          </cell>
          <cell r="F15987" t="str">
            <v>Not applicable</v>
          </cell>
        </row>
        <row r="15988">
          <cell r="A15988">
            <v>8713366</v>
          </cell>
          <cell r="B15988">
            <v>134778</v>
          </cell>
          <cell r="C15988" t="str">
            <v>Khalsa Primary School</v>
          </cell>
          <cell r="D15988" t="str">
            <v>Slough</v>
          </cell>
          <cell r="E15988" t="str">
            <v>Voluntary Aided School</v>
          </cell>
          <cell r="F15988" t="str">
            <v>Primary</v>
          </cell>
        </row>
        <row r="15989">
          <cell r="A15989">
            <v>3073512</v>
          </cell>
          <cell r="B15989">
            <v>135482</v>
          </cell>
          <cell r="C15989" t="str">
            <v>Khalsa VA Primary School</v>
          </cell>
          <cell r="D15989" t="str">
            <v>Ealing</v>
          </cell>
          <cell r="E15989" t="str">
            <v>Voluntary Aided School</v>
          </cell>
          <cell r="F15989" t="str">
            <v>Primary</v>
          </cell>
        </row>
        <row r="15990">
          <cell r="A15990">
            <v>3902058</v>
          </cell>
          <cell r="B15990">
            <v>108334</v>
          </cell>
          <cell r="C15990" t="str">
            <v>Kibblesworth Primary School</v>
          </cell>
          <cell r="D15990" t="str">
            <v>Gateshead</v>
          </cell>
          <cell r="E15990" t="str">
            <v>Community School</v>
          </cell>
          <cell r="F15990" t="str">
            <v>Primary</v>
          </cell>
        </row>
        <row r="15991">
          <cell r="A15991">
            <v>8553048</v>
          </cell>
          <cell r="B15991">
            <v>120139</v>
          </cell>
          <cell r="C15991" t="str">
            <v>Kibworth Church of England Primary School</v>
          </cell>
          <cell r="D15991" t="str">
            <v>Leicestershire</v>
          </cell>
          <cell r="E15991" t="str">
            <v>Voluntary Controlled School</v>
          </cell>
          <cell r="F15991" t="str">
            <v>Primary</v>
          </cell>
        </row>
        <row r="15992">
          <cell r="A15992">
            <v>8554055</v>
          </cell>
          <cell r="B15992">
            <v>120273</v>
          </cell>
          <cell r="C15992" t="str">
            <v>Kibworth High School &amp; Community Technology College</v>
          </cell>
          <cell r="D15992" t="str">
            <v>Leicestershire</v>
          </cell>
          <cell r="E15992" t="str">
            <v>Community School</v>
          </cell>
          <cell r="F15992" t="str">
            <v>Secondary</v>
          </cell>
        </row>
        <row r="15993">
          <cell r="A15993">
            <v>8554055</v>
          </cell>
          <cell r="B15993">
            <v>137540</v>
          </cell>
          <cell r="C15993" t="str">
            <v>Kibworth High School &amp; Community Technology College</v>
          </cell>
          <cell r="D15993" t="str">
            <v>Leicestershire</v>
          </cell>
          <cell r="E15993" t="str">
            <v>Academy Converters</v>
          </cell>
          <cell r="F15993" t="str">
            <v>Secondary</v>
          </cell>
        </row>
        <row r="15994">
          <cell r="A15994">
            <v>2032353</v>
          </cell>
          <cell r="B15994">
            <v>100136</v>
          </cell>
          <cell r="C15994" t="str">
            <v>Kidbrooke Park Primary School</v>
          </cell>
          <cell r="D15994" t="str">
            <v>Greenwich</v>
          </cell>
          <cell r="E15994" t="str">
            <v>Community School</v>
          </cell>
          <cell r="F15994" t="str">
            <v>Primary</v>
          </cell>
        </row>
        <row r="15995">
          <cell r="A15995">
            <v>2034243</v>
          </cell>
          <cell r="B15995">
            <v>100185</v>
          </cell>
          <cell r="C15995" t="str">
            <v>Kidbrooke School</v>
          </cell>
          <cell r="D15995" t="str">
            <v>Greenwich</v>
          </cell>
          <cell r="E15995" t="str">
            <v>Community School</v>
          </cell>
          <cell r="F15995" t="str">
            <v>Secondary</v>
          </cell>
        </row>
        <row r="15996">
          <cell r="A15996">
            <v>8858003</v>
          </cell>
          <cell r="B15996">
            <v>130711</v>
          </cell>
          <cell r="C15996" t="str">
            <v>Kidderminster College</v>
          </cell>
          <cell r="D15996" t="str">
            <v>Worcestershire</v>
          </cell>
          <cell r="E15996" t="str">
            <v>Further Education</v>
          </cell>
          <cell r="F15996" t="str">
            <v>16 Plus</v>
          </cell>
        </row>
        <row r="15997">
          <cell r="A15997">
            <v>8851111</v>
          </cell>
          <cell r="B15997">
            <v>130993</v>
          </cell>
          <cell r="C15997" t="str">
            <v>Kidderminster Pupil Referral Unit</v>
          </cell>
          <cell r="D15997" t="str">
            <v>Worcestershire</v>
          </cell>
          <cell r="E15997" t="str">
            <v>Pupil Referral Unit</v>
          </cell>
          <cell r="F15997" t="str">
            <v>PRU</v>
          </cell>
        </row>
        <row r="15998">
          <cell r="A15998">
            <v>8853340</v>
          </cell>
          <cell r="B15998">
            <v>116889</v>
          </cell>
          <cell r="C15998" t="str">
            <v>Kidderminster St Mary's CofE First School</v>
          </cell>
          <cell r="D15998" t="str">
            <v>Worcestershire</v>
          </cell>
          <cell r="E15998" t="str">
            <v>Voluntary Aided School</v>
          </cell>
          <cell r="F15998" t="str">
            <v>Primary</v>
          </cell>
        </row>
        <row r="15999">
          <cell r="A15999">
            <v>8852081</v>
          </cell>
          <cell r="B15999">
            <v>116691</v>
          </cell>
          <cell r="C15999" t="str">
            <v>Kidderminster, Birchen Coppice First School</v>
          </cell>
          <cell r="D15999" t="str">
            <v>Worcestershire</v>
          </cell>
          <cell r="E15999" t="str">
            <v>Community School</v>
          </cell>
          <cell r="F15999" t="str">
            <v>Primary</v>
          </cell>
        </row>
        <row r="16000">
          <cell r="A16000">
            <v>8854412</v>
          </cell>
          <cell r="B16000">
            <v>116963</v>
          </cell>
          <cell r="C16000" t="str">
            <v>Kidderminster, Birchen Coppice Middle School</v>
          </cell>
          <cell r="D16000" t="str">
            <v>Worcestershire</v>
          </cell>
          <cell r="E16000" t="str">
            <v>Community School</v>
          </cell>
          <cell r="F16000" t="str">
            <v>Middle Deemed Secondary</v>
          </cell>
        </row>
        <row r="16001">
          <cell r="A16001">
            <v>8852082</v>
          </cell>
          <cell r="B16001">
            <v>116692</v>
          </cell>
          <cell r="C16001" t="str">
            <v>Kidderminster, Comberton First School</v>
          </cell>
          <cell r="D16001" t="str">
            <v>Worcestershire</v>
          </cell>
          <cell r="E16001" t="str">
            <v>Community School</v>
          </cell>
          <cell r="F16001" t="str">
            <v>Primary</v>
          </cell>
        </row>
        <row r="16002">
          <cell r="A16002">
            <v>8854413</v>
          </cell>
          <cell r="B16002">
            <v>116964</v>
          </cell>
          <cell r="C16002" t="str">
            <v>Kidderminster, Comberton Middle School</v>
          </cell>
          <cell r="D16002" t="str">
            <v>Worcestershire</v>
          </cell>
          <cell r="E16002" t="str">
            <v>Community School</v>
          </cell>
          <cell r="F16002" t="str">
            <v>Middle Deemed Secondary</v>
          </cell>
        </row>
        <row r="16003">
          <cell r="A16003">
            <v>8852083</v>
          </cell>
          <cell r="B16003">
            <v>116693</v>
          </cell>
          <cell r="C16003" t="str">
            <v>Kidderminster, Foley Park First School and Nursery Unit</v>
          </cell>
          <cell r="D16003" t="str">
            <v>Worcestershire</v>
          </cell>
          <cell r="E16003" t="str">
            <v>Community School</v>
          </cell>
          <cell r="F16003" t="str">
            <v>Primary</v>
          </cell>
        </row>
        <row r="16004">
          <cell r="A16004">
            <v>8852084</v>
          </cell>
          <cell r="B16004">
            <v>116694</v>
          </cell>
          <cell r="C16004" t="str">
            <v>Kidderminster, Franche First School</v>
          </cell>
          <cell r="D16004" t="str">
            <v>Worcestershire</v>
          </cell>
          <cell r="E16004" t="str">
            <v>Community School</v>
          </cell>
          <cell r="F16004" t="str">
            <v>Primary</v>
          </cell>
        </row>
        <row r="16005">
          <cell r="A16005">
            <v>8854414</v>
          </cell>
          <cell r="B16005">
            <v>116965</v>
          </cell>
          <cell r="C16005" t="str">
            <v>Kidderminster, Franche Middle School</v>
          </cell>
          <cell r="D16005" t="str">
            <v>Worcestershire</v>
          </cell>
          <cell r="E16005" t="str">
            <v>Community School</v>
          </cell>
          <cell r="F16005" t="str">
            <v>Middle Deemed Secondary</v>
          </cell>
        </row>
        <row r="16006">
          <cell r="A16006">
            <v>8852086</v>
          </cell>
          <cell r="B16006">
            <v>116695</v>
          </cell>
          <cell r="C16006" t="str">
            <v>Kidderminster, Lea Street First School</v>
          </cell>
          <cell r="D16006" t="str">
            <v>Worcestershire</v>
          </cell>
          <cell r="E16006" t="str">
            <v>Community School</v>
          </cell>
          <cell r="F16006" t="str">
            <v>Primary</v>
          </cell>
        </row>
        <row r="16007">
          <cell r="A16007">
            <v>8854415</v>
          </cell>
          <cell r="B16007">
            <v>116966</v>
          </cell>
          <cell r="C16007" t="str">
            <v>Kidderminster, Sion Hill Middle School</v>
          </cell>
          <cell r="D16007" t="str">
            <v>Worcestershire</v>
          </cell>
          <cell r="E16007" t="str">
            <v>Community School</v>
          </cell>
          <cell r="F16007" t="str">
            <v>Middle Deemed Secondary</v>
          </cell>
        </row>
        <row r="16008">
          <cell r="A16008">
            <v>8853062</v>
          </cell>
          <cell r="B16008">
            <v>116824</v>
          </cell>
          <cell r="C16008" t="str">
            <v>Kidderminster, St Barnaba's First School</v>
          </cell>
          <cell r="D16008" t="str">
            <v>Worcestershire</v>
          </cell>
          <cell r="E16008" t="str">
            <v>Voluntary Controlled School</v>
          </cell>
          <cell r="F16008" t="str">
            <v>Primary</v>
          </cell>
        </row>
        <row r="16009">
          <cell r="A16009">
            <v>8853063</v>
          </cell>
          <cell r="B16009">
            <v>116825</v>
          </cell>
          <cell r="C16009" t="str">
            <v>Kidderminster, St George's CofE First School</v>
          </cell>
          <cell r="D16009" t="str">
            <v>Worcestershire</v>
          </cell>
          <cell r="E16009" t="str">
            <v>Voluntary Controlled School</v>
          </cell>
          <cell r="F16009" t="str">
            <v>Primary</v>
          </cell>
        </row>
        <row r="16010">
          <cell r="A16010">
            <v>8853064</v>
          </cell>
          <cell r="B16010">
            <v>116826</v>
          </cell>
          <cell r="C16010" t="str">
            <v>Kidderminster, St John's CofE First School</v>
          </cell>
          <cell r="D16010" t="str">
            <v>Worcestershire</v>
          </cell>
          <cell r="E16010" t="str">
            <v>Voluntary Controlled School</v>
          </cell>
          <cell r="F16010" t="str">
            <v>Primary</v>
          </cell>
        </row>
        <row r="16011">
          <cell r="A16011">
            <v>8854577</v>
          </cell>
          <cell r="B16011">
            <v>116985</v>
          </cell>
          <cell r="C16011" t="str">
            <v>Kidderminster, St John's CofE Middle School</v>
          </cell>
          <cell r="D16011" t="str">
            <v>Worcestershire</v>
          </cell>
          <cell r="E16011" t="str">
            <v>Voluntary Controlled School</v>
          </cell>
          <cell r="F16011" t="str">
            <v>Middle Deemed Secondary</v>
          </cell>
        </row>
        <row r="16012">
          <cell r="A16012">
            <v>8853065</v>
          </cell>
          <cell r="B16012">
            <v>116827</v>
          </cell>
          <cell r="C16012" t="str">
            <v>Kidderminster, St Oswald's CofE First School</v>
          </cell>
          <cell r="D16012" t="str">
            <v>Worcestershire</v>
          </cell>
          <cell r="E16012" t="str">
            <v>Voluntary Controlled School</v>
          </cell>
          <cell r="F16012" t="str">
            <v>Primary</v>
          </cell>
        </row>
        <row r="16013">
          <cell r="A16013">
            <v>8852087</v>
          </cell>
          <cell r="B16013">
            <v>116696</v>
          </cell>
          <cell r="C16013" t="str">
            <v>Kidderminster, the Marlpool First School</v>
          </cell>
          <cell r="D16013" t="str">
            <v>Worcestershire</v>
          </cell>
          <cell r="E16013" t="str">
            <v>Community School</v>
          </cell>
          <cell r="F16013" t="str">
            <v>Primary</v>
          </cell>
        </row>
        <row r="16014">
          <cell r="A16014">
            <v>8852088</v>
          </cell>
          <cell r="B16014">
            <v>116697</v>
          </cell>
          <cell r="C16014" t="str">
            <v>Kidderminster, the Offmore First School</v>
          </cell>
          <cell r="D16014" t="str">
            <v>Worcestershire</v>
          </cell>
          <cell r="E16014" t="str">
            <v>Community School</v>
          </cell>
          <cell r="F16014" t="str">
            <v>Primary</v>
          </cell>
        </row>
        <row r="16015">
          <cell r="A16015">
            <v>9312105</v>
          </cell>
          <cell r="B16015">
            <v>129750</v>
          </cell>
          <cell r="C16015" t="str">
            <v>Kiddington County Primary School</v>
          </cell>
          <cell r="D16015" t="str">
            <v>Oxfordshire</v>
          </cell>
          <cell r="E16015" t="str">
            <v>Community School</v>
          </cell>
          <cell r="F16015" t="str">
            <v>Primary</v>
          </cell>
        </row>
        <row r="16016">
          <cell r="A16016">
            <v>9313807</v>
          </cell>
          <cell r="B16016">
            <v>123202</v>
          </cell>
          <cell r="C16016" t="str">
            <v>Kidmore End Church of England (Aided) Primary School</v>
          </cell>
          <cell r="D16016" t="str">
            <v>Oxfordshire</v>
          </cell>
          <cell r="E16016" t="str">
            <v>Voluntary Aided School</v>
          </cell>
          <cell r="F16016" t="str">
            <v>Primary</v>
          </cell>
        </row>
        <row r="16017">
          <cell r="A16017">
            <v>8604902</v>
          </cell>
          <cell r="B16017">
            <v>132950</v>
          </cell>
          <cell r="C16017" t="str">
            <v>Kidsgrove Sixth Form</v>
          </cell>
          <cell r="D16017" t="str">
            <v>Staffordshire</v>
          </cell>
          <cell r="E16017" t="str">
            <v>Sixth Form Centres</v>
          </cell>
          <cell r="F16017" t="str">
            <v>16 Plus</v>
          </cell>
        </row>
        <row r="16018">
          <cell r="A16018">
            <v>9292254</v>
          </cell>
          <cell r="B16018">
            <v>122233</v>
          </cell>
          <cell r="C16018" t="str">
            <v>Kielder Community First School</v>
          </cell>
          <cell r="D16018" t="str">
            <v>Northumberland</v>
          </cell>
          <cell r="E16018" t="str">
            <v>Community School</v>
          </cell>
          <cell r="F16018" t="str">
            <v>Primary</v>
          </cell>
        </row>
        <row r="16019">
          <cell r="A16019">
            <v>8302149</v>
          </cell>
          <cell r="B16019">
            <v>112577</v>
          </cell>
          <cell r="C16019" t="str">
            <v>Kilburn Infant and Nursery School</v>
          </cell>
          <cell r="D16019" t="str">
            <v>Derbyshire</v>
          </cell>
          <cell r="E16019" t="str">
            <v>Community School</v>
          </cell>
          <cell r="F16019" t="str">
            <v>Primary</v>
          </cell>
        </row>
        <row r="16020">
          <cell r="A16020">
            <v>8302148</v>
          </cell>
          <cell r="B16020">
            <v>112576</v>
          </cell>
          <cell r="C16020" t="str">
            <v>Kilburn Junior School</v>
          </cell>
          <cell r="D16020" t="str">
            <v>Derbyshire</v>
          </cell>
          <cell r="E16020" t="str">
            <v>Community School</v>
          </cell>
          <cell r="F16020" t="str">
            <v>Primary</v>
          </cell>
        </row>
        <row r="16021">
          <cell r="A16021">
            <v>3048000</v>
          </cell>
          <cell r="B16021">
            <v>133128</v>
          </cell>
          <cell r="C16021" t="str">
            <v>Kilburn Polytechnic</v>
          </cell>
          <cell r="D16021" t="str">
            <v>Brent</v>
          </cell>
          <cell r="E16021" t="str">
            <v>Miscellaneous</v>
          </cell>
          <cell r="F16021" t="str">
            <v>Not applicable</v>
          </cell>
        </row>
        <row r="16022">
          <cell r="A16022">
            <v>8553307</v>
          </cell>
          <cell r="B16022">
            <v>120195</v>
          </cell>
          <cell r="C16022" t="str">
            <v>Kilby St Mary's Church of England Primary School</v>
          </cell>
          <cell r="D16022" t="str">
            <v>Leicestershire</v>
          </cell>
          <cell r="E16022" t="str">
            <v>Voluntary Aided School</v>
          </cell>
          <cell r="F16022" t="str">
            <v>Primary</v>
          </cell>
        </row>
        <row r="16023">
          <cell r="A16023">
            <v>8153287</v>
          </cell>
          <cell r="B16023">
            <v>121600</v>
          </cell>
          <cell r="C16023" t="str">
            <v>Kildwick Church of England Voluntary Controlled Primary School</v>
          </cell>
          <cell r="D16023" t="str">
            <v>North Yorkshire</v>
          </cell>
          <cell r="E16023" t="str">
            <v>Voluntary Controlled School</v>
          </cell>
          <cell r="F16023" t="str">
            <v>Primary</v>
          </cell>
        </row>
        <row r="16024">
          <cell r="A16024">
            <v>3447003</v>
          </cell>
          <cell r="B16024">
            <v>105130</v>
          </cell>
          <cell r="C16024" t="str">
            <v>Kilgarth School</v>
          </cell>
          <cell r="D16024" t="str">
            <v>Wirral</v>
          </cell>
          <cell r="E16024" t="str">
            <v>Community Special School</v>
          </cell>
          <cell r="F16024" t="str">
            <v>Special</v>
          </cell>
        </row>
        <row r="16025">
          <cell r="A16025">
            <v>8113026</v>
          </cell>
          <cell r="B16025">
            <v>117980</v>
          </cell>
          <cell r="C16025" t="str">
            <v>Kilham Church of England Voluntary Controlled School</v>
          </cell>
          <cell r="D16025" t="str">
            <v>East Riding of Yorkshire</v>
          </cell>
          <cell r="E16025" t="str">
            <v>Voluntary Controlled School</v>
          </cell>
          <cell r="F16025" t="str">
            <v>Primary</v>
          </cell>
        </row>
        <row r="16026">
          <cell r="A16026">
            <v>9082608</v>
          </cell>
          <cell r="B16026">
            <v>111930</v>
          </cell>
          <cell r="C16026" t="str">
            <v>Kilkhampton Junior and Infant School</v>
          </cell>
          <cell r="D16026" t="str">
            <v>Cornwall</v>
          </cell>
          <cell r="E16026" t="str">
            <v>Community School</v>
          </cell>
          <cell r="F16026" t="str">
            <v>Primary</v>
          </cell>
        </row>
        <row r="16027">
          <cell r="A16027">
            <v>8302151</v>
          </cell>
          <cell r="B16027">
            <v>112579</v>
          </cell>
          <cell r="C16027" t="str">
            <v>Killamarsh Infant School</v>
          </cell>
          <cell r="D16027" t="str">
            <v>Derbyshire</v>
          </cell>
          <cell r="E16027" t="str">
            <v>Community School</v>
          </cell>
          <cell r="F16027" t="str">
            <v>Primary</v>
          </cell>
        </row>
        <row r="16028">
          <cell r="A16028">
            <v>8302150</v>
          </cell>
          <cell r="B16028">
            <v>112578</v>
          </cell>
          <cell r="C16028" t="str">
            <v>Killamarsh Junior School</v>
          </cell>
          <cell r="D16028" t="str">
            <v>Derbyshire</v>
          </cell>
          <cell r="E16028" t="str">
            <v>Community School</v>
          </cell>
          <cell r="F16028" t="str">
            <v>Primary</v>
          </cell>
        </row>
        <row r="16029">
          <cell r="A16029">
            <v>9192310</v>
          </cell>
          <cell r="B16029">
            <v>117267</v>
          </cell>
          <cell r="C16029" t="str">
            <v>Killigrew Infant and Nursery School</v>
          </cell>
          <cell r="D16029" t="str">
            <v>Hertfordshire</v>
          </cell>
          <cell r="E16029" t="str">
            <v>Community School</v>
          </cell>
          <cell r="F16029" t="str">
            <v>Primary</v>
          </cell>
        </row>
        <row r="16030">
          <cell r="A16030">
            <v>9192232</v>
          </cell>
          <cell r="B16030">
            <v>117225</v>
          </cell>
          <cell r="C16030" t="str">
            <v>Killigrew Junior School</v>
          </cell>
          <cell r="D16030" t="str">
            <v>Hertfordshire</v>
          </cell>
          <cell r="E16030" t="str">
            <v>Community School</v>
          </cell>
          <cell r="F16030" t="str">
            <v>Primary</v>
          </cell>
        </row>
        <row r="16031">
          <cell r="A16031">
            <v>9193992</v>
          </cell>
          <cell r="B16031">
            <v>135528</v>
          </cell>
          <cell r="C16031" t="str">
            <v>Killigrew Primary and Nursery School</v>
          </cell>
          <cell r="D16031" t="str">
            <v>Hertfordshire</v>
          </cell>
          <cell r="E16031" t="str">
            <v>Community School</v>
          </cell>
          <cell r="F16031" t="str">
            <v>Primary</v>
          </cell>
        </row>
        <row r="16032">
          <cell r="A16032">
            <v>8153248</v>
          </cell>
          <cell r="B16032">
            <v>121569</v>
          </cell>
          <cell r="C16032" t="str">
            <v>Killinghall Church of England Primary School</v>
          </cell>
          <cell r="D16032" t="str">
            <v>North Yorkshire</v>
          </cell>
          <cell r="E16032" t="str">
            <v>Voluntary Controlled School</v>
          </cell>
          <cell r="F16032" t="str">
            <v>Primary</v>
          </cell>
        </row>
        <row r="16033">
          <cell r="A16033">
            <v>3805200</v>
          </cell>
          <cell r="B16033">
            <v>107431</v>
          </cell>
          <cell r="C16033" t="str">
            <v>Killinghall Primary School</v>
          </cell>
          <cell r="D16033" t="str">
            <v>Bradford</v>
          </cell>
          <cell r="E16033" t="str">
            <v>Foundation School</v>
          </cell>
          <cell r="F16033" t="str">
            <v>Primary</v>
          </cell>
        </row>
        <row r="16034">
          <cell r="A16034">
            <v>8132125</v>
          </cell>
          <cell r="B16034">
            <v>117743</v>
          </cell>
          <cell r="C16034" t="str">
            <v>Killingholme Primary School</v>
          </cell>
          <cell r="D16034" t="str">
            <v>North Lincolnshire</v>
          </cell>
          <cell r="E16034" t="str">
            <v>Community School</v>
          </cell>
          <cell r="F16034" t="str">
            <v>Primary</v>
          </cell>
        </row>
        <row r="16035">
          <cell r="A16035">
            <v>3924022</v>
          </cell>
          <cell r="B16035">
            <v>108634</v>
          </cell>
          <cell r="C16035" t="str">
            <v>Killingworth Middle School</v>
          </cell>
          <cell r="D16035" t="str">
            <v>North Tyneside</v>
          </cell>
          <cell r="E16035" t="str">
            <v>Community School</v>
          </cell>
          <cell r="F16035" t="str">
            <v>Middle Deemed Secondary</v>
          </cell>
        </row>
        <row r="16036">
          <cell r="A16036">
            <v>8912222</v>
          </cell>
          <cell r="B16036">
            <v>122519</v>
          </cell>
          <cell r="C16036" t="str">
            <v>Killisick Junior School</v>
          </cell>
          <cell r="D16036" t="str">
            <v>Nottinghamshire</v>
          </cell>
          <cell r="E16036" t="str">
            <v>Community School</v>
          </cell>
          <cell r="F16036" t="str">
            <v>Primary</v>
          </cell>
        </row>
        <row r="16037">
          <cell r="A16037">
            <v>9333329</v>
          </cell>
          <cell r="B16037">
            <v>123834</v>
          </cell>
          <cell r="C16037" t="str">
            <v>Kilmersdon Church of England Primary School</v>
          </cell>
          <cell r="D16037" t="str">
            <v>Somerset</v>
          </cell>
          <cell r="E16037" t="str">
            <v>Voluntary Aided School</v>
          </cell>
          <cell r="F16037" t="str">
            <v>Primary</v>
          </cell>
        </row>
        <row r="16038">
          <cell r="A16038">
            <v>8653445</v>
          </cell>
          <cell r="B16038">
            <v>126433</v>
          </cell>
          <cell r="C16038" t="str">
            <v>Kilmington Church of England Voluntary Aided First School</v>
          </cell>
          <cell r="D16038" t="str">
            <v>Wiltshire</v>
          </cell>
          <cell r="E16038" t="str">
            <v>Voluntary Aided School</v>
          </cell>
          <cell r="F16038" t="str">
            <v>Primary</v>
          </cell>
        </row>
        <row r="16039">
          <cell r="A16039">
            <v>8782050</v>
          </cell>
          <cell r="B16039">
            <v>113100</v>
          </cell>
          <cell r="C16039" t="str">
            <v>Kilmington Primary School</v>
          </cell>
          <cell r="D16039" t="str">
            <v>Devon</v>
          </cell>
          <cell r="E16039" t="str">
            <v>Community School</v>
          </cell>
          <cell r="F16039" t="str">
            <v>Primary</v>
          </cell>
        </row>
        <row r="16040">
          <cell r="A16040">
            <v>2092911</v>
          </cell>
          <cell r="B16040">
            <v>100718</v>
          </cell>
          <cell r="C16040" t="str">
            <v>Kilmorie Primary School</v>
          </cell>
          <cell r="D16040" t="str">
            <v>Lewisham</v>
          </cell>
          <cell r="E16040" t="str">
            <v>Community School</v>
          </cell>
          <cell r="F16040" t="str">
            <v>Primary</v>
          </cell>
        </row>
        <row r="16041">
          <cell r="A16041">
            <v>9223311</v>
          </cell>
          <cell r="B16041">
            <v>129408</v>
          </cell>
          <cell r="C16041" t="str">
            <v>Kilndown CofE Aided Primary School</v>
          </cell>
          <cell r="D16041" t="str">
            <v>Pre LGR (1998) Kent</v>
          </cell>
          <cell r="E16041" t="str">
            <v>Voluntary Aided School</v>
          </cell>
          <cell r="F16041" t="str">
            <v>Primary</v>
          </cell>
        </row>
        <row r="16042">
          <cell r="A16042">
            <v>3722074</v>
          </cell>
          <cell r="B16042">
            <v>106878</v>
          </cell>
          <cell r="C16042" t="str">
            <v>Kilnhurst Primary School</v>
          </cell>
          <cell r="D16042" t="str">
            <v>Rotherham</v>
          </cell>
          <cell r="E16042" t="str">
            <v>Community School</v>
          </cell>
          <cell r="F16042" t="str">
            <v>Primary</v>
          </cell>
        </row>
        <row r="16043">
          <cell r="A16043">
            <v>3723001</v>
          </cell>
          <cell r="B16043">
            <v>106928</v>
          </cell>
          <cell r="C16043" t="str">
            <v>Kilnhurst St Thomas CofE Primary School</v>
          </cell>
          <cell r="D16043" t="str">
            <v>Rotherham</v>
          </cell>
          <cell r="E16043" t="str">
            <v>Voluntary Controlled School</v>
          </cell>
          <cell r="F16043" t="str">
            <v>Primary</v>
          </cell>
        </row>
        <row r="16044">
          <cell r="A16044">
            <v>9283039</v>
          </cell>
          <cell r="B16044">
            <v>121979</v>
          </cell>
          <cell r="C16044" t="str">
            <v>Kilsby Church of England Primary School</v>
          </cell>
          <cell r="D16044" t="str">
            <v>Northamptonshire</v>
          </cell>
          <cell r="E16044" t="str">
            <v>Voluntary Controlled School</v>
          </cell>
          <cell r="F16044" t="str">
            <v>Primary</v>
          </cell>
        </row>
        <row r="16045">
          <cell r="A16045">
            <v>8077030</v>
          </cell>
          <cell r="B16045">
            <v>111788</v>
          </cell>
          <cell r="C16045" t="str">
            <v>Kilton Thorpe School</v>
          </cell>
          <cell r="D16045" t="str">
            <v>Redcar and Cleveland</v>
          </cell>
          <cell r="E16045" t="str">
            <v>Community Special School</v>
          </cell>
          <cell r="F16045" t="str">
            <v>Special</v>
          </cell>
        </row>
        <row r="16046">
          <cell r="A16046">
            <v>9116088</v>
          </cell>
          <cell r="B16046">
            <v>128746</v>
          </cell>
          <cell r="C16046" t="str">
            <v>Kilworthy House Trust</v>
          </cell>
          <cell r="D16046" t="str">
            <v>Pre LGR (1998) Devon</v>
          </cell>
          <cell r="E16046" t="str">
            <v>Other Independent School</v>
          </cell>
          <cell r="F16046" t="str">
            <v>Not applicable</v>
          </cell>
        </row>
        <row r="16047">
          <cell r="A16047">
            <v>6801001</v>
          </cell>
          <cell r="B16047">
            <v>400031</v>
          </cell>
          <cell r="C16047" t="str">
            <v>Kimberley Nursery School</v>
          </cell>
          <cell r="D16047" t="str">
            <v>Newport</v>
          </cell>
          <cell r="E16047" t="str">
            <v>Welsh Establishment</v>
          </cell>
          <cell r="F16047" t="str">
            <v>Nursery</v>
          </cell>
        </row>
        <row r="16048">
          <cell r="A16048">
            <v>8912900</v>
          </cell>
          <cell r="B16048">
            <v>122706</v>
          </cell>
          <cell r="C16048" t="str">
            <v>Kimberley Primary School</v>
          </cell>
          <cell r="D16048" t="str">
            <v>Nottinghamshire</v>
          </cell>
          <cell r="E16048" t="str">
            <v>Community School</v>
          </cell>
          <cell r="F16048" t="str">
            <v>Primary</v>
          </cell>
        </row>
        <row r="16049">
          <cell r="A16049">
            <v>3722022</v>
          </cell>
          <cell r="B16049">
            <v>106845</v>
          </cell>
          <cell r="C16049" t="str">
            <v>Kimberworth Community Primary School</v>
          </cell>
          <cell r="D16049" t="str">
            <v>Rotherham</v>
          </cell>
          <cell r="E16049" t="str">
            <v>Community School</v>
          </cell>
          <cell r="F16049" t="str">
            <v>Primary</v>
          </cell>
        </row>
        <row r="16050">
          <cell r="A16050">
            <v>3724001</v>
          </cell>
          <cell r="B16050">
            <v>106948</v>
          </cell>
          <cell r="C16050" t="str">
            <v>Kimberworth Comprehensive School</v>
          </cell>
          <cell r="D16050" t="str">
            <v>Rotherham</v>
          </cell>
          <cell r="E16050" t="str">
            <v>Community School</v>
          </cell>
          <cell r="F16050" t="str">
            <v>Secondary</v>
          </cell>
        </row>
        <row r="16051">
          <cell r="A16051">
            <v>8736012</v>
          </cell>
          <cell r="B16051">
            <v>110925</v>
          </cell>
          <cell r="C16051" t="str">
            <v>Kimbolton School</v>
          </cell>
          <cell r="D16051" t="str">
            <v>Cambridgeshire</v>
          </cell>
          <cell r="E16051" t="str">
            <v>Other Independent School</v>
          </cell>
          <cell r="F16051" t="str">
            <v>Not applicable</v>
          </cell>
        </row>
        <row r="16052">
          <cell r="A16052">
            <v>8843341</v>
          </cell>
          <cell r="B16052">
            <v>116890</v>
          </cell>
          <cell r="C16052" t="str">
            <v>Kimbolton St James CofE Primary School</v>
          </cell>
          <cell r="D16052" t="str">
            <v>Herefordshire</v>
          </cell>
          <cell r="E16052" t="str">
            <v>Voluntary Aided School</v>
          </cell>
          <cell r="F16052" t="str">
            <v>Primary</v>
          </cell>
        </row>
        <row r="16053">
          <cell r="A16053">
            <v>9192062</v>
          </cell>
          <cell r="B16053">
            <v>117118</v>
          </cell>
          <cell r="C16053" t="str">
            <v>Kimpton Primary School</v>
          </cell>
          <cell r="D16053" t="str">
            <v>Hertfordshire</v>
          </cell>
          <cell r="E16053" t="str">
            <v>Community School</v>
          </cell>
          <cell r="F16053" t="str">
            <v>Primary</v>
          </cell>
        </row>
        <row r="16054">
          <cell r="A16054">
            <v>8503401</v>
          </cell>
          <cell r="B16054">
            <v>116375</v>
          </cell>
          <cell r="C16054" t="str">
            <v>Kimpton, Thruxton and Fyfield Church of England Primary School</v>
          </cell>
          <cell r="D16054" t="str">
            <v>Hampshire</v>
          </cell>
          <cell r="E16054" t="str">
            <v>Voluntary Aided School</v>
          </cell>
          <cell r="F16054" t="str">
            <v>Primary</v>
          </cell>
        </row>
        <row r="16055">
          <cell r="A16055">
            <v>8902834</v>
          </cell>
          <cell r="B16055">
            <v>131414</v>
          </cell>
          <cell r="C16055" t="str">
            <v>Kincraig Primary School</v>
          </cell>
          <cell r="D16055" t="str">
            <v>Blackpool</v>
          </cell>
          <cell r="E16055" t="str">
            <v>Community School</v>
          </cell>
          <cell r="F16055" t="str">
            <v>Primary</v>
          </cell>
        </row>
        <row r="16056">
          <cell r="A16056">
            <v>9307038</v>
          </cell>
          <cell r="B16056">
            <v>129743</v>
          </cell>
          <cell r="C16056" t="str">
            <v>Kinder School</v>
          </cell>
          <cell r="D16056" t="str">
            <v>Pre LGR (1998) Nottinghamshire</v>
          </cell>
          <cell r="E16056" t="str">
            <v>Community Special School</v>
          </cell>
          <cell r="F16056" t="str">
            <v>Special</v>
          </cell>
        </row>
        <row r="16057">
          <cell r="A16057">
            <v>8732331</v>
          </cell>
          <cell r="B16057">
            <v>110762</v>
          </cell>
          <cell r="C16057" t="str">
            <v>Kinderley Primary School</v>
          </cell>
          <cell r="D16057" t="str">
            <v>Cambridgeshire</v>
          </cell>
          <cell r="E16057" t="str">
            <v>Community School</v>
          </cell>
          <cell r="F16057" t="str">
            <v>Primary</v>
          </cell>
        </row>
        <row r="16058">
          <cell r="A16058">
            <v>9373308</v>
          </cell>
          <cell r="B16058">
            <v>125692</v>
          </cell>
          <cell r="C16058" t="str">
            <v>Kineton CofE (VA) Primary School</v>
          </cell>
          <cell r="D16058" t="str">
            <v>Warwickshire</v>
          </cell>
          <cell r="E16058" t="str">
            <v>Voluntary Aided School</v>
          </cell>
          <cell r="F16058" t="str">
            <v>Primary</v>
          </cell>
        </row>
        <row r="16059">
          <cell r="A16059">
            <v>3342013</v>
          </cell>
          <cell r="B16059">
            <v>104048</v>
          </cell>
          <cell r="C16059" t="str">
            <v>Kineton Green Primary School</v>
          </cell>
          <cell r="D16059" t="str">
            <v>Solihull</v>
          </cell>
          <cell r="E16059" t="str">
            <v>Community School</v>
          </cell>
          <cell r="F16059" t="str">
            <v>Primary</v>
          </cell>
        </row>
        <row r="16060">
          <cell r="A16060">
            <v>9374110</v>
          </cell>
          <cell r="B16060">
            <v>125734</v>
          </cell>
          <cell r="C16060" t="str">
            <v>Kineton High School</v>
          </cell>
          <cell r="D16060" t="str">
            <v>Warwickshire</v>
          </cell>
          <cell r="E16060" t="str">
            <v>Community School</v>
          </cell>
          <cell r="F16060" t="str">
            <v>Secondary</v>
          </cell>
        </row>
        <row r="16061">
          <cell r="A16061">
            <v>3026004</v>
          </cell>
          <cell r="B16061">
            <v>101369</v>
          </cell>
          <cell r="C16061" t="str">
            <v>King Alfred School</v>
          </cell>
          <cell r="D16061" t="str">
            <v>Barnet</v>
          </cell>
          <cell r="E16061" t="str">
            <v>Other Independent School</v>
          </cell>
          <cell r="F16061" t="str">
            <v>Not applicable</v>
          </cell>
        </row>
        <row r="16062">
          <cell r="A16062">
            <v>9336154</v>
          </cell>
          <cell r="B16062">
            <v>129856</v>
          </cell>
          <cell r="C16062" t="str">
            <v>King Alfred School</v>
          </cell>
          <cell r="D16062" t="str">
            <v>Somerset</v>
          </cell>
          <cell r="E16062" t="str">
            <v>Other Independent School</v>
          </cell>
          <cell r="F16062" t="str">
            <v>Not applicable</v>
          </cell>
        </row>
        <row r="16063">
          <cell r="A16063">
            <v>9314142</v>
          </cell>
          <cell r="B16063">
            <v>123263</v>
          </cell>
          <cell r="C16063" t="str">
            <v>King Alfred's (A Specialist Sports College)</v>
          </cell>
          <cell r="D16063" t="str">
            <v>Oxfordshire</v>
          </cell>
          <cell r="E16063" t="str">
            <v>Foundation School</v>
          </cell>
          <cell r="F16063" t="str">
            <v>Secondary</v>
          </cell>
        </row>
        <row r="16064">
          <cell r="A16064">
            <v>9314142</v>
          </cell>
          <cell r="B16064">
            <v>137140</v>
          </cell>
          <cell r="C16064" t="str">
            <v>King Alfred's (A Specialist Sports College)</v>
          </cell>
          <cell r="D16064" t="str">
            <v>Oxfordshire</v>
          </cell>
          <cell r="E16064" t="str">
            <v>Academy Converters</v>
          </cell>
          <cell r="F16064" t="str">
            <v>Secondary</v>
          </cell>
        </row>
        <row r="16065">
          <cell r="A16065">
            <v>8354507</v>
          </cell>
          <cell r="B16065">
            <v>113885</v>
          </cell>
          <cell r="C16065" t="str">
            <v>King Alfred's Church of England Middle School</v>
          </cell>
          <cell r="D16065" t="str">
            <v>Dorset</v>
          </cell>
          <cell r="E16065" t="str">
            <v>Voluntary Controlled School</v>
          </cell>
          <cell r="F16065" t="str">
            <v>Middle Deemed Secondary</v>
          </cell>
        </row>
        <row r="16066">
          <cell r="A16066">
            <v>9334273</v>
          </cell>
          <cell r="B16066">
            <v>123869</v>
          </cell>
          <cell r="C16066" t="str">
            <v>King Arthur's Community School</v>
          </cell>
          <cell r="D16066" t="str">
            <v>Somerset</v>
          </cell>
          <cell r="E16066" t="str">
            <v>Community School</v>
          </cell>
          <cell r="F16066" t="str">
            <v>Secondary</v>
          </cell>
        </row>
        <row r="16067">
          <cell r="A16067">
            <v>3142032</v>
          </cell>
          <cell r="B16067">
            <v>102579</v>
          </cell>
          <cell r="C16067" t="str">
            <v>King Athelstan Primary School</v>
          </cell>
          <cell r="D16067" t="str">
            <v>Kingston upon Thames</v>
          </cell>
          <cell r="E16067" t="str">
            <v>Community School</v>
          </cell>
          <cell r="F16067" t="str">
            <v>Primary</v>
          </cell>
        </row>
        <row r="16068">
          <cell r="A16068">
            <v>8854502</v>
          </cell>
          <cell r="B16068">
            <v>116982</v>
          </cell>
          <cell r="C16068" t="str">
            <v>King Charles I School</v>
          </cell>
          <cell r="D16068" t="str">
            <v>Worcestershire</v>
          </cell>
          <cell r="E16068" t="str">
            <v>Voluntary Controlled School</v>
          </cell>
          <cell r="F16068" t="str">
            <v>Secondary</v>
          </cell>
        </row>
        <row r="16069">
          <cell r="A16069">
            <v>8854501</v>
          </cell>
          <cell r="B16069">
            <v>135060</v>
          </cell>
          <cell r="C16069" t="str">
            <v>King Charles I Secondary School</v>
          </cell>
          <cell r="D16069" t="str">
            <v>Worcestershire</v>
          </cell>
          <cell r="E16069" t="str">
            <v>Voluntary Controlled School</v>
          </cell>
          <cell r="F16069" t="str">
            <v>Secondary</v>
          </cell>
        </row>
        <row r="16070">
          <cell r="A16070">
            <v>3352102</v>
          </cell>
          <cell r="B16070">
            <v>104175</v>
          </cell>
          <cell r="C16070" t="str">
            <v>King Charles Primary School</v>
          </cell>
          <cell r="D16070" t="str">
            <v>Walsall</v>
          </cell>
          <cell r="E16070" t="str">
            <v>Community School</v>
          </cell>
          <cell r="F16070" t="str">
            <v>Primary</v>
          </cell>
        </row>
        <row r="16071">
          <cell r="A16071">
            <v>9083218</v>
          </cell>
          <cell r="B16071">
            <v>111995</v>
          </cell>
          <cell r="C16071" t="str">
            <v>King Charles Primary School</v>
          </cell>
          <cell r="D16071" t="str">
            <v>Cornwall</v>
          </cell>
          <cell r="E16071" t="str">
            <v>Voluntary Controlled School</v>
          </cell>
          <cell r="F16071" t="str">
            <v>Primary</v>
          </cell>
        </row>
        <row r="16072">
          <cell r="A16072">
            <v>3414690</v>
          </cell>
          <cell r="B16072">
            <v>104703</v>
          </cell>
          <cell r="C16072" t="str">
            <v>King David High School</v>
          </cell>
          <cell r="D16072" t="str">
            <v>Liverpool</v>
          </cell>
          <cell r="E16072" t="str">
            <v>Voluntary Aided School</v>
          </cell>
          <cell r="F16072" t="str">
            <v>Secondary</v>
          </cell>
        </row>
        <row r="16073">
          <cell r="A16073">
            <v>3523337</v>
          </cell>
          <cell r="B16073">
            <v>105511</v>
          </cell>
          <cell r="C16073" t="str">
            <v>King David Infant School</v>
          </cell>
          <cell r="D16073" t="str">
            <v>Manchester</v>
          </cell>
          <cell r="E16073" t="str">
            <v>Voluntary Aided School</v>
          </cell>
          <cell r="F16073" t="str">
            <v>Primary</v>
          </cell>
        </row>
        <row r="16074">
          <cell r="A16074">
            <v>3303352</v>
          </cell>
          <cell r="B16074">
            <v>103444</v>
          </cell>
          <cell r="C16074" t="str">
            <v>King David Junior and Infant School</v>
          </cell>
          <cell r="D16074" t="str">
            <v>Birmingham</v>
          </cell>
          <cell r="E16074" t="str">
            <v>Voluntary Aided School</v>
          </cell>
          <cell r="F16074" t="str">
            <v>Primary</v>
          </cell>
        </row>
        <row r="16075">
          <cell r="A16075">
            <v>3523336</v>
          </cell>
          <cell r="B16075">
            <v>105510</v>
          </cell>
          <cell r="C16075" t="str">
            <v>King David Junior School</v>
          </cell>
          <cell r="D16075" t="str">
            <v>Manchester</v>
          </cell>
          <cell r="E16075" t="str">
            <v>Voluntary Aided School</v>
          </cell>
          <cell r="F16075" t="str">
            <v>Primary</v>
          </cell>
        </row>
        <row r="16076">
          <cell r="A16076">
            <v>3415200</v>
          </cell>
          <cell r="B16076">
            <v>104682</v>
          </cell>
          <cell r="C16076" t="str">
            <v>King David Primary School</v>
          </cell>
          <cell r="D16076" t="str">
            <v>Liverpool</v>
          </cell>
          <cell r="E16076" t="str">
            <v>Voluntary Aided School</v>
          </cell>
          <cell r="F16076" t="str">
            <v>Primary</v>
          </cell>
        </row>
        <row r="16077">
          <cell r="A16077">
            <v>3523508</v>
          </cell>
          <cell r="B16077">
            <v>135993</v>
          </cell>
          <cell r="C16077" t="str">
            <v>King David Primary School</v>
          </cell>
          <cell r="D16077" t="str">
            <v>Manchester</v>
          </cell>
          <cell r="E16077" t="str">
            <v>Voluntary Aided School</v>
          </cell>
          <cell r="F16077" t="str">
            <v>Primary</v>
          </cell>
        </row>
        <row r="16078">
          <cell r="A16078">
            <v>3916019</v>
          </cell>
          <cell r="B16078">
            <v>128136</v>
          </cell>
          <cell r="C16078" t="str">
            <v>King David School</v>
          </cell>
          <cell r="D16078" t="str">
            <v>Newcastle upon Tyne</v>
          </cell>
          <cell r="E16078" t="str">
            <v>Other Independent School</v>
          </cell>
          <cell r="F16078" t="str">
            <v>Not applicable</v>
          </cell>
        </row>
        <row r="16079">
          <cell r="A16079">
            <v>3734230</v>
          </cell>
          <cell r="B16079">
            <v>107129</v>
          </cell>
          <cell r="C16079" t="str">
            <v>King Ecgbert School</v>
          </cell>
          <cell r="D16079" t="str">
            <v>Sheffield</v>
          </cell>
          <cell r="E16079" t="str">
            <v>Community School</v>
          </cell>
          <cell r="F16079" t="str">
            <v>Secondary</v>
          </cell>
        </row>
        <row r="16080">
          <cell r="A16080">
            <v>8034122</v>
          </cell>
          <cell r="B16080">
            <v>109299</v>
          </cell>
          <cell r="C16080" t="str">
            <v>King Edmund Community School</v>
          </cell>
          <cell r="D16080" t="str">
            <v>South Gloucestershire</v>
          </cell>
          <cell r="E16080" t="str">
            <v>Community School</v>
          </cell>
          <cell r="F16080" t="str">
            <v>Secondary</v>
          </cell>
        </row>
        <row r="16081">
          <cell r="A16081">
            <v>8912922</v>
          </cell>
          <cell r="B16081">
            <v>122726</v>
          </cell>
          <cell r="C16081" t="str">
            <v>King Edward First School</v>
          </cell>
          <cell r="D16081" t="str">
            <v>Nottinghamshire</v>
          </cell>
          <cell r="E16081" t="str">
            <v>Community School</v>
          </cell>
          <cell r="F16081" t="str">
            <v>Primary</v>
          </cell>
        </row>
        <row r="16082">
          <cell r="A16082">
            <v>3712145</v>
          </cell>
          <cell r="B16082">
            <v>127620</v>
          </cell>
          <cell r="C16082" t="str">
            <v>King Edward First School</v>
          </cell>
          <cell r="D16082" t="str">
            <v>Doncaster</v>
          </cell>
          <cell r="E16082" t="str">
            <v>Community School</v>
          </cell>
          <cell r="F16082" t="str">
            <v>Primary</v>
          </cell>
        </row>
        <row r="16083">
          <cell r="A16083">
            <v>8732063</v>
          </cell>
          <cell r="B16083">
            <v>110629</v>
          </cell>
          <cell r="C16083" t="str">
            <v>King Edward Junior School</v>
          </cell>
          <cell r="D16083" t="str">
            <v>Cambridgeshire</v>
          </cell>
          <cell r="E16083" t="str">
            <v>Community School</v>
          </cell>
          <cell r="F16083" t="str">
            <v>Primary</v>
          </cell>
        </row>
        <row r="16084">
          <cell r="A16084">
            <v>8921009</v>
          </cell>
          <cell r="B16084">
            <v>122394</v>
          </cell>
          <cell r="C16084" t="str">
            <v>King Edward Park Nursery School</v>
          </cell>
          <cell r="D16084" t="str">
            <v>Nottingham</v>
          </cell>
          <cell r="E16084" t="str">
            <v>LA Nursery School</v>
          </cell>
          <cell r="F16084" t="str">
            <v>Nursery</v>
          </cell>
        </row>
        <row r="16085">
          <cell r="A16085">
            <v>3922013</v>
          </cell>
          <cell r="B16085">
            <v>108573</v>
          </cell>
          <cell r="C16085" t="str">
            <v>King Edward Primary School</v>
          </cell>
          <cell r="D16085" t="str">
            <v>North Tyneside</v>
          </cell>
          <cell r="E16085" t="str">
            <v>Community School</v>
          </cell>
          <cell r="F16085" t="str">
            <v>Primary</v>
          </cell>
        </row>
        <row r="16086">
          <cell r="A16086">
            <v>8913779</v>
          </cell>
          <cell r="B16086">
            <v>133274</v>
          </cell>
          <cell r="C16086" t="str">
            <v>King Edward Primary School</v>
          </cell>
          <cell r="D16086" t="str">
            <v>Nottinghamshire</v>
          </cell>
          <cell r="E16086" t="str">
            <v>Community School</v>
          </cell>
          <cell r="F16086" t="str">
            <v>Primary</v>
          </cell>
        </row>
        <row r="16087">
          <cell r="A16087">
            <v>3305408</v>
          </cell>
          <cell r="B16087">
            <v>103555</v>
          </cell>
          <cell r="C16087" t="str">
            <v>King Edward VI Aston School</v>
          </cell>
          <cell r="D16087" t="str">
            <v>Birmingham</v>
          </cell>
          <cell r="E16087" t="str">
            <v>Voluntary Aided School</v>
          </cell>
          <cell r="F16087" t="str">
            <v>Secondary</v>
          </cell>
        </row>
        <row r="16088">
          <cell r="A16088">
            <v>3305408</v>
          </cell>
          <cell r="B16088">
            <v>137043</v>
          </cell>
          <cell r="C16088" t="str">
            <v>King Edward VI Aston School</v>
          </cell>
          <cell r="D16088" t="str">
            <v>Birmingham</v>
          </cell>
          <cell r="E16088" t="str">
            <v>Academy Converters</v>
          </cell>
          <cell r="F16088" t="str">
            <v>Secondary</v>
          </cell>
        </row>
        <row r="16089">
          <cell r="A16089">
            <v>3305407</v>
          </cell>
          <cell r="B16089">
            <v>103554</v>
          </cell>
          <cell r="C16089" t="str">
            <v>King Edward VI Camp Hill School for Boys</v>
          </cell>
          <cell r="D16089" t="str">
            <v>Birmingham</v>
          </cell>
          <cell r="E16089" t="str">
            <v>Voluntary Aided School</v>
          </cell>
          <cell r="F16089" t="str">
            <v>Secondary</v>
          </cell>
        </row>
        <row r="16090">
          <cell r="A16090">
            <v>3305407</v>
          </cell>
          <cell r="B16090">
            <v>137045</v>
          </cell>
          <cell r="C16090" t="str">
            <v>King Edward VI Camp Hill School for Boys</v>
          </cell>
          <cell r="D16090" t="str">
            <v>Birmingham</v>
          </cell>
          <cell r="E16090" t="str">
            <v>Academy Converters</v>
          </cell>
          <cell r="F16090" t="str">
            <v>Secondary</v>
          </cell>
        </row>
        <row r="16091">
          <cell r="A16091">
            <v>3305406</v>
          </cell>
          <cell r="B16091">
            <v>103553</v>
          </cell>
          <cell r="C16091" t="str">
            <v>King Edward VI Camp Hill School for Girls</v>
          </cell>
          <cell r="D16091" t="str">
            <v>Birmingham</v>
          </cell>
          <cell r="E16091" t="str">
            <v>Voluntary Aided School</v>
          </cell>
          <cell r="F16091" t="str">
            <v>Secondary</v>
          </cell>
        </row>
        <row r="16092">
          <cell r="A16092">
            <v>3305406</v>
          </cell>
          <cell r="B16092">
            <v>137044</v>
          </cell>
          <cell r="C16092" t="str">
            <v>King Edward VI Camp Hill School for Girls</v>
          </cell>
          <cell r="D16092" t="str">
            <v>Birmingham</v>
          </cell>
          <cell r="E16092" t="str">
            <v>Academy Converters</v>
          </cell>
          <cell r="F16092" t="str">
            <v>Secondary</v>
          </cell>
        </row>
        <row r="16093">
          <cell r="A16093">
            <v>9354500</v>
          </cell>
          <cell r="B16093">
            <v>124856</v>
          </cell>
          <cell r="C16093" t="str">
            <v>King Edward VI Church of England Voluntary Controlled Upper School</v>
          </cell>
          <cell r="D16093" t="str">
            <v>Suffolk</v>
          </cell>
          <cell r="E16093" t="str">
            <v>Voluntary Controlled School</v>
          </cell>
          <cell r="F16093" t="str">
            <v>Secondary</v>
          </cell>
        </row>
        <row r="16094">
          <cell r="A16094">
            <v>3324610</v>
          </cell>
          <cell r="B16094">
            <v>127147</v>
          </cell>
          <cell r="C16094" t="str">
            <v>King Edward VI College</v>
          </cell>
          <cell r="D16094" t="str">
            <v>Dudley</v>
          </cell>
          <cell r="E16094" t="str">
            <v>Voluntary Aided School</v>
          </cell>
          <cell r="F16094" t="str">
            <v>Secondary</v>
          </cell>
        </row>
        <row r="16095">
          <cell r="A16095">
            <v>9378600</v>
          </cell>
          <cell r="B16095">
            <v>130840</v>
          </cell>
          <cell r="C16095" t="str">
            <v>King Edward VI College Nuneaton</v>
          </cell>
          <cell r="D16095" t="str">
            <v>Warwickshire</v>
          </cell>
          <cell r="E16095" t="str">
            <v>Further Education</v>
          </cell>
          <cell r="F16095" t="str">
            <v>16 Plus</v>
          </cell>
        </row>
        <row r="16096">
          <cell r="A16096">
            <v>3328600</v>
          </cell>
          <cell r="B16096">
            <v>130478</v>
          </cell>
          <cell r="C16096" t="str">
            <v>King Edward VI College Stourbridge</v>
          </cell>
          <cell r="D16096" t="str">
            <v>Dudley</v>
          </cell>
          <cell r="E16096" t="str">
            <v>Further Education</v>
          </cell>
          <cell r="F16096" t="str">
            <v>16 Plus</v>
          </cell>
        </row>
        <row r="16097">
          <cell r="A16097">
            <v>8784109</v>
          </cell>
          <cell r="B16097">
            <v>113520</v>
          </cell>
          <cell r="C16097" t="str">
            <v>King Edward VI Community College</v>
          </cell>
          <cell r="D16097" t="str">
            <v>Devon</v>
          </cell>
          <cell r="E16097" t="str">
            <v>Community School</v>
          </cell>
          <cell r="F16097" t="str">
            <v>Secondary</v>
          </cell>
        </row>
        <row r="16098">
          <cell r="A16098">
            <v>3305405</v>
          </cell>
          <cell r="B16098">
            <v>103552</v>
          </cell>
          <cell r="C16098" t="str">
            <v>King Edward VI Five Ways School</v>
          </cell>
          <cell r="D16098" t="str">
            <v>Birmingham</v>
          </cell>
          <cell r="E16098" t="str">
            <v>Voluntary Aided School</v>
          </cell>
          <cell r="F16098" t="str">
            <v>Secondary</v>
          </cell>
        </row>
        <row r="16099">
          <cell r="A16099">
            <v>3305405</v>
          </cell>
          <cell r="B16099">
            <v>137046</v>
          </cell>
          <cell r="C16099" t="str">
            <v>King Edward VI Five Ways School</v>
          </cell>
          <cell r="D16099" t="str">
            <v>Birmingham</v>
          </cell>
          <cell r="E16099" t="str">
            <v>Academy Converters</v>
          </cell>
          <cell r="F16099" t="str">
            <v>Secondary</v>
          </cell>
        </row>
        <row r="16100">
          <cell r="A16100">
            <v>9254515</v>
          </cell>
          <cell r="B16100">
            <v>129597</v>
          </cell>
          <cell r="C16100" t="str">
            <v>King Edward VI Grammar School</v>
          </cell>
          <cell r="D16100" t="str">
            <v>Lincolnshire</v>
          </cell>
          <cell r="E16100" t="str">
            <v>Voluntary Controlled School</v>
          </cell>
          <cell r="F16100" t="str">
            <v>Secondary</v>
          </cell>
        </row>
        <row r="16101">
          <cell r="A16101">
            <v>8815411</v>
          </cell>
          <cell r="B16101">
            <v>115327</v>
          </cell>
          <cell r="C16101" t="str">
            <v>King Edward VI Grammar School, Chelmsford</v>
          </cell>
          <cell r="D16101" t="str">
            <v>Essex</v>
          </cell>
          <cell r="E16101" t="str">
            <v>Foundation School</v>
          </cell>
          <cell r="F16101" t="str">
            <v>Secondary</v>
          </cell>
        </row>
        <row r="16102">
          <cell r="A16102">
            <v>8815411</v>
          </cell>
          <cell r="B16102">
            <v>136642</v>
          </cell>
          <cell r="C16102" t="str">
            <v>King Edward VI Grammar School, Chelmsford</v>
          </cell>
          <cell r="D16102" t="str">
            <v>Essex</v>
          </cell>
          <cell r="E16102" t="str">
            <v>Academy Converters</v>
          </cell>
          <cell r="F16102" t="str">
            <v>Secondary</v>
          </cell>
        </row>
        <row r="16103">
          <cell r="A16103">
            <v>3305404</v>
          </cell>
          <cell r="B16103">
            <v>103551</v>
          </cell>
          <cell r="C16103" t="str">
            <v>King Edward VI Handsworth School</v>
          </cell>
          <cell r="D16103" t="str">
            <v>Birmingham</v>
          </cell>
          <cell r="E16103" t="str">
            <v>Voluntary Aided School</v>
          </cell>
          <cell r="F16103" t="str">
            <v>Secondary</v>
          </cell>
        </row>
        <row r="16104">
          <cell r="A16104">
            <v>3305404</v>
          </cell>
          <cell r="B16104">
            <v>137047</v>
          </cell>
          <cell r="C16104" t="str">
            <v>King Edward VI Handsworth School</v>
          </cell>
          <cell r="D16104" t="str">
            <v>Birmingham</v>
          </cell>
          <cell r="E16104" t="str">
            <v>Academy Converters</v>
          </cell>
          <cell r="F16104" t="str">
            <v>Secondary</v>
          </cell>
        </row>
        <row r="16105">
          <cell r="A16105">
            <v>8604181</v>
          </cell>
          <cell r="B16105">
            <v>124445</v>
          </cell>
          <cell r="C16105" t="str">
            <v>King Edward VI High School</v>
          </cell>
          <cell r="D16105" t="str">
            <v>Staffordshire</v>
          </cell>
          <cell r="E16105" t="str">
            <v>Community School</v>
          </cell>
          <cell r="F16105" t="str">
            <v>Secondary</v>
          </cell>
        </row>
        <row r="16106">
          <cell r="A16106">
            <v>9344129</v>
          </cell>
          <cell r="B16106">
            <v>129938</v>
          </cell>
          <cell r="C16106" t="str">
            <v>King Edward VI High School</v>
          </cell>
          <cell r="D16106" t="str">
            <v>Pre LGR (1997) Staffordshire</v>
          </cell>
          <cell r="E16106" t="str">
            <v>Community School</v>
          </cell>
          <cell r="F16106" t="str">
            <v>Secondary</v>
          </cell>
        </row>
        <row r="16107">
          <cell r="A16107">
            <v>3306077</v>
          </cell>
          <cell r="B16107">
            <v>103585</v>
          </cell>
          <cell r="C16107" t="str">
            <v>King Edward VI High School for Girls</v>
          </cell>
          <cell r="D16107" t="str">
            <v>Birmingham</v>
          </cell>
          <cell r="E16107" t="str">
            <v>Other Independent School</v>
          </cell>
          <cell r="F16107" t="str">
            <v>Not applicable</v>
          </cell>
        </row>
        <row r="16108">
          <cell r="A16108">
            <v>9254071</v>
          </cell>
          <cell r="B16108">
            <v>120659</v>
          </cell>
          <cell r="C16108" t="str">
            <v>King Edward VI Humanities College</v>
          </cell>
          <cell r="D16108" t="str">
            <v>Lincolnshire</v>
          </cell>
          <cell r="E16108" t="str">
            <v>Foundation School</v>
          </cell>
          <cell r="F16108" t="str">
            <v>Secondary</v>
          </cell>
        </row>
        <row r="16109">
          <cell r="A16109">
            <v>8526006</v>
          </cell>
          <cell r="B16109">
            <v>116580</v>
          </cell>
          <cell r="C16109" t="str">
            <v>King Edward VI School</v>
          </cell>
          <cell r="D16109" t="str">
            <v>Southampton</v>
          </cell>
          <cell r="E16109" t="str">
            <v>Other Independent School</v>
          </cell>
          <cell r="F16109" t="str">
            <v>Not applicable</v>
          </cell>
        </row>
        <row r="16110">
          <cell r="A16110">
            <v>8604087</v>
          </cell>
          <cell r="B16110">
            <v>124408</v>
          </cell>
          <cell r="C16110" t="str">
            <v>King Edward VI School</v>
          </cell>
          <cell r="D16110" t="str">
            <v>Staffordshire</v>
          </cell>
          <cell r="E16110" t="str">
            <v>Community School</v>
          </cell>
          <cell r="F16110" t="str">
            <v>Secondary</v>
          </cell>
        </row>
        <row r="16111">
          <cell r="A16111">
            <v>9374601</v>
          </cell>
          <cell r="B16111">
            <v>125752</v>
          </cell>
          <cell r="C16111" t="str">
            <v>King Edward VI School</v>
          </cell>
          <cell r="D16111" t="str">
            <v>Warwickshire</v>
          </cell>
          <cell r="E16111" t="str">
            <v>Voluntary Aided School</v>
          </cell>
          <cell r="F16111" t="str">
            <v>Secondary</v>
          </cell>
        </row>
        <row r="16112">
          <cell r="A16112">
            <v>9374601</v>
          </cell>
          <cell r="B16112">
            <v>137302</v>
          </cell>
          <cell r="C16112" t="str">
            <v>King Edward VI School</v>
          </cell>
          <cell r="D16112" t="str">
            <v>Warwickshire</v>
          </cell>
          <cell r="E16112" t="str">
            <v>Academy Converters</v>
          </cell>
          <cell r="F16112" t="str">
            <v>Secondary</v>
          </cell>
        </row>
        <row r="16113">
          <cell r="A16113">
            <v>3306906</v>
          </cell>
          <cell r="B16113">
            <v>136152</v>
          </cell>
          <cell r="C16113" t="str">
            <v>King Edward VI Sheldon Heath Academy</v>
          </cell>
          <cell r="D16113" t="str">
            <v>Birmingham</v>
          </cell>
          <cell r="E16113" t="str">
            <v>Academy Sponsor Led</v>
          </cell>
          <cell r="F16113" t="str">
            <v>Secondary</v>
          </cell>
        </row>
        <row r="16114">
          <cell r="A16114">
            <v>8886014</v>
          </cell>
          <cell r="B16114">
            <v>119836</v>
          </cell>
          <cell r="C16114" t="str">
            <v>King Edward VII and Queen Mary School</v>
          </cell>
          <cell r="D16114" t="str">
            <v>Lancashire</v>
          </cell>
          <cell r="E16114" t="str">
            <v>Other Independent School</v>
          </cell>
          <cell r="F16114" t="str">
            <v>Not applicable</v>
          </cell>
        </row>
        <row r="16115">
          <cell r="A16115">
            <v>3734259</v>
          </cell>
          <cell r="B16115">
            <v>107140</v>
          </cell>
          <cell r="C16115" t="str">
            <v>King Edward VII School</v>
          </cell>
          <cell r="D16115" t="str">
            <v>Sheffield</v>
          </cell>
          <cell r="E16115" t="str">
            <v>Community School</v>
          </cell>
          <cell r="F16115" t="str">
            <v>Secondary</v>
          </cell>
        </row>
        <row r="16116">
          <cell r="A16116">
            <v>9264504</v>
          </cell>
          <cell r="B16116">
            <v>121187</v>
          </cell>
          <cell r="C16116" t="str">
            <v>King Edward VII School</v>
          </cell>
          <cell r="D16116" t="str">
            <v>Norfolk</v>
          </cell>
          <cell r="E16116" t="str">
            <v>Voluntary Controlled School</v>
          </cell>
          <cell r="F16116" t="str">
            <v>Secondary</v>
          </cell>
        </row>
        <row r="16117">
          <cell r="A16117">
            <v>8554005</v>
          </cell>
          <cell r="B16117">
            <v>120238</v>
          </cell>
          <cell r="C16117" t="str">
            <v>King Edward VII School - Specialist Training School and Technology College</v>
          </cell>
          <cell r="D16117" t="str">
            <v>Leicestershire</v>
          </cell>
          <cell r="E16117" t="str">
            <v>Community School</v>
          </cell>
          <cell r="F16117" t="str">
            <v>Secondary</v>
          </cell>
        </row>
        <row r="16118">
          <cell r="A16118">
            <v>8554001</v>
          </cell>
          <cell r="B16118">
            <v>120235</v>
          </cell>
          <cell r="C16118" t="str">
            <v>King Edward VII Science and Sport College</v>
          </cell>
          <cell r="D16118" t="str">
            <v>Leicestershire</v>
          </cell>
          <cell r="E16118" t="str">
            <v>Community School</v>
          </cell>
          <cell r="F16118" t="str">
            <v>Secondary</v>
          </cell>
        </row>
        <row r="16119">
          <cell r="A16119">
            <v>3306076</v>
          </cell>
          <cell r="B16119">
            <v>103584</v>
          </cell>
          <cell r="C16119" t="str">
            <v>King Edward's School</v>
          </cell>
          <cell r="D16119" t="str">
            <v>Birmingham</v>
          </cell>
          <cell r="E16119" t="str">
            <v>Other Independent School</v>
          </cell>
          <cell r="F16119" t="str">
            <v>Not applicable</v>
          </cell>
        </row>
        <row r="16120">
          <cell r="A16120">
            <v>8006010</v>
          </cell>
          <cell r="B16120">
            <v>109374</v>
          </cell>
          <cell r="C16120" t="str">
            <v>King Edward's School</v>
          </cell>
          <cell r="D16120" t="str">
            <v>Bath and North East Somerset</v>
          </cell>
          <cell r="E16120" t="str">
            <v>Other Independent School</v>
          </cell>
          <cell r="F16120" t="str">
            <v>Not applicable</v>
          </cell>
        </row>
        <row r="16121">
          <cell r="A16121">
            <v>9366103</v>
          </cell>
          <cell r="B16121">
            <v>125365</v>
          </cell>
          <cell r="C16121" t="str">
            <v>King Edward's School</v>
          </cell>
          <cell r="D16121" t="str">
            <v>Surrey</v>
          </cell>
          <cell r="E16121" t="str">
            <v>Other Independent School</v>
          </cell>
          <cell r="F16121" t="str">
            <v>Not applicable</v>
          </cell>
        </row>
        <row r="16122">
          <cell r="A16122">
            <v>8912737</v>
          </cell>
          <cell r="B16122">
            <v>122639</v>
          </cell>
          <cell r="C16122" t="str">
            <v>King Edwin Primary and Nursery School</v>
          </cell>
          <cell r="D16122" t="str">
            <v>Nottinghamshire</v>
          </cell>
          <cell r="E16122" t="str">
            <v>Community School</v>
          </cell>
          <cell r="F16122" t="str">
            <v>Primary</v>
          </cell>
        </row>
        <row r="16123">
          <cell r="A16123">
            <v>8087018</v>
          </cell>
          <cell r="B16123">
            <v>111779</v>
          </cell>
          <cell r="C16123" t="str">
            <v>King Edwin School</v>
          </cell>
          <cell r="D16123" t="str">
            <v>Stockton-on-Tees</v>
          </cell>
          <cell r="E16123" t="str">
            <v>Community Special School</v>
          </cell>
          <cell r="F16123" t="str">
            <v>Special</v>
          </cell>
        </row>
        <row r="16124">
          <cell r="A16124">
            <v>8864120</v>
          </cell>
          <cell r="B16124">
            <v>118810</v>
          </cell>
          <cell r="C16124" t="str">
            <v>King Ethelbert School</v>
          </cell>
          <cell r="D16124" t="str">
            <v>Kent</v>
          </cell>
          <cell r="E16124" t="str">
            <v>Foundation School</v>
          </cell>
          <cell r="F16124" t="str">
            <v>Secondary</v>
          </cell>
        </row>
        <row r="16125">
          <cell r="A16125">
            <v>8864120</v>
          </cell>
          <cell r="B16125">
            <v>136584</v>
          </cell>
          <cell r="C16125" t="str">
            <v>King Ethelbert School Academy</v>
          </cell>
          <cell r="D16125" t="str">
            <v>Kent</v>
          </cell>
          <cell r="E16125" t="str">
            <v>Academy Converters</v>
          </cell>
          <cell r="F16125" t="str">
            <v>Secondary</v>
          </cell>
        </row>
        <row r="16126">
          <cell r="A16126">
            <v>3076068</v>
          </cell>
          <cell r="B16126">
            <v>101957</v>
          </cell>
          <cell r="C16126" t="str">
            <v>King Fahad Academy</v>
          </cell>
          <cell r="D16126" t="str">
            <v>Ealing</v>
          </cell>
          <cell r="E16126" t="str">
            <v>Other Independent School</v>
          </cell>
          <cell r="F16126" t="str">
            <v>Not applicable</v>
          </cell>
        </row>
        <row r="16127">
          <cell r="A16127">
            <v>3434111</v>
          </cell>
          <cell r="B16127">
            <v>127374</v>
          </cell>
          <cell r="C16127" t="str">
            <v>King George V College</v>
          </cell>
          <cell r="D16127" t="str">
            <v>Sefton</v>
          </cell>
          <cell r="E16127" t="str">
            <v>Community School</v>
          </cell>
          <cell r="F16127" t="str">
            <v>Secondary</v>
          </cell>
        </row>
        <row r="16128">
          <cell r="A16128">
            <v>3438600</v>
          </cell>
          <cell r="B16128">
            <v>130492</v>
          </cell>
          <cell r="C16128" t="str">
            <v>King George V College</v>
          </cell>
          <cell r="D16128" t="str">
            <v>Sefton</v>
          </cell>
          <cell r="E16128" t="str">
            <v>Further Education</v>
          </cell>
          <cell r="F16128" t="str">
            <v>16 Plus</v>
          </cell>
        </row>
        <row r="16129">
          <cell r="A16129">
            <v>3332182</v>
          </cell>
          <cell r="B16129">
            <v>131223</v>
          </cell>
          <cell r="C16129" t="str">
            <v>King George V Primary School</v>
          </cell>
          <cell r="D16129" t="str">
            <v>Sandwell</v>
          </cell>
          <cell r="E16129" t="str">
            <v>Community School</v>
          </cell>
          <cell r="F16129" t="str">
            <v>Primary</v>
          </cell>
        </row>
        <row r="16130">
          <cell r="A16130">
            <v>3934016</v>
          </cell>
          <cell r="B16130">
            <v>108729</v>
          </cell>
          <cell r="C16130" t="str">
            <v>King George V School</v>
          </cell>
          <cell r="D16130" t="str">
            <v>South Tyneside</v>
          </cell>
          <cell r="E16130" t="str">
            <v>Community School</v>
          </cell>
          <cell r="F16130" t="str">
            <v>Secondary</v>
          </cell>
        </row>
        <row r="16131">
          <cell r="A16131">
            <v>8815415</v>
          </cell>
          <cell r="B16131">
            <v>136342</v>
          </cell>
          <cell r="C16131" t="str">
            <v>King Harold Business &amp; Enterprise Academy</v>
          </cell>
          <cell r="D16131" t="str">
            <v>Essex</v>
          </cell>
          <cell r="E16131" t="str">
            <v>Academy Converters</v>
          </cell>
          <cell r="F16131" t="str">
            <v>Secondary</v>
          </cell>
        </row>
        <row r="16132">
          <cell r="A16132">
            <v>8815415</v>
          </cell>
          <cell r="B16132">
            <v>115331</v>
          </cell>
          <cell r="C16132" t="str">
            <v>King Harold School</v>
          </cell>
          <cell r="D16132" t="str">
            <v>Essex</v>
          </cell>
          <cell r="E16132" t="str">
            <v>Foundation School</v>
          </cell>
          <cell r="F16132" t="str">
            <v>Secondary</v>
          </cell>
        </row>
        <row r="16133">
          <cell r="A16133">
            <v>6794064</v>
          </cell>
          <cell r="B16133">
            <v>401861</v>
          </cell>
          <cell r="C16133" t="str">
            <v>King Henry VIII Comprehensive School</v>
          </cell>
          <cell r="D16133" t="str">
            <v>Monmouthshire</v>
          </cell>
          <cell r="E16133" t="str">
            <v>Welsh Establishment</v>
          </cell>
          <cell r="F16133" t="str">
            <v>Secondary</v>
          </cell>
        </row>
        <row r="16134">
          <cell r="A16134">
            <v>3316016</v>
          </cell>
          <cell r="B16134">
            <v>103750</v>
          </cell>
          <cell r="C16134" t="str">
            <v>King Henry VIII School</v>
          </cell>
          <cell r="D16134" t="str">
            <v>Coventry</v>
          </cell>
          <cell r="E16134" t="str">
            <v>Other Independent School</v>
          </cell>
          <cell r="F16134" t="str">
            <v>Not applicable</v>
          </cell>
        </row>
        <row r="16135">
          <cell r="A16135">
            <v>8404178</v>
          </cell>
          <cell r="B16135">
            <v>136770</v>
          </cell>
          <cell r="C16135" t="str">
            <v>King James I Academy Bishop Auckland</v>
          </cell>
          <cell r="D16135" t="str">
            <v>Durham</v>
          </cell>
          <cell r="E16135" t="str">
            <v>Academy Converters</v>
          </cell>
          <cell r="F16135" t="str">
            <v>Secondary</v>
          </cell>
        </row>
        <row r="16136">
          <cell r="A16136">
            <v>8404178</v>
          </cell>
          <cell r="B16136">
            <v>114306</v>
          </cell>
          <cell r="C16136" t="str">
            <v>King James I Community Arts College</v>
          </cell>
          <cell r="D16136" t="str">
            <v>Durham</v>
          </cell>
          <cell r="E16136" t="str">
            <v>Community School</v>
          </cell>
          <cell r="F16136" t="str">
            <v>Secondary</v>
          </cell>
        </row>
        <row r="16137">
          <cell r="A16137">
            <v>9314090</v>
          </cell>
          <cell r="B16137">
            <v>129767</v>
          </cell>
          <cell r="C16137" t="str">
            <v>King James's College of Henley</v>
          </cell>
          <cell r="D16137" t="str">
            <v>Oxfordshire</v>
          </cell>
          <cell r="E16137" t="str">
            <v>Community School</v>
          </cell>
          <cell r="F16137" t="str">
            <v>Secondary</v>
          </cell>
        </row>
        <row r="16138">
          <cell r="A16138">
            <v>3824000</v>
          </cell>
          <cell r="B16138">
            <v>107754</v>
          </cell>
          <cell r="C16138" t="str">
            <v>King James's School</v>
          </cell>
          <cell r="D16138" t="str">
            <v>Kirklees</v>
          </cell>
          <cell r="E16138" t="str">
            <v>Community School</v>
          </cell>
          <cell r="F16138" t="str">
            <v>Secondary</v>
          </cell>
        </row>
        <row r="16139">
          <cell r="A16139">
            <v>8154202</v>
          </cell>
          <cell r="B16139">
            <v>121687</v>
          </cell>
          <cell r="C16139" t="str">
            <v>King James's School</v>
          </cell>
          <cell r="D16139" t="str">
            <v>North Yorkshire</v>
          </cell>
          <cell r="E16139" t="str">
            <v>Community School</v>
          </cell>
          <cell r="F16139" t="str">
            <v>Secondary</v>
          </cell>
        </row>
        <row r="16140">
          <cell r="A16140">
            <v>3526037</v>
          </cell>
          <cell r="B16140">
            <v>105596</v>
          </cell>
          <cell r="C16140" t="str">
            <v>King of Kings School</v>
          </cell>
          <cell r="D16140" t="str">
            <v>Manchester</v>
          </cell>
          <cell r="E16140" t="str">
            <v>Other Independent School</v>
          </cell>
          <cell r="F16140" t="str">
            <v>Not applicable</v>
          </cell>
        </row>
        <row r="16141">
          <cell r="A16141">
            <v>8452051</v>
          </cell>
          <cell r="B16141">
            <v>114386</v>
          </cell>
          <cell r="C16141" t="str">
            <v>King Offa Junior School</v>
          </cell>
          <cell r="D16141" t="str">
            <v>East Sussex</v>
          </cell>
          <cell r="E16141" t="str">
            <v>Community School</v>
          </cell>
          <cell r="F16141" t="str">
            <v>Primary</v>
          </cell>
        </row>
        <row r="16142">
          <cell r="A16142">
            <v>8452168</v>
          </cell>
          <cell r="B16142">
            <v>131373</v>
          </cell>
          <cell r="C16142" t="str">
            <v>King Offa Primary School</v>
          </cell>
          <cell r="D16142" t="str">
            <v>East Sussex</v>
          </cell>
          <cell r="E16142" t="str">
            <v>Community School</v>
          </cell>
          <cell r="F16142" t="str">
            <v>Primary</v>
          </cell>
        </row>
        <row r="16143">
          <cell r="A16143">
            <v>9244208</v>
          </cell>
          <cell r="B16143">
            <v>129541</v>
          </cell>
          <cell r="C16143" t="str">
            <v>King Richard III School</v>
          </cell>
          <cell r="D16143" t="str">
            <v>Pre LGR (1997) Leicestershire</v>
          </cell>
          <cell r="E16143" t="str">
            <v>Community School</v>
          </cell>
          <cell r="F16143" t="str">
            <v>Secondary</v>
          </cell>
        </row>
        <row r="16144">
          <cell r="A16144">
            <v>8562241</v>
          </cell>
          <cell r="B16144">
            <v>120017</v>
          </cell>
          <cell r="C16144" t="str">
            <v>King Richard Infant and Nursery School</v>
          </cell>
          <cell r="D16144" t="str">
            <v>Leicester</v>
          </cell>
          <cell r="E16144" t="str">
            <v>Community School</v>
          </cell>
          <cell r="F16144" t="str">
            <v>Primary</v>
          </cell>
        </row>
        <row r="16145">
          <cell r="A16145">
            <v>8514302</v>
          </cell>
          <cell r="B16145">
            <v>116462</v>
          </cell>
          <cell r="C16145" t="str">
            <v>King Richard School</v>
          </cell>
          <cell r="D16145" t="str">
            <v>Portsmouth</v>
          </cell>
          <cell r="E16145" t="str">
            <v>Foundation School</v>
          </cell>
          <cell r="F16145" t="str">
            <v>Secondary</v>
          </cell>
        </row>
        <row r="16146">
          <cell r="A16146">
            <v>7024007</v>
          </cell>
          <cell r="B16146">
            <v>132420</v>
          </cell>
          <cell r="C16146" t="str">
            <v>King Richard School</v>
          </cell>
          <cell r="D16146" t="str">
            <v>BFPO Overseas Establishments</v>
          </cell>
          <cell r="E16146" t="str">
            <v>Service Childrens Education</v>
          </cell>
          <cell r="F16146" t="str">
            <v>Not applicable</v>
          </cell>
        </row>
        <row r="16147">
          <cell r="A16147">
            <v>2136907</v>
          </cell>
          <cell r="B16147">
            <v>135242</v>
          </cell>
          <cell r="C16147" t="str">
            <v>King Solomon Academy</v>
          </cell>
          <cell r="D16147" t="str">
            <v>Westminster</v>
          </cell>
          <cell r="E16147" t="str">
            <v>Academy Sponsor Led</v>
          </cell>
          <cell r="F16147" t="str">
            <v>Not applicable</v>
          </cell>
        </row>
        <row r="16148">
          <cell r="A16148">
            <v>3174604</v>
          </cell>
          <cell r="B16148">
            <v>102861</v>
          </cell>
          <cell r="C16148" t="str">
            <v>King Solomon High School</v>
          </cell>
          <cell r="D16148" t="str">
            <v>Redbridge</v>
          </cell>
          <cell r="E16148" t="str">
            <v>Voluntary Aided School</v>
          </cell>
          <cell r="F16148" t="str">
            <v>Secondary</v>
          </cell>
        </row>
        <row r="16149">
          <cell r="A16149">
            <v>8941103</v>
          </cell>
          <cell r="B16149">
            <v>134059</v>
          </cell>
          <cell r="C16149" t="str">
            <v>King Street (KS4) PRU</v>
          </cell>
          <cell r="D16149" t="str">
            <v>Telford and Wrekin</v>
          </cell>
          <cell r="E16149" t="str">
            <v>Pupil Referral Unit</v>
          </cell>
          <cell r="F16149" t="str">
            <v>PRU</v>
          </cell>
        </row>
        <row r="16150">
          <cell r="A16150">
            <v>9132359</v>
          </cell>
          <cell r="B16150">
            <v>114073</v>
          </cell>
          <cell r="C16150" t="str">
            <v>King Street Infants' School</v>
          </cell>
          <cell r="D16150" t="str">
            <v>Pre LGR (1997) Durham</v>
          </cell>
          <cell r="E16150" t="str">
            <v>Community School</v>
          </cell>
          <cell r="F16150" t="str">
            <v>Primary</v>
          </cell>
        </row>
        <row r="16151">
          <cell r="A16151">
            <v>9132358</v>
          </cell>
          <cell r="B16151">
            <v>114072</v>
          </cell>
          <cell r="C16151" t="str">
            <v>King Street Junior School</v>
          </cell>
          <cell r="D16151" t="str">
            <v>Pre LGR (1997) Durham</v>
          </cell>
          <cell r="E16151" t="str">
            <v>Community School</v>
          </cell>
          <cell r="F16151" t="str">
            <v>Primary</v>
          </cell>
        </row>
        <row r="16152">
          <cell r="A16152">
            <v>8402750</v>
          </cell>
          <cell r="B16152">
            <v>130946</v>
          </cell>
          <cell r="C16152" t="str">
            <v>King Street Primary School</v>
          </cell>
          <cell r="D16152" t="str">
            <v>Durham</v>
          </cell>
          <cell r="E16152" t="str">
            <v>Community School</v>
          </cell>
          <cell r="F16152" t="str">
            <v>Primary</v>
          </cell>
        </row>
        <row r="16153">
          <cell r="A16153">
            <v>8663175</v>
          </cell>
          <cell r="B16153">
            <v>126363</v>
          </cell>
          <cell r="C16153" t="str">
            <v>King William Street Church of England Primary School</v>
          </cell>
          <cell r="D16153" t="str">
            <v>Swindon</v>
          </cell>
          <cell r="E16153" t="str">
            <v>Voluntary Controlled School</v>
          </cell>
          <cell r="F16153" t="str">
            <v>Primary</v>
          </cell>
        </row>
        <row r="16154">
          <cell r="A16154">
            <v>9362933</v>
          </cell>
          <cell r="B16154">
            <v>125112</v>
          </cell>
          <cell r="C16154" t="str">
            <v>Kingfield School</v>
          </cell>
          <cell r="D16154" t="str">
            <v>Surrey</v>
          </cell>
          <cell r="E16154" t="str">
            <v>Community School</v>
          </cell>
          <cell r="F16154" t="str">
            <v>Primary</v>
          </cell>
        </row>
        <row r="16155">
          <cell r="A16155">
            <v>8872652</v>
          </cell>
          <cell r="B16155">
            <v>118567</v>
          </cell>
          <cell r="C16155" t="str">
            <v>Kingfisher Community Primary School</v>
          </cell>
          <cell r="D16155" t="str">
            <v>Medway</v>
          </cell>
          <cell r="E16155" t="str">
            <v>Community School</v>
          </cell>
          <cell r="F16155" t="str">
            <v>Primary</v>
          </cell>
        </row>
        <row r="16156">
          <cell r="A16156">
            <v>3712164</v>
          </cell>
          <cell r="B16156">
            <v>106727</v>
          </cell>
          <cell r="C16156" t="str">
            <v>Kingfisher Primary School</v>
          </cell>
          <cell r="D16156" t="str">
            <v>Doncaster</v>
          </cell>
          <cell r="E16156" t="str">
            <v>Community School</v>
          </cell>
          <cell r="F16156" t="str">
            <v>Primary</v>
          </cell>
        </row>
        <row r="16157">
          <cell r="A16157">
            <v>3342097</v>
          </cell>
          <cell r="B16157">
            <v>131502</v>
          </cell>
          <cell r="C16157" t="str">
            <v>Kingfisher Primary School</v>
          </cell>
          <cell r="D16157" t="str">
            <v>Solihull</v>
          </cell>
          <cell r="E16157" t="str">
            <v>Community School</v>
          </cell>
          <cell r="F16157" t="str">
            <v>Primary</v>
          </cell>
        </row>
        <row r="16158">
          <cell r="A16158">
            <v>9317032</v>
          </cell>
          <cell r="B16158">
            <v>130368</v>
          </cell>
          <cell r="C16158" t="str">
            <v>Kingfisher School</v>
          </cell>
          <cell r="D16158" t="str">
            <v>Oxfordshire</v>
          </cell>
          <cell r="E16158" t="str">
            <v>Community Special School</v>
          </cell>
          <cell r="F16158" t="str">
            <v>Special</v>
          </cell>
        </row>
        <row r="16159">
          <cell r="A16159">
            <v>9316004</v>
          </cell>
          <cell r="B16159">
            <v>123277</v>
          </cell>
          <cell r="C16159" t="str">
            <v>Kingham Hill School</v>
          </cell>
          <cell r="D16159" t="str">
            <v>Oxfordshire</v>
          </cell>
          <cell r="E16159" t="str">
            <v>Other Independent School</v>
          </cell>
          <cell r="F16159" t="str">
            <v>Not applicable</v>
          </cell>
        </row>
        <row r="16160">
          <cell r="A16160">
            <v>9312106</v>
          </cell>
          <cell r="B16160">
            <v>123003</v>
          </cell>
          <cell r="C16160" t="str">
            <v>Kingham Primary School</v>
          </cell>
          <cell r="D16160" t="str">
            <v>Oxfordshire</v>
          </cell>
          <cell r="E16160" t="str">
            <v>Community School</v>
          </cell>
          <cell r="F16160" t="str">
            <v>Primary</v>
          </cell>
        </row>
        <row r="16161">
          <cell r="A16161">
            <v>9092625</v>
          </cell>
          <cell r="B16161">
            <v>112230</v>
          </cell>
          <cell r="C16161" t="str">
            <v>Kingmoor Infant School</v>
          </cell>
          <cell r="D16161" t="str">
            <v>Cumbria</v>
          </cell>
          <cell r="E16161" t="str">
            <v>Community School</v>
          </cell>
          <cell r="F16161" t="str">
            <v>Primary</v>
          </cell>
        </row>
        <row r="16162">
          <cell r="A16162">
            <v>9092623</v>
          </cell>
          <cell r="B16162">
            <v>112229</v>
          </cell>
          <cell r="C16162" t="str">
            <v>Kingmoor Junior School</v>
          </cell>
          <cell r="D16162" t="str">
            <v>Cumbria</v>
          </cell>
          <cell r="E16162" t="str">
            <v>Community School</v>
          </cell>
          <cell r="F16162" t="str">
            <v>Primary</v>
          </cell>
        </row>
        <row r="16163">
          <cell r="A16163">
            <v>2082814</v>
          </cell>
          <cell r="B16163">
            <v>100599</v>
          </cell>
          <cell r="C16163" t="str">
            <v>King's Acre Primary School</v>
          </cell>
          <cell r="D16163" t="str">
            <v>Lambeth</v>
          </cell>
          <cell r="E16163" t="str">
            <v>Community School</v>
          </cell>
          <cell r="F16163" t="str">
            <v>Primary</v>
          </cell>
        </row>
        <row r="16164">
          <cell r="A16164">
            <v>8803752</v>
          </cell>
          <cell r="B16164">
            <v>131646</v>
          </cell>
          <cell r="C16164" t="str">
            <v>Kings Ash Primary School</v>
          </cell>
          <cell r="D16164" t="str">
            <v>Torbay</v>
          </cell>
          <cell r="E16164" t="str">
            <v>Community School</v>
          </cell>
          <cell r="F16164" t="str">
            <v>Primary</v>
          </cell>
        </row>
        <row r="16165">
          <cell r="A16165">
            <v>2082903</v>
          </cell>
          <cell r="B16165">
            <v>133315</v>
          </cell>
          <cell r="C16165" t="str">
            <v>Kings Avenue School</v>
          </cell>
          <cell r="D16165" t="str">
            <v>Lambeth</v>
          </cell>
          <cell r="E16165" t="str">
            <v>Community School</v>
          </cell>
          <cell r="F16165" t="str">
            <v>Primary</v>
          </cell>
        </row>
        <row r="16166">
          <cell r="A16166">
            <v>9336004</v>
          </cell>
          <cell r="B16166">
            <v>123905</v>
          </cell>
          <cell r="C16166" t="str">
            <v>King's Bruton</v>
          </cell>
          <cell r="D16166" t="str">
            <v>Somerset</v>
          </cell>
          <cell r="E16166" t="str">
            <v>Other Independent School</v>
          </cell>
          <cell r="F16166" t="str">
            <v>Not applicable</v>
          </cell>
        </row>
        <row r="16167">
          <cell r="A16167">
            <v>9336132</v>
          </cell>
          <cell r="B16167">
            <v>123922</v>
          </cell>
          <cell r="C16167" t="str">
            <v>King's Bruton Pre-Preparatory School</v>
          </cell>
          <cell r="D16167" t="str">
            <v>Somerset</v>
          </cell>
          <cell r="E16167" t="str">
            <v>Other Independent School</v>
          </cell>
          <cell r="F16167" t="str">
            <v>Not applicable</v>
          </cell>
        </row>
        <row r="16168">
          <cell r="A16168">
            <v>8842094</v>
          </cell>
          <cell r="B16168">
            <v>116699</v>
          </cell>
          <cell r="C16168" t="str">
            <v>King's Caple Primary School</v>
          </cell>
          <cell r="D16168" t="str">
            <v>Herefordshire</v>
          </cell>
          <cell r="E16168" t="str">
            <v>Community School</v>
          </cell>
          <cell r="F16168" t="str">
            <v>Primary</v>
          </cell>
        </row>
        <row r="16169">
          <cell r="A16169">
            <v>8842094</v>
          </cell>
          <cell r="B16169">
            <v>136759</v>
          </cell>
          <cell r="C16169" t="str">
            <v>King's Caple Primary School</v>
          </cell>
          <cell r="D16169" t="str">
            <v>Herefordshire</v>
          </cell>
          <cell r="E16169" t="str">
            <v>Academy Converters</v>
          </cell>
          <cell r="F16169" t="str">
            <v>Primary</v>
          </cell>
        </row>
        <row r="16170">
          <cell r="A16170">
            <v>9283201</v>
          </cell>
          <cell r="B16170">
            <v>122012</v>
          </cell>
          <cell r="C16170" t="str">
            <v>Kings Cliffe Endowed Primary School</v>
          </cell>
          <cell r="D16170" t="str">
            <v>Northamptonshire</v>
          </cell>
          <cell r="E16170" t="str">
            <v>Voluntary Controlled School</v>
          </cell>
          <cell r="F16170" t="str">
            <v>Primary</v>
          </cell>
        </row>
        <row r="16171">
          <cell r="A16171">
            <v>9284039</v>
          </cell>
          <cell r="B16171">
            <v>129697</v>
          </cell>
          <cell r="C16171" t="str">
            <v>King's Cliffe Middle School</v>
          </cell>
          <cell r="D16171" t="str">
            <v>Northamptonshire</v>
          </cell>
          <cell r="E16171" t="str">
            <v>Community School</v>
          </cell>
          <cell r="F16171" t="str">
            <v>Middle Deemed Secondary</v>
          </cell>
        </row>
        <row r="16172">
          <cell r="A16172">
            <v>9336023</v>
          </cell>
          <cell r="B16172">
            <v>123912</v>
          </cell>
          <cell r="C16172" t="str">
            <v>King's College</v>
          </cell>
          <cell r="D16172" t="str">
            <v>Somerset</v>
          </cell>
          <cell r="E16172" t="str">
            <v>Other Independent School</v>
          </cell>
          <cell r="F16172" t="str">
            <v>Not applicable</v>
          </cell>
        </row>
        <row r="16173">
          <cell r="A16173">
            <v>9364509</v>
          </cell>
          <cell r="B16173">
            <v>131966</v>
          </cell>
          <cell r="C16173" t="str">
            <v>Kings College for the Arts and Technology</v>
          </cell>
          <cell r="D16173" t="str">
            <v>Surrey</v>
          </cell>
          <cell r="E16173" t="str">
            <v>Foundation School</v>
          </cell>
          <cell r="F16173" t="str">
            <v>Secondary</v>
          </cell>
        </row>
        <row r="16174">
          <cell r="A16174">
            <v>208</v>
          </cell>
          <cell r="B16174">
            <v>133874</v>
          </cell>
          <cell r="C16174" t="str">
            <v>King's College London</v>
          </cell>
          <cell r="D16174" t="str">
            <v>Lambeth</v>
          </cell>
          <cell r="E16174" t="str">
            <v>Higher Education Institutions</v>
          </cell>
          <cell r="F16174" t="str">
            <v>Not applicable</v>
          </cell>
        </row>
        <row r="16175">
          <cell r="A16175">
            <v>3156000</v>
          </cell>
          <cell r="B16175">
            <v>102684</v>
          </cell>
          <cell r="C16175" t="str">
            <v>King's College School</v>
          </cell>
          <cell r="D16175" t="str">
            <v>Merton</v>
          </cell>
          <cell r="E16175" t="str">
            <v>Other Independent School</v>
          </cell>
          <cell r="F16175" t="str">
            <v>Not applicable</v>
          </cell>
        </row>
        <row r="16176">
          <cell r="A16176">
            <v>8736000</v>
          </cell>
          <cell r="B16176">
            <v>110911</v>
          </cell>
          <cell r="C16176" t="str">
            <v>King's College School</v>
          </cell>
          <cell r="D16176" t="str">
            <v>Cambridgeshire</v>
          </cell>
          <cell r="E16176" t="str">
            <v>Other Independent School</v>
          </cell>
          <cell r="F16176" t="str">
            <v>Not applicable</v>
          </cell>
        </row>
        <row r="16177">
          <cell r="A16177">
            <v>8502347</v>
          </cell>
          <cell r="B16177">
            <v>116060</v>
          </cell>
          <cell r="C16177" t="str">
            <v>Kings Copse Primary School</v>
          </cell>
          <cell r="D16177" t="str">
            <v>Hampshire</v>
          </cell>
          <cell r="E16177" t="str">
            <v>Community School</v>
          </cell>
          <cell r="F16177" t="str">
            <v>Primary</v>
          </cell>
        </row>
        <row r="16178">
          <cell r="A16178">
            <v>8682085</v>
          </cell>
          <cell r="B16178">
            <v>109827</v>
          </cell>
          <cell r="C16178" t="str">
            <v>King's Court First School</v>
          </cell>
          <cell r="D16178" t="str">
            <v>Windsor and Maidenhead</v>
          </cell>
          <cell r="E16178" t="str">
            <v>Community School</v>
          </cell>
          <cell r="F16178" t="str">
            <v>Primary</v>
          </cell>
        </row>
        <row r="16179">
          <cell r="A16179">
            <v>9222420</v>
          </cell>
          <cell r="B16179">
            <v>129377</v>
          </cell>
          <cell r="C16179" t="str">
            <v>Kings Farm County Primary School (Infants' Department)</v>
          </cell>
          <cell r="D16179" t="str">
            <v>Pre LGR (1998) Kent</v>
          </cell>
          <cell r="E16179" t="str">
            <v>Community School</v>
          </cell>
          <cell r="F16179" t="str">
            <v>Primary</v>
          </cell>
        </row>
        <row r="16180">
          <cell r="A16180">
            <v>9222445</v>
          </cell>
          <cell r="B16180">
            <v>129381</v>
          </cell>
          <cell r="C16180" t="str">
            <v>King's Farm Junior School</v>
          </cell>
          <cell r="D16180" t="str">
            <v>Pre LGR (1998) Kent</v>
          </cell>
          <cell r="E16180" t="str">
            <v>Community School</v>
          </cell>
          <cell r="F16180" t="str">
            <v>Primary</v>
          </cell>
        </row>
        <row r="16181">
          <cell r="A16181">
            <v>8862674</v>
          </cell>
          <cell r="B16181">
            <v>118585</v>
          </cell>
          <cell r="C16181" t="str">
            <v>Kings Farm Primary School</v>
          </cell>
          <cell r="D16181" t="str">
            <v>Kent</v>
          </cell>
          <cell r="E16181" t="str">
            <v>Community School</v>
          </cell>
          <cell r="F16181" t="str">
            <v>Primary</v>
          </cell>
        </row>
        <row r="16182">
          <cell r="A16182">
            <v>8812017</v>
          </cell>
          <cell r="B16182">
            <v>114717</v>
          </cell>
          <cell r="C16182" t="str">
            <v>King's Ford Infant School and Nursery</v>
          </cell>
          <cell r="D16182" t="str">
            <v>Essex</v>
          </cell>
          <cell r="E16182" t="str">
            <v>Community School</v>
          </cell>
          <cell r="F16182" t="str">
            <v>Primary</v>
          </cell>
        </row>
        <row r="16183">
          <cell r="A16183">
            <v>8812016</v>
          </cell>
          <cell r="B16183">
            <v>114716</v>
          </cell>
          <cell r="C16183" t="str">
            <v>King's Ford Junior School</v>
          </cell>
          <cell r="D16183" t="str">
            <v>Essex</v>
          </cell>
          <cell r="E16183" t="str">
            <v>Community School</v>
          </cell>
          <cell r="F16183" t="str">
            <v>Primary</v>
          </cell>
        </row>
        <row r="16184">
          <cell r="A16184">
            <v>8033440</v>
          </cell>
          <cell r="B16184">
            <v>131507</v>
          </cell>
          <cell r="C16184" t="str">
            <v>Kings' Forest Primary School</v>
          </cell>
          <cell r="D16184" t="str">
            <v>South Gloucestershire</v>
          </cell>
          <cell r="E16184" t="str">
            <v>Community School</v>
          </cell>
          <cell r="F16184" t="str">
            <v>Primary</v>
          </cell>
        </row>
        <row r="16185">
          <cell r="A16185">
            <v>8502725</v>
          </cell>
          <cell r="B16185">
            <v>116230</v>
          </cell>
          <cell r="C16185" t="str">
            <v>King's Furlong Infant School and Nursery</v>
          </cell>
          <cell r="D16185" t="str">
            <v>Hampshire</v>
          </cell>
          <cell r="E16185" t="str">
            <v>Community School</v>
          </cell>
          <cell r="F16185" t="str">
            <v>Primary</v>
          </cell>
        </row>
        <row r="16186">
          <cell r="A16186">
            <v>8502726</v>
          </cell>
          <cell r="B16186">
            <v>116231</v>
          </cell>
          <cell r="C16186" t="str">
            <v>Kings Furlong Junior School</v>
          </cell>
          <cell r="D16186" t="str">
            <v>Hampshire</v>
          </cell>
          <cell r="E16186" t="str">
            <v>Community School</v>
          </cell>
          <cell r="F16186" t="str">
            <v>Primary</v>
          </cell>
        </row>
        <row r="16187">
          <cell r="A16187">
            <v>8954223</v>
          </cell>
          <cell r="B16187">
            <v>111442</v>
          </cell>
          <cell r="C16187" t="str">
            <v>Kings Grove School</v>
          </cell>
          <cell r="D16187" t="str">
            <v>Cheshire East</v>
          </cell>
          <cell r="E16187" t="str">
            <v>Community School</v>
          </cell>
          <cell r="F16187" t="str">
            <v>Secondary</v>
          </cell>
        </row>
        <row r="16188">
          <cell r="A16188">
            <v>9336187</v>
          </cell>
          <cell r="B16188">
            <v>123934</v>
          </cell>
          <cell r="C16188" t="str">
            <v>King's Hall School</v>
          </cell>
          <cell r="D16188" t="str">
            <v>Somerset</v>
          </cell>
          <cell r="E16188" t="str">
            <v>Other Independent School</v>
          </cell>
          <cell r="F16188" t="str">
            <v>Not applicable</v>
          </cell>
        </row>
        <row r="16189">
          <cell r="A16189">
            <v>8856022</v>
          </cell>
          <cell r="B16189">
            <v>117031</v>
          </cell>
          <cell r="C16189" t="str">
            <v>King's Hawford Lodge School</v>
          </cell>
          <cell r="D16189" t="str">
            <v>Worcestershire</v>
          </cell>
          <cell r="E16189" t="str">
            <v>Other Independent School</v>
          </cell>
          <cell r="F16189" t="str">
            <v>Not applicable</v>
          </cell>
        </row>
        <row r="16190">
          <cell r="A16190">
            <v>8856035</v>
          </cell>
          <cell r="B16190">
            <v>135114</v>
          </cell>
          <cell r="C16190" t="str">
            <v>King's Hawford School</v>
          </cell>
          <cell r="D16190" t="str">
            <v>Worcestershire</v>
          </cell>
          <cell r="E16190" t="str">
            <v>Other Independent School</v>
          </cell>
          <cell r="F16190" t="str">
            <v>Not applicable</v>
          </cell>
        </row>
        <row r="16191">
          <cell r="A16191">
            <v>3304063</v>
          </cell>
          <cell r="B16191">
            <v>103486</v>
          </cell>
          <cell r="C16191" t="str">
            <v>Kings Heath Boys Mathematics and Computing College</v>
          </cell>
          <cell r="D16191" t="str">
            <v>Birmingham</v>
          </cell>
          <cell r="E16191" t="str">
            <v>Community School</v>
          </cell>
          <cell r="F16191" t="str">
            <v>Secondary</v>
          </cell>
        </row>
        <row r="16192">
          <cell r="A16192">
            <v>3302114</v>
          </cell>
          <cell r="B16192">
            <v>103220</v>
          </cell>
          <cell r="C16192" t="str">
            <v>Kings Heath Infant and Nursery School</v>
          </cell>
          <cell r="D16192" t="str">
            <v>Birmingham</v>
          </cell>
          <cell r="E16192" t="str">
            <v>Community School</v>
          </cell>
          <cell r="F16192" t="str">
            <v>Primary</v>
          </cell>
        </row>
        <row r="16193">
          <cell r="A16193">
            <v>3302113</v>
          </cell>
          <cell r="B16193">
            <v>103219</v>
          </cell>
          <cell r="C16193" t="str">
            <v>Kings Heath Junior School</v>
          </cell>
          <cell r="D16193" t="str">
            <v>Birmingham</v>
          </cell>
          <cell r="E16193" t="str">
            <v>Community School</v>
          </cell>
          <cell r="F16193" t="str">
            <v>Primary</v>
          </cell>
        </row>
        <row r="16194">
          <cell r="A16194">
            <v>9282165</v>
          </cell>
          <cell r="B16194">
            <v>121914</v>
          </cell>
          <cell r="C16194" t="str">
            <v>Kings Heath Primary School</v>
          </cell>
          <cell r="D16194" t="str">
            <v>Northamptonshire</v>
          </cell>
          <cell r="E16194" t="str">
            <v>Community School</v>
          </cell>
          <cell r="F16194" t="str">
            <v>Primary</v>
          </cell>
        </row>
        <row r="16195">
          <cell r="A16195">
            <v>3302005</v>
          </cell>
          <cell r="B16195">
            <v>134098</v>
          </cell>
          <cell r="C16195" t="str">
            <v>Kings Heath Primary School</v>
          </cell>
          <cell r="D16195" t="str">
            <v>Birmingham</v>
          </cell>
          <cell r="E16195" t="str">
            <v>Community School</v>
          </cell>
          <cell r="F16195" t="str">
            <v>Primary</v>
          </cell>
        </row>
        <row r="16196">
          <cell r="A16196">
            <v>9052125</v>
          </cell>
          <cell r="B16196">
            <v>128369</v>
          </cell>
          <cell r="C16196" t="str">
            <v>King's Hedges Infants' School</v>
          </cell>
          <cell r="D16196" t="str">
            <v>Pre LGR (1998) Cambridgeshire</v>
          </cell>
          <cell r="E16196" t="str">
            <v>Community School</v>
          </cell>
          <cell r="F16196" t="str">
            <v>Primary</v>
          </cell>
        </row>
        <row r="16197">
          <cell r="A16197">
            <v>9052127</v>
          </cell>
          <cell r="B16197">
            <v>128370</v>
          </cell>
          <cell r="C16197" t="str">
            <v>Kings Hedges Junior School</v>
          </cell>
          <cell r="D16197" t="str">
            <v>Pre LGR (1998) Cambridgeshire</v>
          </cell>
          <cell r="E16197" t="str">
            <v>Community School</v>
          </cell>
          <cell r="F16197" t="str">
            <v>Primary</v>
          </cell>
        </row>
        <row r="16198">
          <cell r="A16198">
            <v>8731000</v>
          </cell>
          <cell r="B16198">
            <v>136931</v>
          </cell>
          <cell r="C16198" t="str">
            <v>King's Hedges Nursery School</v>
          </cell>
          <cell r="D16198" t="str">
            <v>Cambridgeshire</v>
          </cell>
          <cell r="E16198" t="str">
            <v>LA Nursery School</v>
          </cell>
          <cell r="F16198" t="str">
            <v>Nursery</v>
          </cell>
        </row>
        <row r="16199">
          <cell r="A16199">
            <v>8732446</v>
          </cell>
          <cell r="B16199">
            <v>110775</v>
          </cell>
          <cell r="C16199" t="str">
            <v>Kings Hedges Primary School</v>
          </cell>
          <cell r="D16199" t="str">
            <v>Cambridgeshire</v>
          </cell>
          <cell r="E16199" t="str">
            <v>Community School</v>
          </cell>
          <cell r="F16199" t="str">
            <v>Primary</v>
          </cell>
        </row>
        <row r="16200">
          <cell r="A16200">
            <v>8374001</v>
          </cell>
          <cell r="B16200">
            <v>132214</v>
          </cell>
          <cell r="C16200" t="str">
            <v>Kings High School</v>
          </cell>
          <cell r="D16200" t="str">
            <v>Bournemouth</v>
          </cell>
          <cell r="E16200" t="str">
            <v>Community School</v>
          </cell>
          <cell r="F16200" t="str">
            <v>Secondary</v>
          </cell>
        </row>
        <row r="16201">
          <cell r="A16201">
            <v>9376089</v>
          </cell>
          <cell r="B16201">
            <v>125788</v>
          </cell>
          <cell r="C16201" t="str">
            <v>King's High School</v>
          </cell>
          <cell r="D16201" t="str">
            <v>Warwickshire</v>
          </cell>
          <cell r="E16201" t="str">
            <v>Other Independent School</v>
          </cell>
          <cell r="F16201" t="str">
            <v>Not applicable</v>
          </cell>
        </row>
        <row r="16202">
          <cell r="A16202">
            <v>3352106</v>
          </cell>
          <cell r="B16202">
            <v>104179</v>
          </cell>
          <cell r="C16202" t="str">
            <v>Kings Hill Primary School</v>
          </cell>
          <cell r="D16202" t="str">
            <v>Walsall</v>
          </cell>
          <cell r="E16202" t="str">
            <v>Community School</v>
          </cell>
          <cell r="F16202" t="str">
            <v>Primary</v>
          </cell>
        </row>
        <row r="16203">
          <cell r="A16203">
            <v>8862680</v>
          </cell>
          <cell r="B16203">
            <v>130952</v>
          </cell>
          <cell r="C16203" t="str">
            <v>Kings Hill School</v>
          </cell>
          <cell r="D16203" t="str">
            <v>Kent</v>
          </cell>
          <cell r="E16203" t="str">
            <v>Community School</v>
          </cell>
          <cell r="F16203" t="str">
            <v>Primary</v>
          </cell>
        </row>
        <row r="16204">
          <cell r="A16204">
            <v>8234088</v>
          </cell>
          <cell r="B16204">
            <v>109675</v>
          </cell>
          <cell r="C16204" t="str">
            <v>Kings Houghton Middle School</v>
          </cell>
          <cell r="D16204" t="str">
            <v>Central Bedfordshire</v>
          </cell>
          <cell r="E16204" t="str">
            <v>Community School</v>
          </cell>
          <cell r="F16204" t="str">
            <v>Middle Deemed Secondary</v>
          </cell>
        </row>
        <row r="16205">
          <cell r="A16205">
            <v>3186001</v>
          </cell>
          <cell r="B16205">
            <v>102931</v>
          </cell>
          <cell r="C16205" t="str">
            <v>King's House School</v>
          </cell>
          <cell r="D16205" t="str">
            <v>Richmond upon Thames</v>
          </cell>
          <cell r="E16205" t="str">
            <v>Other Independent School</v>
          </cell>
          <cell r="F16205" t="str">
            <v>Not applicable</v>
          </cell>
        </row>
        <row r="16206">
          <cell r="A16206">
            <v>8216000</v>
          </cell>
          <cell r="B16206">
            <v>109726</v>
          </cell>
          <cell r="C16206" t="str">
            <v>King's House School</v>
          </cell>
          <cell r="D16206" t="str">
            <v>Luton</v>
          </cell>
          <cell r="E16206" t="str">
            <v>Other Independent School</v>
          </cell>
          <cell r="F16206" t="str">
            <v>Not applicable</v>
          </cell>
        </row>
        <row r="16207">
          <cell r="A16207">
            <v>9364468</v>
          </cell>
          <cell r="B16207">
            <v>132268</v>
          </cell>
          <cell r="C16207" t="str">
            <v>Kings International College for Business and the Arts</v>
          </cell>
          <cell r="D16207" t="str">
            <v>Surrey</v>
          </cell>
          <cell r="E16207" t="str">
            <v>Foundation School</v>
          </cell>
          <cell r="F16207" t="str">
            <v>Secondary</v>
          </cell>
        </row>
        <row r="16208">
          <cell r="A16208">
            <v>2096361</v>
          </cell>
          <cell r="B16208">
            <v>133447</v>
          </cell>
          <cell r="C16208" t="str">
            <v>Kings Kids Christian School</v>
          </cell>
          <cell r="D16208" t="str">
            <v>Lewisham</v>
          </cell>
          <cell r="E16208" t="str">
            <v>Other Independent School</v>
          </cell>
          <cell r="F16208" t="str">
            <v>Not applicable</v>
          </cell>
        </row>
        <row r="16209">
          <cell r="A16209">
            <v>9192338</v>
          </cell>
          <cell r="B16209">
            <v>117283</v>
          </cell>
          <cell r="C16209" t="str">
            <v>Kings Langley Primary School</v>
          </cell>
          <cell r="D16209" t="str">
            <v>Hertfordshire</v>
          </cell>
          <cell r="E16209" t="str">
            <v>Community School</v>
          </cell>
          <cell r="F16209" t="str">
            <v>Primary</v>
          </cell>
        </row>
        <row r="16210">
          <cell r="A16210">
            <v>9194096</v>
          </cell>
          <cell r="B16210">
            <v>117526</v>
          </cell>
          <cell r="C16210" t="str">
            <v>Kings Langley School</v>
          </cell>
          <cell r="D16210" t="str">
            <v>Hertfordshire</v>
          </cell>
          <cell r="E16210" t="str">
            <v>Community School</v>
          </cell>
          <cell r="F16210" t="str">
            <v>Secondary</v>
          </cell>
        </row>
        <row r="16211">
          <cell r="A16211">
            <v>8652218</v>
          </cell>
          <cell r="B16211">
            <v>126287</v>
          </cell>
          <cell r="C16211" t="str">
            <v>Kings Lodge Primary School</v>
          </cell>
          <cell r="D16211" t="str">
            <v>Wiltshire</v>
          </cell>
          <cell r="E16211" t="str">
            <v>Community School</v>
          </cell>
          <cell r="F16211" t="str">
            <v>Primary</v>
          </cell>
        </row>
        <row r="16212">
          <cell r="A16212">
            <v>9266909</v>
          </cell>
          <cell r="B16212">
            <v>136202</v>
          </cell>
          <cell r="C16212" t="str">
            <v>King's Lynn Academy</v>
          </cell>
          <cell r="D16212" t="str">
            <v>Norfolk</v>
          </cell>
          <cell r="E16212" t="str">
            <v>Academy Sponsor Led</v>
          </cell>
          <cell r="F16212" t="str">
            <v>Secondary</v>
          </cell>
        </row>
        <row r="16213">
          <cell r="A16213">
            <v>9261002</v>
          </cell>
          <cell r="B16213">
            <v>120766</v>
          </cell>
          <cell r="C16213" t="str">
            <v>King's Lynn Nursery School</v>
          </cell>
          <cell r="D16213" t="str">
            <v>Norfolk</v>
          </cell>
          <cell r="E16213" t="str">
            <v>LA Nursery School</v>
          </cell>
          <cell r="F16213" t="str">
            <v>Nursery</v>
          </cell>
        </row>
        <row r="16214">
          <cell r="A16214">
            <v>9384057</v>
          </cell>
          <cell r="B16214">
            <v>126079</v>
          </cell>
          <cell r="C16214" t="str">
            <v>King's Manor Community College</v>
          </cell>
          <cell r="D16214" t="str">
            <v>West Sussex</v>
          </cell>
          <cell r="E16214" t="str">
            <v>Community School</v>
          </cell>
          <cell r="F16214" t="str">
            <v>Secondary</v>
          </cell>
        </row>
        <row r="16215">
          <cell r="A16215">
            <v>8456045</v>
          </cell>
          <cell r="B16215">
            <v>131746</v>
          </cell>
          <cell r="C16215" t="str">
            <v>Kings Manor School</v>
          </cell>
          <cell r="D16215" t="str">
            <v>East Sussex</v>
          </cell>
          <cell r="E16215" t="str">
            <v>Other Independent School</v>
          </cell>
          <cell r="F16215" t="str">
            <v>Not applicable</v>
          </cell>
        </row>
        <row r="16216">
          <cell r="A16216">
            <v>8064110</v>
          </cell>
          <cell r="B16216">
            <v>111737</v>
          </cell>
          <cell r="C16216" t="str">
            <v>King's Manor School</v>
          </cell>
          <cell r="D16216" t="str">
            <v>Middlesbrough</v>
          </cell>
          <cell r="E16216" t="str">
            <v>Community School</v>
          </cell>
          <cell r="F16216" t="str">
            <v>Secondary</v>
          </cell>
        </row>
        <row r="16217">
          <cell r="A16217">
            <v>9364066</v>
          </cell>
          <cell r="B16217">
            <v>125250</v>
          </cell>
          <cell r="C16217" t="str">
            <v>Kings' Manor School</v>
          </cell>
          <cell r="D16217" t="str">
            <v>Surrey</v>
          </cell>
          <cell r="E16217" t="str">
            <v>Community School</v>
          </cell>
          <cell r="F16217" t="str">
            <v>Secondary</v>
          </cell>
        </row>
        <row r="16218">
          <cell r="A16218">
            <v>9312210</v>
          </cell>
          <cell r="B16218">
            <v>123011</v>
          </cell>
          <cell r="C16218" t="str">
            <v>King's Meadow Primary School</v>
          </cell>
          <cell r="D16218" t="str">
            <v>Oxfordshire</v>
          </cell>
          <cell r="E16218" t="str">
            <v>Community School</v>
          </cell>
          <cell r="F16218" t="str">
            <v>Primary</v>
          </cell>
        </row>
        <row r="16219">
          <cell r="A16219">
            <v>3432087</v>
          </cell>
          <cell r="B16219">
            <v>104886</v>
          </cell>
          <cell r="C16219" t="str">
            <v>Kings Meadow Primary School and Early Years Education Centre</v>
          </cell>
          <cell r="D16219" t="str">
            <v>Sefton</v>
          </cell>
          <cell r="E16219" t="str">
            <v>Community School</v>
          </cell>
          <cell r="F16219" t="str">
            <v>Primary</v>
          </cell>
        </row>
        <row r="16220">
          <cell r="A16220">
            <v>9287028</v>
          </cell>
          <cell r="B16220">
            <v>122167</v>
          </cell>
          <cell r="C16220" t="str">
            <v>Kings Meadow School</v>
          </cell>
          <cell r="D16220" t="str">
            <v>Northamptonshire</v>
          </cell>
          <cell r="E16220" t="str">
            <v>Community Special School</v>
          </cell>
          <cell r="F16220" t="str">
            <v>Special</v>
          </cell>
        </row>
        <row r="16221">
          <cell r="A16221">
            <v>8117016</v>
          </cell>
          <cell r="B16221">
            <v>118144</v>
          </cell>
          <cell r="C16221" t="str">
            <v>King's Mill School</v>
          </cell>
          <cell r="D16221" t="str">
            <v>East Riding of Yorkshire</v>
          </cell>
          <cell r="E16221" t="str">
            <v>Community Special School</v>
          </cell>
          <cell r="F16221" t="str">
            <v>Special</v>
          </cell>
        </row>
        <row r="16222">
          <cell r="A16222">
            <v>6816014</v>
          </cell>
          <cell r="B16222">
            <v>402016</v>
          </cell>
          <cell r="C16222" t="str">
            <v>Kings Monkton School</v>
          </cell>
          <cell r="D16222" t="str">
            <v>Cardiff</v>
          </cell>
          <cell r="E16222" t="str">
            <v>Welsh Establishment</v>
          </cell>
          <cell r="F16222" t="str">
            <v>Not applicable</v>
          </cell>
        </row>
        <row r="16223">
          <cell r="A16223">
            <v>3304001</v>
          </cell>
          <cell r="B16223">
            <v>137578</v>
          </cell>
          <cell r="C16223" t="str">
            <v>Kings Norton Academy</v>
          </cell>
          <cell r="D16223" t="str">
            <v>Birmingham</v>
          </cell>
          <cell r="E16223" t="str">
            <v>Academy Sponsor Led</v>
          </cell>
          <cell r="F16223" t="str">
            <v>Secondary</v>
          </cell>
        </row>
        <row r="16224">
          <cell r="A16224">
            <v>3305415</v>
          </cell>
          <cell r="B16224">
            <v>103562</v>
          </cell>
          <cell r="C16224" t="str">
            <v>King's Norton Boys' School</v>
          </cell>
          <cell r="D16224" t="str">
            <v>Birmingham</v>
          </cell>
          <cell r="E16224" t="str">
            <v>Foundation School</v>
          </cell>
          <cell r="F16224" t="str">
            <v>Secondary</v>
          </cell>
        </row>
        <row r="16225">
          <cell r="A16225">
            <v>3305414</v>
          </cell>
          <cell r="B16225">
            <v>136590</v>
          </cell>
          <cell r="C16225" t="str">
            <v>Kings Norton Girls' School</v>
          </cell>
          <cell r="D16225" t="str">
            <v>Birmingham</v>
          </cell>
          <cell r="E16225" t="str">
            <v>Academy Converters</v>
          </cell>
          <cell r="F16225" t="str">
            <v>Secondary</v>
          </cell>
        </row>
        <row r="16226">
          <cell r="A16226">
            <v>3305414</v>
          </cell>
          <cell r="B16226">
            <v>103561</v>
          </cell>
          <cell r="C16226" t="str">
            <v>Kings Norton Girls' School and Language College</v>
          </cell>
          <cell r="D16226" t="str">
            <v>Birmingham</v>
          </cell>
          <cell r="E16226" t="str">
            <v>Foundation School</v>
          </cell>
          <cell r="F16226" t="str">
            <v>Secondary</v>
          </cell>
        </row>
        <row r="16227">
          <cell r="A16227">
            <v>3304217</v>
          </cell>
          <cell r="B16227">
            <v>103507</v>
          </cell>
          <cell r="C16227" t="str">
            <v>Kings Norton High School</v>
          </cell>
          <cell r="D16227" t="str">
            <v>Birmingham</v>
          </cell>
          <cell r="E16227" t="str">
            <v>Community School</v>
          </cell>
          <cell r="F16227" t="str">
            <v>Secondary</v>
          </cell>
        </row>
        <row r="16228">
          <cell r="A16228">
            <v>3302118</v>
          </cell>
          <cell r="B16228">
            <v>103222</v>
          </cell>
          <cell r="C16228" t="str">
            <v>Kings Norton Junior and Infant School</v>
          </cell>
          <cell r="D16228" t="str">
            <v>Birmingham</v>
          </cell>
          <cell r="E16228" t="str">
            <v>Community School</v>
          </cell>
          <cell r="F16228" t="str">
            <v>Primary</v>
          </cell>
        </row>
        <row r="16229">
          <cell r="A16229">
            <v>3301016</v>
          </cell>
          <cell r="B16229">
            <v>103129</v>
          </cell>
          <cell r="C16229" t="str">
            <v>Kings Norton Nursery School</v>
          </cell>
          <cell r="D16229" t="str">
            <v>Birmingham</v>
          </cell>
          <cell r="E16229" t="str">
            <v>LA Nursery School</v>
          </cell>
          <cell r="F16229" t="str">
            <v>Nursery</v>
          </cell>
        </row>
        <row r="16230">
          <cell r="A16230">
            <v>8782235</v>
          </cell>
          <cell r="B16230">
            <v>113158</v>
          </cell>
          <cell r="C16230" t="str">
            <v>Kings Nympton Community Primary School</v>
          </cell>
          <cell r="D16230" t="str">
            <v>Devon</v>
          </cell>
          <cell r="E16230" t="str">
            <v>Community School</v>
          </cell>
          <cell r="F16230" t="str">
            <v>Primary</v>
          </cell>
        </row>
        <row r="16231">
          <cell r="A16231">
            <v>8034003</v>
          </cell>
          <cell r="B16231">
            <v>137106</v>
          </cell>
          <cell r="C16231" t="str">
            <v>King's Oak Academy</v>
          </cell>
          <cell r="D16231" t="str">
            <v>South Gloucestershire</v>
          </cell>
          <cell r="E16231" t="str">
            <v>Academy Sponsor Led</v>
          </cell>
          <cell r="F16231" t="str">
            <v>Secondary</v>
          </cell>
        </row>
        <row r="16232">
          <cell r="A16232">
            <v>3703324</v>
          </cell>
          <cell r="B16232">
            <v>134687</v>
          </cell>
          <cell r="C16232" t="str">
            <v>Kings Oak Primary Learning Centre</v>
          </cell>
          <cell r="D16232" t="str">
            <v>Barnsley</v>
          </cell>
          <cell r="E16232" t="str">
            <v>Community School</v>
          </cell>
          <cell r="F16232" t="str">
            <v>Primary</v>
          </cell>
        </row>
        <row r="16233">
          <cell r="A16233">
            <v>9156253</v>
          </cell>
          <cell r="B16233">
            <v>115441</v>
          </cell>
          <cell r="C16233" t="str">
            <v>Kings Oak Primary School</v>
          </cell>
          <cell r="D16233" t="str">
            <v>Pre LGR (1998) Essex</v>
          </cell>
          <cell r="E16233" t="str">
            <v>Other Independent School</v>
          </cell>
          <cell r="F16233" t="str">
            <v>Not applicable</v>
          </cell>
        </row>
        <row r="16234">
          <cell r="A16234">
            <v>3142035</v>
          </cell>
          <cell r="B16234">
            <v>102582</v>
          </cell>
          <cell r="C16234" t="str">
            <v>King's Oak Primary School</v>
          </cell>
          <cell r="D16234" t="str">
            <v>Kingston upon Thames</v>
          </cell>
          <cell r="E16234" t="str">
            <v>Community School</v>
          </cell>
          <cell r="F16234" t="str">
            <v>Primary</v>
          </cell>
        </row>
        <row r="16235">
          <cell r="A16235">
            <v>2031104</v>
          </cell>
          <cell r="B16235">
            <v>100106</v>
          </cell>
          <cell r="C16235" t="str">
            <v>Kings Park Centre</v>
          </cell>
          <cell r="D16235" t="str">
            <v>Greenwich</v>
          </cell>
          <cell r="E16235" t="str">
            <v>Pupil Referral Unit</v>
          </cell>
          <cell r="F16235" t="str">
            <v>PRU</v>
          </cell>
        </row>
        <row r="16236">
          <cell r="A16236">
            <v>9122220</v>
          </cell>
          <cell r="B16236">
            <v>128770</v>
          </cell>
          <cell r="C16236" t="str">
            <v>Kings' Park County First School</v>
          </cell>
          <cell r="D16236" t="str">
            <v>Pre LGR (1997) Dorset</v>
          </cell>
          <cell r="E16236" t="str">
            <v>Community School</v>
          </cell>
          <cell r="F16236" t="str">
            <v>Primary</v>
          </cell>
        </row>
        <row r="16237">
          <cell r="A16237">
            <v>9122238</v>
          </cell>
          <cell r="B16237">
            <v>128777</v>
          </cell>
          <cell r="C16237" t="str">
            <v>King's Park County Junior School</v>
          </cell>
          <cell r="D16237" t="str">
            <v>Pre LGR (1997) Dorset</v>
          </cell>
          <cell r="E16237" t="str">
            <v>Community School</v>
          </cell>
          <cell r="F16237" t="str">
            <v>Primary</v>
          </cell>
        </row>
        <row r="16238">
          <cell r="A16238">
            <v>9262358</v>
          </cell>
          <cell r="B16238">
            <v>120983</v>
          </cell>
          <cell r="C16238" t="str">
            <v>King's Park Infant School, Dereham</v>
          </cell>
          <cell r="D16238" t="str">
            <v>Norfolk</v>
          </cell>
          <cell r="E16238" t="str">
            <v>Community School</v>
          </cell>
          <cell r="F16238" t="str">
            <v>Primary</v>
          </cell>
        </row>
        <row r="16239">
          <cell r="A16239">
            <v>8655202</v>
          </cell>
          <cell r="B16239">
            <v>126476</v>
          </cell>
          <cell r="C16239" t="str">
            <v>Kings Park Primary School</v>
          </cell>
          <cell r="D16239" t="str">
            <v>Wiltshire</v>
          </cell>
          <cell r="E16239" t="str">
            <v>Foundation School</v>
          </cell>
          <cell r="F16239" t="str">
            <v>Primary</v>
          </cell>
        </row>
        <row r="16240">
          <cell r="A16240">
            <v>8372263</v>
          </cell>
          <cell r="B16240">
            <v>113748</v>
          </cell>
          <cell r="C16240" t="str">
            <v>King's Park Primary School</v>
          </cell>
          <cell r="D16240" t="str">
            <v>Bournemouth</v>
          </cell>
          <cell r="E16240" t="str">
            <v>Community School</v>
          </cell>
          <cell r="F16240" t="str">
            <v>Primary</v>
          </cell>
        </row>
        <row r="16241">
          <cell r="A16241">
            <v>3302151</v>
          </cell>
          <cell r="B16241">
            <v>103242</v>
          </cell>
          <cell r="C16241" t="str">
            <v>Kings Rise Community Primary School</v>
          </cell>
          <cell r="D16241" t="str">
            <v>Birmingham</v>
          </cell>
          <cell r="E16241" t="str">
            <v>Community School</v>
          </cell>
          <cell r="F16241" t="str">
            <v>Primary</v>
          </cell>
        </row>
        <row r="16242">
          <cell r="A16242">
            <v>8812140</v>
          </cell>
          <cell r="B16242">
            <v>114797</v>
          </cell>
          <cell r="C16242" t="str">
            <v>Kings Road Infant School</v>
          </cell>
          <cell r="D16242" t="str">
            <v>Essex</v>
          </cell>
          <cell r="E16242" t="str">
            <v>Community School</v>
          </cell>
          <cell r="F16242" t="str">
            <v>Primary</v>
          </cell>
        </row>
        <row r="16243">
          <cell r="A16243">
            <v>8812120</v>
          </cell>
          <cell r="B16243">
            <v>114784</v>
          </cell>
          <cell r="C16243" t="str">
            <v>Kings Road Junior School</v>
          </cell>
          <cell r="D16243" t="str">
            <v>Essex</v>
          </cell>
          <cell r="E16243" t="str">
            <v>Community School</v>
          </cell>
          <cell r="F16243" t="str">
            <v>Primary</v>
          </cell>
        </row>
        <row r="16244">
          <cell r="A16244">
            <v>8812018</v>
          </cell>
          <cell r="B16244">
            <v>132165</v>
          </cell>
          <cell r="C16244" t="str">
            <v>Kings Road Primary School</v>
          </cell>
          <cell r="D16244" t="str">
            <v>Essex</v>
          </cell>
          <cell r="E16244" t="str">
            <v>Community School</v>
          </cell>
          <cell r="F16244" t="str">
            <v>Primary</v>
          </cell>
        </row>
        <row r="16245">
          <cell r="A16245">
            <v>3582049</v>
          </cell>
          <cell r="B16245">
            <v>106322</v>
          </cell>
          <cell r="C16245" t="str">
            <v>King's Road Primary School</v>
          </cell>
          <cell r="D16245" t="str">
            <v>Trafford</v>
          </cell>
          <cell r="E16245" t="str">
            <v>Community School</v>
          </cell>
          <cell r="F16245" t="str">
            <v>Primary</v>
          </cell>
        </row>
        <row r="16246">
          <cell r="A16246">
            <v>3304321</v>
          </cell>
          <cell r="B16246">
            <v>127062</v>
          </cell>
          <cell r="C16246" t="str">
            <v>Kings School</v>
          </cell>
          <cell r="D16246" t="str">
            <v>Birmingham</v>
          </cell>
          <cell r="E16246" t="str">
            <v>Community School</v>
          </cell>
          <cell r="F16246" t="str">
            <v>Secondary</v>
          </cell>
        </row>
        <row r="16247">
          <cell r="A16247">
            <v>7024006</v>
          </cell>
          <cell r="B16247">
            <v>132382</v>
          </cell>
          <cell r="C16247" t="str">
            <v>Kings School</v>
          </cell>
          <cell r="D16247" t="str">
            <v>BFPO Overseas Establishments</v>
          </cell>
          <cell r="E16247" t="str">
            <v>Service Childrens Education</v>
          </cell>
          <cell r="F16247" t="str">
            <v>Not applicable</v>
          </cell>
        </row>
        <row r="16248">
          <cell r="A16248">
            <v>8796002</v>
          </cell>
          <cell r="B16248">
            <v>113595</v>
          </cell>
          <cell r="C16248" t="str">
            <v>King's School</v>
          </cell>
          <cell r="D16248" t="str">
            <v>Plymouth</v>
          </cell>
          <cell r="E16248" t="str">
            <v>Other Independent School</v>
          </cell>
          <cell r="F16248" t="str">
            <v>Not applicable</v>
          </cell>
        </row>
        <row r="16249">
          <cell r="A16249">
            <v>8504310</v>
          </cell>
          <cell r="B16249">
            <v>116468</v>
          </cell>
          <cell r="C16249" t="str">
            <v>Kings' School</v>
          </cell>
          <cell r="D16249" t="str">
            <v>Hampshire</v>
          </cell>
          <cell r="E16249" t="str">
            <v>Community School</v>
          </cell>
          <cell r="F16249" t="str">
            <v>Secondary</v>
          </cell>
        </row>
        <row r="16250">
          <cell r="A16250">
            <v>8876000</v>
          </cell>
          <cell r="B16250">
            <v>118948</v>
          </cell>
          <cell r="C16250" t="str">
            <v>King's School, Rochester</v>
          </cell>
          <cell r="D16250" t="str">
            <v>Medway</v>
          </cell>
          <cell r="E16250" t="str">
            <v>Other Independent School</v>
          </cell>
          <cell r="F16250" t="str">
            <v>Not applicable</v>
          </cell>
        </row>
        <row r="16251">
          <cell r="A16251">
            <v>3804004</v>
          </cell>
          <cell r="B16251">
            <v>137277</v>
          </cell>
          <cell r="C16251" t="str">
            <v>Kings Science Academy</v>
          </cell>
          <cell r="D16251" t="str">
            <v>Bradford</v>
          </cell>
          <cell r="E16251" t="str">
            <v>Academy Free Schools</v>
          </cell>
          <cell r="F16251" t="str">
            <v>Secondary</v>
          </cell>
        </row>
        <row r="16252">
          <cell r="A16252">
            <v>8503089</v>
          </cell>
          <cell r="B16252">
            <v>116296</v>
          </cell>
          <cell r="C16252" t="str">
            <v>King's Somborne Church of England Primary School</v>
          </cell>
          <cell r="D16252" t="str">
            <v>Hampshire</v>
          </cell>
          <cell r="E16252" t="str">
            <v>Voluntary Controlled School</v>
          </cell>
          <cell r="F16252" t="str">
            <v>Primary</v>
          </cell>
        </row>
        <row r="16253">
          <cell r="A16253">
            <v>9163043</v>
          </cell>
          <cell r="B16253">
            <v>115630</v>
          </cell>
          <cell r="C16253" t="str">
            <v>King's Stanley Church of England Junior School</v>
          </cell>
          <cell r="D16253" t="str">
            <v>Gloucestershire</v>
          </cell>
          <cell r="E16253" t="str">
            <v>Voluntary Controlled School</v>
          </cell>
          <cell r="F16253" t="str">
            <v>Primary</v>
          </cell>
        </row>
        <row r="16254">
          <cell r="A16254">
            <v>9163372</v>
          </cell>
          <cell r="B16254">
            <v>135266</v>
          </cell>
          <cell r="C16254" t="str">
            <v>King's Stanley CofE Primary School</v>
          </cell>
          <cell r="D16254" t="str">
            <v>Gloucestershire</v>
          </cell>
          <cell r="E16254" t="str">
            <v>Voluntary Controlled School</v>
          </cell>
          <cell r="F16254" t="str">
            <v>Primary</v>
          </cell>
        </row>
        <row r="16255">
          <cell r="A16255">
            <v>9162074</v>
          </cell>
          <cell r="B16255">
            <v>115528</v>
          </cell>
          <cell r="C16255" t="str">
            <v>Kings Stanley Infant School</v>
          </cell>
          <cell r="D16255" t="str">
            <v>Gloucestershire</v>
          </cell>
          <cell r="E16255" t="str">
            <v>Community School</v>
          </cell>
          <cell r="F16255" t="str">
            <v>Primary</v>
          </cell>
        </row>
        <row r="16256">
          <cell r="A16256">
            <v>9282065</v>
          </cell>
          <cell r="B16256">
            <v>121841</v>
          </cell>
          <cell r="C16256" t="str">
            <v>Kings Sutton Primary School</v>
          </cell>
          <cell r="D16256" t="str">
            <v>Northamptonshire</v>
          </cell>
          <cell r="E16256" t="str">
            <v>Community School</v>
          </cell>
          <cell r="F16256" t="str">
            <v>Primary</v>
          </cell>
        </row>
        <row r="16257">
          <cell r="A16257">
            <v>9114165</v>
          </cell>
          <cell r="B16257">
            <v>128724</v>
          </cell>
          <cell r="C16257" t="str">
            <v>Kings Tamerton School</v>
          </cell>
          <cell r="D16257" t="str">
            <v>Pre LGR (1998) Devon</v>
          </cell>
          <cell r="E16257" t="str">
            <v>Community School</v>
          </cell>
          <cell r="F16257" t="str">
            <v>Secondary</v>
          </cell>
        </row>
        <row r="16258">
          <cell r="A16258">
            <v>8253377</v>
          </cell>
          <cell r="B16258">
            <v>133756</v>
          </cell>
          <cell r="C16258" t="str">
            <v>Kings Wood Combined School</v>
          </cell>
          <cell r="D16258" t="str">
            <v>Buckinghamshire</v>
          </cell>
          <cell r="E16258" t="str">
            <v>Community School</v>
          </cell>
          <cell r="F16258" t="str">
            <v>Primary</v>
          </cell>
        </row>
        <row r="16259">
          <cell r="A16259">
            <v>8252048</v>
          </cell>
          <cell r="B16259">
            <v>110233</v>
          </cell>
          <cell r="C16259" t="str">
            <v>King's Wood Infant School</v>
          </cell>
          <cell r="D16259" t="str">
            <v>Buckinghamshire</v>
          </cell>
          <cell r="E16259" t="str">
            <v>Community School</v>
          </cell>
          <cell r="F16259" t="str">
            <v>Primary</v>
          </cell>
        </row>
        <row r="16260">
          <cell r="A16260">
            <v>8252188</v>
          </cell>
          <cell r="B16260">
            <v>110292</v>
          </cell>
          <cell r="C16260" t="str">
            <v>King's Wood Junior School</v>
          </cell>
          <cell r="D16260" t="str">
            <v>Buckinghamshire</v>
          </cell>
          <cell r="E16260" t="str">
            <v>Community School</v>
          </cell>
          <cell r="F16260" t="str">
            <v>Primary</v>
          </cell>
        </row>
        <row r="16261">
          <cell r="A16261">
            <v>3114039</v>
          </cell>
          <cell r="B16261">
            <v>102347</v>
          </cell>
          <cell r="C16261" t="str">
            <v>King's Wood School</v>
          </cell>
          <cell r="D16261" t="str">
            <v>Havering</v>
          </cell>
          <cell r="E16261" t="str">
            <v>Community School</v>
          </cell>
          <cell r="F16261" t="str">
            <v>Secondary</v>
          </cell>
        </row>
        <row r="16262">
          <cell r="A16262">
            <v>8502120</v>
          </cell>
          <cell r="B16262">
            <v>115922</v>
          </cell>
          <cell r="C16262" t="str">
            <v>Kings Worthy Primary School</v>
          </cell>
          <cell r="D16262" t="str">
            <v>Hampshire</v>
          </cell>
          <cell r="E16262" t="str">
            <v>Community School</v>
          </cell>
          <cell r="F16262" t="str">
            <v>Primary</v>
          </cell>
        </row>
        <row r="16263">
          <cell r="A16263">
            <v>8782257</v>
          </cell>
          <cell r="B16263">
            <v>113179</v>
          </cell>
          <cell r="C16263" t="str">
            <v>Kingsacre Primary School</v>
          </cell>
          <cell r="D16263" t="str">
            <v>Devon</v>
          </cell>
          <cell r="E16263" t="str">
            <v>Community School</v>
          </cell>
          <cell r="F16263" t="str">
            <v>Primary</v>
          </cell>
        </row>
        <row r="16264">
          <cell r="A16264">
            <v>8784110</v>
          </cell>
          <cell r="B16264">
            <v>136367</v>
          </cell>
          <cell r="C16264" t="str">
            <v>Kingsbridge Academy</v>
          </cell>
          <cell r="D16264" t="str">
            <v>Devon</v>
          </cell>
          <cell r="E16264" t="str">
            <v>Academy Converters</v>
          </cell>
          <cell r="F16264" t="str">
            <v>Secondary</v>
          </cell>
        </row>
        <row r="16265">
          <cell r="A16265">
            <v>8784110</v>
          </cell>
          <cell r="B16265">
            <v>113521</v>
          </cell>
          <cell r="C16265" t="str">
            <v>Kingsbridge Community College</v>
          </cell>
          <cell r="D16265" t="str">
            <v>Devon</v>
          </cell>
          <cell r="E16265" t="str">
            <v>Foundation School</v>
          </cell>
          <cell r="F16265" t="str">
            <v>Secondary</v>
          </cell>
        </row>
        <row r="16266">
          <cell r="A16266">
            <v>8782425</v>
          </cell>
          <cell r="B16266">
            <v>113205</v>
          </cell>
          <cell r="C16266" t="str">
            <v>Kingsbridge Community Primary School</v>
          </cell>
          <cell r="D16266" t="str">
            <v>Devon</v>
          </cell>
          <cell r="E16266" t="str">
            <v>Community School</v>
          </cell>
          <cell r="F16266" t="str">
            <v>Primary</v>
          </cell>
        </row>
        <row r="16267">
          <cell r="A16267">
            <v>8786026</v>
          </cell>
          <cell r="B16267">
            <v>113598</v>
          </cell>
          <cell r="C16267" t="str">
            <v>Kingsbridge Preparatory School</v>
          </cell>
          <cell r="D16267" t="str">
            <v>Devon</v>
          </cell>
          <cell r="E16267" t="str">
            <v>Other Independent School</v>
          </cell>
          <cell r="F16267" t="str">
            <v>Not applicable</v>
          </cell>
        </row>
        <row r="16268">
          <cell r="A16268">
            <v>9024116</v>
          </cell>
          <cell r="B16268">
            <v>128259</v>
          </cell>
          <cell r="C16268" t="str">
            <v>Kingsbrook Middle School</v>
          </cell>
          <cell r="D16268" t="str">
            <v>Pre LGR (1997) Bedfordshire</v>
          </cell>
          <cell r="E16268" t="str">
            <v>Community School</v>
          </cell>
          <cell r="F16268" t="str">
            <v>Middle Deemed Secondary</v>
          </cell>
        </row>
        <row r="16269">
          <cell r="A16269">
            <v>3047008</v>
          </cell>
          <cell r="B16269">
            <v>126788</v>
          </cell>
          <cell r="C16269" t="str">
            <v>Kingsbury Day School</v>
          </cell>
          <cell r="D16269" t="str">
            <v>Brent</v>
          </cell>
          <cell r="E16269" t="str">
            <v>Community Special School</v>
          </cell>
          <cell r="F16269" t="str">
            <v>Special</v>
          </cell>
        </row>
        <row r="16270">
          <cell r="A16270">
            <v>9332041</v>
          </cell>
          <cell r="B16270">
            <v>123651</v>
          </cell>
          <cell r="C16270" t="str">
            <v>Kingsbury Episcopi Primary School</v>
          </cell>
          <cell r="D16270" t="str">
            <v>Somerset</v>
          </cell>
          <cell r="E16270" t="str">
            <v>Community School</v>
          </cell>
          <cell r="F16270" t="str">
            <v>Primary</v>
          </cell>
        </row>
        <row r="16271">
          <cell r="A16271">
            <v>3042024</v>
          </cell>
          <cell r="B16271">
            <v>101503</v>
          </cell>
          <cell r="C16271" t="str">
            <v>Kingsbury Green Primary School</v>
          </cell>
          <cell r="D16271" t="str">
            <v>Brent</v>
          </cell>
          <cell r="E16271" t="str">
            <v>Community School</v>
          </cell>
          <cell r="F16271" t="str">
            <v>Primary</v>
          </cell>
        </row>
        <row r="16272">
          <cell r="A16272">
            <v>3045402</v>
          </cell>
          <cell r="B16272">
            <v>101559</v>
          </cell>
          <cell r="C16272" t="str">
            <v>Kingsbury High School</v>
          </cell>
          <cell r="D16272" t="str">
            <v>Brent</v>
          </cell>
          <cell r="E16272" t="str">
            <v>Foundation School</v>
          </cell>
          <cell r="F16272" t="str">
            <v>Secondary</v>
          </cell>
        </row>
        <row r="16273">
          <cell r="A16273">
            <v>3045402</v>
          </cell>
          <cell r="B16273">
            <v>137685</v>
          </cell>
          <cell r="C16273" t="str">
            <v>Kingsbury High School</v>
          </cell>
          <cell r="D16273" t="str">
            <v>Brent</v>
          </cell>
          <cell r="E16273" t="str">
            <v>Academy Converters</v>
          </cell>
          <cell r="F16273" t="str">
            <v>Secondary</v>
          </cell>
        </row>
        <row r="16274">
          <cell r="A16274">
            <v>8656025</v>
          </cell>
          <cell r="B16274">
            <v>126525</v>
          </cell>
          <cell r="C16274" t="str">
            <v>Kingsbury Hill House School</v>
          </cell>
          <cell r="D16274" t="str">
            <v>Wiltshire</v>
          </cell>
          <cell r="E16274" t="str">
            <v>Other Independent School</v>
          </cell>
          <cell r="F16274" t="str">
            <v>Not applicable</v>
          </cell>
        </row>
        <row r="16275">
          <cell r="A16275">
            <v>9372582</v>
          </cell>
          <cell r="B16275">
            <v>125592</v>
          </cell>
          <cell r="C16275" t="str">
            <v>Kingsbury Infant School</v>
          </cell>
          <cell r="D16275" t="str">
            <v>Warwickshire</v>
          </cell>
          <cell r="E16275" t="str">
            <v>Community School</v>
          </cell>
          <cell r="F16275" t="str">
            <v>Primary</v>
          </cell>
        </row>
        <row r="16276">
          <cell r="A16276">
            <v>9372583</v>
          </cell>
          <cell r="B16276">
            <v>125593</v>
          </cell>
          <cell r="C16276" t="str">
            <v>Kingsbury Junior School</v>
          </cell>
          <cell r="D16276" t="str">
            <v>Warwickshire</v>
          </cell>
          <cell r="E16276" t="str">
            <v>Community School</v>
          </cell>
          <cell r="F16276" t="str">
            <v>Primary</v>
          </cell>
        </row>
        <row r="16277">
          <cell r="A16277">
            <v>9373596</v>
          </cell>
          <cell r="B16277">
            <v>134924</v>
          </cell>
          <cell r="C16277" t="str">
            <v>Kingsbury Primary School</v>
          </cell>
          <cell r="D16277" t="str">
            <v>Warwickshire</v>
          </cell>
          <cell r="E16277" t="str">
            <v>Community School</v>
          </cell>
          <cell r="F16277" t="str">
            <v>Primary</v>
          </cell>
        </row>
        <row r="16278">
          <cell r="A16278">
            <v>8887117</v>
          </cell>
          <cell r="B16278">
            <v>131259</v>
          </cell>
          <cell r="C16278" t="str">
            <v>Kingsbury Primary Special School</v>
          </cell>
          <cell r="D16278" t="str">
            <v>Lancashire</v>
          </cell>
          <cell r="E16278" t="str">
            <v>Community Special School</v>
          </cell>
          <cell r="F16278" t="str">
            <v>Special</v>
          </cell>
        </row>
        <row r="16279">
          <cell r="A16279">
            <v>9336186</v>
          </cell>
          <cell r="B16279">
            <v>129861</v>
          </cell>
          <cell r="C16279" t="str">
            <v>Kingsbury School</v>
          </cell>
          <cell r="D16279" t="str">
            <v>Somerset</v>
          </cell>
          <cell r="E16279" t="str">
            <v>Other Independent School</v>
          </cell>
          <cell r="F16279" t="str">
            <v>Not applicable</v>
          </cell>
        </row>
        <row r="16280">
          <cell r="A16280">
            <v>8887108</v>
          </cell>
          <cell r="B16280">
            <v>131093</v>
          </cell>
          <cell r="C16280" t="str">
            <v>Kingsbury School</v>
          </cell>
          <cell r="D16280" t="str">
            <v>Lancashire</v>
          </cell>
          <cell r="E16280" t="str">
            <v>Community Special School</v>
          </cell>
          <cell r="F16280" t="str">
            <v>Special</v>
          </cell>
        </row>
        <row r="16281">
          <cell r="A16281">
            <v>3304330</v>
          </cell>
          <cell r="B16281">
            <v>103526</v>
          </cell>
          <cell r="C16281" t="str">
            <v>Kingsbury School and Sports College</v>
          </cell>
          <cell r="D16281" t="str">
            <v>Birmingham</v>
          </cell>
          <cell r="E16281" t="str">
            <v>Community School</v>
          </cell>
          <cell r="F16281" t="str">
            <v>Secondary</v>
          </cell>
        </row>
        <row r="16282">
          <cell r="A16282">
            <v>9374111</v>
          </cell>
          <cell r="B16282">
            <v>125735</v>
          </cell>
          <cell r="C16282" t="str">
            <v>Kingsbury School, A Specialist Science College with Mathematics</v>
          </cell>
          <cell r="D16282" t="str">
            <v>Warwickshire</v>
          </cell>
          <cell r="E16282" t="str">
            <v>Community School</v>
          </cell>
          <cell r="F16282" t="str">
            <v>Secondary</v>
          </cell>
        </row>
        <row r="16283">
          <cell r="A16283">
            <v>8503088</v>
          </cell>
          <cell r="B16283">
            <v>116295</v>
          </cell>
          <cell r="C16283" t="str">
            <v>Kingsclere Church of England Primary School</v>
          </cell>
          <cell r="D16283" t="str">
            <v>Hampshire</v>
          </cell>
          <cell r="E16283" t="str">
            <v>Voluntary Controlled School</v>
          </cell>
          <cell r="F16283" t="str">
            <v>Primary</v>
          </cell>
        </row>
        <row r="16284">
          <cell r="A16284">
            <v>8256012</v>
          </cell>
          <cell r="B16284">
            <v>110566</v>
          </cell>
          <cell r="C16284" t="str">
            <v>Kingscote School</v>
          </cell>
          <cell r="D16284" t="str">
            <v>Buckinghamshire</v>
          </cell>
          <cell r="E16284" t="str">
            <v>Other Independent School</v>
          </cell>
          <cell r="F16284" t="str">
            <v>Not applicable</v>
          </cell>
        </row>
        <row r="16285">
          <cell r="A16285">
            <v>8506034</v>
          </cell>
          <cell r="B16285">
            <v>130278</v>
          </cell>
          <cell r="C16285" t="str">
            <v>Kingscourt School</v>
          </cell>
          <cell r="D16285" t="str">
            <v>Hampshire</v>
          </cell>
          <cell r="E16285" t="str">
            <v>Other Independent School</v>
          </cell>
          <cell r="F16285" t="str">
            <v>Not applicable</v>
          </cell>
        </row>
        <row r="16286">
          <cell r="A16286">
            <v>9362874</v>
          </cell>
          <cell r="B16286">
            <v>125089</v>
          </cell>
          <cell r="C16286" t="str">
            <v>Kingscroft Junior School</v>
          </cell>
          <cell r="D16286" t="str">
            <v>Surrey</v>
          </cell>
          <cell r="E16286" t="str">
            <v>Community School</v>
          </cell>
          <cell r="F16286" t="str">
            <v>Primary</v>
          </cell>
        </row>
        <row r="16287">
          <cell r="A16287">
            <v>2104265</v>
          </cell>
          <cell r="B16287">
            <v>100844</v>
          </cell>
          <cell r="C16287" t="str">
            <v>Kingsdale Foundation School</v>
          </cell>
          <cell r="D16287" t="str">
            <v>Southwark</v>
          </cell>
          <cell r="E16287" t="str">
            <v>Foundation School</v>
          </cell>
          <cell r="F16287" t="str">
            <v>Secondary</v>
          </cell>
        </row>
        <row r="16288">
          <cell r="A16288">
            <v>2104265</v>
          </cell>
          <cell r="B16288">
            <v>136309</v>
          </cell>
          <cell r="C16288" t="str">
            <v>Kingsdale Foundation School</v>
          </cell>
          <cell r="D16288" t="str">
            <v>Southwark</v>
          </cell>
          <cell r="E16288" t="str">
            <v>Academy Converters</v>
          </cell>
          <cell r="F16288" t="str">
            <v>Secondary</v>
          </cell>
        </row>
        <row r="16289">
          <cell r="A16289">
            <v>9333072</v>
          </cell>
          <cell r="B16289">
            <v>123765</v>
          </cell>
          <cell r="C16289" t="str">
            <v>Kingsdon Church of England Primary School</v>
          </cell>
          <cell r="D16289" t="str">
            <v>Somerset</v>
          </cell>
          <cell r="E16289" t="str">
            <v>Voluntary Controlled School</v>
          </cell>
          <cell r="F16289" t="str">
            <v>Primary</v>
          </cell>
        </row>
        <row r="16290">
          <cell r="A16290">
            <v>8017009</v>
          </cell>
          <cell r="B16290">
            <v>109389</v>
          </cell>
          <cell r="C16290" t="str">
            <v>Kingsdon Manor School</v>
          </cell>
          <cell r="D16290" t="str">
            <v>Bristol City of</v>
          </cell>
          <cell r="E16290" t="str">
            <v>Community Special School</v>
          </cell>
          <cell r="F16290" t="str">
            <v>Special</v>
          </cell>
        </row>
        <row r="16291">
          <cell r="A16291">
            <v>8863173</v>
          </cell>
          <cell r="B16291">
            <v>118690</v>
          </cell>
          <cell r="C16291" t="str">
            <v>Kingsdown and Ringwould CofE Primary School</v>
          </cell>
          <cell r="D16291" t="str">
            <v>Kent</v>
          </cell>
          <cell r="E16291" t="str">
            <v>Voluntary Controlled School</v>
          </cell>
          <cell r="F16291" t="str">
            <v>Primary</v>
          </cell>
        </row>
        <row r="16292">
          <cell r="A16292">
            <v>8827001</v>
          </cell>
          <cell r="B16292">
            <v>115442</v>
          </cell>
          <cell r="C16292" t="str">
            <v>Kingsdown School</v>
          </cell>
          <cell r="D16292" t="str">
            <v>Southend-on-Sea</v>
          </cell>
          <cell r="E16292" t="str">
            <v>Community Special School</v>
          </cell>
          <cell r="F16292" t="str">
            <v>Special</v>
          </cell>
        </row>
        <row r="16293">
          <cell r="A16293">
            <v>8665407</v>
          </cell>
          <cell r="B16293">
            <v>126502</v>
          </cell>
          <cell r="C16293" t="str">
            <v>Kingsdown School</v>
          </cell>
          <cell r="D16293" t="str">
            <v>Swindon</v>
          </cell>
          <cell r="E16293" t="str">
            <v>Foundation School</v>
          </cell>
          <cell r="F16293" t="str">
            <v>Secondary</v>
          </cell>
        </row>
        <row r="16294">
          <cell r="A16294">
            <v>8665407</v>
          </cell>
          <cell r="B16294">
            <v>137265</v>
          </cell>
          <cell r="C16294" t="str">
            <v>Kingsdown School</v>
          </cell>
          <cell r="D16294" t="str">
            <v>Swindon</v>
          </cell>
          <cell r="E16294" t="str">
            <v>Academy Converters</v>
          </cell>
          <cell r="F16294" t="str">
            <v>Secondary</v>
          </cell>
        </row>
        <row r="16295">
          <cell r="A16295">
            <v>3066089</v>
          </cell>
          <cell r="B16295">
            <v>131721</v>
          </cell>
          <cell r="C16295" t="str">
            <v>Kingsdown Secondary School</v>
          </cell>
          <cell r="D16295" t="str">
            <v>Croydon</v>
          </cell>
          <cell r="E16295" t="str">
            <v>Other Independent Special School</v>
          </cell>
          <cell r="F16295" t="str">
            <v>Not applicable</v>
          </cell>
        </row>
        <row r="16296">
          <cell r="A16296">
            <v>9351106</v>
          </cell>
          <cell r="B16296">
            <v>133356</v>
          </cell>
          <cell r="C16296" t="str">
            <v>Kingsfield Centre</v>
          </cell>
          <cell r="D16296" t="str">
            <v>Suffolk</v>
          </cell>
          <cell r="E16296" t="str">
            <v>Pupil Referral Unit</v>
          </cell>
          <cell r="F16296" t="str">
            <v>PRU</v>
          </cell>
        </row>
        <row r="16297">
          <cell r="A16297">
            <v>8602161</v>
          </cell>
          <cell r="B16297">
            <v>124059</v>
          </cell>
          <cell r="C16297" t="str">
            <v>Kingsfield First School</v>
          </cell>
          <cell r="D16297" t="str">
            <v>Staffordshire</v>
          </cell>
          <cell r="E16297" t="str">
            <v>Community School</v>
          </cell>
          <cell r="F16297" t="str">
            <v>Primary</v>
          </cell>
        </row>
        <row r="16298">
          <cell r="A16298">
            <v>8732003</v>
          </cell>
          <cell r="B16298">
            <v>134074</v>
          </cell>
          <cell r="C16298" t="str">
            <v>Kingsfield Primary School</v>
          </cell>
          <cell r="D16298" t="str">
            <v>Cambridgeshire</v>
          </cell>
          <cell r="E16298" t="str">
            <v>Community School</v>
          </cell>
          <cell r="F16298" t="str">
            <v>Primary</v>
          </cell>
        </row>
        <row r="16299">
          <cell r="A16299">
            <v>8034112</v>
          </cell>
          <cell r="B16299">
            <v>109294</v>
          </cell>
          <cell r="C16299" t="str">
            <v>Kingsfield School</v>
          </cell>
          <cell r="D16299" t="str">
            <v>South Gloucestershire</v>
          </cell>
          <cell r="E16299" t="str">
            <v>Community School</v>
          </cell>
          <cell r="F16299" t="str">
            <v>Secondary</v>
          </cell>
        </row>
        <row r="16300">
          <cell r="A16300">
            <v>9352134</v>
          </cell>
          <cell r="B16300">
            <v>124627</v>
          </cell>
          <cell r="C16300" t="str">
            <v>Kingsfleet Primary School</v>
          </cell>
          <cell r="D16300" t="str">
            <v>Suffolk</v>
          </cell>
          <cell r="E16300" t="str">
            <v>Community School</v>
          </cell>
          <cell r="F16300" t="str">
            <v>Primary</v>
          </cell>
        </row>
        <row r="16301">
          <cell r="A16301">
            <v>8882405</v>
          </cell>
          <cell r="B16301">
            <v>119278</v>
          </cell>
          <cell r="C16301" t="str">
            <v>Kingsfold Primary School</v>
          </cell>
          <cell r="D16301" t="str">
            <v>Lancashire</v>
          </cell>
          <cell r="E16301" t="str">
            <v>Community School</v>
          </cell>
          <cell r="F16301" t="str">
            <v>Primary</v>
          </cell>
        </row>
        <row r="16302">
          <cell r="A16302">
            <v>3164037</v>
          </cell>
          <cell r="B16302">
            <v>132058</v>
          </cell>
          <cell r="C16302" t="str">
            <v>Kingsford Community School</v>
          </cell>
          <cell r="D16302" t="str">
            <v>Newham</v>
          </cell>
          <cell r="E16302" t="str">
            <v>Community School</v>
          </cell>
          <cell r="F16302" t="str">
            <v>Secondary</v>
          </cell>
        </row>
        <row r="16303">
          <cell r="A16303">
            <v>8032207</v>
          </cell>
          <cell r="B16303">
            <v>109039</v>
          </cell>
          <cell r="C16303" t="str">
            <v>Kingsgate County Infant School</v>
          </cell>
          <cell r="D16303" t="str">
            <v>South Gloucestershire</v>
          </cell>
          <cell r="E16303" t="str">
            <v>Community School</v>
          </cell>
          <cell r="F16303" t="str">
            <v>Primary</v>
          </cell>
        </row>
        <row r="16304">
          <cell r="A16304">
            <v>2022358</v>
          </cell>
          <cell r="B16304">
            <v>100017</v>
          </cell>
          <cell r="C16304" t="str">
            <v>Kingsgate Infant School</v>
          </cell>
          <cell r="D16304" t="str">
            <v>Camden</v>
          </cell>
          <cell r="E16304" t="str">
            <v>Community School</v>
          </cell>
          <cell r="F16304" t="str">
            <v>Primary</v>
          </cell>
        </row>
        <row r="16305">
          <cell r="A16305">
            <v>2022357</v>
          </cell>
          <cell r="B16305">
            <v>100016</v>
          </cell>
          <cell r="C16305" t="str">
            <v>Kingsgate Junior School</v>
          </cell>
          <cell r="D16305" t="str">
            <v>Camden</v>
          </cell>
          <cell r="E16305" t="str">
            <v>Community School</v>
          </cell>
          <cell r="F16305" t="str">
            <v>Primary</v>
          </cell>
        </row>
        <row r="16306">
          <cell r="A16306">
            <v>2022843</v>
          </cell>
          <cell r="B16306">
            <v>132245</v>
          </cell>
          <cell r="C16306" t="str">
            <v>Kingsgate Primary School</v>
          </cell>
          <cell r="D16306" t="str">
            <v>Camden</v>
          </cell>
          <cell r="E16306" t="str">
            <v>Community School</v>
          </cell>
          <cell r="F16306" t="str">
            <v>Primary</v>
          </cell>
        </row>
        <row r="16307">
          <cell r="A16307">
            <v>9382014</v>
          </cell>
          <cell r="B16307">
            <v>125824</v>
          </cell>
          <cell r="C16307" t="str">
            <v>Kingsham Primary School</v>
          </cell>
          <cell r="D16307" t="str">
            <v>West Sussex</v>
          </cell>
          <cell r="E16307" t="str">
            <v>Community School</v>
          </cell>
          <cell r="F16307" t="str">
            <v>Primary</v>
          </cell>
        </row>
        <row r="16308">
          <cell r="A16308">
            <v>8023000</v>
          </cell>
          <cell r="B16308">
            <v>131992</v>
          </cell>
          <cell r="C16308" t="str">
            <v>Kingshill CofE Primary School</v>
          </cell>
          <cell r="D16308" t="str">
            <v>North Somerset</v>
          </cell>
          <cell r="E16308" t="str">
            <v>Voluntary Controlled School</v>
          </cell>
          <cell r="F16308" t="str">
            <v>Primary</v>
          </cell>
        </row>
        <row r="16309">
          <cell r="A16309">
            <v>9192397</v>
          </cell>
          <cell r="B16309">
            <v>117319</v>
          </cell>
          <cell r="C16309" t="str">
            <v>Kingshill Infant School</v>
          </cell>
          <cell r="D16309" t="str">
            <v>Hertfordshire</v>
          </cell>
          <cell r="E16309" t="str">
            <v>Community School</v>
          </cell>
          <cell r="F16309" t="str">
            <v>Primary</v>
          </cell>
        </row>
        <row r="16310">
          <cell r="A16310">
            <v>3597019</v>
          </cell>
          <cell r="B16310">
            <v>132156</v>
          </cell>
          <cell r="C16310" t="str">
            <v>Kingshill School</v>
          </cell>
          <cell r="D16310" t="str">
            <v>Wigan</v>
          </cell>
          <cell r="E16310" t="str">
            <v>Community Special School</v>
          </cell>
          <cell r="F16310" t="str">
            <v>Special</v>
          </cell>
        </row>
        <row r="16311">
          <cell r="A16311">
            <v>9163010</v>
          </cell>
          <cell r="B16311">
            <v>115607</v>
          </cell>
          <cell r="C16311" t="str">
            <v>Kingsholm Church of England Primary School</v>
          </cell>
          <cell r="D16311" t="str">
            <v>Gloucestershire</v>
          </cell>
          <cell r="E16311" t="str">
            <v>Voluntary Controlled School</v>
          </cell>
          <cell r="F16311" t="str">
            <v>Primary</v>
          </cell>
        </row>
        <row r="16312">
          <cell r="A16312">
            <v>9196102</v>
          </cell>
          <cell r="B16312">
            <v>117630</v>
          </cell>
          <cell r="C16312" t="str">
            <v>Kingshott School</v>
          </cell>
          <cell r="D16312" t="str">
            <v>Hertfordshire</v>
          </cell>
          <cell r="E16312" t="str">
            <v>Other Independent School</v>
          </cell>
          <cell r="F16312" t="str">
            <v>Not applicable</v>
          </cell>
        </row>
        <row r="16313">
          <cell r="A16313">
            <v>3342053</v>
          </cell>
          <cell r="B16313">
            <v>104062</v>
          </cell>
          <cell r="C16313" t="str">
            <v>Kingshurst Infant School</v>
          </cell>
          <cell r="D16313" t="str">
            <v>Solihull</v>
          </cell>
          <cell r="E16313" t="str">
            <v>Community School</v>
          </cell>
          <cell r="F16313" t="str">
            <v>Primary</v>
          </cell>
        </row>
        <row r="16314">
          <cell r="A16314">
            <v>3342052</v>
          </cell>
          <cell r="B16314">
            <v>104061</v>
          </cell>
          <cell r="C16314" t="str">
            <v>Kingshurst Junior School</v>
          </cell>
          <cell r="D16314" t="str">
            <v>Solihull</v>
          </cell>
          <cell r="E16314" t="str">
            <v>Community School</v>
          </cell>
          <cell r="F16314" t="str">
            <v>Primary</v>
          </cell>
        </row>
        <row r="16315">
          <cell r="A16315">
            <v>3343517</v>
          </cell>
          <cell r="B16315">
            <v>135139</v>
          </cell>
          <cell r="C16315" t="str">
            <v>Kingshurst Primary School</v>
          </cell>
          <cell r="D16315" t="str">
            <v>Solihull</v>
          </cell>
          <cell r="E16315" t="str">
            <v>Community School</v>
          </cell>
          <cell r="F16315" t="str">
            <v>Primary</v>
          </cell>
        </row>
        <row r="16316">
          <cell r="A16316">
            <v>3344035</v>
          </cell>
          <cell r="B16316">
            <v>127180</v>
          </cell>
          <cell r="C16316" t="str">
            <v>Kingshurst School</v>
          </cell>
          <cell r="D16316" t="str">
            <v>Solihull</v>
          </cell>
          <cell r="E16316" t="str">
            <v>Community School</v>
          </cell>
          <cell r="F16316" t="str">
            <v>Secondary</v>
          </cell>
        </row>
        <row r="16317">
          <cell r="A16317">
            <v>8783112</v>
          </cell>
          <cell r="B16317">
            <v>113398</v>
          </cell>
          <cell r="C16317" t="str">
            <v>Kingskerswell Church of England Primary School</v>
          </cell>
          <cell r="D16317" t="str">
            <v>Devon</v>
          </cell>
          <cell r="E16317" t="str">
            <v>Voluntary Controlled School</v>
          </cell>
          <cell r="F16317" t="str">
            <v>Primary</v>
          </cell>
        </row>
        <row r="16318">
          <cell r="A16318">
            <v>8843342</v>
          </cell>
          <cell r="B16318">
            <v>116891</v>
          </cell>
          <cell r="C16318" t="str">
            <v>Kingsland CofE School</v>
          </cell>
          <cell r="D16318" t="str">
            <v>Herefordshire</v>
          </cell>
          <cell r="E16318" t="str">
            <v>Voluntary Aided School</v>
          </cell>
          <cell r="F16318" t="str">
            <v>Primary</v>
          </cell>
        </row>
        <row r="16319">
          <cell r="A16319">
            <v>8612120</v>
          </cell>
          <cell r="B16319">
            <v>133766</v>
          </cell>
          <cell r="C16319" t="str">
            <v>Kingsland CofE(C) Primary School</v>
          </cell>
          <cell r="D16319" t="str">
            <v>Stoke-on-Trent</v>
          </cell>
          <cell r="E16319" t="str">
            <v>Voluntary Controlled School</v>
          </cell>
          <cell r="F16319" t="str">
            <v>Primary</v>
          </cell>
        </row>
        <row r="16320">
          <cell r="A16320">
            <v>8204080</v>
          </cell>
          <cell r="B16320">
            <v>109671</v>
          </cell>
          <cell r="C16320" t="str">
            <v>Kingsland Community College</v>
          </cell>
          <cell r="D16320" t="str">
            <v>Pre LGR (2009) Bedfordshire</v>
          </cell>
          <cell r="E16320" t="str">
            <v>Community School</v>
          </cell>
          <cell r="F16320" t="str">
            <v>Secondary</v>
          </cell>
        </row>
        <row r="16321">
          <cell r="A16321">
            <v>9326064</v>
          </cell>
          <cell r="B16321">
            <v>129818</v>
          </cell>
          <cell r="C16321" t="str">
            <v>Kingsland Grange Junior School</v>
          </cell>
          <cell r="D16321" t="str">
            <v>Pre LGR (1998) Shropshire</v>
          </cell>
          <cell r="E16321" t="str">
            <v>Other Independent School</v>
          </cell>
          <cell r="F16321" t="str">
            <v>Not applicable</v>
          </cell>
        </row>
        <row r="16322">
          <cell r="A16322">
            <v>8936007</v>
          </cell>
          <cell r="B16322">
            <v>123606</v>
          </cell>
          <cell r="C16322" t="str">
            <v>Kingsland Grange School</v>
          </cell>
          <cell r="D16322" t="str">
            <v>Shropshire</v>
          </cell>
          <cell r="E16322" t="str">
            <v>Other Independent School</v>
          </cell>
          <cell r="F16322" t="str">
            <v>Not applicable</v>
          </cell>
        </row>
        <row r="16323">
          <cell r="A16323">
            <v>8611012</v>
          </cell>
          <cell r="B16323">
            <v>123957</v>
          </cell>
          <cell r="C16323" t="str">
            <v>Kingsland Nursery School</v>
          </cell>
          <cell r="D16323" t="str">
            <v>Stoke-on-Trent</v>
          </cell>
          <cell r="E16323" t="str">
            <v>LA Nursery School</v>
          </cell>
          <cell r="F16323" t="str">
            <v>Nursery</v>
          </cell>
        </row>
        <row r="16324">
          <cell r="A16324">
            <v>3847054</v>
          </cell>
          <cell r="B16324">
            <v>133718</v>
          </cell>
          <cell r="C16324" t="str">
            <v>Kingsland Primary School</v>
          </cell>
          <cell r="D16324" t="str">
            <v>Wakefield</v>
          </cell>
          <cell r="E16324" t="str">
            <v>Community Special School</v>
          </cell>
          <cell r="F16324" t="str">
            <v>Special</v>
          </cell>
        </row>
        <row r="16325">
          <cell r="A16325">
            <v>3302115</v>
          </cell>
          <cell r="B16325">
            <v>103221</v>
          </cell>
          <cell r="C16325" t="str">
            <v>Kingsland Primary School (NC)</v>
          </cell>
          <cell r="D16325" t="str">
            <v>Birmingham</v>
          </cell>
          <cell r="E16325" t="str">
            <v>Community School</v>
          </cell>
          <cell r="F16325" t="str">
            <v>Primary</v>
          </cell>
        </row>
        <row r="16326">
          <cell r="A16326">
            <v>2044317</v>
          </cell>
          <cell r="B16326">
            <v>100281</v>
          </cell>
          <cell r="C16326" t="str">
            <v>Kingsland School</v>
          </cell>
          <cell r="D16326" t="str">
            <v>Hackney</v>
          </cell>
          <cell r="E16326" t="str">
            <v>Community School</v>
          </cell>
          <cell r="F16326" t="str">
            <v>Secondary</v>
          </cell>
        </row>
        <row r="16327">
          <cell r="A16327">
            <v>3531100</v>
          </cell>
          <cell r="B16327">
            <v>134759</v>
          </cell>
          <cell r="C16327" t="str">
            <v>Kingsland School</v>
          </cell>
          <cell r="D16327" t="str">
            <v>Oldham</v>
          </cell>
          <cell r="E16327" t="str">
            <v>Pupil Referral Unit</v>
          </cell>
          <cell r="F16327" t="str">
            <v>PRU</v>
          </cell>
        </row>
        <row r="16328">
          <cell r="A16328">
            <v>9383365</v>
          </cell>
          <cell r="B16328">
            <v>134776</v>
          </cell>
          <cell r="C16328" t="str">
            <v>Kingslea Primary School</v>
          </cell>
          <cell r="D16328" t="str">
            <v>West Sussex</v>
          </cell>
          <cell r="E16328" t="str">
            <v>Community School</v>
          </cell>
          <cell r="F16328" t="str">
            <v>Primary</v>
          </cell>
        </row>
        <row r="16329">
          <cell r="A16329">
            <v>8372221</v>
          </cell>
          <cell r="B16329">
            <v>113722</v>
          </cell>
          <cell r="C16329" t="str">
            <v>Kingsleigh First School</v>
          </cell>
          <cell r="D16329" t="str">
            <v>Bournemouth</v>
          </cell>
          <cell r="E16329" t="str">
            <v>Community School</v>
          </cell>
          <cell r="F16329" t="str">
            <v>Primary</v>
          </cell>
        </row>
        <row r="16330">
          <cell r="A16330">
            <v>8372222</v>
          </cell>
          <cell r="B16330">
            <v>113723</v>
          </cell>
          <cell r="C16330" t="str">
            <v>Kingsleigh Junior School</v>
          </cell>
          <cell r="D16330" t="str">
            <v>Bournemouth</v>
          </cell>
          <cell r="E16330" t="str">
            <v>Community School</v>
          </cell>
          <cell r="F16330" t="str">
            <v>Primary</v>
          </cell>
        </row>
        <row r="16331">
          <cell r="A16331">
            <v>8372007</v>
          </cell>
          <cell r="B16331">
            <v>133963</v>
          </cell>
          <cell r="C16331" t="str">
            <v>Kingsleigh Primary School</v>
          </cell>
          <cell r="D16331" t="str">
            <v>Bournemouth</v>
          </cell>
          <cell r="E16331" t="str">
            <v>Community School</v>
          </cell>
          <cell r="F16331" t="str">
            <v>Primary</v>
          </cell>
        </row>
        <row r="16332">
          <cell r="A16332">
            <v>8374167</v>
          </cell>
          <cell r="B16332">
            <v>113868</v>
          </cell>
          <cell r="C16332" t="str">
            <v>Kingsleigh Secondary School</v>
          </cell>
          <cell r="D16332" t="str">
            <v>Bournemouth</v>
          </cell>
          <cell r="E16332" t="str">
            <v>Community School</v>
          </cell>
          <cell r="F16332" t="str">
            <v>Secondary</v>
          </cell>
        </row>
        <row r="16333">
          <cell r="A16333">
            <v>8854438</v>
          </cell>
          <cell r="B16333">
            <v>132823</v>
          </cell>
          <cell r="C16333" t="str">
            <v>Kingsley College</v>
          </cell>
          <cell r="D16333" t="str">
            <v>Worcestershire</v>
          </cell>
          <cell r="E16333" t="str">
            <v>Foundation School</v>
          </cell>
          <cell r="F16333" t="str">
            <v>Secondary</v>
          </cell>
        </row>
        <row r="16334">
          <cell r="A16334">
            <v>8962111</v>
          </cell>
          <cell r="B16334">
            <v>110995</v>
          </cell>
          <cell r="C16334" t="str">
            <v>Kingsley Community Primary School and Nursery</v>
          </cell>
          <cell r="D16334" t="str">
            <v>Cheshire West and Chester</v>
          </cell>
          <cell r="E16334" t="str">
            <v>Community School</v>
          </cell>
          <cell r="F16334" t="str">
            <v>Primary</v>
          </cell>
        </row>
        <row r="16335">
          <cell r="A16335">
            <v>3412229</v>
          </cell>
          <cell r="B16335">
            <v>131800</v>
          </cell>
          <cell r="C16335" t="str">
            <v>Kingsley Community School</v>
          </cell>
          <cell r="D16335" t="str">
            <v>Liverpool</v>
          </cell>
          <cell r="E16335" t="str">
            <v>Community School</v>
          </cell>
          <cell r="F16335" t="str">
            <v>Primary</v>
          </cell>
        </row>
        <row r="16336">
          <cell r="A16336">
            <v>3107005</v>
          </cell>
          <cell r="B16336">
            <v>133317</v>
          </cell>
          <cell r="C16336" t="str">
            <v>Kingsley High School</v>
          </cell>
          <cell r="D16336" t="str">
            <v>Harrow</v>
          </cell>
          <cell r="E16336" t="str">
            <v>Community Special School</v>
          </cell>
          <cell r="F16336" t="str">
            <v>Special</v>
          </cell>
        </row>
        <row r="16337">
          <cell r="A16337">
            <v>3062024</v>
          </cell>
          <cell r="B16337">
            <v>101729</v>
          </cell>
          <cell r="C16337" t="str">
            <v>Kingsley Infants' School</v>
          </cell>
          <cell r="D16337" t="str">
            <v>Croydon</v>
          </cell>
          <cell r="E16337" t="str">
            <v>Community School</v>
          </cell>
          <cell r="F16337" t="str">
            <v>Primary</v>
          </cell>
        </row>
        <row r="16338">
          <cell r="A16338">
            <v>3062023</v>
          </cell>
          <cell r="B16338">
            <v>101728</v>
          </cell>
          <cell r="C16338" t="str">
            <v>Kingsley Junior School</v>
          </cell>
          <cell r="D16338" t="str">
            <v>Croydon</v>
          </cell>
          <cell r="E16338" t="str">
            <v>Community School</v>
          </cell>
          <cell r="F16338" t="str">
            <v>Primary</v>
          </cell>
        </row>
        <row r="16339">
          <cell r="A16339">
            <v>9285401</v>
          </cell>
          <cell r="B16339">
            <v>122114</v>
          </cell>
          <cell r="C16339" t="str">
            <v>Kingsley Park Middle School</v>
          </cell>
          <cell r="D16339" t="str">
            <v>Northamptonshire</v>
          </cell>
          <cell r="E16339" t="str">
            <v>Foundation School</v>
          </cell>
          <cell r="F16339" t="str">
            <v>Middle Deemed Secondary</v>
          </cell>
        </row>
        <row r="16340">
          <cell r="A16340">
            <v>3346005</v>
          </cell>
          <cell r="B16340">
            <v>104125</v>
          </cell>
          <cell r="C16340" t="str">
            <v>Kingsley Preparatory School</v>
          </cell>
          <cell r="D16340" t="str">
            <v>Solihull</v>
          </cell>
          <cell r="E16340" t="str">
            <v>Other Independent School</v>
          </cell>
          <cell r="F16340" t="str">
            <v>Not applicable</v>
          </cell>
        </row>
        <row r="16341">
          <cell r="A16341">
            <v>3446002</v>
          </cell>
          <cell r="B16341">
            <v>127389</v>
          </cell>
          <cell r="C16341" t="str">
            <v>Kingsley Preparatory School</v>
          </cell>
          <cell r="D16341" t="str">
            <v>Wirral</v>
          </cell>
          <cell r="E16341" t="str">
            <v>Other Independent School</v>
          </cell>
          <cell r="F16341" t="str">
            <v>Not applicable</v>
          </cell>
        </row>
        <row r="16342">
          <cell r="A16342">
            <v>8052189</v>
          </cell>
          <cell r="B16342">
            <v>111601</v>
          </cell>
          <cell r="C16342" t="str">
            <v>Kingsley Primary School</v>
          </cell>
          <cell r="D16342" t="str">
            <v>Hartlepool</v>
          </cell>
          <cell r="E16342" t="str">
            <v>Community School</v>
          </cell>
          <cell r="F16342" t="str">
            <v>Primary</v>
          </cell>
        </row>
        <row r="16343">
          <cell r="A16343">
            <v>9282166</v>
          </cell>
          <cell r="B16343">
            <v>121915</v>
          </cell>
          <cell r="C16343" t="str">
            <v>Kingsley Primary School</v>
          </cell>
          <cell r="D16343" t="str">
            <v>Northamptonshire</v>
          </cell>
          <cell r="E16343" t="str">
            <v>Community School</v>
          </cell>
          <cell r="F16343" t="str">
            <v>Primary</v>
          </cell>
        </row>
        <row r="16344">
          <cell r="A16344">
            <v>3062110</v>
          </cell>
          <cell r="B16344">
            <v>131925</v>
          </cell>
          <cell r="C16344" t="str">
            <v>Kingsley Primary School</v>
          </cell>
          <cell r="D16344" t="str">
            <v>Croydon</v>
          </cell>
          <cell r="E16344" t="str">
            <v>Community School</v>
          </cell>
          <cell r="F16344" t="str">
            <v>Primary</v>
          </cell>
        </row>
        <row r="16345">
          <cell r="A16345">
            <v>8786030</v>
          </cell>
          <cell r="B16345">
            <v>113604</v>
          </cell>
          <cell r="C16345" t="str">
            <v>Kingsley School</v>
          </cell>
          <cell r="D16345" t="str">
            <v>Devon</v>
          </cell>
          <cell r="E16345" t="str">
            <v>Other Independent School</v>
          </cell>
          <cell r="F16345" t="str">
            <v>Not applicable</v>
          </cell>
        </row>
        <row r="16346">
          <cell r="A16346">
            <v>9287026</v>
          </cell>
          <cell r="B16346">
            <v>122166</v>
          </cell>
          <cell r="C16346" t="str">
            <v>Kingsley School</v>
          </cell>
          <cell r="D16346" t="str">
            <v>Northamptonshire</v>
          </cell>
          <cell r="E16346" t="str">
            <v>Community Special School</v>
          </cell>
          <cell r="F16346" t="str">
            <v>Special</v>
          </cell>
        </row>
        <row r="16347">
          <cell r="A16347">
            <v>8963507</v>
          </cell>
          <cell r="B16347">
            <v>111317</v>
          </cell>
          <cell r="C16347" t="str">
            <v>Kingsley St John's CofE (VA) Primary School</v>
          </cell>
          <cell r="D16347" t="str">
            <v>Cheshire West and Chester</v>
          </cell>
          <cell r="E16347" t="str">
            <v>Voluntary Aided School</v>
          </cell>
          <cell r="F16347" t="str">
            <v>Primary</v>
          </cell>
        </row>
        <row r="16348">
          <cell r="A16348">
            <v>9334355</v>
          </cell>
          <cell r="B16348">
            <v>136639</v>
          </cell>
          <cell r="C16348" t="str">
            <v>Kingsmead Academy</v>
          </cell>
          <cell r="D16348" t="str">
            <v>Somerset</v>
          </cell>
          <cell r="E16348" t="str">
            <v>Academy Converters</v>
          </cell>
          <cell r="F16348" t="str">
            <v>Secondary</v>
          </cell>
        </row>
        <row r="16349">
          <cell r="A16349">
            <v>8311102</v>
          </cell>
          <cell r="B16349">
            <v>112488</v>
          </cell>
          <cell r="C16349" t="str">
            <v>Kingsmead Behaviour Support Service</v>
          </cell>
          <cell r="D16349" t="str">
            <v>Derby</v>
          </cell>
          <cell r="E16349" t="str">
            <v>Pupil Referral Unit</v>
          </cell>
          <cell r="F16349" t="str">
            <v>PRU</v>
          </cell>
        </row>
        <row r="16350">
          <cell r="A16350">
            <v>9334355</v>
          </cell>
          <cell r="B16350">
            <v>123884</v>
          </cell>
          <cell r="C16350" t="str">
            <v>Kingsmead Community School</v>
          </cell>
          <cell r="D16350" t="str">
            <v>Somerset</v>
          </cell>
          <cell r="E16350" t="str">
            <v>Community School</v>
          </cell>
          <cell r="F16350" t="str">
            <v>Secondary</v>
          </cell>
        </row>
        <row r="16351">
          <cell r="A16351">
            <v>2042779</v>
          </cell>
          <cell r="B16351">
            <v>100250</v>
          </cell>
          <cell r="C16351" t="str">
            <v>Kingsmead Primary School</v>
          </cell>
          <cell r="D16351" t="str">
            <v>Hackney</v>
          </cell>
          <cell r="E16351" t="str">
            <v>Community School</v>
          </cell>
          <cell r="F16351" t="str">
            <v>Primary</v>
          </cell>
        </row>
        <row r="16352">
          <cell r="A16352">
            <v>8862604</v>
          </cell>
          <cell r="B16352">
            <v>118535</v>
          </cell>
          <cell r="C16352" t="str">
            <v>Kingsmead Primary School</v>
          </cell>
          <cell r="D16352" t="str">
            <v>Kent</v>
          </cell>
          <cell r="E16352" t="str">
            <v>Community School</v>
          </cell>
          <cell r="F16352" t="str">
            <v>Primary</v>
          </cell>
        </row>
        <row r="16353">
          <cell r="A16353">
            <v>8963802</v>
          </cell>
          <cell r="B16353">
            <v>134336</v>
          </cell>
          <cell r="C16353" t="str">
            <v>Kingsmead Primary School</v>
          </cell>
          <cell r="D16353" t="str">
            <v>Cheshire West and Chester</v>
          </cell>
          <cell r="E16353" t="str">
            <v>Community School</v>
          </cell>
          <cell r="F16353" t="str">
            <v>Primary</v>
          </cell>
        </row>
        <row r="16354">
          <cell r="A16354">
            <v>3084015</v>
          </cell>
          <cell r="B16354">
            <v>102044</v>
          </cell>
          <cell r="C16354" t="str">
            <v>Kingsmead School</v>
          </cell>
          <cell r="D16354" t="str">
            <v>Enfield</v>
          </cell>
          <cell r="E16354" t="str">
            <v>Community School</v>
          </cell>
          <cell r="F16354" t="str">
            <v>Secondary</v>
          </cell>
        </row>
        <row r="16355">
          <cell r="A16355">
            <v>3446014</v>
          </cell>
          <cell r="B16355">
            <v>105121</v>
          </cell>
          <cell r="C16355" t="str">
            <v>Kingsmead School</v>
          </cell>
          <cell r="D16355" t="str">
            <v>Wirral</v>
          </cell>
          <cell r="E16355" t="str">
            <v>Other Independent School</v>
          </cell>
          <cell r="F16355" t="str">
            <v>Not applicable</v>
          </cell>
        </row>
        <row r="16356">
          <cell r="A16356">
            <v>8317029</v>
          </cell>
          <cell r="B16356">
            <v>135345</v>
          </cell>
          <cell r="C16356" t="str">
            <v>Kingsmead School</v>
          </cell>
          <cell r="D16356" t="str">
            <v>Derby</v>
          </cell>
          <cell r="E16356" t="str">
            <v>Community Special School</v>
          </cell>
          <cell r="F16356" t="str">
            <v>Special</v>
          </cell>
        </row>
        <row r="16357">
          <cell r="A16357">
            <v>3084015</v>
          </cell>
          <cell r="B16357">
            <v>136327</v>
          </cell>
          <cell r="C16357" t="str">
            <v>Kingsmead School</v>
          </cell>
          <cell r="D16357" t="str">
            <v>Enfield</v>
          </cell>
          <cell r="E16357" t="str">
            <v>Academy Converters</v>
          </cell>
          <cell r="F16357" t="str">
            <v>Secondary</v>
          </cell>
        </row>
        <row r="16358">
          <cell r="A16358">
            <v>8604070</v>
          </cell>
          <cell r="B16358">
            <v>124397</v>
          </cell>
          <cell r="C16358" t="str">
            <v>Kingsmead Technology College</v>
          </cell>
          <cell r="D16358" t="str">
            <v>Staffordshire</v>
          </cell>
          <cell r="E16358" t="str">
            <v>Foundation School</v>
          </cell>
          <cell r="F16358" t="str">
            <v>Secondary</v>
          </cell>
        </row>
        <row r="16359">
          <cell r="A16359">
            <v>3904041</v>
          </cell>
          <cell r="B16359">
            <v>108410</v>
          </cell>
          <cell r="C16359" t="str">
            <v>Kingsmeadow Community Comprehensive School</v>
          </cell>
          <cell r="D16359" t="str">
            <v>Gateshead</v>
          </cell>
          <cell r="E16359" t="str">
            <v>Community School</v>
          </cell>
          <cell r="F16359" t="str">
            <v>Secondary</v>
          </cell>
        </row>
        <row r="16360">
          <cell r="A16360">
            <v>8812993</v>
          </cell>
          <cell r="B16360">
            <v>115059</v>
          </cell>
          <cell r="C16360" t="str">
            <v>Kingsmoor Infant School</v>
          </cell>
          <cell r="D16360" t="str">
            <v>Essex</v>
          </cell>
          <cell r="E16360" t="str">
            <v>Community School</v>
          </cell>
          <cell r="F16360" t="str">
            <v>Primary</v>
          </cell>
        </row>
        <row r="16361">
          <cell r="A16361">
            <v>8812953</v>
          </cell>
          <cell r="B16361">
            <v>115048</v>
          </cell>
          <cell r="C16361" t="str">
            <v>Kingsmoor Junior School</v>
          </cell>
          <cell r="D16361" t="str">
            <v>Essex</v>
          </cell>
          <cell r="E16361" t="str">
            <v>Community School</v>
          </cell>
          <cell r="F16361" t="str">
            <v>Primary</v>
          </cell>
        </row>
        <row r="16362">
          <cell r="A16362">
            <v>8232174</v>
          </cell>
          <cell r="B16362">
            <v>109507</v>
          </cell>
          <cell r="C16362" t="str">
            <v>Kingsmoor Lower School</v>
          </cell>
          <cell r="D16362" t="str">
            <v>Central Bedfordshire</v>
          </cell>
          <cell r="E16362" t="str">
            <v>Community School</v>
          </cell>
          <cell r="F16362" t="str">
            <v>Primary</v>
          </cell>
        </row>
        <row r="16363">
          <cell r="A16363">
            <v>9332331</v>
          </cell>
          <cell r="B16363">
            <v>123738</v>
          </cell>
          <cell r="C16363" t="str">
            <v>Kingsmoor Primary School</v>
          </cell>
          <cell r="D16363" t="str">
            <v>Somerset</v>
          </cell>
          <cell r="E16363" t="str">
            <v>Community School</v>
          </cell>
          <cell r="F16363" t="str">
            <v>Primary</v>
          </cell>
        </row>
        <row r="16364">
          <cell r="A16364">
            <v>8812021</v>
          </cell>
          <cell r="B16364">
            <v>134303</v>
          </cell>
          <cell r="C16364" t="str">
            <v>Kingsmoor Primary School</v>
          </cell>
          <cell r="D16364" t="str">
            <v>Essex</v>
          </cell>
          <cell r="E16364" t="str">
            <v>Foundation School</v>
          </cell>
          <cell r="F16364" t="str">
            <v>Primary</v>
          </cell>
        </row>
        <row r="16365">
          <cell r="A16365">
            <v>8863140</v>
          </cell>
          <cell r="B16365">
            <v>118667</v>
          </cell>
          <cell r="C16365" t="str">
            <v>Kingsnorth Church of England Primary School</v>
          </cell>
          <cell r="D16365" t="str">
            <v>Kent</v>
          </cell>
          <cell r="E16365" t="str">
            <v>Voluntary Controlled School</v>
          </cell>
          <cell r="F16365" t="str">
            <v>Primary</v>
          </cell>
        </row>
        <row r="16366">
          <cell r="A16366">
            <v>9113113</v>
          </cell>
          <cell r="B16366">
            <v>128708</v>
          </cell>
          <cell r="C16366" t="str">
            <v>Kingsteignton CofE Infant School</v>
          </cell>
          <cell r="D16366" t="str">
            <v>Pre LGR (1998) Devon</v>
          </cell>
          <cell r="E16366" t="str">
            <v>Voluntary Controlled School</v>
          </cell>
          <cell r="F16366" t="str">
            <v>Primary</v>
          </cell>
        </row>
        <row r="16367">
          <cell r="A16367">
            <v>9112426</v>
          </cell>
          <cell r="B16367">
            <v>128697</v>
          </cell>
          <cell r="C16367" t="str">
            <v>Kingsteignton Junior School</v>
          </cell>
          <cell r="D16367" t="str">
            <v>Pre LGR (1998) Devon</v>
          </cell>
          <cell r="E16367" t="str">
            <v>Community School</v>
          </cell>
          <cell r="F16367" t="str">
            <v>Primary</v>
          </cell>
        </row>
        <row r="16368">
          <cell r="A16368">
            <v>3302441</v>
          </cell>
          <cell r="B16368">
            <v>103368</v>
          </cell>
          <cell r="C16368" t="str">
            <v>Kingsthorne Primary School</v>
          </cell>
          <cell r="D16368" t="str">
            <v>Birmingham</v>
          </cell>
          <cell r="E16368" t="str">
            <v>Community School</v>
          </cell>
          <cell r="F16368" t="str">
            <v>Primary</v>
          </cell>
        </row>
        <row r="16369">
          <cell r="A16369">
            <v>9284071</v>
          </cell>
          <cell r="B16369">
            <v>122079</v>
          </cell>
          <cell r="C16369" t="str">
            <v>Kingsthorpe College</v>
          </cell>
          <cell r="D16369" t="str">
            <v>Northamptonshire</v>
          </cell>
          <cell r="E16369" t="str">
            <v>Community School</v>
          </cell>
          <cell r="F16369" t="str">
            <v>Secondary</v>
          </cell>
        </row>
        <row r="16370">
          <cell r="A16370">
            <v>9282208</v>
          </cell>
          <cell r="B16370">
            <v>121943</v>
          </cell>
          <cell r="C16370" t="str">
            <v>Kingsthorpe Grove Primary School</v>
          </cell>
          <cell r="D16370" t="str">
            <v>Northamptonshire</v>
          </cell>
          <cell r="E16370" t="str">
            <v>Community School</v>
          </cell>
          <cell r="F16370" t="str">
            <v>Primary</v>
          </cell>
        </row>
        <row r="16371">
          <cell r="A16371">
            <v>9284064</v>
          </cell>
          <cell r="B16371">
            <v>122072</v>
          </cell>
          <cell r="C16371" t="str">
            <v>Kingsthorpe Middle Community School</v>
          </cell>
          <cell r="D16371" t="str">
            <v>Northamptonshire</v>
          </cell>
          <cell r="E16371" t="str">
            <v>Community School</v>
          </cell>
          <cell r="F16371" t="str">
            <v>Middle Deemed Secondary</v>
          </cell>
        </row>
        <row r="16372">
          <cell r="A16372">
            <v>9283205</v>
          </cell>
          <cell r="B16372">
            <v>133732</v>
          </cell>
          <cell r="C16372" t="str">
            <v>Kingsthorpe Village Primary School</v>
          </cell>
          <cell r="D16372" t="str">
            <v>Northamptonshire</v>
          </cell>
          <cell r="E16372" t="str">
            <v>Community School</v>
          </cell>
          <cell r="F16372" t="str">
            <v>Primary</v>
          </cell>
        </row>
        <row r="16373">
          <cell r="A16373">
            <v>9382167</v>
          </cell>
          <cell r="B16373">
            <v>125909</v>
          </cell>
          <cell r="C16373" t="str">
            <v>Kingston Buci First School</v>
          </cell>
          <cell r="D16373" t="str">
            <v>West Sussex</v>
          </cell>
          <cell r="E16373" t="str">
            <v>Community School</v>
          </cell>
          <cell r="F16373" t="str">
            <v>Primary</v>
          </cell>
        </row>
        <row r="16374">
          <cell r="A16374">
            <v>3361101</v>
          </cell>
          <cell r="B16374">
            <v>104286</v>
          </cell>
          <cell r="C16374" t="str">
            <v>Kingston Centre (Primary PRU)</v>
          </cell>
          <cell r="D16374" t="str">
            <v>Wolverhampton</v>
          </cell>
          <cell r="E16374" t="str">
            <v>Pupil Referral Unit</v>
          </cell>
          <cell r="F16374" t="str">
            <v>PRU</v>
          </cell>
        </row>
        <row r="16375">
          <cell r="A16375">
            <v>3148001</v>
          </cell>
          <cell r="B16375">
            <v>130448</v>
          </cell>
          <cell r="C16375" t="str">
            <v>Kingston College</v>
          </cell>
          <cell r="D16375" t="str">
            <v>Kingston upon Thames</v>
          </cell>
          <cell r="E16375" t="str">
            <v>Further Education</v>
          </cell>
          <cell r="F16375" t="str">
            <v>16 Plus</v>
          </cell>
        </row>
        <row r="16376">
          <cell r="A16376">
            <v>3146067</v>
          </cell>
          <cell r="B16376">
            <v>102619</v>
          </cell>
          <cell r="C16376" t="str">
            <v>Kingston Grammar School</v>
          </cell>
          <cell r="D16376" t="str">
            <v>Kingston upon Thames</v>
          </cell>
          <cell r="E16376" t="str">
            <v>Other Independent School</v>
          </cell>
          <cell r="F16376" t="str">
            <v>Not applicable</v>
          </cell>
        </row>
        <row r="16377">
          <cell r="A16377">
            <v>3367014</v>
          </cell>
          <cell r="B16377">
            <v>127234</v>
          </cell>
          <cell r="C16377" t="str">
            <v>Kingston Hall School</v>
          </cell>
          <cell r="D16377" t="str">
            <v>Wolverhampton</v>
          </cell>
          <cell r="E16377" t="str">
            <v>Community Special School</v>
          </cell>
          <cell r="F16377" t="str">
            <v>Special</v>
          </cell>
        </row>
        <row r="16378">
          <cell r="A16378">
            <v>8912703</v>
          </cell>
          <cell r="B16378">
            <v>122626</v>
          </cell>
          <cell r="C16378" t="str">
            <v>Kingston Junior School</v>
          </cell>
          <cell r="D16378" t="str">
            <v>Nottinghamshire</v>
          </cell>
          <cell r="E16378" t="str">
            <v>Community School</v>
          </cell>
          <cell r="F16378" t="str">
            <v>Primary</v>
          </cell>
        </row>
        <row r="16379">
          <cell r="A16379">
            <v>8358300</v>
          </cell>
          <cell r="B16379">
            <v>130655</v>
          </cell>
          <cell r="C16379" t="str">
            <v>Kingston Maurward College</v>
          </cell>
          <cell r="D16379" t="str">
            <v>Dorset</v>
          </cell>
          <cell r="E16379" t="str">
            <v>Further Education</v>
          </cell>
          <cell r="F16379" t="str">
            <v>16 Plus</v>
          </cell>
        </row>
        <row r="16380">
          <cell r="A16380">
            <v>9354077</v>
          </cell>
          <cell r="B16380">
            <v>129988</v>
          </cell>
          <cell r="C16380" t="str">
            <v>Kingston Middle School</v>
          </cell>
          <cell r="D16380" t="str">
            <v>Suffolk</v>
          </cell>
          <cell r="E16380" t="str">
            <v>Community School</v>
          </cell>
          <cell r="F16380" t="str">
            <v>Middle Deemed Secondary</v>
          </cell>
        </row>
        <row r="16381">
          <cell r="A16381">
            <v>8913785</v>
          </cell>
          <cell r="B16381">
            <v>133433</v>
          </cell>
          <cell r="C16381" t="str">
            <v>Kingston Park Primary and Nursery School</v>
          </cell>
          <cell r="D16381" t="str">
            <v>Nottinghamshire</v>
          </cell>
          <cell r="E16381" t="str">
            <v>Community School</v>
          </cell>
          <cell r="F16381" t="str">
            <v>Primary</v>
          </cell>
        </row>
        <row r="16382">
          <cell r="A16382">
            <v>3912996</v>
          </cell>
          <cell r="B16382">
            <v>108490</v>
          </cell>
          <cell r="C16382" t="str">
            <v>Kingston Park Primary School</v>
          </cell>
          <cell r="D16382" t="str">
            <v>Newcastle upon Tyne</v>
          </cell>
          <cell r="E16382" t="str">
            <v>Community School</v>
          </cell>
          <cell r="F16382" t="str">
            <v>Primary</v>
          </cell>
        </row>
        <row r="16383">
          <cell r="A16383">
            <v>8812696</v>
          </cell>
          <cell r="B16383">
            <v>114954</v>
          </cell>
          <cell r="C16383" t="str">
            <v>Kingston School</v>
          </cell>
          <cell r="D16383" t="str">
            <v>Essex</v>
          </cell>
          <cell r="E16383" t="str">
            <v>Foundation School</v>
          </cell>
          <cell r="F16383" t="str">
            <v>Primary</v>
          </cell>
        </row>
        <row r="16384">
          <cell r="A16384">
            <v>8104000</v>
          </cell>
          <cell r="B16384">
            <v>118060</v>
          </cell>
          <cell r="C16384" t="str">
            <v>Kingston School</v>
          </cell>
          <cell r="D16384" t="str">
            <v>Kingston upon Hull City of</v>
          </cell>
          <cell r="E16384" t="str">
            <v>Community School</v>
          </cell>
          <cell r="F16384" t="str">
            <v>Secondary</v>
          </cell>
        </row>
        <row r="16385">
          <cell r="A16385">
            <v>8812696</v>
          </cell>
          <cell r="B16385">
            <v>137220</v>
          </cell>
          <cell r="C16385" t="str">
            <v>Kingston School</v>
          </cell>
          <cell r="D16385" t="str">
            <v>Essex</v>
          </cell>
          <cell r="E16385" t="str">
            <v>Academy Converters</v>
          </cell>
          <cell r="F16385" t="str">
            <v>Primary</v>
          </cell>
        </row>
        <row r="16386">
          <cell r="A16386">
            <v>9333180</v>
          </cell>
          <cell r="B16386">
            <v>123795</v>
          </cell>
          <cell r="C16386" t="str">
            <v>Kingston St Mary Church of England Primary School</v>
          </cell>
          <cell r="D16386" t="str">
            <v>Somerset</v>
          </cell>
          <cell r="E16386" t="str">
            <v>Voluntary Controlled School</v>
          </cell>
          <cell r="F16386" t="str">
            <v>Primary</v>
          </cell>
        </row>
        <row r="16387">
          <cell r="A16387">
            <v>314</v>
          </cell>
          <cell r="B16387">
            <v>133825</v>
          </cell>
          <cell r="C16387" t="str">
            <v>Kingston University</v>
          </cell>
          <cell r="D16387" t="str">
            <v>Kingston upon Thames</v>
          </cell>
          <cell r="E16387" t="str">
            <v>Higher Education Institutions</v>
          </cell>
          <cell r="F16387" t="str">
            <v>Not applicable</v>
          </cell>
        </row>
        <row r="16388">
          <cell r="A16388">
            <v>8842095</v>
          </cell>
          <cell r="B16388">
            <v>116700</v>
          </cell>
          <cell r="C16388" t="str">
            <v>Kingstone and Thruxton Primary School</v>
          </cell>
          <cell r="D16388" t="str">
            <v>Herefordshire</v>
          </cell>
          <cell r="E16388" t="str">
            <v>Community School</v>
          </cell>
          <cell r="F16388" t="str">
            <v>Primary</v>
          </cell>
        </row>
        <row r="16389">
          <cell r="A16389">
            <v>8842095</v>
          </cell>
          <cell r="B16389">
            <v>137415</v>
          </cell>
          <cell r="C16389" t="str">
            <v>Kingstone and Thruxton Primary School</v>
          </cell>
          <cell r="D16389" t="str">
            <v>Herefordshire</v>
          </cell>
          <cell r="E16389" t="str">
            <v>Academy Converters</v>
          </cell>
          <cell r="F16389" t="str">
            <v>Primary</v>
          </cell>
        </row>
        <row r="16390">
          <cell r="A16390">
            <v>8844021</v>
          </cell>
          <cell r="B16390">
            <v>116939</v>
          </cell>
          <cell r="C16390" t="str">
            <v>Kingstone High School</v>
          </cell>
          <cell r="D16390" t="str">
            <v>Herefordshire</v>
          </cell>
          <cell r="E16390" t="str">
            <v>Community School</v>
          </cell>
          <cell r="F16390" t="str">
            <v>Secondary</v>
          </cell>
        </row>
        <row r="16391">
          <cell r="A16391">
            <v>8844021</v>
          </cell>
          <cell r="B16391">
            <v>137073</v>
          </cell>
          <cell r="C16391" t="str">
            <v>Kingstone High School</v>
          </cell>
          <cell r="D16391" t="str">
            <v>Herefordshire</v>
          </cell>
          <cell r="E16391" t="str">
            <v>Academy Converters</v>
          </cell>
          <cell r="F16391" t="str">
            <v>Secondary</v>
          </cell>
        </row>
        <row r="16392">
          <cell r="A16392">
            <v>8776005</v>
          </cell>
          <cell r="B16392">
            <v>135324</v>
          </cell>
          <cell r="C16392" t="str">
            <v>Kingsway - Green Corns</v>
          </cell>
          <cell r="D16392" t="str">
            <v>Warrington</v>
          </cell>
          <cell r="E16392" t="str">
            <v>Other Independent Special School</v>
          </cell>
          <cell r="F16392" t="str">
            <v>Not applicable</v>
          </cell>
        </row>
        <row r="16393">
          <cell r="A16393">
            <v>9361104</v>
          </cell>
          <cell r="B16393">
            <v>124920</v>
          </cell>
          <cell r="C16393" t="str">
            <v>Kingsway Centre</v>
          </cell>
          <cell r="D16393" t="str">
            <v>Surrey</v>
          </cell>
          <cell r="E16393" t="str">
            <v>Pupil Referral Unit</v>
          </cell>
          <cell r="F16393" t="str">
            <v>PRU</v>
          </cell>
        </row>
        <row r="16394">
          <cell r="A16394">
            <v>2028017</v>
          </cell>
          <cell r="B16394">
            <v>130402</v>
          </cell>
          <cell r="C16394" t="str">
            <v>Kingsway College</v>
          </cell>
          <cell r="D16394" t="str">
            <v>Camden</v>
          </cell>
          <cell r="E16394" t="str">
            <v>Further Education</v>
          </cell>
          <cell r="F16394" t="str">
            <v>16 Plus</v>
          </cell>
        </row>
        <row r="16395">
          <cell r="A16395">
            <v>9372638</v>
          </cell>
          <cell r="B16395">
            <v>130872</v>
          </cell>
          <cell r="C16395" t="str">
            <v>Kingsway Community Primary School</v>
          </cell>
          <cell r="D16395" t="str">
            <v>Warwickshire</v>
          </cell>
          <cell r="E16395" t="str">
            <v>Community School</v>
          </cell>
          <cell r="F16395" t="str">
            <v>Primary</v>
          </cell>
        </row>
        <row r="16396">
          <cell r="A16396">
            <v>8754005</v>
          </cell>
          <cell r="B16396">
            <v>111395</v>
          </cell>
          <cell r="C16396" t="str">
            <v>Kingsway High School</v>
          </cell>
          <cell r="D16396" t="str">
            <v>Pre LGR (2009) Cheshire</v>
          </cell>
          <cell r="E16396" t="str">
            <v>Community School</v>
          </cell>
          <cell r="F16396" t="str">
            <v>Secondary</v>
          </cell>
        </row>
        <row r="16397">
          <cell r="A16397">
            <v>9192395</v>
          </cell>
          <cell r="B16397">
            <v>117317</v>
          </cell>
          <cell r="C16397" t="str">
            <v>Kingsway Infants' School</v>
          </cell>
          <cell r="D16397" t="str">
            <v>Hertfordshire</v>
          </cell>
          <cell r="E16397" t="str">
            <v>Community School</v>
          </cell>
          <cell r="F16397" t="str">
            <v>Primary</v>
          </cell>
        </row>
        <row r="16398">
          <cell r="A16398">
            <v>9192133</v>
          </cell>
          <cell r="B16398">
            <v>117168</v>
          </cell>
          <cell r="C16398" t="str">
            <v>Kingsway Junior School</v>
          </cell>
          <cell r="D16398" t="str">
            <v>Hertfordshire</v>
          </cell>
          <cell r="E16398" t="str">
            <v>Community School</v>
          </cell>
          <cell r="F16398" t="str">
            <v>Primary</v>
          </cell>
        </row>
        <row r="16399">
          <cell r="A16399">
            <v>3544059</v>
          </cell>
          <cell r="B16399">
            <v>127443</v>
          </cell>
          <cell r="C16399" t="str">
            <v>Kingsway Middle School</v>
          </cell>
          <cell r="D16399" t="str">
            <v>Rochdale</v>
          </cell>
          <cell r="E16399" t="str">
            <v>Community School</v>
          </cell>
          <cell r="F16399" t="str">
            <v>Middle Deemed Secondary</v>
          </cell>
        </row>
        <row r="16400">
          <cell r="A16400">
            <v>9204490</v>
          </cell>
          <cell r="B16400">
            <v>129318</v>
          </cell>
          <cell r="C16400" t="str">
            <v>Kingsway Middle School</v>
          </cell>
          <cell r="D16400" t="str">
            <v>Pre LGR (1996) Humberside</v>
          </cell>
          <cell r="E16400" t="str">
            <v>Community School</v>
          </cell>
          <cell r="F16400" t="str">
            <v>Middle Deemed Secondary</v>
          </cell>
        </row>
        <row r="16401">
          <cell r="A16401">
            <v>3545402</v>
          </cell>
          <cell r="B16401">
            <v>135795</v>
          </cell>
          <cell r="C16401" t="str">
            <v>Kingsway Park High School</v>
          </cell>
          <cell r="D16401" t="str">
            <v>Rochdale</v>
          </cell>
          <cell r="E16401" t="str">
            <v>Foundation School</v>
          </cell>
          <cell r="F16401" t="str">
            <v>Secondary</v>
          </cell>
        </row>
        <row r="16402">
          <cell r="A16402">
            <v>3442108</v>
          </cell>
          <cell r="B16402">
            <v>104997</v>
          </cell>
          <cell r="C16402" t="str">
            <v>Kingsway Primary School</v>
          </cell>
          <cell r="D16402" t="str">
            <v>Wirral</v>
          </cell>
          <cell r="E16402" t="str">
            <v>Community School</v>
          </cell>
          <cell r="F16402" t="str">
            <v>Primary</v>
          </cell>
        </row>
        <row r="16403">
          <cell r="A16403">
            <v>3582063</v>
          </cell>
          <cell r="B16403">
            <v>106334</v>
          </cell>
          <cell r="C16403" t="str">
            <v>Kingsway Primary School</v>
          </cell>
          <cell r="D16403" t="str">
            <v>Trafford</v>
          </cell>
          <cell r="E16403" t="str">
            <v>Community School</v>
          </cell>
          <cell r="F16403" t="str">
            <v>Primary</v>
          </cell>
        </row>
        <row r="16404">
          <cell r="A16404">
            <v>8112909</v>
          </cell>
          <cell r="B16404">
            <v>117936</v>
          </cell>
          <cell r="C16404" t="str">
            <v>Kingsway Primary School</v>
          </cell>
          <cell r="D16404" t="str">
            <v>East Riding of Yorkshire</v>
          </cell>
          <cell r="E16404" t="str">
            <v>Community School</v>
          </cell>
          <cell r="F16404" t="str">
            <v>Primary</v>
          </cell>
        </row>
        <row r="16405">
          <cell r="A16405">
            <v>8552181</v>
          </cell>
          <cell r="B16405">
            <v>119985</v>
          </cell>
          <cell r="C16405" t="str">
            <v>Kingsway Primary School</v>
          </cell>
          <cell r="D16405" t="str">
            <v>Leicestershire</v>
          </cell>
          <cell r="E16405" t="str">
            <v>Community School</v>
          </cell>
          <cell r="F16405" t="str">
            <v>Primary</v>
          </cell>
        </row>
        <row r="16406">
          <cell r="A16406">
            <v>8912912</v>
          </cell>
          <cell r="B16406">
            <v>122716</v>
          </cell>
          <cell r="C16406" t="str">
            <v>Kingsway Primary School</v>
          </cell>
          <cell r="D16406" t="str">
            <v>Nottinghamshire</v>
          </cell>
          <cell r="E16406" t="str">
            <v>Community School</v>
          </cell>
          <cell r="F16406" t="str">
            <v>Primary</v>
          </cell>
        </row>
        <row r="16407">
          <cell r="A16407">
            <v>9163373</v>
          </cell>
          <cell r="B16407">
            <v>135353</v>
          </cell>
          <cell r="C16407" t="str">
            <v>Kingsway Primary School</v>
          </cell>
          <cell r="D16407" t="str">
            <v>Gloucestershire</v>
          </cell>
          <cell r="E16407" t="str">
            <v>Community School</v>
          </cell>
          <cell r="F16407" t="str">
            <v>Primary</v>
          </cell>
        </row>
        <row r="16408">
          <cell r="A16408">
            <v>3596091</v>
          </cell>
          <cell r="B16408">
            <v>106541</v>
          </cell>
          <cell r="C16408" t="str">
            <v>Kingsway School</v>
          </cell>
          <cell r="D16408" t="str">
            <v>Wigan</v>
          </cell>
          <cell r="E16408" t="str">
            <v>Other Independent School</v>
          </cell>
          <cell r="F16408" t="str">
            <v>Not applicable</v>
          </cell>
        </row>
        <row r="16409">
          <cell r="A16409">
            <v>9386240</v>
          </cell>
          <cell r="B16409">
            <v>126147</v>
          </cell>
          <cell r="C16409" t="str">
            <v>Kingsway School</v>
          </cell>
          <cell r="D16409" t="str">
            <v>West Sussex</v>
          </cell>
          <cell r="E16409" t="str">
            <v>Other Independent School</v>
          </cell>
          <cell r="F16409" t="str">
            <v>Not applicable</v>
          </cell>
        </row>
        <row r="16410">
          <cell r="A16410">
            <v>8782427</v>
          </cell>
          <cell r="B16410">
            <v>113206</v>
          </cell>
          <cell r="C16410" t="str">
            <v>Kingswear Community Primary School</v>
          </cell>
          <cell r="D16410" t="str">
            <v>Devon</v>
          </cell>
          <cell r="E16410" t="str">
            <v>Community School</v>
          </cell>
          <cell r="F16410" t="str">
            <v>Primary</v>
          </cell>
        </row>
        <row r="16411">
          <cell r="A16411">
            <v>8912220</v>
          </cell>
          <cell r="B16411">
            <v>122517</v>
          </cell>
          <cell r="C16411" t="str">
            <v>Kingswell Junior School</v>
          </cell>
          <cell r="D16411" t="str">
            <v>Nottinghamshire</v>
          </cell>
          <cell r="E16411" t="str">
            <v>Community School</v>
          </cell>
          <cell r="F16411" t="str">
            <v>Primary</v>
          </cell>
        </row>
        <row r="16412">
          <cell r="A16412">
            <v>8017002</v>
          </cell>
          <cell r="B16412">
            <v>109386</v>
          </cell>
          <cell r="C16412" t="str">
            <v>Kingsweston School</v>
          </cell>
          <cell r="D16412" t="str">
            <v>Bristol City of</v>
          </cell>
          <cell r="E16412" t="str">
            <v>Community Special School</v>
          </cell>
          <cell r="F16412" t="str">
            <v>Special</v>
          </cell>
        </row>
        <row r="16413">
          <cell r="A16413">
            <v>3321006</v>
          </cell>
          <cell r="B16413">
            <v>133126</v>
          </cell>
          <cell r="C16413" t="str">
            <v>Kingswinford Nursery School</v>
          </cell>
          <cell r="D16413" t="str">
            <v>Dudley</v>
          </cell>
          <cell r="E16413" t="str">
            <v>LA Nursery School</v>
          </cell>
          <cell r="F16413" t="str">
            <v>Nursery</v>
          </cell>
        </row>
        <row r="16414">
          <cell r="A16414">
            <v>8817030</v>
          </cell>
          <cell r="B16414">
            <v>115453</v>
          </cell>
          <cell r="C16414" t="str">
            <v>Kingswode Hoe School</v>
          </cell>
          <cell r="D16414" t="str">
            <v>Essex</v>
          </cell>
          <cell r="E16414" t="str">
            <v>Community Special School</v>
          </cell>
          <cell r="F16414" t="str">
            <v>Special</v>
          </cell>
        </row>
        <row r="16415">
          <cell r="A16415">
            <v>9066071</v>
          </cell>
          <cell r="B16415">
            <v>128483</v>
          </cell>
          <cell r="C16415" t="str">
            <v>Kingswood College</v>
          </cell>
          <cell r="D16415" t="str">
            <v>Pre LGR (1998) Cheshire</v>
          </cell>
          <cell r="E16415" t="str">
            <v>Other Independent School</v>
          </cell>
          <cell r="F16415" t="str">
            <v>Not applicable</v>
          </cell>
        </row>
        <row r="16416">
          <cell r="A16416">
            <v>8104004</v>
          </cell>
          <cell r="B16416">
            <v>131918</v>
          </cell>
          <cell r="C16416" t="str">
            <v>Kingswood College of Arts</v>
          </cell>
          <cell r="D16416" t="str">
            <v>Kingston upon Hull City of</v>
          </cell>
          <cell r="E16416" t="str">
            <v>Foundation School</v>
          </cell>
          <cell r="F16416" t="str">
            <v>Secondary</v>
          </cell>
        </row>
        <row r="16417">
          <cell r="A16417">
            <v>9282129</v>
          </cell>
          <cell r="B16417">
            <v>121890</v>
          </cell>
          <cell r="C16417" t="str">
            <v>Kingswood Community Junior School</v>
          </cell>
          <cell r="D16417" t="str">
            <v>Northamptonshire</v>
          </cell>
          <cell r="E16417" t="str">
            <v>Community School</v>
          </cell>
          <cell r="F16417" t="str">
            <v>Primary</v>
          </cell>
        </row>
        <row r="16418">
          <cell r="A16418">
            <v>9366026</v>
          </cell>
          <cell r="B16418">
            <v>125329</v>
          </cell>
          <cell r="C16418" t="str">
            <v>Kingswood House School</v>
          </cell>
          <cell r="D16418" t="str">
            <v>Surrey</v>
          </cell>
          <cell r="E16418" t="str">
            <v>Other Independent School</v>
          </cell>
          <cell r="F16418" t="str">
            <v>Not applicable</v>
          </cell>
        </row>
        <row r="16419">
          <cell r="A16419">
            <v>8815227</v>
          </cell>
          <cell r="B16419">
            <v>115267</v>
          </cell>
          <cell r="C16419" t="str">
            <v>Kingswood Infant School</v>
          </cell>
          <cell r="D16419" t="str">
            <v>Essex</v>
          </cell>
          <cell r="E16419" t="str">
            <v>Foundation School</v>
          </cell>
          <cell r="F16419" t="str">
            <v>Primary</v>
          </cell>
        </row>
        <row r="16420">
          <cell r="A16420">
            <v>9191016</v>
          </cell>
          <cell r="B16420">
            <v>117076</v>
          </cell>
          <cell r="C16420" t="str">
            <v>Kingswood Nursery School</v>
          </cell>
          <cell r="D16420" t="str">
            <v>Hertfordshire</v>
          </cell>
          <cell r="E16420" t="str">
            <v>LA Nursery School</v>
          </cell>
          <cell r="F16420" t="str">
            <v>Nursery</v>
          </cell>
        </row>
        <row r="16421">
          <cell r="A16421">
            <v>8006003</v>
          </cell>
          <cell r="B16421">
            <v>109349</v>
          </cell>
          <cell r="C16421" t="str">
            <v>Kingswood Preparatory School</v>
          </cell>
          <cell r="D16421" t="str">
            <v>Bath and North East Somerset</v>
          </cell>
          <cell r="E16421" t="str">
            <v>Other Independent School</v>
          </cell>
          <cell r="F16421" t="str">
            <v>Not applicable</v>
          </cell>
        </row>
        <row r="16422">
          <cell r="A16422">
            <v>2082359</v>
          </cell>
          <cell r="B16422">
            <v>100574</v>
          </cell>
          <cell r="C16422" t="str">
            <v>Kingswood Primary School</v>
          </cell>
          <cell r="D16422" t="str">
            <v>Lambeth</v>
          </cell>
          <cell r="E16422" t="str">
            <v>Community School</v>
          </cell>
          <cell r="F16422" t="str">
            <v>Primary</v>
          </cell>
        </row>
        <row r="16423">
          <cell r="A16423">
            <v>9162075</v>
          </cell>
          <cell r="B16423">
            <v>115529</v>
          </cell>
          <cell r="C16423" t="str">
            <v>Kingswood Primary School</v>
          </cell>
          <cell r="D16423" t="str">
            <v>Gloucestershire</v>
          </cell>
          <cell r="E16423" t="str">
            <v>Community School</v>
          </cell>
          <cell r="F16423" t="str">
            <v>Primary</v>
          </cell>
        </row>
        <row r="16424">
          <cell r="A16424">
            <v>8862578</v>
          </cell>
          <cell r="B16424">
            <v>118524</v>
          </cell>
          <cell r="C16424" t="str">
            <v>Kingswood Primary School</v>
          </cell>
          <cell r="D16424" t="str">
            <v>Kent</v>
          </cell>
          <cell r="E16424" t="str">
            <v>Community School</v>
          </cell>
          <cell r="F16424" t="str">
            <v>Primary</v>
          </cell>
        </row>
        <row r="16425">
          <cell r="A16425">
            <v>9362008</v>
          </cell>
          <cell r="B16425">
            <v>124937</v>
          </cell>
          <cell r="C16425" t="str">
            <v>Kingswood Primary School</v>
          </cell>
          <cell r="D16425" t="str">
            <v>Surrey</v>
          </cell>
          <cell r="E16425" t="str">
            <v>Community School</v>
          </cell>
          <cell r="F16425" t="str">
            <v>Primary</v>
          </cell>
        </row>
        <row r="16426">
          <cell r="A16426">
            <v>3346009</v>
          </cell>
          <cell r="B16426">
            <v>104128</v>
          </cell>
          <cell r="C16426" t="str">
            <v>Kingswood School</v>
          </cell>
          <cell r="D16426" t="str">
            <v>Solihull</v>
          </cell>
          <cell r="E16426" t="str">
            <v>Other Independent School</v>
          </cell>
          <cell r="F16426" t="str">
            <v>Not applicable</v>
          </cell>
        </row>
        <row r="16427">
          <cell r="A16427">
            <v>3436024</v>
          </cell>
          <cell r="B16427">
            <v>104969</v>
          </cell>
          <cell r="C16427" t="str">
            <v>Kingswood School</v>
          </cell>
          <cell r="D16427" t="str">
            <v>Sefton</v>
          </cell>
          <cell r="E16427" t="str">
            <v>Other Independent School</v>
          </cell>
          <cell r="F16427" t="str">
            <v>Not applicable</v>
          </cell>
        </row>
        <row r="16428">
          <cell r="A16428">
            <v>8006000</v>
          </cell>
          <cell r="B16428">
            <v>109346</v>
          </cell>
          <cell r="C16428" t="str">
            <v>Kingswood School</v>
          </cell>
          <cell r="D16428" t="str">
            <v>Bath and North East Somerset</v>
          </cell>
          <cell r="E16428" t="str">
            <v>Other Independent School</v>
          </cell>
          <cell r="F16428" t="str">
            <v>Not applicable</v>
          </cell>
        </row>
        <row r="16429">
          <cell r="A16429">
            <v>8842096</v>
          </cell>
          <cell r="B16429">
            <v>116701</v>
          </cell>
          <cell r="C16429" t="str">
            <v>Kington Primary School</v>
          </cell>
          <cell r="D16429" t="str">
            <v>Herefordshire</v>
          </cell>
          <cell r="E16429" t="str">
            <v>Community School</v>
          </cell>
          <cell r="F16429" t="str">
            <v>Primary</v>
          </cell>
        </row>
        <row r="16430">
          <cell r="A16430">
            <v>8653096</v>
          </cell>
          <cell r="B16430">
            <v>126332</v>
          </cell>
          <cell r="C16430" t="str">
            <v>Kington St Michael Church of England Primary School</v>
          </cell>
          <cell r="D16430" t="str">
            <v>Wiltshire</v>
          </cell>
          <cell r="E16430" t="str">
            <v>Voluntary Controlled School</v>
          </cell>
          <cell r="F16430" t="str">
            <v>Primary</v>
          </cell>
        </row>
        <row r="16431">
          <cell r="A16431">
            <v>8933057</v>
          </cell>
          <cell r="B16431">
            <v>123480</v>
          </cell>
          <cell r="C16431" t="str">
            <v>Kinlet CofE Primary School</v>
          </cell>
          <cell r="D16431" t="str">
            <v>Shropshire</v>
          </cell>
          <cell r="E16431" t="str">
            <v>Voluntary Controlled School</v>
          </cell>
          <cell r="F16431" t="str">
            <v>Primary</v>
          </cell>
        </row>
        <row r="16432">
          <cell r="A16432">
            <v>8109904</v>
          </cell>
          <cell r="B16432">
            <v>133503</v>
          </cell>
          <cell r="C16432" t="str">
            <v>Kinloss Family Resource Centre</v>
          </cell>
          <cell r="D16432" t="str">
            <v>Kingston upon Hull City of</v>
          </cell>
          <cell r="E16432" t="str">
            <v>Miscellaneous</v>
          </cell>
          <cell r="F16432" t="str">
            <v>Not applicable</v>
          </cell>
        </row>
        <row r="16433">
          <cell r="A16433">
            <v>9204480</v>
          </cell>
          <cell r="B16433">
            <v>129310</v>
          </cell>
          <cell r="C16433" t="str">
            <v>Kinloss Junior High School</v>
          </cell>
          <cell r="D16433" t="str">
            <v>Pre LGR (1996) Humberside</v>
          </cell>
          <cell r="E16433" t="str">
            <v>Community School</v>
          </cell>
          <cell r="F16433" t="str">
            <v>Secondary</v>
          </cell>
        </row>
        <row r="16434">
          <cell r="A16434">
            <v>8102823</v>
          </cell>
          <cell r="B16434">
            <v>117899</v>
          </cell>
          <cell r="C16434" t="str">
            <v>Kinloss Primary School</v>
          </cell>
          <cell r="D16434" t="str">
            <v>Kingston upon Hull City of</v>
          </cell>
          <cell r="E16434" t="str">
            <v>Community School</v>
          </cell>
          <cell r="F16434" t="str">
            <v>Primary</v>
          </cell>
        </row>
        <row r="16435">
          <cell r="A16435">
            <v>8856029</v>
          </cell>
          <cell r="B16435">
            <v>117040</v>
          </cell>
          <cell r="C16435" t="str">
            <v>Kinloss School</v>
          </cell>
          <cell r="D16435" t="str">
            <v>Worcestershire</v>
          </cell>
          <cell r="E16435" t="str">
            <v>Other Independent School</v>
          </cell>
          <cell r="F16435" t="str">
            <v>Not applicable</v>
          </cell>
        </row>
        <row r="16436">
          <cell r="A16436">
            <v>8933058</v>
          </cell>
          <cell r="B16436">
            <v>123481</v>
          </cell>
          <cell r="C16436" t="str">
            <v>Kinnerley Church of England Controlled Primary School</v>
          </cell>
          <cell r="D16436" t="str">
            <v>Shropshire</v>
          </cell>
          <cell r="E16436" t="str">
            <v>Voluntary Controlled School</v>
          </cell>
          <cell r="F16436" t="str">
            <v>Primary</v>
          </cell>
        </row>
        <row r="16437">
          <cell r="A16437">
            <v>9343070</v>
          </cell>
          <cell r="B16437">
            <v>129915</v>
          </cell>
          <cell r="C16437" t="str">
            <v>Kinnersley Memorial CofE Junior School</v>
          </cell>
          <cell r="D16437" t="str">
            <v>Pre LGR (1997) Staffordshire</v>
          </cell>
          <cell r="E16437" t="str">
            <v>Voluntary Controlled School</v>
          </cell>
          <cell r="F16437" t="str">
            <v>Primary</v>
          </cell>
        </row>
        <row r="16438">
          <cell r="A16438">
            <v>8912769</v>
          </cell>
          <cell r="B16438">
            <v>122651</v>
          </cell>
          <cell r="C16438" t="str">
            <v>Kinoulton Primary School</v>
          </cell>
          <cell r="D16438" t="str">
            <v>Nottinghamshire</v>
          </cell>
          <cell r="E16438" t="str">
            <v>Community School</v>
          </cell>
          <cell r="F16438" t="str">
            <v>Primary</v>
          </cell>
        </row>
        <row r="16439">
          <cell r="A16439">
            <v>9262361</v>
          </cell>
          <cell r="B16439">
            <v>120984</v>
          </cell>
          <cell r="C16439" t="str">
            <v>Kinsale Infant School</v>
          </cell>
          <cell r="D16439" t="str">
            <v>Norfolk</v>
          </cell>
          <cell r="E16439" t="str">
            <v>Community School</v>
          </cell>
          <cell r="F16439" t="str">
            <v>Primary</v>
          </cell>
        </row>
        <row r="16440">
          <cell r="A16440">
            <v>9262362</v>
          </cell>
          <cell r="B16440">
            <v>120985</v>
          </cell>
          <cell r="C16440" t="str">
            <v>Kinsale Junior School</v>
          </cell>
          <cell r="D16440" t="str">
            <v>Norfolk</v>
          </cell>
          <cell r="E16440" t="str">
            <v>Community School</v>
          </cell>
          <cell r="F16440" t="str">
            <v>Primary</v>
          </cell>
        </row>
        <row r="16441">
          <cell r="A16441">
            <v>6646004</v>
          </cell>
          <cell r="B16441">
            <v>402199</v>
          </cell>
          <cell r="C16441" t="str">
            <v>Kinsale School</v>
          </cell>
          <cell r="D16441" t="str">
            <v>Flintshire</v>
          </cell>
          <cell r="E16441" t="str">
            <v>Welsh Establishment</v>
          </cell>
          <cell r="F16441" t="str">
            <v>Not applicable</v>
          </cell>
        </row>
        <row r="16442">
          <cell r="A16442">
            <v>3842097</v>
          </cell>
          <cell r="B16442">
            <v>108175</v>
          </cell>
          <cell r="C16442" t="str">
            <v>Kinsley First School</v>
          </cell>
          <cell r="D16442" t="str">
            <v>Wakefield</v>
          </cell>
          <cell r="E16442" t="str">
            <v>Community School</v>
          </cell>
          <cell r="F16442" t="str">
            <v>Primary</v>
          </cell>
        </row>
        <row r="16443">
          <cell r="A16443">
            <v>3844035</v>
          </cell>
          <cell r="B16443">
            <v>108287</v>
          </cell>
          <cell r="C16443" t="str">
            <v>Kinsley Middle School</v>
          </cell>
          <cell r="D16443" t="str">
            <v>Wakefield</v>
          </cell>
          <cell r="E16443" t="str">
            <v>Community School</v>
          </cell>
          <cell r="F16443" t="str">
            <v>Middle Deemed Secondary</v>
          </cell>
        </row>
        <row r="16444">
          <cell r="A16444">
            <v>3842198</v>
          </cell>
          <cell r="B16444">
            <v>130969</v>
          </cell>
          <cell r="C16444" t="str">
            <v>Kinsley Primary (J and I) School</v>
          </cell>
          <cell r="D16444" t="str">
            <v>Wakefield</v>
          </cell>
          <cell r="E16444" t="str">
            <v>Community School</v>
          </cell>
          <cell r="F16444" t="str">
            <v>Primary</v>
          </cell>
        </row>
        <row r="16445">
          <cell r="A16445">
            <v>8372225</v>
          </cell>
          <cell r="B16445">
            <v>113724</v>
          </cell>
          <cell r="C16445" t="str">
            <v>Kinson Primary School</v>
          </cell>
          <cell r="D16445" t="str">
            <v>Bournemouth</v>
          </cell>
          <cell r="E16445" t="str">
            <v>Community School</v>
          </cell>
          <cell r="F16445" t="str">
            <v>Primary</v>
          </cell>
        </row>
        <row r="16446">
          <cell r="A16446">
            <v>8693029</v>
          </cell>
          <cell r="B16446">
            <v>109967</v>
          </cell>
          <cell r="C16446" t="str">
            <v>Kintbury St Mary's C.E. Primary School</v>
          </cell>
          <cell r="D16446" t="str">
            <v>West Berkshire</v>
          </cell>
          <cell r="E16446" t="str">
            <v>Voluntary Controlled School</v>
          </cell>
          <cell r="F16446" t="str">
            <v>Primary</v>
          </cell>
        </row>
        <row r="16447">
          <cell r="A16447">
            <v>2101000</v>
          </cell>
          <cell r="B16447">
            <v>100767</v>
          </cell>
          <cell r="C16447" t="str">
            <v>Kintore Way Children's Centre</v>
          </cell>
          <cell r="D16447" t="str">
            <v>Southwark</v>
          </cell>
          <cell r="E16447" t="str">
            <v>LA Nursery School</v>
          </cell>
          <cell r="F16447" t="str">
            <v>Nursery</v>
          </cell>
        </row>
        <row r="16448">
          <cell r="A16448">
            <v>2059902</v>
          </cell>
          <cell r="B16448">
            <v>133629</v>
          </cell>
          <cell r="C16448" t="str">
            <v>Kip McGrath Education Centre</v>
          </cell>
          <cell r="D16448" t="str">
            <v>Hammersmith and Fulham</v>
          </cell>
          <cell r="E16448" t="str">
            <v>Miscellaneous</v>
          </cell>
          <cell r="F16448" t="str">
            <v>Not applicable</v>
          </cell>
        </row>
        <row r="16449">
          <cell r="A16449">
            <v>3832801</v>
          </cell>
          <cell r="B16449">
            <v>131467</v>
          </cell>
          <cell r="C16449" t="str">
            <v>Kippax Ash Tree Primary School</v>
          </cell>
          <cell r="D16449" t="str">
            <v>Leeds</v>
          </cell>
          <cell r="E16449" t="str">
            <v>Foundation School</v>
          </cell>
          <cell r="F16449" t="str">
            <v>Primary</v>
          </cell>
        </row>
        <row r="16450">
          <cell r="A16450">
            <v>3832384</v>
          </cell>
          <cell r="B16450">
            <v>107867</v>
          </cell>
          <cell r="C16450" t="str">
            <v>Kippax Greenfield Primary School</v>
          </cell>
          <cell r="D16450" t="str">
            <v>Leeds</v>
          </cell>
          <cell r="E16450" t="str">
            <v>Foundation School</v>
          </cell>
          <cell r="F16450" t="str">
            <v>Primary</v>
          </cell>
        </row>
        <row r="16451">
          <cell r="A16451">
            <v>3832281</v>
          </cell>
          <cell r="B16451">
            <v>107815</v>
          </cell>
          <cell r="C16451" t="str">
            <v>Kippax Infant School</v>
          </cell>
          <cell r="D16451" t="str">
            <v>Leeds</v>
          </cell>
          <cell r="E16451" t="str">
            <v>Community School</v>
          </cell>
          <cell r="F16451" t="str">
            <v>Primary</v>
          </cell>
        </row>
        <row r="16452">
          <cell r="A16452">
            <v>3832381</v>
          </cell>
          <cell r="B16452">
            <v>127910</v>
          </cell>
          <cell r="C16452" t="str">
            <v>Kippax North Infant School</v>
          </cell>
          <cell r="D16452" t="str">
            <v>Leeds</v>
          </cell>
          <cell r="E16452" t="str">
            <v>Community School</v>
          </cell>
          <cell r="F16452" t="str">
            <v>Primary</v>
          </cell>
        </row>
        <row r="16453">
          <cell r="A16453">
            <v>3832333</v>
          </cell>
          <cell r="B16453">
            <v>127896</v>
          </cell>
          <cell r="C16453" t="str">
            <v>Kippax North Junior School</v>
          </cell>
          <cell r="D16453" t="str">
            <v>Leeds</v>
          </cell>
          <cell r="E16453" t="str">
            <v>Community School</v>
          </cell>
          <cell r="F16453" t="str">
            <v>Primary</v>
          </cell>
        </row>
        <row r="16454">
          <cell r="A16454">
            <v>3832399</v>
          </cell>
          <cell r="B16454">
            <v>107875</v>
          </cell>
          <cell r="C16454" t="str">
            <v>Kippax North Junior, Infant &amp; Nursery School</v>
          </cell>
          <cell r="D16454" t="str">
            <v>Leeds</v>
          </cell>
          <cell r="E16454" t="str">
            <v>Foundation School</v>
          </cell>
          <cell r="F16454" t="str">
            <v>Primary</v>
          </cell>
        </row>
        <row r="16455">
          <cell r="A16455">
            <v>9078001</v>
          </cell>
          <cell r="B16455">
            <v>132873</v>
          </cell>
          <cell r="C16455" t="str">
            <v>Kirby College of Further Education</v>
          </cell>
          <cell r="D16455" t="str">
            <v>Pre LGR (1996) Cleveland</v>
          </cell>
          <cell r="E16455" t="str">
            <v>Miscellaneous</v>
          </cell>
          <cell r="F16455" t="str">
            <v>Not applicable</v>
          </cell>
        </row>
        <row r="16456">
          <cell r="A16456">
            <v>8153062</v>
          </cell>
          <cell r="B16456">
            <v>121504</v>
          </cell>
          <cell r="C16456" t="str">
            <v>Kirby Hill Church of England Primary School</v>
          </cell>
          <cell r="D16456" t="str">
            <v>North Yorkshire</v>
          </cell>
          <cell r="E16456" t="str">
            <v>Voluntary Controlled School</v>
          </cell>
          <cell r="F16456" t="str">
            <v>Primary</v>
          </cell>
        </row>
        <row r="16457">
          <cell r="A16457">
            <v>9096056</v>
          </cell>
          <cell r="B16457">
            <v>135410</v>
          </cell>
          <cell r="C16457" t="str">
            <v>Kirby Moor School</v>
          </cell>
          <cell r="D16457" t="str">
            <v>Cumbria</v>
          </cell>
          <cell r="E16457" t="str">
            <v>Other Independent Special School</v>
          </cell>
          <cell r="F16457" t="str">
            <v>Not applicable</v>
          </cell>
        </row>
        <row r="16458">
          <cell r="A16458">
            <v>8552055</v>
          </cell>
          <cell r="B16458">
            <v>119933</v>
          </cell>
          <cell r="C16458" t="str">
            <v>Kirby Muxloe Primary School</v>
          </cell>
          <cell r="D16458" t="str">
            <v>Leicestershire</v>
          </cell>
          <cell r="E16458" t="str">
            <v>Community School</v>
          </cell>
          <cell r="F16458" t="str">
            <v>Primary</v>
          </cell>
        </row>
        <row r="16459">
          <cell r="A16459">
            <v>8812029</v>
          </cell>
          <cell r="B16459">
            <v>114724</v>
          </cell>
          <cell r="C16459" t="str">
            <v>Kirby Primary School</v>
          </cell>
          <cell r="D16459" t="str">
            <v>Essex</v>
          </cell>
          <cell r="E16459" t="str">
            <v>Community School</v>
          </cell>
          <cell r="F16459" t="str">
            <v>Primary</v>
          </cell>
        </row>
        <row r="16460">
          <cell r="A16460">
            <v>9382039</v>
          </cell>
          <cell r="B16460">
            <v>125839</v>
          </cell>
          <cell r="C16460" t="str">
            <v>Kirdford Junior School</v>
          </cell>
          <cell r="D16460" t="str">
            <v>West Sussex</v>
          </cell>
          <cell r="E16460" t="str">
            <v>Community School</v>
          </cell>
          <cell r="F16460" t="str">
            <v>Primary</v>
          </cell>
        </row>
        <row r="16461">
          <cell r="A16461">
            <v>3704029</v>
          </cell>
          <cell r="B16461">
            <v>106654</v>
          </cell>
          <cell r="C16461" t="str">
            <v>Kirk Balk Community College</v>
          </cell>
          <cell r="D16461" t="str">
            <v>Barnsley</v>
          </cell>
          <cell r="E16461" t="str">
            <v>Community School</v>
          </cell>
          <cell r="F16461" t="str">
            <v>Secondary</v>
          </cell>
        </row>
        <row r="16462">
          <cell r="A16462">
            <v>9273250</v>
          </cell>
          <cell r="B16462">
            <v>129666</v>
          </cell>
          <cell r="C16462" t="str">
            <v>Kirk Deighton CofE School</v>
          </cell>
          <cell r="D16462" t="str">
            <v>Pre LGR (1996) North Yorkshire</v>
          </cell>
          <cell r="E16462" t="str">
            <v>Voluntary Controlled School</v>
          </cell>
          <cell r="F16462" t="str">
            <v>Primary</v>
          </cell>
        </row>
        <row r="16463">
          <cell r="A16463">
            <v>8112765</v>
          </cell>
          <cell r="B16463">
            <v>117881</v>
          </cell>
          <cell r="C16463" t="str">
            <v>Kirk Ella St Andrew's Community Primary School</v>
          </cell>
          <cell r="D16463" t="str">
            <v>East Riding of Yorkshire</v>
          </cell>
          <cell r="E16463" t="str">
            <v>Community School</v>
          </cell>
          <cell r="F16463" t="str">
            <v>Primary</v>
          </cell>
        </row>
        <row r="16464">
          <cell r="A16464">
            <v>8153251</v>
          </cell>
          <cell r="B16464">
            <v>121571</v>
          </cell>
          <cell r="C16464" t="str">
            <v>Kirk Fenton Parochial Church of England Voluntary Controlled Primary School</v>
          </cell>
          <cell r="D16464" t="str">
            <v>North Yorkshire</v>
          </cell>
          <cell r="E16464" t="str">
            <v>Voluntary Controlled School</v>
          </cell>
          <cell r="F16464" t="str">
            <v>Primary</v>
          </cell>
        </row>
        <row r="16465">
          <cell r="A16465">
            <v>8304169</v>
          </cell>
          <cell r="B16465">
            <v>112947</v>
          </cell>
          <cell r="C16465" t="str">
            <v>Kirk Hallam Community Technology and Sports College</v>
          </cell>
          <cell r="D16465" t="str">
            <v>Derbyshire</v>
          </cell>
          <cell r="E16465" t="str">
            <v>Community School</v>
          </cell>
          <cell r="F16465" t="str">
            <v>Secondary</v>
          </cell>
        </row>
        <row r="16466">
          <cell r="A16466">
            <v>8304169</v>
          </cell>
          <cell r="B16466">
            <v>136485</v>
          </cell>
          <cell r="C16466" t="str">
            <v>Kirk Hallam Community Technology and Sports College</v>
          </cell>
          <cell r="D16466" t="str">
            <v>Derbyshire</v>
          </cell>
          <cell r="E16466" t="str">
            <v>Academy Converters</v>
          </cell>
          <cell r="F16466" t="str">
            <v>Secondary</v>
          </cell>
        </row>
        <row r="16467">
          <cell r="A16467">
            <v>8301102</v>
          </cell>
          <cell r="B16467">
            <v>131632</v>
          </cell>
          <cell r="C16467" t="str">
            <v>Kirk Hallam Support Centre</v>
          </cell>
          <cell r="D16467" t="str">
            <v>Derbyshire</v>
          </cell>
          <cell r="E16467" t="str">
            <v>Pupil Referral Unit</v>
          </cell>
          <cell r="F16467" t="str">
            <v>PRU</v>
          </cell>
        </row>
        <row r="16468">
          <cell r="A16468">
            <v>8153252</v>
          </cell>
          <cell r="B16468">
            <v>121572</v>
          </cell>
          <cell r="C16468" t="str">
            <v>Kirk Hammerton Church of England Primary School</v>
          </cell>
          <cell r="D16468" t="str">
            <v>North Yorkshire</v>
          </cell>
          <cell r="E16468" t="str">
            <v>Voluntary Controlled School</v>
          </cell>
          <cell r="F16468" t="str">
            <v>Primary</v>
          </cell>
        </row>
        <row r="16469">
          <cell r="A16469">
            <v>8303060</v>
          </cell>
          <cell r="B16469">
            <v>112832</v>
          </cell>
          <cell r="C16469" t="str">
            <v>Kirk Ireton CofE Primary School</v>
          </cell>
          <cell r="D16469" t="str">
            <v>Derbyshire</v>
          </cell>
          <cell r="E16469" t="str">
            <v>Voluntary Controlled School</v>
          </cell>
          <cell r="F16469" t="str">
            <v>Primary</v>
          </cell>
        </row>
        <row r="16470">
          <cell r="A16470">
            <v>8303061</v>
          </cell>
          <cell r="B16470">
            <v>112833</v>
          </cell>
          <cell r="C16470" t="str">
            <v>Kirk Langley CofE Primary School</v>
          </cell>
          <cell r="D16470" t="str">
            <v>Derbyshire</v>
          </cell>
          <cell r="E16470" t="str">
            <v>Voluntary Controlled School</v>
          </cell>
          <cell r="F16470" t="str">
            <v>Primary</v>
          </cell>
        </row>
        <row r="16471">
          <cell r="A16471">
            <v>8402361</v>
          </cell>
          <cell r="B16471">
            <v>114074</v>
          </cell>
          <cell r="C16471" t="str">
            <v>Kirk Merrington Primary School</v>
          </cell>
          <cell r="D16471" t="str">
            <v>Durham</v>
          </cell>
          <cell r="E16471" t="str">
            <v>Community School</v>
          </cell>
          <cell r="F16471" t="str">
            <v>Primary</v>
          </cell>
        </row>
        <row r="16472">
          <cell r="A16472">
            <v>3712123</v>
          </cell>
          <cell r="B16472">
            <v>106704</v>
          </cell>
          <cell r="C16472" t="str">
            <v>Kirk Sandall Infant School</v>
          </cell>
          <cell r="D16472" t="str">
            <v>Doncaster</v>
          </cell>
          <cell r="E16472" t="str">
            <v>Foundation School</v>
          </cell>
          <cell r="F16472" t="str">
            <v>Primary</v>
          </cell>
        </row>
        <row r="16473">
          <cell r="A16473">
            <v>3712061</v>
          </cell>
          <cell r="B16473">
            <v>106674</v>
          </cell>
          <cell r="C16473" t="str">
            <v>Kirk Sandall Junior School</v>
          </cell>
          <cell r="D16473" t="str">
            <v>Doncaster</v>
          </cell>
          <cell r="E16473" t="str">
            <v>Foundation School</v>
          </cell>
          <cell r="F16473" t="str">
            <v>Primary</v>
          </cell>
        </row>
        <row r="16474">
          <cell r="A16474">
            <v>8153253</v>
          </cell>
          <cell r="B16474">
            <v>121573</v>
          </cell>
          <cell r="C16474" t="str">
            <v>Kirk Smeaton Church of England Voluntary Controlled Primary School</v>
          </cell>
          <cell r="D16474" t="str">
            <v>North Yorkshire</v>
          </cell>
          <cell r="E16474" t="str">
            <v>Voluntary Controlled School</v>
          </cell>
          <cell r="F16474" t="str">
            <v>Primary</v>
          </cell>
        </row>
        <row r="16475">
          <cell r="A16475">
            <v>9092034</v>
          </cell>
          <cell r="B16475">
            <v>128569</v>
          </cell>
          <cell r="C16475" t="str">
            <v>Kirkandrews On Eden School</v>
          </cell>
          <cell r="D16475" t="str">
            <v>Cumbria</v>
          </cell>
          <cell r="E16475" t="str">
            <v>Community School</v>
          </cell>
          <cell r="F16475" t="str">
            <v>Primary</v>
          </cell>
        </row>
        <row r="16476">
          <cell r="A16476">
            <v>9093018</v>
          </cell>
          <cell r="B16476">
            <v>112252</v>
          </cell>
          <cell r="C16476" t="str">
            <v>Kirkbampton CofE School</v>
          </cell>
          <cell r="D16476" t="str">
            <v>Cumbria</v>
          </cell>
          <cell r="E16476" t="str">
            <v>Voluntary Controlled School</v>
          </cell>
          <cell r="F16476" t="str">
            <v>Primary</v>
          </cell>
        </row>
        <row r="16477">
          <cell r="A16477">
            <v>9095400</v>
          </cell>
          <cell r="B16477">
            <v>112427</v>
          </cell>
          <cell r="C16477" t="str">
            <v>Kirkbie Kendal School</v>
          </cell>
          <cell r="D16477" t="str">
            <v>Cumbria</v>
          </cell>
          <cell r="E16477" t="str">
            <v>Foundation School</v>
          </cell>
          <cell r="F16477" t="str">
            <v>Secondary</v>
          </cell>
        </row>
        <row r="16478">
          <cell r="A16478">
            <v>9095400</v>
          </cell>
          <cell r="B16478">
            <v>136671</v>
          </cell>
          <cell r="C16478" t="str">
            <v>Kirkbie Kendal School</v>
          </cell>
          <cell r="D16478" t="str">
            <v>Cumbria</v>
          </cell>
          <cell r="E16478" t="str">
            <v>Academy Converters</v>
          </cell>
          <cell r="F16478" t="str">
            <v>Secondary</v>
          </cell>
        </row>
        <row r="16479">
          <cell r="A16479">
            <v>9092035</v>
          </cell>
          <cell r="B16479">
            <v>112114</v>
          </cell>
          <cell r="C16479" t="str">
            <v>Kirkbride Primary School</v>
          </cell>
          <cell r="D16479" t="str">
            <v>Cumbria</v>
          </cell>
          <cell r="E16479" t="str">
            <v>Community School</v>
          </cell>
          <cell r="F16479" t="str">
            <v>Primary</v>
          </cell>
        </row>
        <row r="16480">
          <cell r="A16480">
            <v>3823329</v>
          </cell>
          <cell r="B16480">
            <v>107745</v>
          </cell>
          <cell r="C16480" t="str">
            <v>Kirkburton Church of England Voluntary Aided First School</v>
          </cell>
          <cell r="D16480" t="str">
            <v>Kirklees</v>
          </cell>
          <cell r="E16480" t="str">
            <v>Voluntary Aided School</v>
          </cell>
          <cell r="F16480" t="str">
            <v>Primary</v>
          </cell>
        </row>
        <row r="16481">
          <cell r="A16481">
            <v>3824054</v>
          </cell>
          <cell r="B16481">
            <v>107773</v>
          </cell>
          <cell r="C16481" t="str">
            <v>Kirkburton Middle School</v>
          </cell>
          <cell r="D16481" t="str">
            <v>Kirklees</v>
          </cell>
          <cell r="E16481" t="str">
            <v>Community School</v>
          </cell>
          <cell r="F16481" t="str">
            <v>Middle Deemed Secondary</v>
          </cell>
        </row>
        <row r="16482">
          <cell r="A16482">
            <v>8153315</v>
          </cell>
          <cell r="B16482">
            <v>121611</v>
          </cell>
          <cell r="C16482" t="str">
            <v>Kirkby and Great Broughton Church of England Voluntary Aided Primary School</v>
          </cell>
          <cell r="D16482" t="str">
            <v>North Yorkshire</v>
          </cell>
          <cell r="E16482" t="str">
            <v>Voluntary Aided School</v>
          </cell>
          <cell r="F16482" t="str">
            <v>Primary</v>
          </cell>
        </row>
        <row r="16483">
          <cell r="A16483">
            <v>3712151</v>
          </cell>
          <cell r="B16483">
            <v>106719</v>
          </cell>
          <cell r="C16483" t="str">
            <v>Kirkby Avenue Infant School</v>
          </cell>
          <cell r="D16483" t="str">
            <v>Doncaster</v>
          </cell>
          <cell r="E16483" t="str">
            <v>Community School</v>
          </cell>
          <cell r="F16483" t="str">
            <v>Primary</v>
          </cell>
        </row>
        <row r="16484">
          <cell r="A16484">
            <v>3712152</v>
          </cell>
          <cell r="B16484">
            <v>106720</v>
          </cell>
          <cell r="C16484" t="str">
            <v>Kirkby Avenue Junior School</v>
          </cell>
          <cell r="D16484" t="str">
            <v>Doncaster</v>
          </cell>
          <cell r="E16484" t="str">
            <v>Community School</v>
          </cell>
          <cell r="F16484" t="str">
            <v>Primary</v>
          </cell>
        </row>
        <row r="16485">
          <cell r="A16485">
            <v>3712205</v>
          </cell>
          <cell r="B16485">
            <v>131341</v>
          </cell>
          <cell r="C16485" t="str">
            <v>Kirkby Avenue Primary School</v>
          </cell>
          <cell r="D16485" t="str">
            <v>Doncaster</v>
          </cell>
          <cell r="E16485" t="str">
            <v>Community School</v>
          </cell>
          <cell r="F16485" t="str">
            <v>Primary</v>
          </cell>
        </row>
        <row r="16486">
          <cell r="A16486">
            <v>3403000</v>
          </cell>
          <cell r="B16486">
            <v>104448</v>
          </cell>
          <cell r="C16486" t="str">
            <v>Kirkby CofE Primary School</v>
          </cell>
          <cell r="D16486" t="str">
            <v>Knowsley</v>
          </cell>
          <cell r="E16486" t="str">
            <v>Voluntary Controlled School</v>
          </cell>
          <cell r="F16486" t="str">
            <v>Primary</v>
          </cell>
        </row>
        <row r="16487">
          <cell r="A16487">
            <v>8914008</v>
          </cell>
          <cell r="B16487">
            <v>122826</v>
          </cell>
          <cell r="C16487" t="str">
            <v>Kirkby College</v>
          </cell>
          <cell r="D16487" t="str">
            <v>Nottinghamshire</v>
          </cell>
          <cell r="E16487" t="str">
            <v>Foundation School</v>
          </cell>
          <cell r="F16487" t="str">
            <v>Secondary</v>
          </cell>
        </row>
        <row r="16488">
          <cell r="A16488">
            <v>8153065</v>
          </cell>
          <cell r="B16488">
            <v>121505</v>
          </cell>
          <cell r="C16488" t="str">
            <v>Kirkby Fleetham Church of England Primary School</v>
          </cell>
          <cell r="D16488" t="str">
            <v>North Yorkshire</v>
          </cell>
          <cell r="E16488" t="str">
            <v>Voluntary Controlled School</v>
          </cell>
          <cell r="F16488" t="str">
            <v>Primary</v>
          </cell>
        </row>
        <row r="16489">
          <cell r="A16489">
            <v>8153360</v>
          </cell>
          <cell r="B16489">
            <v>121629</v>
          </cell>
          <cell r="C16489" t="str">
            <v>Kirkby in Malhamdale United Voluntary Aided Primary School</v>
          </cell>
          <cell r="D16489" t="str">
            <v>North Yorkshire</v>
          </cell>
          <cell r="E16489" t="str">
            <v>Voluntary Aided School</v>
          </cell>
          <cell r="F16489" t="str">
            <v>Primary</v>
          </cell>
        </row>
        <row r="16490">
          <cell r="A16490">
            <v>8153249</v>
          </cell>
          <cell r="B16490">
            <v>121570</v>
          </cell>
          <cell r="C16490" t="str">
            <v>Kirkby Malzeard Church of England Primary School</v>
          </cell>
          <cell r="D16490" t="str">
            <v>North Yorkshire</v>
          </cell>
          <cell r="E16490" t="str">
            <v>Voluntary Controlled School</v>
          </cell>
          <cell r="F16490" t="str">
            <v>Primary</v>
          </cell>
        </row>
        <row r="16491">
          <cell r="A16491">
            <v>8911006</v>
          </cell>
          <cell r="B16491">
            <v>122392</v>
          </cell>
          <cell r="C16491" t="str">
            <v>Kirkby Nursery Centre</v>
          </cell>
          <cell r="D16491" t="str">
            <v>Nottinghamshire</v>
          </cell>
          <cell r="E16491" t="str">
            <v>LA Nursery School</v>
          </cell>
          <cell r="F16491" t="str">
            <v>Nursery</v>
          </cell>
        </row>
        <row r="16492">
          <cell r="A16492">
            <v>3404614</v>
          </cell>
          <cell r="B16492">
            <v>135478</v>
          </cell>
          <cell r="C16492" t="str">
            <v>Kirkby Sports College Centre for Learning</v>
          </cell>
          <cell r="D16492" t="str">
            <v>Knowsley</v>
          </cell>
          <cell r="E16492" t="str">
            <v>Community School</v>
          </cell>
          <cell r="F16492" t="str">
            <v>Secondary</v>
          </cell>
        </row>
        <row r="16493">
          <cell r="A16493">
            <v>9095406</v>
          </cell>
          <cell r="B16493">
            <v>112433</v>
          </cell>
          <cell r="C16493" t="str">
            <v>Kirkby Stephen Grammar School</v>
          </cell>
          <cell r="D16493" t="str">
            <v>Cumbria</v>
          </cell>
          <cell r="E16493" t="str">
            <v>Foundation School</v>
          </cell>
          <cell r="F16493" t="str">
            <v>Secondary</v>
          </cell>
        </row>
        <row r="16494">
          <cell r="A16494">
            <v>9095406</v>
          </cell>
          <cell r="B16494">
            <v>137107</v>
          </cell>
          <cell r="C16494" t="str">
            <v>Kirkby Stephen Grammar School</v>
          </cell>
          <cell r="D16494" t="str">
            <v>Cumbria</v>
          </cell>
          <cell r="E16494" t="str">
            <v>Academy Converters</v>
          </cell>
          <cell r="F16494" t="str">
            <v>Secondary</v>
          </cell>
        </row>
        <row r="16495">
          <cell r="A16495">
            <v>9092310</v>
          </cell>
          <cell r="B16495">
            <v>112180</v>
          </cell>
          <cell r="C16495" t="str">
            <v>Kirkby Stephen Primary School</v>
          </cell>
          <cell r="D16495" t="str">
            <v>Cumbria</v>
          </cell>
          <cell r="E16495" t="str">
            <v>Community School</v>
          </cell>
          <cell r="F16495" t="str">
            <v>Primary</v>
          </cell>
        </row>
        <row r="16496">
          <cell r="A16496">
            <v>9092311</v>
          </cell>
          <cell r="B16496">
            <v>112181</v>
          </cell>
          <cell r="C16496" t="str">
            <v>Kirkby Thore School</v>
          </cell>
          <cell r="D16496" t="str">
            <v>Cumbria</v>
          </cell>
          <cell r="E16496" t="str">
            <v>Community School</v>
          </cell>
          <cell r="F16496" t="str">
            <v>Primary</v>
          </cell>
        </row>
        <row r="16497">
          <cell r="A16497">
            <v>8912009</v>
          </cell>
          <cell r="B16497">
            <v>122403</v>
          </cell>
          <cell r="C16497" t="str">
            <v>Kirkby Woodhouse Primary School and Nursery</v>
          </cell>
          <cell r="D16497" t="str">
            <v>Nottinghamshire</v>
          </cell>
          <cell r="E16497" t="str">
            <v>Community School</v>
          </cell>
          <cell r="F16497" t="str">
            <v>Primary</v>
          </cell>
        </row>
        <row r="16498">
          <cell r="A16498">
            <v>8152064</v>
          </cell>
          <cell r="B16498">
            <v>121303</v>
          </cell>
          <cell r="C16498" t="str">
            <v>Kirkbymoorside Community Primary School</v>
          </cell>
          <cell r="D16498" t="str">
            <v>North Yorkshire</v>
          </cell>
          <cell r="E16498" t="str">
            <v>Community School</v>
          </cell>
          <cell r="F16498" t="str">
            <v>Primary</v>
          </cell>
        </row>
        <row r="16499">
          <cell r="A16499">
            <v>3412207</v>
          </cell>
          <cell r="B16499">
            <v>104606</v>
          </cell>
          <cell r="C16499" t="str">
            <v>Kirkdale Primary School</v>
          </cell>
          <cell r="D16499" t="str">
            <v>Liverpool</v>
          </cell>
          <cell r="E16499" t="str">
            <v>Community School</v>
          </cell>
          <cell r="F16499" t="str">
            <v>Primary</v>
          </cell>
        </row>
        <row r="16500">
          <cell r="A16500">
            <v>3412232</v>
          </cell>
          <cell r="B16500">
            <v>132176</v>
          </cell>
          <cell r="C16500" t="str">
            <v>Kirkdale St Lawrence CofE Primary School</v>
          </cell>
          <cell r="D16500" t="str">
            <v>Liverpool</v>
          </cell>
          <cell r="E16500" t="str">
            <v>Voluntary Aided School</v>
          </cell>
          <cell r="F16500" t="str">
            <v>Primary</v>
          </cell>
        </row>
        <row r="16501">
          <cell r="A16501">
            <v>8882041</v>
          </cell>
          <cell r="B16501">
            <v>119145</v>
          </cell>
          <cell r="C16501" t="str">
            <v>Kirkham and Wesham Primary School</v>
          </cell>
          <cell r="D16501" t="str">
            <v>Lancashire</v>
          </cell>
          <cell r="E16501" t="str">
            <v>Community School</v>
          </cell>
          <cell r="F16501" t="str">
            <v>Primary</v>
          </cell>
        </row>
        <row r="16502">
          <cell r="A16502">
            <v>8886013</v>
          </cell>
          <cell r="B16502">
            <v>119835</v>
          </cell>
          <cell r="C16502" t="str">
            <v>Kirkham Grammar School</v>
          </cell>
          <cell r="D16502" t="str">
            <v>Lancashire</v>
          </cell>
          <cell r="E16502" t="str">
            <v>Other Independent School</v>
          </cell>
          <cell r="F16502" t="str">
            <v>Not applicable</v>
          </cell>
        </row>
        <row r="16503">
          <cell r="A16503">
            <v>8887076</v>
          </cell>
          <cell r="B16503">
            <v>119887</v>
          </cell>
          <cell r="C16503" t="str">
            <v>Kirkham Pear Tree School</v>
          </cell>
          <cell r="D16503" t="str">
            <v>Lancashire</v>
          </cell>
          <cell r="E16503" t="str">
            <v>Community Special School</v>
          </cell>
          <cell r="F16503" t="str">
            <v>Special</v>
          </cell>
        </row>
        <row r="16504">
          <cell r="A16504">
            <v>8883557</v>
          </cell>
          <cell r="B16504">
            <v>119550</v>
          </cell>
          <cell r="C16504" t="str">
            <v>Kirkham St Michael's Church of England Primary School</v>
          </cell>
          <cell r="D16504" t="str">
            <v>Lancashire</v>
          </cell>
          <cell r="E16504" t="str">
            <v>Voluntary Aided School</v>
          </cell>
          <cell r="F16504" t="str">
            <v>Primary</v>
          </cell>
        </row>
        <row r="16505">
          <cell r="A16505">
            <v>3842122</v>
          </cell>
          <cell r="B16505">
            <v>108193</v>
          </cell>
          <cell r="C16505" t="str">
            <v>Kirkhamgate Primary School</v>
          </cell>
          <cell r="D16505" t="str">
            <v>Wakefield</v>
          </cell>
          <cell r="E16505" t="str">
            <v>Community School</v>
          </cell>
          <cell r="F16505" t="str">
            <v>Primary</v>
          </cell>
        </row>
        <row r="16506">
          <cell r="A16506">
            <v>3822130</v>
          </cell>
          <cell r="B16506">
            <v>107683</v>
          </cell>
          <cell r="C16506" t="str">
            <v>Kirkheaton Primary School</v>
          </cell>
          <cell r="D16506" t="str">
            <v>Kirklees</v>
          </cell>
          <cell r="E16506" t="str">
            <v>Community School</v>
          </cell>
          <cell r="F16506" t="str">
            <v>Primary</v>
          </cell>
        </row>
        <row r="16507">
          <cell r="A16507">
            <v>3737022</v>
          </cell>
          <cell r="B16507">
            <v>127730</v>
          </cell>
          <cell r="C16507" t="str">
            <v>Kirkhill School</v>
          </cell>
          <cell r="D16507" t="str">
            <v>Sheffield</v>
          </cell>
          <cell r="E16507" t="str">
            <v>Community Special School</v>
          </cell>
          <cell r="F16507" t="str">
            <v>Special</v>
          </cell>
        </row>
        <row r="16508">
          <cell r="A16508">
            <v>8883016</v>
          </cell>
          <cell r="B16508">
            <v>119361</v>
          </cell>
          <cell r="C16508" t="str">
            <v>Kirkland and Catterall St Helen's Church of England Voluntary Aided Primary School</v>
          </cell>
          <cell r="D16508" t="str">
            <v>Lancashire</v>
          </cell>
          <cell r="E16508" t="str">
            <v>Voluntary Aided School</v>
          </cell>
          <cell r="F16508" t="str">
            <v>Primary</v>
          </cell>
        </row>
        <row r="16509">
          <cell r="A16509">
            <v>8077008</v>
          </cell>
          <cell r="B16509">
            <v>111777</v>
          </cell>
          <cell r="C16509" t="str">
            <v>Kirkleatham Hall School</v>
          </cell>
          <cell r="D16509" t="str">
            <v>Redcar and Cleveland</v>
          </cell>
          <cell r="E16509" t="str">
            <v>Community Special School</v>
          </cell>
          <cell r="F16509" t="str">
            <v>Special</v>
          </cell>
        </row>
        <row r="16510">
          <cell r="A16510">
            <v>3828001</v>
          </cell>
          <cell r="B16510">
            <v>130537</v>
          </cell>
          <cell r="C16510" t="str">
            <v>Kirklees College</v>
          </cell>
          <cell r="D16510" t="str">
            <v>Kirklees</v>
          </cell>
          <cell r="E16510" t="str">
            <v>Further Education</v>
          </cell>
          <cell r="F16510" t="str">
            <v>16 Plus</v>
          </cell>
        </row>
        <row r="16511">
          <cell r="A16511">
            <v>8082085</v>
          </cell>
          <cell r="B16511">
            <v>111565</v>
          </cell>
          <cell r="C16511" t="str">
            <v>Kirklevington Primary School</v>
          </cell>
          <cell r="D16511" t="str">
            <v>Stockton-on-Tees</v>
          </cell>
          <cell r="E16511" t="str">
            <v>Community School</v>
          </cell>
          <cell r="F16511" t="str">
            <v>Primary</v>
          </cell>
        </row>
        <row r="16512">
          <cell r="A16512">
            <v>9354067</v>
          </cell>
          <cell r="B16512">
            <v>124827</v>
          </cell>
          <cell r="C16512" t="str">
            <v>Kirkley Community High School</v>
          </cell>
          <cell r="D16512" t="str">
            <v>Suffolk</v>
          </cell>
          <cell r="E16512" t="str">
            <v>Community School</v>
          </cell>
          <cell r="F16512" t="str">
            <v>Secondary</v>
          </cell>
        </row>
        <row r="16513">
          <cell r="A16513">
            <v>9298300</v>
          </cell>
          <cell r="B16513">
            <v>130774</v>
          </cell>
          <cell r="C16513" t="str">
            <v>Kirkley Hall College</v>
          </cell>
          <cell r="D16513" t="str">
            <v>Northumberland</v>
          </cell>
          <cell r="E16513" t="str">
            <v>Further Education</v>
          </cell>
          <cell r="F16513" t="str">
            <v>16 Plus</v>
          </cell>
        </row>
        <row r="16514">
          <cell r="A16514">
            <v>9354104</v>
          </cell>
          <cell r="B16514">
            <v>124854</v>
          </cell>
          <cell r="C16514" t="str">
            <v>Kirkley Middle School</v>
          </cell>
          <cell r="D16514" t="str">
            <v>Suffolk</v>
          </cell>
          <cell r="E16514" t="str">
            <v>Community School</v>
          </cell>
          <cell r="F16514" t="str">
            <v>Middle Deemed Secondary</v>
          </cell>
        </row>
        <row r="16515">
          <cell r="A16515">
            <v>8912772</v>
          </cell>
          <cell r="B16515">
            <v>122653</v>
          </cell>
          <cell r="C16515" t="str">
            <v>Kirklington Primary School</v>
          </cell>
          <cell r="D16515" t="str">
            <v>Nottinghamshire</v>
          </cell>
          <cell r="E16515" t="str">
            <v>Community School</v>
          </cell>
          <cell r="F16515" t="str">
            <v>Primary</v>
          </cell>
        </row>
        <row r="16516">
          <cell r="A16516">
            <v>9293459</v>
          </cell>
          <cell r="B16516">
            <v>122296</v>
          </cell>
          <cell r="C16516" t="str">
            <v>Kirknewton Church of England Aided First School</v>
          </cell>
          <cell r="D16516" t="str">
            <v>Northumberland</v>
          </cell>
          <cell r="E16516" t="str">
            <v>Voluntary Aided School</v>
          </cell>
          <cell r="F16516" t="str">
            <v>Primary</v>
          </cell>
        </row>
        <row r="16517">
          <cell r="A16517">
            <v>9093019</v>
          </cell>
          <cell r="B16517">
            <v>112253</v>
          </cell>
          <cell r="C16517" t="str">
            <v>Kirkoswald CofE School</v>
          </cell>
          <cell r="D16517" t="str">
            <v>Cumbria</v>
          </cell>
          <cell r="E16517" t="str">
            <v>Voluntary Controlled School</v>
          </cell>
          <cell r="F16517" t="str">
            <v>Primary</v>
          </cell>
        </row>
        <row r="16518">
          <cell r="A16518">
            <v>3822136</v>
          </cell>
          <cell r="B16518">
            <v>107686</v>
          </cell>
          <cell r="C16518" t="str">
            <v>Kirkroyds Infant School</v>
          </cell>
          <cell r="D16518" t="str">
            <v>Kirklees</v>
          </cell>
          <cell r="E16518" t="str">
            <v>Community School</v>
          </cell>
          <cell r="F16518" t="str">
            <v>Primary</v>
          </cell>
        </row>
        <row r="16519">
          <cell r="A16519">
            <v>3832116</v>
          </cell>
          <cell r="B16519">
            <v>127836</v>
          </cell>
          <cell r="C16519" t="str">
            <v>Kirkstall First School</v>
          </cell>
          <cell r="D16519" t="str">
            <v>Leeds</v>
          </cell>
          <cell r="E16519" t="str">
            <v>Community School</v>
          </cell>
          <cell r="F16519" t="str">
            <v>Primary</v>
          </cell>
        </row>
        <row r="16520">
          <cell r="A16520">
            <v>3834341</v>
          </cell>
          <cell r="B16520">
            <v>127998</v>
          </cell>
          <cell r="C16520" t="str">
            <v>Kirkstall Middle School</v>
          </cell>
          <cell r="D16520" t="str">
            <v>Leeds</v>
          </cell>
          <cell r="E16520" t="str">
            <v>Community School</v>
          </cell>
          <cell r="F16520" t="str">
            <v>Middle Deemed Secondary</v>
          </cell>
        </row>
        <row r="16521">
          <cell r="A16521">
            <v>3833904</v>
          </cell>
          <cell r="B16521">
            <v>108043</v>
          </cell>
          <cell r="C16521" t="str">
            <v>Kirkstall St Stephen's Church of England Primary School</v>
          </cell>
          <cell r="D16521" t="str">
            <v>Leeds</v>
          </cell>
          <cell r="E16521" t="str">
            <v>Voluntary Aided School</v>
          </cell>
          <cell r="F16521" t="str">
            <v>Primary</v>
          </cell>
        </row>
        <row r="16522">
          <cell r="A16522">
            <v>3832411</v>
          </cell>
          <cell r="B16522">
            <v>107887</v>
          </cell>
          <cell r="C16522" t="str">
            <v>Kirkstall Valley Primary School</v>
          </cell>
          <cell r="D16522" t="str">
            <v>Leeds</v>
          </cell>
          <cell r="E16522" t="str">
            <v>Community School</v>
          </cell>
          <cell r="F16522" t="str">
            <v>Primary</v>
          </cell>
        </row>
        <row r="16523">
          <cell r="A16523">
            <v>9256017</v>
          </cell>
          <cell r="B16523">
            <v>120729</v>
          </cell>
          <cell r="C16523" t="str">
            <v>Kirkstone House School</v>
          </cell>
          <cell r="D16523" t="str">
            <v>Lincolnshire</v>
          </cell>
          <cell r="E16523" t="str">
            <v>Other Independent School</v>
          </cell>
          <cell r="F16523" t="str">
            <v>Not applicable</v>
          </cell>
        </row>
        <row r="16524">
          <cell r="A16524">
            <v>8133067</v>
          </cell>
          <cell r="B16524">
            <v>118014</v>
          </cell>
          <cell r="C16524" t="str">
            <v>Kirmington CofE Primary School</v>
          </cell>
          <cell r="D16524" t="str">
            <v>North Lincolnshire</v>
          </cell>
          <cell r="E16524" t="str">
            <v>Voluntary Controlled School</v>
          </cell>
          <cell r="F16524" t="str">
            <v>Primary</v>
          </cell>
        </row>
        <row r="16525">
          <cell r="A16525">
            <v>8856019</v>
          </cell>
          <cell r="B16525">
            <v>117028</v>
          </cell>
          <cell r="C16525" t="str">
            <v>Kirtlands School</v>
          </cell>
          <cell r="D16525" t="str">
            <v>Worcestershire</v>
          </cell>
          <cell r="E16525" t="str">
            <v>Other Independent School</v>
          </cell>
          <cell r="F16525" t="str">
            <v>Not applicable</v>
          </cell>
        </row>
        <row r="16526">
          <cell r="A16526">
            <v>9313500</v>
          </cell>
          <cell r="B16526">
            <v>123187</v>
          </cell>
          <cell r="C16526" t="str">
            <v>Kirtlington Church of England Primary School</v>
          </cell>
          <cell r="D16526" t="str">
            <v>Oxfordshire</v>
          </cell>
          <cell r="E16526" t="str">
            <v>Voluntary Aided School</v>
          </cell>
          <cell r="F16526" t="str">
            <v>Primary</v>
          </cell>
        </row>
        <row r="16527">
          <cell r="A16527">
            <v>8132121</v>
          </cell>
          <cell r="B16527">
            <v>117739</v>
          </cell>
          <cell r="C16527" t="str">
            <v>Kirton Lindsey Primary School</v>
          </cell>
          <cell r="D16527" t="str">
            <v>North Lincolnshire</v>
          </cell>
          <cell r="E16527" t="str">
            <v>Community School</v>
          </cell>
          <cell r="F16527" t="str">
            <v>Primary</v>
          </cell>
        </row>
        <row r="16528">
          <cell r="A16528">
            <v>9252094</v>
          </cell>
          <cell r="B16528">
            <v>120415</v>
          </cell>
          <cell r="C16528" t="str">
            <v>Kirton Primary School</v>
          </cell>
          <cell r="D16528" t="str">
            <v>Lincolnshire</v>
          </cell>
          <cell r="E16528" t="str">
            <v>Community School</v>
          </cell>
          <cell r="F16528" t="str">
            <v>Primary</v>
          </cell>
        </row>
        <row r="16529">
          <cell r="A16529">
            <v>3027904</v>
          </cell>
          <cell r="B16529">
            <v>131899</v>
          </cell>
          <cell r="C16529" t="str">
            <v>Kisharon College</v>
          </cell>
          <cell r="D16529" t="str">
            <v>Barnet</v>
          </cell>
          <cell r="E16529" t="str">
            <v>Special College</v>
          </cell>
          <cell r="F16529" t="str">
            <v>16 Plus</v>
          </cell>
        </row>
        <row r="16530">
          <cell r="A16530">
            <v>3026085</v>
          </cell>
          <cell r="B16530">
            <v>101386</v>
          </cell>
          <cell r="C16530" t="str">
            <v>Kisharon Day School</v>
          </cell>
          <cell r="D16530" t="str">
            <v>Barnet</v>
          </cell>
          <cell r="E16530" t="str">
            <v>Other Independent Special School</v>
          </cell>
          <cell r="F16530" t="str">
            <v>Not applicable</v>
          </cell>
        </row>
        <row r="16531">
          <cell r="A16531">
            <v>9256034</v>
          </cell>
          <cell r="B16531">
            <v>120740</v>
          </cell>
          <cell r="C16531" t="str">
            <v>Kisimul School</v>
          </cell>
          <cell r="D16531" t="str">
            <v>Lincolnshire</v>
          </cell>
          <cell r="E16531" t="str">
            <v>Other Independent Special School</v>
          </cell>
          <cell r="F16531" t="str">
            <v>Not applicable</v>
          </cell>
        </row>
        <row r="16532">
          <cell r="A16532">
            <v>9366593</v>
          </cell>
          <cell r="B16532">
            <v>135577</v>
          </cell>
          <cell r="C16532" t="str">
            <v>Kisimul School</v>
          </cell>
          <cell r="D16532" t="str">
            <v>Surrey</v>
          </cell>
          <cell r="E16532" t="str">
            <v>Other Independent Special School</v>
          </cell>
          <cell r="F16532" t="str">
            <v>Not applicable</v>
          </cell>
        </row>
        <row r="16533">
          <cell r="A16533">
            <v>9283040</v>
          </cell>
          <cell r="B16533">
            <v>121980</v>
          </cell>
          <cell r="C16533" t="str">
            <v>Kislingbury Primary School</v>
          </cell>
          <cell r="D16533" t="str">
            <v>Northamptonshire</v>
          </cell>
          <cell r="E16533" t="str">
            <v>Voluntary Controlled School</v>
          </cell>
          <cell r="F16533" t="str">
            <v>Primary</v>
          </cell>
        </row>
        <row r="16534">
          <cell r="A16534">
            <v>9214020</v>
          </cell>
          <cell r="B16534">
            <v>118210</v>
          </cell>
          <cell r="C16534" t="str">
            <v>Kitbridge Middle School</v>
          </cell>
          <cell r="D16534" t="str">
            <v>Isle of Wight</v>
          </cell>
          <cell r="E16534" t="str">
            <v>Community School</v>
          </cell>
          <cell r="F16534" t="str">
            <v>Middle Deemed Secondary</v>
          </cell>
        </row>
        <row r="16535">
          <cell r="A16535">
            <v>6812031</v>
          </cell>
          <cell r="B16535">
            <v>401575</v>
          </cell>
          <cell r="C16535" t="str">
            <v>Kitchener Primary School</v>
          </cell>
          <cell r="D16535" t="str">
            <v>Cardiff</v>
          </cell>
          <cell r="E16535" t="str">
            <v>Welsh Establishment</v>
          </cell>
          <cell r="F16535" t="str">
            <v>Primary</v>
          </cell>
        </row>
        <row r="16536">
          <cell r="A16536">
            <v>9316116</v>
          </cell>
          <cell r="B16536">
            <v>123327</v>
          </cell>
          <cell r="C16536" t="str">
            <v>Kitebrook House</v>
          </cell>
          <cell r="D16536" t="str">
            <v>Oxfordshire</v>
          </cell>
          <cell r="E16536" t="str">
            <v>Other Independent School</v>
          </cell>
          <cell r="F16536" t="str">
            <v>Not applicable</v>
          </cell>
        </row>
        <row r="16537">
          <cell r="A16537">
            <v>9316051</v>
          </cell>
          <cell r="B16537">
            <v>129776</v>
          </cell>
          <cell r="C16537" t="str">
            <v>Kitebrook House</v>
          </cell>
          <cell r="D16537" t="str">
            <v>Oxfordshire</v>
          </cell>
          <cell r="E16537" t="str">
            <v>Other Independent School</v>
          </cell>
          <cell r="F16537" t="str">
            <v>Not applicable</v>
          </cell>
        </row>
        <row r="16538">
          <cell r="A16538">
            <v>9316118</v>
          </cell>
          <cell r="B16538">
            <v>132013</v>
          </cell>
          <cell r="C16538" t="str">
            <v>Kitebrook House</v>
          </cell>
          <cell r="D16538" t="str">
            <v>Oxfordshire</v>
          </cell>
          <cell r="E16538" t="str">
            <v>Other Independent School</v>
          </cell>
          <cell r="F16538" t="str">
            <v>Not applicable</v>
          </cell>
        </row>
        <row r="16539">
          <cell r="A16539">
            <v>3302321</v>
          </cell>
          <cell r="B16539">
            <v>103339</v>
          </cell>
          <cell r="C16539" t="str">
            <v>Kitwell Primary School and Nursery Class</v>
          </cell>
          <cell r="D16539" t="str">
            <v>Birmingham</v>
          </cell>
          <cell r="E16539" t="str">
            <v>Community School</v>
          </cell>
          <cell r="F16539" t="str">
            <v>Primary</v>
          </cell>
        </row>
        <row r="16540">
          <cell r="A16540">
            <v>9254023</v>
          </cell>
          <cell r="B16540">
            <v>129590</v>
          </cell>
          <cell r="C16540" t="str">
            <v>Kitwood County Secondary School for Boys</v>
          </cell>
          <cell r="D16540" t="str">
            <v>Lincolnshire</v>
          </cell>
          <cell r="E16540" t="str">
            <v>Community School</v>
          </cell>
          <cell r="F16540" t="str">
            <v>Secondary</v>
          </cell>
        </row>
        <row r="16541">
          <cell r="A16541">
            <v>9254024</v>
          </cell>
          <cell r="B16541">
            <v>129591</v>
          </cell>
          <cell r="C16541" t="str">
            <v>Kitwood County Secondary School for Girls</v>
          </cell>
          <cell r="D16541" t="str">
            <v>Lincolnshire</v>
          </cell>
          <cell r="E16541" t="str">
            <v>Community School</v>
          </cell>
          <cell r="F16541" t="str">
            <v>Secondary</v>
          </cell>
        </row>
        <row r="16542">
          <cell r="A16542">
            <v>3722082</v>
          </cell>
          <cell r="B16542">
            <v>106884</v>
          </cell>
          <cell r="C16542" t="str">
            <v>Kiveton Park Infant School</v>
          </cell>
          <cell r="D16542" t="str">
            <v>Rotherham</v>
          </cell>
          <cell r="E16542" t="str">
            <v>Community School</v>
          </cell>
          <cell r="F16542" t="str">
            <v>Primary</v>
          </cell>
        </row>
        <row r="16543">
          <cell r="A16543">
            <v>3722083</v>
          </cell>
          <cell r="B16543">
            <v>106885</v>
          </cell>
          <cell r="C16543" t="str">
            <v>Kiveton Park Meadows Junior School</v>
          </cell>
          <cell r="D16543" t="str">
            <v>Rotherham</v>
          </cell>
          <cell r="E16543" t="str">
            <v>Community School</v>
          </cell>
          <cell r="F16543" t="str">
            <v>Primary</v>
          </cell>
        </row>
        <row r="16544">
          <cell r="A16544">
            <v>8652159</v>
          </cell>
          <cell r="B16544">
            <v>126248</v>
          </cell>
          <cell r="C16544" t="str">
            <v>Kiwi Primary School</v>
          </cell>
          <cell r="D16544" t="str">
            <v>Wiltshire</v>
          </cell>
          <cell r="E16544" t="str">
            <v>Community School</v>
          </cell>
          <cell r="F16544" t="str">
            <v>Primary</v>
          </cell>
        </row>
        <row r="16545">
          <cell r="A16545">
            <v>9362274</v>
          </cell>
          <cell r="B16545">
            <v>125000</v>
          </cell>
          <cell r="C16545" t="str">
            <v>Knaphill School</v>
          </cell>
          <cell r="D16545" t="str">
            <v>Surrey</v>
          </cell>
          <cell r="E16545" t="str">
            <v>Community School</v>
          </cell>
          <cell r="F16545" t="str">
            <v>Primary</v>
          </cell>
        </row>
        <row r="16546">
          <cell r="A16546">
            <v>8153903</v>
          </cell>
          <cell r="B16546">
            <v>133106</v>
          </cell>
          <cell r="C16546" t="str">
            <v>Knaresborough St John's CofE Primary School</v>
          </cell>
          <cell r="D16546" t="str">
            <v>North Yorkshire</v>
          </cell>
          <cell r="E16546" t="str">
            <v>Voluntary Controlled School</v>
          </cell>
          <cell r="F16546" t="str">
            <v>Primary</v>
          </cell>
        </row>
        <row r="16547">
          <cell r="A16547">
            <v>8152377</v>
          </cell>
          <cell r="B16547">
            <v>121432</v>
          </cell>
          <cell r="C16547" t="str">
            <v>Knaresborough, Aspin Park Community Primary School</v>
          </cell>
          <cell r="D16547" t="str">
            <v>North Yorkshire</v>
          </cell>
          <cell r="E16547" t="str">
            <v>Community School</v>
          </cell>
          <cell r="F16547" t="str">
            <v>Primary</v>
          </cell>
        </row>
        <row r="16548">
          <cell r="A16548">
            <v>8152389</v>
          </cell>
          <cell r="B16548">
            <v>121443</v>
          </cell>
          <cell r="C16548" t="str">
            <v>Knaresborough, Meadowside Community Primary School</v>
          </cell>
          <cell r="D16548" t="str">
            <v>North Yorkshire</v>
          </cell>
          <cell r="E16548" t="str">
            <v>Community School</v>
          </cell>
          <cell r="F16548" t="str">
            <v>Primary</v>
          </cell>
        </row>
        <row r="16549">
          <cell r="A16549">
            <v>8152344</v>
          </cell>
          <cell r="B16549">
            <v>121407</v>
          </cell>
          <cell r="C16549" t="str">
            <v>Knaresborough, the Manor Infant School</v>
          </cell>
          <cell r="D16549" t="str">
            <v>North Yorkshire</v>
          </cell>
          <cell r="E16549" t="str">
            <v>Community School</v>
          </cell>
          <cell r="F16549" t="str">
            <v>Primary</v>
          </cell>
        </row>
        <row r="16550">
          <cell r="A16550">
            <v>8162011</v>
          </cell>
          <cell r="B16550">
            <v>121279</v>
          </cell>
          <cell r="C16550" t="str">
            <v>Knavesmire Primary School</v>
          </cell>
          <cell r="D16550" t="str">
            <v>York</v>
          </cell>
          <cell r="E16550" t="str">
            <v>Community School</v>
          </cell>
          <cell r="F16550" t="str">
            <v>Primary</v>
          </cell>
        </row>
        <row r="16551">
          <cell r="A16551">
            <v>8153068</v>
          </cell>
          <cell r="B16551">
            <v>121506</v>
          </cell>
          <cell r="C16551" t="str">
            <v>Knayton CofE Primary School</v>
          </cell>
          <cell r="D16551" t="str">
            <v>North Yorkshire</v>
          </cell>
          <cell r="E16551" t="str">
            <v>Voluntary Controlled School</v>
          </cell>
          <cell r="F16551" t="str">
            <v>Primary</v>
          </cell>
        </row>
        <row r="16552">
          <cell r="A16552">
            <v>9192066</v>
          </cell>
          <cell r="B16552">
            <v>117120</v>
          </cell>
          <cell r="C16552" t="str">
            <v>Knebworth Primary and Nursery School</v>
          </cell>
          <cell r="D16552" t="str">
            <v>Hertfordshire</v>
          </cell>
          <cell r="E16552" t="str">
            <v>Community School</v>
          </cell>
          <cell r="F16552" t="str">
            <v>Primary</v>
          </cell>
        </row>
        <row r="16553">
          <cell r="A16553">
            <v>8913112</v>
          </cell>
          <cell r="B16553">
            <v>122762</v>
          </cell>
          <cell r="C16553" t="str">
            <v>Kneesall CofE Primary School</v>
          </cell>
          <cell r="D16553" t="str">
            <v>Nottinghamshire</v>
          </cell>
          <cell r="E16553" t="str">
            <v>Voluntary Controlled School</v>
          </cell>
          <cell r="F16553" t="str">
            <v>Primary</v>
          </cell>
        </row>
        <row r="16554">
          <cell r="A16554">
            <v>6702217</v>
          </cell>
          <cell r="B16554">
            <v>400935</v>
          </cell>
          <cell r="C16554" t="str">
            <v>Knelston Primary School</v>
          </cell>
          <cell r="D16554" t="str">
            <v>Swansea</v>
          </cell>
          <cell r="E16554" t="str">
            <v>Welsh Establishment</v>
          </cell>
          <cell r="F16554" t="str">
            <v>Primary</v>
          </cell>
        </row>
        <row r="16555">
          <cell r="A16555">
            <v>9373318</v>
          </cell>
          <cell r="B16555">
            <v>125699</v>
          </cell>
          <cell r="C16555" t="str">
            <v>Knightlow CofE (Aided) First School</v>
          </cell>
          <cell r="D16555" t="str">
            <v>Warwickshire</v>
          </cell>
          <cell r="E16555" t="str">
            <v>Voluntary Aided School</v>
          </cell>
          <cell r="F16555" t="str">
            <v>Primary</v>
          </cell>
        </row>
        <row r="16556">
          <cell r="A16556">
            <v>9373317</v>
          </cell>
          <cell r="B16556">
            <v>125698</v>
          </cell>
          <cell r="C16556" t="str">
            <v>Knightlow CofE Middle School</v>
          </cell>
          <cell r="D16556" t="str">
            <v>Warwickshire</v>
          </cell>
          <cell r="E16556" t="str">
            <v>Voluntary Aided School</v>
          </cell>
          <cell r="F16556" t="str">
            <v>Middle Deemed Primary</v>
          </cell>
        </row>
        <row r="16557">
          <cell r="A16557">
            <v>9373590</v>
          </cell>
          <cell r="B16557">
            <v>130910</v>
          </cell>
          <cell r="C16557" t="str">
            <v>Knightlow CofE Primary School</v>
          </cell>
          <cell r="D16557" t="str">
            <v>Warwickshire</v>
          </cell>
          <cell r="E16557" t="str">
            <v>Voluntary Aided School</v>
          </cell>
          <cell r="F16557" t="str">
            <v>Primary</v>
          </cell>
        </row>
        <row r="16558">
          <cell r="A16558">
            <v>6663035</v>
          </cell>
          <cell r="B16558">
            <v>400553</v>
          </cell>
          <cell r="C16558" t="str">
            <v>Knighton C.I.W. School</v>
          </cell>
          <cell r="D16558" t="str">
            <v>Powys</v>
          </cell>
          <cell r="E16558" t="str">
            <v>Welsh Establishment</v>
          </cell>
          <cell r="F16558" t="str">
            <v>Primary</v>
          </cell>
        </row>
        <row r="16559">
          <cell r="A16559">
            <v>8562340</v>
          </cell>
          <cell r="B16559">
            <v>120066</v>
          </cell>
          <cell r="C16559" t="str">
            <v>Knighton Fields Primary School and Community Centre</v>
          </cell>
          <cell r="D16559" t="str">
            <v>Leicester</v>
          </cell>
          <cell r="E16559" t="str">
            <v>Community School</v>
          </cell>
          <cell r="F16559" t="str">
            <v>Primary</v>
          </cell>
        </row>
        <row r="16560">
          <cell r="A16560">
            <v>8356018</v>
          </cell>
          <cell r="B16560">
            <v>113924</v>
          </cell>
          <cell r="C16560" t="str">
            <v>Knighton House School</v>
          </cell>
          <cell r="D16560" t="str">
            <v>Dorset</v>
          </cell>
          <cell r="E16560" t="str">
            <v>Other Independent School</v>
          </cell>
          <cell r="F16560" t="str">
            <v>Not applicable</v>
          </cell>
        </row>
        <row r="16561">
          <cell r="A16561">
            <v>8502301</v>
          </cell>
          <cell r="B16561">
            <v>116026</v>
          </cell>
          <cell r="C16561" t="str">
            <v>Knights Enham Infant School</v>
          </cell>
          <cell r="D16561" t="str">
            <v>Hampshire</v>
          </cell>
          <cell r="E16561" t="str">
            <v>Community School</v>
          </cell>
          <cell r="F16561" t="str">
            <v>Primary</v>
          </cell>
        </row>
        <row r="16562">
          <cell r="A16562">
            <v>8502284</v>
          </cell>
          <cell r="B16562">
            <v>116014</v>
          </cell>
          <cell r="C16562" t="str">
            <v>Knight's Enham Junior School</v>
          </cell>
          <cell r="D16562" t="str">
            <v>Hampshire</v>
          </cell>
          <cell r="E16562" t="str">
            <v>Community School</v>
          </cell>
          <cell r="F16562" t="str">
            <v>Primary</v>
          </cell>
        </row>
        <row r="16563">
          <cell r="A16563">
            <v>371943</v>
          </cell>
          <cell r="B16563">
            <v>135742</v>
          </cell>
          <cell r="C16563" t="str">
            <v>Knights Study Support</v>
          </cell>
          <cell r="D16563" t="str">
            <v>Doncaster</v>
          </cell>
          <cell r="E16563" t="str">
            <v>Playing for Success Centres</v>
          </cell>
          <cell r="F16563" t="str">
            <v>Not applicable</v>
          </cell>
        </row>
        <row r="16564">
          <cell r="A16564">
            <v>9333490</v>
          </cell>
          <cell r="B16564">
            <v>123860</v>
          </cell>
          <cell r="C16564" t="str">
            <v>Knights Templar Church of England/Methodist Community School</v>
          </cell>
          <cell r="D16564" t="str">
            <v>Somerset</v>
          </cell>
          <cell r="E16564" t="str">
            <v>Voluntary Aided School</v>
          </cell>
          <cell r="F16564" t="str">
            <v>Primary</v>
          </cell>
        </row>
        <row r="16565">
          <cell r="A16565">
            <v>2076316</v>
          </cell>
          <cell r="B16565">
            <v>100533</v>
          </cell>
          <cell r="C16565" t="str">
            <v>Knightsbridge School</v>
          </cell>
          <cell r="D16565" t="str">
            <v>Kensington and Chelsea</v>
          </cell>
          <cell r="E16565" t="str">
            <v>Other Independent School</v>
          </cell>
          <cell r="F16565" t="str">
            <v>Not applicable</v>
          </cell>
        </row>
        <row r="16566">
          <cell r="A16566">
            <v>9197007</v>
          </cell>
          <cell r="B16566">
            <v>117666</v>
          </cell>
          <cell r="C16566" t="str">
            <v>Knightsfield School</v>
          </cell>
          <cell r="D16566" t="str">
            <v>Hertfordshire</v>
          </cell>
          <cell r="E16566" t="str">
            <v>Community Special School</v>
          </cell>
          <cell r="F16566" t="str">
            <v>Special</v>
          </cell>
        </row>
        <row r="16567">
          <cell r="A16567">
            <v>8837070</v>
          </cell>
          <cell r="B16567">
            <v>115476</v>
          </cell>
          <cell r="C16567" t="str">
            <v>Knightsmead School</v>
          </cell>
          <cell r="D16567" t="str">
            <v>Thurrock</v>
          </cell>
          <cell r="E16567" t="str">
            <v>Community Special School</v>
          </cell>
          <cell r="F16567" t="str">
            <v>Special</v>
          </cell>
        </row>
        <row r="16568">
          <cell r="A16568">
            <v>8502009</v>
          </cell>
          <cell r="B16568">
            <v>131717</v>
          </cell>
          <cell r="C16568" t="str">
            <v>Knightwood Primary School</v>
          </cell>
          <cell r="D16568" t="str">
            <v>Hampshire</v>
          </cell>
          <cell r="E16568" t="str">
            <v>Community School</v>
          </cell>
          <cell r="F16568" t="str">
            <v>Primary</v>
          </cell>
        </row>
        <row r="16569">
          <cell r="A16569">
            <v>8303062</v>
          </cell>
          <cell r="B16569">
            <v>112834</v>
          </cell>
          <cell r="C16569" t="str">
            <v>Kniveton CofE Primary School</v>
          </cell>
          <cell r="D16569" t="str">
            <v>Derbyshire</v>
          </cell>
          <cell r="E16569" t="str">
            <v>Voluntary Controlled School</v>
          </cell>
          <cell r="F16569" t="str">
            <v>Primary</v>
          </cell>
        </row>
        <row r="16570">
          <cell r="A16570">
            <v>8862123</v>
          </cell>
          <cell r="B16570">
            <v>118267</v>
          </cell>
          <cell r="C16570" t="str">
            <v>Knockhall Community Primary School</v>
          </cell>
          <cell r="D16570" t="str">
            <v>Kent</v>
          </cell>
          <cell r="E16570" t="str">
            <v>Community School</v>
          </cell>
          <cell r="F16570" t="str">
            <v>Primary</v>
          </cell>
        </row>
        <row r="16571">
          <cell r="A16571">
            <v>8866905</v>
          </cell>
          <cell r="B16571">
            <v>136128</v>
          </cell>
          <cell r="C16571" t="str">
            <v>Knole Academy</v>
          </cell>
          <cell r="D16571" t="str">
            <v>Kent</v>
          </cell>
          <cell r="E16571" t="str">
            <v>Academy Sponsor Led</v>
          </cell>
          <cell r="F16571" t="str">
            <v>Secondary</v>
          </cell>
        </row>
        <row r="16572">
          <cell r="A16572">
            <v>8462069</v>
          </cell>
          <cell r="B16572">
            <v>114402</v>
          </cell>
          <cell r="C16572" t="str">
            <v>Knoll Infant School</v>
          </cell>
          <cell r="D16572" t="str">
            <v>Brighton and Hove</v>
          </cell>
          <cell r="E16572" t="str">
            <v>Community School</v>
          </cell>
          <cell r="F16572" t="str">
            <v>Primary</v>
          </cell>
        </row>
        <row r="16573">
          <cell r="A16573">
            <v>3142012</v>
          </cell>
          <cell r="B16573">
            <v>102570</v>
          </cell>
          <cell r="C16573" t="str">
            <v>Knollmead Primary School</v>
          </cell>
          <cell r="D16573" t="str">
            <v>Kingston upon Thames</v>
          </cell>
          <cell r="E16573" t="str">
            <v>Community School</v>
          </cell>
          <cell r="F16573" t="str">
            <v>Primary</v>
          </cell>
        </row>
        <row r="16574">
          <cell r="A16574">
            <v>3912016</v>
          </cell>
          <cell r="B16574">
            <v>108450</v>
          </cell>
          <cell r="C16574" t="str">
            <v>Knop Law Primary School</v>
          </cell>
          <cell r="D16574" t="str">
            <v>Newcastle upon Tyne</v>
          </cell>
          <cell r="E16574" t="str">
            <v>Community School</v>
          </cell>
          <cell r="F16574" t="str">
            <v>Primary</v>
          </cell>
        </row>
        <row r="16575">
          <cell r="A16575">
            <v>9243051</v>
          </cell>
          <cell r="B16575">
            <v>129534</v>
          </cell>
          <cell r="C16575" t="str">
            <v>Knossington CofE Primary School</v>
          </cell>
          <cell r="D16575" t="str">
            <v>Pre LGR (1997) Leicestershire</v>
          </cell>
          <cell r="E16575" t="str">
            <v>Voluntary Controlled School</v>
          </cell>
          <cell r="F16575" t="str">
            <v>Primary</v>
          </cell>
        </row>
        <row r="16576">
          <cell r="A16576">
            <v>3843104</v>
          </cell>
          <cell r="B16576">
            <v>108183</v>
          </cell>
          <cell r="C16576" t="str">
            <v>Knottingley Church of England Voluntary Controlled Junior and Infant School</v>
          </cell>
          <cell r="D16576" t="str">
            <v>Wakefield</v>
          </cell>
          <cell r="E16576" t="str">
            <v>Voluntary Controlled School</v>
          </cell>
          <cell r="F16576" t="str">
            <v>Primary</v>
          </cell>
        </row>
        <row r="16577">
          <cell r="A16577">
            <v>3842090</v>
          </cell>
          <cell r="B16577">
            <v>108170</v>
          </cell>
          <cell r="C16577" t="str">
            <v>Knottingley England Lane Junior Infant and Nursery School</v>
          </cell>
          <cell r="D16577" t="str">
            <v>Wakefield</v>
          </cell>
          <cell r="E16577" t="str">
            <v>Community School</v>
          </cell>
          <cell r="F16577" t="str">
            <v>Primary</v>
          </cell>
        </row>
        <row r="16578">
          <cell r="A16578">
            <v>3842051</v>
          </cell>
          <cell r="B16578">
            <v>108146</v>
          </cell>
          <cell r="C16578" t="str">
            <v>Knottingley Ferrybridge Infant School</v>
          </cell>
          <cell r="D16578" t="str">
            <v>Wakefield</v>
          </cell>
          <cell r="E16578" t="str">
            <v>Community School</v>
          </cell>
          <cell r="F16578" t="str">
            <v>Primary</v>
          </cell>
        </row>
        <row r="16579">
          <cell r="A16579">
            <v>3842112</v>
          </cell>
          <cell r="B16579">
            <v>108186</v>
          </cell>
          <cell r="C16579" t="str">
            <v>Knottingley Ferrybridge Roundhill Junior School</v>
          </cell>
          <cell r="D16579" t="str">
            <v>Wakefield</v>
          </cell>
          <cell r="E16579" t="str">
            <v>Community School</v>
          </cell>
          <cell r="F16579" t="str">
            <v>Primary</v>
          </cell>
        </row>
        <row r="16580">
          <cell r="A16580">
            <v>3842210</v>
          </cell>
          <cell r="B16580">
            <v>136048</v>
          </cell>
          <cell r="C16580" t="str">
            <v>Knottingley Ferrybridge Roundhill Primary School</v>
          </cell>
          <cell r="D16580" t="str">
            <v>Wakefield</v>
          </cell>
          <cell r="E16580" t="str">
            <v>Community School</v>
          </cell>
          <cell r="F16580" t="str">
            <v>Primary</v>
          </cell>
        </row>
        <row r="16581">
          <cell r="A16581">
            <v>3844031</v>
          </cell>
          <cell r="B16581">
            <v>108283</v>
          </cell>
          <cell r="C16581" t="str">
            <v>Knottingley High School and Sports College</v>
          </cell>
          <cell r="D16581" t="str">
            <v>Wakefield</v>
          </cell>
          <cell r="E16581" t="str">
            <v>Community School</v>
          </cell>
          <cell r="F16581" t="str">
            <v>Secondary</v>
          </cell>
        </row>
        <row r="16582">
          <cell r="A16582">
            <v>3842101</v>
          </cell>
          <cell r="B16582">
            <v>108178</v>
          </cell>
          <cell r="C16582" t="str">
            <v>Knottingley Simpson's Lane Junior and Infant School</v>
          </cell>
          <cell r="D16582" t="str">
            <v>Wakefield</v>
          </cell>
          <cell r="E16582" t="str">
            <v>Community School</v>
          </cell>
          <cell r="F16582" t="str">
            <v>Primary</v>
          </cell>
        </row>
        <row r="16583">
          <cell r="A16583">
            <v>3842117</v>
          </cell>
          <cell r="B16583">
            <v>108190</v>
          </cell>
          <cell r="C16583" t="str">
            <v>Knottingley Throstle Farm Junior and Infant School</v>
          </cell>
          <cell r="D16583" t="str">
            <v>Wakefield</v>
          </cell>
          <cell r="E16583" t="str">
            <v>Community School</v>
          </cell>
          <cell r="F16583" t="str">
            <v>Primary</v>
          </cell>
        </row>
        <row r="16584">
          <cell r="A16584">
            <v>3842100</v>
          </cell>
          <cell r="B16584">
            <v>108177</v>
          </cell>
          <cell r="C16584" t="str">
            <v>Knottingley Vale Junior and Infant School</v>
          </cell>
          <cell r="D16584" t="str">
            <v>Wakefield</v>
          </cell>
          <cell r="E16584" t="str">
            <v>Community School</v>
          </cell>
          <cell r="F16584" t="str">
            <v>Primary</v>
          </cell>
        </row>
        <row r="16585">
          <cell r="A16585">
            <v>3412086</v>
          </cell>
          <cell r="B16585">
            <v>104550</v>
          </cell>
          <cell r="C16585" t="str">
            <v>Knotty Ash Primary School</v>
          </cell>
          <cell r="D16585" t="str">
            <v>Liverpool</v>
          </cell>
          <cell r="E16585" t="str">
            <v>Community School</v>
          </cell>
          <cell r="F16585" t="str">
            <v>Primary</v>
          </cell>
        </row>
        <row r="16586">
          <cell r="A16586">
            <v>3822098</v>
          </cell>
          <cell r="B16586">
            <v>127779</v>
          </cell>
          <cell r="C16586" t="str">
            <v>Knowl First School</v>
          </cell>
          <cell r="D16586" t="str">
            <v>Kirklees</v>
          </cell>
          <cell r="E16586" t="str">
            <v>Community School</v>
          </cell>
          <cell r="F16586" t="str">
            <v>Primary</v>
          </cell>
        </row>
        <row r="16587">
          <cell r="A16587">
            <v>8683028</v>
          </cell>
          <cell r="B16587">
            <v>109966</v>
          </cell>
          <cell r="C16587" t="str">
            <v>Knowl Hill CofE Primary School</v>
          </cell>
          <cell r="D16587" t="str">
            <v>Windsor and Maidenhead</v>
          </cell>
          <cell r="E16587" t="str">
            <v>Voluntary Controlled School</v>
          </cell>
          <cell r="F16587" t="str">
            <v>Primary</v>
          </cell>
        </row>
        <row r="16588">
          <cell r="A16588">
            <v>9366554</v>
          </cell>
          <cell r="B16588">
            <v>125436</v>
          </cell>
          <cell r="C16588" t="str">
            <v>Knowl Hill School</v>
          </cell>
          <cell r="D16588" t="str">
            <v>Surrey</v>
          </cell>
          <cell r="E16588" t="str">
            <v>Other Independent Special School</v>
          </cell>
          <cell r="F16588" t="str">
            <v>Not applicable</v>
          </cell>
        </row>
        <row r="16589">
          <cell r="A16589">
            <v>3547003</v>
          </cell>
          <cell r="B16589">
            <v>105859</v>
          </cell>
          <cell r="C16589" t="str">
            <v>Knowl View Residential School</v>
          </cell>
          <cell r="D16589" t="str">
            <v>Rochdale</v>
          </cell>
          <cell r="E16589" t="str">
            <v>Community Special School</v>
          </cell>
          <cell r="F16589" t="str">
            <v>Special</v>
          </cell>
        </row>
        <row r="16590">
          <cell r="A16590">
            <v>9262330</v>
          </cell>
          <cell r="B16590">
            <v>120965</v>
          </cell>
          <cell r="C16590" t="str">
            <v>Knowland Grove Community First School, Norwich</v>
          </cell>
          <cell r="D16590" t="str">
            <v>Norfolk</v>
          </cell>
          <cell r="E16590" t="str">
            <v>Community School</v>
          </cell>
          <cell r="F16590" t="str">
            <v>Primary</v>
          </cell>
        </row>
        <row r="16591">
          <cell r="A16591">
            <v>3343012</v>
          </cell>
          <cell r="B16591">
            <v>131292</v>
          </cell>
          <cell r="C16591" t="str">
            <v>Knowle Church of England Primary School</v>
          </cell>
          <cell r="D16591" t="str">
            <v>Solihull</v>
          </cell>
          <cell r="E16591" t="str">
            <v>Voluntary Controlled School</v>
          </cell>
          <cell r="F16591" t="str">
            <v>Primary</v>
          </cell>
        </row>
        <row r="16592">
          <cell r="A16592">
            <v>3343003</v>
          </cell>
          <cell r="B16592">
            <v>104086</v>
          </cell>
          <cell r="C16592" t="str">
            <v>Knowle CofE Infant School</v>
          </cell>
          <cell r="D16592" t="str">
            <v>Solihull</v>
          </cell>
          <cell r="E16592" t="str">
            <v>Voluntary Controlled School</v>
          </cell>
          <cell r="F16592" t="str">
            <v>Primary</v>
          </cell>
        </row>
        <row r="16593">
          <cell r="A16593">
            <v>3343002</v>
          </cell>
          <cell r="B16593">
            <v>104085</v>
          </cell>
          <cell r="C16593" t="str">
            <v>Knowle CofE Junior School</v>
          </cell>
          <cell r="D16593" t="str">
            <v>Solihull</v>
          </cell>
          <cell r="E16593" t="str">
            <v>Voluntary Controlled School</v>
          </cell>
          <cell r="F16593" t="str">
            <v>Primary</v>
          </cell>
        </row>
        <row r="16594">
          <cell r="A16594">
            <v>9226274</v>
          </cell>
          <cell r="B16594">
            <v>129447</v>
          </cell>
          <cell r="C16594" t="str">
            <v>Knowle Court School</v>
          </cell>
          <cell r="D16594" t="str">
            <v>Pre LGR (1998) Kent</v>
          </cell>
          <cell r="E16594" t="str">
            <v>Other Independent School</v>
          </cell>
          <cell r="F16594" t="str">
            <v>Not applicable</v>
          </cell>
        </row>
        <row r="16595">
          <cell r="A16595">
            <v>8017012</v>
          </cell>
          <cell r="B16595">
            <v>109392</v>
          </cell>
          <cell r="C16595" t="str">
            <v>Knowle DGE</v>
          </cell>
          <cell r="D16595" t="str">
            <v>Bristol City of</v>
          </cell>
          <cell r="E16595" t="str">
            <v>Community Special School</v>
          </cell>
          <cell r="F16595" t="str">
            <v>Special</v>
          </cell>
        </row>
        <row r="16596">
          <cell r="A16596">
            <v>8012049</v>
          </cell>
          <cell r="B16596">
            <v>108941</v>
          </cell>
          <cell r="C16596" t="str">
            <v>Knowle Infant School</v>
          </cell>
          <cell r="D16596" t="str">
            <v>Bristol City of</v>
          </cell>
          <cell r="E16596" t="str">
            <v>Community School</v>
          </cell>
          <cell r="F16596" t="str">
            <v>Primary</v>
          </cell>
        </row>
        <row r="16597">
          <cell r="A16597">
            <v>8012048</v>
          </cell>
          <cell r="B16597">
            <v>108940</v>
          </cell>
          <cell r="C16597" t="str">
            <v>Knowle Junior School</v>
          </cell>
          <cell r="D16597" t="str">
            <v>Bristol City of</v>
          </cell>
          <cell r="E16597" t="str">
            <v>Community School</v>
          </cell>
          <cell r="F16597" t="str">
            <v>Primary</v>
          </cell>
        </row>
        <row r="16598">
          <cell r="A16598">
            <v>8012051</v>
          </cell>
          <cell r="B16598">
            <v>108943</v>
          </cell>
          <cell r="C16598" t="str">
            <v>Knowle Park Infant School</v>
          </cell>
          <cell r="D16598" t="str">
            <v>Bristol City of</v>
          </cell>
          <cell r="E16598" t="str">
            <v>Community School</v>
          </cell>
          <cell r="F16598" t="str">
            <v>Primary</v>
          </cell>
        </row>
        <row r="16599">
          <cell r="A16599">
            <v>8012050</v>
          </cell>
          <cell r="B16599">
            <v>108942</v>
          </cell>
          <cell r="C16599" t="str">
            <v>Knowle Park Junior School</v>
          </cell>
          <cell r="D16599" t="str">
            <v>Bristol City of</v>
          </cell>
          <cell r="E16599" t="str">
            <v>Community School</v>
          </cell>
          <cell r="F16599" t="str">
            <v>Primary</v>
          </cell>
        </row>
        <row r="16600">
          <cell r="A16600">
            <v>8013438</v>
          </cell>
          <cell r="B16600">
            <v>135203</v>
          </cell>
          <cell r="C16600" t="str">
            <v>Knowle Park Primary School</v>
          </cell>
          <cell r="D16600" t="str">
            <v>Bristol City of</v>
          </cell>
          <cell r="E16600" t="str">
            <v>Community School</v>
          </cell>
          <cell r="F16600" t="str">
            <v>Primary</v>
          </cell>
        </row>
        <row r="16601">
          <cell r="A16601">
            <v>8792639</v>
          </cell>
          <cell r="B16601">
            <v>113277</v>
          </cell>
          <cell r="C16601" t="str">
            <v>Knowle Primary School</v>
          </cell>
          <cell r="D16601" t="str">
            <v>Plymouth</v>
          </cell>
          <cell r="E16601" t="str">
            <v>Community School</v>
          </cell>
          <cell r="F16601" t="str">
            <v>Primary</v>
          </cell>
        </row>
        <row r="16602">
          <cell r="A16602">
            <v>3337012</v>
          </cell>
          <cell r="B16602">
            <v>104031</v>
          </cell>
          <cell r="C16602" t="str">
            <v>Knowle School</v>
          </cell>
          <cell r="D16602" t="str">
            <v>Sandwell</v>
          </cell>
          <cell r="E16602" t="str">
            <v>Community Special School</v>
          </cell>
          <cell r="F16602" t="str">
            <v>Special</v>
          </cell>
        </row>
        <row r="16603">
          <cell r="A16603">
            <v>8011012</v>
          </cell>
          <cell r="B16603">
            <v>134241</v>
          </cell>
          <cell r="C16603" t="str">
            <v>Knowle West Early Years Centre</v>
          </cell>
          <cell r="D16603" t="str">
            <v>Bristol City of</v>
          </cell>
          <cell r="E16603" t="str">
            <v>LA Nursery School</v>
          </cell>
          <cell r="F16603" t="str">
            <v>Nursery</v>
          </cell>
        </row>
        <row r="16604">
          <cell r="A16604">
            <v>3822008</v>
          </cell>
          <cell r="B16604">
            <v>107603</v>
          </cell>
          <cell r="C16604" t="str">
            <v>Knowles Hill Infant and Nursery School</v>
          </cell>
          <cell r="D16604" t="str">
            <v>Kirklees</v>
          </cell>
          <cell r="E16604" t="str">
            <v>Community School</v>
          </cell>
          <cell r="F16604" t="str">
            <v>Primary</v>
          </cell>
        </row>
        <row r="16605">
          <cell r="A16605">
            <v>8262010</v>
          </cell>
          <cell r="B16605">
            <v>110211</v>
          </cell>
          <cell r="C16605" t="str">
            <v>Knowles Infant School</v>
          </cell>
          <cell r="D16605" t="str">
            <v>Milton Keynes</v>
          </cell>
          <cell r="E16605" t="str">
            <v>Community School</v>
          </cell>
          <cell r="F16605" t="str">
            <v>Primary</v>
          </cell>
        </row>
        <row r="16606">
          <cell r="A16606">
            <v>8262009</v>
          </cell>
          <cell r="B16606">
            <v>110210</v>
          </cell>
          <cell r="C16606" t="str">
            <v>Knowles Junior School</v>
          </cell>
          <cell r="D16606" t="str">
            <v>Milton Keynes</v>
          </cell>
          <cell r="E16606" t="str">
            <v>Community School</v>
          </cell>
          <cell r="F16606" t="str">
            <v>Primary</v>
          </cell>
        </row>
        <row r="16607">
          <cell r="A16607">
            <v>8261003</v>
          </cell>
          <cell r="B16607">
            <v>110197</v>
          </cell>
          <cell r="C16607" t="str">
            <v>Knowles Nursery School</v>
          </cell>
          <cell r="D16607" t="str">
            <v>Milton Keynes</v>
          </cell>
          <cell r="E16607" t="str">
            <v>LA Nursery School</v>
          </cell>
          <cell r="F16607" t="str">
            <v>Nursery</v>
          </cell>
        </row>
        <row r="16608">
          <cell r="A16608">
            <v>3802198</v>
          </cell>
          <cell r="B16608">
            <v>132183</v>
          </cell>
          <cell r="C16608" t="str">
            <v>Knowleswood Primary School</v>
          </cell>
          <cell r="D16608" t="str">
            <v>Bradford</v>
          </cell>
          <cell r="E16608" t="str">
            <v>Community School</v>
          </cell>
          <cell r="F16608" t="str">
            <v>Primary</v>
          </cell>
        </row>
        <row r="16609">
          <cell r="A16609">
            <v>3407015</v>
          </cell>
          <cell r="B16609">
            <v>104500</v>
          </cell>
          <cell r="C16609" t="str">
            <v>Knowsley Central Primary Support Centre</v>
          </cell>
          <cell r="D16609" t="str">
            <v>Knowsley</v>
          </cell>
          <cell r="E16609" t="str">
            <v>Community Special School</v>
          </cell>
          <cell r="F16609" t="str">
            <v>Special</v>
          </cell>
        </row>
        <row r="16610">
          <cell r="A16610">
            <v>3408002</v>
          </cell>
          <cell r="B16610">
            <v>130486</v>
          </cell>
          <cell r="C16610" t="str">
            <v>Knowsley Community College</v>
          </cell>
          <cell r="D16610" t="str">
            <v>Knowsley</v>
          </cell>
          <cell r="E16610" t="str">
            <v>Further Education</v>
          </cell>
          <cell r="F16610" t="str">
            <v>16 Plus</v>
          </cell>
        </row>
        <row r="16611">
          <cell r="A16611">
            <v>3404005</v>
          </cell>
          <cell r="B16611">
            <v>104484</v>
          </cell>
          <cell r="C16611" t="str">
            <v>Knowsley Hey Arts College</v>
          </cell>
          <cell r="D16611" t="str">
            <v>Knowsley</v>
          </cell>
          <cell r="E16611" t="str">
            <v>Community School</v>
          </cell>
          <cell r="F16611" t="str">
            <v>Secondary</v>
          </cell>
        </row>
        <row r="16612">
          <cell r="A16612">
            <v>3532080</v>
          </cell>
          <cell r="B16612">
            <v>105670</v>
          </cell>
          <cell r="C16612" t="str">
            <v>Knowsley Junior School</v>
          </cell>
          <cell r="D16612" t="str">
            <v>Oldham</v>
          </cell>
          <cell r="E16612" t="str">
            <v>Community School</v>
          </cell>
          <cell r="F16612" t="str">
            <v>Primary</v>
          </cell>
        </row>
        <row r="16613">
          <cell r="A16613">
            <v>3407014</v>
          </cell>
          <cell r="B16613">
            <v>104499</v>
          </cell>
          <cell r="C16613" t="str">
            <v>Knowsley Northern Primary Support Centre</v>
          </cell>
          <cell r="D16613" t="str">
            <v>Knowsley</v>
          </cell>
          <cell r="E16613" t="str">
            <v>Community Special School</v>
          </cell>
          <cell r="F16613" t="str">
            <v>Special</v>
          </cell>
        </row>
        <row r="16614">
          <cell r="A16614">
            <v>3404613</v>
          </cell>
          <cell r="B16614">
            <v>135477</v>
          </cell>
          <cell r="C16614" t="str">
            <v>Knowsley Park Centre for Learning</v>
          </cell>
          <cell r="D16614" t="str">
            <v>Knowsley</v>
          </cell>
          <cell r="E16614" t="str">
            <v>Community School</v>
          </cell>
          <cell r="F16614" t="str">
            <v>Secondary</v>
          </cell>
        </row>
        <row r="16615">
          <cell r="A16615">
            <v>3423202</v>
          </cell>
          <cell r="B16615">
            <v>104789</v>
          </cell>
          <cell r="C16615" t="str">
            <v>Knowsley Road Primary School</v>
          </cell>
          <cell r="D16615" t="str">
            <v>St. Helens</v>
          </cell>
          <cell r="E16615" t="str">
            <v>Voluntary Controlled School</v>
          </cell>
          <cell r="F16615" t="str">
            <v>Primary</v>
          </cell>
        </row>
        <row r="16616">
          <cell r="A16616">
            <v>3407016</v>
          </cell>
          <cell r="B16616">
            <v>104501</v>
          </cell>
          <cell r="C16616" t="str">
            <v>Knowsley Southern Primary Support Centre</v>
          </cell>
          <cell r="D16616" t="str">
            <v>Knowsley</v>
          </cell>
          <cell r="E16616" t="str">
            <v>Community Special School</v>
          </cell>
          <cell r="F16616" t="str">
            <v>Special</v>
          </cell>
        </row>
        <row r="16617">
          <cell r="A16617">
            <v>3402007</v>
          </cell>
          <cell r="B16617">
            <v>104423</v>
          </cell>
          <cell r="C16617" t="str">
            <v>Knowsley Village School</v>
          </cell>
          <cell r="D16617" t="str">
            <v>Knowsley</v>
          </cell>
          <cell r="E16617" t="str">
            <v>Community School</v>
          </cell>
          <cell r="F16617" t="str">
            <v>Primary</v>
          </cell>
        </row>
        <row r="16618">
          <cell r="A16618">
            <v>3401101</v>
          </cell>
          <cell r="B16618">
            <v>134329</v>
          </cell>
          <cell r="C16618" t="str">
            <v>Knowsley Virtual Pathways</v>
          </cell>
          <cell r="D16618" t="str">
            <v>Knowsley</v>
          </cell>
          <cell r="E16618" t="str">
            <v>Pupil Referral Unit</v>
          </cell>
          <cell r="F16618" t="str">
            <v>PRU</v>
          </cell>
        </row>
        <row r="16619">
          <cell r="A16619">
            <v>9288290</v>
          </cell>
          <cell r="B16619">
            <v>133187</v>
          </cell>
          <cell r="C16619" t="str">
            <v>Knuston Hall</v>
          </cell>
          <cell r="D16619" t="str">
            <v>Northamptonshire</v>
          </cell>
          <cell r="E16619" t="str">
            <v>Miscellaneous</v>
          </cell>
          <cell r="F16619" t="str">
            <v>Not applicable</v>
          </cell>
        </row>
        <row r="16620">
          <cell r="A16620">
            <v>8954163</v>
          </cell>
          <cell r="B16620">
            <v>111427</v>
          </cell>
          <cell r="C16620" t="str">
            <v>Knutsford High School</v>
          </cell>
          <cell r="D16620" t="str">
            <v>Cheshire East</v>
          </cell>
          <cell r="E16620" t="str">
            <v>Community School</v>
          </cell>
          <cell r="F16620" t="str">
            <v>Secondary</v>
          </cell>
        </row>
        <row r="16621">
          <cell r="A16621">
            <v>9192130</v>
          </cell>
          <cell r="B16621">
            <v>117165</v>
          </cell>
          <cell r="C16621" t="str">
            <v>Knutsford School</v>
          </cell>
          <cell r="D16621" t="str">
            <v>Hertfordshire</v>
          </cell>
          <cell r="E16621" t="str">
            <v>Community School</v>
          </cell>
          <cell r="F16621" t="str">
            <v>Primary</v>
          </cell>
        </row>
        <row r="16622">
          <cell r="A16622">
            <v>8602254</v>
          </cell>
          <cell r="B16622">
            <v>124113</v>
          </cell>
          <cell r="C16622" t="str">
            <v>Knutton Infant School</v>
          </cell>
          <cell r="D16622" t="str">
            <v>Staffordshire</v>
          </cell>
          <cell r="E16622" t="str">
            <v>Community School</v>
          </cell>
          <cell r="F16622" t="str">
            <v>Primary</v>
          </cell>
        </row>
        <row r="16623">
          <cell r="A16623">
            <v>8603090</v>
          </cell>
          <cell r="B16623">
            <v>124264</v>
          </cell>
          <cell r="C16623" t="str">
            <v>Knutton St Mary's CofE (C) Junior School</v>
          </cell>
          <cell r="D16623" t="str">
            <v>Staffordshire</v>
          </cell>
          <cell r="E16623" t="str">
            <v>Voluntary Controlled School</v>
          </cell>
          <cell r="F16623" t="str">
            <v>Primary</v>
          </cell>
        </row>
        <row r="16624">
          <cell r="A16624">
            <v>8603491</v>
          </cell>
          <cell r="B16624">
            <v>133993</v>
          </cell>
          <cell r="C16624" t="str">
            <v>Knutton St Mary's Primary School</v>
          </cell>
          <cell r="D16624" t="str">
            <v>Staffordshire</v>
          </cell>
          <cell r="E16624" t="str">
            <v>Voluntary Controlled School</v>
          </cell>
          <cell r="F16624" t="str">
            <v>Primary</v>
          </cell>
        </row>
        <row r="16625">
          <cell r="A16625">
            <v>8883353</v>
          </cell>
          <cell r="B16625">
            <v>119450</v>
          </cell>
          <cell r="C16625" t="str">
            <v>Knuzden St Oswald's CofE Voluntary Aided Primary School</v>
          </cell>
          <cell r="D16625" t="str">
            <v>Lancashire</v>
          </cell>
          <cell r="E16625" t="str">
            <v>Voluntary Aided School</v>
          </cell>
          <cell r="F16625" t="str">
            <v>Primary</v>
          </cell>
        </row>
        <row r="16626">
          <cell r="A16626">
            <v>8602163</v>
          </cell>
          <cell r="B16626">
            <v>124060</v>
          </cell>
          <cell r="C16626" t="str">
            <v>Knypersley First School</v>
          </cell>
          <cell r="D16626" t="str">
            <v>Staffordshire</v>
          </cell>
          <cell r="E16626" t="str">
            <v>Community School</v>
          </cell>
          <cell r="F16626" t="str">
            <v>Primary</v>
          </cell>
        </row>
        <row r="16627">
          <cell r="A16627">
            <v>2112918</v>
          </cell>
          <cell r="B16627">
            <v>100940</v>
          </cell>
          <cell r="C16627" t="str">
            <v>Kobi Nazrul Primary School</v>
          </cell>
          <cell r="D16627" t="str">
            <v>Tower Hamlets</v>
          </cell>
          <cell r="E16627" t="str">
            <v>Community School</v>
          </cell>
          <cell r="F16627" t="str">
            <v>Primary</v>
          </cell>
        </row>
        <row r="16628">
          <cell r="A16628">
            <v>3556025</v>
          </cell>
          <cell r="B16628">
            <v>127488</v>
          </cell>
          <cell r="C16628" t="str">
            <v>Kol Hatorah School</v>
          </cell>
          <cell r="D16628" t="str">
            <v>Salford</v>
          </cell>
          <cell r="E16628" t="str">
            <v>Other Independent School</v>
          </cell>
          <cell r="F16628" t="str">
            <v>Not applicable</v>
          </cell>
        </row>
        <row r="16629">
          <cell r="A16629">
            <v>3946014</v>
          </cell>
          <cell r="B16629">
            <v>128208</v>
          </cell>
          <cell r="C16629" t="str">
            <v>Kol Hatorah School</v>
          </cell>
          <cell r="D16629" t="str">
            <v>Sunderland</v>
          </cell>
          <cell r="E16629" t="str">
            <v>Other Independent School</v>
          </cell>
          <cell r="F16629" t="str">
            <v>Not applicable</v>
          </cell>
        </row>
        <row r="16630">
          <cell r="A16630">
            <v>7022032</v>
          </cell>
          <cell r="B16630">
            <v>132399</v>
          </cell>
          <cell r="C16630" t="str">
            <v>Krefeld Primary School</v>
          </cell>
          <cell r="D16630" t="str">
            <v>BFPO Overseas Establishments</v>
          </cell>
          <cell r="E16630" t="str">
            <v>Service Childrens Education</v>
          </cell>
          <cell r="F16630" t="str">
            <v>Not applicable</v>
          </cell>
        </row>
        <row r="16631">
          <cell r="A16631">
            <v>3103513</v>
          </cell>
          <cell r="B16631">
            <v>135171</v>
          </cell>
          <cell r="C16631" t="str">
            <v>Krishna-Avanti Primary School</v>
          </cell>
          <cell r="D16631" t="str">
            <v>Harrow</v>
          </cell>
          <cell r="E16631" t="str">
            <v>Voluntary Aided School</v>
          </cell>
          <cell r="F16631" t="str">
            <v>Primary</v>
          </cell>
        </row>
        <row r="16632">
          <cell r="A16632">
            <v>8562001</v>
          </cell>
          <cell r="B16632">
            <v>136930</v>
          </cell>
          <cell r="C16632" t="str">
            <v>Krishna-Avanti Primary School</v>
          </cell>
          <cell r="D16632" t="str">
            <v>Leicester</v>
          </cell>
          <cell r="E16632" t="str">
            <v>Academy Free Schools</v>
          </cell>
          <cell r="F16632" t="str">
            <v>Primary</v>
          </cell>
        </row>
        <row r="16633">
          <cell r="A16633">
            <v>7046015</v>
          </cell>
          <cell r="B16633">
            <v>132572</v>
          </cell>
          <cell r="C16633" t="str">
            <v>Kristiansund School</v>
          </cell>
          <cell r="D16633" t="str">
            <v>Fieldwork Overseas Establishments</v>
          </cell>
          <cell r="E16633" t="str">
            <v>Service Childrens Education</v>
          </cell>
          <cell r="F16633" t="str">
            <v>Not applicable</v>
          </cell>
        </row>
        <row r="16634">
          <cell r="A16634">
            <v>7046013</v>
          </cell>
          <cell r="B16634">
            <v>133023</v>
          </cell>
          <cell r="C16634" t="str">
            <v>Kristiansund School</v>
          </cell>
          <cell r="D16634" t="str">
            <v>Fieldwork Overseas Establishments</v>
          </cell>
          <cell r="E16634" t="str">
            <v>Service Childrens Education</v>
          </cell>
          <cell r="F16634" t="str">
            <v>Not applicable</v>
          </cell>
        </row>
        <row r="16635">
          <cell r="A16635">
            <v>3941101</v>
          </cell>
          <cell r="B16635">
            <v>135639</v>
          </cell>
          <cell r="C16635" t="str">
            <v>Ks1 Pupil Referral Unit</v>
          </cell>
          <cell r="D16635" t="str">
            <v>Sunderland</v>
          </cell>
          <cell r="E16635" t="str">
            <v>Pupil Referral Unit</v>
          </cell>
          <cell r="F16635" t="str">
            <v>PRU</v>
          </cell>
        </row>
        <row r="16636">
          <cell r="A16636">
            <v>3941102</v>
          </cell>
          <cell r="B16636">
            <v>135640</v>
          </cell>
          <cell r="C16636" t="str">
            <v>KS2/3 PRU</v>
          </cell>
          <cell r="D16636" t="str">
            <v>Sunderland</v>
          </cell>
          <cell r="E16636" t="str">
            <v>Pupil Referral Unit</v>
          </cell>
          <cell r="F16636" t="str">
            <v>PRU</v>
          </cell>
        </row>
        <row r="16637">
          <cell r="A16637">
            <v>6701110</v>
          </cell>
          <cell r="B16637">
            <v>402173</v>
          </cell>
          <cell r="C16637" t="str">
            <v>KS3 EOTAS Pathway</v>
          </cell>
          <cell r="D16637" t="str">
            <v>Swansea</v>
          </cell>
          <cell r="E16637" t="str">
            <v>Welsh Establishment</v>
          </cell>
          <cell r="F16637" t="str">
            <v>Not applicable</v>
          </cell>
        </row>
        <row r="16638">
          <cell r="A16638">
            <v>3731104</v>
          </cell>
          <cell r="B16638">
            <v>134266</v>
          </cell>
          <cell r="C16638" t="str">
            <v>KS3 Inclusion Centre</v>
          </cell>
          <cell r="D16638" t="str">
            <v>Sheffield</v>
          </cell>
          <cell r="E16638" t="str">
            <v>Pupil Referral Unit</v>
          </cell>
          <cell r="F16638" t="str">
            <v>PRU</v>
          </cell>
        </row>
        <row r="16639">
          <cell r="A16639">
            <v>6701111</v>
          </cell>
          <cell r="B16639">
            <v>402172</v>
          </cell>
          <cell r="C16639" t="str">
            <v>KS4 EOTAS Pathway</v>
          </cell>
          <cell r="D16639" t="str">
            <v>Swansea</v>
          </cell>
          <cell r="E16639" t="str">
            <v>Welsh Establishment</v>
          </cell>
          <cell r="F16639" t="str">
            <v>Not applicable</v>
          </cell>
        </row>
        <row r="16640">
          <cell r="A16640">
            <v>8761101</v>
          </cell>
          <cell r="B16640">
            <v>134322</v>
          </cell>
          <cell r="C16640" t="str">
            <v>KS4 PRU</v>
          </cell>
          <cell r="D16640" t="str">
            <v>Halton</v>
          </cell>
          <cell r="E16640" t="str">
            <v>Pupil Referral Unit</v>
          </cell>
          <cell r="F16640" t="str">
            <v>PRU</v>
          </cell>
        </row>
        <row r="16641">
          <cell r="A16641">
            <v>8301112</v>
          </cell>
          <cell r="B16641">
            <v>134910</v>
          </cell>
          <cell r="C16641" t="str">
            <v>KS4 Support Centre</v>
          </cell>
          <cell r="D16641" t="str">
            <v>Derbyshire</v>
          </cell>
          <cell r="E16641" t="str">
            <v>Pupil Referral Unit</v>
          </cell>
          <cell r="F16641" t="str">
            <v>PRU</v>
          </cell>
        </row>
        <row r="16642">
          <cell r="A16642">
            <v>9176320</v>
          </cell>
          <cell r="B16642">
            <v>116578</v>
          </cell>
          <cell r="C16642" t="str">
            <v>Kwabena Montessori Independent School</v>
          </cell>
          <cell r="D16642" t="str">
            <v>Pre LGR (1997) Hampshire</v>
          </cell>
          <cell r="E16642" t="str">
            <v>Other Independent School</v>
          </cell>
          <cell r="F16642" t="str">
            <v>Not applicable</v>
          </cell>
        </row>
        <row r="16643">
          <cell r="A16643">
            <v>8216002</v>
          </cell>
          <cell r="B16643">
            <v>136101</v>
          </cell>
          <cell r="C16643" t="str">
            <v>KWS Educational Services</v>
          </cell>
          <cell r="D16643" t="str">
            <v>Luton</v>
          </cell>
          <cell r="E16643" t="str">
            <v>Other Independent School</v>
          </cell>
          <cell r="F16643" t="str">
            <v>Not applicable</v>
          </cell>
        </row>
        <row r="16644">
          <cell r="A16644">
            <v>8226015</v>
          </cell>
          <cell r="B16644">
            <v>136122</v>
          </cell>
          <cell r="C16644" t="str">
            <v>KWS Educational Services</v>
          </cell>
          <cell r="D16644" t="str">
            <v>Bedford</v>
          </cell>
          <cell r="E16644" t="str">
            <v>Other Independent School</v>
          </cell>
          <cell r="F16644" t="str">
            <v>Not applicable</v>
          </cell>
        </row>
        <row r="16645">
          <cell r="A16645">
            <v>929611</v>
          </cell>
          <cell r="B16645">
            <v>133115</v>
          </cell>
          <cell r="C16645" t="str">
            <v>Kyloe House</v>
          </cell>
          <cell r="D16645" t="str">
            <v>Northumberland</v>
          </cell>
          <cell r="E16645" t="str">
            <v>Secure Units</v>
          </cell>
          <cell r="F16645" t="str">
            <v>Not applicable</v>
          </cell>
        </row>
        <row r="16646">
          <cell r="A16646">
            <v>8222287</v>
          </cell>
          <cell r="B16646">
            <v>109590</v>
          </cell>
          <cell r="C16646" t="str">
            <v>Kymbrook Lower School</v>
          </cell>
          <cell r="D16646" t="str">
            <v>Bedford</v>
          </cell>
          <cell r="E16646" t="str">
            <v>Foundation School</v>
          </cell>
          <cell r="F16646" t="str">
            <v>Primary</v>
          </cell>
        </row>
        <row r="16647">
          <cell r="A16647">
            <v>6792321</v>
          </cell>
          <cell r="B16647">
            <v>402141</v>
          </cell>
          <cell r="C16647" t="str">
            <v>Kymin View Primary</v>
          </cell>
          <cell r="D16647" t="str">
            <v>Monmouthshire</v>
          </cell>
          <cell r="E16647" t="str">
            <v>Welsh Establishment</v>
          </cell>
          <cell r="F16647" t="str">
            <v>Primary</v>
          </cell>
        </row>
        <row r="16648">
          <cell r="A16648">
            <v>8257024</v>
          </cell>
          <cell r="B16648">
            <v>110586</v>
          </cell>
          <cell r="C16648" t="str">
            <v>Kynaston School</v>
          </cell>
          <cell r="D16648" t="str">
            <v>Buckinghamshire</v>
          </cell>
          <cell r="E16648" t="str">
            <v>Community Special School</v>
          </cell>
          <cell r="F16648" t="str">
            <v>Special</v>
          </cell>
        </row>
        <row r="16649">
          <cell r="A16649">
            <v>9352135</v>
          </cell>
          <cell r="B16649">
            <v>124628</v>
          </cell>
          <cell r="C16649" t="str">
            <v>Kyson Primary School</v>
          </cell>
          <cell r="D16649" t="str">
            <v>Suffolk</v>
          </cell>
          <cell r="E16649" t="str">
            <v>Community School</v>
          </cell>
          <cell r="F16649" t="str">
            <v>Primary</v>
          </cell>
        </row>
        <row r="16650">
          <cell r="A16650">
            <v>7062008</v>
          </cell>
          <cell r="B16650">
            <v>132480</v>
          </cell>
          <cell r="C16650" t="str">
            <v>La Houguette Primary School</v>
          </cell>
          <cell r="D16650" t="str">
            <v>Guernsey Offshore Establishments</v>
          </cell>
          <cell r="E16650" t="str">
            <v>Offshore Schools</v>
          </cell>
          <cell r="F16650" t="str">
            <v>Not applicable</v>
          </cell>
        </row>
        <row r="16651">
          <cell r="A16651">
            <v>7064003</v>
          </cell>
          <cell r="B16651">
            <v>132470</v>
          </cell>
          <cell r="C16651" t="str">
            <v>La Mare De Carteret High School</v>
          </cell>
          <cell r="D16651" t="str">
            <v>Guernsey Offshore Establishments</v>
          </cell>
          <cell r="E16651" t="str">
            <v>Offshore Schools</v>
          </cell>
          <cell r="F16651" t="str">
            <v>Not applicable</v>
          </cell>
        </row>
        <row r="16652">
          <cell r="A16652">
            <v>7062007</v>
          </cell>
          <cell r="B16652">
            <v>132516</v>
          </cell>
          <cell r="C16652" t="str">
            <v>La Mare De Carteret Primary School</v>
          </cell>
          <cell r="D16652" t="str">
            <v>Guernsey Offshore Establishments</v>
          </cell>
          <cell r="E16652" t="str">
            <v>Offshore Schools</v>
          </cell>
          <cell r="F16652" t="str">
            <v>Not applicable</v>
          </cell>
        </row>
        <row r="16653">
          <cell r="A16653">
            <v>7072007</v>
          </cell>
          <cell r="B16653">
            <v>132424</v>
          </cell>
          <cell r="C16653" t="str">
            <v>La Moye School</v>
          </cell>
          <cell r="D16653" t="str">
            <v>Jersey Offshore Establishments</v>
          </cell>
          <cell r="E16653" t="str">
            <v>Offshore Schools</v>
          </cell>
          <cell r="F16653" t="str">
            <v>Not applicable</v>
          </cell>
        </row>
        <row r="16654">
          <cell r="A16654">
            <v>2076387</v>
          </cell>
          <cell r="B16654">
            <v>100545</v>
          </cell>
          <cell r="C16654" t="str">
            <v>La Petite Ecole Francaise</v>
          </cell>
          <cell r="D16654" t="str">
            <v>Kensington and Chelsea</v>
          </cell>
          <cell r="E16654" t="str">
            <v>Other Independent School</v>
          </cell>
          <cell r="F16654" t="str">
            <v>Not applicable</v>
          </cell>
        </row>
        <row r="16655">
          <cell r="A16655">
            <v>7072008</v>
          </cell>
          <cell r="B16655">
            <v>132488</v>
          </cell>
          <cell r="C16655" t="str">
            <v>La Pouquelaye School</v>
          </cell>
          <cell r="D16655" t="str">
            <v>Jersey Offshore Establishments</v>
          </cell>
          <cell r="E16655" t="str">
            <v>Offshore Schools</v>
          </cell>
          <cell r="F16655" t="str">
            <v>Not applicable</v>
          </cell>
        </row>
        <row r="16656">
          <cell r="A16656">
            <v>2085400</v>
          </cell>
          <cell r="B16656">
            <v>100637</v>
          </cell>
          <cell r="C16656" t="str">
            <v>La Retraite Roman Catholic Girls' School</v>
          </cell>
          <cell r="D16656" t="str">
            <v>Lambeth</v>
          </cell>
          <cell r="E16656" t="str">
            <v>Voluntary Aided School</v>
          </cell>
          <cell r="F16656" t="str">
            <v>Secondary</v>
          </cell>
        </row>
        <row r="16657">
          <cell r="A16657">
            <v>3916002</v>
          </cell>
          <cell r="B16657">
            <v>108539</v>
          </cell>
          <cell r="C16657" t="str">
            <v>La Sagesse School</v>
          </cell>
          <cell r="D16657" t="str">
            <v>Newcastle upon Tyne</v>
          </cell>
          <cell r="E16657" t="str">
            <v>Other Independent School</v>
          </cell>
          <cell r="F16657" t="str">
            <v>Not applicable</v>
          </cell>
        </row>
        <row r="16658">
          <cell r="A16658">
            <v>2025401</v>
          </cell>
          <cell r="B16658">
            <v>100059</v>
          </cell>
          <cell r="C16658" t="str">
            <v>La Sainte Union Catholic Secondary School</v>
          </cell>
          <cell r="D16658" t="str">
            <v>Camden</v>
          </cell>
          <cell r="E16658" t="str">
            <v>Voluntary Aided School</v>
          </cell>
          <cell r="F16658" t="str">
            <v>Secondary</v>
          </cell>
        </row>
        <row r="16659">
          <cell r="A16659">
            <v>3113502</v>
          </cell>
          <cell r="B16659">
            <v>102330</v>
          </cell>
          <cell r="C16659" t="str">
            <v>La Salette Catholic Primary School</v>
          </cell>
          <cell r="D16659" t="str">
            <v>Havering</v>
          </cell>
          <cell r="E16659" t="str">
            <v>Voluntary Aided School</v>
          </cell>
          <cell r="F16659" t="str">
            <v>Primary</v>
          </cell>
        </row>
        <row r="16660">
          <cell r="A16660">
            <v>2076000</v>
          </cell>
          <cell r="B16660">
            <v>136747</v>
          </cell>
          <cell r="C16660" t="str">
            <v>La Scuola Italiana A Londra</v>
          </cell>
          <cell r="D16660" t="str">
            <v>Kensington and Chelsea</v>
          </cell>
          <cell r="E16660" t="str">
            <v>Other Independent School</v>
          </cell>
          <cell r="F16660" t="str">
            <v>Not applicable</v>
          </cell>
        </row>
        <row r="16661">
          <cell r="A16661">
            <v>2024952</v>
          </cell>
          <cell r="B16661">
            <v>132838</v>
          </cell>
          <cell r="C16661" t="str">
            <v>La Swap Sixth Form</v>
          </cell>
          <cell r="D16661" t="str">
            <v>Camden</v>
          </cell>
          <cell r="E16661" t="str">
            <v>Sixth Form Centres</v>
          </cell>
          <cell r="F16661" t="str">
            <v>16 Plus</v>
          </cell>
        </row>
        <row r="16662">
          <cell r="A16662">
            <v>9382101</v>
          </cell>
          <cell r="B16662">
            <v>125873</v>
          </cell>
          <cell r="C16662" t="str">
            <v>Laburnum Grove Junior School, Bognor Regis</v>
          </cell>
          <cell r="D16662" t="str">
            <v>West Sussex</v>
          </cell>
          <cell r="E16662" t="str">
            <v>Community School</v>
          </cell>
          <cell r="F16662" t="str">
            <v>Primary</v>
          </cell>
        </row>
        <row r="16663">
          <cell r="A16663">
            <v>8232119</v>
          </cell>
          <cell r="B16663">
            <v>109477</v>
          </cell>
          <cell r="C16663" t="str">
            <v>Laburnum Lower School</v>
          </cell>
          <cell r="D16663" t="str">
            <v>Central Bedfordshire</v>
          </cell>
          <cell r="E16663" t="str">
            <v>Foundation School</v>
          </cell>
          <cell r="F16663" t="str">
            <v>Primary</v>
          </cell>
        </row>
        <row r="16664">
          <cell r="A16664">
            <v>2042362</v>
          </cell>
          <cell r="B16664">
            <v>100228</v>
          </cell>
          <cell r="C16664" t="str">
            <v>Laburnum Primary School</v>
          </cell>
          <cell r="D16664" t="str">
            <v>Hackney</v>
          </cell>
          <cell r="E16664" t="str">
            <v>Community School</v>
          </cell>
          <cell r="F16664" t="str">
            <v>Primary</v>
          </cell>
        </row>
        <row r="16665">
          <cell r="A16665">
            <v>9202335</v>
          </cell>
          <cell r="B16665">
            <v>129230</v>
          </cell>
          <cell r="C16665" t="str">
            <v>Laceby Acres First and Middle School</v>
          </cell>
          <cell r="D16665" t="str">
            <v>Pre LGR (1996) Humberside</v>
          </cell>
          <cell r="E16665" t="str">
            <v>Community School</v>
          </cell>
          <cell r="F16665" t="str">
            <v>Middle Deemed Primary</v>
          </cell>
        </row>
        <row r="16666">
          <cell r="A16666">
            <v>8122938</v>
          </cell>
          <cell r="B16666">
            <v>117965</v>
          </cell>
          <cell r="C16666" t="str">
            <v>Laceby Acres Primary School</v>
          </cell>
          <cell r="D16666" t="str">
            <v>North East Lincolnshire</v>
          </cell>
          <cell r="E16666" t="str">
            <v>Community School</v>
          </cell>
          <cell r="F16666" t="str">
            <v>Primary</v>
          </cell>
        </row>
        <row r="16667">
          <cell r="A16667">
            <v>3301104</v>
          </cell>
          <cell r="B16667">
            <v>131571</v>
          </cell>
          <cell r="C16667" t="str">
            <v>Laces</v>
          </cell>
          <cell r="D16667" t="str">
            <v>Birmingham</v>
          </cell>
          <cell r="E16667" t="str">
            <v>Pupil Referral Unit</v>
          </cell>
          <cell r="F16667" t="str">
            <v>PRU</v>
          </cell>
        </row>
        <row r="16668">
          <cell r="A16668">
            <v>3702057</v>
          </cell>
          <cell r="B16668">
            <v>106579</v>
          </cell>
          <cell r="C16668" t="str">
            <v>Lacewood Primary School</v>
          </cell>
          <cell r="D16668" t="str">
            <v>Barnsley</v>
          </cell>
          <cell r="E16668" t="str">
            <v>Community School</v>
          </cell>
          <cell r="F16668" t="str">
            <v>Primary</v>
          </cell>
        </row>
        <row r="16669">
          <cell r="A16669">
            <v>9255206</v>
          </cell>
          <cell r="B16669">
            <v>120673</v>
          </cell>
          <cell r="C16669" t="str">
            <v>Lacey Gardens Junior School</v>
          </cell>
          <cell r="D16669" t="str">
            <v>Lincolnshire</v>
          </cell>
          <cell r="E16669" t="str">
            <v>Foundation School</v>
          </cell>
          <cell r="F16669" t="str">
            <v>Primary</v>
          </cell>
        </row>
        <row r="16670">
          <cell r="A16670">
            <v>8952133</v>
          </cell>
          <cell r="B16670">
            <v>111010</v>
          </cell>
          <cell r="C16670" t="str">
            <v>Lacey Green Primary School</v>
          </cell>
          <cell r="D16670" t="str">
            <v>Cheshire East</v>
          </cell>
          <cell r="E16670" t="str">
            <v>Community School</v>
          </cell>
          <cell r="F16670" t="str">
            <v>Primary</v>
          </cell>
        </row>
        <row r="16671">
          <cell r="A16671">
            <v>8952133</v>
          </cell>
          <cell r="B16671">
            <v>137450</v>
          </cell>
          <cell r="C16671" t="str">
            <v>Lacey Green Primary School</v>
          </cell>
          <cell r="D16671" t="str">
            <v>Cheshire East</v>
          </cell>
          <cell r="E16671" t="str">
            <v>Academy Converters</v>
          </cell>
          <cell r="F16671" t="str">
            <v>Primary</v>
          </cell>
        </row>
        <row r="16672">
          <cell r="A16672">
            <v>8752054</v>
          </cell>
          <cell r="B16672">
            <v>110975</v>
          </cell>
          <cell r="C16672" t="str">
            <v>Lache County Infant School</v>
          </cell>
          <cell r="D16672" t="str">
            <v>Pre LGR (2009) Cheshire</v>
          </cell>
          <cell r="E16672" t="str">
            <v>Community School</v>
          </cell>
          <cell r="F16672" t="str">
            <v>Primary</v>
          </cell>
        </row>
        <row r="16673">
          <cell r="A16673">
            <v>8752068</v>
          </cell>
          <cell r="B16673">
            <v>110986</v>
          </cell>
          <cell r="C16673" t="str">
            <v>Lache County Junior School</v>
          </cell>
          <cell r="D16673" t="str">
            <v>Pre LGR (2009) Cheshire</v>
          </cell>
          <cell r="E16673" t="str">
            <v>Community School</v>
          </cell>
          <cell r="F16673" t="str">
            <v>Primary</v>
          </cell>
        </row>
        <row r="16674">
          <cell r="A16674">
            <v>8962729</v>
          </cell>
          <cell r="B16674">
            <v>131350</v>
          </cell>
          <cell r="C16674" t="str">
            <v>Lache Primary School</v>
          </cell>
          <cell r="D16674" t="str">
            <v>Cheshire West and Chester</v>
          </cell>
          <cell r="E16674" t="str">
            <v>Community School</v>
          </cell>
          <cell r="F16674" t="str">
            <v>Primary</v>
          </cell>
        </row>
        <row r="16675">
          <cell r="A16675">
            <v>8658300</v>
          </cell>
          <cell r="B16675">
            <v>130853</v>
          </cell>
          <cell r="C16675" t="str">
            <v>Lackham College</v>
          </cell>
          <cell r="D16675" t="str">
            <v>Wiltshire</v>
          </cell>
          <cell r="E16675" t="str">
            <v>Further Education</v>
          </cell>
          <cell r="F16675" t="str">
            <v>16 Plus</v>
          </cell>
        </row>
        <row r="16676">
          <cell r="A16676">
            <v>8653100</v>
          </cell>
          <cell r="B16676">
            <v>126333</v>
          </cell>
          <cell r="C16676" t="str">
            <v>Lacock Church of England Primary School</v>
          </cell>
          <cell r="D16676" t="str">
            <v>Wiltshire</v>
          </cell>
          <cell r="E16676" t="str">
            <v>Voluntary Controlled School</v>
          </cell>
          <cell r="F16676" t="str">
            <v>Primary</v>
          </cell>
        </row>
        <row r="16677">
          <cell r="A16677">
            <v>9192982</v>
          </cell>
          <cell r="B16677">
            <v>117370</v>
          </cell>
          <cell r="C16677" t="str">
            <v>Ladbrooke Junior Mixed and Infant School</v>
          </cell>
          <cell r="D16677" t="str">
            <v>Hertfordshire</v>
          </cell>
          <cell r="E16677" t="str">
            <v>Community School</v>
          </cell>
          <cell r="F16677" t="str">
            <v>Primary</v>
          </cell>
        </row>
        <row r="16678">
          <cell r="A16678">
            <v>3804079</v>
          </cell>
          <cell r="B16678">
            <v>107399</v>
          </cell>
          <cell r="C16678" t="str">
            <v>Ladderbanks Middle School</v>
          </cell>
          <cell r="D16678" t="str">
            <v>Bradford</v>
          </cell>
          <cell r="E16678" t="str">
            <v>Community School</v>
          </cell>
          <cell r="F16678" t="str">
            <v>Middle Deemed Secondary</v>
          </cell>
        </row>
        <row r="16679">
          <cell r="A16679">
            <v>8863091</v>
          </cell>
          <cell r="B16679">
            <v>118637</v>
          </cell>
          <cell r="C16679" t="str">
            <v>Laddingford St Mary's Church of England Voluntary Controlled Primary School</v>
          </cell>
          <cell r="D16679" t="str">
            <v>Kent</v>
          </cell>
          <cell r="E16679" t="str">
            <v>Voluntary Controlled School</v>
          </cell>
          <cell r="F16679" t="str">
            <v>Primary</v>
          </cell>
        </row>
        <row r="16680">
          <cell r="A16680">
            <v>9083543</v>
          </cell>
          <cell r="B16680">
            <v>112010</v>
          </cell>
          <cell r="C16680" t="str">
            <v>Ladock CofE School</v>
          </cell>
          <cell r="D16680" t="str">
            <v>Cornwall</v>
          </cell>
          <cell r="E16680" t="str">
            <v>Voluntary Aided School</v>
          </cell>
          <cell r="F16680" t="str">
            <v>Primary</v>
          </cell>
        </row>
        <row r="16681">
          <cell r="A16681">
            <v>9224211</v>
          </cell>
          <cell r="B16681">
            <v>129433</v>
          </cell>
          <cell r="C16681" t="str">
            <v>Lady Anne Cheyne Middle School</v>
          </cell>
          <cell r="D16681" t="str">
            <v>Pre LGR (1998) Kent</v>
          </cell>
          <cell r="E16681" t="str">
            <v>Community School</v>
          </cell>
          <cell r="F16681" t="str">
            <v>Middle Deemed Secondary</v>
          </cell>
        </row>
        <row r="16682">
          <cell r="A16682">
            <v>3122033</v>
          </cell>
          <cell r="B16682">
            <v>102389</v>
          </cell>
          <cell r="C16682" t="str">
            <v>Lady Bankes Infant School</v>
          </cell>
          <cell r="D16682" t="str">
            <v>Hillingdon</v>
          </cell>
          <cell r="E16682" t="str">
            <v>Community School</v>
          </cell>
          <cell r="F16682" t="str">
            <v>Primary</v>
          </cell>
        </row>
        <row r="16683">
          <cell r="A16683">
            <v>3122032</v>
          </cell>
          <cell r="B16683">
            <v>102388</v>
          </cell>
          <cell r="C16683" t="str">
            <v>Lady Bankes Junior School</v>
          </cell>
          <cell r="D16683" t="str">
            <v>Hillingdon</v>
          </cell>
          <cell r="E16683" t="str">
            <v>Community School</v>
          </cell>
          <cell r="F16683" t="str">
            <v>Primary</v>
          </cell>
        </row>
        <row r="16684">
          <cell r="A16684">
            <v>3566007</v>
          </cell>
          <cell r="B16684">
            <v>106149</v>
          </cell>
          <cell r="C16684" t="str">
            <v>Lady Barn House School</v>
          </cell>
          <cell r="D16684" t="str">
            <v>Stockport</v>
          </cell>
          <cell r="E16684" t="str">
            <v>Other Independent School</v>
          </cell>
          <cell r="F16684" t="str">
            <v>Not applicable</v>
          </cell>
        </row>
        <row r="16685">
          <cell r="A16685">
            <v>8912560</v>
          </cell>
          <cell r="B16685">
            <v>122596</v>
          </cell>
          <cell r="C16685" t="str">
            <v>Lady Bay Primary School</v>
          </cell>
          <cell r="D16685" t="str">
            <v>Nottinghamshire</v>
          </cell>
          <cell r="E16685" t="str">
            <v>Community School</v>
          </cell>
          <cell r="F16685" t="str">
            <v>Primary</v>
          </cell>
        </row>
        <row r="16686">
          <cell r="A16686">
            <v>8863317</v>
          </cell>
          <cell r="B16686">
            <v>118721</v>
          </cell>
          <cell r="C16686" t="str">
            <v>Lady Boswell's Church of England Voluntary Aided Primary School, Sevenoaks</v>
          </cell>
          <cell r="D16686" t="str">
            <v>Kent</v>
          </cell>
          <cell r="E16686" t="str">
            <v>Voluntary Aided School</v>
          </cell>
          <cell r="F16686" t="str">
            <v>Primary</v>
          </cell>
        </row>
        <row r="16687">
          <cell r="A16687">
            <v>3835200</v>
          </cell>
          <cell r="B16687">
            <v>108100</v>
          </cell>
          <cell r="C16687" t="str">
            <v>Lady E Hastings CofE Primary School</v>
          </cell>
          <cell r="D16687" t="str">
            <v>Leeds</v>
          </cell>
          <cell r="E16687" t="str">
            <v>Voluntary Aided School</v>
          </cell>
          <cell r="F16687" t="str">
            <v>Primary</v>
          </cell>
        </row>
        <row r="16688">
          <cell r="A16688">
            <v>2076098</v>
          </cell>
          <cell r="B16688">
            <v>100515</v>
          </cell>
          <cell r="C16688" t="str">
            <v>Lady Eden's School</v>
          </cell>
          <cell r="D16688" t="str">
            <v>Kensington and Chelsea</v>
          </cell>
          <cell r="E16688" t="str">
            <v>Other Independent School</v>
          </cell>
          <cell r="F16688" t="str">
            <v>Not applicable</v>
          </cell>
        </row>
        <row r="16689">
          <cell r="A16689">
            <v>3833356</v>
          </cell>
          <cell r="B16689">
            <v>108010</v>
          </cell>
          <cell r="C16689" t="str">
            <v>Lady Elizabeth Hastings' Church of England Primary School, Thorp Arch</v>
          </cell>
          <cell r="D16689" t="str">
            <v>Leeds</v>
          </cell>
          <cell r="E16689" t="str">
            <v>Voluntary Aided School</v>
          </cell>
          <cell r="F16689" t="str">
            <v>Primary</v>
          </cell>
        </row>
        <row r="16690">
          <cell r="A16690">
            <v>8844022</v>
          </cell>
          <cell r="B16690">
            <v>116940</v>
          </cell>
          <cell r="C16690" t="str">
            <v>Lady Hawkins High School</v>
          </cell>
          <cell r="D16690" t="str">
            <v>Herefordshire</v>
          </cell>
          <cell r="E16690" t="str">
            <v>Community School</v>
          </cell>
          <cell r="F16690" t="str">
            <v>Secondary</v>
          </cell>
        </row>
        <row r="16691">
          <cell r="A16691">
            <v>8844022</v>
          </cell>
          <cell r="B16691">
            <v>137608</v>
          </cell>
          <cell r="C16691" t="str">
            <v>Lady Hawkins High School</v>
          </cell>
          <cell r="D16691" t="str">
            <v>Herefordshire</v>
          </cell>
          <cell r="E16691" t="str">
            <v>Academy Converters</v>
          </cell>
          <cell r="F16691" t="str">
            <v>Secondary</v>
          </cell>
        </row>
        <row r="16692">
          <cell r="A16692">
            <v>8552376</v>
          </cell>
          <cell r="B16692">
            <v>120099</v>
          </cell>
          <cell r="C16692" t="str">
            <v>Lady Jane Grey Primary School</v>
          </cell>
          <cell r="D16692" t="str">
            <v>Leicestershire</v>
          </cell>
          <cell r="E16692" t="str">
            <v>Community School</v>
          </cell>
          <cell r="F16692" t="str">
            <v>Primary</v>
          </cell>
        </row>
        <row r="16693">
          <cell r="A16693">
            <v>8863284</v>
          </cell>
          <cell r="B16693">
            <v>118706</v>
          </cell>
          <cell r="C16693" t="str">
            <v>Lady Joanna Thornhill Endowed Primary School</v>
          </cell>
          <cell r="D16693" t="str">
            <v>Kent</v>
          </cell>
          <cell r="E16693" t="str">
            <v>Voluntary Controlled School</v>
          </cell>
          <cell r="F16693" t="str">
            <v>Primary</v>
          </cell>
        </row>
        <row r="16694">
          <cell r="A16694">
            <v>3343312</v>
          </cell>
          <cell r="B16694">
            <v>104095</v>
          </cell>
          <cell r="C16694" t="str">
            <v>Lady Katherine Leveson Church of England School</v>
          </cell>
          <cell r="D16694" t="str">
            <v>Solihull</v>
          </cell>
          <cell r="E16694" t="str">
            <v>Voluntary Aided School</v>
          </cell>
          <cell r="F16694" t="str">
            <v>Primary</v>
          </cell>
        </row>
        <row r="16695">
          <cell r="A16695">
            <v>3806107</v>
          </cell>
          <cell r="B16695">
            <v>107458</v>
          </cell>
          <cell r="C16695" t="str">
            <v>Lady Lane Park School</v>
          </cell>
          <cell r="D16695" t="str">
            <v>Bradford</v>
          </cell>
          <cell r="E16695" t="str">
            <v>Other Independent School</v>
          </cell>
          <cell r="F16695" t="str">
            <v>Not applicable</v>
          </cell>
        </row>
        <row r="16696">
          <cell r="A16696">
            <v>8154054</v>
          </cell>
          <cell r="B16696">
            <v>121671</v>
          </cell>
          <cell r="C16696" t="str">
            <v>Lady Lumley's School</v>
          </cell>
          <cell r="D16696" t="str">
            <v>North Yorkshire</v>
          </cell>
          <cell r="E16696" t="str">
            <v>Community School</v>
          </cell>
          <cell r="F16696" t="str">
            <v>Secondary</v>
          </cell>
        </row>
        <row r="16697">
          <cell r="A16697">
            <v>8305411</v>
          </cell>
          <cell r="B16697">
            <v>112996</v>
          </cell>
          <cell r="C16697" t="str">
            <v>Lady Manners School</v>
          </cell>
          <cell r="D16697" t="str">
            <v>Derbyshire</v>
          </cell>
          <cell r="E16697" t="str">
            <v>Foundation School</v>
          </cell>
          <cell r="F16697" t="str">
            <v>Secondary</v>
          </cell>
        </row>
        <row r="16698">
          <cell r="A16698">
            <v>3072109</v>
          </cell>
          <cell r="B16698">
            <v>126847</v>
          </cell>
          <cell r="C16698" t="str">
            <v>Lady Margaret First School</v>
          </cell>
          <cell r="D16698" t="str">
            <v>Ealing</v>
          </cell>
          <cell r="E16698" t="str">
            <v>Community School</v>
          </cell>
          <cell r="F16698" t="str">
            <v>Primary</v>
          </cell>
        </row>
        <row r="16699">
          <cell r="A16699">
            <v>3072110</v>
          </cell>
          <cell r="B16699">
            <v>126848</v>
          </cell>
          <cell r="C16699" t="str">
            <v>Lady Margaret Middle School</v>
          </cell>
          <cell r="D16699" t="str">
            <v>Ealing</v>
          </cell>
          <cell r="E16699" t="str">
            <v>Community School</v>
          </cell>
          <cell r="F16699" t="str">
            <v>Middle Deemed Primary</v>
          </cell>
        </row>
        <row r="16700">
          <cell r="A16700">
            <v>3072173</v>
          </cell>
          <cell r="B16700">
            <v>101903</v>
          </cell>
          <cell r="C16700" t="str">
            <v>Lady Margaret Primary School</v>
          </cell>
          <cell r="D16700" t="str">
            <v>Ealing</v>
          </cell>
          <cell r="E16700" t="str">
            <v>Community School</v>
          </cell>
          <cell r="F16700" t="str">
            <v>Primary</v>
          </cell>
        </row>
        <row r="16701">
          <cell r="A16701">
            <v>2054632</v>
          </cell>
          <cell r="B16701">
            <v>100364</v>
          </cell>
          <cell r="C16701" t="str">
            <v>Lady Margaret School</v>
          </cell>
          <cell r="D16701" t="str">
            <v>Hammersmith and Fulham</v>
          </cell>
          <cell r="E16701" t="str">
            <v>Voluntary Aided School</v>
          </cell>
          <cell r="F16701" t="str">
            <v>Secondary</v>
          </cell>
        </row>
        <row r="16702">
          <cell r="A16702">
            <v>8783755</v>
          </cell>
          <cell r="B16702">
            <v>113481</v>
          </cell>
          <cell r="C16702" t="str">
            <v>Lady Modiford's Church of England (Voluntary Aided) Primary School</v>
          </cell>
          <cell r="D16702" t="str">
            <v>Devon</v>
          </cell>
          <cell r="E16702" t="str">
            <v>Voluntary Aided School</v>
          </cell>
          <cell r="F16702" t="str">
            <v>Primary</v>
          </cell>
        </row>
        <row r="16703">
          <cell r="A16703">
            <v>3136082</v>
          </cell>
          <cell r="B16703">
            <v>136046</v>
          </cell>
          <cell r="C16703" t="str">
            <v>Lady Nafisa Independent Secondary School for Girls</v>
          </cell>
          <cell r="D16703" t="str">
            <v>Hounslow</v>
          </cell>
          <cell r="E16703" t="str">
            <v>Other Independent School</v>
          </cell>
          <cell r="F16703" t="str">
            <v>Not applicable</v>
          </cell>
        </row>
        <row r="16704">
          <cell r="A16704">
            <v>8783307</v>
          </cell>
          <cell r="B16704">
            <v>113428</v>
          </cell>
          <cell r="C16704" t="str">
            <v>Lady Seaward's Church of England Primary School</v>
          </cell>
          <cell r="D16704" t="str">
            <v>Devon</v>
          </cell>
          <cell r="E16704" t="str">
            <v>Voluntary Aided School</v>
          </cell>
          <cell r="F16704" t="str">
            <v>Primary</v>
          </cell>
        </row>
        <row r="16705">
          <cell r="A16705">
            <v>8783307</v>
          </cell>
          <cell r="B16705">
            <v>137642</v>
          </cell>
          <cell r="C16705" t="str">
            <v>Lady Seaward's Church of England Primary School</v>
          </cell>
          <cell r="D16705" t="str">
            <v>Devon</v>
          </cell>
          <cell r="E16705" t="str">
            <v>Academy Converters</v>
          </cell>
          <cell r="F16705" t="str">
            <v>Primary</v>
          </cell>
        </row>
        <row r="16706">
          <cell r="A16706">
            <v>8217016</v>
          </cell>
          <cell r="B16706">
            <v>109745</v>
          </cell>
          <cell r="C16706" t="str">
            <v>Lady Zia Wernher School</v>
          </cell>
          <cell r="D16706" t="str">
            <v>Luton</v>
          </cell>
          <cell r="E16706" t="str">
            <v>Community Special School</v>
          </cell>
          <cell r="F16706" t="str">
            <v>Special</v>
          </cell>
        </row>
        <row r="16707">
          <cell r="A16707">
            <v>3522141</v>
          </cell>
          <cell r="B16707">
            <v>105423</v>
          </cell>
          <cell r="C16707" t="str">
            <v>Ladybarn Primary School</v>
          </cell>
          <cell r="D16707" t="str">
            <v>Manchester</v>
          </cell>
          <cell r="E16707" t="str">
            <v>Community School</v>
          </cell>
          <cell r="F16707" t="str">
            <v>Primary</v>
          </cell>
        </row>
        <row r="16708">
          <cell r="A16708">
            <v>3502036</v>
          </cell>
          <cell r="B16708">
            <v>105169</v>
          </cell>
          <cell r="C16708" t="str">
            <v>Ladybridge Community Primary School</v>
          </cell>
          <cell r="D16708" t="str">
            <v>Bolton</v>
          </cell>
          <cell r="E16708" t="str">
            <v>Community School</v>
          </cell>
          <cell r="F16708" t="str">
            <v>Primary</v>
          </cell>
        </row>
        <row r="16709">
          <cell r="A16709">
            <v>3504805</v>
          </cell>
          <cell r="B16709">
            <v>134646</v>
          </cell>
          <cell r="C16709" t="str">
            <v>Ladybridge High School</v>
          </cell>
          <cell r="D16709" t="str">
            <v>Bolton</v>
          </cell>
          <cell r="E16709" t="str">
            <v>Community School</v>
          </cell>
          <cell r="F16709" t="str">
            <v>Secondary</v>
          </cell>
        </row>
        <row r="16710">
          <cell r="A16710">
            <v>3562048</v>
          </cell>
          <cell r="B16710">
            <v>106054</v>
          </cell>
          <cell r="C16710" t="str">
            <v>Ladybridge Primary School</v>
          </cell>
          <cell r="D16710" t="str">
            <v>Stockport</v>
          </cell>
          <cell r="E16710" t="str">
            <v>Community School</v>
          </cell>
          <cell r="F16710" t="str">
            <v>Primary</v>
          </cell>
        </row>
        <row r="16711">
          <cell r="A16711">
            <v>8912886</v>
          </cell>
          <cell r="B16711">
            <v>122696</v>
          </cell>
          <cell r="C16711" t="str">
            <v>Ladybrook First School and Nursery</v>
          </cell>
          <cell r="D16711" t="str">
            <v>Nottinghamshire</v>
          </cell>
          <cell r="E16711" t="str">
            <v>Community School</v>
          </cell>
          <cell r="F16711" t="str">
            <v>Primary</v>
          </cell>
        </row>
        <row r="16712">
          <cell r="A16712">
            <v>3562049</v>
          </cell>
          <cell r="B16712">
            <v>106055</v>
          </cell>
          <cell r="C16712" t="str">
            <v>Ladybrook Primary School</v>
          </cell>
          <cell r="D16712" t="str">
            <v>Stockport</v>
          </cell>
          <cell r="E16712" t="str">
            <v>Community School</v>
          </cell>
          <cell r="F16712" t="str">
            <v>Primary</v>
          </cell>
        </row>
        <row r="16713">
          <cell r="A16713">
            <v>8913299</v>
          </cell>
          <cell r="B16713">
            <v>133279</v>
          </cell>
          <cell r="C16713" t="str">
            <v>Ladybrook Primary School</v>
          </cell>
          <cell r="D16713" t="str">
            <v>Nottinghamshire</v>
          </cell>
          <cell r="E16713" t="str">
            <v>Community School</v>
          </cell>
          <cell r="F16713" t="str">
            <v>Primary</v>
          </cell>
        </row>
        <row r="16714">
          <cell r="A16714">
            <v>8302210</v>
          </cell>
          <cell r="B16714">
            <v>112614</v>
          </cell>
          <cell r="C16714" t="str">
            <v>Ladycross Infant School</v>
          </cell>
          <cell r="D16714" t="str">
            <v>Derbyshire</v>
          </cell>
          <cell r="E16714" t="str">
            <v>Community School</v>
          </cell>
          <cell r="F16714" t="str">
            <v>Primary</v>
          </cell>
        </row>
        <row r="16715">
          <cell r="A16715">
            <v>9312609</v>
          </cell>
          <cell r="B16715">
            <v>131904</v>
          </cell>
          <cell r="C16715" t="str">
            <v>Ladygrove Park Primary School</v>
          </cell>
          <cell r="D16715" t="str">
            <v>Oxfordshire</v>
          </cell>
          <cell r="E16715" t="str">
            <v>Community School</v>
          </cell>
          <cell r="F16715" t="str">
            <v>Primary</v>
          </cell>
        </row>
        <row r="16716">
          <cell r="A16716">
            <v>8942168</v>
          </cell>
          <cell r="B16716">
            <v>123438</v>
          </cell>
          <cell r="C16716" t="str">
            <v>Ladygrove Primary School</v>
          </cell>
          <cell r="D16716" t="str">
            <v>Telford and Wrekin</v>
          </cell>
          <cell r="E16716" t="str">
            <v>Community School</v>
          </cell>
          <cell r="F16716" t="str">
            <v>Primary</v>
          </cell>
        </row>
        <row r="16717">
          <cell r="A16717">
            <v>9334359</v>
          </cell>
          <cell r="B16717">
            <v>123887</v>
          </cell>
          <cell r="C16717" t="str">
            <v>Ladymead Community School</v>
          </cell>
          <cell r="D16717" t="str">
            <v>Somerset</v>
          </cell>
          <cell r="E16717" t="str">
            <v>Community School</v>
          </cell>
          <cell r="F16717" t="str">
            <v>Secondary</v>
          </cell>
        </row>
        <row r="16718">
          <cell r="A16718">
            <v>3443365</v>
          </cell>
          <cell r="B16718">
            <v>105084</v>
          </cell>
          <cell r="C16718" t="str">
            <v>Ladymount Catholic Primary School</v>
          </cell>
          <cell r="D16718" t="str">
            <v>Wirral</v>
          </cell>
          <cell r="E16718" t="str">
            <v>Voluntary Aided School</v>
          </cell>
          <cell r="F16718" t="str">
            <v>Primary</v>
          </cell>
        </row>
        <row r="16719">
          <cell r="A16719">
            <v>3302189</v>
          </cell>
          <cell r="B16719">
            <v>103265</v>
          </cell>
          <cell r="C16719" t="str">
            <v>Ladypool Primary School</v>
          </cell>
          <cell r="D16719" t="str">
            <v>Birmingham</v>
          </cell>
          <cell r="E16719" t="str">
            <v>Community School</v>
          </cell>
          <cell r="F16719" t="str">
            <v>Primary</v>
          </cell>
        </row>
        <row r="16720">
          <cell r="A16720">
            <v>8782026</v>
          </cell>
          <cell r="B16720">
            <v>113080</v>
          </cell>
          <cell r="C16720" t="str">
            <v>Ladysmith Infant School</v>
          </cell>
          <cell r="D16720" t="str">
            <v>Devon</v>
          </cell>
          <cell r="E16720" t="str">
            <v>Community School</v>
          </cell>
          <cell r="F16720" t="str">
            <v>Primary</v>
          </cell>
        </row>
        <row r="16721">
          <cell r="A16721">
            <v>8782027</v>
          </cell>
          <cell r="B16721">
            <v>113081</v>
          </cell>
          <cell r="C16721" t="str">
            <v>Ladysmith Junior School</v>
          </cell>
          <cell r="D16721" t="str">
            <v>Devon</v>
          </cell>
          <cell r="E16721" t="str">
            <v>Community School</v>
          </cell>
          <cell r="F16721" t="str">
            <v>Primary</v>
          </cell>
        </row>
        <row r="16722">
          <cell r="A16722">
            <v>3551016</v>
          </cell>
          <cell r="B16722">
            <v>105878</v>
          </cell>
          <cell r="C16722" t="str">
            <v>Ladywell Community Nursery Centre</v>
          </cell>
          <cell r="D16722" t="str">
            <v>Salford</v>
          </cell>
          <cell r="E16722" t="str">
            <v>LA Nursery School</v>
          </cell>
          <cell r="F16722" t="str">
            <v>Nursery</v>
          </cell>
        </row>
        <row r="16723">
          <cell r="A16723">
            <v>6662048</v>
          </cell>
          <cell r="B16723">
            <v>400485</v>
          </cell>
          <cell r="C16723" t="str">
            <v>Ladywell Green Nurs. &amp; Inf. School</v>
          </cell>
          <cell r="D16723" t="str">
            <v>Powys</v>
          </cell>
          <cell r="E16723" t="str">
            <v>Welsh Establishment</v>
          </cell>
          <cell r="F16723" t="str">
            <v>Primary</v>
          </cell>
        </row>
        <row r="16724">
          <cell r="A16724">
            <v>3702102</v>
          </cell>
          <cell r="B16724">
            <v>127582</v>
          </cell>
          <cell r="C16724" t="str">
            <v>Ladywood First School</v>
          </cell>
          <cell r="D16724" t="str">
            <v>Barnsley</v>
          </cell>
          <cell r="E16724" t="str">
            <v>Community School</v>
          </cell>
          <cell r="F16724" t="str">
            <v>Primary</v>
          </cell>
        </row>
        <row r="16725">
          <cell r="A16725">
            <v>3702130</v>
          </cell>
          <cell r="B16725">
            <v>106618</v>
          </cell>
          <cell r="C16725" t="str">
            <v>Ladywood Primary School</v>
          </cell>
          <cell r="D16725" t="str">
            <v>Barnsley</v>
          </cell>
          <cell r="E16725" t="str">
            <v>Community School</v>
          </cell>
          <cell r="F16725" t="str">
            <v>Primary</v>
          </cell>
        </row>
        <row r="16726">
          <cell r="A16726">
            <v>8302328</v>
          </cell>
          <cell r="B16726">
            <v>112681</v>
          </cell>
          <cell r="C16726" t="str">
            <v>Ladywood Primary School</v>
          </cell>
          <cell r="D16726" t="str">
            <v>Derbyshire</v>
          </cell>
          <cell r="E16726" t="str">
            <v>Community School</v>
          </cell>
          <cell r="F16726" t="str">
            <v>Primary</v>
          </cell>
        </row>
        <row r="16727">
          <cell r="A16727">
            <v>3507000</v>
          </cell>
          <cell r="B16727">
            <v>105274</v>
          </cell>
          <cell r="C16727" t="str">
            <v>Ladywood School</v>
          </cell>
          <cell r="D16727" t="str">
            <v>Bolton</v>
          </cell>
          <cell r="E16727" t="str">
            <v>Community Special School</v>
          </cell>
          <cell r="F16727" t="str">
            <v>Special</v>
          </cell>
        </row>
        <row r="16728">
          <cell r="A16728">
            <v>3304224</v>
          </cell>
          <cell r="B16728">
            <v>127061</v>
          </cell>
          <cell r="C16728" t="str">
            <v>Ladywood School</v>
          </cell>
          <cell r="D16728" t="str">
            <v>Birmingham</v>
          </cell>
          <cell r="E16728" t="str">
            <v>Community School</v>
          </cell>
          <cell r="F16728" t="str">
            <v>Secondary</v>
          </cell>
        </row>
        <row r="16729">
          <cell r="A16729">
            <v>8812191</v>
          </cell>
          <cell r="B16729">
            <v>114802</v>
          </cell>
          <cell r="C16729" t="str">
            <v>Laindon Park Primary School</v>
          </cell>
          <cell r="D16729" t="str">
            <v>Essex</v>
          </cell>
          <cell r="E16729" t="str">
            <v>Community School</v>
          </cell>
          <cell r="F16729" t="str">
            <v>Primary</v>
          </cell>
        </row>
        <row r="16730">
          <cell r="A16730">
            <v>9392124</v>
          </cell>
          <cell r="B16730">
            <v>130211</v>
          </cell>
          <cell r="C16730" t="str">
            <v>Lainesmead Junior School</v>
          </cell>
          <cell r="D16730" t="str">
            <v>Pre LGR (1997) Wiltshire</v>
          </cell>
          <cell r="E16730" t="str">
            <v>Community School</v>
          </cell>
          <cell r="F16730" t="str">
            <v>Primary</v>
          </cell>
        </row>
        <row r="16731">
          <cell r="A16731">
            <v>8662123</v>
          </cell>
          <cell r="B16731">
            <v>126228</v>
          </cell>
          <cell r="C16731" t="str">
            <v>Lainesmead Primary School</v>
          </cell>
          <cell r="D16731" t="str">
            <v>Swindon</v>
          </cell>
          <cell r="E16731" t="str">
            <v>Community School</v>
          </cell>
          <cell r="F16731" t="str">
            <v>Primary</v>
          </cell>
        </row>
        <row r="16732">
          <cell r="A16732">
            <v>8792640</v>
          </cell>
          <cell r="B16732">
            <v>113278</v>
          </cell>
          <cell r="C16732" t="str">
            <v>Laira Green Primary School</v>
          </cell>
          <cell r="D16732" t="str">
            <v>Plymouth</v>
          </cell>
          <cell r="E16732" t="str">
            <v>Community School</v>
          </cell>
          <cell r="F16732" t="str">
            <v>Primary</v>
          </cell>
        </row>
        <row r="16733">
          <cell r="A16733">
            <v>3805404</v>
          </cell>
          <cell r="B16733">
            <v>107443</v>
          </cell>
          <cell r="C16733" t="str">
            <v>Laisterdyke Business and Enterprise College</v>
          </cell>
          <cell r="D16733" t="str">
            <v>Bradford</v>
          </cell>
          <cell r="E16733" t="str">
            <v>Foundation School</v>
          </cell>
          <cell r="F16733" t="str">
            <v>Secondary</v>
          </cell>
        </row>
        <row r="16734">
          <cell r="A16734">
            <v>9214019</v>
          </cell>
          <cell r="B16734">
            <v>118209</v>
          </cell>
          <cell r="C16734" t="str">
            <v>Lake Middle School</v>
          </cell>
          <cell r="D16734" t="str">
            <v>Isle of Wight</v>
          </cell>
          <cell r="E16734" t="str">
            <v>Community School</v>
          </cell>
          <cell r="F16734" t="str">
            <v>Middle Deemed Secondary</v>
          </cell>
        </row>
        <row r="16735">
          <cell r="A16735">
            <v>8912821</v>
          </cell>
          <cell r="B16735">
            <v>122674</v>
          </cell>
          <cell r="C16735" t="str">
            <v>Lake View Primary and Nursery School</v>
          </cell>
          <cell r="D16735" t="str">
            <v>Nottinghamshire</v>
          </cell>
          <cell r="E16735" t="str">
            <v>Community School</v>
          </cell>
          <cell r="F16735" t="str">
            <v>Primary</v>
          </cell>
        </row>
        <row r="16736">
          <cell r="A16736">
            <v>6692165</v>
          </cell>
          <cell r="B16736">
            <v>400804</v>
          </cell>
          <cell r="C16736" t="str">
            <v>Lakefield C.P. School</v>
          </cell>
          <cell r="D16736" t="str">
            <v>Carmarthenshire</v>
          </cell>
          <cell r="E16736" t="str">
            <v>Welsh Establishment</v>
          </cell>
          <cell r="F16736" t="str">
            <v>Primary</v>
          </cell>
        </row>
        <row r="16737">
          <cell r="A16737">
            <v>9163101</v>
          </cell>
          <cell r="B16737">
            <v>132248</v>
          </cell>
          <cell r="C16737" t="str">
            <v>Lakefield CofE Primary School</v>
          </cell>
          <cell r="D16737" t="str">
            <v>Gloucestershire</v>
          </cell>
          <cell r="E16737" t="str">
            <v>Voluntary Controlled School</v>
          </cell>
          <cell r="F16737" t="str">
            <v>Primary</v>
          </cell>
        </row>
        <row r="16738">
          <cell r="A16738">
            <v>9262305</v>
          </cell>
          <cell r="B16738">
            <v>120942</v>
          </cell>
          <cell r="C16738" t="str">
            <v>Lakenham First School and Nursery, Norwich</v>
          </cell>
          <cell r="D16738" t="str">
            <v>Norfolk</v>
          </cell>
          <cell r="E16738" t="str">
            <v>Community School</v>
          </cell>
          <cell r="F16738" t="str">
            <v>Primary</v>
          </cell>
        </row>
        <row r="16739">
          <cell r="A16739">
            <v>9262304</v>
          </cell>
          <cell r="B16739">
            <v>120941</v>
          </cell>
          <cell r="C16739" t="str">
            <v>Lakenham Middle School</v>
          </cell>
          <cell r="D16739" t="str">
            <v>Norfolk</v>
          </cell>
          <cell r="E16739" t="str">
            <v>Community School</v>
          </cell>
          <cell r="F16739" t="str">
            <v>Middle Deemed Primary</v>
          </cell>
        </row>
        <row r="16740">
          <cell r="A16740">
            <v>9263429</v>
          </cell>
          <cell r="B16740">
            <v>134965</v>
          </cell>
          <cell r="C16740" t="str">
            <v>Lakenham Primary School</v>
          </cell>
          <cell r="D16740" t="str">
            <v>Norfolk</v>
          </cell>
          <cell r="E16740" t="str">
            <v>Community School</v>
          </cell>
          <cell r="F16740" t="str">
            <v>Primary</v>
          </cell>
        </row>
        <row r="16741">
          <cell r="A16741">
            <v>9352013</v>
          </cell>
          <cell r="B16741">
            <v>124539</v>
          </cell>
          <cell r="C16741" t="str">
            <v>Lakenheath Community Primary School</v>
          </cell>
          <cell r="D16741" t="str">
            <v>Suffolk</v>
          </cell>
          <cell r="E16741" t="str">
            <v>Community School</v>
          </cell>
          <cell r="F16741" t="str">
            <v>Primary</v>
          </cell>
        </row>
        <row r="16742">
          <cell r="A16742">
            <v>9165423</v>
          </cell>
          <cell r="B16742">
            <v>115774</v>
          </cell>
          <cell r="C16742" t="str">
            <v>Lakers School</v>
          </cell>
          <cell r="D16742" t="str">
            <v>Gloucestershire</v>
          </cell>
          <cell r="E16742" t="str">
            <v>Foundation School</v>
          </cell>
          <cell r="F16742" t="str">
            <v>Secondary</v>
          </cell>
        </row>
        <row r="16743">
          <cell r="A16743">
            <v>9098002</v>
          </cell>
          <cell r="B16743">
            <v>130632</v>
          </cell>
          <cell r="C16743" t="str">
            <v>Lakes College - West Cumbria</v>
          </cell>
          <cell r="D16743" t="str">
            <v>Cumbria</v>
          </cell>
          <cell r="E16743" t="str">
            <v>Further Education</v>
          </cell>
          <cell r="F16743" t="str">
            <v>16 Plus</v>
          </cell>
        </row>
        <row r="16744">
          <cell r="A16744">
            <v>9042217</v>
          </cell>
          <cell r="B16744">
            <v>110311</v>
          </cell>
          <cell r="C16744" t="str">
            <v>Lakes First School</v>
          </cell>
          <cell r="D16744" t="str">
            <v>Pre LGR (1997) Buckinghamshire</v>
          </cell>
          <cell r="E16744" t="str">
            <v>Community School</v>
          </cell>
          <cell r="F16744" t="str">
            <v>Primary</v>
          </cell>
        </row>
        <row r="16745">
          <cell r="A16745">
            <v>9042216</v>
          </cell>
          <cell r="B16745">
            <v>110310</v>
          </cell>
          <cell r="C16745" t="str">
            <v>Lakes Middle School</v>
          </cell>
          <cell r="D16745" t="str">
            <v>Pre LGR (1997) Buckinghamshire</v>
          </cell>
          <cell r="E16745" t="str">
            <v>Community School</v>
          </cell>
          <cell r="F16745" t="str">
            <v>Middle Deemed Primary</v>
          </cell>
        </row>
        <row r="16746">
          <cell r="A16746">
            <v>8072338</v>
          </cell>
          <cell r="B16746">
            <v>111637</v>
          </cell>
          <cell r="C16746" t="str">
            <v>Lakes Primary School</v>
          </cell>
          <cell r="D16746" t="str">
            <v>Redcar and Cleveland</v>
          </cell>
          <cell r="E16746" t="str">
            <v>Community School</v>
          </cell>
          <cell r="F16746" t="str">
            <v>Primary</v>
          </cell>
        </row>
        <row r="16747">
          <cell r="A16747">
            <v>8312434</v>
          </cell>
          <cell r="B16747">
            <v>112738</v>
          </cell>
          <cell r="C16747" t="str">
            <v>Lakeside Community Primary School</v>
          </cell>
          <cell r="D16747" t="str">
            <v>Derby</v>
          </cell>
          <cell r="E16747" t="str">
            <v>Community School</v>
          </cell>
          <cell r="F16747" t="str">
            <v>Primary</v>
          </cell>
        </row>
        <row r="16748">
          <cell r="A16748">
            <v>9362393</v>
          </cell>
          <cell r="B16748">
            <v>130046</v>
          </cell>
          <cell r="C16748" t="str">
            <v>Lakeside First School</v>
          </cell>
          <cell r="D16748" t="str">
            <v>Surrey</v>
          </cell>
          <cell r="E16748" t="str">
            <v>Community School</v>
          </cell>
          <cell r="F16748" t="str">
            <v>Primary</v>
          </cell>
        </row>
        <row r="16749">
          <cell r="A16749">
            <v>8302162</v>
          </cell>
          <cell r="B16749">
            <v>112586</v>
          </cell>
          <cell r="C16749" t="str">
            <v>Lakeside Infant School</v>
          </cell>
          <cell r="D16749" t="str">
            <v>Derbyshire</v>
          </cell>
          <cell r="E16749" t="str">
            <v>Community School</v>
          </cell>
          <cell r="F16749" t="str">
            <v>Primary</v>
          </cell>
        </row>
        <row r="16750">
          <cell r="A16750">
            <v>9362418</v>
          </cell>
          <cell r="B16750">
            <v>130048</v>
          </cell>
          <cell r="C16750" t="str">
            <v>Lakeside Middle School</v>
          </cell>
          <cell r="D16750" t="str">
            <v>Surrey</v>
          </cell>
          <cell r="E16750" t="str">
            <v>Community School</v>
          </cell>
          <cell r="F16750" t="str">
            <v>Middle Deemed Primary</v>
          </cell>
        </row>
        <row r="16751">
          <cell r="A16751">
            <v>3352231</v>
          </cell>
          <cell r="B16751">
            <v>104208</v>
          </cell>
          <cell r="C16751" t="str">
            <v>Lakeside Primary School</v>
          </cell>
          <cell r="D16751" t="str">
            <v>Walsall</v>
          </cell>
          <cell r="E16751" t="str">
            <v>Community School</v>
          </cell>
          <cell r="F16751" t="str">
            <v>Primary</v>
          </cell>
        </row>
        <row r="16752">
          <cell r="A16752">
            <v>3712178</v>
          </cell>
          <cell r="B16752">
            <v>106740</v>
          </cell>
          <cell r="C16752" t="str">
            <v>Lakeside Primary School</v>
          </cell>
          <cell r="D16752" t="str">
            <v>Doncaster</v>
          </cell>
          <cell r="E16752" t="str">
            <v>Community School</v>
          </cell>
          <cell r="F16752" t="str">
            <v>Primary</v>
          </cell>
        </row>
        <row r="16753">
          <cell r="A16753">
            <v>9162160</v>
          </cell>
          <cell r="B16753">
            <v>115594</v>
          </cell>
          <cell r="C16753" t="str">
            <v>Lakeside Primary School</v>
          </cell>
          <cell r="D16753" t="str">
            <v>Gloucestershire</v>
          </cell>
          <cell r="E16753" t="str">
            <v>Community School</v>
          </cell>
          <cell r="F16753" t="str">
            <v>Primary</v>
          </cell>
        </row>
        <row r="16754">
          <cell r="A16754">
            <v>8162428</v>
          </cell>
          <cell r="B16754">
            <v>121467</v>
          </cell>
          <cell r="C16754" t="str">
            <v>Lakeside Primary School</v>
          </cell>
          <cell r="D16754" t="str">
            <v>York</v>
          </cell>
          <cell r="E16754" t="str">
            <v>Community School</v>
          </cell>
          <cell r="F16754" t="str">
            <v>Primary</v>
          </cell>
        </row>
        <row r="16755">
          <cell r="A16755">
            <v>8602361</v>
          </cell>
          <cell r="B16755">
            <v>124172</v>
          </cell>
          <cell r="C16755" t="str">
            <v>Lakeside Primary School</v>
          </cell>
          <cell r="D16755" t="str">
            <v>Staffordshire</v>
          </cell>
          <cell r="E16755" t="str">
            <v>Community School</v>
          </cell>
          <cell r="F16755" t="str">
            <v>Primary</v>
          </cell>
        </row>
        <row r="16756">
          <cell r="A16756">
            <v>9362956</v>
          </cell>
          <cell r="B16756">
            <v>125132</v>
          </cell>
          <cell r="C16756" t="str">
            <v>Lakeside Primary School</v>
          </cell>
          <cell r="D16756" t="str">
            <v>Surrey</v>
          </cell>
          <cell r="E16756" t="str">
            <v>Community School</v>
          </cell>
          <cell r="F16756" t="str">
            <v>Primary</v>
          </cell>
        </row>
        <row r="16757">
          <cell r="A16757">
            <v>6812074</v>
          </cell>
          <cell r="B16757">
            <v>401599</v>
          </cell>
          <cell r="C16757" t="str">
            <v>Lakeside Primary School</v>
          </cell>
          <cell r="D16757" t="str">
            <v>Cardiff</v>
          </cell>
          <cell r="E16757" t="str">
            <v>Welsh Establishment</v>
          </cell>
          <cell r="F16757" t="str">
            <v>Primary</v>
          </cell>
        </row>
        <row r="16758">
          <cell r="A16758">
            <v>8507014</v>
          </cell>
          <cell r="B16758">
            <v>116603</v>
          </cell>
          <cell r="C16758" t="str">
            <v>Lakeside School</v>
          </cell>
          <cell r="D16758" t="str">
            <v>Hampshire</v>
          </cell>
          <cell r="E16758" t="str">
            <v>Community Special School</v>
          </cell>
          <cell r="F16758" t="str">
            <v>Special</v>
          </cell>
        </row>
        <row r="16759">
          <cell r="A16759">
            <v>9197023</v>
          </cell>
          <cell r="B16759">
            <v>117680</v>
          </cell>
          <cell r="C16759" t="str">
            <v>Lakeside School</v>
          </cell>
          <cell r="D16759" t="str">
            <v>Hertfordshire</v>
          </cell>
          <cell r="E16759" t="str">
            <v>Community Special School</v>
          </cell>
          <cell r="F16759" t="str">
            <v>Special</v>
          </cell>
        </row>
        <row r="16760">
          <cell r="A16760">
            <v>3416082</v>
          </cell>
          <cell r="B16760">
            <v>133262</v>
          </cell>
          <cell r="C16760" t="str">
            <v>Lakeside School</v>
          </cell>
          <cell r="D16760" t="str">
            <v>Liverpool</v>
          </cell>
          <cell r="E16760" t="str">
            <v>Other Independent Special School</v>
          </cell>
          <cell r="F16760" t="str">
            <v>Not applicable</v>
          </cell>
        </row>
        <row r="16761">
          <cell r="A16761">
            <v>8914900</v>
          </cell>
          <cell r="B16761">
            <v>132914</v>
          </cell>
          <cell r="C16761" t="str">
            <v>Lakeview College</v>
          </cell>
          <cell r="D16761" t="str">
            <v>Nottinghamshire</v>
          </cell>
          <cell r="E16761" t="str">
            <v>Sixth Form Centres</v>
          </cell>
          <cell r="F16761" t="str">
            <v>16 Plus</v>
          </cell>
        </row>
        <row r="16762">
          <cell r="A16762">
            <v>8223352</v>
          </cell>
          <cell r="B16762">
            <v>135374</v>
          </cell>
          <cell r="C16762" t="str">
            <v>Lakeview School</v>
          </cell>
          <cell r="D16762" t="str">
            <v>Bedford</v>
          </cell>
          <cell r="E16762" t="str">
            <v>Community School</v>
          </cell>
          <cell r="F16762" t="str">
            <v>Primary</v>
          </cell>
        </row>
        <row r="16763">
          <cell r="A16763">
            <v>3302119</v>
          </cell>
          <cell r="B16763">
            <v>103223</v>
          </cell>
          <cell r="C16763" t="str">
            <v>Lakey Lane Junior and Infant School</v>
          </cell>
          <cell r="D16763" t="str">
            <v>Birmingham</v>
          </cell>
          <cell r="E16763" t="str">
            <v>Community School</v>
          </cell>
          <cell r="F16763" t="str">
            <v>Primary</v>
          </cell>
        </row>
        <row r="16764">
          <cell r="A16764">
            <v>9363581</v>
          </cell>
          <cell r="B16764">
            <v>125229</v>
          </cell>
          <cell r="C16764" t="str">
            <v>Laleham CofE VA Primary School</v>
          </cell>
          <cell r="D16764" t="str">
            <v>Surrey</v>
          </cell>
          <cell r="E16764" t="str">
            <v>Voluntary Aided School</v>
          </cell>
          <cell r="F16764" t="str">
            <v>Primary</v>
          </cell>
        </row>
        <row r="16765">
          <cell r="A16765">
            <v>8867073</v>
          </cell>
          <cell r="B16765">
            <v>134971</v>
          </cell>
          <cell r="C16765" t="str">
            <v>Laleham Gap School</v>
          </cell>
          <cell r="D16765" t="str">
            <v>Kent</v>
          </cell>
          <cell r="E16765" t="str">
            <v>Community Special School</v>
          </cell>
          <cell r="F16765" t="str">
            <v>Special</v>
          </cell>
        </row>
        <row r="16766">
          <cell r="A16766">
            <v>3066008</v>
          </cell>
          <cell r="B16766">
            <v>101834</v>
          </cell>
          <cell r="C16766" t="str">
            <v>Laleham Lea School</v>
          </cell>
          <cell r="D16766" t="str">
            <v>Croydon</v>
          </cell>
          <cell r="E16766" t="str">
            <v>Other Independent School</v>
          </cell>
          <cell r="F16766" t="str">
            <v>Not applicable</v>
          </cell>
        </row>
        <row r="16767">
          <cell r="A16767">
            <v>8867010</v>
          </cell>
          <cell r="B16767">
            <v>119028</v>
          </cell>
          <cell r="C16767" t="str">
            <v>Laleham School</v>
          </cell>
          <cell r="D16767" t="str">
            <v>Kent</v>
          </cell>
          <cell r="E16767" t="str">
            <v>Community Special School</v>
          </cell>
          <cell r="F16767" t="str">
            <v>Special</v>
          </cell>
        </row>
        <row r="16768">
          <cell r="A16768">
            <v>3592025</v>
          </cell>
          <cell r="B16768">
            <v>106411</v>
          </cell>
          <cell r="C16768" t="str">
            <v>Lamberhead Green Infant School</v>
          </cell>
          <cell r="D16768" t="str">
            <v>Wigan</v>
          </cell>
          <cell r="E16768" t="str">
            <v>Community School</v>
          </cell>
          <cell r="F16768" t="str">
            <v>Primary</v>
          </cell>
        </row>
        <row r="16769">
          <cell r="A16769">
            <v>3592024</v>
          </cell>
          <cell r="B16769">
            <v>106410</v>
          </cell>
          <cell r="C16769" t="str">
            <v>Lamberhead Green Junior School</v>
          </cell>
          <cell r="D16769" t="str">
            <v>Wigan</v>
          </cell>
          <cell r="E16769" t="str">
            <v>Community School</v>
          </cell>
          <cell r="F16769" t="str">
            <v>Primary</v>
          </cell>
        </row>
        <row r="16770">
          <cell r="A16770">
            <v>8863034</v>
          </cell>
          <cell r="B16770">
            <v>118604</v>
          </cell>
          <cell r="C16770" t="str">
            <v>Lamberhurst St Mary's CofE (Voluntary Controlled) Primary School</v>
          </cell>
          <cell r="D16770" t="str">
            <v>Kent</v>
          </cell>
          <cell r="E16770" t="str">
            <v>Voluntary Controlled School</v>
          </cell>
          <cell r="F16770" t="str">
            <v>Primary</v>
          </cell>
        </row>
        <row r="16771">
          <cell r="A16771">
            <v>8101002</v>
          </cell>
          <cell r="B16771">
            <v>117694</v>
          </cell>
          <cell r="C16771" t="str">
            <v>Lambert Nursery School</v>
          </cell>
          <cell r="D16771" t="str">
            <v>Kingston upon Hull City of</v>
          </cell>
          <cell r="E16771" t="str">
            <v>LA Nursery School</v>
          </cell>
          <cell r="F16771" t="str">
            <v>Nursery</v>
          </cell>
        </row>
        <row r="16772">
          <cell r="A16772">
            <v>9377026</v>
          </cell>
          <cell r="B16772">
            <v>125804</v>
          </cell>
          <cell r="C16772" t="str">
            <v>Lambert School</v>
          </cell>
          <cell r="D16772" t="str">
            <v>Warwickshire</v>
          </cell>
          <cell r="E16772" t="str">
            <v>Community Special School</v>
          </cell>
          <cell r="F16772" t="str">
            <v>Special</v>
          </cell>
        </row>
        <row r="16773">
          <cell r="A16773">
            <v>2086905</v>
          </cell>
          <cell r="B16773">
            <v>134815</v>
          </cell>
          <cell r="C16773" t="str">
            <v>Lambeth Academy</v>
          </cell>
          <cell r="D16773" t="str">
            <v>Lambeth</v>
          </cell>
          <cell r="E16773" t="str">
            <v>Academy Sponsor Led</v>
          </cell>
          <cell r="F16773" t="str">
            <v>Secondary</v>
          </cell>
        </row>
        <row r="16774">
          <cell r="A16774">
            <v>2088027</v>
          </cell>
          <cell r="B16774">
            <v>130413</v>
          </cell>
          <cell r="C16774" t="str">
            <v>Lambeth College</v>
          </cell>
          <cell r="D16774" t="str">
            <v>Lambeth</v>
          </cell>
          <cell r="E16774" t="str">
            <v>Further Education</v>
          </cell>
          <cell r="F16774" t="str">
            <v>16 Plus</v>
          </cell>
        </row>
        <row r="16775">
          <cell r="A16775">
            <v>8912775</v>
          </cell>
          <cell r="B16775">
            <v>122654</v>
          </cell>
          <cell r="C16775" t="str">
            <v>Lambley Primary School</v>
          </cell>
          <cell r="D16775" t="str">
            <v>Nottinghamshire</v>
          </cell>
          <cell r="E16775" t="str">
            <v>Community School</v>
          </cell>
          <cell r="F16775" t="str">
            <v>Primary</v>
          </cell>
        </row>
        <row r="16776">
          <cell r="A16776">
            <v>8693030</v>
          </cell>
          <cell r="B16776">
            <v>109968</v>
          </cell>
          <cell r="C16776" t="str">
            <v>Lambourn C.E. Primary School</v>
          </cell>
          <cell r="D16776" t="str">
            <v>West Berkshire</v>
          </cell>
          <cell r="E16776" t="str">
            <v>Voluntary Controlled School</v>
          </cell>
          <cell r="F16776" t="str">
            <v>Primary</v>
          </cell>
        </row>
        <row r="16777">
          <cell r="A16777">
            <v>8812690</v>
          </cell>
          <cell r="B16777">
            <v>114952</v>
          </cell>
          <cell r="C16777" t="str">
            <v>Lambourne Primary School</v>
          </cell>
          <cell r="D16777" t="str">
            <v>Essex</v>
          </cell>
          <cell r="E16777" t="str">
            <v>Community School</v>
          </cell>
          <cell r="F16777" t="str">
            <v>Primary</v>
          </cell>
        </row>
        <row r="16778">
          <cell r="A16778">
            <v>8676003</v>
          </cell>
          <cell r="B16778">
            <v>110135</v>
          </cell>
          <cell r="C16778" t="str">
            <v>Lambrook School</v>
          </cell>
          <cell r="D16778" t="str">
            <v>Bracknell Forest</v>
          </cell>
          <cell r="E16778" t="str">
            <v>Other Independent School</v>
          </cell>
          <cell r="F16778" t="str">
            <v>Not applicable</v>
          </cell>
        </row>
        <row r="16779">
          <cell r="A16779">
            <v>8956024</v>
          </cell>
          <cell r="B16779">
            <v>111491</v>
          </cell>
          <cell r="C16779" t="str">
            <v>Lambs House School</v>
          </cell>
          <cell r="D16779" t="str">
            <v>Cheshire East</v>
          </cell>
          <cell r="E16779" t="str">
            <v>Other Independent Special School</v>
          </cell>
          <cell r="F16779" t="str">
            <v>Not applicable</v>
          </cell>
        </row>
        <row r="16780">
          <cell r="A16780">
            <v>8722089</v>
          </cell>
          <cell r="B16780">
            <v>109830</v>
          </cell>
          <cell r="C16780" t="str">
            <v>Lambs Lane Primary School</v>
          </cell>
          <cell r="D16780" t="str">
            <v>Wokingham</v>
          </cell>
          <cell r="E16780" t="str">
            <v>Community School</v>
          </cell>
          <cell r="F16780" t="str">
            <v>Primary</v>
          </cell>
        </row>
        <row r="16781">
          <cell r="A16781">
            <v>3942157</v>
          </cell>
          <cell r="B16781">
            <v>108817</v>
          </cell>
          <cell r="C16781" t="str">
            <v>Lambton Primary School</v>
          </cell>
          <cell r="D16781" t="str">
            <v>Sunderland</v>
          </cell>
          <cell r="E16781" t="str">
            <v>Community School</v>
          </cell>
          <cell r="F16781" t="str">
            <v>Primary</v>
          </cell>
        </row>
        <row r="16782">
          <cell r="A16782">
            <v>9204477</v>
          </cell>
          <cell r="B16782">
            <v>129308</v>
          </cell>
          <cell r="C16782" t="str">
            <v>Lambwath Junior High School</v>
          </cell>
          <cell r="D16782" t="str">
            <v>Pre LGR (1996) Humberside</v>
          </cell>
          <cell r="E16782" t="str">
            <v>Community School</v>
          </cell>
          <cell r="F16782" t="str">
            <v>Secondary</v>
          </cell>
        </row>
        <row r="16783">
          <cell r="A16783">
            <v>8102287</v>
          </cell>
          <cell r="B16783">
            <v>117798</v>
          </cell>
          <cell r="C16783" t="str">
            <v>Lambwath Primary School</v>
          </cell>
          <cell r="D16783" t="str">
            <v>Kingston upon Hull City of</v>
          </cell>
          <cell r="E16783" t="str">
            <v>Community School</v>
          </cell>
          <cell r="F16783" t="str">
            <v>Primary</v>
          </cell>
        </row>
        <row r="16784">
          <cell r="A16784">
            <v>8783154</v>
          </cell>
          <cell r="B16784">
            <v>113411</v>
          </cell>
          <cell r="C16784" t="str">
            <v>Lamerton Church of England Voluntary Controlled Primary School</v>
          </cell>
          <cell r="D16784" t="str">
            <v>Devon</v>
          </cell>
          <cell r="E16784" t="str">
            <v>Voluntary Controlled School</v>
          </cell>
          <cell r="F16784" t="str">
            <v>Primary</v>
          </cell>
        </row>
        <row r="16785">
          <cell r="A16785">
            <v>8892012</v>
          </cell>
          <cell r="B16785">
            <v>119124</v>
          </cell>
          <cell r="C16785" t="str">
            <v>Lammack Primary School</v>
          </cell>
          <cell r="D16785" t="str">
            <v>Blackburn with Darwen</v>
          </cell>
          <cell r="E16785" t="str">
            <v>Community School</v>
          </cell>
          <cell r="F16785" t="str">
            <v>Primary</v>
          </cell>
        </row>
        <row r="16786">
          <cell r="A16786">
            <v>8916016</v>
          </cell>
          <cell r="B16786">
            <v>122937</v>
          </cell>
          <cell r="C16786" t="str">
            <v>Lammas School</v>
          </cell>
          <cell r="D16786" t="str">
            <v>Nottinghamshire</v>
          </cell>
          <cell r="E16786" t="str">
            <v>Other Independent School</v>
          </cell>
          <cell r="F16786" t="str">
            <v>Not applicable</v>
          </cell>
        </row>
        <row r="16787">
          <cell r="A16787">
            <v>3204076</v>
          </cell>
          <cell r="B16787">
            <v>133287</v>
          </cell>
          <cell r="C16787" t="str">
            <v>Lammas School and Sports College</v>
          </cell>
          <cell r="D16787" t="str">
            <v>Waltham Forest</v>
          </cell>
          <cell r="E16787" t="str">
            <v>Community School</v>
          </cell>
          <cell r="F16787" t="str">
            <v>Secondary</v>
          </cell>
        </row>
        <row r="16788">
          <cell r="A16788">
            <v>6682222</v>
          </cell>
          <cell r="B16788">
            <v>400659</v>
          </cell>
          <cell r="C16788" t="str">
            <v>Lamphey C.P. School</v>
          </cell>
          <cell r="D16788" t="str">
            <v>Pembrokeshire</v>
          </cell>
          <cell r="E16788" t="str">
            <v>Welsh Establishment</v>
          </cell>
          <cell r="F16788" t="str">
            <v>Primary</v>
          </cell>
        </row>
        <row r="16789">
          <cell r="A16789">
            <v>9093207</v>
          </cell>
          <cell r="B16789">
            <v>112295</v>
          </cell>
          <cell r="C16789" t="str">
            <v>Lamplugh CofE School</v>
          </cell>
          <cell r="D16789" t="str">
            <v>Cumbria</v>
          </cell>
          <cell r="E16789" t="str">
            <v>Voluntary Controlled School</v>
          </cell>
          <cell r="F16789" t="str">
            <v>Primary</v>
          </cell>
        </row>
        <row r="16790">
          <cell r="A16790">
            <v>3134027</v>
          </cell>
          <cell r="B16790">
            <v>136341</v>
          </cell>
          <cell r="C16790" t="str">
            <v>Lampton Academy</v>
          </cell>
          <cell r="D16790" t="str">
            <v>Hounslow</v>
          </cell>
          <cell r="E16790" t="str">
            <v>Academy Converters</v>
          </cell>
          <cell r="F16790" t="str">
            <v>Secondary</v>
          </cell>
        </row>
        <row r="16791">
          <cell r="A16791">
            <v>3134027</v>
          </cell>
          <cell r="B16791">
            <v>102538</v>
          </cell>
          <cell r="C16791" t="str">
            <v>Lampton School</v>
          </cell>
          <cell r="D16791" t="str">
            <v>Hounslow</v>
          </cell>
          <cell r="E16791" t="str">
            <v>Foundation School</v>
          </cell>
          <cell r="F16791" t="str">
            <v>Secondary</v>
          </cell>
        </row>
        <row r="16792">
          <cell r="A16792">
            <v>8888291</v>
          </cell>
          <cell r="B16792">
            <v>133102</v>
          </cell>
          <cell r="C16792" t="str">
            <v>Lancashire College of Adult Education</v>
          </cell>
          <cell r="D16792" t="str">
            <v>Lancashire</v>
          </cell>
          <cell r="E16792" t="str">
            <v>Miscellaneous</v>
          </cell>
          <cell r="F16792" t="str">
            <v>Not applicable</v>
          </cell>
        </row>
        <row r="16793">
          <cell r="A16793">
            <v>8881115</v>
          </cell>
          <cell r="B16793">
            <v>134129</v>
          </cell>
          <cell r="C16793" t="str">
            <v>Lancashire Education Medical Service</v>
          </cell>
          <cell r="D16793" t="str">
            <v>Lancashire</v>
          </cell>
          <cell r="E16793" t="str">
            <v>Pupil Referral Unit</v>
          </cell>
          <cell r="F16793" t="str">
            <v>PRU</v>
          </cell>
        </row>
        <row r="16794">
          <cell r="A16794">
            <v>8889901</v>
          </cell>
          <cell r="B16794">
            <v>133044</v>
          </cell>
          <cell r="C16794" t="str">
            <v>Lancashire Education Medical Services</v>
          </cell>
          <cell r="D16794" t="str">
            <v>Lancashire</v>
          </cell>
          <cell r="E16794" t="str">
            <v>Miscellaneous</v>
          </cell>
          <cell r="F16794" t="str">
            <v>Not applicable</v>
          </cell>
        </row>
        <row r="16795">
          <cell r="A16795">
            <v>8888008</v>
          </cell>
          <cell r="B16795">
            <v>130737</v>
          </cell>
          <cell r="C16795" t="str">
            <v>Lancaster and Morecambe College</v>
          </cell>
          <cell r="D16795" t="str">
            <v>Lancashire</v>
          </cell>
          <cell r="E16795" t="str">
            <v>Further Education</v>
          </cell>
          <cell r="F16795" t="str">
            <v>16 Plus</v>
          </cell>
        </row>
        <row r="16796">
          <cell r="A16796">
            <v>8883530</v>
          </cell>
          <cell r="B16796">
            <v>119532</v>
          </cell>
          <cell r="C16796" t="str">
            <v>Lancaster Christ Church Church of England Primary School</v>
          </cell>
          <cell r="D16796" t="str">
            <v>Lancashire</v>
          </cell>
          <cell r="E16796" t="str">
            <v>Voluntary Aided School</v>
          </cell>
          <cell r="F16796" t="str">
            <v>Primary</v>
          </cell>
        </row>
        <row r="16797">
          <cell r="A16797">
            <v>8882019</v>
          </cell>
          <cell r="B16797">
            <v>119130</v>
          </cell>
          <cell r="C16797" t="str">
            <v>Lancaster Dallas Road Community Primary School</v>
          </cell>
          <cell r="D16797" t="str">
            <v>Lancashire</v>
          </cell>
          <cell r="E16797" t="str">
            <v>Community School</v>
          </cell>
          <cell r="F16797" t="str">
            <v>Primary</v>
          </cell>
        </row>
        <row r="16798">
          <cell r="A16798">
            <v>8885402</v>
          </cell>
          <cell r="B16798">
            <v>119811</v>
          </cell>
          <cell r="C16798" t="str">
            <v>Lancaster Girls' Grammar School</v>
          </cell>
          <cell r="D16798" t="str">
            <v>Lancashire</v>
          </cell>
          <cell r="E16798" t="str">
            <v>Foundation School</v>
          </cell>
          <cell r="F16798" t="str">
            <v>Secondary</v>
          </cell>
        </row>
        <row r="16799">
          <cell r="A16799">
            <v>8885402</v>
          </cell>
          <cell r="B16799">
            <v>136381</v>
          </cell>
          <cell r="C16799" t="str">
            <v>Lancaster Girls' Grammar School</v>
          </cell>
          <cell r="D16799" t="str">
            <v>Lancashire</v>
          </cell>
          <cell r="E16799" t="str">
            <v>Academy Converters</v>
          </cell>
          <cell r="F16799" t="str">
            <v>Secondary</v>
          </cell>
        </row>
        <row r="16800">
          <cell r="A16800">
            <v>9231112</v>
          </cell>
          <cell r="B16800">
            <v>129464</v>
          </cell>
          <cell r="C16800" t="str">
            <v>Lancaster Hillside Autistic Centre</v>
          </cell>
          <cell r="D16800" t="str">
            <v>Pre LGR (1998) Lancashire</v>
          </cell>
          <cell r="E16800" t="str">
            <v>Pupil Referral Unit</v>
          </cell>
          <cell r="F16800" t="str">
            <v>PRU</v>
          </cell>
        </row>
        <row r="16801">
          <cell r="A16801">
            <v>8026006</v>
          </cell>
          <cell r="B16801">
            <v>109366</v>
          </cell>
          <cell r="C16801" t="str">
            <v>Lancaster House School</v>
          </cell>
          <cell r="D16801" t="str">
            <v>North Somerset</v>
          </cell>
          <cell r="E16801" t="str">
            <v>Other Independent School</v>
          </cell>
          <cell r="F16801" t="str">
            <v>Not applicable</v>
          </cell>
        </row>
        <row r="16802">
          <cell r="A16802">
            <v>8882684</v>
          </cell>
          <cell r="B16802">
            <v>119325</v>
          </cell>
          <cell r="C16802" t="str">
            <v>Lancaster Lane Community Primary School</v>
          </cell>
          <cell r="D16802" t="str">
            <v>Lancashire</v>
          </cell>
          <cell r="E16802" t="str">
            <v>Community School</v>
          </cell>
          <cell r="F16802" t="str">
            <v>Primary</v>
          </cell>
        </row>
        <row r="16803">
          <cell r="A16803">
            <v>8882020</v>
          </cell>
          <cell r="B16803">
            <v>119131</v>
          </cell>
          <cell r="C16803" t="str">
            <v>Lancaster Ridge Primary School</v>
          </cell>
          <cell r="D16803" t="str">
            <v>Lancashire</v>
          </cell>
          <cell r="E16803" t="str">
            <v>Community School</v>
          </cell>
          <cell r="F16803" t="str">
            <v>Primary</v>
          </cell>
        </row>
        <row r="16804">
          <cell r="A16804">
            <v>8882027</v>
          </cell>
          <cell r="B16804">
            <v>119137</v>
          </cell>
          <cell r="C16804" t="str">
            <v>Lancaster Road Primary School</v>
          </cell>
          <cell r="D16804" t="str">
            <v>Lancashire</v>
          </cell>
          <cell r="E16804" t="str">
            <v>Community School</v>
          </cell>
          <cell r="F16804" t="str">
            <v>Primary</v>
          </cell>
        </row>
        <row r="16805">
          <cell r="A16805">
            <v>8885401</v>
          </cell>
          <cell r="B16805">
            <v>119810</v>
          </cell>
          <cell r="C16805" t="str">
            <v>Lancaster Royal Grammar School</v>
          </cell>
          <cell r="D16805" t="str">
            <v>Lancashire</v>
          </cell>
          <cell r="E16805" t="str">
            <v>Voluntary Aided School</v>
          </cell>
          <cell r="F16805" t="str">
            <v>Secondary</v>
          </cell>
        </row>
        <row r="16806">
          <cell r="A16806">
            <v>8885401</v>
          </cell>
          <cell r="B16806">
            <v>136742</v>
          </cell>
          <cell r="C16806" t="str">
            <v>Lancaster Royal Grammar School</v>
          </cell>
          <cell r="D16806" t="str">
            <v>Lancashire</v>
          </cell>
          <cell r="E16806" t="str">
            <v>Academy Converters</v>
          </cell>
          <cell r="F16806" t="str">
            <v>Secondary</v>
          </cell>
        </row>
        <row r="16807">
          <cell r="A16807">
            <v>8882021</v>
          </cell>
          <cell r="B16807">
            <v>119132</v>
          </cell>
          <cell r="C16807" t="str">
            <v>Lancaster Ryelands Primary School</v>
          </cell>
          <cell r="D16807" t="str">
            <v>Lancashire</v>
          </cell>
          <cell r="E16807" t="str">
            <v>Community School</v>
          </cell>
          <cell r="F16807" t="str">
            <v>Primary</v>
          </cell>
        </row>
        <row r="16808">
          <cell r="A16808">
            <v>8827005</v>
          </cell>
          <cell r="B16808">
            <v>115445</v>
          </cell>
          <cell r="C16808" t="str">
            <v>Lancaster School</v>
          </cell>
          <cell r="D16808" t="str">
            <v>Southend-on-Sea</v>
          </cell>
          <cell r="E16808" t="str">
            <v>Community Special School</v>
          </cell>
          <cell r="F16808" t="str">
            <v>Special</v>
          </cell>
        </row>
        <row r="16809">
          <cell r="A16809">
            <v>8886040</v>
          </cell>
          <cell r="B16809">
            <v>132095</v>
          </cell>
          <cell r="C16809" t="str">
            <v>Lancaster Steiner School</v>
          </cell>
          <cell r="D16809" t="str">
            <v>Lancashire</v>
          </cell>
          <cell r="E16809" t="str">
            <v>Other Independent School</v>
          </cell>
          <cell r="F16809" t="str">
            <v>Not applicable</v>
          </cell>
        </row>
        <row r="16810">
          <cell r="A16810">
            <v>9322091</v>
          </cell>
          <cell r="B16810">
            <v>129788</v>
          </cell>
          <cell r="C16810" t="str">
            <v>Lancasterian County Primary School</v>
          </cell>
          <cell r="D16810" t="str">
            <v>Pre LGR (1998) Shropshire</v>
          </cell>
          <cell r="E16810" t="str">
            <v>Community School</v>
          </cell>
          <cell r="F16810" t="str">
            <v>Primary</v>
          </cell>
        </row>
        <row r="16811">
          <cell r="A16811">
            <v>3092024</v>
          </cell>
          <cell r="B16811">
            <v>102093</v>
          </cell>
          <cell r="C16811" t="str">
            <v>Lancasterian Junior School</v>
          </cell>
          <cell r="D16811" t="str">
            <v>Haringey</v>
          </cell>
          <cell r="E16811" t="str">
            <v>Community School</v>
          </cell>
          <cell r="F16811" t="str">
            <v>Primary</v>
          </cell>
        </row>
        <row r="16812">
          <cell r="A16812">
            <v>3092025</v>
          </cell>
          <cell r="B16812">
            <v>102094</v>
          </cell>
          <cell r="C16812" t="str">
            <v>Lancasterian Primary School</v>
          </cell>
          <cell r="D16812" t="str">
            <v>Haringey</v>
          </cell>
          <cell r="E16812" t="str">
            <v>Community School</v>
          </cell>
          <cell r="F16812" t="str">
            <v>Primary</v>
          </cell>
        </row>
        <row r="16813">
          <cell r="A16813">
            <v>3527029</v>
          </cell>
          <cell r="B16813">
            <v>105608</v>
          </cell>
          <cell r="C16813" t="str">
            <v>Lancasterian School</v>
          </cell>
          <cell r="D16813" t="str">
            <v>Manchester</v>
          </cell>
          <cell r="E16813" t="str">
            <v>Community Special School</v>
          </cell>
          <cell r="F16813" t="str">
            <v>Special</v>
          </cell>
        </row>
        <row r="16814">
          <cell r="A16814">
            <v>9382012</v>
          </cell>
          <cell r="B16814">
            <v>125822</v>
          </cell>
          <cell r="C16814" t="str">
            <v>Lancastrian Infants' School</v>
          </cell>
          <cell r="D16814" t="str">
            <v>West Sussex</v>
          </cell>
          <cell r="E16814" t="str">
            <v>Community School</v>
          </cell>
          <cell r="F16814" t="str">
            <v>Primary</v>
          </cell>
        </row>
        <row r="16815">
          <cell r="A16815">
            <v>3341101</v>
          </cell>
          <cell r="B16815">
            <v>104037</v>
          </cell>
          <cell r="C16815" t="str">
            <v>Lanchester Centre</v>
          </cell>
          <cell r="D16815" t="str">
            <v>Solihull</v>
          </cell>
          <cell r="E16815" t="str">
            <v>Pupil Referral Unit</v>
          </cell>
          <cell r="F16815" t="str">
            <v>PRU</v>
          </cell>
        </row>
        <row r="16816">
          <cell r="A16816">
            <v>8403065</v>
          </cell>
          <cell r="B16816">
            <v>114215</v>
          </cell>
          <cell r="C16816" t="str">
            <v>Lanchester Endowed Parochial Junior School</v>
          </cell>
          <cell r="D16816" t="str">
            <v>Durham</v>
          </cell>
          <cell r="E16816" t="str">
            <v>Voluntary Controlled School</v>
          </cell>
          <cell r="F16816" t="str">
            <v>Primary</v>
          </cell>
        </row>
        <row r="16817">
          <cell r="A16817">
            <v>8403213</v>
          </cell>
          <cell r="B16817">
            <v>131168</v>
          </cell>
          <cell r="C16817" t="str">
            <v>Lanchester Endowed Parochial Primary School</v>
          </cell>
          <cell r="D16817" t="str">
            <v>Durham</v>
          </cell>
          <cell r="E16817" t="str">
            <v>Voluntary Controlled School</v>
          </cell>
          <cell r="F16817" t="str">
            <v>Primary</v>
          </cell>
        </row>
        <row r="16818">
          <cell r="A16818">
            <v>8402274</v>
          </cell>
          <cell r="B16818">
            <v>114048</v>
          </cell>
          <cell r="C16818" t="str">
            <v>Lanchester Infant School</v>
          </cell>
          <cell r="D16818" t="str">
            <v>Durham</v>
          </cell>
          <cell r="E16818" t="str">
            <v>Community School</v>
          </cell>
          <cell r="F16818" t="str">
            <v>Primary</v>
          </cell>
        </row>
        <row r="16819">
          <cell r="A16819">
            <v>8401037</v>
          </cell>
          <cell r="B16819">
            <v>113988</v>
          </cell>
          <cell r="C16819" t="str">
            <v>Lanchester Nursery School</v>
          </cell>
          <cell r="D16819" t="str">
            <v>Durham</v>
          </cell>
          <cell r="E16819" t="str">
            <v>LA Nursery School</v>
          </cell>
          <cell r="F16819" t="str">
            <v>Nursery</v>
          </cell>
        </row>
        <row r="16820">
          <cell r="A16820">
            <v>9386013</v>
          </cell>
          <cell r="B16820">
            <v>126108</v>
          </cell>
          <cell r="C16820" t="str">
            <v>Lancing College</v>
          </cell>
          <cell r="D16820" t="str">
            <v>West Sussex</v>
          </cell>
          <cell r="E16820" t="str">
            <v>Other Independent School</v>
          </cell>
          <cell r="F16820" t="str">
            <v>Not applicable</v>
          </cell>
        </row>
        <row r="16821">
          <cell r="A16821">
            <v>8466000</v>
          </cell>
          <cell r="B16821">
            <v>114626</v>
          </cell>
          <cell r="C16821" t="str">
            <v>Lancing College Preparatory School at Mowden</v>
          </cell>
          <cell r="D16821" t="str">
            <v>Brighton and Hove</v>
          </cell>
          <cell r="E16821" t="str">
            <v>Other Independent School</v>
          </cell>
          <cell r="F16821" t="str">
            <v>Not applicable</v>
          </cell>
        </row>
        <row r="16822">
          <cell r="A16822">
            <v>9386257</v>
          </cell>
          <cell r="B16822">
            <v>132039</v>
          </cell>
          <cell r="C16822" t="str">
            <v>Lancing Montessori Centre and Ardmore School</v>
          </cell>
          <cell r="D16822" t="str">
            <v>West Sussex</v>
          </cell>
          <cell r="E16822" t="str">
            <v>Other Independent School</v>
          </cell>
          <cell r="F16822" t="str">
            <v>Not applicable</v>
          </cell>
        </row>
        <row r="16823">
          <cell r="A16823">
            <v>8232193</v>
          </cell>
          <cell r="B16823">
            <v>109518</v>
          </cell>
          <cell r="C16823" t="str">
            <v>Lancot Lower School</v>
          </cell>
          <cell r="D16823" t="str">
            <v>Central Bedfordshire</v>
          </cell>
          <cell r="E16823" t="str">
            <v>Community School</v>
          </cell>
          <cell r="F16823" t="str">
            <v>Primary</v>
          </cell>
        </row>
        <row r="16824">
          <cell r="A16824">
            <v>8566022</v>
          </cell>
          <cell r="B16824">
            <v>135858</v>
          </cell>
          <cell r="C16824" t="str">
            <v>Land of Learning Primary School</v>
          </cell>
          <cell r="D16824" t="str">
            <v>Leicester</v>
          </cell>
          <cell r="E16824" t="str">
            <v>Other Independent School</v>
          </cell>
          <cell r="F16824" t="str">
            <v>Not applicable</v>
          </cell>
        </row>
        <row r="16825">
          <cell r="A16825">
            <v>8606905</v>
          </cell>
          <cell r="B16825">
            <v>136136</v>
          </cell>
          <cell r="C16825" t="str">
            <v>Landau Forte Academy</v>
          </cell>
          <cell r="D16825" t="str">
            <v>Staffordshire</v>
          </cell>
          <cell r="E16825" t="str">
            <v>Academy Sponsor Led</v>
          </cell>
          <cell r="F16825" t="str">
            <v>Secondary</v>
          </cell>
        </row>
        <row r="16826">
          <cell r="A16826">
            <v>8604004</v>
          </cell>
          <cell r="B16826">
            <v>137146</v>
          </cell>
          <cell r="C16826" t="str">
            <v>Landau Forte Academy, QEMS</v>
          </cell>
          <cell r="D16826" t="str">
            <v>Staffordshire</v>
          </cell>
          <cell r="E16826" t="str">
            <v>Academy Sponsor Led</v>
          </cell>
          <cell r="F16826" t="str">
            <v>Secondary</v>
          </cell>
        </row>
        <row r="16827">
          <cell r="A16827">
            <v>8316900</v>
          </cell>
          <cell r="B16827">
            <v>113029</v>
          </cell>
          <cell r="C16827" t="str">
            <v>Landau Forte College</v>
          </cell>
          <cell r="D16827" t="str">
            <v>Derby</v>
          </cell>
          <cell r="E16827" t="str">
            <v>City Technology College</v>
          </cell>
          <cell r="F16827" t="str">
            <v>Not applicable</v>
          </cell>
        </row>
        <row r="16828">
          <cell r="A16828">
            <v>8316905</v>
          </cell>
          <cell r="B16828">
            <v>135120</v>
          </cell>
          <cell r="C16828" t="str">
            <v>Landau Forte College</v>
          </cell>
          <cell r="D16828" t="str">
            <v>Derby</v>
          </cell>
          <cell r="E16828" t="str">
            <v>Academy Sponsor Led</v>
          </cell>
          <cell r="F16828" t="str">
            <v>Secondary</v>
          </cell>
        </row>
        <row r="16829">
          <cell r="A16829">
            <v>3432060</v>
          </cell>
          <cell r="B16829">
            <v>104874</v>
          </cell>
          <cell r="C16829" t="str">
            <v>Lander Road Primary School</v>
          </cell>
          <cell r="D16829" t="str">
            <v>Sefton</v>
          </cell>
          <cell r="E16829" t="str">
            <v>Community School</v>
          </cell>
          <cell r="F16829" t="str">
            <v>Primary</v>
          </cell>
        </row>
        <row r="16830">
          <cell r="A16830">
            <v>9082112</v>
          </cell>
          <cell r="B16830">
            <v>111814</v>
          </cell>
          <cell r="C16830" t="str">
            <v>Landewednack Community Primary School</v>
          </cell>
          <cell r="D16830" t="str">
            <v>Cornwall</v>
          </cell>
          <cell r="E16830" t="str">
            <v>Community School</v>
          </cell>
          <cell r="F16830" t="str">
            <v>Primary</v>
          </cell>
        </row>
        <row r="16831">
          <cell r="A16831">
            <v>8653232</v>
          </cell>
          <cell r="B16831">
            <v>126385</v>
          </cell>
          <cell r="C16831" t="str">
            <v>Landford CofE Primary School</v>
          </cell>
          <cell r="D16831" t="str">
            <v>Wiltshire</v>
          </cell>
          <cell r="E16831" t="str">
            <v>Voluntary Aided School</v>
          </cell>
          <cell r="F16831" t="str">
            <v>Primary</v>
          </cell>
        </row>
        <row r="16832">
          <cell r="A16832">
            <v>3597001</v>
          </cell>
          <cell r="B16832">
            <v>134297</v>
          </cell>
          <cell r="C16832" t="str">
            <v>Landgate School, Bryn</v>
          </cell>
          <cell r="D16832" t="str">
            <v>Wigan</v>
          </cell>
          <cell r="E16832" t="str">
            <v>Community Special School</v>
          </cell>
          <cell r="F16832" t="str">
            <v>Special</v>
          </cell>
        </row>
        <row r="16833">
          <cell r="A16833">
            <v>8782236</v>
          </cell>
          <cell r="B16833">
            <v>113159</v>
          </cell>
          <cell r="C16833" t="str">
            <v>Landkey Primary School</v>
          </cell>
          <cell r="D16833" t="str">
            <v>Devon</v>
          </cell>
          <cell r="E16833" t="str">
            <v>Community School</v>
          </cell>
          <cell r="F16833" t="str">
            <v>Primary</v>
          </cell>
        </row>
        <row r="16834">
          <cell r="A16834">
            <v>8307904</v>
          </cell>
          <cell r="B16834">
            <v>131900</v>
          </cell>
          <cell r="C16834" t="str">
            <v>Landmarks</v>
          </cell>
          <cell r="D16834" t="str">
            <v>Derbyshire</v>
          </cell>
          <cell r="E16834" t="str">
            <v>Special College</v>
          </cell>
          <cell r="F16834" t="str">
            <v>16 Plus</v>
          </cell>
        </row>
        <row r="16835">
          <cell r="A16835">
            <v>8816029</v>
          </cell>
          <cell r="B16835">
            <v>115423</v>
          </cell>
          <cell r="C16835" t="str">
            <v>Landry School</v>
          </cell>
          <cell r="D16835" t="str">
            <v>Essex</v>
          </cell>
          <cell r="E16835" t="str">
            <v>Other Independent School</v>
          </cell>
          <cell r="F16835" t="str">
            <v>Not applicable</v>
          </cell>
        </row>
        <row r="16836">
          <cell r="A16836">
            <v>8782079</v>
          </cell>
          <cell r="B16836">
            <v>113117</v>
          </cell>
          <cell r="C16836" t="str">
            <v>Landscore Primary School</v>
          </cell>
          <cell r="D16836" t="str">
            <v>Devon</v>
          </cell>
          <cell r="E16836" t="str">
            <v>Community School</v>
          </cell>
          <cell r="F16836" t="str">
            <v>Primary</v>
          </cell>
        </row>
        <row r="16837">
          <cell r="A16837">
            <v>8783606</v>
          </cell>
          <cell r="B16837">
            <v>113464</v>
          </cell>
          <cell r="C16837" t="str">
            <v>Landscove Church of England Primary School</v>
          </cell>
          <cell r="D16837" t="str">
            <v>Devon</v>
          </cell>
          <cell r="E16837" t="str">
            <v>Voluntary Aided School</v>
          </cell>
          <cell r="F16837" t="str">
            <v>Primary</v>
          </cell>
        </row>
        <row r="16838">
          <cell r="A16838">
            <v>6686016</v>
          </cell>
          <cell r="B16838">
            <v>402031</v>
          </cell>
          <cell r="C16838" t="str">
            <v>Landsker Education</v>
          </cell>
          <cell r="D16838" t="str">
            <v>Pembrokeshire</v>
          </cell>
          <cell r="E16838" t="str">
            <v>Welsh Establishment</v>
          </cell>
          <cell r="F16838" t="str">
            <v>Not applicable</v>
          </cell>
        </row>
        <row r="16839">
          <cell r="A16839">
            <v>9082706</v>
          </cell>
          <cell r="B16839">
            <v>111954</v>
          </cell>
          <cell r="C16839" t="str">
            <v>Landulph School</v>
          </cell>
          <cell r="D16839" t="str">
            <v>Cornwall</v>
          </cell>
          <cell r="E16839" t="str">
            <v>Community School</v>
          </cell>
          <cell r="F16839" t="str">
            <v>Primary</v>
          </cell>
        </row>
        <row r="16840">
          <cell r="A16840">
            <v>8602394</v>
          </cell>
          <cell r="B16840">
            <v>124190</v>
          </cell>
          <cell r="C16840" t="str">
            <v>Landywood Primary School</v>
          </cell>
          <cell r="D16840" t="str">
            <v>Staffordshire</v>
          </cell>
          <cell r="E16840" t="str">
            <v>Community School</v>
          </cell>
          <cell r="F16840" t="str">
            <v>Primary</v>
          </cell>
        </row>
        <row r="16841">
          <cell r="A16841">
            <v>3562111</v>
          </cell>
          <cell r="B16841">
            <v>106097</v>
          </cell>
          <cell r="C16841" t="str">
            <v>Lane End Primary School</v>
          </cell>
          <cell r="D16841" t="str">
            <v>Stockport</v>
          </cell>
          <cell r="E16841" t="str">
            <v>Community School</v>
          </cell>
          <cell r="F16841" t="str">
            <v>Primary</v>
          </cell>
        </row>
        <row r="16842">
          <cell r="A16842">
            <v>8252228</v>
          </cell>
          <cell r="B16842">
            <v>110320</v>
          </cell>
          <cell r="C16842" t="str">
            <v>Lane End Primary School</v>
          </cell>
          <cell r="D16842" t="str">
            <v>Buckinghamshire</v>
          </cell>
          <cell r="E16842" t="str">
            <v>Community School</v>
          </cell>
          <cell r="F16842" t="str">
            <v>Primary</v>
          </cell>
        </row>
        <row r="16843">
          <cell r="A16843">
            <v>8602368</v>
          </cell>
          <cell r="B16843">
            <v>124174</v>
          </cell>
          <cell r="C16843" t="str">
            <v>Lane Green First School</v>
          </cell>
          <cell r="D16843" t="str">
            <v>Staffordshire</v>
          </cell>
          <cell r="E16843" t="str">
            <v>Community School</v>
          </cell>
          <cell r="F16843" t="str">
            <v>Primary</v>
          </cell>
        </row>
        <row r="16844">
          <cell r="A16844">
            <v>3351007</v>
          </cell>
          <cell r="B16844">
            <v>104139</v>
          </cell>
          <cell r="C16844" t="str">
            <v>Lane Head Nursery School</v>
          </cell>
          <cell r="D16844" t="str">
            <v>Walsall</v>
          </cell>
          <cell r="E16844" t="str">
            <v>LA Nursery School</v>
          </cell>
          <cell r="F16844" t="str">
            <v>Nursery</v>
          </cell>
        </row>
        <row r="16845">
          <cell r="A16845">
            <v>9093020</v>
          </cell>
          <cell r="B16845">
            <v>112254</v>
          </cell>
          <cell r="C16845" t="str">
            <v>Lanercost CofE Primary School</v>
          </cell>
          <cell r="D16845" t="str">
            <v>Cumbria</v>
          </cell>
          <cell r="E16845" t="str">
            <v>Voluntary Controlled School</v>
          </cell>
          <cell r="F16845" t="str">
            <v>Primary</v>
          </cell>
        </row>
        <row r="16846">
          <cell r="A16846">
            <v>9366047</v>
          </cell>
          <cell r="B16846">
            <v>125343</v>
          </cell>
          <cell r="C16846" t="str">
            <v>Lanesborough School</v>
          </cell>
          <cell r="D16846" t="str">
            <v>Surrey</v>
          </cell>
          <cell r="E16846" t="str">
            <v>Other Independent School</v>
          </cell>
          <cell r="F16846" t="str">
            <v>Not applicable</v>
          </cell>
        </row>
        <row r="16847">
          <cell r="A16847">
            <v>9212032</v>
          </cell>
          <cell r="B16847">
            <v>118174</v>
          </cell>
          <cell r="C16847" t="str">
            <v>Lanesend Primary School</v>
          </cell>
          <cell r="D16847" t="str">
            <v>Isle of Wight</v>
          </cell>
          <cell r="E16847" t="str">
            <v>Community School</v>
          </cell>
          <cell r="F16847" t="str">
            <v>Primary</v>
          </cell>
        </row>
        <row r="16848">
          <cell r="A16848">
            <v>3362071</v>
          </cell>
          <cell r="B16848">
            <v>104327</v>
          </cell>
          <cell r="C16848" t="str">
            <v>Lanesfield Primary School</v>
          </cell>
          <cell r="D16848" t="str">
            <v>Wolverhampton</v>
          </cell>
          <cell r="E16848" t="str">
            <v>Community School</v>
          </cell>
          <cell r="F16848" t="str">
            <v>Primary</v>
          </cell>
        </row>
        <row r="16849">
          <cell r="A16849">
            <v>8882079</v>
          </cell>
          <cell r="B16849">
            <v>119170</v>
          </cell>
          <cell r="C16849" t="str">
            <v>Laneshawbridge Primary School</v>
          </cell>
          <cell r="D16849" t="str">
            <v>Lancashire</v>
          </cell>
          <cell r="E16849" t="str">
            <v>Community School</v>
          </cell>
          <cell r="F16849" t="str">
            <v>Primary</v>
          </cell>
        </row>
        <row r="16850">
          <cell r="A16850">
            <v>8863296</v>
          </cell>
          <cell r="B16850">
            <v>118711</v>
          </cell>
          <cell r="C16850" t="str">
            <v>Langafel Church of England Voluntary Controlled Primary School</v>
          </cell>
          <cell r="D16850" t="str">
            <v>Kent</v>
          </cell>
          <cell r="E16850" t="str">
            <v>Voluntary Controlled School</v>
          </cell>
          <cell r="F16850" t="str">
            <v>Primary</v>
          </cell>
        </row>
        <row r="16851">
          <cell r="A16851">
            <v>8913113</v>
          </cell>
          <cell r="B16851">
            <v>122763</v>
          </cell>
          <cell r="C16851" t="str">
            <v>Langar CofE Primary School</v>
          </cell>
          <cell r="D16851" t="str">
            <v>Nottinghamshire</v>
          </cell>
          <cell r="E16851" t="str">
            <v>Voluntary Controlled School</v>
          </cell>
          <cell r="F16851" t="str">
            <v>Primary</v>
          </cell>
        </row>
        <row r="16852">
          <cell r="A16852">
            <v>8064115</v>
          </cell>
          <cell r="B16852">
            <v>111738</v>
          </cell>
          <cell r="C16852" t="str">
            <v>Langbaurgh School</v>
          </cell>
          <cell r="D16852" t="str">
            <v>Middlesbrough</v>
          </cell>
          <cell r="E16852" t="str">
            <v>Community School</v>
          </cell>
          <cell r="F16852" t="str">
            <v>Secondary</v>
          </cell>
        </row>
        <row r="16853">
          <cell r="A16853">
            <v>2102365</v>
          </cell>
          <cell r="B16853">
            <v>100801</v>
          </cell>
          <cell r="C16853" t="str">
            <v>Langbourne Primary School</v>
          </cell>
          <cell r="D16853" t="str">
            <v>Southwark</v>
          </cell>
          <cell r="E16853" t="str">
            <v>Community School</v>
          </cell>
          <cell r="F16853" t="str">
            <v>Primary</v>
          </cell>
        </row>
        <row r="16854">
          <cell r="A16854">
            <v>8152345</v>
          </cell>
          <cell r="B16854">
            <v>121408</v>
          </cell>
          <cell r="C16854" t="str">
            <v>Langcliffe Community Primary School</v>
          </cell>
          <cell r="D16854" t="str">
            <v>North Yorkshire</v>
          </cell>
          <cell r="E16854" t="str">
            <v>Community School</v>
          </cell>
          <cell r="F16854" t="str">
            <v>Primary</v>
          </cell>
        </row>
        <row r="16855">
          <cell r="A16855">
            <v>8886087</v>
          </cell>
          <cell r="B16855">
            <v>134834</v>
          </cell>
          <cell r="C16855" t="str">
            <v>Langdale Academy for Personalised Learning</v>
          </cell>
          <cell r="D16855" t="str">
            <v>Lancashire</v>
          </cell>
          <cell r="E16855" t="str">
            <v>Other Independent Special School</v>
          </cell>
          <cell r="F16855" t="str">
            <v>Not applicable</v>
          </cell>
        </row>
        <row r="16856">
          <cell r="A16856">
            <v>9093362</v>
          </cell>
          <cell r="B16856">
            <v>112321</v>
          </cell>
          <cell r="C16856" t="str">
            <v>Langdale CofE School</v>
          </cell>
          <cell r="D16856" t="str">
            <v>Cumbria</v>
          </cell>
          <cell r="E16856" t="str">
            <v>Voluntary Aided School</v>
          </cell>
          <cell r="F16856" t="str">
            <v>Primary</v>
          </cell>
        </row>
        <row r="16857">
          <cell r="A16857">
            <v>3924040</v>
          </cell>
          <cell r="B16857">
            <v>108646</v>
          </cell>
          <cell r="C16857" t="str">
            <v>Langdale Community Middle School</v>
          </cell>
          <cell r="D16857" t="str">
            <v>North Tyneside</v>
          </cell>
          <cell r="E16857" t="str">
            <v>Community School</v>
          </cell>
          <cell r="F16857" t="str">
            <v>Middle Deemed Secondary</v>
          </cell>
        </row>
        <row r="16858">
          <cell r="A16858">
            <v>8602255</v>
          </cell>
          <cell r="B16858">
            <v>124114</v>
          </cell>
          <cell r="C16858" t="str">
            <v>Langdale Infant School</v>
          </cell>
          <cell r="D16858" t="str">
            <v>Staffordshire</v>
          </cell>
          <cell r="E16858" t="str">
            <v>Community School</v>
          </cell>
          <cell r="F16858" t="str">
            <v>Primary</v>
          </cell>
        </row>
        <row r="16859">
          <cell r="A16859">
            <v>8602262</v>
          </cell>
          <cell r="B16859">
            <v>124118</v>
          </cell>
          <cell r="C16859" t="str">
            <v>Langdale Junior School</v>
          </cell>
          <cell r="D16859" t="str">
            <v>Staffordshire</v>
          </cell>
          <cell r="E16859" t="str">
            <v>Community School</v>
          </cell>
          <cell r="F16859" t="str">
            <v>Primary</v>
          </cell>
        </row>
        <row r="16860">
          <cell r="A16860">
            <v>8601025</v>
          </cell>
          <cell r="B16860">
            <v>123965</v>
          </cell>
          <cell r="C16860" t="str">
            <v>Langdale Nursery School</v>
          </cell>
          <cell r="D16860" t="str">
            <v>Staffordshire</v>
          </cell>
          <cell r="E16860" t="str">
            <v>LA Nursery School</v>
          </cell>
          <cell r="F16860" t="str">
            <v>Nursery</v>
          </cell>
        </row>
        <row r="16861">
          <cell r="A16861">
            <v>8906002</v>
          </cell>
          <cell r="B16861">
            <v>119830</v>
          </cell>
          <cell r="C16861" t="str">
            <v>Langdale Preparatory School</v>
          </cell>
          <cell r="D16861" t="str">
            <v>Blackpool</v>
          </cell>
          <cell r="E16861" t="str">
            <v>Other Independent School</v>
          </cell>
          <cell r="F16861" t="str">
            <v>Not applicable</v>
          </cell>
        </row>
        <row r="16862">
          <cell r="A16862">
            <v>8603499</v>
          </cell>
          <cell r="B16862">
            <v>135204</v>
          </cell>
          <cell r="C16862" t="str">
            <v>Langdale Primary School</v>
          </cell>
          <cell r="D16862" t="str">
            <v>Staffordshire</v>
          </cell>
          <cell r="E16862" t="str">
            <v>Community School</v>
          </cell>
          <cell r="F16862" t="str">
            <v>Primary</v>
          </cell>
        </row>
        <row r="16863">
          <cell r="A16863">
            <v>3832344</v>
          </cell>
          <cell r="B16863">
            <v>107852</v>
          </cell>
          <cell r="C16863" t="str">
            <v>Langdale Primary School and Nursery</v>
          </cell>
          <cell r="D16863" t="str">
            <v>Leeds</v>
          </cell>
          <cell r="E16863" t="str">
            <v>Community School</v>
          </cell>
          <cell r="F16863" t="str">
            <v>Primary</v>
          </cell>
        </row>
        <row r="16864">
          <cell r="A16864">
            <v>3557904</v>
          </cell>
          <cell r="B16864">
            <v>131910</v>
          </cell>
          <cell r="C16864" t="str">
            <v>Langdon College</v>
          </cell>
          <cell r="D16864" t="str">
            <v>Salford</v>
          </cell>
          <cell r="E16864" t="str">
            <v>Special College</v>
          </cell>
          <cell r="F16864" t="str">
            <v>16 Plus</v>
          </cell>
        </row>
        <row r="16865">
          <cell r="A16865">
            <v>2114105</v>
          </cell>
          <cell r="B16865">
            <v>100966</v>
          </cell>
          <cell r="C16865" t="str">
            <v>Langdon Park Community School</v>
          </cell>
          <cell r="D16865" t="str">
            <v>Tower Hamlets</v>
          </cell>
          <cell r="E16865" t="str">
            <v>Community School</v>
          </cell>
          <cell r="F16865" t="str">
            <v>Secondary</v>
          </cell>
        </row>
        <row r="16866">
          <cell r="A16866">
            <v>8862318</v>
          </cell>
          <cell r="B16866">
            <v>118398</v>
          </cell>
          <cell r="C16866" t="str">
            <v>Langdon Primary School</v>
          </cell>
          <cell r="D16866" t="str">
            <v>Kent</v>
          </cell>
          <cell r="E16866" t="str">
            <v>Community School</v>
          </cell>
          <cell r="F16866" t="str">
            <v>Primary</v>
          </cell>
        </row>
        <row r="16867">
          <cell r="A16867">
            <v>3164030</v>
          </cell>
          <cell r="B16867">
            <v>102780</v>
          </cell>
          <cell r="C16867" t="str">
            <v>Langdon School</v>
          </cell>
          <cell r="D16867" t="str">
            <v>Newham</v>
          </cell>
          <cell r="E16867" t="str">
            <v>Community School</v>
          </cell>
          <cell r="F16867" t="str">
            <v>Secondary</v>
          </cell>
        </row>
        <row r="16868">
          <cell r="A16868">
            <v>8502114</v>
          </cell>
          <cell r="B16868">
            <v>115917</v>
          </cell>
          <cell r="C16868" t="str">
            <v>Langdown Junior School</v>
          </cell>
          <cell r="D16868" t="str">
            <v>Hampshire</v>
          </cell>
          <cell r="E16868" t="str">
            <v>Community School</v>
          </cell>
          <cell r="F16868" t="str">
            <v>Primary</v>
          </cell>
        </row>
        <row r="16869">
          <cell r="A16869">
            <v>8812038</v>
          </cell>
          <cell r="B16869">
            <v>114729</v>
          </cell>
          <cell r="C16869" t="str">
            <v>Langenhoe Community Primary School</v>
          </cell>
          <cell r="D16869" t="str">
            <v>Essex</v>
          </cell>
          <cell r="E16869" t="str">
            <v>Community School</v>
          </cell>
          <cell r="F16869" t="str">
            <v>Primary</v>
          </cell>
        </row>
        <row r="16870">
          <cell r="A16870">
            <v>9352077</v>
          </cell>
          <cell r="B16870">
            <v>124583</v>
          </cell>
          <cell r="C16870" t="str">
            <v>Langer Primary School</v>
          </cell>
          <cell r="D16870" t="str">
            <v>Suffolk</v>
          </cell>
          <cell r="E16870" t="str">
            <v>Community School</v>
          </cell>
          <cell r="F16870" t="str">
            <v>Primary</v>
          </cell>
        </row>
        <row r="16871">
          <cell r="A16871">
            <v>9333181</v>
          </cell>
          <cell r="B16871">
            <v>123796</v>
          </cell>
          <cell r="C16871" t="str">
            <v>Langford Budville Church of England Primary School</v>
          </cell>
          <cell r="D16871" t="str">
            <v>Somerset</v>
          </cell>
          <cell r="E16871" t="str">
            <v>Voluntary Controlled School</v>
          </cell>
          <cell r="F16871" t="str">
            <v>Primary</v>
          </cell>
        </row>
        <row r="16872">
          <cell r="A16872">
            <v>8232066</v>
          </cell>
          <cell r="B16872">
            <v>109465</v>
          </cell>
          <cell r="C16872" t="str">
            <v>Langford Lower School</v>
          </cell>
          <cell r="D16872" t="str">
            <v>Central Bedfordshire</v>
          </cell>
          <cell r="E16872" t="str">
            <v>Foundation School</v>
          </cell>
          <cell r="F16872" t="str">
            <v>Primary</v>
          </cell>
        </row>
        <row r="16873">
          <cell r="A16873">
            <v>2052367</v>
          </cell>
          <cell r="B16873">
            <v>100332</v>
          </cell>
          <cell r="C16873" t="str">
            <v>Langford Primary School</v>
          </cell>
          <cell r="D16873" t="str">
            <v>Hammersmith and Fulham</v>
          </cell>
          <cell r="E16873" t="str">
            <v>Community School</v>
          </cell>
          <cell r="F16873" t="str">
            <v>Primary</v>
          </cell>
        </row>
        <row r="16874">
          <cell r="A16874">
            <v>9312608</v>
          </cell>
          <cell r="B16874">
            <v>130962</v>
          </cell>
          <cell r="C16874" t="str">
            <v>Langford Village Community School</v>
          </cell>
          <cell r="D16874" t="str">
            <v>Oxfordshire</v>
          </cell>
          <cell r="E16874" t="str">
            <v>Community School</v>
          </cell>
          <cell r="F16874" t="str">
            <v>Primary</v>
          </cell>
        </row>
        <row r="16875">
          <cell r="A16875">
            <v>8573114</v>
          </cell>
          <cell r="B16875">
            <v>120180</v>
          </cell>
          <cell r="C16875" t="str">
            <v>Langham CofE (Controlled) Primary School</v>
          </cell>
          <cell r="D16875" t="str">
            <v>Rutland</v>
          </cell>
          <cell r="E16875" t="str">
            <v>Voluntary Controlled School</v>
          </cell>
          <cell r="F16875" t="str">
            <v>Primary</v>
          </cell>
        </row>
        <row r="16876">
          <cell r="A16876">
            <v>8812039</v>
          </cell>
          <cell r="B16876">
            <v>114730</v>
          </cell>
          <cell r="C16876" t="str">
            <v>Langham Primary School</v>
          </cell>
          <cell r="D16876" t="str">
            <v>Essex</v>
          </cell>
          <cell r="E16876" t="str">
            <v>Community School</v>
          </cell>
          <cell r="F16876" t="str">
            <v>Primary</v>
          </cell>
        </row>
        <row r="16877">
          <cell r="A16877">
            <v>9262096</v>
          </cell>
          <cell r="B16877">
            <v>120825</v>
          </cell>
          <cell r="C16877" t="str">
            <v>Langham Village School</v>
          </cell>
          <cell r="D16877" t="str">
            <v>Norfolk</v>
          </cell>
          <cell r="E16877" t="str">
            <v>Community School</v>
          </cell>
          <cell r="F16877" t="str">
            <v>Primary</v>
          </cell>
        </row>
        <row r="16878">
          <cell r="A16878">
            <v>8883302</v>
          </cell>
          <cell r="B16878">
            <v>119417</v>
          </cell>
          <cell r="C16878" t="str">
            <v>Langho and Billington St Leonards CofE Primary School</v>
          </cell>
          <cell r="D16878" t="str">
            <v>Lancashire</v>
          </cell>
          <cell r="E16878" t="str">
            <v>Voluntary Aided School</v>
          </cell>
          <cell r="F16878" t="str">
            <v>Primary</v>
          </cell>
        </row>
        <row r="16879">
          <cell r="A16879">
            <v>8262284</v>
          </cell>
          <cell r="B16879">
            <v>110354</v>
          </cell>
          <cell r="C16879" t="str">
            <v>Langland Community School</v>
          </cell>
          <cell r="D16879" t="str">
            <v>Milton Keynes</v>
          </cell>
          <cell r="E16879" t="str">
            <v>Community School</v>
          </cell>
          <cell r="F16879" t="str">
            <v>Primary</v>
          </cell>
        </row>
        <row r="16880">
          <cell r="A16880">
            <v>8792684</v>
          </cell>
          <cell r="B16880">
            <v>113308</v>
          </cell>
          <cell r="C16880" t="str">
            <v>Langley Community Infants' School</v>
          </cell>
          <cell r="D16880" t="str">
            <v>Plymouth</v>
          </cell>
          <cell r="E16880" t="str">
            <v>Community School</v>
          </cell>
          <cell r="F16880" t="str">
            <v>Primary</v>
          </cell>
        </row>
        <row r="16881">
          <cell r="A16881">
            <v>3922060</v>
          </cell>
          <cell r="B16881">
            <v>108591</v>
          </cell>
          <cell r="C16881" t="str">
            <v>Langley First School</v>
          </cell>
          <cell r="D16881" t="str">
            <v>North Tyneside</v>
          </cell>
          <cell r="E16881" t="str">
            <v>Community School</v>
          </cell>
          <cell r="F16881" t="str">
            <v>Primary</v>
          </cell>
        </row>
        <row r="16882">
          <cell r="A16882">
            <v>8653102</v>
          </cell>
          <cell r="B16882">
            <v>126334</v>
          </cell>
          <cell r="C16882" t="str">
            <v>Langley Fitzurse Church of England Primary School</v>
          </cell>
          <cell r="D16882" t="str">
            <v>Wiltshire</v>
          </cell>
          <cell r="E16882" t="str">
            <v>Voluntary Controlled School</v>
          </cell>
          <cell r="F16882" t="str">
            <v>Primary</v>
          </cell>
        </row>
        <row r="16883">
          <cell r="A16883">
            <v>8715405</v>
          </cell>
          <cell r="B16883">
            <v>110101</v>
          </cell>
          <cell r="C16883" t="str">
            <v>Langley Grammar School</v>
          </cell>
          <cell r="D16883" t="str">
            <v>Slough</v>
          </cell>
          <cell r="E16883" t="str">
            <v>Foundation School</v>
          </cell>
          <cell r="F16883" t="str">
            <v>Secondary</v>
          </cell>
        </row>
        <row r="16884">
          <cell r="A16884">
            <v>8715405</v>
          </cell>
          <cell r="B16884">
            <v>136521</v>
          </cell>
          <cell r="C16884" t="str">
            <v>Langley Grammar School</v>
          </cell>
          <cell r="D16884" t="str">
            <v>Slough</v>
          </cell>
          <cell r="E16884" t="str">
            <v>Academy Converters</v>
          </cell>
          <cell r="F16884" t="str">
            <v>Secondary</v>
          </cell>
        </row>
        <row r="16885">
          <cell r="A16885">
            <v>9382095</v>
          </cell>
          <cell r="B16885">
            <v>125869</v>
          </cell>
          <cell r="C16885" t="str">
            <v>Langley Green First School</v>
          </cell>
          <cell r="D16885" t="str">
            <v>West Sussex</v>
          </cell>
          <cell r="E16885" t="str">
            <v>Community School</v>
          </cell>
          <cell r="F16885" t="str">
            <v>Primary</v>
          </cell>
        </row>
        <row r="16886">
          <cell r="A16886">
            <v>9382022</v>
          </cell>
          <cell r="B16886">
            <v>125827</v>
          </cell>
          <cell r="C16886" t="str">
            <v>Langley Green Middle School</v>
          </cell>
          <cell r="D16886" t="str">
            <v>West Sussex</v>
          </cell>
          <cell r="E16886" t="str">
            <v>Community School</v>
          </cell>
          <cell r="F16886" t="str">
            <v>Middle Deemed Primary</v>
          </cell>
        </row>
        <row r="16887">
          <cell r="A16887">
            <v>9383358</v>
          </cell>
          <cell r="B16887">
            <v>133967</v>
          </cell>
          <cell r="C16887" t="str">
            <v>Langley Green Primary</v>
          </cell>
          <cell r="D16887" t="str">
            <v>West Sussex</v>
          </cell>
          <cell r="E16887" t="str">
            <v>Community School</v>
          </cell>
          <cell r="F16887" t="str">
            <v>Primary</v>
          </cell>
        </row>
        <row r="16888">
          <cell r="A16888">
            <v>8712000</v>
          </cell>
          <cell r="B16888">
            <v>136951</v>
          </cell>
          <cell r="C16888" t="str">
            <v>Langley Hall Primary Academy</v>
          </cell>
          <cell r="D16888" t="str">
            <v>Slough</v>
          </cell>
          <cell r="E16888" t="str">
            <v>Academy Free Schools</v>
          </cell>
          <cell r="F16888" t="str">
            <v>Primary</v>
          </cell>
        </row>
        <row r="16889">
          <cell r="A16889">
            <v>3334130</v>
          </cell>
          <cell r="B16889">
            <v>104017</v>
          </cell>
          <cell r="C16889" t="str">
            <v>Langley High School</v>
          </cell>
          <cell r="D16889" t="str">
            <v>Sandwell</v>
          </cell>
          <cell r="E16889" t="str">
            <v>Community School</v>
          </cell>
          <cell r="F16889" t="str">
            <v>Secondary</v>
          </cell>
        </row>
        <row r="16890">
          <cell r="A16890">
            <v>3544072</v>
          </cell>
          <cell r="B16890">
            <v>127451</v>
          </cell>
          <cell r="C16890" t="str">
            <v>Langley High School</v>
          </cell>
          <cell r="D16890" t="str">
            <v>Rochdale</v>
          </cell>
          <cell r="E16890" t="str">
            <v>Community School</v>
          </cell>
          <cell r="F16890" t="str">
            <v>Secondary</v>
          </cell>
        </row>
        <row r="16891">
          <cell r="A16891">
            <v>3332132</v>
          </cell>
          <cell r="B16891">
            <v>127160</v>
          </cell>
          <cell r="C16891" t="str">
            <v>Langley Infant School</v>
          </cell>
          <cell r="D16891" t="str">
            <v>Sandwell</v>
          </cell>
          <cell r="E16891" t="str">
            <v>Community School</v>
          </cell>
          <cell r="F16891" t="str">
            <v>Primary</v>
          </cell>
        </row>
        <row r="16892">
          <cell r="A16892">
            <v>8792680</v>
          </cell>
          <cell r="B16892">
            <v>113304</v>
          </cell>
          <cell r="C16892" t="str">
            <v>Langley Junior School</v>
          </cell>
          <cell r="D16892" t="str">
            <v>Plymouth</v>
          </cell>
          <cell r="E16892" t="str">
            <v>Community School</v>
          </cell>
          <cell r="F16892" t="str">
            <v>Primary</v>
          </cell>
        </row>
        <row r="16893">
          <cell r="A16893">
            <v>8942060</v>
          </cell>
          <cell r="B16893">
            <v>123376</v>
          </cell>
          <cell r="C16893" t="str">
            <v>Langley Junior School</v>
          </cell>
          <cell r="D16893" t="str">
            <v>Telford and Wrekin</v>
          </cell>
          <cell r="E16893" t="str">
            <v>Community School</v>
          </cell>
          <cell r="F16893" t="str">
            <v>Primary</v>
          </cell>
        </row>
        <row r="16894">
          <cell r="A16894">
            <v>3332130</v>
          </cell>
          <cell r="B16894">
            <v>127159</v>
          </cell>
          <cell r="C16894" t="str">
            <v>Langley Junior School</v>
          </cell>
          <cell r="D16894" t="str">
            <v>Sandwell</v>
          </cell>
          <cell r="E16894" t="str">
            <v>Community School</v>
          </cell>
          <cell r="F16894" t="str">
            <v>Primary</v>
          </cell>
        </row>
        <row r="16895">
          <cell r="A16895">
            <v>8303048</v>
          </cell>
          <cell r="B16895">
            <v>112827</v>
          </cell>
          <cell r="C16895" t="str">
            <v>Langley Mill CofE Infant School and Nursery</v>
          </cell>
          <cell r="D16895" t="str">
            <v>Derbyshire</v>
          </cell>
          <cell r="E16895" t="str">
            <v>Voluntary Controlled School</v>
          </cell>
          <cell r="F16895" t="str">
            <v>Primary</v>
          </cell>
        </row>
        <row r="16896">
          <cell r="A16896">
            <v>8302119</v>
          </cell>
          <cell r="B16896">
            <v>112558</v>
          </cell>
          <cell r="C16896" t="str">
            <v>Langley Mill Junior School</v>
          </cell>
          <cell r="D16896" t="str">
            <v>Derbyshire</v>
          </cell>
          <cell r="E16896" t="str">
            <v>Community School</v>
          </cell>
          <cell r="F16896" t="str">
            <v>Primary</v>
          </cell>
        </row>
        <row r="16897">
          <cell r="A16897">
            <v>8401025</v>
          </cell>
          <cell r="B16897">
            <v>113977</v>
          </cell>
          <cell r="C16897" t="str">
            <v>Langley Moor Nursery School</v>
          </cell>
          <cell r="D16897" t="str">
            <v>Durham</v>
          </cell>
          <cell r="E16897" t="str">
            <v>LA Nursery School</v>
          </cell>
          <cell r="F16897" t="str">
            <v>Nursery</v>
          </cell>
        </row>
        <row r="16898">
          <cell r="A16898">
            <v>8402455</v>
          </cell>
          <cell r="B16898">
            <v>114120</v>
          </cell>
          <cell r="C16898" t="str">
            <v>Langley Moor Primary School</v>
          </cell>
          <cell r="D16898" t="str">
            <v>Durham</v>
          </cell>
          <cell r="E16898" t="str">
            <v>Community School</v>
          </cell>
          <cell r="F16898" t="str">
            <v>Primary</v>
          </cell>
        </row>
        <row r="16899">
          <cell r="A16899">
            <v>8402729</v>
          </cell>
          <cell r="B16899">
            <v>114193</v>
          </cell>
          <cell r="C16899" t="str">
            <v>Langley Park Primary School</v>
          </cell>
          <cell r="D16899" t="str">
            <v>Durham</v>
          </cell>
          <cell r="E16899" t="str">
            <v>Community School</v>
          </cell>
          <cell r="F16899" t="str">
            <v>Primary</v>
          </cell>
        </row>
        <row r="16900">
          <cell r="A16900">
            <v>3055402</v>
          </cell>
          <cell r="B16900">
            <v>101668</v>
          </cell>
          <cell r="C16900" t="str">
            <v>Langley Park School for Boys</v>
          </cell>
          <cell r="D16900" t="str">
            <v>Bromley</v>
          </cell>
          <cell r="E16900" t="str">
            <v>Foundation School</v>
          </cell>
          <cell r="F16900" t="str">
            <v>Secondary</v>
          </cell>
        </row>
        <row r="16901">
          <cell r="A16901">
            <v>3055402</v>
          </cell>
          <cell r="B16901">
            <v>136586</v>
          </cell>
          <cell r="C16901" t="str">
            <v>Langley Park School for Boys</v>
          </cell>
          <cell r="D16901" t="str">
            <v>Bromley</v>
          </cell>
          <cell r="E16901" t="str">
            <v>Academy Converters</v>
          </cell>
          <cell r="F16901" t="str">
            <v>Secondary</v>
          </cell>
        </row>
        <row r="16902">
          <cell r="A16902">
            <v>3055412</v>
          </cell>
          <cell r="B16902">
            <v>101678</v>
          </cell>
          <cell r="C16902" t="str">
            <v>Langley Park School for Girls</v>
          </cell>
          <cell r="D16902" t="str">
            <v>Bromley</v>
          </cell>
          <cell r="E16902" t="str">
            <v>Foundation School</v>
          </cell>
          <cell r="F16902" t="str">
            <v>Secondary</v>
          </cell>
        </row>
        <row r="16903">
          <cell r="A16903">
            <v>3055412</v>
          </cell>
          <cell r="B16903">
            <v>137006</v>
          </cell>
          <cell r="C16903" t="str">
            <v>Langley Park School for Girls</v>
          </cell>
          <cell r="D16903" t="str">
            <v>Bromley</v>
          </cell>
          <cell r="E16903" t="str">
            <v>Academy Converters</v>
          </cell>
          <cell r="F16903" t="str">
            <v>Secondary</v>
          </cell>
        </row>
        <row r="16904">
          <cell r="A16904">
            <v>9266105</v>
          </cell>
          <cell r="B16904">
            <v>121236</v>
          </cell>
          <cell r="C16904" t="str">
            <v>Langley Preparatory School</v>
          </cell>
          <cell r="D16904" t="str">
            <v>Norfolk</v>
          </cell>
          <cell r="E16904" t="str">
            <v>Other Independent School</v>
          </cell>
          <cell r="F16904" t="str">
            <v>Not applicable</v>
          </cell>
        </row>
        <row r="16905">
          <cell r="A16905">
            <v>3332173</v>
          </cell>
          <cell r="B16905">
            <v>103978</v>
          </cell>
          <cell r="C16905" t="str">
            <v>Langley Primary School</v>
          </cell>
          <cell r="D16905" t="str">
            <v>Sandwell</v>
          </cell>
          <cell r="E16905" t="str">
            <v>Community School</v>
          </cell>
          <cell r="F16905" t="str">
            <v>Primary</v>
          </cell>
        </row>
        <row r="16906">
          <cell r="A16906">
            <v>3342091</v>
          </cell>
          <cell r="B16906">
            <v>104080</v>
          </cell>
          <cell r="C16906" t="str">
            <v>Langley Primary School</v>
          </cell>
          <cell r="D16906" t="str">
            <v>Solihull</v>
          </cell>
          <cell r="E16906" t="str">
            <v>Community School</v>
          </cell>
          <cell r="F16906" t="str">
            <v>Primary</v>
          </cell>
        </row>
        <row r="16907">
          <cell r="A16907">
            <v>3542045</v>
          </cell>
          <cell r="B16907">
            <v>105790</v>
          </cell>
          <cell r="C16907" t="str">
            <v>Langley Primary School</v>
          </cell>
          <cell r="D16907" t="str">
            <v>Rochdale</v>
          </cell>
          <cell r="E16907" t="str">
            <v>Community School</v>
          </cell>
          <cell r="F16907" t="str">
            <v>Primary</v>
          </cell>
        </row>
        <row r="16908">
          <cell r="A16908">
            <v>3307060</v>
          </cell>
          <cell r="B16908">
            <v>103630</v>
          </cell>
          <cell r="C16908" t="str">
            <v>Langley School</v>
          </cell>
          <cell r="D16908" t="str">
            <v>Birmingham</v>
          </cell>
          <cell r="E16908" t="str">
            <v>Community Special School</v>
          </cell>
          <cell r="F16908" t="str">
            <v>Special</v>
          </cell>
        </row>
        <row r="16909">
          <cell r="A16909">
            <v>9266005</v>
          </cell>
          <cell r="B16909">
            <v>121224</v>
          </cell>
          <cell r="C16909" t="str">
            <v>Langley School</v>
          </cell>
          <cell r="D16909" t="str">
            <v>Norfolk</v>
          </cell>
          <cell r="E16909" t="str">
            <v>Other Independent School</v>
          </cell>
          <cell r="F16909" t="str">
            <v>Not applicable</v>
          </cell>
        </row>
        <row r="16910">
          <cell r="A16910">
            <v>3807006</v>
          </cell>
          <cell r="B16910">
            <v>127749</v>
          </cell>
          <cell r="C16910" t="str">
            <v>Langley School</v>
          </cell>
          <cell r="D16910" t="str">
            <v>Bradford</v>
          </cell>
          <cell r="E16910" t="str">
            <v>Community Special School</v>
          </cell>
          <cell r="F16910" t="str">
            <v>Special</v>
          </cell>
        </row>
        <row r="16911">
          <cell r="A16911">
            <v>3344012</v>
          </cell>
          <cell r="B16911">
            <v>104108</v>
          </cell>
          <cell r="C16911" t="str">
            <v>Langley School, Specialist College for the Performing Arts, Languages and Training</v>
          </cell>
          <cell r="D16911" t="str">
            <v>Solihull</v>
          </cell>
          <cell r="E16911" t="str">
            <v>Community School</v>
          </cell>
          <cell r="F16911" t="str">
            <v>Secondary</v>
          </cell>
        </row>
        <row r="16912">
          <cell r="A16912">
            <v>3344012</v>
          </cell>
          <cell r="B16912">
            <v>137007</v>
          </cell>
          <cell r="C16912" t="str">
            <v>Langley School, Specialist College for the Performing Arts, Languages and Training</v>
          </cell>
          <cell r="D16912" t="str">
            <v>Solihull</v>
          </cell>
          <cell r="E16912" t="str">
            <v>Academy Converters</v>
          </cell>
          <cell r="F16912" t="str">
            <v>Secondary</v>
          </cell>
        </row>
        <row r="16913">
          <cell r="A16913">
            <v>8942035</v>
          </cell>
          <cell r="B16913">
            <v>134312</v>
          </cell>
          <cell r="C16913" t="str">
            <v>Langley St Leonard's Primary School</v>
          </cell>
          <cell r="D16913" t="str">
            <v>Telford and Wrekin</v>
          </cell>
          <cell r="E16913" t="str">
            <v>Community School</v>
          </cell>
          <cell r="F16913" t="str">
            <v>Primary</v>
          </cell>
        </row>
        <row r="16914">
          <cell r="A16914">
            <v>9194015</v>
          </cell>
          <cell r="B16914">
            <v>117508</v>
          </cell>
          <cell r="C16914" t="str">
            <v>Langleybury School</v>
          </cell>
          <cell r="D16914" t="str">
            <v>Hertfordshire</v>
          </cell>
          <cell r="E16914" t="str">
            <v>Community School</v>
          </cell>
          <cell r="F16914" t="str">
            <v>Secondary</v>
          </cell>
        </row>
        <row r="16915">
          <cell r="A16915">
            <v>8714086</v>
          </cell>
          <cell r="B16915">
            <v>110077</v>
          </cell>
          <cell r="C16915" t="str">
            <v>Langleywood School</v>
          </cell>
          <cell r="D16915" t="str">
            <v>Slough</v>
          </cell>
          <cell r="E16915" t="str">
            <v>Community School</v>
          </cell>
          <cell r="F16915" t="str">
            <v>Secondary</v>
          </cell>
        </row>
        <row r="16916">
          <cell r="A16916">
            <v>8552338</v>
          </cell>
          <cell r="B16916">
            <v>120064</v>
          </cell>
          <cell r="C16916" t="str">
            <v>Langmoor Primary School Oadby</v>
          </cell>
          <cell r="D16916" t="str">
            <v>Leicestershire</v>
          </cell>
          <cell r="E16916" t="str">
            <v>Community School</v>
          </cell>
          <cell r="F16916" t="str">
            <v>Primary</v>
          </cell>
        </row>
        <row r="16917">
          <cell r="A16917">
            <v>8452130</v>
          </cell>
          <cell r="B16917">
            <v>114457</v>
          </cell>
          <cell r="C16917" t="str">
            <v>Langney Primary School</v>
          </cell>
          <cell r="D16917" t="str">
            <v>East Sussex</v>
          </cell>
          <cell r="E16917" t="str">
            <v>Community School</v>
          </cell>
          <cell r="F16917" t="str">
            <v>Primary</v>
          </cell>
        </row>
        <row r="16918">
          <cell r="A16918">
            <v>8913294</v>
          </cell>
          <cell r="B16918">
            <v>132814</v>
          </cell>
          <cell r="C16918" t="str">
            <v>Langold Dyscarr Community School</v>
          </cell>
          <cell r="D16918" t="str">
            <v>Nottinghamshire</v>
          </cell>
          <cell r="E16918" t="str">
            <v>Community School</v>
          </cell>
          <cell r="F16918" t="str">
            <v>Primary</v>
          </cell>
        </row>
        <row r="16919">
          <cell r="A16919">
            <v>8912763</v>
          </cell>
          <cell r="B16919">
            <v>122649</v>
          </cell>
          <cell r="C16919" t="str">
            <v>Langold Dyscarr Infant and Nursery School</v>
          </cell>
          <cell r="D16919" t="str">
            <v>Nottinghamshire</v>
          </cell>
          <cell r="E16919" t="str">
            <v>Community School</v>
          </cell>
          <cell r="F16919" t="str">
            <v>Primary</v>
          </cell>
        </row>
        <row r="16920">
          <cell r="A16920">
            <v>8912762</v>
          </cell>
          <cell r="B16920">
            <v>122648</v>
          </cell>
          <cell r="C16920" t="str">
            <v>Langold Dyscarr Junior School</v>
          </cell>
          <cell r="D16920" t="str">
            <v>Nottinghamshire</v>
          </cell>
          <cell r="E16920" t="str">
            <v>Community School</v>
          </cell>
          <cell r="F16920" t="str">
            <v>Primary</v>
          </cell>
        </row>
        <row r="16921">
          <cell r="A16921">
            <v>8502125</v>
          </cell>
          <cell r="B16921">
            <v>115924</v>
          </cell>
          <cell r="C16921" t="str">
            <v>Langrish Primary School</v>
          </cell>
          <cell r="D16921" t="str">
            <v>Hampshire</v>
          </cell>
          <cell r="E16921" t="str">
            <v>Community School</v>
          </cell>
          <cell r="F16921" t="str">
            <v>Primary</v>
          </cell>
        </row>
        <row r="16922">
          <cell r="A16922">
            <v>9362925</v>
          </cell>
          <cell r="B16922">
            <v>125104</v>
          </cell>
          <cell r="C16922" t="str">
            <v>Langshott Infant School</v>
          </cell>
          <cell r="D16922" t="str">
            <v>Surrey</v>
          </cell>
          <cell r="E16922" t="str">
            <v>Community School</v>
          </cell>
          <cell r="F16922" t="str">
            <v>Primary</v>
          </cell>
        </row>
        <row r="16923">
          <cell r="A16923">
            <v>8366002</v>
          </cell>
          <cell r="B16923">
            <v>113934</v>
          </cell>
          <cell r="C16923" t="str">
            <v>Langside School</v>
          </cell>
          <cell r="D16923" t="str">
            <v>Poole</v>
          </cell>
          <cell r="E16923" t="str">
            <v>Independent School Approved for SEN Pupils</v>
          </cell>
          <cell r="F16923" t="str">
            <v>Not applicable</v>
          </cell>
        </row>
        <row r="16924">
          <cell r="A16924">
            <v>8367016</v>
          </cell>
          <cell r="B16924">
            <v>133740</v>
          </cell>
          <cell r="C16924" t="str">
            <v>Langside School</v>
          </cell>
          <cell r="D16924" t="str">
            <v>Poole</v>
          </cell>
          <cell r="E16924" t="str">
            <v>Non-Maintained Special School</v>
          </cell>
          <cell r="F16924" t="str">
            <v>Special</v>
          </cell>
        </row>
        <row r="16925">
          <cell r="A16925">
            <v>8512694</v>
          </cell>
          <cell r="B16925">
            <v>116207</v>
          </cell>
          <cell r="C16925" t="str">
            <v>Langstone Infant School</v>
          </cell>
          <cell r="D16925" t="str">
            <v>Portsmouth</v>
          </cell>
          <cell r="E16925" t="str">
            <v>Community School</v>
          </cell>
          <cell r="F16925" t="str">
            <v>Primary</v>
          </cell>
        </row>
        <row r="16926">
          <cell r="A16926">
            <v>8512700</v>
          </cell>
          <cell r="B16926">
            <v>116213</v>
          </cell>
          <cell r="C16926" t="str">
            <v>Langstone Junior School</v>
          </cell>
          <cell r="D16926" t="str">
            <v>Portsmouth</v>
          </cell>
          <cell r="E16926" t="str">
            <v>Community School</v>
          </cell>
          <cell r="F16926" t="str">
            <v>Primary</v>
          </cell>
        </row>
        <row r="16927">
          <cell r="A16927">
            <v>6802209</v>
          </cell>
          <cell r="B16927">
            <v>401534</v>
          </cell>
          <cell r="C16927" t="str">
            <v>Langstone Primary School</v>
          </cell>
          <cell r="D16927" t="str">
            <v>Newport</v>
          </cell>
          <cell r="E16927" t="str">
            <v>Welsh Establishment</v>
          </cell>
          <cell r="F16927" t="str">
            <v>Primary</v>
          </cell>
        </row>
        <row r="16928">
          <cell r="A16928">
            <v>8112737</v>
          </cell>
          <cell r="B16928">
            <v>117857</v>
          </cell>
          <cell r="C16928" t="str">
            <v>Langtoft Primary School</v>
          </cell>
          <cell r="D16928" t="str">
            <v>East Riding of Yorkshire</v>
          </cell>
          <cell r="E16928" t="str">
            <v>Community School</v>
          </cell>
          <cell r="F16928" t="str">
            <v>Primary</v>
          </cell>
        </row>
        <row r="16929">
          <cell r="A16929">
            <v>9252028</v>
          </cell>
          <cell r="B16929">
            <v>120381</v>
          </cell>
          <cell r="C16929" t="str">
            <v>Langtoft Primary School</v>
          </cell>
          <cell r="D16929" t="str">
            <v>Lincolnshire</v>
          </cell>
          <cell r="E16929" t="str">
            <v>Community School</v>
          </cell>
          <cell r="F16929" t="str">
            <v>Primary</v>
          </cell>
        </row>
        <row r="16930">
          <cell r="A16930">
            <v>8862482</v>
          </cell>
          <cell r="B16930">
            <v>118465</v>
          </cell>
          <cell r="C16930" t="str">
            <v>Langton Green Primary School</v>
          </cell>
          <cell r="D16930" t="str">
            <v>Kent</v>
          </cell>
          <cell r="E16930" t="str">
            <v>Community School</v>
          </cell>
          <cell r="F16930" t="str">
            <v>Primary</v>
          </cell>
        </row>
        <row r="16931">
          <cell r="A16931">
            <v>9126141</v>
          </cell>
          <cell r="B16931">
            <v>128806</v>
          </cell>
          <cell r="C16931" t="str">
            <v>Langton House School</v>
          </cell>
          <cell r="D16931" t="str">
            <v>Pre LGR (1997) Dorset</v>
          </cell>
          <cell r="E16931" t="str">
            <v>Other Independent School</v>
          </cell>
          <cell r="F16931" t="str">
            <v>Not applicable</v>
          </cell>
        </row>
        <row r="16932">
          <cell r="A16932">
            <v>8152404</v>
          </cell>
          <cell r="B16932">
            <v>121452</v>
          </cell>
          <cell r="C16932" t="str">
            <v>Langton Primary School</v>
          </cell>
          <cell r="D16932" t="str">
            <v>North Yorkshire</v>
          </cell>
          <cell r="E16932" t="str">
            <v>Community School</v>
          </cell>
          <cell r="F16932" t="str">
            <v>Primary</v>
          </cell>
        </row>
        <row r="16933">
          <cell r="A16933">
            <v>3112019</v>
          </cell>
          <cell r="B16933">
            <v>102280</v>
          </cell>
          <cell r="C16933" t="str">
            <v>Langtons Infant School</v>
          </cell>
          <cell r="D16933" t="str">
            <v>Havering</v>
          </cell>
          <cell r="E16933" t="str">
            <v>Community School</v>
          </cell>
          <cell r="F16933" t="str">
            <v>Primary</v>
          </cell>
        </row>
        <row r="16934">
          <cell r="A16934">
            <v>3112018</v>
          </cell>
          <cell r="B16934">
            <v>102279</v>
          </cell>
          <cell r="C16934" t="str">
            <v>Langtons Junior School</v>
          </cell>
          <cell r="D16934" t="str">
            <v>Havering</v>
          </cell>
          <cell r="E16934" t="str">
            <v>Community School</v>
          </cell>
          <cell r="F16934" t="str">
            <v>Primary</v>
          </cell>
        </row>
        <row r="16935">
          <cell r="A16935">
            <v>8782237</v>
          </cell>
          <cell r="B16935">
            <v>113160</v>
          </cell>
          <cell r="C16935" t="str">
            <v>Langtree Community School and Nursery Unit</v>
          </cell>
          <cell r="D16935" t="str">
            <v>Devon</v>
          </cell>
          <cell r="E16935" t="str">
            <v>Community School</v>
          </cell>
          <cell r="F16935" t="str">
            <v>Primary</v>
          </cell>
        </row>
        <row r="16936">
          <cell r="A16936">
            <v>9314094</v>
          </cell>
          <cell r="B16936">
            <v>123246</v>
          </cell>
          <cell r="C16936" t="str">
            <v>Langtree School</v>
          </cell>
          <cell r="D16936" t="str">
            <v>Oxfordshire</v>
          </cell>
          <cell r="E16936" t="str">
            <v>Community School</v>
          </cell>
          <cell r="F16936" t="str">
            <v>Secondary</v>
          </cell>
        </row>
        <row r="16937">
          <cell r="A16937">
            <v>8101109</v>
          </cell>
          <cell r="B16937">
            <v>117710</v>
          </cell>
          <cell r="C16937" t="str">
            <v>Language Unit</v>
          </cell>
          <cell r="D16937" t="str">
            <v>Kingston upon Hull City of</v>
          </cell>
          <cell r="E16937" t="str">
            <v>Pupil Referral Unit</v>
          </cell>
          <cell r="F16937" t="str">
            <v>PRU</v>
          </cell>
        </row>
        <row r="16938">
          <cell r="A16938">
            <v>9093021</v>
          </cell>
          <cell r="B16938">
            <v>112255</v>
          </cell>
          <cell r="C16938" t="str">
            <v>Langwathby CofE Primary School</v>
          </cell>
          <cell r="D16938" t="str">
            <v>Cumbria</v>
          </cell>
          <cell r="E16938" t="str">
            <v>Voluntary Controlled School</v>
          </cell>
          <cell r="F16938" t="str">
            <v>Primary</v>
          </cell>
        </row>
        <row r="16939">
          <cell r="A16939">
            <v>8302212</v>
          </cell>
          <cell r="B16939">
            <v>112616</v>
          </cell>
          <cell r="C16939" t="str">
            <v>Langwith Bassett Primary School</v>
          </cell>
          <cell r="D16939" t="str">
            <v>Derbyshire</v>
          </cell>
          <cell r="E16939" t="str">
            <v>Community School</v>
          </cell>
          <cell r="F16939" t="str">
            <v>Primary</v>
          </cell>
        </row>
        <row r="16940">
          <cell r="A16940">
            <v>3552008</v>
          </cell>
          <cell r="B16940">
            <v>105885</v>
          </cell>
          <cell r="C16940" t="str">
            <v>Langworthy Road Primary School</v>
          </cell>
          <cell r="D16940" t="str">
            <v>Salford</v>
          </cell>
          <cell r="E16940" t="str">
            <v>Community School</v>
          </cell>
          <cell r="F16940" t="str">
            <v>Primary</v>
          </cell>
        </row>
        <row r="16941">
          <cell r="A16941">
            <v>8786035</v>
          </cell>
          <cell r="B16941">
            <v>113610</v>
          </cell>
          <cell r="C16941" t="str">
            <v>Lanherne School</v>
          </cell>
          <cell r="D16941" t="str">
            <v>Devon</v>
          </cell>
          <cell r="E16941" t="str">
            <v>Other Independent School</v>
          </cell>
          <cell r="F16941" t="str">
            <v>Not applicable</v>
          </cell>
        </row>
        <row r="16942">
          <cell r="A16942">
            <v>9082506</v>
          </cell>
          <cell r="B16942">
            <v>111913</v>
          </cell>
          <cell r="C16942" t="str">
            <v>Lanivet Community Primary School</v>
          </cell>
          <cell r="D16942" t="str">
            <v>Cornwall</v>
          </cell>
          <cell r="E16942" t="str">
            <v>Community School</v>
          </cell>
          <cell r="F16942" t="str">
            <v>Primary</v>
          </cell>
        </row>
        <row r="16943">
          <cell r="A16943">
            <v>9082508</v>
          </cell>
          <cell r="B16943">
            <v>111915</v>
          </cell>
          <cell r="C16943" t="str">
            <v>Lanlivery Community Primary School</v>
          </cell>
          <cell r="D16943" t="str">
            <v>Cornwall</v>
          </cell>
          <cell r="E16943" t="str">
            <v>Community School</v>
          </cell>
          <cell r="F16943" t="str">
            <v>Primary</v>
          </cell>
        </row>
        <row r="16944">
          <cell r="A16944">
            <v>9082209</v>
          </cell>
          <cell r="B16944">
            <v>111837</v>
          </cell>
          <cell r="C16944" t="str">
            <v>Lanner Primary School</v>
          </cell>
          <cell r="D16944" t="str">
            <v>Cornwall</v>
          </cell>
          <cell r="E16944" t="str">
            <v>Community School</v>
          </cell>
          <cell r="F16944" t="str">
            <v>Primary</v>
          </cell>
        </row>
        <row r="16945">
          <cell r="A16945">
            <v>9192449</v>
          </cell>
          <cell r="B16945">
            <v>117350</v>
          </cell>
          <cell r="C16945" t="str">
            <v>Lannock Primary School</v>
          </cell>
          <cell r="D16945" t="str">
            <v>Hertfordshire</v>
          </cell>
          <cell r="E16945" t="str">
            <v>Community School</v>
          </cell>
          <cell r="F16945" t="str">
            <v>Primary</v>
          </cell>
        </row>
        <row r="16946">
          <cell r="A16946">
            <v>9083211</v>
          </cell>
          <cell r="B16946">
            <v>111993</v>
          </cell>
          <cell r="C16946" t="str">
            <v>Lanreath CofE VC Primary School</v>
          </cell>
          <cell r="D16946" t="str">
            <v>Cornwall</v>
          </cell>
          <cell r="E16946" t="str">
            <v>Voluntary Controlled School</v>
          </cell>
          <cell r="F16946" t="str">
            <v>Primary</v>
          </cell>
        </row>
        <row r="16947">
          <cell r="A16947">
            <v>3427008</v>
          </cell>
          <cell r="B16947">
            <v>134865</v>
          </cell>
          <cell r="C16947" t="str">
            <v>Lansbury Bridge School</v>
          </cell>
          <cell r="D16947" t="str">
            <v>St. Helens</v>
          </cell>
          <cell r="E16947" t="str">
            <v>Community Special School</v>
          </cell>
          <cell r="F16947" t="str">
            <v>Special</v>
          </cell>
        </row>
        <row r="16948">
          <cell r="A16948">
            <v>2112004</v>
          </cell>
          <cell r="B16948">
            <v>133574</v>
          </cell>
          <cell r="C16948" t="str">
            <v>Lansbury Lawrence Primary School</v>
          </cell>
          <cell r="D16948" t="str">
            <v>Tower Hamlets</v>
          </cell>
          <cell r="E16948" t="str">
            <v>Community School</v>
          </cell>
          <cell r="F16948" t="str">
            <v>Primary</v>
          </cell>
        </row>
        <row r="16949">
          <cell r="A16949">
            <v>6762267</v>
          </cell>
          <cell r="B16949">
            <v>401346</v>
          </cell>
          <cell r="C16949" t="str">
            <v>Lansbury Park Infant School</v>
          </cell>
          <cell r="D16949" t="str">
            <v>Caerphilly</v>
          </cell>
          <cell r="E16949" t="str">
            <v>Welsh Establishment</v>
          </cell>
          <cell r="F16949" t="str">
            <v>Primary</v>
          </cell>
        </row>
        <row r="16950">
          <cell r="A16950">
            <v>6762265</v>
          </cell>
          <cell r="B16950">
            <v>401345</v>
          </cell>
          <cell r="C16950" t="str">
            <v>Lansbury Park Junior School</v>
          </cell>
          <cell r="D16950" t="str">
            <v>Caerphilly</v>
          </cell>
          <cell r="E16950" t="str">
            <v>Welsh Establishment</v>
          </cell>
          <cell r="F16950" t="str">
            <v>Primary</v>
          </cell>
        </row>
        <row r="16951">
          <cell r="A16951">
            <v>3167002</v>
          </cell>
          <cell r="B16951">
            <v>127006</v>
          </cell>
          <cell r="C16951" t="str">
            <v>Lansbury School</v>
          </cell>
          <cell r="D16951" t="str">
            <v>Newham</v>
          </cell>
          <cell r="E16951" t="str">
            <v>Community Special School</v>
          </cell>
          <cell r="F16951" t="str">
            <v>Special</v>
          </cell>
        </row>
        <row r="16952">
          <cell r="A16952">
            <v>8001101</v>
          </cell>
          <cell r="B16952">
            <v>133755</v>
          </cell>
          <cell r="C16952" t="str">
            <v>Lansdown Tuition Centre</v>
          </cell>
          <cell r="D16952" t="str">
            <v>Bath and North East Somerset</v>
          </cell>
          <cell r="E16952" t="str">
            <v>Pupil Referral Unit</v>
          </cell>
          <cell r="F16952" t="str">
            <v>PRU</v>
          </cell>
        </row>
        <row r="16953">
          <cell r="A16953">
            <v>8459900</v>
          </cell>
          <cell r="B16953">
            <v>133152</v>
          </cell>
          <cell r="C16953" t="str">
            <v>Lansdowne Ch</v>
          </cell>
          <cell r="D16953" t="str">
            <v>East Sussex</v>
          </cell>
          <cell r="E16953" t="str">
            <v>Secure Units</v>
          </cell>
          <cell r="F16953" t="str">
            <v>Not applicable</v>
          </cell>
        </row>
        <row r="16954">
          <cell r="A16954">
            <v>845611</v>
          </cell>
          <cell r="B16954">
            <v>128922</v>
          </cell>
          <cell r="C16954" t="str">
            <v>Lansdowne Children's Centre</v>
          </cell>
          <cell r="D16954" t="str">
            <v>East Sussex</v>
          </cell>
          <cell r="E16954" t="str">
            <v>Secure Units</v>
          </cell>
          <cell r="F16954" t="str">
            <v>Not applicable</v>
          </cell>
        </row>
        <row r="16955">
          <cell r="A16955">
            <v>2136389</v>
          </cell>
          <cell r="B16955">
            <v>100536</v>
          </cell>
          <cell r="C16955" t="str">
            <v>Lansdowne College</v>
          </cell>
          <cell r="D16955" t="str">
            <v>Westminster</v>
          </cell>
          <cell r="E16955" t="str">
            <v>Other Independent School</v>
          </cell>
          <cell r="F16955" t="str">
            <v>Not applicable</v>
          </cell>
        </row>
        <row r="16956">
          <cell r="A16956">
            <v>8602128</v>
          </cell>
          <cell r="B16956">
            <v>124039</v>
          </cell>
          <cell r="C16956" t="str">
            <v>Lansdowne Infants' School</v>
          </cell>
          <cell r="D16956" t="str">
            <v>Staffordshire</v>
          </cell>
          <cell r="E16956" t="str">
            <v>Foundation School</v>
          </cell>
          <cell r="F16956" t="str">
            <v>Primary</v>
          </cell>
        </row>
        <row r="16957">
          <cell r="A16957">
            <v>9342139</v>
          </cell>
          <cell r="B16957">
            <v>129871</v>
          </cell>
          <cell r="C16957" t="str">
            <v>Lansdowne Junior School</v>
          </cell>
          <cell r="D16957" t="str">
            <v>Pre LGR (1997) Staffordshire</v>
          </cell>
          <cell r="E16957" t="str">
            <v>Community School</v>
          </cell>
          <cell r="F16957" t="str">
            <v>Primary</v>
          </cell>
        </row>
        <row r="16958">
          <cell r="A16958">
            <v>8832552</v>
          </cell>
          <cell r="B16958">
            <v>114890</v>
          </cell>
          <cell r="C16958" t="str">
            <v>Lansdowne Primary School</v>
          </cell>
          <cell r="D16958" t="str">
            <v>Thurrock</v>
          </cell>
          <cell r="E16958" t="str">
            <v>Community School</v>
          </cell>
          <cell r="F16958" t="str">
            <v>Primary</v>
          </cell>
        </row>
        <row r="16959">
          <cell r="A16959">
            <v>8862516</v>
          </cell>
          <cell r="B16959">
            <v>118485</v>
          </cell>
          <cell r="C16959" t="str">
            <v>Lansdowne Primary School</v>
          </cell>
          <cell r="D16959" t="str">
            <v>Kent</v>
          </cell>
          <cell r="E16959" t="str">
            <v>Community School</v>
          </cell>
          <cell r="F16959" t="str">
            <v>Primary</v>
          </cell>
        </row>
        <row r="16960">
          <cell r="A16960">
            <v>6812033</v>
          </cell>
          <cell r="B16960">
            <v>401576</v>
          </cell>
          <cell r="C16960" t="str">
            <v>Lansdowne Primary School</v>
          </cell>
          <cell r="D16960" t="str">
            <v>Cardiff</v>
          </cell>
          <cell r="E16960" t="str">
            <v>Welsh Establishment</v>
          </cell>
          <cell r="F16960" t="str">
            <v>Primary</v>
          </cell>
        </row>
        <row r="16961">
          <cell r="A16961">
            <v>2087001</v>
          </cell>
          <cell r="B16961">
            <v>100654</v>
          </cell>
          <cell r="C16961" t="str">
            <v>Lansdowne School</v>
          </cell>
          <cell r="D16961" t="str">
            <v>Lambeth</v>
          </cell>
          <cell r="E16961" t="str">
            <v>Community Special School</v>
          </cell>
          <cell r="F16961" t="str">
            <v>Special</v>
          </cell>
        </row>
        <row r="16962">
          <cell r="A16962">
            <v>8912731</v>
          </cell>
          <cell r="B16962">
            <v>122636</v>
          </cell>
          <cell r="C16962" t="str">
            <v>Lantern Lane Primary and Nursery School</v>
          </cell>
          <cell r="D16962" t="str">
            <v>Nottinghamshire</v>
          </cell>
          <cell r="E16962" t="str">
            <v>Community School</v>
          </cell>
          <cell r="F16962" t="str">
            <v>Primary</v>
          </cell>
        </row>
        <row r="16963">
          <cell r="A16963">
            <v>3206501</v>
          </cell>
          <cell r="B16963">
            <v>132848</v>
          </cell>
          <cell r="C16963" t="str">
            <v>Lantern of Knowledge Secondary School</v>
          </cell>
          <cell r="D16963" t="str">
            <v>Waltham Forest</v>
          </cell>
          <cell r="E16963" t="str">
            <v>Other Independent School</v>
          </cell>
          <cell r="F16963" t="str">
            <v>Not applicable</v>
          </cell>
        </row>
        <row r="16964">
          <cell r="A16964">
            <v>8501005</v>
          </cell>
          <cell r="B16964">
            <v>134844</v>
          </cell>
          <cell r="C16964" t="str">
            <v>Lanterns Children's Centre</v>
          </cell>
          <cell r="D16964" t="str">
            <v>Hampshire</v>
          </cell>
          <cell r="E16964" t="str">
            <v>LA Nursery School</v>
          </cell>
          <cell r="F16964" t="str">
            <v>Nursery</v>
          </cell>
        </row>
        <row r="16965">
          <cell r="A16965">
            <v>3804009</v>
          </cell>
          <cell r="B16965">
            <v>107355</v>
          </cell>
          <cell r="C16965" t="str">
            <v>Lapage Middle School</v>
          </cell>
          <cell r="D16965" t="str">
            <v>Bradford</v>
          </cell>
          <cell r="E16965" t="str">
            <v>Community School</v>
          </cell>
          <cell r="F16965" t="str">
            <v>Middle Deemed Secondary</v>
          </cell>
        </row>
        <row r="16966">
          <cell r="A16966">
            <v>3802041</v>
          </cell>
          <cell r="B16966">
            <v>107211</v>
          </cell>
          <cell r="C16966" t="str">
            <v>Lapage Primary School and Nursery</v>
          </cell>
          <cell r="D16966" t="str">
            <v>Bradford</v>
          </cell>
          <cell r="E16966" t="str">
            <v>Community School</v>
          </cell>
          <cell r="F16966" t="str">
            <v>Primary</v>
          </cell>
        </row>
        <row r="16967">
          <cell r="A16967">
            <v>3322107</v>
          </cell>
          <cell r="B16967">
            <v>103797</v>
          </cell>
          <cell r="C16967" t="str">
            <v>Lapal Primary School</v>
          </cell>
          <cell r="D16967" t="str">
            <v>Dudley</v>
          </cell>
          <cell r="E16967" t="str">
            <v>Community School</v>
          </cell>
          <cell r="F16967" t="str">
            <v>Primary</v>
          </cell>
        </row>
        <row r="16968">
          <cell r="A16968">
            <v>8782260</v>
          </cell>
          <cell r="B16968">
            <v>113182</v>
          </cell>
          <cell r="C16968" t="str">
            <v>Lapford Community Primary School</v>
          </cell>
          <cell r="D16968" t="str">
            <v>Devon</v>
          </cell>
          <cell r="E16968" t="str">
            <v>Community School</v>
          </cell>
          <cell r="F16968" t="str">
            <v>Primary</v>
          </cell>
        </row>
        <row r="16969">
          <cell r="A16969">
            <v>9112051</v>
          </cell>
          <cell r="B16969">
            <v>128688</v>
          </cell>
          <cell r="C16969" t="str">
            <v>Lapford Primary School</v>
          </cell>
          <cell r="D16969" t="str">
            <v>Pre LGR (1998) Devon</v>
          </cell>
          <cell r="E16969" t="str">
            <v>Community School</v>
          </cell>
          <cell r="F16969" t="str">
            <v>Primary</v>
          </cell>
        </row>
        <row r="16970">
          <cell r="A16970">
            <v>9373147</v>
          </cell>
          <cell r="B16970">
            <v>125662</v>
          </cell>
          <cell r="C16970" t="str">
            <v>Lapworth CofE Primary School</v>
          </cell>
          <cell r="D16970" t="str">
            <v>Warwickshire</v>
          </cell>
          <cell r="E16970" t="str">
            <v>Voluntary Controlled School</v>
          </cell>
          <cell r="F16970" t="str">
            <v>Primary</v>
          </cell>
        </row>
        <row r="16971">
          <cell r="A16971">
            <v>9356082</v>
          </cell>
          <cell r="B16971">
            <v>134480</v>
          </cell>
          <cell r="C16971" t="str">
            <v>Larchcroft School</v>
          </cell>
          <cell r="D16971" t="str">
            <v>Suffolk</v>
          </cell>
          <cell r="E16971" t="str">
            <v>Other Independent School</v>
          </cell>
          <cell r="F16971" t="str">
            <v>Not applicable</v>
          </cell>
        </row>
        <row r="16972">
          <cell r="A16972">
            <v>8881109</v>
          </cell>
          <cell r="B16972">
            <v>119112</v>
          </cell>
          <cell r="C16972" t="str">
            <v>Larches House School</v>
          </cell>
          <cell r="D16972" t="str">
            <v>Lancashire</v>
          </cell>
          <cell r="E16972" t="str">
            <v>Pupil Referral Unit</v>
          </cell>
          <cell r="F16972" t="str">
            <v>PRU</v>
          </cell>
        </row>
        <row r="16973">
          <cell r="A16973">
            <v>9237800</v>
          </cell>
          <cell r="B16973">
            <v>132903</v>
          </cell>
          <cell r="C16973" t="str">
            <v>Larches House Special School</v>
          </cell>
          <cell r="D16973" t="str">
            <v>Pre LGR (1998) Lancashire</v>
          </cell>
          <cell r="E16973" t="str">
            <v>Miscellaneous</v>
          </cell>
          <cell r="F16973" t="str">
            <v>Not applicable</v>
          </cell>
        </row>
        <row r="16974">
          <cell r="A16974">
            <v>9032076</v>
          </cell>
          <cell r="B16974">
            <v>128275</v>
          </cell>
          <cell r="C16974" t="str">
            <v>Larchfield County Infant School</v>
          </cell>
          <cell r="D16974" t="str">
            <v>Pre LGR (1998) Berkshire</v>
          </cell>
          <cell r="E16974" t="str">
            <v>Community School</v>
          </cell>
          <cell r="F16974" t="str">
            <v>Primary</v>
          </cell>
        </row>
        <row r="16975">
          <cell r="A16975">
            <v>9032073</v>
          </cell>
          <cell r="B16975">
            <v>128274</v>
          </cell>
          <cell r="C16975" t="str">
            <v>Larchfield Junior School</v>
          </cell>
          <cell r="D16975" t="str">
            <v>Pre LGR (1998) Berkshire</v>
          </cell>
          <cell r="E16975" t="str">
            <v>Community School</v>
          </cell>
          <cell r="F16975" t="str">
            <v>Primary</v>
          </cell>
        </row>
        <row r="16976">
          <cell r="A16976">
            <v>8682247</v>
          </cell>
          <cell r="B16976">
            <v>109938</v>
          </cell>
          <cell r="C16976" t="str">
            <v>Larchfield Primary and Nursery School</v>
          </cell>
          <cell r="D16976" t="str">
            <v>Windsor and Maidenhead</v>
          </cell>
          <cell r="E16976" t="str">
            <v>Community School</v>
          </cell>
          <cell r="F16976" t="str">
            <v>Primary</v>
          </cell>
        </row>
        <row r="16977">
          <cell r="A16977">
            <v>8812009</v>
          </cell>
          <cell r="B16977">
            <v>131649</v>
          </cell>
          <cell r="C16977" t="str">
            <v>Larchwood Primary School</v>
          </cell>
          <cell r="D16977" t="str">
            <v>Essex</v>
          </cell>
          <cell r="E16977" t="str">
            <v>Community School</v>
          </cell>
          <cell r="F16977" t="str">
            <v>Primary</v>
          </cell>
        </row>
        <row r="16978">
          <cell r="A16978">
            <v>8602298</v>
          </cell>
          <cell r="B16978">
            <v>124134</v>
          </cell>
          <cell r="C16978" t="str">
            <v>Lark Hall Community Infant School</v>
          </cell>
          <cell r="D16978" t="str">
            <v>Staffordshire</v>
          </cell>
          <cell r="E16978" t="str">
            <v>Community School</v>
          </cell>
          <cell r="F16978" t="str">
            <v>Primary</v>
          </cell>
        </row>
        <row r="16979">
          <cell r="A16979">
            <v>2082369</v>
          </cell>
          <cell r="B16979">
            <v>100575</v>
          </cell>
          <cell r="C16979" t="str">
            <v>Lark Hall Junior School and Centre for Pupils With Autism</v>
          </cell>
          <cell r="D16979" t="str">
            <v>Lambeth</v>
          </cell>
          <cell r="E16979" t="str">
            <v>Community School</v>
          </cell>
          <cell r="F16979" t="str">
            <v>Primary</v>
          </cell>
        </row>
        <row r="16980">
          <cell r="A16980">
            <v>2082371</v>
          </cell>
          <cell r="B16980">
            <v>100576</v>
          </cell>
          <cell r="C16980" t="str">
            <v>Lark Hall Primary School (Including Lark Hall Centre for Pupils with Autism)</v>
          </cell>
          <cell r="D16980" t="str">
            <v>Lambeth</v>
          </cell>
          <cell r="E16980" t="str">
            <v>Community School</v>
          </cell>
          <cell r="F16980" t="str">
            <v>Primary</v>
          </cell>
        </row>
        <row r="16981">
          <cell r="A16981">
            <v>3552098</v>
          </cell>
          <cell r="B16981">
            <v>132147</v>
          </cell>
          <cell r="C16981" t="str">
            <v>Lark Hill Community Primary School</v>
          </cell>
          <cell r="D16981" t="str">
            <v>Salford</v>
          </cell>
          <cell r="E16981" t="str">
            <v>Community School</v>
          </cell>
          <cell r="F16981" t="str">
            <v>Primary</v>
          </cell>
        </row>
        <row r="16982">
          <cell r="A16982">
            <v>3561003</v>
          </cell>
          <cell r="B16982">
            <v>106016</v>
          </cell>
          <cell r="C16982" t="str">
            <v>Lark Hill Nursery School</v>
          </cell>
          <cell r="D16982" t="str">
            <v>Stockport</v>
          </cell>
          <cell r="E16982" t="str">
            <v>LA Nursery School</v>
          </cell>
          <cell r="F16982" t="str">
            <v>Nursery</v>
          </cell>
        </row>
        <row r="16983">
          <cell r="A16983">
            <v>3562052</v>
          </cell>
          <cell r="B16983">
            <v>106056</v>
          </cell>
          <cell r="C16983" t="str">
            <v>Lark Hill Primary School</v>
          </cell>
          <cell r="D16983" t="str">
            <v>Stockport</v>
          </cell>
          <cell r="E16983" t="str">
            <v>Community School</v>
          </cell>
          <cell r="F16983" t="str">
            <v>Primary</v>
          </cell>
        </row>
        <row r="16984">
          <cell r="A16984">
            <v>8232217</v>
          </cell>
          <cell r="B16984">
            <v>136345</v>
          </cell>
          <cell r="C16984" t="str">
            <v>Lark Rise Academy</v>
          </cell>
          <cell r="D16984" t="str">
            <v>Central Bedfordshire</v>
          </cell>
          <cell r="E16984" t="str">
            <v>Academy Converters</v>
          </cell>
          <cell r="F16984" t="str">
            <v>Primary</v>
          </cell>
        </row>
        <row r="16985">
          <cell r="A16985">
            <v>8232217</v>
          </cell>
          <cell r="B16985">
            <v>109528</v>
          </cell>
          <cell r="C16985" t="str">
            <v>Lark Rise Lower School</v>
          </cell>
          <cell r="D16985" t="str">
            <v>Central Bedfordshire</v>
          </cell>
          <cell r="E16985" t="str">
            <v>Community School</v>
          </cell>
          <cell r="F16985" t="str">
            <v>Primary</v>
          </cell>
        </row>
        <row r="16986">
          <cell r="A16986">
            <v>3432088</v>
          </cell>
          <cell r="B16986">
            <v>104887</v>
          </cell>
          <cell r="C16986" t="str">
            <v>Larkfield Primary School</v>
          </cell>
          <cell r="D16986" t="str">
            <v>Sefton</v>
          </cell>
          <cell r="E16986" t="str">
            <v>Community School</v>
          </cell>
          <cell r="F16986" t="str">
            <v>Primary</v>
          </cell>
        </row>
        <row r="16987">
          <cell r="A16987">
            <v>8912418</v>
          </cell>
          <cell r="B16987">
            <v>122577</v>
          </cell>
          <cell r="C16987" t="str">
            <v>Larkfields Infant School</v>
          </cell>
          <cell r="D16987" t="str">
            <v>Nottinghamshire</v>
          </cell>
          <cell r="E16987" t="str">
            <v>Community School</v>
          </cell>
          <cell r="F16987" t="str">
            <v>Primary</v>
          </cell>
        </row>
        <row r="16988">
          <cell r="A16988">
            <v>8912416</v>
          </cell>
          <cell r="B16988">
            <v>122575</v>
          </cell>
          <cell r="C16988" t="str">
            <v>Larkfields Junior School</v>
          </cell>
          <cell r="D16988" t="str">
            <v>Nottinghamshire</v>
          </cell>
          <cell r="E16988" t="str">
            <v>Community School</v>
          </cell>
          <cell r="F16988" t="str">
            <v>Primary</v>
          </cell>
        </row>
        <row r="16989">
          <cell r="A16989">
            <v>8652065</v>
          </cell>
          <cell r="B16989">
            <v>126202</v>
          </cell>
          <cell r="C16989" t="str">
            <v>Larkhill Primary School</v>
          </cell>
          <cell r="D16989" t="str">
            <v>Wiltshire</v>
          </cell>
          <cell r="E16989" t="str">
            <v>Community School</v>
          </cell>
          <cell r="F16989" t="str">
            <v>Primary</v>
          </cell>
        </row>
        <row r="16990">
          <cell r="A16990">
            <v>8882527</v>
          </cell>
          <cell r="B16990">
            <v>119299</v>
          </cell>
          <cell r="C16990" t="str">
            <v>Larkholme Primary School</v>
          </cell>
          <cell r="D16990" t="str">
            <v>Lancashire</v>
          </cell>
          <cell r="E16990" t="str">
            <v>Community School</v>
          </cell>
          <cell r="F16990" t="str">
            <v>Primary</v>
          </cell>
        </row>
        <row r="16991">
          <cell r="A16991">
            <v>8302375</v>
          </cell>
          <cell r="B16991">
            <v>112708</v>
          </cell>
          <cell r="C16991" t="str">
            <v>Larklands Infant School</v>
          </cell>
          <cell r="D16991" t="str">
            <v>Derbyshire</v>
          </cell>
          <cell r="E16991" t="str">
            <v>Community School</v>
          </cell>
          <cell r="F16991" t="str">
            <v>Primary</v>
          </cell>
        </row>
        <row r="16992">
          <cell r="A16992">
            <v>9262307</v>
          </cell>
          <cell r="B16992">
            <v>120944</v>
          </cell>
          <cell r="C16992" t="str">
            <v>Larkman Community First School, Norwich</v>
          </cell>
          <cell r="D16992" t="str">
            <v>Norfolk</v>
          </cell>
          <cell r="E16992" t="str">
            <v>Community School</v>
          </cell>
          <cell r="F16992" t="str">
            <v>Primary</v>
          </cell>
        </row>
        <row r="16993">
          <cell r="A16993">
            <v>9262306</v>
          </cell>
          <cell r="B16993">
            <v>120943</v>
          </cell>
          <cell r="C16993" t="str">
            <v>Larkman Middle School, Norwich</v>
          </cell>
          <cell r="D16993" t="str">
            <v>Norfolk</v>
          </cell>
          <cell r="E16993" t="str">
            <v>Community School</v>
          </cell>
          <cell r="F16993" t="str">
            <v>Middle Deemed Primary</v>
          </cell>
        </row>
        <row r="16994">
          <cell r="A16994">
            <v>9263419</v>
          </cell>
          <cell r="B16994">
            <v>134943</v>
          </cell>
          <cell r="C16994" t="str">
            <v>Larkman Primary School</v>
          </cell>
          <cell r="D16994" t="str">
            <v>Norfolk</v>
          </cell>
          <cell r="E16994" t="str">
            <v>Community School</v>
          </cell>
          <cell r="F16994" t="str">
            <v>Primary</v>
          </cell>
        </row>
        <row r="16995">
          <cell r="A16995">
            <v>9314125</v>
          </cell>
          <cell r="B16995">
            <v>123255</v>
          </cell>
          <cell r="C16995" t="str">
            <v>Larkmead School</v>
          </cell>
          <cell r="D16995" t="str">
            <v>Oxfordshire</v>
          </cell>
          <cell r="E16995" t="str">
            <v>Community School</v>
          </cell>
          <cell r="F16995" t="str">
            <v>Secondary</v>
          </cell>
        </row>
        <row r="16996">
          <cell r="A16996">
            <v>8812899</v>
          </cell>
          <cell r="B16996">
            <v>115035</v>
          </cell>
          <cell r="C16996" t="str">
            <v>Larkrise Primary School</v>
          </cell>
          <cell r="D16996" t="str">
            <v>Essex</v>
          </cell>
          <cell r="E16996" t="str">
            <v>Community School</v>
          </cell>
          <cell r="F16996" t="str">
            <v>Primary</v>
          </cell>
        </row>
        <row r="16997">
          <cell r="A16997">
            <v>9312543</v>
          </cell>
          <cell r="B16997">
            <v>123053</v>
          </cell>
          <cell r="C16997" t="str">
            <v>Larkrise Primary School</v>
          </cell>
          <cell r="D16997" t="str">
            <v>Oxfordshire</v>
          </cell>
          <cell r="E16997" t="str">
            <v>Community School</v>
          </cell>
          <cell r="F16997" t="str">
            <v>Primary</v>
          </cell>
        </row>
        <row r="16998">
          <cell r="A16998">
            <v>8657010</v>
          </cell>
          <cell r="B16998">
            <v>126553</v>
          </cell>
          <cell r="C16998" t="str">
            <v>Larkrise School</v>
          </cell>
          <cell r="D16998" t="str">
            <v>Wiltshire</v>
          </cell>
          <cell r="E16998" t="str">
            <v>Community Special School</v>
          </cell>
          <cell r="F16998" t="str">
            <v>Special</v>
          </cell>
        </row>
        <row r="16999">
          <cell r="A16999">
            <v>3902051</v>
          </cell>
          <cell r="B16999">
            <v>108330</v>
          </cell>
          <cell r="C16999" t="str">
            <v>Larkspur Community Primary School</v>
          </cell>
          <cell r="D16999" t="str">
            <v>Gateshead</v>
          </cell>
          <cell r="E16999" t="str">
            <v>Community School</v>
          </cell>
          <cell r="F16999" t="str">
            <v>Primary</v>
          </cell>
        </row>
        <row r="17000">
          <cell r="A17000">
            <v>3202003</v>
          </cell>
          <cell r="B17000">
            <v>103034</v>
          </cell>
          <cell r="C17000" t="str">
            <v>Larkswood Infants' School</v>
          </cell>
          <cell r="D17000" t="str">
            <v>Waltham Forest</v>
          </cell>
          <cell r="E17000" t="str">
            <v>Community School</v>
          </cell>
          <cell r="F17000" t="str">
            <v>Primary</v>
          </cell>
        </row>
        <row r="17001">
          <cell r="A17001">
            <v>3202002</v>
          </cell>
          <cell r="B17001">
            <v>103033</v>
          </cell>
          <cell r="C17001" t="str">
            <v>Larkswood Junior School</v>
          </cell>
          <cell r="D17001" t="str">
            <v>Waltham Forest</v>
          </cell>
          <cell r="E17001" t="str">
            <v>Community School</v>
          </cell>
          <cell r="F17001" t="str">
            <v>Primary</v>
          </cell>
        </row>
        <row r="17002">
          <cell r="A17002">
            <v>3202005</v>
          </cell>
          <cell r="B17002">
            <v>134178</v>
          </cell>
          <cell r="C17002" t="str">
            <v>Larkswood Primary School</v>
          </cell>
          <cell r="D17002" t="str">
            <v>Waltham Forest</v>
          </cell>
          <cell r="E17002" t="str">
            <v>Community School</v>
          </cell>
          <cell r="F17002" t="str">
            <v>Primary</v>
          </cell>
        </row>
        <row r="17003">
          <cell r="A17003">
            <v>2053649</v>
          </cell>
          <cell r="B17003">
            <v>134009</v>
          </cell>
          <cell r="C17003" t="str">
            <v>Larmenier &amp; Sacred Heart Catholic Primary School</v>
          </cell>
          <cell r="D17003" t="str">
            <v>Hammersmith and Fulham</v>
          </cell>
          <cell r="E17003" t="str">
            <v>Voluntary Aided School</v>
          </cell>
          <cell r="F17003" t="str">
            <v>Primary</v>
          </cell>
        </row>
        <row r="17004">
          <cell r="A17004">
            <v>2053647</v>
          </cell>
          <cell r="B17004">
            <v>100356</v>
          </cell>
          <cell r="C17004" t="str">
            <v>Larmenier RC Infants' School</v>
          </cell>
          <cell r="D17004" t="str">
            <v>Hammersmith and Fulham</v>
          </cell>
          <cell r="E17004" t="str">
            <v>Voluntary Aided School</v>
          </cell>
          <cell r="F17004" t="str">
            <v>Primary</v>
          </cell>
        </row>
        <row r="17005">
          <cell r="A17005">
            <v>9197034</v>
          </cell>
          <cell r="B17005">
            <v>131503</v>
          </cell>
          <cell r="C17005" t="str">
            <v>Larwood School</v>
          </cell>
          <cell r="D17005" t="str">
            <v>Hertfordshire</v>
          </cell>
          <cell r="E17005" t="str">
            <v>Community Special School</v>
          </cell>
          <cell r="F17005" t="str">
            <v>Special</v>
          </cell>
        </row>
        <row r="17006">
          <cell r="A17006">
            <v>8772729</v>
          </cell>
          <cell r="B17006">
            <v>132247</v>
          </cell>
          <cell r="C17006" t="str">
            <v>Latchford CofE Primary School</v>
          </cell>
          <cell r="D17006" t="str">
            <v>Warrington</v>
          </cell>
          <cell r="E17006" t="str">
            <v>Voluntary Aided School</v>
          </cell>
          <cell r="F17006" t="str">
            <v>Primary</v>
          </cell>
        </row>
        <row r="17007">
          <cell r="A17007">
            <v>8813230</v>
          </cell>
          <cell r="B17007">
            <v>115121</v>
          </cell>
          <cell r="C17007" t="str">
            <v>Latchingdon Church of England Voluntary Controlled Primary School</v>
          </cell>
          <cell r="D17007" t="str">
            <v>Essex</v>
          </cell>
          <cell r="E17007" t="str">
            <v>Voluntary Controlled School</v>
          </cell>
          <cell r="F17007" t="str">
            <v>Primary</v>
          </cell>
        </row>
        <row r="17008">
          <cell r="A17008">
            <v>3142015</v>
          </cell>
          <cell r="B17008">
            <v>102572</v>
          </cell>
          <cell r="C17008" t="str">
            <v>Latchmere Infant School</v>
          </cell>
          <cell r="D17008" t="str">
            <v>Kingston upon Thames</v>
          </cell>
          <cell r="E17008" t="str">
            <v>Community School</v>
          </cell>
          <cell r="F17008" t="str">
            <v>Primary</v>
          </cell>
        </row>
        <row r="17009">
          <cell r="A17009">
            <v>2122373</v>
          </cell>
          <cell r="B17009">
            <v>126685</v>
          </cell>
          <cell r="C17009" t="str">
            <v>Latchmere Infant School</v>
          </cell>
          <cell r="D17009" t="str">
            <v>Wandsworth</v>
          </cell>
          <cell r="E17009" t="str">
            <v>Community School</v>
          </cell>
          <cell r="F17009" t="str">
            <v>Primary</v>
          </cell>
        </row>
        <row r="17010">
          <cell r="A17010">
            <v>2122372</v>
          </cell>
          <cell r="B17010">
            <v>126684</v>
          </cell>
          <cell r="C17010" t="str">
            <v>Latchmere Primary School</v>
          </cell>
          <cell r="D17010" t="str">
            <v>Wandsworth</v>
          </cell>
          <cell r="E17010" t="str">
            <v>Community School</v>
          </cell>
          <cell r="F17010" t="str">
            <v>Primary</v>
          </cell>
        </row>
        <row r="17011">
          <cell r="A17011">
            <v>3142014</v>
          </cell>
          <cell r="B17011">
            <v>102571</v>
          </cell>
          <cell r="C17011" t="str">
            <v>Latchmere School</v>
          </cell>
          <cell r="D17011" t="str">
            <v>Kingston upon Thames</v>
          </cell>
          <cell r="E17011" t="str">
            <v>Community School</v>
          </cell>
          <cell r="F17011" t="str">
            <v>Primary</v>
          </cell>
        </row>
        <row r="17012">
          <cell r="A17012">
            <v>8884411</v>
          </cell>
          <cell r="B17012">
            <v>119774</v>
          </cell>
          <cell r="C17012" t="str">
            <v>Lathom High School : A Technology College</v>
          </cell>
          <cell r="D17012" t="str">
            <v>Lancashire</v>
          </cell>
          <cell r="E17012" t="str">
            <v>Foundation School</v>
          </cell>
          <cell r="F17012" t="str">
            <v>Secondary</v>
          </cell>
        </row>
        <row r="17013">
          <cell r="A17013">
            <v>3162037</v>
          </cell>
          <cell r="B17013">
            <v>102728</v>
          </cell>
          <cell r="C17013" t="str">
            <v>Lathom Junior School</v>
          </cell>
          <cell r="D17013" t="str">
            <v>Newham</v>
          </cell>
          <cell r="E17013" t="str">
            <v>Community School</v>
          </cell>
          <cell r="F17013" t="str">
            <v>Primary</v>
          </cell>
        </row>
        <row r="17014">
          <cell r="A17014">
            <v>353940</v>
          </cell>
          <cell r="B17014">
            <v>134018</v>
          </cell>
          <cell r="C17014" t="str">
            <v>Laticzone</v>
          </cell>
          <cell r="D17014" t="str">
            <v>Oldham</v>
          </cell>
          <cell r="E17014" t="str">
            <v>Playing for Success Centres</v>
          </cell>
          <cell r="F17014" t="str">
            <v>Not applicable</v>
          </cell>
        </row>
        <row r="17015">
          <cell r="A17015">
            <v>9162060</v>
          </cell>
          <cell r="B17015">
            <v>115516</v>
          </cell>
          <cell r="C17015" t="str">
            <v>Latimer County Junior School</v>
          </cell>
          <cell r="D17015" t="str">
            <v>Gloucestershire</v>
          </cell>
          <cell r="E17015" t="str">
            <v>Community School</v>
          </cell>
          <cell r="F17015" t="str">
            <v>Primary</v>
          </cell>
        </row>
        <row r="17016">
          <cell r="A17016">
            <v>8811101</v>
          </cell>
          <cell r="B17016">
            <v>114701</v>
          </cell>
          <cell r="C17016" t="str">
            <v>Latton Green Home Tuition Pupil Referral Unit C.O.Latton Green Primary School</v>
          </cell>
          <cell r="D17016" t="str">
            <v>Essex</v>
          </cell>
          <cell r="E17016" t="str">
            <v>Pupil Referral Unit</v>
          </cell>
          <cell r="F17016" t="str">
            <v>PRU</v>
          </cell>
        </row>
        <row r="17017">
          <cell r="A17017">
            <v>8812795</v>
          </cell>
          <cell r="B17017">
            <v>114998</v>
          </cell>
          <cell r="C17017" t="str">
            <v>Latton Green Primary School</v>
          </cell>
          <cell r="D17017" t="str">
            <v>Essex</v>
          </cell>
          <cell r="E17017" t="str">
            <v>Community School</v>
          </cell>
          <cell r="F17017" t="str">
            <v>Primary</v>
          </cell>
        </row>
        <row r="17018">
          <cell r="A17018">
            <v>3083505</v>
          </cell>
          <cell r="B17018">
            <v>102041</v>
          </cell>
          <cell r="C17018" t="str">
            <v>Latymer All Saints CofE Primary School</v>
          </cell>
          <cell r="D17018" t="str">
            <v>Enfield</v>
          </cell>
          <cell r="E17018" t="str">
            <v>Voluntary Aided School</v>
          </cell>
          <cell r="F17018" t="str">
            <v>Primary</v>
          </cell>
        </row>
        <row r="17019">
          <cell r="A17019">
            <v>2056307</v>
          </cell>
          <cell r="B17019">
            <v>134271</v>
          </cell>
          <cell r="C17019" t="str">
            <v>Latymer Preparatory School</v>
          </cell>
          <cell r="D17019" t="str">
            <v>Hammersmith and Fulham</v>
          </cell>
          <cell r="E17019" t="str">
            <v>Other Independent School</v>
          </cell>
          <cell r="F17019" t="str">
            <v>Not applicable</v>
          </cell>
        </row>
        <row r="17020">
          <cell r="A17020">
            <v>2056306</v>
          </cell>
          <cell r="B17020">
            <v>100370</v>
          </cell>
          <cell r="C17020" t="str">
            <v>Latymer Upper School</v>
          </cell>
          <cell r="D17020" t="str">
            <v>Hammersmith and Fulham</v>
          </cell>
          <cell r="E17020" t="str">
            <v>Other Independent School</v>
          </cell>
          <cell r="F17020" t="str">
            <v>Not applicable</v>
          </cell>
        </row>
        <row r="17021">
          <cell r="A17021">
            <v>6693003</v>
          </cell>
          <cell r="B17021">
            <v>400845</v>
          </cell>
          <cell r="C17021" t="str">
            <v>Laugharne V.C.P. School</v>
          </cell>
          <cell r="D17021" t="str">
            <v>Carmarthenshire</v>
          </cell>
          <cell r="E17021" t="str">
            <v>Welsh Establishment</v>
          </cell>
          <cell r="F17021" t="str">
            <v>Primary</v>
          </cell>
        </row>
        <row r="17022">
          <cell r="A17022">
            <v>3723329</v>
          </cell>
          <cell r="B17022">
            <v>106934</v>
          </cell>
          <cell r="C17022" t="str">
            <v>Laughton All Saints CofE Primary School</v>
          </cell>
          <cell r="D17022" t="str">
            <v>Rotherham</v>
          </cell>
          <cell r="E17022" t="str">
            <v>Voluntary Aided School</v>
          </cell>
          <cell r="F17022" t="str">
            <v>Primary</v>
          </cell>
        </row>
        <row r="17023">
          <cell r="A17023">
            <v>8452071</v>
          </cell>
          <cell r="B17023">
            <v>114404</v>
          </cell>
          <cell r="C17023" t="str">
            <v>Laughton Community Primary School</v>
          </cell>
          <cell r="D17023" t="str">
            <v>East Sussex</v>
          </cell>
          <cell r="E17023" t="str">
            <v>Community School</v>
          </cell>
          <cell r="F17023" t="str">
            <v>Primary</v>
          </cell>
        </row>
        <row r="17024">
          <cell r="A17024">
            <v>9253360</v>
          </cell>
          <cell r="B17024">
            <v>120624</v>
          </cell>
          <cell r="C17024" t="str">
            <v>Laughton Endowed Church of England Primary School</v>
          </cell>
          <cell r="D17024" t="str">
            <v>Lincolnshire</v>
          </cell>
          <cell r="E17024" t="str">
            <v>Voluntary Aided School</v>
          </cell>
          <cell r="F17024" t="str">
            <v>Primary</v>
          </cell>
        </row>
        <row r="17025">
          <cell r="A17025">
            <v>3722079</v>
          </cell>
          <cell r="B17025">
            <v>106882</v>
          </cell>
          <cell r="C17025" t="str">
            <v>Laughton Junior and Infant School</v>
          </cell>
          <cell r="D17025" t="str">
            <v>Rotherham</v>
          </cell>
          <cell r="E17025" t="str">
            <v>Community School</v>
          </cell>
          <cell r="F17025" t="str">
            <v>Primary</v>
          </cell>
        </row>
        <row r="17026">
          <cell r="A17026">
            <v>2092374</v>
          </cell>
          <cell r="B17026">
            <v>100692</v>
          </cell>
          <cell r="C17026" t="str">
            <v>Launcelot Primary School</v>
          </cell>
          <cell r="D17026" t="str">
            <v>Lewisham</v>
          </cell>
          <cell r="E17026" t="str">
            <v>Community School</v>
          </cell>
          <cell r="F17026" t="str">
            <v>Primary</v>
          </cell>
        </row>
        <row r="17027">
          <cell r="A17027">
            <v>9084009</v>
          </cell>
          <cell r="B17027">
            <v>112037</v>
          </cell>
          <cell r="C17027" t="str">
            <v>Launceston College</v>
          </cell>
          <cell r="D17027" t="str">
            <v>Cornwall</v>
          </cell>
          <cell r="E17027" t="str">
            <v>Community School</v>
          </cell>
          <cell r="F17027" t="str">
            <v>Secondary</v>
          </cell>
        </row>
        <row r="17028">
          <cell r="A17028">
            <v>9082610</v>
          </cell>
          <cell r="B17028">
            <v>111931</v>
          </cell>
          <cell r="C17028" t="str">
            <v>Launceston Community Primary School</v>
          </cell>
          <cell r="D17028" t="str">
            <v>Cornwall</v>
          </cell>
          <cell r="E17028" t="str">
            <v>Community School</v>
          </cell>
          <cell r="F17028" t="str">
            <v>Primary</v>
          </cell>
        </row>
        <row r="17029">
          <cell r="A17029">
            <v>3421101</v>
          </cell>
          <cell r="B17029">
            <v>132033</v>
          </cell>
          <cell r="C17029" t="str">
            <v>Launchpad Centre</v>
          </cell>
          <cell r="D17029" t="str">
            <v>St. Helens</v>
          </cell>
          <cell r="E17029" t="str">
            <v>Pupil Referral Unit</v>
          </cell>
          <cell r="F17029" t="str">
            <v>PRU</v>
          </cell>
        </row>
        <row r="17030">
          <cell r="A17030">
            <v>8552357</v>
          </cell>
          <cell r="B17030">
            <v>120082</v>
          </cell>
          <cell r="C17030" t="str">
            <v>Launde Primary School</v>
          </cell>
          <cell r="D17030" t="str">
            <v>Leicestershire</v>
          </cell>
          <cell r="E17030" t="str">
            <v>Community School</v>
          </cell>
          <cell r="F17030" t="str">
            <v>Primary</v>
          </cell>
        </row>
        <row r="17031">
          <cell r="A17031">
            <v>9313085</v>
          </cell>
          <cell r="B17031">
            <v>123103</v>
          </cell>
          <cell r="C17031" t="str">
            <v>Launton Church of England Primary School</v>
          </cell>
          <cell r="D17031" t="str">
            <v>Oxfordshire</v>
          </cell>
          <cell r="E17031" t="str">
            <v>Voluntary Controlled School</v>
          </cell>
          <cell r="F17031" t="str">
            <v>Primary</v>
          </cell>
        </row>
        <row r="17032">
          <cell r="A17032">
            <v>9192399</v>
          </cell>
          <cell r="B17032">
            <v>129139</v>
          </cell>
          <cell r="C17032" t="str">
            <v>Laurance Haines Infant School</v>
          </cell>
          <cell r="D17032" t="str">
            <v>Hertfordshire</v>
          </cell>
          <cell r="E17032" t="str">
            <v>Community School</v>
          </cell>
          <cell r="F17032" t="str">
            <v>Primary</v>
          </cell>
        </row>
        <row r="17033">
          <cell r="A17033">
            <v>9352022</v>
          </cell>
          <cell r="B17033">
            <v>124545</v>
          </cell>
          <cell r="C17033" t="str">
            <v>Laureate Community Primary School</v>
          </cell>
          <cell r="D17033" t="str">
            <v>Suffolk</v>
          </cell>
          <cell r="E17033" t="str">
            <v>Community School</v>
          </cell>
          <cell r="F17033" t="str">
            <v>Primary</v>
          </cell>
        </row>
        <row r="17034">
          <cell r="A17034">
            <v>8402499</v>
          </cell>
          <cell r="B17034">
            <v>114140</v>
          </cell>
          <cell r="C17034" t="str">
            <v>Laurel Avenue Community Primary School</v>
          </cell>
          <cell r="D17034" t="str">
            <v>Durham</v>
          </cell>
          <cell r="E17034" t="str">
            <v>Community School</v>
          </cell>
          <cell r="F17034" t="str">
            <v>Primary</v>
          </cell>
        </row>
        <row r="17035">
          <cell r="A17035">
            <v>3122034</v>
          </cell>
          <cell r="B17035">
            <v>102390</v>
          </cell>
          <cell r="C17035" t="str">
            <v>Laurel Lane Primary School</v>
          </cell>
          <cell r="D17035" t="str">
            <v>Hillingdon</v>
          </cell>
          <cell r="E17035" t="str">
            <v>Community School</v>
          </cell>
          <cell r="F17035" t="str">
            <v>Primary</v>
          </cell>
        </row>
        <row r="17036">
          <cell r="A17036">
            <v>3166069</v>
          </cell>
          <cell r="B17036">
            <v>135194</v>
          </cell>
          <cell r="C17036" t="str">
            <v>Laurel Leaf School</v>
          </cell>
          <cell r="D17036" t="str">
            <v>Newham</v>
          </cell>
          <cell r="E17036" t="str">
            <v>Other Independent Special School</v>
          </cell>
          <cell r="F17036" t="str">
            <v>Not applicable</v>
          </cell>
        </row>
        <row r="17037">
          <cell r="A17037">
            <v>6656044</v>
          </cell>
          <cell r="B17037">
            <v>402099</v>
          </cell>
          <cell r="C17037" t="str">
            <v>Laurel Park School</v>
          </cell>
          <cell r="D17037" t="str">
            <v>Wrexham</v>
          </cell>
          <cell r="E17037" t="str">
            <v>Welsh Establishment</v>
          </cell>
          <cell r="F17037" t="str">
            <v>Not applicable</v>
          </cell>
        </row>
        <row r="17038">
          <cell r="A17038">
            <v>8074005</v>
          </cell>
          <cell r="B17038">
            <v>111724</v>
          </cell>
          <cell r="C17038" t="str">
            <v>Laurence Jackson School</v>
          </cell>
          <cell r="D17038" t="str">
            <v>Redcar and Cleveland</v>
          </cell>
          <cell r="E17038" t="str">
            <v>Community School</v>
          </cell>
          <cell r="F17038" t="str">
            <v>Secondary</v>
          </cell>
        </row>
        <row r="17039">
          <cell r="A17039">
            <v>3836026</v>
          </cell>
          <cell r="B17039">
            <v>128042</v>
          </cell>
          <cell r="C17039" t="str">
            <v>Laurieston School</v>
          </cell>
          <cell r="D17039" t="str">
            <v>Leeds</v>
          </cell>
          <cell r="E17039" t="str">
            <v>Other Independent School</v>
          </cell>
          <cell r="F17039" t="str">
            <v>Not applicable</v>
          </cell>
        </row>
        <row r="17040">
          <cell r="A17040">
            <v>2042376</v>
          </cell>
          <cell r="B17040">
            <v>100229</v>
          </cell>
          <cell r="C17040" t="str">
            <v>Lauriston School</v>
          </cell>
          <cell r="D17040" t="str">
            <v>Hackney</v>
          </cell>
          <cell r="E17040" t="str">
            <v>Community School</v>
          </cell>
          <cell r="F17040" t="str">
            <v>Primary</v>
          </cell>
        </row>
        <row r="17041">
          <cell r="A17041">
            <v>9383021</v>
          </cell>
          <cell r="B17041">
            <v>125986</v>
          </cell>
          <cell r="C17041" t="str">
            <v>Lavant CofE Primary School</v>
          </cell>
          <cell r="D17041" t="str">
            <v>West Sussex</v>
          </cell>
          <cell r="E17041" t="str">
            <v>Voluntary Controlled School</v>
          </cell>
          <cell r="F17041" t="str">
            <v>Primary</v>
          </cell>
        </row>
        <row r="17042">
          <cell r="A17042">
            <v>9386139</v>
          </cell>
          <cell r="B17042">
            <v>126125</v>
          </cell>
          <cell r="C17042" t="str">
            <v>Lavant House</v>
          </cell>
          <cell r="D17042" t="str">
            <v>West Sussex</v>
          </cell>
          <cell r="E17042" t="str">
            <v>Other Independent School</v>
          </cell>
          <cell r="F17042" t="str">
            <v>Not applicable</v>
          </cell>
        </row>
        <row r="17043">
          <cell r="A17043">
            <v>8701110</v>
          </cell>
          <cell r="B17043">
            <v>134873</v>
          </cell>
          <cell r="C17043" t="str">
            <v>Lavender House</v>
          </cell>
          <cell r="D17043" t="str">
            <v>Reading</v>
          </cell>
          <cell r="E17043" t="str">
            <v>Pupil Referral Unit</v>
          </cell>
          <cell r="F17043" t="str">
            <v>PRU</v>
          </cell>
        </row>
        <row r="17044">
          <cell r="A17044">
            <v>3082075</v>
          </cell>
          <cell r="B17044">
            <v>102015</v>
          </cell>
          <cell r="C17044" t="str">
            <v>Lavender Primary School</v>
          </cell>
          <cell r="D17044" t="str">
            <v>Enfield</v>
          </cell>
          <cell r="E17044" t="str">
            <v>Community School</v>
          </cell>
          <cell r="F17044" t="str">
            <v>Primary</v>
          </cell>
        </row>
        <row r="17045">
          <cell r="A17045">
            <v>8262067</v>
          </cell>
          <cell r="B17045">
            <v>110242</v>
          </cell>
          <cell r="C17045" t="str">
            <v>Lavendon School</v>
          </cell>
          <cell r="D17045" t="str">
            <v>Milton Keynes</v>
          </cell>
          <cell r="E17045" t="str">
            <v>Community School</v>
          </cell>
          <cell r="F17045" t="str">
            <v>Primary</v>
          </cell>
        </row>
        <row r="17046">
          <cell r="A17046">
            <v>9352015</v>
          </cell>
          <cell r="B17046">
            <v>124540</v>
          </cell>
          <cell r="C17046" t="str">
            <v>Lavenham Community Primary School</v>
          </cell>
          <cell r="D17046" t="str">
            <v>Suffolk</v>
          </cell>
          <cell r="E17046" t="str">
            <v>Community School</v>
          </cell>
          <cell r="F17046" t="str">
            <v>Primary</v>
          </cell>
        </row>
        <row r="17047">
          <cell r="A17047">
            <v>9366275</v>
          </cell>
          <cell r="B17047">
            <v>125390</v>
          </cell>
          <cell r="C17047" t="str">
            <v>Laverock School</v>
          </cell>
          <cell r="D17047" t="str">
            <v>Surrey</v>
          </cell>
          <cell r="E17047" t="str">
            <v>Other Independent School</v>
          </cell>
          <cell r="F17047" t="str">
            <v>Not applicable</v>
          </cell>
        </row>
        <row r="17048">
          <cell r="A17048">
            <v>9172126</v>
          </cell>
          <cell r="B17048">
            <v>128981</v>
          </cell>
          <cell r="C17048" t="str">
            <v>Laverstoke County Primary School</v>
          </cell>
          <cell r="D17048" t="str">
            <v>Pre LGR (1997) Hampshire</v>
          </cell>
          <cell r="E17048" t="str">
            <v>Community School</v>
          </cell>
          <cell r="F17048" t="str">
            <v>Primary</v>
          </cell>
        </row>
        <row r="17049">
          <cell r="A17049">
            <v>8655402</v>
          </cell>
          <cell r="B17049">
            <v>126497</v>
          </cell>
          <cell r="C17049" t="str">
            <v>Lavington School</v>
          </cell>
          <cell r="D17049" t="str">
            <v>Wiltshire</v>
          </cell>
          <cell r="E17049" t="str">
            <v>Foundation School</v>
          </cell>
          <cell r="F17049" t="str">
            <v>Secondary</v>
          </cell>
        </row>
        <row r="17050">
          <cell r="A17050">
            <v>8655402</v>
          </cell>
          <cell r="B17050">
            <v>136389</v>
          </cell>
          <cell r="C17050" t="str">
            <v>Lavington School</v>
          </cell>
          <cell r="D17050" t="str">
            <v>Wiltshire</v>
          </cell>
          <cell r="E17050" t="str">
            <v>Academy Converters</v>
          </cell>
          <cell r="F17050" t="str">
            <v>Secondary</v>
          </cell>
        </row>
        <row r="17051">
          <cell r="A17051">
            <v>2112377</v>
          </cell>
          <cell r="B17051">
            <v>100907</v>
          </cell>
          <cell r="C17051" t="str">
            <v>Lawdale Junior School</v>
          </cell>
          <cell r="D17051" t="str">
            <v>Tower Hamlets</v>
          </cell>
          <cell r="E17051" t="str">
            <v>Community School</v>
          </cell>
          <cell r="F17051" t="str">
            <v>Primary</v>
          </cell>
        </row>
        <row r="17052">
          <cell r="A17052">
            <v>3842165</v>
          </cell>
          <cell r="B17052">
            <v>108221</v>
          </cell>
          <cell r="C17052" t="str">
            <v>Lawefield Infants School</v>
          </cell>
          <cell r="D17052" t="str">
            <v>Wakefield</v>
          </cell>
          <cell r="E17052" t="str">
            <v>Community School</v>
          </cell>
          <cell r="F17052" t="str">
            <v>Primary</v>
          </cell>
        </row>
        <row r="17053">
          <cell r="A17053">
            <v>3842168</v>
          </cell>
          <cell r="B17053">
            <v>108224</v>
          </cell>
          <cell r="C17053" t="str">
            <v>Lawefield Junior School</v>
          </cell>
          <cell r="D17053" t="str">
            <v>Wakefield</v>
          </cell>
          <cell r="E17053" t="str">
            <v>Community School</v>
          </cell>
          <cell r="F17053" t="str">
            <v>Primary</v>
          </cell>
        </row>
        <row r="17054">
          <cell r="A17054">
            <v>8815257</v>
          </cell>
          <cell r="B17054">
            <v>115297</v>
          </cell>
          <cell r="C17054" t="str">
            <v>Lawford Church of England Voluntary Aided Primary School</v>
          </cell>
          <cell r="D17054" t="str">
            <v>Essex</v>
          </cell>
          <cell r="E17054" t="str">
            <v>Voluntary Aided School</v>
          </cell>
          <cell r="F17054" t="str">
            <v>Primary</v>
          </cell>
        </row>
        <row r="17055">
          <cell r="A17055">
            <v>8812790</v>
          </cell>
          <cell r="B17055">
            <v>114997</v>
          </cell>
          <cell r="C17055" t="str">
            <v>Lawford Mead Infant and Nursery School</v>
          </cell>
          <cell r="D17055" t="str">
            <v>Essex</v>
          </cell>
          <cell r="E17055" t="str">
            <v>Community School</v>
          </cell>
          <cell r="F17055" t="str">
            <v>Primary</v>
          </cell>
        </row>
        <row r="17056">
          <cell r="A17056">
            <v>8812800</v>
          </cell>
          <cell r="B17056">
            <v>115001</v>
          </cell>
          <cell r="C17056" t="str">
            <v>Lawford Mead Junior School</v>
          </cell>
          <cell r="D17056" t="str">
            <v>Essex</v>
          </cell>
          <cell r="E17056" t="str">
            <v>Community School</v>
          </cell>
          <cell r="F17056" t="str">
            <v>Primary</v>
          </cell>
        </row>
        <row r="17057">
          <cell r="A17057">
            <v>8942061</v>
          </cell>
          <cell r="B17057">
            <v>123377</v>
          </cell>
          <cell r="C17057" t="str">
            <v>Lawley Primary School</v>
          </cell>
          <cell r="D17057" t="str">
            <v>Telford and Wrekin</v>
          </cell>
          <cell r="E17057" t="str">
            <v>Community School</v>
          </cell>
          <cell r="F17057" t="str">
            <v>Primary</v>
          </cell>
        </row>
        <row r="17058">
          <cell r="A17058">
            <v>8662148</v>
          </cell>
          <cell r="B17058">
            <v>126241</v>
          </cell>
          <cell r="C17058" t="str">
            <v>Lawn Infant School</v>
          </cell>
          <cell r="D17058" t="str">
            <v>Swindon</v>
          </cell>
          <cell r="E17058" t="str">
            <v>Community School</v>
          </cell>
          <cell r="F17058" t="str">
            <v>Primary</v>
          </cell>
        </row>
        <row r="17059">
          <cell r="A17059">
            <v>8662147</v>
          </cell>
          <cell r="B17059">
            <v>126240</v>
          </cell>
          <cell r="C17059" t="str">
            <v>Lawn Primary</v>
          </cell>
          <cell r="D17059" t="str">
            <v>Swindon</v>
          </cell>
          <cell r="E17059" t="str">
            <v>Community School</v>
          </cell>
          <cell r="F17059" t="str">
            <v>Primary</v>
          </cell>
        </row>
        <row r="17060">
          <cell r="A17060">
            <v>8312522</v>
          </cell>
          <cell r="B17060">
            <v>112779</v>
          </cell>
          <cell r="C17060" t="str">
            <v>Lawn Primary School</v>
          </cell>
          <cell r="D17060" t="str">
            <v>Derby</v>
          </cell>
          <cell r="E17060" t="str">
            <v>Community School</v>
          </cell>
          <cell r="F17060" t="str">
            <v>Primary</v>
          </cell>
        </row>
        <row r="17061">
          <cell r="A17061">
            <v>8862116</v>
          </cell>
          <cell r="B17061">
            <v>118264</v>
          </cell>
          <cell r="C17061" t="str">
            <v>Lawn Primary School</v>
          </cell>
          <cell r="D17061" t="str">
            <v>Kent</v>
          </cell>
          <cell r="E17061" t="str">
            <v>Community School</v>
          </cell>
          <cell r="F17061" t="str">
            <v>Primary</v>
          </cell>
        </row>
        <row r="17062">
          <cell r="A17062">
            <v>9314592</v>
          </cell>
          <cell r="B17062">
            <v>123269</v>
          </cell>
          <cell r="C17062" t="str">
            <v>Lawn Upton Church of England Middle School</v>
          </cell>
          <cell r="D17062" t="str">
            <v>Oxfordshire</v>
          </cell>
          <cell r="E17062" t="str">
            <v>Voluntary Controlled School</v>
          </cell>
          <cell r="F17062" t="str">
            <v>Middle Deemed Secondary</v>
          </cell>
        </row>
        <row r="17063">
          <cell r="A17063">
            <v>3832497</v>
          </cell>
          <cell r="B17063">
            <v>107973</v>
          </cell>
          <cell r="C17063" t="str">
            <v>Lawns Park Primary School</v>
          </cell>
          <cell r="D17063" t="str">
            <v>Leeds</v>
          </cell>
          <cell r="E17063" t="str">
            <v>Community School</v>
          </cell>
          <cell r="F17063" t="str">
            <v>Primary</v>
          </cell>
        </row>
        <row r="17064">
          <cell r="A17064">
            <v>8232153</v>
          </cell>
          <cell r="B17064">
            <v>109500</v>
          </cell>
          <cell r="C17064" t="str">
            <v>Lawnside Lower School</v>
          </cell>
          <cell r="D17064" t="str">
            <v>Central Bedfordshire</v>
          </cell>
          <cell r="E17064" t="str">
            <v>Community School</v>
          </cell>
          <cell r="F17064" t="str">
            <v>Primary</v>
          </cell>
        </row>
        <row r="17065">
          <cell r="A17065">
            <v>9186065</v>
          </cell>
          <cell r="B17065">
            <v>129098</v>
          </cell>
          <cell r="C17065" t="str">
            <v>Lawnside School</v>
          </cell>
          <cell r="D17065" t="str">
            <v>Pre LGR (1998) Hereford &amp; Worcester</v>
          </cell>
          <cell r="E17065" t="str">
            <v>Other Independent School</v>
          </cell>
          <cell r="F17065" t="str">
            <v>Not applicable</v>
          </cell>
        </row>
        <row r="17066">
          <cell r="A17066">
            <v>3834006</v>
          </cell>
          <cell r="B17066">
            <v>108055</v>
          </cell>
          <cell r="C17066" t="str">
            <v>Lawnswood School</v>
          </cell>
          <cell r="D17066" t="str">
            <v>Leeds</v>
          </cell>
          <cell r="E17066" t="str">
            <v>Community School</v>
          </cell>
          <cell r="F17066" t="str">
            <v>Secondary</v>
          </cell>
        </row>
        <row r="17067">
          <cell r="A17067">
            <v>3834499</v>
          </cell>
          <cell r="B17067">
            <v>128014</v>
          </cell>
          <cell r="C17067" t="str">
            <v>Lawnswood School</v>
          </cell>
          <cell r="D17067" t="str">
            <v>Leeds</v>
          </cell>
          <cell r="E17067" t="str">
            <v>Community School</v>
          </cell>
          <cell r="F17067" t="str">
            <v>Secondary</v>
          </cell>
        </row>
        <row r="17068">
          <cell r="A17068">
            <v>3702008</v>
          </cell>
          <cell r="B17068">
            <v>106556</v>
          </cell>
          <cell r="C17068" t="str">
            <v>Lawrence Briggs Infant School</v>
          </cell>
          <cell r="D17068" t="str">
            <v>Barnsley</v>
          </cell>
          <cell r="E17068" t="str">
            <v>Community School</v>
          </cell>
          <cell r="F17068" t="str">
            <v>Primary</v>
          </cell>
        </row>
        <row r="17069">
          <cell r="A17069">
            <v>3412221</v>
          </cell>
          <cell r="B17069">
            <v>130395</v>
          </cell>
          <cell r="C17069" t="str">
            <v>Lawrence Community Primary School</v>
          </cell>
          <cell r="D17069" t="str">
            <v>Liverpool</v>
          </cell>
          <cell r="E17069" t="str">
            <v>Community School</v>
          </cell>
          <cell r="F17069" t="str">
            <v>Primary</v>
          </cell>
        </row>
        <row r="17070">
          <cell r="A17070">
            <v>3406001</v>
          </cell>
          <cell r="B17070">
            <v>136752</v>
          </cell>
          <cell r="C17070" t="str">
            <v>Lawrence House</v>
          </cell>
          <cell r="D17070" t="str">
            <v>Knowsley</v>
          </cell>
          <cell r="E17070" t="str">
            <v>Other Independent Special School</v>
          </cell>
          <cell r="F17070" t="str">
            <v>Not applicable</v>
          </cell>
        </row>
        <row r="17071">
          <cell r="A17071">
            <v>9236002</v>
          </cell>
          <cell r="B17071">
            <v>129505</v>
          </cell>
          <cell r="C17071" t="str">
            <v>Lawrence House School</v>
          </cell>
          <cell r="D17071" t="str">
            <v>Pre LGR (1998) Lancashire</v>
          </cell>
          <cell r="E17071" t="str">
            <v>Other Independent School</v>
          </cell>
          <cell r="F17071" t="str">
            <v>Not applicable</v>
          </cell>
        </row>
        <row r="17072">
          <cell r="A17072">
            <v>3412212</v>
          </cell>
          <cell r="B17072">
            <v>104608</v>
          </cell>
          <cell r="C17072" t="str">
            <v>Lawrence Infants' School</v>
          </cell>
          <cell r="D17072" t="str">
            <v>Liverpool</v>
          </cell>
          <cell r="E17072" t="str">
            <v>Community School</v>
          </cell>
          <cell r="F17072" t="str">
            <v>Primary</v>
          </cell>
        </row>
        <row r="17073">
          <cell r="A17073">
            <v>3412211</v>
          </cell>
          <cell r="B17073">
            <v>104607</v>
          </cell>
          <cell r="C17073" t="str">
            <v>Lawrence Junior School</v>
          </cell>
          <cell r="D17073" t="str">
            <v>Liverpool</v>
          </cell>
          <cell r="E17073" t="str">
            <v>Community School</v>
          </cell>
          <cell r="F17073" t="str">
            <v>Primary</v>
          </cell>
        </row>
        <row r="17074">
          <cell r="A17074">
            <v>3834480</v>
          </cell>
          <cell r="B17074">
            <v>128004</v>
          </cell>
          <cell r="C17074" t="str">
            <v>Lawrence Oates School</v>
          </cell>
          <cell r="D17074" t="str">
            <v>Leeds</v>
          </cell>
          <cell r="E17074" t="str">
            <v>Community School</v>
          </cell>
          <cell r="F17074" t="str">
            <v>Secondary</v>
          </cell>
        </row>
        <row r="17075">
          <cell r="A17075">
            <v>9374620</v>
          </cell>
          <cell r="B17075">
            <v>125753</v>
          </cell>
          <cell r="C17075" t="str">
            <v>Lawrence Sheriff School</v>
          </cell>
          <cell r="D17075" t="str">
            <v>Warwickshire</v>
          </cell>
          <cell r="E17075" t="str">
            <v>Voluntary Aided School</v>
          </cell>
          <cell r="F17075" t="str">
            <v>Secondary</v>
          </cell>
        </row>
        <row r="17076">
          <cell r="A17076">
            <v>8014035</v>
          </cell>
          <cell r="B17076">
            <v>109281</v>
          </cell>
          <cell r="C17076" t="str">
            <v>Lawrence Weston School</v>
          </cell>
          <cell r="D17076" t="str">
            <v>Bristol City of</v>
          </cell>
          <cell r="E17076" t="str">
            <v>Community School</v>
          </cell>
          <cell r="F17076" t="str">
            <v>Secondary</v>
          </cell>
        </row>
        <row r="17077">
          <cell r="A17077">
            <v>7052048</v>
          </cell>
          <cell r="B17077">
            <v>132450</v>
          </cell>
          <cell r="C17077" t="str">
            <v>Laxey Primary School</v>
          </cell>
          <cell r="D17077" t="str">
            <v>Isle of Man Offshore Establishments</v>
          </cell>
          <cell r="E17077" t="str">
            <v>Offshore Schools</v>
          </cell>
          <cell r="F17077" t="str">
            <v>Not applicable</v>
          </cell>
        </row>
        <row r="17078">
          <cell r="A17078">
            <v>9286051</v>
          </cell>
          <cell r="B17078">
            <v>122141</v>
          </cell>
          <cell r="C17078" t="str">
            <v>Laxton Junior School</v>
          </cell>
          <cell r="D17078" t="str">
            <v>Northamptonshire</v>
          </cell>
          <cell r="E17078" t="str">
            <v>Other Independent School</v>
          </cell>
          <cell r="F17078" t="str">
            <v>Not applicable</v>
          </cell>
        </row>
        <row r="17079">
          <cell r="A17079">
            <v>9286006</v>
          </cell>
          <cell r="B17079">
            <v>122128</v>
          </cell>
          <cell r="C17079" t="str">
            <v>Laxton School</v>
          </cell>
          <cell r="D17079" t="str">
            <v>Northamptonshire</v>
          </cell>
          <cell r="E17079" t="str">
            <v>Other Independent School</v>
          </cell>
          <cell r="F17079" t="str">
            <v>Not applicable</v>
          </cell>
        </row>
        <row r="17080">
          <cell r="A17080">
            <v>2062379</v>
          </cell>
          <cell r="B17080">
            <v>100411</v>
          </cell>
          <cell r="C17080" t="str">
            <v>Laycock Primary School</v>
          </cell>
          <cell r="D17080" t="str">
            <v>Islington</v>
          </cell>
          <cell r="E17080" t="str">
            <v>Community School</v>
          </cell>
          <cell r="F17080" t="str">
            <v>Primary</v>
          </cell>
        </row>
        <row r="17081">
          <cell r="A17081">
            <v>3802126</v>
          </cell>
          <cell r="B17081">
            <v>107263</v>
          </cell>
          <cell r="C17081" t="str">
            <v>Laycock Primary School</v>
          </cell>
          <cell r="D17081" t="str">
            <v>Bradford</v>
          </cell>
          <cell r="E17081" t="str">
            <v>Community School</v>
          </cell>
          <cell r="F17081" t="str">
            <v>Primary</v>
          </cell>
        </row>
        <row r="17082">
          <cell r="A17082">
            <v>8813026</v>
          </cell>
          <cell r="B17082">
            <v>115080</v>
          </cell>
          <cell r="C17082" t="str">
            <v>Layer-de-la-Haye Church of England Voluntary Controlled Primary School</v>
          </cell>
          <cell r="D17082" t="str">
            <v>Essex</v>
          </cell>
          <cell r="E17082" t="str">
            <v>Voluntary Controlled School</v>
          </cell>
          <cell r="F17082" t="str">
            <v>Primary</v>
          </cell>
        </row>
        <row r="17083">
          <cell r="A17083">
            <v>8082324</v>
          </cell>
          <cell r="B17083">
            <v>111624</v>
          </cell>
          <cell r="C17083" t="str">
            <v>Layfield Primary School</v>
          </cell>
          <cell r="D17083" t="str">
            <v>Stockton-on-Tees</v>
          </cell>
          <cell r="E17083" t="str">
            <v>Community School</v>
          </cell>
          <cell r="F17083" t="str">
            <v>Primary</v>
          </cell>
        </row>
        <row r="17084">
          <cell r="A17084">
            <v>3932015</v>
          </cell>
          <cell r="B17084">
            <v>108672</v>
          </cell>
          <cell r="C17084" t="str">
            <v>Laygate Community School</v>
          </cell>
          <cell r="D17084" t="str">
            <v>South Tyneside</v>
          </cell>
          <cell r="E17084" t="str">
            <v>Community School</v>
          </cell>
          <cell r="F17084" t="str">
            <v>Primary</v>
          </cell>
        </row>
        <row r="17085">
          <cell r="A17085">
            <v>3931003</v>
          </cell>
          <cell r="B17085">
            <v>128172</v>
          </cell>
          <cell r="C17085" t="str">
            <v>Laygate Nursery School</v>
          </cell>
          <cell r="D17085" t="str">
            <v>South Tyneside</v>
          </cell>
          <cell r="E17085" t="str">
            <v>LA Nursery School</v>
          </cell>
          <cell r="F17085" t="str">
            <v>Nursery</v>
          </cell>
        </row>
        <row r="17086">
          <cell r="A17086">
            <v>9193011</v>
          </cell>
          <cell r="B17086">
            <v>117390</v>
          </cell>
          <cell r="C17086" t="str">
            <v>Layston Church of England First School</v>
          </cell>
          <cell r="D17086" t="str">
            <v>Hertfordshire</v>
          </cell>
          <cell r="E17086" t="str">
            <v>Voluntary Controlled School</v>
          </cell>
          <cell r="F17086" t="str">
            <v>Primary</v>
          </cell>
        </row>
        <row r="17087">
          <cell r="A17087">
            <v>8902208</v>
          </cell>
          <cell r="B17087">
            <v>119246</v>
          </cell>
          <cell r="C17087" t="str">
            <v>Layton Primary School</v>
          </cell>
          <cell r="D17087" t="str">
            <v>Blackpool</v>
          </cell>
          <cell r="E17087" t="str">
            <v>Community School</v>
          </cell>
          <cell r="F17087" t="str">
            <v>Primary</v>
          </cell>
        </row>
        <row r="17088">
          <cell r="A17088">
            <v>9093310</v>
          </cell>
          <cell r="B17088">
            <v>112304</v>
          </cell>
          <cell r="C17088" t="str">
            <v>Lazonby CofE School</v>
          </cell>
          <cell r="D17088" t="str">
            <v>Cumbria</v>
          </cell>
          <cell r="E17088" t="str">
            <v>Voluntary Aided School</v>
          </cell>
          <cell r="F17088" t="str">
            <v>Primary</v>
          </cell>
        </row>
        <row r="17089">
          <cell r="A17089">
            <v>2056387</v>
          </cell>
          <cell r="B17089">
            <v>100376</v>
          </cell>
          <cell r="C17089" t="str">
            <v>Le Herisson School</v>
          </cell>
          <cell r="D17089" t="str">
            <v>Hammersmith and Fulham</v>
          </cell>
          <cell r="E17089" t="str">
            <v>Other Independent School</v>
          </cell>
          <cell r="F17089" t="str">
            <v>Not applicable</v>
          </cell>
        </row>
        <row r="17090">
          <cell r="A17090">
            <v>7067003</v>
          </cell>
          <cell r="B17090">
            <v>132518</v>
          </cell>
          <cell r="C17090" t="str">
            <v>Le Murier</v>
          </cell>
          <cell r="D17090" t="str">
            <v>Guernsey Offshore Establishments</v>
          </cell>
          <cell r="E17090" t="str">
            <v>Offshore Schools</v>
          </cell>
          <cell r="F17090" t="str">
            <v>Not applicable</v>
          </cell>
        </row>
        <row r="17091">
          <cell r="A17091">
            <v>7074004</v>
          </cell>
          <cell r="B17091">
            <v>132496</v>
          </cell>
          <cell r="C17091" t="str">
            <v>Le Rocquier School</v>
          </cell>
          <cell r="D17091" t="str">
            <v>Jersey Offshore Establishments</v>
          </cell>
          <cell r="E17091" t="str">
            <v>Offshore Schools</v>
          </cell>
          <cell r="F17091" t="str">
            <v>Not applicable</v>
          </cell>
        </row>
        <row r="17092">
          <cell r="A17092">
            <v>7067004</v>
          </cell>
          <cell r="B17092">
            <v>135087</v>
          </cell>
          <cell r="C17092" t="str">
            <v>Le Rondin School</v>
          </cell>
          <cell r="D17092" t="str">
            <v>Guernsey Offshore Establishments</v>
          </cell>
          <cell r="E17092" t="str">
            <v>Offshore Schools</v>
          </cell>
          <cell r="F17092" t="str">
            <v>Not applicable</v>
          </cell>
        </row>
        <row r="17093">
          <cell r="A17093">
            <v>8653104</v>
          </cell>
          <cell r="B17093">
            <v>126335</v>
          </cell>
          <cell r="C17093" t="str">
            <v>Lea and Garsdon Church of England Primary School</v>
          </cell>
          <cell r="D17093" t="str">
            <v>Wiltshire</v>
          </cell>
          <cell r="E17093" t="str">
            <v>Voluntary Controlled School</v>
          </cell>
          <cell r="F17093" t="str">
            <v>Primary</v>
          </cell>
        </row>
        <row r="17094">
          <cell r="A17094">
            <v>8211022</v>
          </cell>
          <cell r="B17094">
            <v>131174</v>
          </cell>
          <cell r="C17094" t="str">
            <v>Lea Bank Nursery</v>
          </cell>
          <cell r="D17094" t="str">
            <v>Luton</v>
          </cell>
          <cell r="E17094" t="str">
            <v>LA Nursery School</v>
          </cell>
          <cell r="F17094" t="str">
            <v>Nursery</v>
          </cell>
        </row>
        <row r="17095">
          <cell r="A17095">
            <v>8843347</v>
          </cell>
          <cell r="B17095">
            <v>116892</v>
          </cell>
          <cell r="C17095" t="str">
            <v>Lea CofE Primary School</v>
          </cell>
          <cell r="D17095" t="str">
            <v>Herefordshire</v>
          </cell>
          <cell r="E17095" t="str">
            <v>Voluntary Aided School</v>
          </cell>
          <cell r="F17095" t="str">
            <v>Primary</v>
          </cell>
        </row>
        <row r="17096">
          <cell r="A17096">
            <v>8882054</v>
          </cell>
          <cell r="B17096">
            <v>119155</v>
          </cell>
          <cell r="C17096" t="str">
            <v>Lea Community Primary School</v>
          </cell>
          <cell r="D17096" t="str">
            <v>Lancashire</v>
          </cell>
          <cell r="E17096" t="str">
            <v>Community School</v>
          </cell>
          <cell r="F17096" t="str">
            <v>Primary</v>
          </cell>
        </row>
        <row r="17097">
          <cell r="A17097">
            <v>9192172</v>
          </cell>
          <cell r="B17097">
            <v>117190</v>
          </cell>
          <cell r="C17097" t="str">
            <v>Lea Farm Junior School</v>
          </cell>
          <cell r="D17097" t="str">
            <v>Hertfordshire</v>
          </cell>
          <cell r="E17097" t="str">
            <v>Community School</v>
          </cell>
          <cell r="F17097" t="str">
            <v>Primary</v>
          </cell>
        </row>
        <row r="17098">
          <cell r="A17098">
            <v>3207004</v>
          </cell>
          <cell r="B17098">
            <v>103116</v>
          </cell>
          <cell r="C17098" t="str">
            <v>Lea Green School (Special Needs)</v>
          </cell>
          <cell r="D17098" t="str">
            <v>Waltham Forest</v>
          </cell>
          <cell r="E17098" t="str">
            <v>Community Special School</v>
          </cell>
          <cell r="F17098" t="str">
            <v>Special</v>
          </cell>
        </row>
        <row r="17099">
          <cell r="A17099">
            <v>9186080</v>
          </cell>
          <cell r="B17099">
            <v>117023</v>
          </cell>
          <cell r="C17099" t="str">
            <v>Lea House School</v>
          </cell>
          <cell r="D17099" t="str">
            <v>Pre LGR (1998) Hereford &amp; Worcester</v>
          </cell>
          <cell r="E17099" t="str">
            <v>Other Independent School</v>
          </cell>
          <cell r="F17099" t="str">
            <v>Not applicable</v>
          </cell>
        </row>
        <row r="17100">
          <cell r="A17100">
            <v>8712198</v>
          </cell>
          <cell r="B17100">
            <v>109904</v>
          </cell>
          <cell r="C17100" t="str">
            <v>Lea Infant School</v>
          </cell>
          <cell r="D17100" t="str">
            <v>Slough</v>
          </cell>
          <cell r="E17100" t="str">
            <v>Community School</v>
          </cell>
          <cell r="F17100" t="str">
            <v>Primary</v>
          </cell>
        </row>
        <row r="17101">
          <cell r="A17101">
            <v>8712201</v>
          </cell>
          <cell r="B17101">
            <v>109906</v>
          </cell>
          <cell r="C17101" t="str">
            <v>Lea Junior School</v>
          </cell>
          <cell r="D17101" t="str">
            <v>Slough</v>
          </cell>
          <cell r="E17101" t="str">
            <v>Community School</v>
          </cell>
          <cell r="F17101" t="str">
            <v>Primary</v>
          </cell>
        </row>
        <row r="17102">
          <cell r="A17102">
            <v>8215405</v>
          </cell>
          <cell r="B17102">
            <v>109709</v>
          </cell>
          <cell r="C17102" t="str">
            <v>Lea Manor High School Performing Arts College</v>
          </cell>
          <cell r="D17102" t="str">
            <v>Luton</v>
          </cell>
          <cell r="E17102" t="str">
            <v>Foundation School</v>
          </cell>
          <cell r="F17102" t="str">
            <v>Secondary</v>
          </cell>
        </row>
        <row r="17103">
          <cell r="A17103">
            <v>8883582</v>
          </cell>
          <cell r="B17103">
            <v>119567</v>
          </cell>
          <cell r="C17103" t="str">
            <v>Lea Neeld's Endowed Church of England Primary School</v>
          </cell>
          <cell r="D17103" t="str">
            <v>Lancashire</v>
          </cell>
          <cell r="E17103" t="str">
            <v>Voluntary Aided School</v>
          </cell>
          <cell r="F17103" t="str">
            <v>Primary</v>
          </cell>
        </row>
        <row r="17104">
          <cell r="A17104">
            <v>8711023</v>
          </cell>
          <cell r="B17104">
            <v>109763</v>
          </cell>
          <cell r="C17104" t="str">
            <v>Lea Nursery School</v>
          </cell>
          <cell r="D17104" t="str">
            <v>Slough</v>
          </cell>
          <cell r="E17104" t="str">
            <v>LA Nursery School</v>
          </cell>
          <cell r="F17104" t="str">
            <v>Nursery</v>
          </cell>
        </row>
        <row r="17105">
          <cell r="A17105">
            <v>8302084</v>
          </cell>
          <cell r="B17105">
            <v>112536</v>
          </cell>
          <cell r="C17105" t="str">
            <v>Lea Primary School</v>
          </cell>
          <cell r="D17105" t="str">
            <v>Derbyshire</v>
          </cell>
          <cell r="E17105" t="str">
            <v>Community School</v>
          </cell>
          <cell r="F17105" t="str">
            <v>Primary</v>
          </cell>
        </row>
        <row r="17106">
          <cell r="A17106">
            <v>8883726</v>
          </cell>
          <cell r="B17106">
            <v>119634</v>
          </cell>
          <cell r="C17106" t="str">
            <v>Lea St Mary's Catholic Primary School</v>
          </cell>
          <cell r="D17106" t="str">
            <v>Lancashire</v>
          </cell>
          <cell r="E17106" t="str">
            <v>Voluntary Aided School</v>
          </cell>
          <cell r="F17106" t="str">
            <v>Primary</v>
          </cell>
        </row>
        <row r="17107">
          <cell r="A17107">
            <v>9191100</v>
          </cell>
          <cell r="B17107">
            <v>117082</v>
          </cell>
          <cell r="C17107" t="str">
            <v>Lea Valley Education Support Centre</v>
          </cell>
          <cell r="D17107" t="str">
            <v>Hertfordshire</v>
          </cell>
          <cell r="E17107" t="str">
            <v>Pupil Referral Unit</v>
          </cell>
          <cell r="F17107" t="str">
            <v>PRU</v>
          </cell>
        </row>
        <row r="17108">
          <cell r="A17108">
            <v>3084038</v>
          </cell>
          <cell r="B17108">
            <v>102050</v>
          </cell>
          <cell r="C17108" t="str">
            <v>Lea Valley High School</v>
          </cell>
          <cell r="D17108" t="str">
            <v>Enfield</v>
          </cell>
          <cell r="E17108" t="str">
            <v>Community School</v>
          </cell>
          <cell r="F17108" t="str">
            <v>Secondary</v>
          </cell>
        </row>
        <row r="17109">
          <cell r="A17109">
            <v>3092063</v>
          </cell>
          <cell r="B17109">
            <v>102125</v>
          </cell>
          <cell r="C17109" t="str">
            <v>Lea Valley Primary School</v>
          </cell>
          <cell r="D17109" t="str">
            <v>Haringey</v>
          </cell>
          <cell r="E17109" t="str">
            <v>Community School</v>
          </cell>
          <cell r="F17109" t="str">
            <v>Primary</v>
          </cell>
        </row>
        <row r="17110">
          <cell r="A17110">
            <v>8881108</v>
          </cell>
          <cell r="B17110">
            <v>119111</v>
          </cell>
          <cell r="C17110" t="str">
            <v>Leabrook School</v>
          </cell>
          <cell r="D17110" t="str">
            <v>Lancashire</v>
          </cell>
          <cell r="E17110" t="str">
            <v>Pupil Referral Unit</v>
          </cell>
          <cell r="F17110" t="str">
            <v>PRU</v>
          </cell>
        </row>
        <row r="17111">
          <cell r="A17111">
            <v>3527040</v>
          </cell>
          <cell r="B17111">
            <v>105612</v>
          </cell>
          <cell r="C17111" t="str">
            <v>Leacroft School</v>
          </cell>
          <cell r="D17111" t="str">
            <v>Manchester</v>
          </cell>
          <cell r="E17111" t="str">
            <v>Community Special School</v>
          </cell>
          <cell r="F17111" t="str">
            <v>Special</v>
          </cell>
        </row>
        <row r="17112">
          <cell r="A17112">
            <v>9367039</v>
          </cell>
          <cell r="B17112">
            <v>130140</v>
          </cell>
          <cell r="C17112" t="str">
            <v>Leacroft School</v>
          </cell>
          <cell r="D17112" t="str">
            <v>Surrey</v>
          </cell>
          <cell r="E17112" t="str">
            <v>Community Special School</v>
          </cell>
          <cell r="F17112" t="str">
            <v>Special</v>
          </cell>
        </row>
        <row r="17113">
          <cell r="A17113">
            <v>8656011</v>
          </cell>
          <cell r="B17113">
            <v>126520</v>
          </cell>
          <cell r="C17113" t="str">
            <v>Leaden Hall School</v>
          </cell>
          <cell r="D17113" t="str">
            <v>Wiltshire</v>
          </cell>
          <cell r="E17113" t="str">
            <v>Other Independent School</v>
          </cell>
          <cell r="F17113" t="str">
            <v>Not applicable</v>
          </cell>
        </row>
        <row r="17114">
          <cell r="A17114">
            <v>9253319</v>
          </cell>
          <cell r="B17114">
            <v>120604</v>
          </cell>
          <cell r="C17114" t="str">
            <v>Leadenham Church of England Primary School</v>
          </cell>
          <cell r="D17114" t="str">
            <v>Lincolnshire</v>
          </cell>
          <cell r="E17114" t="str">
            <v>Voluntary Aided School</v>
          </cell>
          <cell r="F17114" t="str">
            <v>Primary</v>
          </cell>
        </row>
        <row r="17115">
          <cell r="A17115">
            <v>8402259</v>
          </cell>
          <cell r="B17115">
            <v>114039</v>
          </cell>
          <cell r="C17115" t="str">
            <v>Leadgate Community Junior School</v>
          </cell>
          <cell r="D17115" t="str">
            <v>Durham</v>
          </cell>
          <cell r="E17115" t="str">
            <v>Community School</v>
          </cell>
          <cell r="F17115" t="str">
            <v>Primary</v>
          </cell>
        </row>
        <row r="17116">
          <cell r="A17116">
            <v>8402260</v>
          </cell>
          <cell r="B17116">
            <v>114040</v>
          </cell>
          <cell r="C17116" t="str">
            <v>Leadgate Infant &amp; Nursery School</v>
          </cell>
          <cell r="D17116" t="str">
            <v>Durham</v>
          </cell>
          <cell r="E17116" t="str">
            <v>Community School</v>
          </cell>
          <cell r="F17116" t="str">
            <v>Primary</v>
          </cell>
        </row>
        <row r="17117">
          <cell r="A17117">
            <v>8752319</v>
          </cell>
          <cell r="B17117">
            <v>111139</v>
          </cell>
          <cell r="C17117" t="str">
            <v>Leaf Lane Infant and Nursery School</v>
          </cell>
          <cell r="D17117" t="str">
            <v>Pre LGR (2009) Cheshire</v>
          </cell>
          <cell r="E17117" t="str">
            <v>Community School</v>
          </cell>
          <cell r="F17117" t="str">
            <v>Primary</v>
          </cell>
        </row>
        <row r="17118">
          <cell r="A17118">
            <v>9313124</v>
          </cell>
          <cell r="B17118">
            <v>123109</v>
          </cell>
          <cell r="C17118" t="str">
            <v>Leafield Church of England (Controlled) Primary School</v>
          </cell>
          <cell r="D17118" t="str">
            <v>Oxfordshire</v>
          </cell>
          <cell r="E17118" t="str">
            <v>Voluntary Controlled School</v>
          </cell>
          <cell r="F17118" t="str">
            <v>Primary</v>
          </cell>
        </row>
        <row r="17119">
          <cell r="A17119">
            <v>8212236</v>
          </cell>
          <cell r="B17119">
            <v>109545</v>
          </cell>
          <cell r="C17119" t="str">
            <v>Leagrave Infant School</v>
          </cell>
          <cell r="D17119" t="str">
            <v>Luton</v>
          </cell>
          <cell r="E17119" t="str">
            <v>Community School</v>
          </cell>
          <cell r="F17119" t="str">
            <v>Primary</v>
          </cell>
        </row>
        <row r="17120">
          <cell r="A17120">
            <v>8212235</v>
          </cell>
          <cell r="B17120">
            <v>109544</v>
          </cell>
          <cell r="C17120" t="str">
            <v>Leagrave Junior School</v>
          </cell>
          <cell r="D17120" t="str">
            <v>Luton</v>
          </cell>
          <cell r="E17120" t="str">
            <v>Community School</v>
          </cell>
          <cell r="F17120" t="str">
            <v>Primary</v>
          </cell>
        </row>
        <row r="17121">
          <cell r="A17121">
            <v>8212002</v>
          </cell>
          <cell r="B17121">
            <v>131851</v>
          </cell>
          <cell r="C17121" t="str">
            <v>Leagrave Primary School</v>
          </cell>
          <cell r="D17121" t="str">
            <v>Luton</v>
          </cell>
          <cell r="E17121" t="str">
            <v>Community School</v>
          </cell>
          <cell r="F17121" t="str">
            <v>Primary</v>
          </cell>
        </row>
        <row r="17122">
          <cell r="A17122">
            <v>8214111</v>
          </cell>
          <cell r="B17122">
            <v>109686</v>
          </cell>
          <cell r="C17122" t="str">
            <v>Lealands High School</v>
          </cell>
          <cell r="D17122" t="str">
            <v>Luton</v>
          </cell>
          <cell r="E17122" t="str">
            <v>Community School</v>
          </cell>
          <cell r="F17122" t="str">
            <v>Secondary</v>
          </cell>
        </row>
        <row r="17123">
          <cell r="A17123">
            <v>8152042</v>
          </cell>
          <cell r="B17123">
            <v>121295</v>
          </cell>
          <cell r="C17123" t="str">
            <v>Lealholm Primary School</v>
          </cell>
          <cell r="D17123" t="str">
            <v>North Yorkshire</v>
          </cell>
          <cell r="E17123" t="str">
            <v>Community School</v>
          </cell>
          <cell r="F17123" t="str">
            <v>Primary</v>
          </cell>
        </row>
        <row r="17124">
          <cell r="A17124">
            <v>3413021</v>
          </cell>
          <cell r="B17124">
            <v>133333</v>
          </cell>
          <cell r="C17124" t="str">
            <v>Leamington Community Primary School</v>
          </cell>
          <cell r="D17124" t="str">
            <v>Liverpool</v>
          </cell>
          <cell r="E17124" t="str">
            <v>Community School</v>
          </cell>
          <cell r="F17124" t="str">
            <v>Primary</v>
          </cell>
        </row>
        <row r="17125">
          <cell r="A17125">
            <v>9373180</v>
          </cell>
          <cell r="B17125">
            <v>125672</v>
          </cell>
          <cell r="C17125" t="str">
            <v>Leamington Hastings CofE Infant School</v>
          </cell>
          <cell r="D17125" t="str">
            <v>Warwickshire</v>
          </cell>
          <cell r="E17125" t="str">
            <v>Voluntary Controlled School</v>
          </cell>
          <cell r="F17125" t="str">
            <v>Primary</v>
          </cell>
        </row>
        <row r="17126">
          <cell r="A17126">
            <v>3412090</v>
          </cell>
          <cell r="B17126">
            <v>104552</v>
          </cell>
          <cell r="C17126" t="str">
            <v>Leamington Infants' School</v>
          </cell>
          <cell r="D17126" t="str">
            <v>Liverpool</v>
          </cell>
          <cell r="E17126" t="str">
            <v>Community School</v>
          </cell>
          <cell r="F17126" t="str">
            <v>Primary</v>
          </cell>
        </row>
        <row r="17127">
          <cell r="A17127">
            <v>3412089</v>
          </cell>
          <cell r="B17127">
            <v>104551</v>
          </cell>
          <cell r="C17127" t="str">
            <v>Leamington Junior School</v>
          </cell>
          <cell r="D17127" t="str">
            <v>Liverpool</v>
          </cell>
          <cell r="E17127" t="str">
            <v>Community School</v>
          </cell>
          <cell r="F17127" t="str">
            <v>Primary</v>
          </cell>
        </row>
        <row r="17128">
          <cell r="A17128">
            <v>8912134</v>
          </cell>
          <cell r="B17128">
            <v>122467</v>
          </cell>
          <cell r="C17128" t="str">
            <v>Leamington Primary and Nursery School</v>
          </cell>
          <cell r="D17128" t="str">
            <v>Nottinghamshire</v>
          </cell>
          <cell r="E17128" t="str">
            <v>Community School</v>
          </cell>
          <cell r="F17128" t="str">
            <v>Primary</v>
          </cell>
        </row>
        <row r="17129">
          <cell r="A17129">
            <v>3352024</v>
          </cell>
          <cell r="B17129">
            <v>104157</v>
          </cell>
          <cell r="C17129" t="str">
            <v>Leamore Primary School</v>
          </cell>
          <cell r="D17129" t="str">
            <v>Walsall</v>
          </cell>
          <cell r="E17129" t="str">
            <v>Community School</v>
          </cell>
          <cell r="F17129" t="str">
            <v>Primary</v>
          </cell>
        </row>
        <row r="17130">
          <cell r="A17130">
            <v>3077904</v>
          </cell>
          <cell r="B17130">
            <v>131911</v>
          </cell>
          <cell r="C17130" t="str">
            <v>Leap Service -  the National Autistics Society</v>
          </cell>
          <cell r="D17130" t="str">
            <v>Ealing</v>
          </cell>
          <cell r="E17130" t="str">
            <v>Special College</v>
          </cell>
          <cell r="F17130" t="str">
            <v>16 Plus</v>
          </cell>
        </row>
        <row r="17131">
          <cell r="A17131">
            <v>8886089</v>
          </cell>
          <cell r="B17131">
            <v>129571</v>
          </cell>
          <cell r="C17131" t="str">
            <v>Learn 4 Life</v>
          </cell>
          <cell r="D17131" t="str">
            <v>Lancashire</v>
          </cell>
          <cell r="E17131" t="str">
            <v>Other Independent Special School</v>
          </cell>
          <cell r="F17131" t="str">
            <v>Not applicable</v>
          </cell>
        </row>
        <row r="17132">
          <cell r="A17132">
            <v>8936024</v>
          </cell>
          <cell r="B17132">
            <v>131807</v>
          </cell>
          <cell r="C17132" t="str">
            <v>Learning for Life Education Centre</v>
          </cell>
          <cell r="D17132" t="str">
            <v>Shropshire</v>
          </cell>
          <cell r="E17132" t="str">
            <v>Other Independent Special School</v>
          </cell>
          <cell r="F17132" t="str">
            <v>Not applicable</v>
          </cell>
        </row>
        <row r="17133">
          <cell r="A17133">
            <v>8866068</v>
          </cell>
          <cell r="B17133">
            <v>119019</v>
          </cell>
          <cell r="C17133" t="str">
            <v>Learning Opportunities Centre Middle</v>
          </cell>
          <cell r="D17133" t="str">
            <v>Kent</v>
          </cell>
          <cell r="E17133" t="str">
            <v>Other Independent Special School</v>
          </cell>
          <cell r="F17133" t="str">
            <v>Not applicable</v>
          </cell>
        </row>
        <row r="17134">
          <cell r="A17134">
            <v>8866063</v>
          </cell>
          <cell r="B17134">
            <v>119013</v>
          </cell>
          <cell r="C17134" t="str">
            <v>Learning Opportunities Centre Secondary</v>
          </cell>
          <cell r="D17134" t="str">
            <v>Kent</v>
          </cell>
          <cell r="E17134" t="str">
            <v>Other Independent Special School</v>
          </cell>
          <cell r="F17134" t="str">
            <v>Not applicable</v>
          </cell>
        </row>
        <row r="17135">
          <cell r="A17135">
            <v>3201105</v>
          </cell>
          <cell r="B17135">
            <v>135558</v>
          </cell>
          <cell r="C17135" t="str">
            <v>Learning Support Centre</v>
          </cell>
          <cell r="D17135" t="str">
            <v>Waltham Forest</v>
          </cell>
          <cell r="E17135" t="str">
            <v>Pupil Referral Unit</v>
          </cell>
          <cell r="F17135" t="str">
            <v>PRU</v>
          </cell>
        </row>
        <row r="17136">
          <cell r="A17136">
            <v>6801101</v>
          </cell>
          <cell r="B17136">
            <v>402145</v>
          </cell>
          <cell r="C17136" t="str">
            <v>Learning Support Progress Centre (EOTAS)</v>
          </cell>
          <cell r="D17136" t="str">
            <v>Newport</v>
          </cell>
          <cell r="E17136" t="str">
            <v>Welsh Establishment</v>
          </cell>
          <cell r="F17136" t="str">
            <v>Not applicable</v>
          </cell>
        </row>
        <row r="17137">
          <cell r="A17137">
            <v>9359903</v>
          </cell>
          <cell r="B17137">
            <v>133239</v>
          </cell>
          <cell r="C17137" t="str">
            <v>Learning Support, Northern Area Education Office</v>
          </cell>
          <cell r="D17137" t="str">
            <v>Suffolk</v>
          </cell>
          <cell r="E17137" t="str">
            <v>Miscellaneous</v>
          </cell>
          <cell r="F17137" t="str">
            <v>Not applicable</v>
          </cell>
        </row>
        <row r="17138">
          <cell r="A17138">
            <v>9359901</v>
          </cell>
          <cell r="B17138">
            <v>133237</v>
          </cell>
          <cell r="C17138" t="str">
            <v>Learning Support, Southern Area Education Office</v>
          </cell>
          <cell r="D17138" t="str">
            <v>Suffolk</v>
          </cell>
          <cell r="E17138" t="str">
            <v>Miscellaneous</v>
          </cell>
          <cell r="F17138" t="str">
            <v>Not applicable</v>
          </cell>
        </row>
        <row r="17139">
          <cell r="A17139">
            <v>9359902</v>
          </cell>
          <cell r="B17139">
            <v>133238</v>
          </cell>
          <cell r="C17139" t="str">
            <v>Learning Support, Western Area Education Office</v>
          </cell>
          <cell r="D17139" t="str">
            <v>Suffolk</v>
          </cell>
          <cell r="E17139" t="str">
            <v>Miscellaneous</v>
          </cell>
          <cell r="F17139" t="str">
            <v>Not applicable</v>
          </cell>
        </row>
        <row r="17140">
          <cell r="A17140">
            <v>826940</v>
          </cell>
          <cell r="B17140">
            <v>135415</v>
          </cell>
          <cell r="C17140" t="str">
            <v>Learning@Thecowshed Mk</v>
          </cell>
          <cell r="D17140" t="str">
            <v>Milton Keynes</v>
          </cell>
          <cell r="E17140" t="str">
            <v>Playing for Success Centres</v>
          </cell>
          <cell r="F17140" t="str">
            <v>Not applicable</v>
          </cell>
        </row>
        <row r="17141">
          <cell r="A17141">
            <v>919941</v>
          </cell>
          <cell r="B17141">
            <v>135183</v>
          </cell>
          <cell r="C17141" t="str">
            <v>Learnit@Hitchin Town Study Support Centre</v>
          </cell>
          <cell r="D17141" t="str">
            <v>Hertfordshire</v>
          </cell>
          <cell r="E17141" t="str">
            <v>Playing for Success Centres</v>
          </cell>
          <cell r="F17141" t="str">
            <v>Not applicable</v>
          </cell>
        </row>
        <row r="17142">
          <cell r="A17142">
            <v>8912094</v>
          </cell>
          <cell r="B17142">
            <v>122441</v>
          </cell>
          <cell r="C17142" t="str">
            <v>Leas Park Junior School</v>
          </cell>
          <cell r="D17142" t="str">
            <v>Nottinghamshire</v>
          </cell>
          <cell r="E17142" t="str">
            <v>Community School</v>
          </cell>
          <cell r="F17142" t="str">
            <v>Primary</v>
          </cell>
        </row>
        <row r="17143">
          <cell r="A17143">
            <v>3441001</v>
          </cell>
          <cell r="B17143">
            <v>104985</v>
          </cell>
          <cell r="C17143" t="str">
            <v>Leasowe Early Years and Adult Learning Centre</v>
          </cell>
          <cell r="D17143" t="str">
            <v>Wirral</v>
          </cell>
          <cell r="E17143" t="str">
            <v>LA Nursery School</v>
          </cell>
          <cell r="F17143" t="str">
            <v>Nursery</v>
          </cell>
        </row>
        <row r="17144">
          <cell r="A17144">
            <v>3442268</v>
          </cell>
          <cell r="B17144">
            <v>105055</v>
          </cell>
          <cell r="C17144" t="str">
            <v>Leasowe Primary School</v>
          </cell>
          <cell r="D17144" t="str">
            <v>Wirral</v>
          </cell>
          <cell r="E17144" t="str">
            <v>Community School</v>
          </cell>
          <cell r="F17144" t="str">
            <v>Primary</v>
          </cell>
        </row>
        <row r="17145">
          <cell r="A17145">
            <v>3324110</v>
          </cell>
          <cell r="B17145">
            <v>103861</v>
          </cell>
          <cell r="C17145" t="str">
            <v>Leasowes Community College</v>
          </cell>
          <cell r="D17145" t="str">
            <v>Dudley</v>
          </cell>
          <cell r="E17145" t="str">
            <v>Foundation School</v>
          </cell>
          <cell r="F17145" t="str">
            <v>Secondary</v>
          </cell>
        </row>
        <row r="17146">
          <cell r="A17146">
            <v>8602278</v>
          </cell>
          <cell r="B17146">
            <v>124128</v>
          </cell>
          <cell r="C17146" t="str">
            <v>Leasowes Infants' School</v>
          </cell>
          <cell r="D17146" t="str">
            <v>Staffordshire</v>
          </cell>
          <cell r="E17146" t="str">
            <v>Community School</v>
          </cell>
          <cell r="F17146" t="str">
            <v>Primary</v>
          </cell>
        </row>
        <row r="17147">
          <cell r="A17147">
            <v>8602292</v>
          </cell>
          <cell r="B17147">
            <v>124129</v>
          </cell>
          <cell r="C17147" t="str">
            <v>Leasowes Junior School</v>
          </cell>
          <cell r="D17147" t="str">
            <v>Staffordshire</v>
          </cell>
          <cell r="E17147" t="str">
            <v>Community School</v>
          </cell>
          <cell r="F17147" t="str">
            <v>Primary</v>
          </cell>
        </row>
        <row r="17148">
          <cell r="A17148">
            <v>3332137</v>
          </cell>
          <cell r="B17148">
            <v>103951</v>
          </cell>
          <cell r="C17148" t="str">
            <v>Leasowes Primary School</v>
          </cell>
          <cell r="D17148" t="str">
            <v>Sandwell</v>
          </cell>
          <cell r="E17148" t="str">
            <v>Community School</v>
          </cell>
          <cell r="F17148" t="str">
            <v>Primary</v>
          </cell>
        </row>
        <row r="17149">
          <cell r="A17149">
            <v>8603498</v>
          </cell>
          <cell r="B17149">
            <v>131568</v>
          </cell>
          <cell r="C17149" t="str">
            <v>Leasowes Primary School</v>
          </cell>
          <cell r="D17149" t="str">
            <v>Staffordshire</v>
          </cell>
          <cell r="E17149" t="str">
            <v>Community School</v>
          </cell>
          <cell r="F17149" t="str">
            <v>Primary</v>
          </cell>
        </row>
        <row r="17150">
          <cell r="A17150">
            <v>9363940</v>
          </cell>
          <cell r="B17150">
            <v>135009</v>
          </cell>
          <cell r="C17150" t="str">
            <v>Leatherhead Trinity School and Children's Centre</v>
          </cell>
          <cell r="D17150" t="str">
            <v>Surrey</v>
          </cell>
          <cell r="E17150" t="str">
            <v>Voluntary Controlled School</v>
          </cell>
          <cell r="F17150" t="str">
            <v>Primary</v>
          </cell>
        </row>
        <row r="17151">
          <cell r="A17151">
            <v>9232271</v>
          </cell>
          <cell r="B17151">
            <v>129470</v>
          </cell>
          <cell r="C17151" t="str">
            <v>Leavengreave County School</v>
          </cell>
          <cell r="D17151" t="str">
            <v>Pre LGR (1998) Lancashire</v>
          </cell>
          <cell r="E17151" t="str">
            <v>Community School</v>
          </cell>
          <cell r="F17151" t="str">
            <v>Primary</v>
          </cell>
        </row>
        <row r="17152">
          <cell r="A17152">
            <v>8152405</v>
          </cell>
          <cell r="B17152">
            <v>121453</v>
          </cell>
          <cell r="C17152" t="str">
            <v>Leavening Community Primary School</v>
          </cell>
          <cell r="D17152" t="str">
            <v>North Yorkshire</v>
          </cell>
          <cell r="E17152" t="str">
            <v>Community School</v>
          </cell>
          <cell r="F17152" t="str">
            <v>Primary</v>
          </cell>
        </row>
        <row r="17153">
          <cell r="A17153">
            <v>3804060</v>
          </cell>
          <cell r="B17153">
            <v>107384</v>
          </cell>
          <cell r="C17153" t="str">
            <v>Leaventhorpe Middle School</v>
          </cell>
          <cell r="D17153" t="str">
            <v>Bradford</v>
          </cell>
          <cell r="E17153" t="str">
            <v>Community School</v>
          </cell>
          <cell r="F17153" t="str">
            <v>Middle Deemed Secondary</v>
          </cell>
        </row>
        <row r="17154">
          <cell r="A17154">
            <v>9192383</v>
          </cell>
          <cell r="B17154">
            <v>129137</v>
          </cell>
          <cell r="C17154" t="str">
            <v>Leavesden Green Infant School</v>
          </cell>
          <cell r="D17154" t="str">
            <v>Hertfordshire</v>
          </cell>
          <cell r="E17154" t="str">
            <v>Community School</v>
          </cell>
          <cell r="F17154" t="str">
            <v>Primary</v>
          </cell>
        </row>
        <row r="17155">
          <cell r="A17155">
            <v>9192134</v>
          </cell>
          <cell r="B17155">
            <v>129114</v>
          </cell>
          <cell r="C17155" t="str">
            <v>Leavesden Green Junior Mixed School</v>
          </cell>
          <cell r="D17155" t="str">
            <v>Hertfordshire</v>
          </cell>
          <cell r="E17155" t="str">
            <v>Community School</v>
          </cell>
          <cell r="F17155" t="str">
            <v>Primary</v>
          </cell>
        </row>
        <row r="17156">
          <cell r="A17156">
            <v>9192407</v>
          </cell>
          <cell r="B17156">
            <v>117324</v>
          </cell>
          <cell r="C17156" t="str">
            <v>Leavesden JMI School</v>
          </cell>
          <cell r="D17156" t="str">
            <v>Hertfordshire</v>
          </cell>
          <cell r="E17156" t="str">
            <v>Community School</v>
          </cell>
          <cell r="F17156" t="str">
            <v>Primary</v>
          </cell>
        </row>
        <row r="17157">
          <cell r="A17157">
            <v>8883534</v>
          </cell>
          <cell r="B17157">
            <v>119535</v>
          </cell>
          <cell r="C17157" t="str">
            <v>Leck St Peter's Church of England Primary School</v>
          </cell>
          <cell r="D17157" t="str">
            <v>Lancashire</v>
          </cell>
          <cell r="E17157" t="str">
            <v>Voluntary Aided School</v>
          </cell>
          <cell r="F17157" t="str">
            <v>Primary</v>
          </cell>
        </row>
        <row r="17158">
          <cell r="A17158">
            <v>9163094</v>
          </cell>
          <cell r="B17158">
            <v>115667</v>
          </cell>
          <cell r="C17158" t="str">
            <v>Leckhampton Church of England Primary School</v>
          </cell>
          <cell r="D17158" t="str">
            <v>Gloucestershire</v>
          </cell>
          <cell r="E17158" t="str">
            <v>Voluntary Controlled School</v>
          </cell>
          <cell r="F17158" t="str">
            <v>Primary</v>
          </cell>
        </row>
        <row r="17159">
          <cell r="A17159">
            <v>2136393</v>
          </cell>
          <cell r="B17159">
            <v>134192</v>
          </cell>
          <cell r="C17159" t="str">
            <v>L'Ecole Bilingue Elementaire</v>
          </cell>
          <cell r="D17159" t="str">
            <v>Westminster</v>
          </cell>
          <cell r="E17159" t="str">
            <v>Other Independent School</v>
          </cell>
          <cell r="F17159" t="str">
            <v>Not applicable</v>
          </cell>
        </row>
        <row r="17160">
          <cell r="A17160">
            <v>2076406</v>
          </cell>
          <cell r="B17160">
            <v>134939</v>
          </cell>
          <cell r="C17160" t="str">
            <v>L'Ecole Bilingue Maternelle</v>
          </cell>
          <cell r="D17160" t="str">
            <v>Kensington and Chelsea</v>
          </cell>
          <cell r="E17160" t="str">
            <v>Other Independent School</v>
          </cell>
          <cell r="F17160" t="str">
            <v>Not applicable</v>
          </cell>
        </row>
        <row r="17161">
          <cell r="A17161">
            <v>2126411</v>
          </cell>
          <cell r="B17161">
            <v>135277</v>
          </cell>
          <cell r="C17161" t="str">
            <v>L'Ecole de Battersea</v>
          </cell>
          <cell r="D17161" t="str">
            <v>Wandsworth</v>
          </cell>
          <cell r="E17161" t="str">
            <v>Other Independent School</v>
          </cell>
          <cell r="F17161" t="str">
            <v>Not applicable</v>
          </cell>
        </row>
        <row r="17162">
          <cell r="A17162">
            <v>2126400</v>
          </cell>
          <cell r="B17162">
            <v>131509</v>
          </cell>
          <cell r="C17162" t="str">
            <v>L'Ecole Des Benjamins</v>
          </cell>
          <cell r="D17162" t="str">
            <v>Wandsworth</v>
          </cell>
          <cell r="E17162" t="str">
            <v>Other Independent School</v>
          </cell>
          <cell r="F17162" t="str">
            <v>Not applicable</v>
          </cell>
        </row>
        <row r="17163">
          <cell r="A17163">
            <v>2076384</v>
          </cell>
          <cell r="B17163">
            <v>126647</v>
          </cell>
          <cell r="C17163" t="str">
            <v>L'Ecole Des Petits</v>
          </cell>
          <cell r="D17163" t="str">
            <v>Kensington and Chelsea</v>
          </cell>
          <cell r="E17163" t="str">
            <v>Other Independent School</v>
          </cell>
          <cell r="F17163" t="str">
            <v>Not applicable</v>
          </cell>
        </row>
        <row r="17164">
          <cell r="A17164">
            <v>2056386</v>
          </cell>
          <cell r="B17164">
            <v>100375</v>
          </cell>
          <cell r="C17164" t="str">
            <v>L'Ecole des Petits School</v>
          </cell>
          <cell r="D17164" t="str">
            <v>Hammersmith and Fulham</v>
          </cell>
          <cell r="E17164" t="str">
            <v>Other Independent School</v>
          </cell>
          <cell r="F17164" t="str">
            <v>Not applicable</v>
          </cell>
        </row>
        <row r="17165">
          <cell r="A17165">
            <v>8112754</v>
          </cell>
          <cell r="B17165">
            <v>117872</v>
          </cell>
          <cell r="C17165" t="str">
            <v>Leconfield Primary School</v>
          </cell>
          <cell r="D17165" t="str">
            <v>East Riding of Yorkshire</v>
          </cell>
          <cell r="E17165" t="str">
            <v>Community School</v>
          </cell>
          <cell r="F17165" t="str">
            <v>Primary</v>
          </cell>
        </row>
        <row r="17166">
          <cell r="A17166">
            <v>8842098</v>
          </cell>
          <cell r="B17166">
            <v>116702</v>
          </cell>
          <cell r="C17166" t="str">
            <v>Ledbury Primary School</v>
          </cell>
          <cell r="D17166" t="str">
            <v>Herefordshire</v>
          </cell>
          <cell r="E17166" t="str">
            <v>Community School</v>
          </cell>
          <cell r="F17166" t="str">
            <v>Primary</v>
          </cell>
        </row>
        <row r="17167">
          <cell r="A17167">
            <v>3302268</v>
          </cell>
          <cell r="B17167">
            <v>103305</v>
          </cell>
          <cell r="C17167" t="str">
            <v>Lee Bank Junior and Infant School</v>
          </cell>
          <cell r="D17167" t="str">
            <v>Birmingham</v>
          </cell>
          <cell r="E17167" t="str">
            <v>Community School</v>
          </cell>
          <cell r="F17167" t="str">
            <v>Primary</v>
          </cell>
        </row>
        <row r="17168">
          <cell r="A17168">
            <v>8812578</v>
          </cell>
          <cell r="B17168">
            <v>114897</v>
          </cell>
          <cell r="C17168" t="str">
            <v>Lee Chapel Primary School</v>
          </cell>
          <cell r="D17168" t="str">
            <v>Essex</v>
          </cell>
          <cell r="E17168" t="str">
            <v>Community School</v>
          </cell>
          <cell r="F17168" t="str">
            <v>Primary</v>
          </cell>
        </row>
        <row r="17169">
          <cell r="A17169">
            <v>8812578</v>
          </cell>
          <cell r="B17169">
            <v>137108</v>
          </cell>
          <cell r="C17169" t="str">
            <v>Lee Chapel Primary School</v>
          </cell>
          <cell r="D17169" t="str">
            <v>Essex</v>
          </cell>
          <cell r="E17169" t="str">
            <v>Academy Converters</v>
          </cell>
          <cell r="F17169" t="str">
            <v>Primary</v>
          </cell>
        </row>
        <row r="17170">
          <cell r="A17170">
            <v>8253037</v>
          </cell>
          <cell r="B17170">
            <v>110428</v>
          </cell>
          <cell r="C17170" t="str">
            <v>Lee Common Church of England School</v>
          </cell>
          <cell r="D17170" t="str">
            <v>Buckinghamshire</v>
          </cell>
          <cell r="E17170" t="str">
            <v>Voluntary Controlled School</v>
          </cell>
          <cell r="F17170" t="str">
            <v>Primary</v>
          </cell>
        </row>
        <row r="17171">
          <cell r="A17171">
            <v>3414430</v>
          </cell>
          <cell r="B17171">
            <v>104701</v>
          </cell>
          <cell r="C17171" t="str">
            <v>Lee Manor High School</v>
          </cell>
          <cell r="D17171" t="str">
            <v>Liverpool</v>
          </cell>
          <cell r="E17171" t="str">
            <v>Community School</v>
          </cell>
          <cell r="F17171" t="str">
            <v>Secondary</v>
          </cell>
        </row>
        <row r="17172">
          <cell r="A17172">
            <v>2092382</v>
          </cell>
          <cell r="B17172">
            <v>126657</v>
          </cell>
          <cell r="C17172" t="str">
            <v>Lee Manor Infant School</v>
          </cell>
          <cell r="D17172" t="str">
            <v>Lewisham</v>
          </cell>
          <cell r="E17172" t="str">
            <v>Community School</v>
          </cell>
          <cell r="F17172" t="str">
            <v>Primary</v>
          </cell>
        </row>
        <row r="17173">
          <cell r="A17173">
            <v>2092381</v>
          </cell>
          <cell r="B17173">
            <v>100693</v>
          </cell>
          <cell r="C17173" t="str">
            <v>Lee Manor School</v>
          </cell>
          <cell r="D17173" t="str">
            <v>Lewisham</v>
          </cell>
          <cell r="E17173" t="str">
            <v>Community School</v>
          </cell>
          <cell r="F17173" t="str">
            <v>Primary</v>
          </cell>
        </row>
        <row r="17174">
          <cell r="A17174">
            <v>3812010</v>
          </cell>
          <cell r="B17174">
            <v>107483</v>
          </cell>
          <cell r="C17174" t="str">
            <v>Lee Mount Primary School</v>
          </cell>
          <cell r="D17174" t="str">
            <v>Calderdale</v>
          </cell>
          <cell r="E17174" t="str">
            <v>Community School</v>
          </cell>
          <cell r="F17174" t="str">
            <v>Primary</v>
          </cell>
        </row>
        <row r="17175">
          <cell r="A17175">
            <v>8881000</v>
          </cell>
          <cell r="B17175">
            <v>119064</v>
          </cell>
          <cell r="C17175" t="str">
            <v>Lee Royd Nursery School</v>
          </cell>
          <cell r="D17175" t="str">
            <v>Lancashire</v>
          </cell>
          <cell r="E17175" t="str">
            <v>LA Nursery School</v>
          </cell>
          <cell r="F17175" t="str">
            <v>Nursery</v>
          </cell>
        </row>
        <row r="17176">
          <cell r="A17176">
            <v>9382182</v>
          </cell>
          <cell r="B17176">
            <v>125918</v>
          </cell>
          <cell r="C17176" t="str">
            <v>Leechpool Primary School</v>
          </cell>
          <cell r="D17176" t="str">
            <v>West Sussex</v>
          </cell>
          <cell r="E17176" t="str">
            <v>Community School</v>
          </cell>
          <cell r="F17176" t="str">
            <v>Primary</v>
          </cell>
        </row>
        <row r="17177">
          <cell r="A17177">
            <v>8232177</v>
          </cell>
          <cell r="B17177">
            <v>109509</v>
          </cell>
          <cell r="C17177" t="str">
            <v>Leedon Lower School</v>
          </cell>
          <cell r="D17177" t="str">
            <v>Central Bedfordshire</v>
          </cell>
          <cell r="E17177" t="str">
            <v>Community School</v>
          </cell>
          <cell r="F17177" t="str">
            <v>Primary</v>
          </cell>
        </row>
        <row r="17178">
          <cell r="A17178">
            <v>8863069</v>
          </cell>
          <cell r="B17178">
            <v>118623</v>
          </cell>
          <cell r="C17178" t="str">
            <v>Leeds and Broomfield Church of England Primary School</v>
          </cell>
          <cell r="D17178" t="str">
            <v>Kent</v>
          </cell>
          <cell r="E17178" t="str">
            <v>Voluntary Controlled School</v>
          </cell>
          <cell r="F17178" t="str">
            <v>Primary</v>
          </cell>
        </row>
        <row r="17179">
          <cell r="A17179">
            <v>3836116</v>
          </cell>
          <cell r="B17179">
            <v>108116</v>
          </cell>
          <cell r="C17179" t="str">
            <v>Leeds Christian School</v>
          </cell>
          <cell r="D17179" t="str">
            <v>Leeds</v>
          </cell>
          <cell r="E17179" t="str">
            <v>Other Independent School</v>
          </cell>
          <cell r="F17179" t="str">
            <v>Not applicable</v>
          </cell>
        </row>
        <row r="17180">
          <cell r="A17180">
            <v>3838025</v>
          </cell>
          <cell r="B17180">
            <v>135771</v>
          </cell>
          <cell r="C17180" t="str">
            <v>Leeds City  College</v>
          </cell>
          <cell r="D17180" t="str">
            <v>Leeds</v>
          </cell>
          <cell r="E17180" t="str">
            <v>Further Education</v>
          </cell>
          <cell r="F17180" t="str">
            <v>16 Plus</v>
          </cell>
        </row>
        <row r="17181">
          <cell r="A17181">
            <v>3838151</v>
          </cell>
          <cell r="B17181">
            <v>130547</v>
          </cell>
          <cell r="C17181" t="str">
            <v>Leeds College of Art</v>
          </cell>
          <cell r="D17181" t="str">
            <v>Leeds</v>
          </cell>
          <cell r="E17181" t="str">
            <v>Higher Education Institutions</v>
          </cell>
          <cell r="F17181" t="str">
            <v>16 Plus</v>
          </cell>
        </row>
        <row r="17182">
          <cell r="A17182">
            <v>3838008</v>
          </cell>
          <cell r="B17182">
            <v>130542</v>
          </cell>
          <cell r="C17182" t="str">
            <v>Leeds College of Building</v>
          </cell>
          <cell r="D17182" t="str">
            <v>Leeds</v>
          </cell>
          <cell r="E17182" t="str">
            <v>Further Education</v>
          </cell>
          <cell r="F17182" t="str">
            <v>16 Plus</v>
          </cell>
        </row>
        <row r="17183">
          <cell r="A17183">
            <v>3838011</v>
          </cell>
          <cell r="B17183">
            <v>130545</v>
          </cell>
          <cell r="C17183" t="str">
            <v>Leeds College of Music</v>
          </cell>
          <cell r="D17183" t="str">
            <v>Leeds</v>
          </cell>
          <cell r="E17183" t="str">
            <v>Higher Education Institutions</v>
          </cell>
          <cell r="F17183" t="str">
            <v>16 Plus</v>
          </cell>
        </row>
        <row r="17184">
          <cell r="A17184">
            <v>3838006</v>
          </cell>
          <cell r="B17184">
            <v>130540</v>
          </cell>
          <cell r="C17184" t="str">
            <v>Leeds College of Technology</v>
          </cell>
          <cell r="D17184" t="str">
            <v>Leeds</v>
          </cell>
          <cell r="E17184" t="str">
            <v>Further Education</v>
          </cell>
          <cell r="F17184" t="str">
            <v>16 Plus</v>
          </cell>
        </row>
        <row r="17185">
          <cell r="A17185">
            <v>3836111</v>
          </cell>
          <cell r="B17185">
            <v>108112</v>
          </cell>
          <cell r="C17185" t="str">
            <v>Leeds Girls' High School</v>
          </cell>
          <cell r="D17185" t="str">
            <v>Leeds</v>
          </cell>
          <cell r="E17185" t="str">
            <v>Other Independent School</v>
          </cell>
          <cell r="F17185" t="str">
            <v>Not applicable</v>
          </cell>
        </row>
        <row r="17186">
          <cell r="A17186">
            <v>3836099</v>
          </cell>
          <cell r="B17186">
            <v>108110</v>
          </cell>
          <cell r="C17186" t="str">
            <v>Leeds Menorah School</v>
          </cell>
          <cell r="D17186" t="str">
            <v>Leeds</v>
          </cell>
          <cell r="E17186" t="str">
            <v>Other Independent School</v>
          </cell>
          <cell r="F17186" t="str">
            <v>Not applicable</v>
          </cell>
        </row>
        <row r="17187">
          <cell r="A17187">
            <v>383</v>
          </cell>
          <cell r="B17187">
            <v>133837</v>
          </cell>
          <cell r="C17187" t="str">
            <v>Leeds Metropolitan University</v>
          </cell>
          <cell r="D17187" t="str">
            <v>Leeds</v>
          </cell>
          <cell r="E17187" t="str">
            <v>Higher Education Institutions</v>
          </cell>
          <cell r="F17187" t="str">
            <v>Not applicable</v>
          </cell>
        </row>
        <row r="17188">
          <cell r="A17188">
            <v>3831105</v>
          </cell>
          <cell r="B17188">
            <v>132019</v>
          </cell>
          <cell r="C17188" t="str">
            <v>Leeds Pupil Referral Service</v>
          </cell>
          <cell r="D17188" t="str">
            <v>Leeds</v>
          </cell>
          <cell r="E17188" t="str">
            <v>Pupil Referral Unit</v>
          </cell>
          <cell r="F17188" t="str">
            <v>PRU</v>
          </cell>
        </row>
        <row r="17189">
          <cell r="A17189">
            <v>383941</v>
          </cell>
          <cell r="B17189">
            <v>133456</v>
          </cell>
          <cell r="C17189" t="str">
            <v>Leeds Rhinos Learning Centre</v>
          </cell>
          <cell r="D17189" t="str">
            <v>Leeds</v>
          </cell>
          <cell r="E17189" t="str">
            <v>Playing for Success Centres</v>
          </cell>
          <cell r="F17189" t="str">
            <v>Not applicable</v>
          </cell>
        </row>
        <row r="17190">
          <cell r="A17190">
            <v>3831111</v>
          </cell>
          <cell r="B17190">
            <v>131150</v>
          </cell>
          <cell r="C17190" t="str">
            <v>Leeds Teaching and Learning Centre</v>
          </cell>
          <cell r="D17190" t="str">
            <v>Leeds</v>
          </cell>
          <cell r="E17190" t="str">
            <v>Pupil Referral Unit</v>
          </cell>
          <cell r="F17190" t="str">
            <v>PRU</v>
          </cell>
        </row>
        <row r="17191">
          <cell r="A17191">
            <v>3838010</v>
          </cell>
          <cell r="B17191">
            <v>130544</v>
          </cell>
          <cell r="C17191" t="str">
            <v>Leeds Thomas Danby</v>
          </cell>
          <cell r="D17191" t="str">
            <v>Leeds</v>
          </cell>
          <cell r="E17191" t="str">
            <v>Further Education</v>
          </cell>
          <cell r="F17191" t="str">
            <v>16 Plus</v>
          </cell>
        </row>
        <row r="17192">
          <cell r="A17192">
            <v>383</v>
          </cell>
          <cell r="B17192">
            <v>133838</v>
          </cell>
          <cell r="C17192" t="str">
            <v>Leeds Trinity University College</v>
          </cell>
          <cell r="D17192" t="str">
            <v>Leeds</v>
          </cell>
          <cell r="E17192" t="str">
            <v>Higher Education Institutions</v>
          </cell>
          <cell r="F17192" t="str">
            <v>Not applicable</v>
          </cell>
        </row>
        <row r="17193">
          <cell r="A17193">
            <v>383940</v>
          </cell>
          <cell r="B17193">
            <v>132713</v>
          </cell>
          <cell r="C17193" t="str">
            <v>Leeds United Learning Zone</v>
          </cell>
          <cell r="D17193" t="str">
            <v>Leeds</v>
          </cell>
          <cell r="E17193" t="str">
            <v>Playing for Success Centres</v>
          </cell>
          <cell r="F17193" t="str">
            <v>Not applicable</v>
          </cell>
        </row>
        <row r="17194">
          <cell r="A17194">
            <v>3836906</v>
          </cell>
          <cell r="B17194">
            <v>135935</v>
          </cell>
          <cell r="C17194" t="str">
            <v>Leeds West Academy</v>
          </cell>
          <cell r="D17194" t="str">
            <v>Leeds</v>
          </cell>
          <cell r="E17194" t="str">
            <v>Academy Sponsor Led</v>
          </cell>
          <cell r="F17194" t="str">
            <v>Secondary</v>
          </cell>
        </row>
        <row r="17195">
          <cell r="A17195">
            <v>9082104</v>
          </cell>
          <cell r="B17195">
            <v>111811</v>
          </cell>
          <cell r="C17195" t="str">
            <v>Leedstown Community Primary School</v>
          </cell>
          <cell r="D17195" t="str">
            <v>Cornwall</v>
          </cell>
          <cell r="E17195" t="str">
            <v>Community School</v>
          </cell>
          <cell r="F17195" t="str">
            <v>Primary</v>
          </cell>
        </row>
        <row r="17196">
          <cell r="A17196">
            <v>8942170</v>
          </cell>
          <cell r="B17196">
            <v>123440</v>
          </cell>
          <cell r="C17196" t="str">
            <v>Leegomery Infant School</v>
          </cell>
          <cell r="D17196" t="str">
            <v>Telford and Wrekin</v>
          </cell>
          <cell r="E17196" t="str">
            <v>Community School</v>
          </cell>
          <cell r="F17196" t="str">
            <v>Primary</v>
          </cell>
        </row>
        <row r="17197">
          <cell r="A17197">
            <v>8942169</v>
          </cell>
          <cell r="B17197">
            <v>123439</v>
          </cell>
          <cell r="C17197" t="str">
            <v>Leegomery Junior School</v>
          </cell>
          <cell r="D17197" t="str">
            <v>Telford and Wrekin</v>
          </cell>
          <cell r="E17197" t="str">
            <v>Community School</v>
          </cell>
          <cell r="F17197" t="str">
            <v>Primary</v>
          </cell>
        </row>
        <row r="17198">
          <cell r="A17198">
            <v>8656026</v>
          </cell>
          <cell r="B17198">
            <v>126528</v>
          </cell>
          <cell r="C17198" t="str">
            <v>Leehurst Swan</v>
          </cell>
          <cell r="D17198" t="str">
            <v>Wiltshire</v>
          </cell>
          <cell r="E17198" t="str">
            <v>Other Independent School</v>
          </cell>
          <cell r="F17198" t="str">
            <v>Not applicable</v>
          </cell>
        </row>
        <row r="17199">
          <cell r="A17199">
            <v>8608011</v>
          </cell>
          <cell r="B17199">
            <v>130811</v>
          </cell>
          <cell r="C17199" t="str">
            <v>Leek College of Further Education and School of Art</v>
          </cell>
          <cell r="D17199" t="str">
            <v>Staffordshire</v>
          </cell>
          <cell r="E17199" t="str">
            <v>Further Education</v>
          </cell>
          <cell r="F17199" t="str">
            <v>16 Plus</v>
          </cell>
        </row>
        <row r="17200">
          <cell r="A17200">
            <v>8602228</v>
          </cell>
          <cell r="B17200">
            <v>124098</v>
          </cell>
          <cell r="C17200" t="str">
            <v>Leek First School</v>
          </cell>
          <cell r="D17200" t="str">
            <v>Staffordshire</v>
          </cell>
          <cell r="E17200" t="str">
            <v>Community School</v>
          </cell>
          <cell r="F17200" t="str">
            <v>Primary</v>
          </cell>
        </row>
        <row r="17201">
          <cell r="A17201">
            <v>8604085</v>
          </cell>
          <cell r="B17201">
            <v>124406</v>
          </cell>
          <cell r="C17201" t="str">
            <v>Leek High Specialist Technology School</v>
          </cell>
          <cell r="D17201" t="str">
            <v>Staffordshire</v>
          </cell>
          <cell r="E17201" t="str">
            <v>Community School</v>
          </cell>
          <cell r="F17201" t="str">
            <v>Secondary</v>
          </cell>
        </row>
        <row r="17202">
          <cell r="A17202">
            <v>9373149</v>
          </cell>
          <cell r="B17202">
            <v>125663</v>
          </cell>
          <cell r="C17202" t="str">
            <v>Leek Wootton CofE First School</v>
          </cell>
          <cell r="D17202" t="str">
            <v>Warwickshire</v>
          </cell>
          <cell r="E17202" t="str">
            <v>Voluntary Controlled School</v>
          </cell>
          <cell r="F17202" t="str">
            <v>Primary</v>
          </cell>
        </row>
        <row r="17203">
          <cell r="A17203">
            <v>8152040</v>
          </cell>
          <cell r="B17203">
            <v>121293</v>
          </cell>
          <cell r="C17203" t="str">
            <v>Leeming and Londonderry Community Primary School</v>
          </cell>
          <cell r="D17203" t="str">
            <v>North Yorkshire</v>
          </cell>
          <cell r="E17203" t="str">
            <v>Community School</v>
          </cell>
          <cell r="F17203" t="str">
            <v>Primary</v>
          </cell>
        </row>
        <row r="17204">
          <cell r="A17204">
            <v>8152166</v>
          </cell>
          <cell r="B17204">
            <v>121333</v>
          </cell>
          <cell r="C17204" t="str">
            <v>Leeming RAF Community Primary School</v>
          </cell>
          <cell r="D17204" t="str">
            <v>North Yorkshire</v>
          </cell>
          <cell r="E17204" t="str">
            <v>Community School</v>
          </cell>
          <cell r="F17204" t="str">
            <v>Primary</v>
          </cell>
        </row>
        <row r="17205">
          <cell r="A17205">
            <v>8912490</v>
          </cell>
          <cell r="B17205">
            <v>122589</v>
          </cell>
          <cell r="C17205" t="str">
            <v>Leen Mills Primary School</v>
          </cell>
          <cell r="D17205" t="str">
            <v>Nottinghamshire</v>
          </cell>
          <cell r="E17205" t="str">
            <v>Community School</v>
          </cell>
          <cell r="F17205" t="str">
            <v>Primary</v>
          </cell>
        </row>
        <row r="17206">
          <cell r="A17206">
            <v>8502630</v>
          </cell>
          <cell r="B17206">
            <v>116180</v>
          </cell>
          <cell r="C17206" t="str">
            <v>Lee-on-the-Solent Infant School</v>
          </cell>
          <cell r="D17206" t="str">
            <v>Hampshire</v>
          </cell>
          <cell r="E17206" t="str">
            <v>Community School</v>
          </cell>
          <cell r="F17206" t="str">
            <v>Primary</v>
          </cell>
        </row>
        <row r="17207">
          <cell r="A17207">
            <v>8502610</v>
          </cell>
          <cell r="B17207">
            <v>116164</v>
          </cell>
          <cell r="C17207" t="str">
            <v>Lee-on-the-Solent Junior School</v>
          </cell>
          <cell r="D17207" t="str">
            <v>Hampshire</v>
          </cell>
          <cell r="E17207" t="str">
            <v>Community School</v>
          </cell>
          <cell r="F17207" t="str">
            <v>Primary</v>
          </cell>
        </row>
        <row r="17208">
          <cell r="A17208">
            <v>8314181</v>
          </cell>
          <cell r="B17208">
            <v>112955</v>
          </cell>
          <cell r="C17208" t="str">
            <v>Lees Brook Community Sports College</v>
          </cell>
          <cell r="D17208" t="str">
            <v>Derby</v>
          </cell>
          <cell r="E17208" t="str">
            <v>Foundation School</v>
          </cell>
          <cell r="F17208" t="str">
            <v>Secondary</v>
          </cell>
        </row>
        <row r="17209">
          <cell r="A17209">
            <v>8314181</v>
          </cell>
          <cell r="B17209">
            <v>137420</v>
          </cell>
          <cell r="C17209" t="str">
            <v>Lees Brook Community Sports College</v>
          </cell>
          <cell r="D17209" t="str">
            <v>Derby</v>
          </cell>
          <cell r="E17209" t="str">
            <v>Academy Converters</v>
          </cell>
          <cell r="F17209" t="str">
            <v>Secondary</v>
          </cell>
        </row>
        <row r="17210">
          <cell r="A17210">
            <v>9104154</v>
          </cell>
          <cell r="B17210">
            <v>128657</v>
          </cell>
          <cell r="C17210" t="str">
            <v>Lees Brook School</v>
          </cell>
          <cell r="D17210" t="str">
            <v>Pre LGR (1997) Derbyshire</v>
          </cell>
          <cell r="E17210" t="str">
            <v>Community School</v>
          </cell>
          <cell r="F17210" t="str">
            <v>Secondary</v>
          </cell>
        </row>
        <row r="17211">
          <cell r="A17211">
            <v>9093023</v>
          </cell>
          <cell r="B17211">
            <v>112256</v>
          </cell>
          <cell r="C17211" t="str">
            <v>Lees Hill CofE School</v>
          </cell>
          <cell r="D17211" t="str">
            <v>Cumbria</v>
          </cell>
          <cell r="E17211" t="str">
            <v>Voluntary Controlled School</v>
          </cell>
          <cell r="F17211" t="str">
            <v>Primary</v>
          </cell>
        </row>
        <row r="17212">
          <cell r="A17212">
            <v>3702037</v>
          </cell>
          <cell r="B17212">
            <v>106571</v>
          </cell>
          <cell r="C17212" t="str">
            <v>Lees Hill Infant School</v>
          </cell>
          <cell r="D17212" t="str">
            <v>Barnsley</v>
          </cell>
          <cell r="E17212" t="str">
            <v>Community School</v>
          </cell>
          <cell r="F17212" t="str">
            <v>Primary</v>
          </cell>
        </row>
        <row r="17213">
          <cell r="A17213">
            <v>3802127</v>
          </cell>
          <cell r="B17213">
            <v>107264</v>
          </cell>
          <cell r="C17213" t="str">
            <v>Lees Primary School</v>
          </cell>
          <cell r="D17213" t="str">
            <v>Bradford</v>
          </cell>
          <cell r="E17213" t="str">
            <v>Community School</v>
          </cell>
          <cell r="F17213" t="str">
            <v>Primary</v>
          </cell>
        </row>
        <row r="17214">
          <cell r="A17214">
            <v>3822155</v>
          </cell>
          <cell r="B17214">
            <v>130350</v>
          </cell>
          <cell r="C17214" t="str">
            <v>Leeside Community Primary School</v>
          </cell>
          <cell r="D17214" t="str">
            <v>Kirklees</v>
          </cell>
          <cell r="E17214" t="str">
            <v>Community School</v>
          </cell>
          <cell r="F17214" t="str">
            <v>Primary</v>
          </cell>
        </row>
        <row r="17215">
          <cell r="A17215">
            <v>8503191</v>
          </cell>
          <cell r="B17215">
            <v>116335</v>
          </cell>
          <cell r="C17215" t="str">
            <v>Leesland Church of England Controlled Infant School</v>
          </cell>
          <cell r="D17215" t="str">
            <v>Hampshire</v>
          </cell>
          <cell r="E17215" t="str">
            <v>Voluntary Controlled School</v>
          </cell>
          <cell r="F17215" t="str">
            <v>Primary</v>
          </cell>
        </row>
        <row r="17216">
          <cell r="A17216">
            <v>8503190</v>
          </cell>
          <cell r="B17216">
            <v>116334</v>
          </cell>
          <cell r="C17216" t="str">
            <v>Leesland Church of England Controlled Junior School</v>
          </cell>
          <cell r="D17216" t="str">
            <v>Hampshire</v>
          </cell>
          <cell r="E17216" t="str">
            <v>Voluntary Controlled School</v>
          </cell>
          <cell r="F17216" t="str">
            <v>Primary</v>
          </cell>
        </row>
        <row r="17217">
          <cell r="A17217">
            <v>3052064</v>
          </cell>
          <cell r="B17217">
            <v>101633</v>
          </cell>
          <cell r="C17217" t="str">
            <v>Leesons Primary School</v>
          </cell>
          <cell r="D17217" t="str">
            <v>Bromley</v>
          </cell>
          <cell r="E17217" t="str">
            <v>Community School</v>
          </cell>
          <cell r="F17217" t="str">
            <v>Primary</v>
          </cell>
        </row>
        <row r="17218">
          <cell r="A17218">
            <v>8962316</v>
          </cell>
          <cell r="B17218">
            <v>111137</v>
          </cell>
          <cell r="C17218" t="str">
            <v>Leftwich Community Primary School</v>
          </cell>
          <cell r="D17218" t="str">
            <v>Cheshire West and Chester</v>
          </cell>
          <cell r="E17218" t="str">
            <v>Community School</v>
          </cell>
          <cell r="F17218" t="str">
            <v>Primary</v>
          </cell>
        </row>
        <row r="17219">
          <cell r="A17219">
            <v>9146109</v>
          </cell>
          <cell r="B17219">
            <v>128858</v>
          </cell>
          <cell r="C17219" t="str">
            <v>Legat School</v>
          </cell>
          <cell r="D17219" t="str">
            <v>Pre LGR (1997) East Sussex</v>
          </cell>
          <cell r="E17219" t="str">
            <v>Other Independent School</v>
          </cell>
          <cell r="F17219" t="str">
            <v>Not applicable</v>
          </cell>
        </row>
        <row r="17220">
          <cell r="A17220">
            <v>9253362</v>
          </cell>
          <cell r="B17220">
            <v>129588</v>
          </cell>
          <cell r="C17220" t="str">
            <v>Legbourne CofE Primary School</v>
          </cell>
          <cell r="D17220" t="str">
            <v>Lincolnshire</v>
          </cell>
          <cell r="E17220" t="str">
            <v>Voluntary Aided School</v>
          </cell>
          <cell r="F17220" t="str">
            <v>Primary</v>
          </cell>
        </row>
        <row r="17221">
          <cell r="A17221">
            <v>3422065</v>
          </cell>
          <cell r="B17221">
            <v>104782</v>
          </cell>
          <cell r="C17221" t="str">
            <v>Legh Vale Primary School, Early Years and Childcare Centre</v>
          </cell>
          <cell r="D17221" t="str">
            <v>St. Helens</v>
          </cell>
          <cell r="E17221" t="str">
            <v>Community School</v>
          </cell>
          <cell r="F17221" t="str">
            <v>Primary</v>
          </cell>
        </row>
        <row r="17222">
          <cell r="A17222">
            <v>9252169</v>
          </cell>
          <cell r="B17222">
            <v>120457</v>
          </cell>
          <cell r="C17222" t="str">
            <v>Legsby Primary School</v>
          </cell>
          <cell r="D17222" t="str">
            <v>Lincolnshire</v>
          </cell>
          <cell r="E17222" t="str">
            <v>Community School</v>
          </cell>
          <cell r="F17222" t="str">
            <v>Primary</v>
          </cell>
        </row>
        <row r="17223">
          <cell r="A17223">
            <v>8561100</v>
          </cell>
          <cell r="B17223">
            <v>132824</v>
          </cell>
          <cell r="C17223" t="str">
            <v>Leicester City Primary PRU at the Phoenix Centre</v>
          </cell>
          <cell r="D17223" t="str">
            <v>Leicester</v>
          </cell>
          <cell r="E17223" t="str">
            <v>Pupil Referral Unit</v>
          </cell>
          <cell r="F17223" t="str">
            <v>PRU</v>
          </cell>
        </row>
        <row r="17224">
          <cell r="A17224">
            <v>8568008</v>
          </cell>
          <cell r="B17224">
            <v>131863</v>
          </cell>
          <cell r="C17224" t="str">
            <v>Leicester College co Freemen's Park Campus</v>
          </cell>
          <cell r="D17224" t="str">
            <v>Leicester</v>
          </cell>
          <cell r="E17224" t="str">
            <v>Further Education</v>
          </cell>
          <cell r="F17224" t="str">
            <v>16 Plus</v>
          </cell>
        </row>
        <row r="17225">
          <cell r="A17225">
            <v>8566014</v>
          </cell>
          <cell r="B17225">
            <v>132781</v>
          </cell>
          <cell r="C17225" t="str">
            <v>Leicester Community Islamic School</v>
          </cell>
          <cell r="D17225" t="str">
            <v>Leicester</v>
          </cell>
          <cell r="E17225" t="str">
            <v>Other Independent School</v>
          </cell>
          <cell r="F17225" t="str">
            <v>Not applicable</v>
          </cell>
        </row>
        <row r="17226">
          <cell r="A17226">
            <v>8556030</v>
          </cell>
          <cell r="B17226">
            <v>120327</v>
          </cell>
          <cell r="C17226" t="str">
            <v>Leicester Grammar Junior School</v>
          </cell>
          <cell r="D17226" t="str">
            <v>Leicestershire</v>
          </cell>
          <cell r="E17226" t="str">
            <v>Other Independent School</v>
          </cell>
          <cell r="F17226" t="str">
            <v>Not applicable</v>
          </cell>
        </row>
        <row r="17227">
          <cell r="A17227">
            <v>8556018</v>
          </cell>
          <cell r="B17227">
            <v>120334</v>
          </cell>
          <cell r="C17227" t="str">
            <v>Leicester Grammar School Trust</v>
          </cell>
          <cell r="D17227" t="str">
            <v>Leicestershire</v>
          </cell>
          <cell r="E17227" t="str">
            <v>Other Independent School</v>
          </cell>
          <cell r="F17227" t="str">
            <v>Not applicable</v>
          </cell>
        </row>
        <row r="17228">
          <cell r="A17228">
            <v>8566009</v>
          </cell>
          <cell r="B17228">
            <v>120324</v>
          </cell>
          <cell r="C17228" t="str">
            <v>Leicester High School for Girls</v>
          </cell>
          <cell r="D17228" t="str">
            <v>Leicester</v>
          </cell>
          <cell r="E17228" t="str">
            <v>Other Independent School</v>
          </cell>
          <cell r="F17228" t="str">
            <v>Not applicable</v>
          </cell>
        </row>
        <row r="17229">
          <cell r="A17229">
            <v>9247206</v>
          </cell>
          <cell r="B17229">
            <v>129553</v>
          </cell>
          <cell r="C17229" t="str">
            <v>Leicester Hospital School</v>
          </cell>
          <cell r="D17229" t="str">
            <v>Pre LGR (1997) Leicestershire</v>
          </cell>
          <cell r="E17229" t="str">
            <v>Community Special School</v>
          </cell>
          <cell r="F17229" t="str">
            <v>Special</v>
          </cell>
        </row>
        <row r="17230">
          <cell r="A17230">
            <v>8566007</v>
          </cell>
          <cell r="B17230">
            <v>120335</v>
          </cell>
          <cell r="C17230" t="str">
            <v>Leicester Islamic Academy</v>
          </cell>
          <cell r="D17230" t="str">
            <v>Leicester</v>
          </cell>
          <cell r="E17230" t="str">
            <v>Other Independent School</v>
          </cell>
          <cell r="F17230" t="str">
            <v>Not applicable</v>
          </cell>
        </row>
        <row r="17231">
          <cell r="A17231">
            <v>8566008</v>
          </cell>
          <cell r="B17231">
            <v>120343</v>
          </cell>
          <cell r="C17231" t="str">
            <v>Leicester Montessori Grammar School</v>
          </cell>
          <cell r="D17231" t="str">
            <v>Leicester</v>
          </cell>
          <cell r="E17231" t="str">
            <v>Other Independent School</v>
          </cell>
          <cell r="F17231" t="str">
            <v>Not applicable</v>
          </cell>
        </row>
        <row r="17232">
          <cell r="A17232">
            <v>8566003</v>
          </cell>
          <cell r="B17232">
            <v>120329</v>
          </cell>
          <cell r="C17232" t="str">
            <v>Leicester Preparatory School</v>
          </cell>
          <cell r="D17232" t="str">
            <v>Leicester</v>
          </cell>
          <cell r="E17232" t="str">
            <v>Other Independent School</v>
          </cell>
          <cell r="F17232" t="str">
            <v>Not applicable</v>
          </cell>
        </row>
        <row r="17233">
          <cell r="A17233">
            <v>8568007</v>
          </cell>
          <cell r="B17233">
            <v>130752</v>
          </cell>
          <cell r="C17233" t="str">
            <v>Leicester South Fields College</v>
          </cell>
          <cell r="D17233" t="str">
            <v>Leicester</v>
          </cell>
          <cell r="E17233" t="str">
            <v>Further Education</v>
          </cell>
          <cell r="F17233" t="str">
            <v>16 Plus</v>
          </cell>
        </row>
        <row r="17234">
          <cell r="A17234">
            <v>8852914</v>
          </cell>
          <cell r="B17234">
            <v>116776</v>
          </cell>
          <cell r="C17234" t="str">
            <v>Leigh and Bransford Primary School</v>
          </cell>
          <cell r="D17234" t="str">
            <v>Worcestershire</v>
          </cell>
          <cell r="E17234" t="str">
            <v>Community School</v>
          </cell>
          <cell r="F17234" t="str">
            <v>Primary</v>
          </cell>
        </row>
        <row r="17235">
          <cell r="A17235">
            <v>8812321</v>
          </cell>
          <cell r="B17235">
            <v>114824</v>
          </cell>
          <cell r="C17235" t="str">
            <v>Leigh Beck Infant School and Nursery</v>
          </cell>
          <cell r="D17235" t="str">
            <v>Essex</v>
          </cell>
          <cell r="E17235" t="str">
            <v>Community School</v>
          </cell>
          <cell r="F17235" t="str">
            <v>Primary</v>
          </cell>
        </row>
        <row r="17236">
          <cell r="A17236">
            <v>8812981</v>
          </cell>
          <cell r="B17236">
            <v>115054</v>
          </cell>
          <cell r="C17236" t="str">
            <v>Leigh Beck Junior School</v>
          </cell>
          <cell r="D17236" t="str">
            <v>Essex</v>
          </cell>
          <cell r="E17236" t="str">
            <v>Community School</v>
          </cell>
          <cell r="F17236" t="str">
            <v>Primary</v>
          </cell>
        </row>
        <row r="17237">
          <cell r="A17237">
            <v>3592034</v>
          </cell>
          <cell r="B17237">
            <v>106418</v>
          </cell>
          <cell r="C17237" t="str">
            <v>Leigh Central Primary School</v>
          </cell>
          <cell r="D17237" t="str">
            <v>Wigan</v>
          </cell>
          <cell r="E17237" t="str">
            <v>Community School</v>
          </cell>
          <cell r="F17237" t="str">
            <v>Primary</v>
          </cell>
        </row>
        <row r="17238">
          <cell r="A17238">
            <v>3313302</v>
          </cell>
          <cell r="B17238">
            <v>103705</v>
          </cell>
          <cell r="C17238" t="str">
            <v>Leigh Church of England Primary School</v>
          </cell>
          <cell r="D17238" t="str">
            <v>Coventry</v>
          </cell>
          <cell r="E17238" t="str">
            <v>Voluntary Aided School</v>
          </cell>
          <cell r="F17238" t="str">
            <v>Primary</v>
          </cell>
        </row>
        <row r="17239">
          <cell r="A17239">
            <v>3594500</v>
          </cell>
          <cell r="B17239">
            <v>127561</v>
          </cell>
          <cell r="C17239" t="str">
            <v>Leigh CofE High School</v>
          </cell>
          <cell r="D17239" t="str">
            <v>Wigan</v>
          </cell>
          <cell r="E17239" t="str">
            <v>Voluntary Controlled School</v>
          </cell>
          <cell r="F17239" t="str">
            <v>Secondary</v>
          </cell>
        </row>
        <row r="17240">
          <cell r="A17240">
            <v>3593424</v>
          </cell>
          <cell r="B17240">
            <v>106516</v>
          </cell>
          <cell r="C17240" t="str">
            <v>Leigh CofE Infants' School</v>
          </cell>
          <cell r="D17240" t="str">
            <v>Wigan</v>
          </cell>
          <cell r="E17240" t="str">
            <v>Voluntary Aided School</v>
          </cell>
          <cell r="F17240" t="str">
            <v>Primary</v>
          </cell>
        </row>
        <row r="17241">
          <cell r="A17241">
            <v>3593025</v>
          </cell>
          <cell r="B17241">
            <v>106445</v>
          </cell>
          <cell r="C17241" t="str">
            <v>Leigh CofE Junior School</v>
          </cell>
          <cell r="D17241" t="str">
            <v>Wigan</v>
          </cell>
          <cell r="E17241" t="str">
            <v>Voluntary Controlled School</v>
          </cell>
          <cell r="F17241" t="str">
            <v>Primary</v>
          </cell>
        </row>
        <row r="17242">
          <cell r="A17242">
            <v>8653105</v>
          </cell>
          <cell r="B17242">
            <v>126336</v>
          </cell>
          <cell r="C17242" t="str">
            <v>Leigh CofE Primary School</v>
          </cell>
          <cell r="D17242" t="str">
            <v>Wiltshire</v>
          </cell>
          <cell r="E17242" t="str">
            <v>Voluntary Controlled School</v>
          </cell>
          <cell r="F17242" t="str">
            <v>Primary</v>
          </cell>
        </row>
        <row r="17243">
          <cell r="A17243">
            <v>9362153</v>
          </cell>
          <cell r="B17243">
            <v>132921</v>
          </cell>
          <cell r="C17243" t="str">
            <v>Leigh County First School</v>
          </cell>
          <cell r="D17243" t="str">
            <v>Surrey</v>
          </cell>
          <cell r="E17243" t="str">
            <v>Community School</v>
          </cell>
          <cell r="F17243" t="str">
            <v>Primary</v>
          </cell>
        </row>
        <row r="17244">
          <cell r="A17244">
            <v>8509455</v>
          </cell>
          <cell r="B17244">
            <v>133068</v>
          </cell>
          <cell r="C17244" t="str">
            <v>Leigh House Hospital</v>
          </cell>
          <cell r="D17244" t="str">
            <v>Hampshire</v>
          </cell>
          <cell r="E17244" t="str">
            <v>Miscellaneous</v>
          </cell>
          <cell r="F17244" t="str">
            <v>Not applicable</v>
          </cell>
        </row>
        <row r="17245">
          <cell r="A17245">
            <v>9177455</v>
          </cell>
          <cell r="B17245">
            <v>129072</v>
          </cell>
          <cell r="C17245" t="str">
            <v>Leigh House School</v>
          </cell>
          <cell r="D17245" t="str">
            <v>Pre LGR (1997) Hampshire</v>
          </cell>
          <cell r="E17245" t="str">
            <v>Community Special School</v>
          </cell>
          <cell r="F17245" t="str">
            <v>Special</v>
          </cell>
        </row>
        <row r="17246">
          <cell r="A17246">
            <v>8822096</v>
          </cell>
          <cell r="B17246">
            <v>114774</v>
          </cell>
          <cell r="C17246" t="str">
            <v>Leigh Infant School</v>
          </cell>
          <cell r="D17246" t="str">
            <v>Southend-on-Sea</v>
          </cell>
          <cell r="E17246" t="str">
            <v>Community School</v>
          </cell>
          <cell r="F17246" t="str">
            <v>Primary</v>
          </cell>
        </row>
        <row r="17247">
          <cell r="A17247">
            <v>3302453</v>
          </cell>
          <cell r="B17247">
            <v>103380</v>
          </cell>
          <cell r="C17247" t="str">
            <v>Leigh Junior Infant and Nursery School</v>
          </cell>
          <cell r="D17247" t="str">
            <v>Birmingham</v>
          </cell>
          <cell r="E17247" t="str">
            <v>Community School</v>
          </cell>
          <cell r="F17247" t="str">
            <v>Primary</v>
          </cell>
        </row>
        <row r="17248">
          <cell r="A17248">
            <v>8822095</v>
          </cell>
          <cell r="B17248">
            <v>114773</v>
          </cell>
          <cell r="C17248" t="str">
            <v>Leigh North Street Junior School</v>
          </cell>
          <cell r="D17248" t="str">
            <v>Southend-on-Sea</v>
          </cell>
          <cell r="E17248" t="str">
            <v>Community School</v>
          </cell>
          <cell r="F17248" t="str">
            <v>Primary</v>
          </cell>
        </row>
        <row r="17249">
          <cell r="A17249">
            <v>3572079</v>
          </cell>
          <cell r="B17249">
            <v>106225</v>
          </cell>
          <cell r="C17249" t="str">
            <v>Leigh Primary School</v>
          </cell>
          <cell r="D17249" t="str">
            <v>Tameside</v>
          </cell>
          <cell r="E17249" t="str">
            <v>Community School</v>
          </cell>
          <cell r="F17249" t="str">
            <v>Primary</v>
          </cell>
        </row>
        <row r="17250">
          <cell r="A17250">
            <v>8862137</v>
          </cell>
          <cell r="B17250">
            <v>118278</v>
          </cell>
          <cell r="C17250" t="str">
            <v>Leigh Primary School</v>
          </cell>
          <cell r="D17250" t="str">
            <v>Kent</v>
          </cell>
          <cell r="E17250" t="str">
            <v>Community School</v>
          </cell>
          <cell r="F17250" t="str">
            <v>Primary</v>
          </cell>
        </row>
        <row r="17251">
          <cell r="A17251">
            <v>9183070</v>
          </cell>
          <cell r="B17251">
            <v>129081</v>
          </cell>
          <cell r="C17251" t="str">
            <v>Leigh Sinton CofE Primary School</v>
          </cell>
          <cell r="D17251" t="str">
            <v>Pre LGR (1998) Hereford &amp; Worcester</v>
          </cell>
          <cell r="E17251" t="str">
            <v>Voluntary Controlled School</v>
          </cell>
          <cell r="F17251" t="str">
            <v>Primary</v>
          </cell>
        </row>
        <row r="17252">
          <cell r="A17252">
            <v>3593371</v>
          </cell>
          <cell r="B17252">
            <v>106479</v>
          </cell>
          <cell r="C17252" t="str">
            <v>Leigh St Peter's CofE Junior School</v>
          </cell>
          <cell r="D17252" t="str">
            <v>Wigan</v>
          </cell>
          <cell r="E17252" t="str">
            <v>Voluntary Aided School</v>
          </cell>
          <cell r="F17252" t="str">
            <v>Primary</v>
          </cell>
        </row>
        <row r="17253">
          <cell r="A17253">
            <v>3593438</v>
          </cell>
          <cell r="B17253">
            <v>135841</v>
          </cell>
          <cell r="C17253" t="str">
            <v>Leigh St Peter's CofE Primary School</v>
          </cell>
          <cell r="D17253" t="str">
            <v>Wigan</v>
          </cell>
          <cell r="E17253" t="str">
            <v>Voluntary Aided School</v>
          </cell>
          <cell r="F17253" t="str">
            <v>Primary</v>
          </cell>
        </row>
        <row r="17254">
          <cell r="A17254">
            <v>3572003</v>
          </cell>
          <cell r="B17254">
            <v>127527</v>
          </cell>
          <cell r="C17254" t="str">
            <v>Leigh Street Infant School</v>
          </cell>
          <cell r="D17254" t="str">
            <v>Tameside</v>
          </cell>
          <cell r="E17254" t="str">
            <v>Community School</v>
          </cell>
          <cell r="F17254" t="str">
            <v>Primary</v>
          </cell>
        </row>
        <row r="17255">
          <cell r="A17255">
            <v>3572002</v>
          </cell>
          <cell r="B17255">
            <v>127526</v>
          </cell>
          <cell r="C17255" t="str">
            <v>Leigh Street Junior School</v>
          </cell>
          <cell r="D17255" t="str">
            <v>Tameside</v>
          </cell>
          <cell r="E17255" t="str">
            <v>Community School</v>
          </cell>
          <cell r="F17255" t="str">
            <v>Primary</v>
          </cell>
        </row>
        <row r="17256">
          <cell r="A17256">
            <v>3593022</v>
          </cell>
          <cell r="B17256">
            <v>106442</v>
          </cell>
          <cell r="C17256" t="str">
            <v>Leigh Westleigh Methodist Primary School</v>
          </cell>
          <cell r="D17256" t="str">
            <v>Wigan</v>
          </cell>
          <cell r="E17256" t="str">
            <v>Voluntary Controlled School</v>
          </cell>
          <cell r="F17256" t="str">
            <v>Primary</v>
          </cell>
        </row>
        <row r="17257">
          <cell r="A17257">
            <v>8792686</v>
          </cell>
          <cell r="B17257">
            <v>113310</v>
          </cell>
          <cell r="C17257" t="str">
            <v>Leigham Infants' School</v>
          </cell>
          <cell r="D17257" t="str">
            <v>Plymouth</v>
          </cell>
          <cell r="E17257" t="str">
            <v>Community School</v>
          </cell>
          <cell r="F17257" t="str">
            <v>Primary</v>
          </cell>
        </row>
        <row r="17258">
          <cell r="A17258">
            <v>8792685</v>
          </cell>
          <cell r="B17258">
            <v>113309</v>
          </cell>
          <cell r="C17258" t="str">
            <v>Leigham Junior School</v>
          </cell>
          <cell r="D17258" t="str">
            <v>Plymouth</v>
          </cell>
          <cell r="E17258" t="str">
            <v>Community School</v>
          </cell>
          <cell r="F17258" t="str">
            <v>Primary</v>
          </cell>
        </row>
        <row r="17259">
          <cell r="A17259">
            <v>8792730</v>
          </cell>
          <cell r="B17259">
            <v>133602</v>
          </cell>
          <cell r="C17259" t="str">
            <v>Leigham Primary School</v>
          </cell>
          <cell r="D17259" t="str">
            <v>Plymouth</v>
          </cell>
          <cell r="E17259" t="str">
            <v>Community School</v>
          </cell>
          <cell r="F17259" t="str">
            <v>Primary</v>
          </cell>
        </row>
        <row r="17260">
          <cell r="A17260">
            <v>8575200</v>
          </cell>
          <cell r="B17260">
            <v>120044</v>
          </cell>
          <cell r="C17260" t="str">
            <v>Leighfield Primary School</v>
          </cell>
          <cell r="D17260" t="str">
            <v>Rutland</v>
          </cell>
          <cell r="E17260" t="str">
            <v>Foundation School</v>
          </cell>
          <cell r="F17260" t="str">
            <v>Primary</v>
          </cell>
        </row>
        <row r="17261">
          <cell r="A17261">
            <v>3352211</v>
          </cell>
          <cell r="B17261">
            <v>104197</v>
          </cell>
          <cell r="C17261" t="str">
            <v>Leighswood Infant School</v>
          </cell>
          <cell r="D17261" t="str">
            <v>Walsall</v>
          </cell>
          <cell r="E17261" t="str">
            <v>Community School</v>
          </cell>
          <cell r="F17261" t="str">
            <v>Primary</v>
          </cell>
        </row>
        <row r="17262">
          <cell r="A17262">
            <v>3352200</v>
          </cell>
          <cell r="B17262">
            <v>104195</v>
          </cell>
          <cell r="C17262" t="str">
            <v>Leighswood Junior School</v>
          </cell>
          <cell r="D17262" t="str">
            <v>Walsall</v>
          </cell>
          <cell r="E17262" t="str">
            <v>Community School</v>
          </cell>
          <cell r="F17262" t="str">
            <v>Primary</v>
          </cell>
        </row>
        <row r="17263">
          <cell r="A17263">
            <v>3352245</v>
          </cell>
          <cell r="B17263">
            <v>131433</v>
          </cell>
          <cell r="C17263" t="str">
            <v>Leighswood School</v>
          </cell>
          <cell r="D17263" t="str">
            <v>Walsall</v>
          </cell>
          <cell r="E17263" t="str">
            <v>Community School</v>
          </cell>
          <cell r="F17263" t="str">
            <v>Primary</v>
          </cell>
        </row>
        <row r="17264">
          <cell r="A17264">
            <v>9162047</v>
          </cell>
          <cell r="B17264">
            <v>115507</v>
          </cell>
          <cell r="C17264" t="str">
            <v>Leighterton Primary School</v>
          </cell>
          <cell r="D17264" t="str">
            <v>Gloucestershire</v>
          </cell>
          <cell r="E17264" t="str">
            <v>Community School</v>
          </cell>
          <cell r="F17264" t="str">
            <v>Primary</v>
          </cell>
        </row>
        <row r="17265">
          <cell r="A17265">
            <v>6662018</v>
          </cell>
          <cell r="B17265">
            <v>400472</v>
          </cell>
          <cell r="C17265" t="str">
            <v>Leighton C.P. School</v>
          </cell>
          <cell r="D17265" t="str">
            <v>Powys</v>
          </cell>
          <cell r="E17265" t="str">
            <v>Welsh Establishment</v>
          </cell>
          <cell r="F17265" t="str">
            <v>Primary</v>
          </cell>
        </row>
        <row r="17266">
          <cell r="A17266">
            <v>8759902</v>
          </cell>
          <cell r="B17266">
            <v>132988</v>
          </cell>
          <cell r="C17266" t="str">
            <v>Leighton Hospital School</v>
          </cell>
          <cell r="D17266" t="str">
            <v>Pre LGR (2009) Cheshire</v>
          </cell>
          <cell r="E17266" t="str">
            <v>Miscellaneous</v>
          </cell>
          <cell r="F17266" t="str">
            <v>Not applicable</v>
          </cell>
        </row>
        <row r="17267">
          <cell r="A17267">
            <v>8234120</v>
          </cell>
          <cell r="B17267">
            <v>109689</v>
          </cell>
          <cell r="C17267" t="str">
            <v>Leighton Middle School</v>
          </cell>
          <cell r="D17267" t="str">
            <v>Central Bedfordshire</v>
          </cell>
          <cell r="E17267" t="str">
            <v>Community School</v>
          </cell>
          <cell r="F17267" t="str">
            <v>Middle Deemed Secondary</v>
          </cell>
        </row>
        <row r="17268">
          <cell r="A17268">
            <v>8706001</v>
          </cell>
          <cell r="B17268">
            <v>110110</v>
          </cell>
          <cell r="C17268" t="str">
            <v>Leighton Park School</v>
          </cell>
          <cell r="D17268" t="str">
            <v>Reading</v>
          </cell>
          <cell r="E17268" t="str">
            <v>Other Independent School</v>
          </cell>
          <cell r="F17268" t="str">
            <v>Not applicable</v>
          </cell>
        </row>
        <row r="17269">
          <cell r="A17269">
            <v>8742307</v>
          </cell>
          <cell r="B17269">
            <v>110743</v>
          </cell>
          <cell r="C17269" t="str">
            <v>Leighton Primary School</v>
          </cell>
          <cell r="D17269" t="str">
            <v>Peterborough</v>
          </cell>
          <cell r="E17269" t="str">
            <v>Community School</v>
          </cell>
          <cell r="F17269" t="str">
            <v>Primary</v>
          </cell>
        </row>
        <row r="17270">
          <cell r="A17270">
            <v>8952206</v>
          </cell>
          <cell r="B17270">
            <v>111065</v>
          </cell>
          <cell r="C17270" t="str">
            <v>Leighton Primary School</v>
          </cell>
          <cell r="D17270" t="str">
            <v>Cheshire East</v>
          </cell>
          <cell r="E17270" t="str">
            <v>Community School</v>
          </cell>
          <cell r="F17270" t="str">
            <v>Primary</v>
          </cell>
        </row>
        <row r="17271">
          <cell r="A17271">
            <v>9332043</v>
          </cell>
          <cell r="B17271">
            <v>123652</v>
          </cell>
          <cell r="C17271" t="str">
            <v>Leigh-upon-Mendip First School</v>
          </cell>
          <cell r="D17271" t="str">
            <v>Somerset</v>
          </cell>
          <cell r="E17271" t="str">
            <v>Community School</v>
          </cell>
          <cell r="F17271" t="str">
            <v>Primary</v>
          </cell>
        </row>
        <row r="17272">
          <cell r="A17272">
            <v>8843348</v>
          </cell>
          <cell r="B17272">
            <v>116893</v>
          </cell>
          <cell r="C17272" t="str">
            <v>Leintwardine Endowed CE Primary School</v>
          </cell>
          <cell r="D17272" t="str">
            <v>Herefordshire</v>
          </cell>
          <cell r="E17272" t="str">
            <v>Voluntary Aided School</v>
          </cell>
          <cell r="F17272" t="str">
            <v>Primary</v>
          </cell>
        </row>
        <row r="17273">
          <cell r="A17273">
            <v>9354059</v>
          </cell>
          <cell r="B17273">
            <v>124819</v>
          </cell>
          <cell r="C17273" t="str">
            <v>Leiston Community High School</v>
          </cell>
          <cell r="D17273" t="str">
            <v>Suffolk</v>
          </cell>
          <cell r="E17273" t="str">
            <v>Community School</v>
          </cell>
          <cell r="F17273" t="str">
            <v>Secondary</v>
          </cell>
        </row>
        <row r="17274">
          <cell r="A17274">
            <v>9354088</v>
          </cell>
          <cell r="B17274">
            <v>124838</v>
          </cell>
          <cell r="C17274" t="str">
            <v>Leiston Middle School</v>
          </cell>
          <cell r="D17274" t="str">
            <v>Suffolk</v>
          </cell>
          <cell r="E17274" t="str">
            <v>Community School</v>
          </cell>
          <cell r="F17274" t="str">
            <v>Middle Deemed Secondary</v>
          </cell>
        </row>
        <row r="17275">
          <cell r="A17275">
            <v>9352091</v>
          </cell>
          <cell r="B17275">
            <v>124594</v>
          </cell>
          <cell r="C17275" t="str">
            <v>Leiston Primary School</v>
          </cell>
          <cell r="D17275" t="str">
            <v>Suffolk</v>
          </cell>
          <cell r="E17275" t="str">
            <v>Community School</v>
          </cell>
          <cell r="F17275" t="str">
            <v>Primary</v>
          </cell>
        </row>
        <row r="17276">
          <cell r="A17276">
            <v>3914496</v>
          </cell>
          <cell r="B17276">
            <v>108532</v>
          </cell>
          <cell r="C17276" t="str">
            <v>Lemington Middle School</v>
          </cell>
          <cell r="D17276" t="str">
            <v>Newcastle upon Tyne</v>
          </cell>
          <cell r="E17276" t="str">
            <v>Community School</v>
          </cell>
          <cell r="F17276" t="str">
            <v>Middle Deemed Secondary</v>
          </cell>
        </row>
        <row r="17277">
          <cell r="A17277">
            <v>3912030</v>
          </cell>
          <cell r="B17277">
            <v>108456</v>
          </cell>
          <cell r="C17277" t="str">
            <v>Lemington Riverside Primary School</v>
          </cell>
          <cell r="D17277" t="str">
            <v>Newcastle upon Tyne</v>
          </cell>
          <cell r="E17277" t="str">
            <v>Community School</v>
          </cell>
          <cell r="F17277" t="str">
            <v>Primary</v>
          </cell>
        </row>
        <row r="17278">
          <cell r="A17278">
            <v>2052383</v>
          </cell>
          <cell r="B17278">
            <v>100333</v>
          </cell>
          <cell r="C17278" t="str">
            <v>Lena Gardens Primary School</v>
          </cell>
          <cell r="D17278" t="str">
            <v>Hammersmith and Fulham</v>
          </cell>
          <cell r="E17278" t="str">
            <v>Community School</v>
          </cell>
          <cell r="F17278" t="str">
            <v>Primary</v>
          </cell>
        </row>
        <row r="17279">
          <cell r="A17279">
            <v>8862168</v>
          </cell>
          <cell r="B17279">
            <v>118294</v>
          </cell>
          <cell r="C17279" t="str">
            <v>Lenham Primary School</v>
          </cell>
          <cell r="D17279" t="str">
            <v>Kent</v>
          </cell>
          <cell r="E17279" t="str">
            <v>Community School</v>
          </cell>
          <cell r="F17279" t="str">
            <v>Primary</v>
          </cell>
        </row>
        <row r="17280">
          <cell r="A17280">
            <v>2046395</v>
          </cell>
          <cell r="B17280">
            <v>100305</v>
          </cell>
          <cell r="C17280" t="str">
            <v>Lennox Lewis College</v>
          </cell>
          <cell r="D17280" t="str">
            <v>Hackney</v>
          </cell>
          <cell r="E17280" t="str">
            <v>Other Independent School</v>
          </cell>
          <cell r="F17280" t="str">
            <v>Not applicable</v>
          </cell>
        </row>
        <row r="17281">
          <cell r="A17281">
            <v>8252226</v>
          </cell>
          <cell r="B17281">
            <v>110319</v>
          </cell>
          <cell r="C17281" t="str">
            <v>Lent Rise Combined School</v>
          </cell>
          <cell r="D17281" t="str">
            <v>Buckinghamshire</v>
          </cell>
          <cell r="E17281" t="str">
            <v>Community School</v>
          </cell>
          <cell r="F17281" t="str">
            <v>Primary</v>
          </cell>
        </row>
        <row r="17282">
          <cell r="A17282">
            <v>8302358</v>
          </cell>
          <cell r="B17282">
            <v>112696</v>
          </cell>
          <cell r="C17282" t="str">
            <v>Lenthall Infant and Nursery School</v>
          </cell>
          <cell r="D17282" t="str">
            <v>Derbyshire</v>
          </cell>
          <cell r="E17282" t="str">
            <v>Community School</v>
          </cell>
          <cell r="F17282" t="str">
            <v>Primary</v>
          </cell>
        </row>
        <row r="17283">
          <cell r="A17283">
            <v>8922073</v>
          </cell>
          <cell r="B17283">
            <v>122422</v>
          </cell>
          <cell r="C17283" t="str">
            <v>Lenton Primary and Nursery School</v>
          </cell>
          <cell r="D17283" t="str">
            <v>Nottingham</v>
          </cell>
          <cell r="E17283" t="str">
            <v>Community School</v>
          </cell>
          <cell r="F17283" t="str">
            <v>Primary</v>
          </cell>
        </row>
        <row r="17284">
          <cell r="A17284">
            <v>8842099</v>
          </cell>
          <cell r="B17284">
            <v>116703</v>
          </cell>
          <cell r="C17284" t="str">
            <v>Leominster Infants' School</v>
          </cell>
          <cell r="D17284" t="str">
            <v>Herefordshire</v>
          </cell>
          <cell r="E17284" t="str">
            <v>Community School</v>
          </cell>
          <cell r="F17284" t="str">
            <v>Primary</v>
          </cell>
        </row>
        <row r="17285">
          <cell r="A17285">
            <v>8842100</v>
          </cell>
          <cell r="B17285">
            <v>116704</v>
          </cell>
          <cell r="C17285" t="str">
            <v>Leominster Junior School</v>
          </cell>
          <cell r="D17285" t="str">
            <v>Herefordshire</v>
          </cell>
          <cell r="E17285" t="str">
            <v>Community School</v>
          </cell>
          <cell r="F17285" t="str">
            <v>Primary</v>
          </cell>
        </row>
        <row r="17286">
          <cell r="A17286">
            <v>8264077</v>
          </cell>
          <cell r="B17286">
            <v>110502</v>
          </cell>
          <cell r="C17286" t="str">
            <v>Leon School and Sports College</v>
          </cell>
          <cell r="D17286" t="str">
            <v>Milton Keynes</v>
          </cell>
          <cell r="E17286" t="str">
            <v>Foundation School</v>
          </cell>
          <cell r="F17286" t="str">
            <v>Secondary</v>
          </cell>
        </row>
        <row r="17287">
          <cell r="A17287">
            <v>9163331</v>
          </cell>
          <cell r="B17287">
            <v>115688</v>
          </cell>
          <cell r="C17287" t="str">
            <v>Leonard Stanley Church of England Primary School</v>
          </cell>
          <cell r="D17287" t="str">
            <v>Gloucestershire</v>
          </cell>
          <cell r="E17287" t="str">
            <v>Voluntary Aided School</v>
          </cell>
          <cell r="F17287" t="str">
            <v>Primary</v>
          </cell>
        </row>
        <row r="17288">
          <cell r="A17288">
            <v>3832168</v>
          </cell>
          <cell r="B17288">
            <v>127845</v>
          </cell>
          <cell r="C17288" t="str">
            <v>Leopold First School</v>
          </cell>
          <cell r="D17288" t="str">
            <v>Leeds</v>
          </cell>
          <cell r="E17288" t="str">
            <v>Community School</v>
          </cell>
          <cell r="F17288" t="str">
            <v>Primary</v>
          </cell>
        </row>
        <row r="17289">
          <cell r="A17289">
            <v>3042028</v>
          </cell>
          <cell r="B17289">
            <v>101504</v>
          </cell>
          <cell r="C17289" t="str">
            <v>Leopold Primary School</v>
          </cell>
          <cell r="D17289" t="str">
            <v>Brent</v>
          </cell>
          <cell r="E17289" t="str">
            <v>Community School</v>
          </cell>
          <cell r="F17289" t="str">
            <v>Primary</v>
          </cell>
        </row>
        <row r="17290">
          <cell r="A17290">
            <v>3832429</v>
          </cell>
          <cell r="B17290">
            <v>107905</v>
          </cell>
          <cell r="C17290" t="str">
            <v>Leopold Primary School</v>
          </cell>
          <cell r="D17290" t="str">
            <v>Leeds</v>
          </cell>
          <cell r="E17290" t="str">
            <v>Community School</v>
          </cell>
          <cell r="F17290" t="str">
            <v>Primary</v>
          </cell>
        </row>
        <row r="17291">
          <cell r="A17291">
            <v>3823026</v>
          </cell>
          <cell r="B17291">
            <v>107716</v>
          </cell>
          <cell r="C17291" t="str">
            <v>Lepton Church of England Voluntary Controlled Junior, Infant and Nursery School</v>
          </cell>
          <cell r="D17291" t="str">
            <v>Kirklees</v>
          </cell>
          <cell r="E17291" t="str">
            <v>Voluntary Controlled School</v>
          </cell>
          <cell r="F17291" t="str">
            <v>Primary</v>
          </cell>
        </row>
        <row r="17292">
          <cell r="A17292">
            <v>3824055</v>
          </cell>
          <cell r="B17292">
            <v>127798</v>
          </cell>
          <cell r="C17292" t="str">
            <v>Lepton Middle School</v>
          </cell>
          <cell r="D17292" t="str">
            <v>Kirklees</v>
          </cell>
          <cell r="E17292" t="str">
            <v>Community School</v>
          </cell>
          <cell r="F17292" t="str">
            <v>Middle Deemed Secondary</v>
          </cell>
        </row>
        <row r="17293">
          <cell r="A17293">
            <v>9083878</v>
          </cell>
          <cell r="B17293">
            <v>112026</v>
          </cell>
          <cell r="C17293" t="str">
            <v>Lerryn CofE Primary School</v>
          </cell>
          <cell r="D17293" t="str">
            <v>Cornwall</v>
          </cell>
          <cell r="E17293" t="str">
            <v>Voluntary Aided School</v>
          </cell>
          <cell r="F17293" t="str">
            <v>Primary</v>
          </cell>
        </row>
        <row r="17294">
          <cell r="A17294">
            <v>7064002</v>
          </cell>
          <cell r="B17294">
            <v>132489</v>
          </cell>
          <cell r="C17294" t="str">
            <v>Les Beaucamps High School</v>
          </cell>
          <cell r="D17294" t="str">
            <v>Guernsey Offshore Establishments</v>
          </cell>
          <cell r="E17294" t="str">
            <v>Offshore Schools</v>
          </cell>
          <cell r="F17294" t="str">
            <v>Not applicable</v>
          </cell>
        </row>
        <row r="17295">
          <cell r="A17295">
            <v>7077001</v>
          </cell>
          <cell r="B17295">
            <v>132429</v>
          </cell>
          <cell r="C17295" t="str">
            <v>Les Chenes Residential School</v>
          </cell>
          <cell r="D17295" t="str">
            <v>Jersey Offshore Establishments</v>
          </cell>
          <cell r="E17295" t="str">
            <v>Offshore Schools</v>
          </cell>
          <cell r="F17295" t="str">
            <v>Not applicable</v>
          </cell>
        </row>
        <row r="17296">
          <cell r="A17296">
            <v>7072009</v>
          </cell>
          <cell r="B17296">
            <v>132497</v>
          </cell>
          <cell r="C17296" t="str">
            <v>Les Landes School</v>
          </cell>
          <cell r="D17296" t="str">
            <v>Jersey Offshore Establishments</v>
          </cell>
          <cell r="E17296" t="str">
            <v>Offshore Schools</v>
          </cell>
          <cell r="F17296" t="str">
            <v>Not applicable</v>
          </cell>
        </row>
        <row r="17297">
          <cell r="A17297">
            <v>7074003</v>
          </cell>
          <cell r="B17297">
            <v>132524</v>
          </cell>
          <cell r="C17297" t="str">
            <v>Les Quennevais School</v>
          </cell>
          <cell r="D17297" t="str">
            <v>Jersey Offshore Establishments</v>
          </cell>
          <cell r="E17297" t="str">
            <v>Offshore Schools</v>
          </cell>
          <cell r="F17297" t="str">
            <v>Not applicable</v>
          </cell>
        </row>
        <row r="17298">
          <cell r="A17298">
            <v>9252246</v>
          </cell>
          <cell r="B17298">
            <v>120509</v>
          </cell>
          <cell r="C17298" t="str">
            <v>Leslie Manser Primary School</v>
          </cell>
          <cell r="D17298" t="str">
            <v>Lincolnshire</v>
          </cell>
          <cell r="E17298" t="str">
            <v>Community School</v>
          </cell>
          <cell r="F17298" t="str">
            <v>Primary</v>
          </cell>
        </row>
        <row r="17299">
          <cell r="A17299">
            <v>3032035</v>
          </cell>
          <cell r="B17299">
            <v>101424</v>
          </cell>
          <cell r="C17299" t="str">
            <v>Lessness Heath Primary School</v>
          </cell>
          <cell r="D17299" t="str">
            <v>Bexley</v>
          </cell>
          <cell r="E17299" t="str">
            <v>Community School</v>
          </cell>
          <cell r="F17299" t="str">
            <v>Primary</v>
          </cell>
        </row>
        <row r="17300">
          <cell r="A17300">
            <v>9192109</v>
          </cell>
          <cell r="B17300">
            <v>117151</v>
          </cell>
          <cell r="C17300" t="str">
            <v>Letchmore Infants' and Nursery School</v>
          </cell>
          <cell r="D17300" t="str">
            <v>Hertfordshire</v>
          </cell>
          <cell r="E17300" t="str">
            <v>Community School</v>
          </cell>
          <cell r="F17300" t="str">
            <v>Primary</v>
          </cell>
        </row>
        <row r="17301">
          <cell r="A17301">
            <v>8662112</v>
          </cell>
          <cell r="B17301">
            <v>126221</v>
          </cell>
          <cell r="C17301" t="str">
            <v>Lethbridge Infants' School</v>
          </cell>
          <cell r="D17301" t="str">
            <v>Swindon</v>
          </cell>
          <cell r="E17301" t="str">
            <v>Community School</v>
          </cell>
          <cell r="F17301" t="str">
            <v>Primary</v>
          </cell>
        </row>
        <row r="17302">
          <cell r="A17302">
            <v>8662111</v>
          </cell>
          <cell r="B17302">
            <v>126220</v>
          </cell>
          <cell r="C17302" t="str">
            <v>Lethbridge Junior School</v>
          </cell>
          <cell r="D17302" t="str">
            <v>Swindon</v>
          </cell>
          <cell r="E17302" t="str">
            <v>Community School</v>
          </cell>
          <cell r="F17302" t="str">
            <v>Primary</v>
          </cell>
        </row>
        <row r="17303">
          <cell r="A17303">
            <v>8663000</v>
          </cell>
          <cell r="B17303">
            <v>132193</v>
          </cell>
          <cell r="C17303" t="str">
            <v>Lethbridge Primary School</v>
          </cell>
          <cell r="D17303" t="str">
            <v>Swindon</v>
          </cell>
          <cell r="E17303" t="str">
            <v>Community School</v>
          </cell>
          <cell r="F17303" t="str">
            <v>Primary</v>
          </cell>
        </row>
        <row r="17304">
          <cell r="A17304">
            <v>8663000</v>
          </cell>
          <cell r="B17304">
            <v>137191</v>
          </cell>
          <cell r="C17304" t="str">
            <v>Lethbridge Primary School</v>
          </cell>
          <cell r="D17304" t="str">
            <v>Swindon</v>
          </cell>
          <cell r="E17304" t="str">
            <v>Academy Converters</v>
          </cell>
          <cell r="F17304" t="str">
            <v>Primary</v>
          </cell>
        </row>
        <row r="17305">
          <cell r="A17305">
            <v>6683054</v>
          </cell>
          <cell r="B17305">
            <v>400716</v>
          </cell>
          <cell r="C17305" t="str">
            <v>Letterston VC School</v>
          </cell>
          <cell r="D17305" t="str">
            <v>Pembrokeshire</v>
          </cell>
          <cell r="E17305" t="str">
            <v>Welsh Establishment</v>
          </cell>
          <cell r="F17305" t="str">
            <v>Primary</v>
          </cell>
        </row>
        <row r="17306">
          <cell r="A17306">
            <v>3416049</v>
          </cell>
          <cell r="B17306">
            <v>134401</v>
          </cell>
          <cell r="C17306" t="str">
            <v>Level 3</v>
          </cell>
          <cell r="D17306" t="str">
            <v>Liverpool</v>
          </cell>
          <cell r="E17306" t="str">
            <v>Other Independent School</v>
          </cell>
          <cell r="F17306" t="str">
            <v>Not applicable</v>
          </cell>
        </row>
        <row r="17307">
          <cell r="A17307">
            <v>8113027</v>
          </cell>
          <cell r="B17307">
            <v>117981</v>
          </cell>
          <cell r="C17307" t="str">
            <v>Leven Church of England Voluntary Controlled Primary School</v>
          </cell>
          <cell r="D17307" t="str">
            <v>East Riding of Yorkshire</v>
          </cell>
          <cell r="E17307" t="str">
            <v>Voluntary Controlled School</v>
          </cell>
          <cell r="F17307" t="str">
            <v>Primary</v>
          </cell>
        </row>
        <row r="17308">
          <cell r="A17308">
            <v>9093550</v>
          </cell>
          <cell r="B17308">
            <v>112356</v>
          </cell>
          <cell r="C17308" t="str">
            <v>Leven Valley CofE Primary School</v>
          </cell>
          <cell r="D17308" t="str">
            <v>Cumbria</v>
          </cell>
          <cell r="E17308" t="str">
            <v>Voluntary Aided School</v>
          </cell>
          <cell r="F17308" t="str">
            <v>Primary</v>
          </cell>
        </row>
        <row r="17309">
          <cell r="A17309">
            <v>8082087</v>
          </cell>
          <cell r="B17309">
            <v>111566</v>
          </cell>
          <cell r="C17309" t="str">
            <v>Levendale Primary School</v>
          </cell>
          <cell r="D17309" t="str">
            <v>Stockton-on-Tees</v>
          </cell>
          <cell r="E17309" t="str">
            <v>Community School</v>
          </cell>
          <cell r="F17309" t="str">
            <v>Primary</v>
          </cell>
        </row>
        <row r="17310">
          <cell r="A17310">
            <v>9093054</v>
          </cell>
          <cell r="B17310">
            <v>112262</v>
          </cell>
          <cell r="C17310" t="str">
            <v>Levens CofE School</v>
          </cell>
          <cell r="D17310" t="str">
            <v>Cumbria</v>
          </cell>
          <cell r="E17310" t="str">
            <v>Voluntary Controlled School</v>
          </cell>
          <cell r="F17310" t="str">
            <v>Primary</v>
          </cell>
        </row>
        <row r="17311">
          <cell r="A17311">
            <v>3524280</v>
          </cell>
          <cell r="B17311">
            <v>105568</v>
          </cell>
          <cell r="C17311" t="str">
            <v>Levenshulme High School</v>
          </cell>
          <cell r="D17311" t="str">
            <v>Manchester</v>
          </cell>
          <cell r="E17311" t="str">
            <v>Community School</v>
          </cell>
          <cell r="F17311" t="str">
            <v>Secondary</v>
          </cell>
        </row>
        <row r="17312">
          <cell r="A17312">
            <v>3502018</v>
          </cell>
          <cell r="B17312">
            <v>105158</v>
          </cell>
          <cell r="C17312" t="str">
            <v>Lever Edge Primary School</v>
          </cell>
          <cell r="D17312" t="str">
            <v>Bolton</v>
          </cell>
          <cell r="E17312" t="str">
            <v>Community School</v>
          </cell>
          <cell r="F17312" t="str">
            <v>Primary</v>
          </cell>
        </row>
        <row r="17313">
          <cell r="A17313">
            <v>3502018</v>
          </cell>
          <cell r="B17313">
            <v>136395</v>
          </cell>
          <cell r="C17313" t="str">
            <v>Lever Edge Primary School</v>
          </cell>
          <cell r="D17313" t="str">
            <v>Bolton</v>
          </cell>
          <cell r="E17313" t="str">
            <v>Academy Converters</v>
          </cell>
          <cell r="F17313" t="str">
            <v>Primary</v>
          </cell>
        </row>
        <row r="17314">
          <cell r="A17314">
            <v>8882554</v>
          </cell>
          <cell r="B17314">
            <v>119305</v>
          </cell>
          <cell r="C17314" t="str">
            <v>Lever House Primary School</v>
          </cell>
          <cell r="D17314" t="str">
            <v>Lancashire</v>
          </cell>
          <cell r="E17314" t="str">
            <v>Community School</v>
          </cell>
          <cell r="F17314" t="str">
            <v>Primary</v>
          </cell>
        </row>
        <row r="17315">
          <cell r="A17315">
            <v>3507009</v>
          </cell>
          <cell r="B17315">
            <v>131692</v>
          </cell>
          <cell r="C17315" t="str">
            <v>Lever Park School</v>
          </cell>
          <cell r="D17315" t="str">
            <v>Bolton</v>
          </cell>
          <cell r="E17315" t="str">
            <v>Foundation Special School</v>
          </cell>
          <cell r="F17315" t="str">
            <v>Special</v>
          </cell>
        </row>
        <row r="17316">
          <cell r="A17316">
            <v>9166066</v>
          </cell>
          <cell r="B17316">
            <v>115807</v>
          </cell>
          <cell r="C17316" t="str">
            <v>Leverets School</v>
          </cell>
          <cell r="D17316" t="str">
            <v>Gloucestershire</v>
          </cell>
          <cell r="E17316" t="str">
            <v>Other Independent School</v>
          </cell>
          <cell r="F17316" t="str">
            <v>Not applicable</v>
          </cell>
        </row>
        <row r="17317">
          <cell r="A17317">
            <v>3503373</v>
          </cell>
          <cell r="B17317">
            <v>131271</v>
          </cell>
          <cell r="C17317" t="str">
            <v>Leverhulme Community Primary School</v>
          </cell>
          <cell r="D17317" t="str">
            <v>Bolton</v>
          </cell>
          <cell r="E17317" t="str">
            <v>Community School</v>
          </cell>
          <cell r="F17317" t="str">
            <v>Primary</v>
          </cell>
        </row>
        <row r="17318">
          <cell r="A17318">
            <v>8732072</v>
          </cell>
          <cell r="B17318">
            <v>110636</v>
          </cell>
          <cell r="C17318" t="str">
            <v>Leverington Community Primary School</v>
          </cell>
          <cell r="D17318" t="str">
            <v>Cambridgeshire</v>
          </cell>
          <cell r="E17318" t="str">
            <v>Community School</v>
          </cell>
          <cell r="F17318" t="str">
            <v>Primary</v>
          </cell>
        </row>
        <row r="17319">
          <cell r="A17319">
            <v>8732072</v>
          </cell>
          <cell r="B17319">
            <v>136670</v>
          </cell>
          <cell r="C17319" t="str">
            <v>Leverington Primary Academy</v>
          </cell>
          <cell r="D17319" t="str">
            <v>Cambridgeshire</v>
          </cell>
          <cell r="E17319" t="str">
            <v>Academy Converters</v>
          </cell>
          <cell r="F17319" t="str">
            <v>Primary</v>
          </cell>
        </row>
        <row r="17320">
          <cell r="A17320">
            <v>9193054</v>
          </cell>
          <cell r="B17320">
            <v>117416</v>
          </cell>
          <cell r="C17320" t="str">
            <v>Leverstock Green Church of England Primary School</v>
          </cell>
          <cell r="D17320" t="str">
            <v>Hertfordshire</v>
          </cell>
          <cell r="E17320" t="str">
            <v>Voluntary Controlled School</v>
          </cell>
          <cell r="F17320" t="str">
            <v>Primary</v>
          </cell>
        </row>
        <row r="17321">
          <cell r="A17321">
            <v>881611</v>
          </cell>
          <cell r="B17321">
            <v>133095</v>
          </cell>
          <cell r="C17321" t="str">
            <v>Leverton Hall</v>
          </cell>
          <cell r="D17321" t="str">
            <v>Essex</v>
          </cell>
          <cell r="E17321" t="str">
            <v>Secure Units</v>
          </cell>
          <cell r="F17321" t="str">
            <v>Not applicable</v>
          </cell>
        </row>
        <row r="17322">
          <cell r="A17322">
            <v>8811117</v>
          </cell>
          <cell r="B17322">
            <v>135829</v>
          </cell>
          <cell r="C17322" t="str">
            <v>Leverton House</v>
          </cell>
          <cell r="D17322" t="str">
            <v>Essex</v>
          </cell>
          <cell r="E17322" t="str">
            <v>Pupil Referral Unit</v>
          </cell>
          <cell r="F17322" t="str">
            <v>PRU</v>
          </cell>
        </row>
        <row r="17323">
          <cell r="A17323">
            <v>8811111</v>
          </cell>
          <cell r="B17323">
            <v>131009</v>
          </cell>
          <cell r="C17323" t="str">
            <v>Leverton PRU</v>
          </cell>
          <cell r="D17323" t="str">
            <v>Essex</v>
          </cell>
          <cell r="E17323" t="str">
            <v>Pupil Referral Unit</v>
          </cell>
          <cell r="F17323" t="str">
            <v>PRU</v>
          </cell>
        </row>
        <row r="17324">
          <cell r="A17324">
            <v>8783155</v>
          </cell>
          <cell r="B17324">
            <v>113412</v>
          </cell>
          <cell r="C17324" t="str">
            <v>Lew Trenchard Church of England Primary School</v>
          </cell>
          <cell r="D17324" t="str">
            <v>Devon</v>
          </cell>
          <cell r="E17324" t="str">
            <v>Voluntary Controlled School</v>
          </cell>
          <cell r="F17324" t="str">
            <v>Primary</v>
          </cell>
        </row>
        <row r="17325">
          <cell r="A17325">
            <v>9082612</v>
          </cell>
          <cell r="B17325">
            <v>111932</v>
          </cell>
          <cell r="C17325" t="str">
            <v>Lewannick Community Primary School</v>
          </cell>
          <cell r="D17325" t="str">
            <v>Cornwall</v>
          </cell>
          <cell r="E17325" t="str">
            <v>Community School</v>
          </cell>
          <cell r="F17325" t="str">
            <v>Primary</v>
          </cell>
        </row>
        <row r="17326">
          <cell r="A17326">
            <v>8456047</v>
          </cell>
          <cell r="B17326">
            <v>132729</v>
          </cell>
          <cell r="C17326" t="str">
            <v>Lewes New School</v>
          </cell>
          <cell r="D17326" t="str">
            <v>East Sussex</v>
          </cell>
          <cell r="E17326" t="str">
            <v>Other Independent School</v>
          </cell>
          <cell r="F17326" t="str">
            <v>Not applicable</v>
          </cell>
        </row>
        <row r="17327">
          <cell r="A17327">
            <v>8456032</v>
          </cell>
          <cell r="B17327">
            <v>114634</v>
          </cell>
          <cell r="C17327" t="str">
            <v>Lewes Old Grammar School</v>
          </cell>
          <cell r="D17327" t="str">
            <v>East Sussex</v>
          </cell>
          <cell r="E17327" t="str">
            <v>Other Independent School</v>
          </cell>
          <cell r="F17327" t="str">
            <v>Not applicable</v>
          </cell>
        </row>
        <row r="17328">
          <cell r="A17328">
            <v>8451105</v>
          </cell>
          <cell r="B17328">
            <v>114357</v>
          </cell>
          <cell r="C17328" t="str">
            <v>Lewes Tutorial Unit</v>
          </cell>
          <cell r="D17328" t="str">
            <v>East Sussex</v>
          </cell>
          <cell r="E17328" t="str">
            <v>Pupil Referral Unit</v>
          </cell>
          <cell r="F17328" t="str">
            <v>PRU</v>
          </cell>
        </row>
        <row r="17329">
          <cell r="A17329">
            <v>8356025</v>
          </cell>
          <cell r="B17329">
            <v>113920</v>
          </cell>
          <cell r="C17329" t="str">
            <v>Leweston School</v>
          </cell>
          <cell r="D17329" t="str">
            <v>Dorset</v>
          </cell>
          <cell r="E17329" t="str">
            <v>Other Independent School</v>
          </cell>
          <cell r="F17329" t="str">
            <v>Not applicable</v>
          </cell>
        </row>
        <row r="17330">
          <cell r="A17330">
            <v>8556020</v>
          </cell>
          <cell r="B17330">
            <v>134438</v>
          </cell>
          <cell r="C17330" t="str">
            <v>Lewis Charlton School</v>
          </cell>
          <cell r="D17330" t="str">
            <v>Leicestershire</v>
          </cell>
          <cell r="E17330" t="str">
            <v>Other Independent Special School</v>
          </cell>
          <cell r="F17330" t="str">
            <v>Not applicable</v>
          </cell>
        </row>
        <row r="17331">
          <cell r="A17331">
            <v>6764077</v>
          </cell>
          <cell r="B17331">
            <v>401840</v>
          </cell>
          <cell r="C17331" t="str">
            <v>Lewis Girls' Comprehensive School</v>
          </cell>
          <cell r="D17331" t="str">
            <v>Caerphilly</v>
          </cell>
          <cell r="E17331" t="str">
            <v>Welsh Establishment</v>
          </cell>
          <cell r="F17331" t="str">
            <v>Secondary</v>
          </cell>
        </row>
        <row r="17332">
          <cell r="A17332">
            <v>6764075</v>
          </cell>
          <cell r="B17332">
            <v>401839</v>
          </cell>
          <cell r="C17332" t="str">
            <v>Lewis School Pengam</v>
          </cell>
          <cell r="D17332" t="str">
            <v>Caerphilly</v>
          </cell>
          <cell r="E17332" t="str">
            <v>Welsh Establishment</v>
          </cell>
          <cell r="F17332" t="str">
            <v>Secondary</v>
          </cell>
        </row>
        <row r="17333">
          <cell r="A17333">
            <v>3552059</v>
          </cell>
          <cell r="B17333">
            <v>105903</v>
          </cell>
          <cell r="C17333" t="str">
            <v>Lewis Street Primary School</v>
          </cell>
          <cell r="D17333" t="str">
            <v>Salford</v>
          </cell>
          <cell r="E17333" t="str">
            <v>Community School</v>
          </cell>
          <cell r="F17333" t="str">
            <v>Primary</v>
          </cell>
        </row>
        <row r="17334">
          <cell r="A17334">
            <v>2092384</v>
          </cell>
          <cell r="B17334">
            <v>100694</v>
          </cell>
          <cell r="C17334" t="str">
            <v>Lewisham Bridge Primary School</v>
          </cell>
          <cell r="D17334" t="str">
            <v>Lewisham</v>
          </cell>
          <cell r="E17334" t="str">
            <v>Community School</v>
          </cell>
          <cell r="F17334" t="str">
            <v>Primary</v>
          </cell>
        </row>
        <row r="17335">
          <cell r="A17335">
            <v>2098006</v>
          </cell>
          <cell r="B17335">
            <v>130415</v>
          </cell>
          <cell r="C17335" t="str">
            <v>Lewisham College</v>
          </cell>
          <cell r="D17335" t="str">
            <v>Lewisham</v>
          </cell>
          <cell r="E17335" t="str">
            <v>Further Education</v>
          </cell>
          <cell r="F17335" t="str">
            <v>16 Plus</v>
          </cell>
        </row>
        <row r="17336">
          <cell r="A17336">
            <v>9313184</v>
          </cell>
          <cell r="B17336">
            <v>123128</v>
          </cell>
          <cell r="C17336" t="str">
            <v>Lewknor Church of England Primary School</v>
          </cell>
          <cell r="D17336" t="str">
            <v>Oxfordshire</v>
          </cell>
          <cell r="E17336" t="str">
            <v>Voluntary Controlled School</v>
          </cell>
          <cell r="F17336" t="str">
            <v>Primary</v>
          </cell>
        </row>
        <row r="17337">
          <cell r="A17337">
            <v>8812006</v>
          </cell>
          <cell r="B17337">
            <v>114707</v>
          </cell>
          <cell r="C17337" t="str">
            <v>Lexden Primary School with Unit for Hearing Impaired Pupils</v>
          </cell>
          <cell r="D17337" t="str">
            <v>Essex</v>
          </cell>
          <cell r="E17337" t="str">
            <v>Community School</v>
          </cell>
          <cell r="F17337" t="str">
            <v>Primary</v>
          </cell>
        </row>
        <row r="17338">
          <cell r="A17338">
            <v>8817069</v>
          </cell>
          <cell r="B17338">
            <v>115475</v>
          </cell>
          <cell r="C17338" t="str">
            <v>Lexden Springs School</v>
          </cell>
          <cell r="D17338" t="str">
            <v>Essex</v>
          </cell>
          <cell r="E17338" t="str">
            <v>Community Special School</v>
          </cell>
          <cell r="F17338" t="str">
            <v>Special</v>
          </cell>
        </row>
        <row r="17339">
          <cell r="A17339">
            <v>3302418</v>
          </cell>
          <cell r="B17339">
            <v>127053</v>
          </cell>
          <cell r="C17339" t="str">
            <v>Ley Hill Infants' School</v>
          </cell>
          <cell r="D17339" t="str">
            <v>Birmingham</v>
          </cell>
          <cell r="E17339" t="str">
            <v>Community School</v>
          </cell>
          <cell r="F17339" t="str">
            <v>Primary</v>
          </cell>
        </row>
        <row r="17340">
          <cell r="A17340">
            <v>3302249</v>
          </cell>
          <cell r="B17340">
            <v>103297</v>
          </cell>
          <cell r="C17340" t="str">
            <v>Ley Hill Junior and Infant (NC) School</v>
          </cell>
          <cell r="D17340" t="str">
            <v>Birmingham</v>
          </cell>
          <cell r="E17340" t="str">
            <v>Community School</v>
          </cell>
          <cell r="F17340" t="str">
            <v>Primary</v>
          </cell>
        </row>
        <row r="17341">
          <cell r="A17341">
            <v>3302413</v>
          </cell>
          <cell r="B17341">
            <v>127052</v>
          </cell>
          <cell r="C17341" t="str">
            <v>Ley Hill Junior School</v>
          </cell>
          <cell r="D17341" t="str">
            <v>Birmingham</v>
          </cell>
          <cell r="E17341" t="str">
            <v>Community School</v>
          </cell>
          <cell r="F17341" t="str">
            <v>Primary</v>
          </cell>
        </row>
        <row r="17342">
          <cell r="A17342">
            <v>8252068</v>
          </cell>
          <cell r="B17342">
            <v>110243</v>
          </cell>
          <cell r="C17342" t="str">
            <v>Ley Hill School</v>
          </cell>
          <cell r="D17342" t="str">
            <v>Buckinghamshire</v>
          </cell>
          <cell r="E17342" t="str">
            <v>Community School</v>
          </cell>
          <cell r="F17342" t="str">
            <v>Primary</v>
          </cell>
        </row>
        <row r="17343">
          <cell r="A17343">
            <v>9192435</v>
          </cell>
          <cell r="B17343">
            <v>129146</v>
          </cell>
          <cell r="C17343" t="str">
            <v>Ley Park Infant School</v>
          </cell>
          <cell r="D17343" t="str">
            <v>Hertfordshire</v>
          </cell>
          <cell r="E17343" t="str">
            <v>Community School</v>
          </cell>
          <cell r="F17343" t="str">
            <v>Primary</v>
          </cell>
        </row>
        <row r="17344">
          <cell r="A17344">
            <v>9192409</v>
          </cell>
          <cell r="B17344">
            <v>129141</v>
          </cell>
          <cell r="C17344" t="str">
            <v>Ley Park Junior School</v>
          </cell>
          <cell r="D17344" t="str">
            <v>Hertfordshire</v>
          </cell>
          <cell r="E17344" t="str">
            <v>Community School</v>
          </cell>
          <cell r="F17344" t="str">
            <v>Primary</v>
          </cell>
        </row>
        <row r="17345">
          <cell r="A17345">
            <v>9192455</v>
          </cell>
          <cell r="B17345">
            <v>117356</v>
          </cell>
          <cell r="C17345" t="str">
            <v>Ley Park Primary School</v>
          </cell>
          <cell r="D17345" t="str">
            <v>Hertfordshire</v>
          </cell>
          <cell r="E17345" t="str">
            <v>Community School</v>
          </cell>
          <cell r="F17345" t="str">
            <v>Primary</v>
          </cell>
        </row>
        <row r="17346">
          <cell r="A17346">
            <v>3802090</v>
          </cell>
          <cell r="B17346">
            <v>107241</v>
          </cell>
          <cell r="C17346" t="str">
            <v>Ley Top Primary School</v>
          </cell>
          <cell r="D17346" t="str">
            <v>Bradford</v>
          </cell>
          <cell r="E17346" t="str">
            <v>Community School</v>
          </cell>
          <cell r="F17346" t="str">
            <v>Primary</v>
          </cell>
        </row>
        <row r="17347">
          <cell r="A17347">
            <v>8863324</v>
          </cell>
          <cell r="B17347">
            <v>118727</v>
          </cell>
          <cell r="C17347" t="str">
            <v>Leybourne, St Peter and St Paul Church of England Voluntary Aided Primary School</v>
          </cell>
          <cell r="D17347" t="str">
            <v>Kent</v>
          </cell>
          <cell r="E17347" t="str">
            <v>Voluntary Aided School</v>
          </cell>
          <cell r="F17347" t="str">
            <v>Primary</v>
          </cell>
        </row>
        <row r="17348">
          <cell r="A17348">
            <v>8152065</v>
          </cell>
          <cell r="B17348">
            <v>121304</v>
          </cell>
          <cell r="C17348" t="str">
            <v>Leyburn Community Primary School</v>
          </cell>
          <cell r="D17348" t="str">
            <v>North Yorkshire</v>
          </cell>
          <cell r="E17348" t="str">
            <v>Community School</v>
          </cell>
          <cell r="F17348" t="str">
            <v>Primary</v>
          </cell>
        </row>
        <row r="17349">
          <cell r="A17349">
            <v>8869901</v>
          </cell>
          <cell r="B17349">
            <v>133229</v>
          </cell>
          <cell r="C17349" t="str">
            <v>Leydenhatch Educational Centre</v>
          </cell>
          <cell r="D17349" t="str">
            <v>Kent</v>
          </cell>
          <cell r="E17349" t="str">
            <v>Miscellaneous</v>
          </cell>
          <cell r="F17349" t="str">
            <v>Not applicable</v>
          </cell>
        </row>
        <row r="17350">
          <cell r="A17350">
            <v>8866105</v>
          </cell>
          <cell r="B17350">
            <v>134481</v>
          </cell>
          <cell r="C17350" t="str">
            <v>Leydenhatch Study Centre</v>
          </cell>
          <cell r="D17350" t="str">
            <v>Kent</v>
          </cell>
          <cell r="E17350" t="str">
            <v>Other Independent School</v>
          </cell>
          <cell r="F17350" t="str">
            <v>Not applicable</v>
          </cell>
        </row>
        <row r="17351">
          <cell r="A17351">
            <v>8883143</v>
          </cell>
          <cell r="B17351">
            <v>119401</v>
          </cell>
          <cell r="C17351" t="str">
            <v>Leyland Methodist Infant School</v>
          </cell>
          <cell r="D17351" t="str">
            <v>Lancashire</v>
          </cell>
          <cell r="E17351" t="str">
            <v>Voluntary Controlled School</v>
          </cell>
          <cell r="F17351" t="str">
            <v>Primary</v>
          </cell>
        </row>
        <row r="17352">
          <cell r="A17352">
            <v>8883141</v>
          </cell>
          <cell r="B17352">
            <v>119400</v>
          </cell>
          <cell r="C17352" t="str">
            <v>Leyland Methodist Junior School</v>
          </cell>
          <cell r="D17352" t="str">
            <v>Lancashire</v>
          </cell>
          <cell r="E17352" t="str">
            <v>Voluntary Controlled School</v>
          </cell>
          <cell r="F17352" t="str">
            <v>Primary</v>
          </cell>
        </row>
        <row r="17353">
          <cell r="A17353">
            <v>9377025</v>
          </cell>
          <cell r="B17353">
            <v>125803</v>
          </cell>
          <cell r="C17353" t="str">
            <v>Leyland School</v>
          </cell>
          <cell r="D17353" t="str">
            <v>Warwickshire</v>
          </cell>
          <cell r="E17353" t="str">
            <v>Community Special School</v>
          </cell>
          <cell r="F17353" t="str">
            <v>Special</v>
          </cell>
        </row>
        <row r="17354">
          <cell r="A17354">
            <v>8883025</v>
          </cell>
          <cell r="B17354">
            <v>119369</v>
          </cell>
          <cell r="C17354" t="str">
            <v>Leyland St Andrew's Church of England Infant School</v>
          </cell>
          <cell r="D17354" t="str">
            <v>Lancashire</v>
          </cell>
          <cell r="E17354" t="str">
            <v>Voluntary Controlled School</v>
          </cell>
          <cell r="F17354" t="str">
            <v>Primary</v>
          </cell>
        </row>
        <row r="17355">
          <cell r="A17355">
            <v>8883411</v>
          </cell>
          <cell r="B17355">
            <v>119476</v>
          </cell>
          <cell r="C17355" t="str">
            <v>Leyland St James Church of England Primary School</v>
          </cell>
          <cell r="D17355" t="str">
            <v>Lancashire</v>
          </cell>
          <cell r="E17355" t="str">
            <v>Voluntary Aided School</v>
          </cell>
          <cell r="F17355" t="str">
            <v>Primary</v>
          </cell>
        </row>
        <row r="17356">
          <cell r="A17356">
            <v>8885407</v>
          </cell>
          <cell r="B17356">
            <v>119816</v>
          </cell>
          <cell r="C17356" t="str">
            <v>Leyland St Mary's Catholic Technology College</v>
          </cell>
          <cell r="D17356" t="str">
            <v>Lancashire</v>
          </cell>
          <cell r="E17356" t="str">
            <v>Voluntary Aided School</v>
          </cell>
          <cell r="F17356" t="str">
            <v>Secondary</v>
          </cell>
        </row>
        <row r="17357">
          <cell r="A17357">
            <v>8883793</v>
          </cell>
          <cell r="B17357">
            <v>119677</v>
          </cell>
          <cell r="C17357" t="str">
            <v>Leyland St Mary's Roman Catholic Primary School</v>
          </cell>
          <cell r="D17357" t="str">
            <v>Lancashire</v>
          </cell>
          <cell r="E17357" t="str">
            <v>Voluntary Aided School</v>
          </cell>
          <cell r="F17357" t="str">
            <v>Primary</v>
          </cell>
        </row>
        <row r="17358">
          <cell r="A17358">
            <v>8132159</v>
          </cell>
          <cell r="B17358">
            <v>117771</v>
          </cell>
          <cell r="C17358" t="str">
            <v>Leys Farm Junior School</v>
          </cell>
          <cell r="D17358" t="str">
            <v>North Lincolnshire</v>
          </cell>
          <cell r="E17358" t="str">
            <v>Community School</v>
          </cell>
          <cell r="F17358" t="str">
            <v>Primary</v>
          </cell>
        </row>
        <row r="17359">
          <cell r="A17359">
            <v>8302000</v>
          </cell>
          <cell r="B17359">
            <v>112492</v>
          </cell>
          <cell r="C17359" t="str">
            <v>Leys Junior School</v>
          </cell>
          <cell r="D17359" t="str">
            <v>Derbyshire</v>
          </cell>
          <cell r="E17359" t="str">
            <v>Community School</v>
          </cell>
          <cell r="F17359" t="str">
            <v>Primary</v>
          </cell>
        </row>
        <row r="17360">
          <cell r="A17360">
            <v>8554054</v>
          </cell>
          <cell r="B17360">
            <v>120272</v>
          </cell>
          <cell r="C17360" t="str">
            <v>Leysland High School</v>
          </cell>
          <cell r="D17360" t="str">
            <v>Leicestershire</v>
          </cell>
          <cell r="E17360" t="str">
            <v>Community School</v>
          </cell>
          <cell r="F17360" t="str">
            <v>Secondary</v>
          </cell>
        </row>
        <row r="17361">
          <cell r="A17361">
            <v>320940</v>
          </cell>
          <cell r="B17361">
            <v>133535</v>
          </cell>
          <cell r="C17361" t="str">
            <v>Leyton Orient Education Centre</v>
          </cell>
          <cell r="D17361" t="str">
            <v>Waltham Forest</v>
          </cell>
          <cell r="E17361" t="str">
            <v>Playing for Success Centres</v>
          </cell>
          <cell r="F17361" t="str">
            <v>Not applicable</v>
          </cell>
        </row>
        <row r="17362">
          <cell r="A17362">
            <v>3204049</v>
          </cell>
          <cell r="B17362">
            <v>127036</v>
          </cell>
          <cell r="C17362" t="str">
            <v>Leyton Senior High School</v>
          </cell>
          <cell r="D17362" t="str">
            <v>Waltham Forest</v>
          </cell>
          <cell r="E17362" t="str">
            <v>Community School</v>
          </cell>
          <cell r="F17362" t="str">
            <v>Secondary</v>
          </cell>
        </row>
        <row r="17363">
          <cell r="A17363">
            <v>3204068</v>
          </cell>
          <cell r="B17363">
            <v>127039</v>
          </cell>
          <cell r="C17363" t="str">
            <v>Leyton Sixth Form College</v>
          </cell>
          <cell r="D17363" t="str">
            <v>Waltham Forest</v>
          </cell>
          <cell r="E17363" t="str">
            <v>Community School</v>
          </cell>
          <cell r="F17363" t="str">
            <v>Secondary</v>
          </cell>
        </row>
        <row r="17364">
          <cell r="A17364">
            <v>3208600</v>
          </cell>
          <cell r="B17364">
            <v>130457</v>
          </cell>
          <cell r="C17364" t="str">
            <v>Leyton Sixth Form College</v>
          </cell>
          <cell r="D17364" t="str">
            <v>Waltham Forest</v>
          </cell>
          <cell r="E17364" t="str">
            <v>Further Education</v>
          </cell>
          <cell r="F17364" t="str">
            <v>16 Plus</v>
          </cell>
        </row>
        <row r="17365">
          <cell r="A17365">
            <v>3204069</v>
          </cell>
          <cell r="B17365">
            <v>103101</v>
          </cell>
          <cell r="C17365" t="str">
            <v>Leytonstone Business and Enterprise Specialist School</v>
          </cell>
          <cell r="D17365" t="str">
            <v>Waltham Forest</v>
          </cell>
          <cell r="E17365" t="str">
            <v>Community School</v>
          </cell>
          <cell r="F17365" t="str">
            <v>Secondary</v>
          </cell>
        </row>
        <row r="17366">
          <cell r="A17366">
            <v>6662083</v>
          </cell>
          <cell r="B17366">
            <v>400509</v>
          </cell>
          <cell r="C17366" t="str">
            <v>Libanus C.P. School</v>
          </cell>
          <cell r="D17366" t="str">
            <v>Powys</v>
          </cell>
          <cell r="E17366" t="str">
            <v>Welsh Establishment</v>
          </cell>
          <cell r="F17366" t="str">
            <v>Primary</v>
          </cell>
        </row>
        <row r="17367">
          <cell r="A17367">
            <v>6762084</v>
          </cell>
          <cell r="B17367">
            <v>401307</v>
          </cell>
          <cell r="C17367" t="str">
            <v>Libanus Primary School</v>
          </cell>
          <cell r="D17367" t="str">
            <v>Caerphilly</v>
          </cell>
          <cell r="E17367" t="str">
            <v>Welsh Establishment</v>
          </cell>
          <cell r="F17367" t="str">
            <v>Primary</v>
          </cell>
        </row>
        <row r="17368">
          <cell r="A17368">
            <v>3154058</v>
          </cell>
          <cell r="B17368">
            <v>126966</v>
          </cell>
          <cell r="C17368" t="str">
            <v>Liberty County Middle School</v>
          </cell>
          <cell r="D17368" t="str">
            <v>Merton</v>
          </cell>
          <cell r="E17368" t="str">
            <v>Community School</v>
          </cell>
          <cell r="F17368" t="str">
            <v>Middle Deemed Secondary</v>
          </cell>
        </row>
        <row r="17369">
          <cell r="A17369">
            <v>9356229</v>
          </cell>
          <cell r="B17369">
            <v>136434</v>
          </cell>
          <cell r="C17369" t="str">
            <v>Liberty Lodge</v>
          </cell>
          <cell r="D17369" t="str">
            <v>Suffolk</v>
          </cell>
          <cell r="E17369" t="str">
            <v>Other Independent Special School</v>
          </cell>
          <cell r="F17369" t="str">
            <v>Not applicable</v>
          </cell>
        </row>
        <row r="17370">
          <cell r="A17370">
            <v>3152085</v>
          </cell>
          <cell r="B17370">
            <v>102656</v>
          </cell>
          <cell r="C17370" t="str">
            <v>Liberty Primary</v>
          </cell>
          <cell r="D17370" t="str">
            <v>Merton</v>
          </cell>
          <cell r="E17370" t="str">
            <v>Community School</v>
          </cell>
          <cell r="F17370" t="str">
            <v>Primary</v>
          </cell>
        </row>
        <row r="17371">
          <cell r="A17371">
            <v>8606012</v>
          </cell>
          <cell r="B17371">
            <v>124474</v>
          </cell>
          <cell r="C17371" t="str">
            <v>Lichfield Cathedral School</v>
          </cell>
          <cell r="D17371" t="str">
            <v>Staffordshire</v>
          </cell>
          <cell r="E17371" t="str">
            <v>Other Independent School</v>
          </cell>
          <cell r="F17371" t="str">
            <v>Not applicable</v>
          </cell>
        </row>
        <row r="17372">
          <cell r="A17372">
            <v>9348155</v>
          </cell>
          <cell r="B17372">
            <v>133088</v>
          </cell>
          <cell r="C17372" t="str">
            <v>Lichfield College</v>
          </cell>
          <cell r="D17372" t="str">
            <v>Pre LGR (1997) Staffordshire</v>
          </cell>
          <cell r="E17372" t="str">
            <v>Miscellaneous</v>
          </cell>
          <cell r="F17372" t="str">
            <v>Not applicable</v>
          </cell>
        </row>
        <row r="17373">
          <cell r="A17373">
            <v>8601101</v>
          </cell>
          <cell r="B17373">
            <v>123972</v>
          </cell>
          <cell r="C17373" t="str">
            <v>Lichfield Educational Assessment Centre</v>
          </cell>
          <cell r="D17373" t="str">
            <v>Staffordshire</v>
          </cell>
          <cell r="E17373" t="str">
            <v>Pupil Referral Unit</v>
          </cell>
          <cell r="F17373" t="str">
            <v>PRU</v>
          </cell>
        </row>
        <row r="17374">
          <cell r="A17374">
            <v>8852018</v>
          </cell>
          <cell r="B17374">
            <v>116661</v>
          </cell>
          <cell r="C17374" t="str">
            <v>Lickey End First School</v>
          </cell>
          <cell r="D17374" t="str">
            <v>Worcestershire</v>
          </cell>
          <cell r="E17374" t="str">
            <v>Community School</v>
          </cell>
          <cell r="F17374" t="str">
            <v>Primary</v>
          </cell>
        </row>
        <row r="17375">
          <cell r="A17375">
            <v>3307017</v>
          </cell>
          <cell r="B17375">
            <v>127073</v>
          </cell>
          <cell r="C17375" t="str">
            <v>Lickey Grange School</v>
          </cell>
          <cell r="D17375" t="str">
            <v>Birmingham</v>
          </cell>
          <cell r="E17375" t="str">
            <v>Community Special School</v>
          </cell>
          <cell r="F17375" t="str">
            <v>Special</v>
          </cell>
        </row>
        <row r="17376">
          <cell r="A17376">
            <v>8852901</v>
          </cell>
          <cell r="B17376">
            <v>116773</v>
          </cell>
          <cell r="C17376" t="str">
            <v>Lickey Hills Primary School</v>
          </cell>
          <cell r="D17376" t="str">
            <v>Worcestershire</v>
          </cell>
          <cell r="E17376" t="str">
            <v>Community School</v>
          </cell>
          <cell r="F17376" t="str">
            <v>Primary</v>
          </cell>
        </row>
        <row r="17377">
          <cell r="A17377">
            <v>8852904</v>
          </cell>
          <cell r="B17377">
            <v>135044</v>
          </cell>
          <cell r="C17377" t="str">
            <v>Lickhill Primary School</v>
          </cell>
          <cell r="D17377" t="str">
            <v>Worcestershire</v>
          </cell>
          <cell r="E17377" t="str">
            <v>Foundation School</v>
          </cell>
          <cell r="F17377" t="str">
            <v>Primary</v>
          </cell>
        </row>
        <row r="17378">
          <cell r="A17378">
            <v>3412091</v>
          </cell>
          <cell r="B17378">
            <v>104553</v>
          </cell>
          <cell r="C17378" t="str">
            <v>Lidderdale Infant and Nursery School</v>
          </cell>
          <cell r="D17378" t="str">
            <v>Liverpool</v>
          </cell>
          <cell r="E17378" t="str">
            <v>Community School</v>
          </cell>
          <cell r="F17378" t="str">
            <v>Primary</v>
          </cell>
        </row>
        <row r="17379">
          <cell r="A17379">
            <v>8662197</v>
          </cell>
          <cell r="B17379">
            <v>126270</v>
          </cell>
          <cell r="C17379" t="str">
            <v>Liden Infants' School</v>
          </cell>
          <cell r="D17379" t="str">
            <v>Swindon</v>
          </cell>
          <cell r="E17379" t="str">
            <v>Community School</v>
          </cell>
          <cell r="F17379" t="str">
            <v>Primary</v>
          </cell>
        </row>
        <row r="17380">
          <cell r="A17380">
            <v>8662182</v>
          </cell>
          <cell r="B17380">
            <v>126261</v>
          </cell>
          <cell r="C17380" t="str">
            <v>Liden Junior School</v>
          </cell>
          <cell r="D17380" t="str">
            <v>Swindon</v>
          </cell>
          <cell r="E17380" t="str">
            <v>Community School</v>
          </cell>
          <cell r="F17380" t="str">
            <v>Primary</v>
          </cell>
        </row>
        <row r="17381">
          <cell r="A17381">
            <v>8662004</v>
          </cell>
          <cell r="B17381">
            <v>131901</v>
          </cell>
          <cell r="C17381" t="str">
            <v>Liden Primary School</v>
          </cell>
          <cell r="D17381" t="str">
            <v>Swindon</v>
          </cell>
          <cell r="E17381" t="str">
            <v>Community School</v>
          </cell>
          <cell r="F17381" t="str">
            <v>Primary</v>
          </cell>
        </row>
        <row r="17382">
          <cell r="A17382">
            <v>3804099</v>
          </cell>
          <cell r="B17382">
            <v>107412</v>
          </cell>
          <cell r="C17382" t="str">
            <v>Lidget Green Middle School</v>
          </cell>
          <cell r="D17382" t="str">
            <v>Bradford</v>
          </cell>
          <cell r="E17382" t="str">
            <v>Community School</v>
          </cell>
          <cell r="F17382" t="str">
            <v>Middle Deemed Secondary</v>
          </cell>
        </row>
        <row r="17383">
          <cell r="A17383">
            <v>3802043</v>
          </cell>
          <cell r="B17383">
            <v>107212</v>
          </cell>
          <cell r="C17383" t="str">
            <v>Lidget Green Primary School &amp; Children's Centre</v>
          </cell>
          <cell r="D17383" t="str">
            <v>Bradford</v>
          </cell>
          <cell r="E17383" t="str">
            <v>Community School</v>
          </cell>
          <cell r="F17383" t="str">
            <v>Primary</v>
          </cell>
        </row>
        <row r="17384">
          <cell r="A17384">
            <v>8167008</v>
          </cell>
          <cell r="B17384">
            <v>121769</v>
          </cell>
          <cell r="C17384" t="str">
            <v>Lidgett Grove School</v>
          </cell>
          <cell r="D17384" t="str">
            <v>York</v>
          </cell>
          <cell r="E17384" t="str">
            <v>Community Special School</v>
          </cell>
          <cell r="F17384" t="str">
            <v>Special</v>
          </cell>
        </row>
        <row r="17385">
          <cell r="A17385">
            <v>8782612</v>
          </cell>
          <cell r="B17385">
            <v>113256</v>
          </cell>
          <cell r="C17385" t="str">
            <v>Lifton Community Primary School</v>
          </cell>
          <cell r="D17385" t="str">
            <v>Devon</v>
          </cell>
          <cell r="E17385" t="str">
            <v>Community School</v>
          </cell>
          <cell r="F17385" t="str">
            <v>Primary</v>
          </cell>
        </row>
        <row r="17386">
          <cell r="A17386">
            <v>3344018</v>
          </cell>
          <cell r="B17386">
            <v>104112</v>
          </cell>
          <cell r="C17386" t="str">
            <v>Light Hall School Specialist Mathematics and Computing College</v>
          </cell>
          <cell r="D17386" t="str">
            <v>Solihull</v>
          </cell>
          <cell r="E17386" t="str">
            <v>Community School</v>
          </cell>
          <cell r="F17386" t="str">
            <v>Secondary</v>
          </cell>
        </row>
        <row r="17387">
          <cell r="A17387">
            <v>3344018</v>
          </cell>
          <cell r="B17387">
            <v>137231</v>
          </cell>
          <cell r="C17387" t="str">
            <v>Light Hall School Specialist Mathematics and Computing College</v>
          </cell>
          <cell r="D17387" t="str">
            <v>Solihull</v>
          </cell>
          <cell r="E17387" t="str">
            <v>Academy Converters</v>
          </cell>
          <cell r="F17387" t="str">
            <v>Secondary</v>
          </cell>
        </row>
        <row r="17388">
          <cell r="A17388">
            <v>3552037</v>
          </cell>
          <cell r="B17388">
            <v>105894</v>
          </cell>
          <cell r="C17388" t="str">
            <v>Light Oaks Infant School</v>
          </cell>
          <cell r="D17388" t="str">
            <v>Salford</v>
          </cell>
          <cell r="E17388" t="str">
            <v>Community School</v>
          </cell>
          <cell r="F17388" t="str">
            <v>Primary</v>
          </cell>
        </row>
        <row r="17389">
          <cell r="A17389">
            <v>3552007</v>
          </cell>
          <cell r="B17389">
            <v>105884</v>
          </cell>
          <cell r="C17389" t="str">
            <v>Light Oaks Junior School</v>
          </cell>
          <cell r="D17389" t="str">
            <v>Salford</v>
          </cell>
          <cell r="E17389" t="str">
            <v>Community School</v>
          </cell>
          <cell r="F17389" t="str">
            <v>Primary</v>
          </cell>
        </row>
        <row r="17390">
          <cell r="A17390">
            <v>3815204</v>
          </cell>
          <cell r="B17390">
            <v>107572</v>
          </cell>
          <cell r="C17390" t="str">
            <v>Lightcliffe CofE VA Primary School</v>
          </cell>
          <cell r="D17390" t="str">
            <v>Calderdale</v>
          </cell>
          <cell r="E17390" t="str">
            <v>Voluntary Aided School</v>
          </cell>
          <cell r="F17390" t="str">
            <v>Primary</v>
          </cell>
        </row>
        <row r="17391">
          <cell r="A17391">
            <v>3816003</v>
          </cell>
          <cell r="B17391">
            <v>107584</v>
          </cell>
          <cell r="C17391" t="str">
            <v>Lightcliffe Preparatory School</v>
          </cell>
          <cell r="D17391" t="str">
            <v>Calderdale</v>
          </cell>
          <cell r="E17391" t="str">
            <v>Other Independent School</v>
          </cell>
          <cell r="F17391" t="str">
            <v>Not applicable</v>
          </cell>
        </row>
        <row r="17392">
          <cell r="A17392">
            <v>9372064</v>
          </cell>
          <cell r="B17392">
            <v>125530</v>
          </cell>
          <cell r="C17392" t="str">
            <v>Lighthorne Heath Primary School</v>
          </cell>
          <cell r="D17392" t="str">
            <v>Warwickshire</v>
          </cell>
          <cell r="E17392" t="str">
            <v>Community School</v>
          </cell>
          <cell r="F17392" t="str">
            <v>Primary</v>
          </cell>
        </row>
        <row r="17393">
          <cell r="A17393">
            <v>3526046</v>
          </cell>
          <cell r="B17393">
            <v>131354</v>
          </cell>
          <cell r="C17393" t="str">
            <v>Lighthouse Christian School</v>
          </cell>
          <cell r="D17393" t="str">
            <v>Manchester</v>
          </cell>
          <cell r="E17393" t="str">
            <v>Other Independent School</v>
          </cell>
          <cell r="F17393" t="str">
            <v>Not applicable</v>
          </cell>
        </row>
        <row r="17394">
          <cell r="A17394">
            <v>8943367</v>
          </cell>
          <cell r="B17394">
            <v>135244</v>
          </cell>
          <cell r="C17394" t="str">
            <v>Lightmoor Village Primary School</v>
          </cell>
          <cell r="D17394" t="str">
            <v>Telford and Wrekin</v>
          </cell>
          <cell r="E17394" t="str">
            <v>Community School</v>
          </cell>
          <cell r="F17394" t="str">
            <v>Primary</v>
          </cell>
        </row>
        <row r="17395">
          <cell r="A17395">
            <v>9362269</v>
          </cell>
          <cell r="B17395">
            <v>124997</v>
          </cell>
          <cell r="C17395" t="str">
            <v>Lightwater Village School</v>
          </cell>
          <cell r="D17395" t="str">
            <v>Surrey</v>
          </cell>
          <cell r="E17395" t="str">
            <v>Community School</v>
          </cell>
          <cell r="F17395" t="str">
            <v>Primary</v>
          </cell>
        </row>
        <row r="17396">
          <cell r="A17396">
            <v>3332133</v>
          </cell>
          <cell r="B17396">
            <v>103947</v>
          </cell>
          <cell r="C17396" t="str">
            <v>Lightwoods Primary School</v>
          </cell>
          <cell r="D17396" t="str">
            <v>Sandwell</v>
          </cell>
          <cell r="E17396" t="str">
            <v>Community School</v>
          </cell>
          <cell r="F17396" t="str">
            <v>Primary</v>
          </cell>
        </row>
        <row r="17397">
          <cell r="A17397">
            <v>2084321</v>
          </cell>
          <cell r="B17397">
            <v>100625</v>
          </cell>
          <cell r="C17397" t="str">
            <v>Lilian Baylis Technology School</v>
          </cell>
          <cell r="D17397" t="str">
            <v>Lambeth</v>
          </cell>
          <cell r="E17397" t="str">
            <v>Community School</v>
          </cell>
          <cell r="F17397" t="str">
            <v>Secondary</v>
          </cell>
        </row>
        <row r="17398">
          <cell r="A17398">
            <v>9336213</v>
          </cell>
          <cell r="B17398">
            <v>131454</v>
          </cell>
          <cell r="C17398" t="str">
            <v>Lillesdon School</v>
          </cell>
          <cell r="D17398" t="str">
            <v>Somerset</v>
          </cell>
          <cell r="E17398" t="str">
            <v>Other Independent Special School</v>
          </cell>
          <cell r="F17398" t="str">
            <v>Not applicable</v>
          </cell>
        </row>
        <row r="17399">
          <cell r="A17399">
            <v>8942062</v>
          </cell>
          <cell r="B17399">
            <v>123378</v>
          </cell>
          <cell r="C17399" t="str">
            <v>Lilleshall Primary School</v>
          </cell>
          <cell r="D17399" t="str">
            <v>Telford and Wrekin</v>
          </cell>
          <cell r="E17399" t="str">
            <v>Community School</v>
          </cell>
          <cell r="F17399" t="str">
            <v>Primary</v>
          </cell>
        </row>
        <row r="17400">
          <cell r="A17400">
            <v>9304581</v>
          </cell>
          <cell r="B17400">
            <v>122891</v>
          </cell>
          <cell r="C17400" t="str">
            <v>Lilley and Stone School</v>
          </cell>
          <cell r="D17400" t="str">
            <v>Pre LGR (1998) Nottinghamshire</v>
          </cell>
          <cell r="E17400" t="str">
            <v>Voluntary Controlled School</v>
          </cell>
          <cell r="F17400" t="str">
            <v>Secondary</v>
          </cell>
        </row>
        <row r="17401">
          <cell r="A17401">
            <v>3301024</v>
          </cell>
          <cell r="B17401">
            <v>103137</v>
          </cell>
          <cell r="C17401" t="str">
            <v>Lillian de Lissa Nursery School</v>
          </cell>
          <cell r="D17401" t="str">
            <v>Birmingham</v>
          </cell>
          <cell r="E17401" t="str">
            <v>LA Nursery School</v>
          </cell>
          <cell r="F17401" t="str">
            <v>Nursery</v>
          </cell>
        </row>
        <row r="17402">
          <cell r="A17402">
            <v>9373150</v>
          </cell>
          <cell r="B17402">
            <v>125664</v>
          </cell>
          <cell r="C17402" t="str">
            <v>Lillington First School</v>
          </cell>
          <cell r="D17402" t="str">
            <v>Warwickshire</v>
          </cell>
          <cell r="E17402" t="str">
            <v>Voluntary Controlled School</v>
          </cell>
          <cell r="F17402" t="str">
            <v>Primary</v>
          </cell>
        </row>
        <row r="17403">
          <cell r="A17403">
            <v>9372316</v>
          </cell>
          <cell r="B17403">
            <v>125557</v>
          </cell>
          <cell r="C17403" t="str">
            <v>Lillington Middle School</v>
          </cell>
          <cell r="D17403" t="str">
            <v>Warwickshire</v>
          </cell>
          <cell r="E17403" t="str">
            <v>Community School</v>
          </cell>
          <cell r="F17403" t="str">
            <v>Middle Deemed Primary</v>
          </cell>
        </row>
        <row r="17404">
          <cell r="A17404">
            <v>9371021</v>
          </cell>
          <cell r="B17404">
            <v>125489</v>
          </cell>
          <cell r="C17404" t="str">
            <v>Lillington Nursery School</v>
          </cell>
          <cell r="D17404" t="str">
            <v>Warwickshire</v>
          </cell>
          <cell r="E17404" t="str">
            <v>LA Nursery School</v>
          </cell>
          <cell r="F17404" t="str">
            <v>Nursery</v>
          </cell>
        </row>
        <row r="17405">
          <cell r="A17405">
            <v>9372621</v>
          </cell>
          <cell r="B17405">
            <v>130869</v>
          </cell>
          <cell r="C17405" t="str">
            <v>Lillington Primary School</v>
          </cell>
          <cell r="D17405" t="str">
            <v>Warwickshire</v>
          </cell>
          <cell r="E17405" t="str">
            <v>Community School</v>
          </cell>
          <cell r="F17405" t="str">
            <v>Primary</v>
          </cell>
        </row>
        <row r="17406">
          <cell r="A17406">
            <v>8363154</v>
          </cell>
          <cell r="B17406">
            <v>113783</v>
          </cell>
          <cell r="C17406" t="str">
            <v>Lilliput Church of England Voluntary Controlled First School</v>
          </cell>
          <cell r="D17406" t="str">
            <v>Poole</v>
          </cell>
          <cell r="E17406" t="str">
            <v>Voluntary Controlled School</v>
          </cell>
          <cell r="F17406" t="str">
            <v>Primary</v>
          </cell>
        </row>
        <row r="17407">
          <cell r="A17407">
            <v>3722099</v>
          </cell>
          <cell r="B17407">
            <v>106900</v>
          </cell>
          <cell r="C17407" t="str">
            <v>Lilly Hall Junior School</v>
          </cell>
          <cell r="D17407" t="str">
            <v>Rotherham</v>
          </cell>
          <cell r="E17407" t="str">
            <v>Community School</v>
          </cell>
          <cell r="F17407" t="str">
            <v>Primary</v>
          </cell>
        </row>
        <row r="17408">
          <cell r="A17408">
            <v>3522144</v>
          </cell>
          <cell r="B17408">
            <v>105425</v>
          </cell>
          <cell r="C17408" t="str">
            <v>Lily Lane Infants' School</v>
          </cell>
          <cell r="D17408" t="str">
            <v>Manchester</v>
          </cell>
          <cell r="E17408" t="str">
            <v>Community School</v>
          </cell>
          <cell r="F17408" t="str">
            <v>Primary</v>
          </cell>
        </row>
        <row r="17409">
          <cell r="A17409">
            <v>3522142</v>
          </cell>
          <cell r="B17409">
            <v>105424</v>
          </cell>
          <cell r="C17409" t="str">
            <v>Lily Lane Junior School</v>
          </cell>
          <cell r="D17409" t="str">
            <v>Manchester</v>
          </cell>
          <cell r="E17409" t="str">
            <v>Community School</v>
          </cell>
          <cell r="F17409" t="str">
            <v>Primary</v>
          </cell>
        </row>
        <row r="17410">
          <cell r="A17410">
            <v>3801002</v>
          </cell>
          <cell r="B17410">
            <v>107187</v>
          </cell>
          <cell r="C17410" t="str">
            <v>Lilycroft Nursery School</v>
          </cell>
          <cell r="D17410" t="str">
            <v>Bradford</v>
          </cell>
          <cell r="E17410" t="str">
            <v>LA Nursery School</v>
          </cell>
          <cell r="F17410" t="str">
            <v>Nursery</v>
          </cell>
        </row>
        <row r="17411">
          <cell r="A17411">
            <v>3802044</v>
          </cell>
          <cell r="B17411">
            <v>107213</v>
          </cell>
          <cell r="C17411" t="str">
            <v>Lilycroft Primary School</v>
          </cell>
          <cell r="D17411" t="str">
            <v>Bradford</v>
          </cell>
          <cell r="E17411" t="str">
            <v>Community School</v>
          </cell>
          <cell r="F17411" t="str">
            <v>Primary</v>
          </cell>
        </row>
        <row r="17412">
          <cell r="A17412">
            <v>3737034</v>
          </cell>
          <cell r="B17412">
            <v>127732</v>
          </cell>
          <cell r="C17412" t="str">
            <v>Limb Lane School</v>
          </cell>
          <cell r="D17412" t="str">
            <v>Sheffield</v>
          </cell>
          <cell r="E17412" t="str">
            <v>Community Special School</v>
          </cell>
          <cell r="F17412" t="str">
            <v>Special</v>
          </cell>
        </row>
        <row r="17413">
          <cell r="A17413">
            <v>3312127</v>
          </cell>
          <cell r="B17413">
            <v>103677</v>
          </cell>
          <cell r="C17413" t="str">
            <v>Limbrick Wood Primary School</v>
          </cell>
          <cell r="D17413" t="str">
            <v>Coventry</v>
          </cell>
          <cell r="E17413" t="str">
            <v>Community School</v>
          </cell>
          <cell r="F17413" t="str">
            <v>Primary</v>
          </cell>
        </row>
        <row r="17414">
          <cell r="A17414">
            <v>3312157</v>
          </cell>
          <cell r="B17414">
            <v>133475</v>
          </cell>
          <cell r="C17414" t="str">
            <v>Limbrick Wood Primary School</v>
          </cell>
          <cell r="D17414" t="str">
            <v>Coventry</v>
          </cell>
          <cell r="E17414" t="str">
            <v>Community School</v>
          </cell>
          <cell r="F17414" t="str">
            <v>Primary</v>
          </cell>
        </row>
        <row r="17415">
          <cell r="A17415">
            <v>8007019</v>
          </cell>
          <cell r="B17415">
            <v>109398</v>
          </cell>
          <cell r="C17415" t="str">
            <v>Lime Grove Special School</v>
          </cell>
          <cell r="D17415" t="str">
            <v>Bath and North East Somerset</v>
          </cell>
          <cell r="E17415" t="str">
            <v>Community Special School</v>
          </cell>
          <cell r="F17415" t="str">
            <v>Special</v>
          </cell>
        </row>
        <row r="17416">
          <cell r="A17416">
            <v>9096001</v>
          </cell>
          <cell r="B17416">
            <v>112442</v>
          </cell>
          <cell r="C17416" t="str">
            <v>Lime House School</v>
          </cell>
          <cell r="D17416" t="str">
            <v>Cumbria</v>
          </cell>
          <cell r="E17416" t="str">
            <v>Other Independent School</v>
          </cell>
          <cell r="F17416" t="str">
            <v>Not applicable</v>
          </cell>
        </row>
        <row r="17417">
          <cell r="A17417">
            <v>3576056</v>
          </cell>
          <cell r="B17417">
            <v>130913</v>
          </cell>
          <cell r="C17417" t="str">
            <v>Lime Meadows</v>
          </cell>
          <cell r="D17417" t="str">
            <v>Tameside</v>
          </cell>
          <cell r="E17417" t="str">
            <v>Other Independent Special School</v>
          </cell>
          <cell r="F17417" t="str">
            <v>Not applicable</v>
          </cell>
        </row>
        <row r="17418">
          <cell r="A17418">
            <v>3582024</v>
          </cell>
          <cell r="B17418">
            <v>106302</v>
          </cell>
          <cell r="C17418" t="str">
            <v>Lime Tree Primary School</v>
          </cell>
          <cell r="D17418" t="str">
            <v>Trafford</v>
          </cell>
          <cell r="E17418" t="str">
            <v>Community School</v>
          </cell>
          <cell r="F17418" t="str">
            <v>Primary</v>
          </cell>
        </row>
        <row r="17419">
          <cell r="A17419">
            <v>9192422</v>
          </cell>
          <cell r="B17419">
            <v>117333</v>
          </cell>
          <cell r="C17419" t="str">
            <v>Lime Walk Primary School</v>
          </cell>
          <cell r="D17419" t="str">
            <v>Hertfordshire</v>
          </cell>
          <cell r="E17419" t="str">
            <v>Community School</v>
          </cell>
          <cell r="F17419" t="str">
            <v>Primary</v>
          </cell>
        </row>
        <row r="17420">
          <cell r="A17420">
            <v>3532033</v>
          </cell>
          <cell r="B17420">
            <v>105638</v>
          </cell>
          <cell r="C17420" t="str">
            <v>Limehurst Community Primary School</v>
          </cell>
          <cell r="D17420" t="str">
            <v>Oldham</v>
          </cell>
          <cell r="E17420" t="str">
            <v>Community School</v>
          </cell>
          <cell r="F17420" t="str">
            <v>Primary</v>
          </cell>
        </row>
        <row r="17421">
          <cell r="A17421">
            <v>8554014</v>
          </cell>
          <cell r="B17421">
            <v>120243</v>
          </cell>
          <cell r="C17421" t="str">
            <v>Limehurst High School</v>
          </cell>
          <cell r="D17421" t="str">
            <v>Leicestershire</v>
          </cell>
          <cell r="E17421" t="str">
            <v>Community School</v>
          </cell>
          <cell r="F17421" t="str">
            <v>Secondary</v>
          </cell>
        </row>
        <row r="17422">
          <cell r="A17422">
            <v>8554014</v>
          </cell>
          <cell r="B17422">
            <v>137367</v>
          </cell>
          <cell r="C17422" t="str">
            <v>Limehurst High School</v>
          </cell>
          <cell r="D17422" t="str">
            <v>Leicestershire</v>
          </cell>
          <cell r="E17422" t="str">
            <v>Academy Converters</v>
          </cell>
          <cell r="F17422" t="str">
            <v>Secondary</v>
          </cell>
        </row>
        <row r="17423">
          <cell r="A17423">
            <v>8812707</v>
          </cell>
          <cell r="B17423">
            <v>114962</v>
          </cell>
          <cell r="C17423" t="str">
            <v>Limes Farm Infant School and Nursery</v>
          </cell>
          <cell r="D17423" t="str">
            <v>Essex</v>
          </cell>
          <cell r="E17423" t="str">
            <v>Community School</v>
          </cell>
          <cell r="F17423" t="str">
            <v>Primary</v>
          </cell>
        </row>
        <row r="17424">
          <cell r="A17424">
            <v>8812647</v>
          </cell>
          <cell r="B17424">
            <v>114932</v>
          </cell>
          <cell r="C17424" t="str">
            <v>Limes Farm Junior School</v>
          </cell>
          <cell r="D17424" t="str">
            <v>Essex</v>
          </cell>
          <cell r="E17424" t="str">
            <v>Community School</v>
          </cell>
          <cell r="F17424" t="str">
            <v>Primary</v>
          </cell>
        </row>
        <row r="17425">
          <cell r="A17425">
            <v>3532017</v>
          </cell>
          <cell r="B17425">
            <v>105633</v>
          </cell>
          <cell r="C17425" t="str">
            <v>Limeside Primary School</v>
          </cell>
          <cell r="D17425" t="str">
            <v>Oldham</v>
          </cell>
          <cell r="E17425" t="str">
            <v>Community School</v>
          </cell>
          <cell r="F17425" t="str">
            <v>Primary</v>
          </cell>
        </row>
        <row r="17426">
          <cell r="A17426">
            <v>3532017</v>
          </cell>
          <cell r="B17426">
            <v>137479</v>
          </cell>
          <cell r="C17426" t="str">
            <v>Limeside Primary School</v>
          </cell>
          <cell r="D17426" t="str">
            <v>Oldham</v>
          </cell>
          <cell r="E17426" t="str">
            <v>Academy Converters</v>
          </cell>
          <cell r="F17426" t="str">
            <v>Primary</v>
          </cell>
        </row>
        <row r="17427">
          <cell r="A17427">
            <v>3096073</v>
          </cell>
          <cell r="B17427">
            <v>102173</v>
          </cell>
          <cell r="C17427" t="str">
            <v>Limewood School</v>
          </cell>
          <cell r="D17427" t="str">
            <v>Haringey</v>
          </cell>
          <cell r="E17427" t="str">
            <v>Other Independent Special School</v>
          </cell>
          <cell r="F17427" t="str">
            <v>Not applicable</v>
          </cell>
        </row>
        <row r="17428">
          <cell r="A17428">
            <v>8507026</v>
          </cell>
          <cell r="B17428">
            <v>116614</v>
          </cell>
          <cell r="C17428" t="str">
            <v>Limington House School</v>
          </cell>
          <cell r="D17428" t="str">
            <v>Hampshire</v>
          </cell>
          <cell r="E17428" t="str">
            <v>Community Special School</v>
          </cell>
          <cell r="F17428" t="str">
            <v>Special</v>
          </cell>
        </row>
        <row r="17429">
          <cell r="A17429">
            <v>9363370</v>
          </cell>
          <cell r="B17429">
            <v>125191</v>
          </cell>
          <cell r="C17429" t="str">
            <v>Limpsfield CofE Infant School</v>
          </cell>
          <cell r="D17429" t="str">
            <v>Surrey</v>
          </cell>
          <cell r="E17429" t="str">
            <v>Voluntary Aided School</v>
          </cell>
          <cell r="F17429" t="str">
            <v>Primary</v>
          </cell>
        </row>
        <row r="17430">
          <cell r="A17430">
            <v>9367019</v>
          </cell>
          <cell r="B17430">
            <v>125459</v>
          </cell>
          <cell r="C17430" t="str">
            <v>Limpsfield Grange School</v>
          </cell>
          <cell r="D17430" t="str">
            <v>Surrey</v>
          </cell>
          <cell r="E17430" t="str">
            <v>Community Special School</v>
          </cell>
          <cell r="F17430" t="str">
            <v>Special</v>
          </cell>
        </row>
        <row r="17431">
          <cell r="A17431">
            <v>3732261</v>
          </cell>
          <cell r="B17431">
            <v>107040</v>
          </cell>
          <cell r="C17431" t="str">
            <v>Limpsfield Junior School</v>
          </cell>
          <cell r="D17431" t="str">
            <v>Sheffield</v>
          </cell>
          <cell r="E17431" t="str">
            <v>Community School</v>
          </cell>
          <cell r="F17431" t="str">
            <v>Primary</v>
          </cell>
        </row>
        <row r="17432">
          <cell r="A17432">
            <v>3432008</v>
          </cell>
          <cell r="B17432">
            <v>104853</v>
          </cell>
          <cell r="C17432" t="str">
            <v>Linacre Primary School</v>
          </cell>
          <cell r="D17432" t="str">
            <v>Sefton</v>
          </cell>
          <cell r="E17432" t="str">
            <v>Community School</v>
          </cell>
          <cell r="F17432" t="str">
            <v>Primary</v>
          </cell>
        </row>
        <row r="17433">
          <cell r="A17433">
            <v>3432036</v>
          </cell>
          <cell r="B17433">
            <v>104864</v>
          </cell>
          <cell r="C17433" t="str">
            <v>Linaker Primary School</v>
          </cell>
          <cell r="D17433" t="str">
            <v>Sefton</v>
          </cell>
          <cell r="E17433" t="str">
            <v>Community School</v>
          </cell>
          <cell r="F17433" t="str">
            <v>Primary</v>
          </cell>
        </row>
        <row r="17434">
          <cell r="A17434">
            <v>8913568</v>
          </cell>
          <cell r="B17434">
            <v>122807</v>
          </cell>
          <cell r="C17434" t="str">
            <v>Linby-cum-Papplewick CofE (VA) Primary School</v>
          </cell>
          <cell r="D17434" t="str">
            <v>Nottinghamshire</v>
          </cell>
          <cell r="E17434" t="str">
            <v>Voluntary Aided School</v>
          </cell>
          <cell r="F17434" t="str">
            <v>Primary</v>
          </cell>
        </row>
        <row r="17435">
          <cell r="A17435">
            <v>8812508</v>
          </cell>
          <cell r="B17435">
            <v>114874</v>
          </cell>
          <cell r="C17435" t="str">
            <v>Lincewood Infant School</v>
          </cell>
          <cell r="D17435" t="str">
            <v>Essex</v>
          </cell>
          <cell r="E17435" t="str">
            <v>Community School</v>
          </cell>
          <cell r="F17435" t="str">
            <v>Primary</v>
          </cell>
        </row>
        <row r="17436">
          <cell r="A17436">
            <v>8812498</v>
          </cell>
          <cell r="B17436">
            <v>114868</v>
          </cell>
          <cell r="C17436" t="str">
            <v>Lincewood Junior School</v>
          </cell>
          <cell r="D17436" t="str">
            <v>Essex</v>
          </cell>
          <cell r="E17436" t="str">
            <v>Community School</v>
          </cell>
          <cell r="F17436" t="str">
            <v>Primary</v>
          </cell>
        </row>
        <row r="17437">
          <cell r="A17437">
            <v>8813781</v>
          </cell>
          <cell r="B17437">
            <v>134022</v>
          </cell>
          <cell r="C17437" t="str">
            <v>Lincewood Primary School</v>
          </cell>
          <cell r="D17437" t="str">
            <v>Essex</v>
          </cell>
          <cell r="E17437" t="str">
            <v>Community School</v>
          </cell>
          <cell r="F17437" t="str">
            <v>Primary</v>
          </cell>
        </row>
        <row r="17438">
          <cell r="A17438">
            <v>9252232</v>
          </cell>
          <cell r="B17438">
            <v>120499</v>
          </cell>
          <cell r="C17438" t="str">
            <v>Linchfield Community School</v>
          </cell>
          <cell r="D17438" t="str">
            <v>Lincolnshire</v>
          </cell>
          <cell r="E17438" t="str">
            <v>Community School</v>
          </cell>
          <cell r="F17438" t="str">
            <v>Primary</v>
          </cell>
        </row>
        <row r="17439">
          <cell r="A17439">
            <v>9252245</v>
          </cell>
          <cell r="B17439">
            <v>120508</v>
          </cell>
          <cell r="C17439" t="str">
            <v>Lincoln Birchwood Junior School</v>
          </cell>
          <cell r="D17439" t="str">
            <v>Lincolnshire</v>
          </cell>
          <cell r="E17439" t="str">
            <v>Community School</v>
          </cell>
          <cell r="F17439" t="str">
            <v>Primary</v>
          </cell>
        </row>
        <row r="17440">
          <cell r="A17440">
            <v>9255407</v>
          </cell>
          <cell r="B17440">
            <v>136537</v>
          </cell>
          <cell r="C17440" t="str">
            <v>Lincoln Castle Academy</v>
          </cell>
          <cell r="D17440" t="str">
            <v>Lincolnshire</v>
          </cell>
          <cell r="E17440" t="str">
            <v>Academy Converters</v>
          </cell>
          <cell r="F17440" t="str">
            <v>Secondary</v>
          </cell>
        </row>
        <row r="17441">
          <cell r="A17441">
            <v>9255408</v>
          </cell>
          <cell r="B17441">
            <v>120704</v>
          </cell>
          <cell r="C17441" t="str">
            <v>Lincoln Christ's Hospital School</v>
          </cell>
          <cell r="D17441" t="str">
            <v>Lincolnshire</v>
          </cell>
          <cell r="E17441" t="str">
            <v>Voluntary Aided School</v>
          </cell>
          <cell r="F17441" t="str">
            <v>Secondary</v>
          </cell>
        </row>
        <row r="17442">
          <cell r="A17442">
            <v>9255408</v>
          </cell>
          <cell r="B17442">
            <v>137447</v>
          </cell>
          <cell r="C17442" t="str">
            <v>Lincoln Christ's Hospital School</v>
          </cell>
          <cell r="D17442" t="str">
            <v>Lincolnshire</v>
          </cell>
          <cell r="E17442" t="str">
            <v>Academy Converters</v>
          </cell>
          <cell r="F17442" t="str">
            <v>Secondary</v>
          </cell>
        </row>
        <row r="17443">
          <cell r="A17443">
            <v>9258006</v>
          </cell>
          <cell r="B17443">
            <v>130762</v>
          </cell>
          <cell r="C17443" t="str">
            <v>Lincoln College</v>
          </cell>
          <cell r="D17443" t="str">
            <v>Lincolnshire</v>
          </cell>
          <cell r="E17443" t="str">
            <v>Further Education</v>
          </cell>
          <cell r="F17443" t="str">
            <v>16 Plus</v>
          </cell>
        </row>
        <row r="17444">
          <cell r="A17444">
            <v>9252133</v>
          </cell>
          <cell r="B17444">
            <v>120435</v>
          </cell>
          <cell r="C17444" t="str">
            <v>Lincoln Ermine Community Infant School</v>
          </cell>
          <cell r="D17444" t="str">
            <v>Lincolnshire</v>
          </cell>
          <cell r="E17444" t="str">
            <v>Community School</v>
          </cell>
          <cell r="F17444" t="str">
            <v>Primary</v>
          </cell>
        </row>
        <row r="17445">
          <cell r="A17445">
            <v>8132137</v>
          </cell>
          <cell r="B17445">
            <v>117751</v>
          </cell>
          <cell r="C17445" t="str">
            <v>Lincoln Gardens Infant School</v>
          </cell>
          <cell r="D17445" t="str">
            <v>North Lincolnshire</v>
          </cell>
          <cell r="E17445" t="str">
            <v>Community School</v>
          </cell>
          <cell r="F17445" t="str">
            <v>Primary</v>
          </cell>
        </row>
        <row r="17446">
          <cell r="A17446">
            <v>8132136</v>
          </cell>
          <cell r="B17446">
            <v>117750</v>
          </cell>
          <cell r="C17446" t="str">
            <v>Lincoln Gardens Junior School</v>
          </cell>
          <cell r="D17446" t="str">
            <v>North Lincolnshire</v>
          </cell>
          <cell r="E17446" t="str">
            <v>Community School</v>
          </cell>
          <cell r="F17446" t="str">
            <v>Primary</v>
          </cell>
        </row>
        <row r="17447">
          <cell r="A17447">
            <v>8132003</v>
          </cell>
          <cell r="B17447">
            <v>133700</v>
          </cell>
          <cell r="C17447" t="str">
            <v>Lincoln Gardens Primary School</v>
          </cell>
          <cell r="D17447" t="str">
            <v>North Lincolnshire</v>
          </cell>
          <cell r="E17447" t="str">
            <v>Community School</v>
          </cell>
          <cell r="F17447" t="str">
            <v>Primary</v>
          </cell>
        </row>
        <row r="17448">
          <cell r="A17448">
            <v>3832259</v>
          </cell>
          <cell r="B17448">
            <v>127879</v>
          </cell>
          <cell r="C17448" t="str">
            <v>Lincoln Green First School</v>
          </cell>
          <cell r="D17448" t="str">
            <v>Leeds</v>
          </cell>
          <cell r="E17448" t="str">
            <v>Community School</v>
          </cell>
          <cell r="F17448" t="str">
            <v>Primary</v>
          </cell>
        </row>
        <row r="17449">
          <cell r="A17449">
            <v>9252140</v>
          </cell>
          <cell r="B17449">
            <v>120439</v>
          </cell>
          <cell r="C17449" t="str">
            <v>Lincoln Lowfields Junior School</v>
          </cell>
          <cell r="D17449" t="str">
            <v>Lincolnshire</v>
          </cell>
          <cell r="E17449" t="str">
            <v>Community School</v>
          </cell>
          <cell r="F17449" t="str">
            <v>Primary</v>
          </cell>
        </row>
        <row r="17450">
          <cell r="A17450">
            <v>9256012</v>
          </cell>
          <cell r="B17450">
            <v>120724</v>
          </cell>
          <cell r="C17450" t="str">
            <v>Lincoln Minster School</v>
          </cell>
          <cell r="D17450" t="str">
            <v>Lincolnshire</v>
          </cell>
          <cell r="E17450" t="str">
            <v>Other Independent School</v>
          </cell>
          <cell r="F17450" t="str">
            <v>Not applicable</v>
          </cell>
        </row>
        <row r="17451">
          <cell r="A17451">
            <v>9252124</v>
          </cell>
          <cell r="B17451">
            <v>120429</v>
          </cell>
          <cell r="C17451" t="str">
            <v>Lincoln Monks Abbey Primary School</v>
          </cell>
          <cell r="D17451" t="str">
            <v>Lincolnshire</v>
          </cell>
          <cell r="E17451" t="str">
            <v>Community School</v>
          </cell>
          <cell r="F17451" t="str">
            <v>Primary</v>
          </cell>
        </row>
        <row r="17452">
          <cell r="A17452">
            <v>9252130</v>
          </cell>
          <cell r="B17452">
            <v>120434</v>
          </cell>
          <cell r="C17452" t="str">
            <v>Lincoln Moorland Infant and Nursery School</v>
          </cell>
          <cell r="D17452" t="str">
            <v>Lincolnshire</v>
          </cell>
          <cell r="E17452" t="str">
            <v>Community School</v>
          </cell>
          <cell r="F17452" t="str">
            <v>Primary</v>
          </cell>
        </row>
        <row r="17453">
          <cell r="A17453">
            <v>9252127</v>
          </cell>
          <cell r="B17453">
            <v>120431</v>
          </cell>
          <cell r="C17453" t="str">
            <v>Lincoln Myle Cross Junior School</v>
          </cell>
          <cell r="D17453" t="str">
            <v>Lincolnshire</v>
          </cell>
          <cell r="E17453" t="str">
            <v>Community School</v>
          </cell>
          <cell r="F17453" t="str">
            <v>Primary</v>
          </cell>
        </row>
        <row r="17454">
          <cell r="A17454">
            <v>9252126</v>
          </cell>
          <cell r="B17454">
            <v>120430</v>
          </cell>
          <cell r="C17454" t="str">
            <v>Lincoln St Botolph's Infant and Nursery School</v>
          </cell>
          <cell r="D17454" t="str">
            <v>Lincolnshire</v>
          </cell>
          <cell r="E17454" t="str">
            <v>Community School</v>
          </cell>
          <cell r="F17454" t="str">
            <v>Primary</v>
          </cell>
        </row>
        <row r="17455">
          <cell r="A17455">
            <v>9252128</v>
          </cell>
          <cell r="B17455">
            <v>120432</v>
          </cell>
          <cell r="C17455" t="str">
            <v>Lincoln St Gile's Infant School</v>
          </cell>
          <cell r="D17455" t="str">
            <v>Lincolnshire</v>
          </cell>
          <cell r="E17455" t="str">
            <v>Community School</v>
          </cell>
          <cell r="F17455" t="str">
            <v>Primary</v>
          </cell>
        </row>
        <row r="17456">
          <cell r="A17456">
            <v>9302622</v>
          </cell>
          <cell r="B17456">
            <v>129718</v>
          </cell>
          <cell r="C17456" t="str">
            <v>Lincoln Street Infant School</v>
          </cell>
          <cell r="D17456" t="str">
            <v>Pre LGR (1998) Nottinghamshire</v>
          </cell>
          <cell r="E17456" t="str">
            <v>Community School</v>
          </cell>
          <cell r="F17456" t="str">
            <v>Primary</v>
          </cell>
        </row>
        <row r="17457">
          <cell r="A17457">
            <v>9257032</v>
          </cell>
          <cell r="B17457">
            <v>131277</v>
          </cell>
          <cell r="C17457" t="str">
            <v>Lincoln The Sincil School</v>
          </cell>
          <cell r="D17457" t="str">
            <v>Lincolnshire</v>
          </cell>
          <cell r="E17457" t="str">
            <v>Community Special School</v>
          </cell>
          <cell r="F17457" t="str">
            <v>Special</v>
          </cell>
        </row>
        <row r="17458">
          <cell r="A17458">
            <v>9259900</v>
          </cell>
          <cell r="B17458">
            <v>133153</v>
          </cell>
          <cell r="C17458" t="str">
            <v>Lincolnshire / Kesteven House</v>
          </cell>
          <cell r="D17458" t="str">
            <v>Lincolnshire</v>
          </cell>
          <cell r="E17458" t="str">
            <v>Secure Units</v>
          </cell>
          <cell r="F17458" t="str">
            <v>Not applicable</v>
          </cell>
        </row>
        <row r="17459">
          <cell r="A17459">
            <v>9258300</v>
          </cell>
          <cell r="B17459">
            <v>132906</v>
          </cell>
          <cell r="C17459" t="str">
            <v>Lincolnshire College of Agriculture and Horticulture</v>
          </cell>
          <cell r="D17459" t="str">
            <v>Lincolnshire</v>
          </cell>
          <cell r="E17459" t="str">
            <v>Miscellaneous</v>
          </cell>
          <cell r="F17459" t="str">
            <v>Not applicable</v>
          </cell>
        </row>
        <row r="17460">
          <cell r="A17460">
            <v>9258150</v>
          </cell>
          <cell r="B17460">
            <v>132907</v>
          </cell>
          <cell r="C17460" t="str">
            <v>Lincolnshire College of Art and Design</v>
          </cell>
          <cell r="D17460" t="str">
            <v>Lincolnshire</v>
          </cell>
          <cell r="E17460" t="str">
            <v>Miscellaneous</v>
          </cell>
          <cell r="F17460" t="str">
            <v>Not applicable</v>
          </cell>
        </row>
        <row r="17461">
          <cell r="A17461">
            <v>9256003</v>
          </cell>
          <cell r="B17461">
            <v>134713</v>
          </cell>
          <cell r="C17461" t="str">
            <v>Lincolnshire Montessori</v>
          </cell>
          <cell r="D17461" t="str">
            <v>Lincolnshire</v>
          </cell>
          <cell r="E17461" t="str">
            <v>Other Independent School</v>
          </cell>
          <cell r="F17461" t="str">
            <v>Not applicable</v>
          </cell>
        </row>
        <row r="17462">
          <cell r="A17462">
            <v>925611</v>
          </cell>
          <cell r="B17462">
            <v>128991</v>
          </cell>
          <cell r="C17462" t="str">
            <v>Lincolnshire Secure Unit</v>
          </cell>
          <cell r="D17462" t="str">
            <v>Lincolnshire</v>
          </cell>
          <cell r="E17462" t="str">
            <v>Secure Units</v>
          </cell>
          <cell r="F17462" t="str">
            <v>Not applicable</v>
          </cell>
        </row>
        <row r="17463">
          <cell r="A17463">
            <v>8225404</v>
          </cell>
          <cell r="B17463">
            <v>109708</v>
          </cell>
          <cell r="C17463" t="str">
            <v>Lincroft Middle School</v>
          </cell>
          <cell r="D17463" t="str">
            <v>Bedford</v>
          </cell>
          <cell r="E17463" t="str">
            <v>Foundation School</v>
          </cell>
          <cell r="F17463" t="str">
            <v>Middle Deemed Secondary</v>
          </cell>
        </row>
        <row r="17464">
          <cell r="A17464">
            <v>8225404</v>
          </cell>
          <cell r="B17464">
            <v>136471</v>
          </cell>
          <cell r="C17464" t="str">
            <v>Lincroft Middle School</v>
          </cell>
          <cell r="D17464" t="str">
            <v>Bedford</v>
          </cell>
          <cell r="E17464" t="str">
            <v>Academy Converters</v>
          </cell>
          <cell r="F17464" t="str">
            <v>Middle Deemed Secondary</v>
          </cell>
        </row>
        <row r="17465">
          <cell r="A17465">
            <v>9092404</v>
          </cell>
          <cell r="B17465">
            <v>112193</v>
          </cell>
          <cell r="C17465" t="str">
            <v>Lindal and Marton Primary School</v>
          </cell>
          <cell r="D17465" t="str">
            <v>Cumbria</v>
          </cell>
          <cell r="E17465" t="str">
            <v>Community School</v>
          </cell>
          <cell r="F17465" t="str">
            <v>Primary</v>
          </cell>
        </row>
        <row r="17466">
          <cell r="A17466">
            <v>9093130</v>
          </cell>
          <cell r="B17466">
            <v>112286</v>
          </cell>
          <cell r="C17466" t="str">
            <v>Lindale CofE Primary School</v>
          </cell>
          <cell r="D17466" t="str">
            <v>Cumbria</v>
          </cell>
          <cell r="E17466" t="str">
            <v>Voluntary Controlled School</v>
          </cell>
          <cell r="F17466" t="str">
            <v>Primary</v>
          </cell>
        </row>
        <row r="17467">
          <cell r="A17467">
            <v>9367060</v>
          </cell>
          <cell r="B17467">
            <v>125475</v>
          </cell>
          <cell r="C17467" t="str">
            <v>Linden Bridge School</v>
          </cell>
          <cell r="D17467" t="str">
            <v>Surrey</v>
          </cell>
          <cell r="E17467" t="str">
            <v>Community Special School</v>
          </cell>
          <cell r="F17467" t="str">
            <v>Special</v>
          </cell>
        </row>
        <row r="17468">
          <cell r="A17468">
            <v>8552148</v>
          </cell>
          <cell r="B17468">
            <v>119966</v>
          </cell>
          <cell r="C17468" t="str">
            <v>Linden Community Junior School</v>
          </cell>
          <cell r="D17468" t="str">
            <v>Leicestershire</v>
          </cell>
          <cell r="E17468" t="str">
            <v>Community School</v>
          </cell>
          <cell r="F17468" t="str">
            <v>Primary</v>
          </cell>
        </row>
        <row r="17469">
          <cell r="A17469">
            <v>8862675</v>
          </cell>
          <cell r="B17469">
            <v>118586</v>
          </cell>
          <cell r="C17469" t="str">
            <v>Linden Grove Primary School</v>
          </cell>
          <cell r="D17469" t="str">
            <v>Kent</v>
          </cell>
          <cell r="E17469" t="str">
            <v>Community School</v>
          </cell>
          <cell r="F17469" t="str">
            <v>Primary</v>
          </cell>
        </row>
        <row r="17470">
          <cell r="A17470">
            <v>2127067</v>
          </cell>
          <cell r="B17470">
            <v>101093</v>
          </cell>
          <cell r="C17470" t="str">
            <v>Linden Lodge School</v>
          </cell>
          <cell r="D17470" t="str">
            <v>Wandsworth</v>
          </cell>
          <cell r="E17470" t="str">
            <v>Community Special School</v>
          </cell>
          <cell r="F17470" t="str">
            <v>Special</v>
          </cell>
        </row>
        <row r="17471">
          <cell r="A17471">
            <v>9162004</v>
          </cell>
          <cell r="B17471">
            <v>115483</v>
          </cell>
          <cell r="C17471" t="str">
            <v>Linden Primary School</v>
          </cell>
          <cell r="D17471" t="str">
            <v>Gloucestershire</v>
          </cell>
          <cell r="E17471" t="str">
            <v>Community School</v>
          </cell>
          <cell r="F17471" t="str">
            <v>Primary</v>
          </cell>
        </row>
        <row r="17472">
          <cell r="A17472">
            <v>8562343</v>
          </cell>
          <cell r="B17472">
            <v>120068</v>
          </cell>
          <cell r="C17472" t="str">
            <v>Linden Primary School</v>
          </cell>
          <cell r="D17472" t="str">
            <v>Leicester</v>
          </cell>
          <cell r="E17472" t="str">
            <v>Community School</v>
          </cell>
          <cell r="F17472" t="str">
            <v>Primary</v>
          </cell>
        </row>
        <row r="17473">
          <cell r="A17473">
            <v>3572070</v>
          </cell>
          <cell r="B17473">
            <v>106221</v>
          </cell>
          <cell r="C17473" t="str">
            <v>Linden Road Primary School and Hearing Impaired Resource Base</v>
          </cell>
          <cell r="D17473" t="str">
            <v>Tameside</v>
          </cell>
          <cell r="E17473" t="str">
            <v>Community School</v>
          </cell>
          <cell r="F17473" t="str">
            <v>Primary</v>
          </cell>
        </row>
        <row r="17474">
          <cell r="A17474">
            <v>9164016</v>
          </cell>
          <cell r="B17474">
            <v>128956</v>
          </cell>
          <cell r="C17474" t="str">
            <v>Linden Secondary School</v>
          </cell>
          <cell r="D17474" t="str">
            <v>Gloucestershire</v>
          </cell>
          <cell r="E17474" t="str">
            <v>Community School</v>
          </cell>
          <cell r="F17474" t="str">
            <v>Secondary</v>
          </cell>
        </row>
        <row r="17475">
          <cell r="A17475">
            <v>9236082</v>
          </cell>
          <cell r="B17475">
            <v>129509</v>
          </cell>
          <cell r="C17475" t="str">
            <v>Lindenhurst College</v>
          </cell>
          <cell r="D17475" t="str">
            <v>Pre LGR (1998) Lancashire</v>
          </cell>
          <cell r="E17475" t="str">
            <v>Other Independent School</v>
          </cell>
          <cell r="F17475" t="str">
            <v>Not applicable</v>
          </cell>
        </row>
        <row r="17476">
          <cell r="A17476">
            <v>3352235</v>
          </cell>
          <cell r="B17476">
            <v>104212</v>
          </cell>
          <cell r="C17476" t="str">
            <v>Lindens Primary School</v>
          </cell>
          <cell r="D17476" t="str">
            <v>Walsall</v>
          </cell>
          <cell r="E17476" t="str">
            <v>Community School</v>
          </cell>
          <cell r="F17476" t="str">
            <v>Primary</v>
          </cell>
        </row>
        <row r="17477">
          <cell r="A17477">
            <v>9097905</v>
          </cell>
          <cell r="B17477">
            <v>131912</v>
          </cell>
          <cell r="C17477" t="str">
            <v>Lindeth College of Further Education</v>
          </cell>
          <cell r="D17477" t="str">
            <v>Cumbria</v>
          </cell>
          <cell r="E17477" t="str">
            <v>Special College</v>
          </cell>
          <cell r="F17477" t="str">
            <v>16 Plus</v>
          </cell>
        </row>
        <row r="17478">
          <cell r="A17478">
            <v>9382217</v>
          </cell>
          <cell r="B17478">
            <v>125942</v>
          </cell>
          <cell r="C17478" t="str">
            <v>Lindfield Infant School</v>
          </cell>
          <cell r="D17478" t="str">
            <v>West Sussex</v>
          </cell>
          <cell r="E17478" t="str">
            <v>Community School</v>
          </cell>
          <cell r="F17478" t="str">
            <v>Primary</v>
          </cell>
        </row>
        <row r="17479">
          <cell r="A17479">
            <v>9382208</v>
          </cell>
          <cell r="B17479">
            <v>125935</v>
          </cell>
          <cell r="C17479" t="str">
            <v>Lindfield Junior School</v>
          </cell>
          <cell r="D17479" t="str">
            <v>West Sussex</v>
          </cell>
          <cell r="E17479" t="str">
            <v>Community School</v>
          </cell>
          <cell r="F17479" t="str">
            <v>Primary</v>
          </cell>
        </row>
        <row r="17480">
          <cell r="A17480">
            <v>9382257</v>
          </cell>
          <cell r="B17480">
            <v>133299</v>
          </cell>
          <cell r="C17480" t="str">
            <v>Lindfield Primary School</v>
          </cell>
          <cell r="D17480" t="str">
            <v>West Sussex</v>
          </cell>
          <cell r="E17480" t="str">
            <v>Community School</v>
          </cell>
          <cell r="F17480" t="str">
            <v>Primary</v>
          </cell>
        </row>
        <row r="17481">
          <cell r="A17481">
            <v>8152233</v>
          </cell>
          <cell r="B17481">
            <v>121362</v>
          </cell>
          <cell r="C17481" t="str">
            <v>Lindhead School</v>
          </cell>
          <cell r="D17481" t="str">
            <v>North Yorkshire</v>
          </cell>
          <cell r="E17481" t="str">
            <v>Community School</v>
          </cell>
          <cell r="F17481" t="str">
            <v>Primary</v>
          </cell>
        </row>
        <row r="17482">
          <cell r="A17482">
            <v>3902223</v>
          </cell>
          <cell r="B17482">
            <v>108370</v>
          </cell>
          <cell r="C17482" t="str">
            <v>Lindisfarne Community Primary School</v>
          </cell>
          <cell r="D17482" t="str">
            <v>Gateshead</v>
          </cell>
          <cell r="E17482" t="str">
            <v>Community School</v>
          </cell>
          <cell r="F17482" t="str">
            <v>Primary</v>
          </cell>
        </row>
        <row r="17483">
          <cell r="A17483">
            <v>3823303</v>
          </cell>
          <cell r="B17483">
            <v>107731</v>
          </cell>
          <cell r="C17483" t="str">
            <v>Lindley Church of England Voluntary Aided Infant School</v>
          </cell>
          <cell r="D17483" t="str">
            <v>Kirklees</v>
          </cell>
          <cell r="E17483" t="str">
            <v>Voluntary Aided School</v>
          </cell>
          <cell r="F17483" t="str">
            <v>Primary</v>
          </cell>
        </row>
        <row r="17484">
          <cell r="A17484">
            <v>3807011</v>
          </cell>
          <cell r="B17484">
            <v>127751</v>
          </cell>
          <cell r="C17484" t="str">
            <v>Lindley House School</v>
          </cell>
          <cell r="D17484" t="str">
            <v>Bradford</v>
          </cell>
          <cell r="E17484" t="str">
            <v>Community Special School</v>
          </cell>
          <cell r="F17484" t="str">
            <v>Special</v>
          </cell>
        </row>
        <row r="17485">
          <cell r="A17485">
            <v>3822048</v>
          </cell>
          <cell r="B17485">
            <v>107632</v>
          </cell>
          <cell r="C17485" t="str">
            <v>Lindley Junior School</v>
          </cell>
          <cell r="D17485" t="str">
            <v>Kirklees</v>
          </cell>
          <cell r="E17485" t="str">
            <v>Community School</v>
          </cell>
          <cell r="F17485" t="str">
            <v>Primary</v>
          </cell>
        </row>
        <row r="17486">
          <cell r="A17486">
            <v>3822048</v>
          </cell>
          <cell r="B17486">
            <v>137519</v>
          </cell>
          <cell r="C17486" t="str">
            <v>Lindley Junior School</v>
          </cell>
          <cell r="D17486" t="str">
            <v>Kirklees</v>
          </cell>
          <cell r="E17486" t="str">
            <v>Academy Converters</v>
          </cell>
          <cell r="F17486" t="str">
            <v>Primary</v>
          </cell>
        </row>
        <row r="17487">
          <cell r="A17487">
            <v>3137007</v>
          </cell>
          <cell r="B17487">
            <v>102556</v>
          </cell>
          <cell r="C17487" t="str">
            <v>Lindon Bennett School</v>
          </cell>
          <cell r="D17487" t="str">
            <v>Hounslow</v>
          </cell>
          <cell r="E17487" t="str">
            <v>Community Special School</v>
          </cell>
          <cell r="F17487" t="str">
            <v>Special</v>
          </cell>
        </row>
        <row r="17488">
          <cell r="A17488">
            <v>8952161</v>
          </cell>
          <cell r="B17488">
            <v>111031</v>
          </cell>
          <cell r="C17488" t="str">
            <v>Lindow Community Primary School</v>
          </cell>
          <cell r="D17488" t="str">
            <v>Cheshire East</v>
          </cell>
          <cell r="E17488" t="str">
            <v>Community School</v>
          </cell>
          <cell r="F17488" t="str">
            <v>Primary</v>
          </cell>
        </row>
        <row r="17489">
          <cell r="A17489">
            <v>3302414</v>
          </cell>
          <cell r="B17489">
            <v>132849</v>
          </cell>
          <cell r="C17489" t="str">
            <v>Lindridge Junior School</v>
          </cell>
          <cell r="D17489" t="str">
            <v>Birmingham</v>
          </cell>
          <cell r="E17489" t="str">
            <v>Community School</v>
          </cell>
          <cell r="F17489" t="str">
            <v>Middle Deemed Primary</v>
          </cell>
        </row>
        <row r="17490">
          <cell r="A17490">
            <v>8853350</v>
          </cell>
          <cell r="B17490">
            <v>116895</v>
          </cell>
          <cell r="C17490" t="str">
            <v>Lindridge St Lawrence's CofE Primary</v>
          </cell>
          <cell r="D17490" t="str">
            <v>Worcestershire</v>
          </cell>
          <cell r="E17490" t="str">
            <v>Voluntary Aided School</v>
          </cell>
          <cell r="F17490" t="str">
            <v>Primary</v>
          </cell>
        </row>
        <row r="17491">
          <cell r="A17491">
            <v>3732066</v>
          </cell>
          <cell r="B17491">
            <v>127652</v>
          </cell>
          <cell r="C17491" t="str">
            <v>Lindsay Nursery and Infant School</v>
          </cell>
          <cell r="D17491" t="str">
            <v>Sheffield</v>
          </cell>
          <cell r="E17491" t="str">
            <v>Community School</v>
          </cell>
          <cell r="F17491" t="str">
            <v>Primary</v>
          </cell>
        </row>
        <row r="17492">
          <cell r="A17492">
            <v>3307062</v>
          </cell>
          <cell r="B17492">
            <v>103632</v>
          </cell>
          <cell r="C17492" t="str">
            <v>Lindsworth School</v>
          </cell>
          <cell r="D17492" t="str">
            <v>Birmingham</v>
          </cell>
          <cell r="E17492" t="str">
            <v>Community Special School</v>
          </cell>
          <cell r="F17492" t="str">
            <v>Special</v>
          </cell>
        </row>
        <row r="17493">
          <cell r="A17493">
            <v>3812033</v>
          </cell>
          <cell r="B17493">
            <v>107497</v>
          </cell>
          <cell r="C17493" t="str">
            <v>Ling Bob Junior, Infant and Nursery School</v>
          </cell>
          <cell r="D17493" t="str">
            <v>Calderdale</v>
          </cell>
          <cell r="E17493" t="str">
            <v>Community School</v>
          </cell>
          <cell r="F17493" t="str">
            <v>Primary</v>
          </cell>
        </row>
        <row r="17494">
          <cell r="A17494">
            <v>3811000</v>
          </cell>
          <cell r="B17494">
            <v>127754</v>
          </cell>
          <cell r="C17494" t="str">
            <v>Ling Bob Nursery School</v>
          </cell>
          <cell r="D17494" t="str">
            <v>Calderdale</v>
          </cell>
          <cell r="E17494" t="str">
            <v>LA Nursery School</v>
          </cell>
          <cell r="F17494" t="str">
            <v>Nursery</v>
          </cell>
        </row>
        <row r="17495">
          <cell r="A17495">
            <v>8072016</v>
          </cell>
          <cell r="B17495">
            <v>111531</v>
          </cell>
          <cell r="C17495" t="str">
            <v>Lingdale Primary School</v>
          </cell>
          <cell r="D17495" t="str">
            <v>Redcar and Cleveland</v>
          </cell>
          <cell r="E17495" t="str">
            <v>Community School</v>
          </cell>
          <cell r="F17495" t="str">
            <v>Primary</v>
          </cell>
        </row>
        <row r="17496">
          <cell r="A17496">
            <v>3902205</v>
          </cell>
          <cell r="B17496">
            <v>108360</v>
          </cell>
          <cell r="C17496" t="str">
            <v>Lingey House Primary School</v>
          </cell>
          <cell r="D17496" t="str">
            <v>Gateshead</v>
          </cell>
          <cell r="E17496" t="str">
            <v>Community School</v>
          </cell>
          <cell r="F17496" t="str">
            <v>Primary</v>
          </cell>
        </row>
        <row r="17497">
          <cell r="A17497">
            <v>9362154</v>
          </cell>
          <cell r="B17497">
            <v>130028</v>
          </cell>
          <cell r="C17497" t="str">
            <v>Lingfield County First School</v>
          </cell>
          <cell r="D17497" t="str">
            <v>Surrey</v>
          </cell>
          <cell r="E17497" t="str">
            <v>Community School</v>
          </cell>
          <cell r="F17497" t="str">
            <v>Primary</v>
          </cell>
        </row>
        <row r="17498">
          <cell r="A17498">
            <v>9362470</v>
          </cell>
          <cell r="B17498">
            <v>130055</v>
          </cell>
          <cell r="C17498" t="str">
            <v>Lingfield Middle School</v>
          </cell>
          <cell r="D17498" t="str">
            <v>Surrey</v>
          </cell>
          <cell r="E17498" t="str">
            <v>Community School</v>
          </cell>
          <cell r="F17498" t="str">
            <v>Middle Deemed Primary</v>
          </cell>
        </row>
        <row r="17499">
          <cell r="A17499">
            <v>9366255</v>
          </cell>
          <cell r="B17499">
            <v>125387</v>
          </cell>
          <cell r="C17499" t="str">
            <v>Lingfield Notre Dame</v>
          </cell>
          <cell r="D17499" t="str">
            <v>Surrey</v>
          </cell>
          <cell r="E17499" t="str">
            <v>Other Independent School</v>
          </cell>
          <cell r="F17499" t="str">
            <v>Not applicable</v>
          </cell>
        </row>
        <row r="17500">
          <cell r="A17500">
            <v>8062175</v>
          </cell>
          <cell r="B17500">
            <v>111596</v>
          </cell>
          <cell r="C17500" t="str">
            <v>Lingfield Primary School</v>
          </cell>
          <cell r="D17500" t="str">
            <v>Middlesbrough</v>
          </cell>
          <cell r="E17500" t="str">
            <v>Community School</v>
          </cell>
          <cell r="F17500" t="str">
            <v>Primary</v>
          </cell>
        </row>
        <row r="17501">
          <cell r="A17501">
            <v>9362948</v>
          </cell>
          <cell r="B17501">
            <v>125124</v>
          </cell>
          <cell r="C17501" t="str">
            <v>Lingfield Primary School</v>
          </cell>
          <cell r="D17501" t="str">
            <v>Surrey</v>
          </cell>
          <cell r="E17501" t="str">
            <v>Community School</v>
          </cell>
          <cell r="F17501" t="str">
            <v>Primary</v>
          </cell>
        </row>
        <row r="17502">
          <cell r="A17502">
            <v>3442118</v>
          </cell>
          <cell r="B17502">
            <v>105005</v>
          </cell>
          <cell r="C17502" t="str">
            <v>Lingham Primary School</v>
          </cell>
          <cell r="D17502" t="str">
            <v>Wirral</v>
          </cell>
          <cell r="E17502" t="str">
            <v>Community School</v>
          </cell>
          <cell r="F17502" t="str">
            <v>Primary</v>
          </cell>
        </row>
        <row r="17503">
          <cell r="A17503">
            <v>9282190</v>
          </cell>
          <cell r="B17503">
            <v>121933</v>
          </cell>
          <cell r="C17503" t="str">
            <v>Lings Primary School</v>
          </cell>
          <cell r="D17503" t="str">
            <v>Northamptonshire</v>
          </cell>
          <cell r="E17503" t="str">
            <v>Community School</v>
          </cell>
          <cell r="F17503" t="str">
            <v>Primary</v>
          </cell>
        </row>
        <row r="17504">
          <cell r="A17504">
            <v>9284070</v>
          </cell>
          <cell r="B17504">
            <v>122078</v>
          </cell>
          <cell r="C17504" t="str">
            <v>Lings Upper School</v>
          </cell>
          <cell r="D17504" t="str">
            <v>Northamptonshire</v>
          </cell>
          <cell r="E17504" t="str">
            <v>Community School</v>
          </cell>
          <cell r="F17504" t="str">
            <v>Secondary</v>
          </cell>
        </row>
        <row r="17505">
          <cell r="A17505">
            <v>9262282</v>
          </cell>
          <cell r="B17505">
            <v>120923</v>
          </cell>
          <cell r="C17505" t="str">
            <v>Lingwood First and Nursery School</v>
          </cell>
          <cell r="D17505" t="str">
            <v>Norfolk</v>
          </cell>
          <cell r="E17505" t="str">
            <v>Community School</v>
          </cell>
          <cell r="F17505" t="str">
            <v>Primary</v>
          </cell>
        </row>
        <row r="17506">
          <cell r="A17506">
            <v>9262026</v>
          </cell>
          <cell r="B17506">
            <v>120791</v>
          </cell>
          <cell r="C17506" t="str">
            <v>Lingwood Junior School</v>
          </cell>
          <cell r="D17506" t="str">
            <v>Norfolk</v>
          </cell>
          <cell r="E17506" t="str">
            <v>Community School</v>
          </cell>
          <cell r="F17506" t="str">
            <v>Primary</v>
          </cell>
        </row>
        <row r="17507">
          <cell r="A17507">
            <v>9263434</v>
          </cell>
          <cell r="B17507">
            <v>136739</v>
          </cell>
          <cell r="C17507" t="str">
            <v>Lingwood Primary and Nursery School</v>
          </cell>
          <cell r="D17507" t="str">
            <v>Norfolk</v>
          </cell>
          <cell r="E17507" t="str">
            <v>Community School</v>
          </cell>
          <cell r="F17507" t="str">
            <v>Primary</v>
          </cell>
        </row>
        <row r="17508">
          <cell r="A17508">
            <v>3911103</v>
          </cell>
          <cell r="B17508">
            <v>131999</v>
          </cell>
          <cell r="C17508" t="str">
            <v>Linhope PRU</v>
          </cell>
          <cell r="D17508" t="str">
            <v>Newcastle upon Tyne</v>
          </cell>
          <cell r="E17508" t="str">
            <v>Pupil Referral Unit</v>
          </cell>
          <cell r="F17508" t="str">
            <v>PRU</v>
          </cell>
        </row>
        <row r="17509">
          <cell r="A17509">
            <v>9331109</v>
          </cell>
          <cell r="B17509">
            <v>134694</v>
          </cell>
          <cell r="C17509" t="str">
            <v>Link Education Centre (Mendip)</v>
          </cell>
          <cell r="D17509" t="str">
            <v>Somerset</v>
          </cell>
          <cell r="E17509" t="str">
            <v>Pupil Referral Unit</v>
          </cell>
          <cell r="F17509" t="str">
            <v>PRU</v>
          </cell>
        </row>
        <row r="17510">
          <cell r="A17510">
            <v>9331111</v>
          </cell>
          <cell r="B17510">
            <v>134696</v>
          </cell>
          <cell r="C17510" t="str">
            <v>Link Education Centre (Orchard Lodge)</v>
          </cell>
          <cell r="D17510" t="str">
            <v>Somerset</v>
          </cell>
          <cell r="E17510" t="str">
            <v>Pupil Referral Unit</v>
          </cell>
          <cell r="F17510" t="str">
            <v>PRU</v>
          </cell>
        </row>
        <row r="17511">
          <cell r="A17511">
            <v>9331115</v>
          </cell>
          <cell r="B17511">
            <v>134758</v>
          </cell>
          <cell r="C17511" t="str">
            <v>Link Education Centre (Sedgemoor)</v>
          </cell>
          <cell r="D17511" t="str">
            <v>Somerset</v>
          </cell>
          <cell r="E17511" t="str">
            <v>Pupil Referral Unit</v>
          </cell>
          <cell r="F17511" t="str">
            <v>PRU</v>
          </cell>
        </row>
        <row r="17512">
          <cell r="A17512">
            <v>9331112</v>
          </cell>
          <cell r="B17512">
            <v>134697</v>
          </cell>
          <cell r="C17512" t="str">
            <v>Link Education Centre (South Somerset)</v>
          </cell>
          <cell r="D17512" t="str">
            <v>Somerset</v>
          </cell>
          <cell r="E17512" t="str">
            <v>Pupil Referral Unit</v>
          </cell>
          <cell r="F17512" t="str">
            <v>PRU</v>
          </cell>
        </row>
        <row r="17513">
          <cell r="A17513">
            <v>3196068</v>
          </cell>
          <cell r="B17513">
            <v>103021</v>
          </cell>
          <cell r="C17513" t="str">
            <v>Link Primary School</v>
          </cell>
          <cell r="D17513" t="str">
            <v>Sutton</v>
          </cell>
          <cell r="E17513" t="str">
            <v>Independent School Approved for SEN Pupils</v>
          </cell>
          <cell r="F17513" t="str">
            <v>Not applicable</v>
          </cell>
        </row>
        <row r="17514">
          <cell r="A17514">
            <v>3197006</v>
          </cell>
          <cell r="B17514">
            <v>133741</v>
          </cell>
          <cell r="C17514" t="str">
            <v>Link Primary School</v>
          </cell>
          <cell r="D17514" t="str">
            <v>Sutton</v>
          </cell>
          <cell r="E17514" t="str">
            <v>Non-Maintained Special School</v>
          </cell>
          <cell r="F17514" t="str">
            <v>Special</v>
          </cell>
        </row>
        <row r="17515">
          <cell r="A17515">
            <v>3196067</v>
          </cell>
          <cell r="B17515">
            <v>103020</v>
          </cell>
          <cell r="C17515" t="str">
            <v>Link Secondary School</v>
          </cell>
          <cell r="D17515" t="str">
            <v>Sutton</v>
          </cell>
          <cell r="E17515" t="str">
            <v>Independent School Approved for SEN Pupils</v>
          </cell>
          <cell r="F17515" t="str">
            <v>Not applicable</v>
          </cell>
        </row>
        <row r="17516">
          <cell r="A17516">
            <v>3197007</v>
          </cell>
          <cell r="B17516">
            <v>133742</v>
          </cell>
          <cell r="C17516" t="str">
            <v>Link Secondary School</v>
          </cell>
          <cell r="D17516" t="str">
            <v>Sutton</v>
          </cell>
          <cell r="E17516" t="str">
            <v>Non-Maintained Special School</v>
          </cell>
          <cell r="F17516" t="str">
            <v>Special</v>
          </cell>
        </row>
        <row r="17517">
          <cell r="A17517">
            <v>8127904</v>
          </cell>
          <cell r="B17517">
            <v>131913</v>
          </cell>
          <cell r="C17517" t="str">
            <v>Linkage Community Trust</v>
          </cell>
          <cell r="D17517" t="str">
            <v>North East Lincolnshire</v>
          </cell>
          <cell r="E17517" t="str">
            <v>Special College</v>
          </cell>
          <cell r="F17517" t="str">
            <v>16 Plus</v>
          </cell>
        </row>
        <row r="17518">
          <cell r="A17518">
            <v>3152063</v>
          </cell>
          <cell r="B17518">
            <v>102635</v>
          </cell>
          <cell r="C17518" t="str">
            <v>Links Primary School</v>
          </cell>
          <cell r="D17518" t="str">
            <v>Merton</v>
          </cell>
          <cell r="E17518" t="str">
            <v>Community School</v>
          </cell>
          <cell r="F17518" t="str">
            <v>Primary</v>
          </cell>
        </row>
        <row r="17519">
          <cell r="A17519">
            <v>8886088</v>
          </cell>
          <cell r="B17519">
            <v>117708</v>
          </cell>
          <cell r="C17519" t="str">
            <v>Linkway House School</v>
          </cell>
          <cell r="D17519" t="str">
            <v>Lancashire</v>
          </cell>
          <cell r="E17519" t="str">
            <v>Other Independent Special School</v>
          </cell>
          <cell r="F17519" t="str">
            <v>Not applicable</v>
          </cell>
        </row>
        <row r="17520">
          <cell r="A17520">
            <v>3146056</v>
          </cell>
          <cell r="B17520">
            <v>102614</v>
          </cell>
          <cell r="C17520" t="str">
            <v>Linley House School</v>
          </cell>
          <cell r="D17520" t="str">
            <v>Kingston upon Thames</v>
          </cell>
          <cell r="E17520" t="str">
            <v>Other Independent School</v>
          </cell>
          <cell r="F17520" t="str">
            <v>Not applicable</v>
          </cell>
        </row>
        <row r="17521">
          <cell r="A17521">
            <v>9024087</v>
          </cell>
          <cell r="B17521">
            <v>128253</v>
          </cell>
          <cell r="C17521" t="str">
            <v>Linmear Middle School</v>
          </cell>
          <cell r="D17521" t="str">
            <v>Pre LGR (1997) Bedfordshire</v>
          </cell>
          <cell r="E17521" t="str">
            <v>Community School</v>
          </cell>
          <cell r="F17521" t="str">
            <v>Middle Deemed Secondary</v>
          </cell>
        </row>
        <row r="17522">
          <cell r="A17522">
            <v>8232188</v>
          </cell>
          <cell r="B17522">
            <v>109515</v>
          </cell>
          <cell r="C17522" t="str">
            <v>Linslade Lower School</v>
          </cell>
          <cell r="D17522" t="str">
            <v>Central Bedfordshire</v>
          </cell>
          <cell r="E17522" t="str">
            <v>Community School</v>
          </cell>
          <cell r="F17522" t="str">
            <v>Primary</v>
          </cell>
        </row>
        <row r="17523">
          <cell r="A17523">
            <v>8234077</v>
          </cell>
          <cell r="B17523">
            <v>109668</v>
          </cell>
          <cell r="C17523" t="str">
            <v>Linslade Middle School</v>
          </cell>
          <cell r="D17523" t="str">
            <v>Central Bedfordshire</v>
          </cell>
          <cell r="E17523" t="str">
            <v>Community School</v>
          </cell>
          <cell r="F17523" t="str">
            <v>Middle Deemed Secondary</v>
          </cell>
        </row>
        <row r="17524">
          <cell r="A17524">
            <v>8234077</v>
          </cell>
          <cell r="B17524">
            <v>136766</v>
          </cell>
          <cell r="C17524" t="str">
            <v>Linslade Middle School</v>
          </cell>
          <cell r="D17524" t="str">
            <v>Central Bedfordshire</v>
          </cell>
          <cell r="E17524" t="str">
            <v>Academy Converters</v>
          </cell>
          <cell r="F17524" t="str">
            <v>Middle Deemed Secondary</v>
          </cell>
        </row>
        <row r="17525">
          <cell r="A17525">
            <v>8062003</v>
          </cell>
          <cell r="B17525">
            <v>134259</v>
          </cell>
          <cell r="C17525" t="str">
            <v>Linthorpe Community Primary School</v>
          </cell>
          <cell r="D17525" t="str">
            <v>Middlesbrough</v>
          </cell>
          <cell r="E17525" t="str">
            <v>Community School</v>
          </cell>
          <cell r="F17525" t="str">
            <v>Primary</v>
          </cell>
        </row>
        <row r="17526">
          <cell r="A17526">
            <v>8062118</v>
          </cell>
          <cell r="B17526">
            <v>111576</v>
          </cell>
          <cell r="C17526" t="str">
            <v>Linthorpe Infant School</v>
          </cell>
          <cell r="D17526" t="str">
            <v>Middlesbrough</v>
          </cell>
          <cell r="E17526" t="str">
            <v>Community School</v>
          </cell>
          <cell r="F17526" t="str">
            <v>Primary</v>
          </cell>
        </row>
        <row r="17527">
          <cell r="A17527">
            <v>8062117</v>
          </cell>
          <cell r="B17527">
            <v>111575</v>
          </cell>
          <cell r="C17527" t="str">
            <v>Linthorpe Junior School</v>
          </cell>
          <cell r="D17527" t="str">
            <v>Middlesbrough</v>
          </cell>
          <cell r="E17527" t="str">
            <v>Community School</v>
          </cell>
          <cell r="F17527" t="str">
            <v>Primary</v>
          </cell>
        </row>
        <row r="17528">
          <cell r="A17528">
            <v>3823324</v>
          </cell>
          <cell r="B17528">
            <v>107740</v>
          </cell>
          <cell r="C17528" t="str">
            <v>Linthwaite Ardron CofE (Voluntary Aided) Junior and Infant School</v>
          </cell>
          <cell r="D17528" t="str">
            <v>Kirklees</v>
          </cell>
          <cell r="E17528" t="str">
            <v>Voluntary Aided School</v>
          </cell>
          <cell r="F17528" t="str">
            <v>Primary</v>
          </cell>
        </row>
        <row r="17529">
          <cell r="A17529">
            <v>3822148</v>
          </cell>
          <cell r="B17529">
            <v>107693</v>
          </cell>
          <cell r="C17529" t="str">
            <v>Linthwaite Clough J I &amp; Early Years Unit</v>
          </cell>
          <cell r="D17529" t="str">
            <v>Kirklees</v>
          </cell>
          <cell r="E17529" t="str">
            <v>Community School</v>
          </cell>
          <cell r="F17529" t="str">
            <v>Primary</v>
          </cell>
        </row>
        <row r="17530">
          <cell r="A17530">
            <v>8733317</v>
          </cell>
          <cell r="B17530">
            <v>110832</v>
          </cell>
          <cell r="C17530" t="str">
            <v>Linton CofE Infant School</v>
          </cell>
          <cell r="D17530" t="str">
            <v>Cambridgeshire</v>
          </cell>
          <cell r="E17530" t="str">
            <v>Voluntary Aided School</v>
          </cell>
          <cell r="F17530" t="str">
            <v>Primary</v>
          </cell>
        </row>
        <row r="17531">
          <cell r="A17531">
            <v>9292105</v>
          </cell>
          <cell r="B17531">
            <v>122199</v>
          </cell>
          <cell r="C17531" t="str">
            <v>Linton First School</v>
          </cell>
          <cell r="D17531" t="str">
            <v>Northumberland</v>
          </cell>
          <cell r="E17531" t="str">
            <v>Community School</v>
          </cell>
          <cell r="F17531" t="str">
            <v>Primary</v>
          </cell>
        </row>
        <row r="17532">
          <cell r="A17532">
            <v>8732204</v>
          </cell>
          <cell r="B17532">
            <v>110672</v>
          </cell>
          <cell r="C17532" t="str">
            <v>Linton Heights Junior School</v>
          </cell>
          <cell r="D17532" t="str">
            <v>Cambridgeshire</v>
          </cell>
          <cell r="E17532" t="str">
            <v>Community School</v>
          </cell>
          <cell r="F17532" t="str">
            <v>Primary</v>
          </cell>
        </row>
        <row r="17533">
          <cell r="A17533">
            <v>3839900</v>
          </cell>
          <cell r="B17533">
            <v>132968</v>
          </cell>
          <cell r="C17533" t="str">
            <v>Linton House Adolescent Unit</v>
          </cell>
          <cell r="D17533" t="str">
            <v>Leeds</v>
          </cell>
          <cell r="E17533" t="str">
            <v>Miscellaneous</v>
          </cell>
          <cell r="F17533" t="str">
            <v>Not applicable</v>
          </cell>
        </row>
        <row r="17534">
          <cell r="A17534">
            <v>2032901</v>
          </cell>
          <cell r="B17534">
            <v>100159</v>
          </cell>
          <cell r="C17534" t="str">
            <v>Linton Mead Primary School</v>
          </cell>
          <cell r="D17534" t="str">
            <v>Greenwich</v>
          </cell>
          <cell r="E17534" t="str">
            <v>Community School</v>
          </cell>
          <cell r="F17534" t="str">
            <v>Primary</v>
          </cell>
        </row>
        <row r="17535">
          <cell r="A17535">
            <v>8866104</v>
          </cell>
          <cell r="B17535">
            <v>134452</v>
          </cell>
          <cell r="C17535" t="str">
            <v>Linton Park School</v>
          </cell>
          <cell r="D17535" t="str">
            <v>Kent</v>
          </cell>
          <cell r="E17535" t="str">
            <v>Other Independent School</v>
          </cell>
          <cell r="F17535" t="str">
            <v>Not applicable</v>
          </cell>
        </row>
        <row r="17536">
          <cell r="A17536">
            <v>8305204</v>
          </cell>
          <cell r="B17536">
            <v>112978</v>
          </cell>
          <cell r="C17536" t="str">
            <v>Linton Primary School</v>
          </cell>
          <cell r="D17536" t="str">
            <v>Derbyshire</v>
          </cell>
          <cell r="E17536" t="str">
            <v>Foundation School</v>
          </cell>
          <cell r="F17536" t="str">
            <v>Primary</v>
          </cell>
        </row>
        <row r="17537">
          <cell r="A17537">
            <v>8735416</v>
          </cell>
          <cell r="B17537">
            <v>110862</v>
          </cell>
          <cell r="C17537" t="str">
            <v>Linton Village College</v>
          </cell>
          <cell r="D17537" t="str">
            <v>Cambridgeshire</v>
          </cell>
          <cell r="E17537" t="str">
            <v>Foundation School</v>
          </cell>
          <cell r="F17537" t="str">
            <v>Secondary</v>
          </cell>
        </row>
        <row r="17538">
          <cell r="A17538">
            <v>8735416</v>
          </cell>
          <cell r="B17538">
            <v>136442</v>
          </cell>
          <cell r="C17538" t="str">
            <v>Linton Village College</v>
          </cell>
          <cell r="D17538" t="str">
            <v>Cambridgeshire</v>
          </cell>
          <cell r="E17538" t="str">
            <v>Academy Converters</v>
          </cell>
          <cell r="F17538" t="str">
            <v>Secondary</v>
          </cell>
        </row>
        <row r="17539">
          <cell r="A17539">
            <v>8152171</v>
          </cell>
          <cell r="B17539">
            <v>121337</v>
          </cell>
          <cell r="C17539" t="str">
            <v>Linton-on-Ouse Primary School</v>
          </cell>
          <cell r="D17539" t="str">
            <v>North Yorkshire</v>
          </cell>
          <cell r="E17539" t="str">
            <v>Community School</v>
          </cell>
          <cell r="F17539" t="str">
            <v>Primary</v>
          </cell>
        </row>
        <row r="17540">
          <cell r="A17540">
            <v>9361112</v>
          </cell>
          <cell r="B17540">
            <v>124927</v>
          </cell>
          <cell r="C17540" t="str">
            <v>Lintons Lane Centre</v>
          </cell>
          <cell r="D17540" t="str">
            <v>Surrey</v>
          </cell>
          <cell r="E17540" t="str">
            <v>Pupil Referral Unit</v>
          </cell>
          <cell r="F17540" t="str">
            <v>PRU</v>
          </cell>
        </row>
        <row r="17541">
          <cell r="A17541">
            <v>8377012</v>
          </cell>
          <cell r="B17541">
            <v>113961</v>
          </cell>
          <cell r="C17541" t="str">
            <v>Linwood School</v>
          </cell>
          <cell r="D17541" t="str">
            <v>Bournemouth</v>
          </cell>
          <cell r="E17541" t="str">
            <v>Community Special School</v>
          </cell>
          <cell r="F17541" t="str">
            <v>Special</v>
          </cell>
        </row>
        <row r="17542">
          <cell r="A17542">
            <v>2126391</v>
          </cell>
          <cell r="B17542">
            <v>101087</v>
          </cell>
          <cell r="C17542" t="str">
            <v>Lion House School</v>
          </cell>
          <cell r="D17542" t="str">
            <v>Wandsworth</v>
          </cell>
          <cell r="E17542" t="str">
            <v>Other Independent School</v>
          </cell>
          <cell r="F17542" t="str">
            <v>Not applicable</v>
          </cell>
        </row>
        <row r="17543">
          <cell r="A17543">
            <v>3132036</v>
          </cell>
          <cell r="B17543">
            <v>102493</v>
          </cell>
          <cell r="C17543" t="str">
            <v>Lionel Primary School</v>
          </cell>
          <cell r="D17543" t="str">
            <v>Hounslow</v>
          </cell>
          <cell r="E17543" t="str">
            <v>Community School</v>
          </cell>
          <cell r="F17543" t="str">
            <v>Primary</v>
          </cell>
        </row>
        <row r="17544">
          <cell r="A17544">
            <v>8732066</v>
          </cell>
          <cell r="B17544">
            <v>110632</v>
          </cell>
          <cell r="C17544" t="str">
            <v>Lionel Walden Primary School</v>
          </cell>
          <cell r="D17544" t="str">
            <v>Cambridgeshire</v>
          </cell>
          <cell r="E17544" t="str">
            <v>Community School</v>
          </cell>
          <cell r="F17544" t="str">
            <v>Primary</v>
          </cell>
        </row>
        <row r="17545">
          <cell r="A17545">
            <v>9263422</v>
          </cell>
          <cell r="B17545">
            <v>134956</v>
          </cell>
          <cell r="C17545" t="str">
            <v>Lionwood Infant and Nursery School</v>
          </cell>
          <cell r="D17545" t="str">
            <v>Norfolk</v>
          </cell>
          <cell r="E17545" t="str">
            <v>Community School</v>
          </cell>
          <cell r="F17545" t="str">
            <v>Primary</v>
          </cell>
        </row>
        <row r="17546">
          <cell r="A17546">
            <v>9262318</v>
          </cell>
          <cell r="B17546">
            <v>120955</v>
          </cell>
          <cell r="C17546" t="str">
            <v>Lionwood Junior School</v>
          </cell>
          <cell r="D17546" t="str">
            <v>Norfolk</v>
          </cell>
          <cell r="E17546" t="str">
            <v>Community School</v>
          </cell>
          <cell r="F17546" t="str">
            <v>Primary</v>
          </cell>
        </row>
        <row r="17547">
          <cell r="A17547">
            <v>8503183</v>
          </cell>
          <cell r="B17547">
            <v>116330</v>
          </cell>
          <cell r="C17547" t="str">
            <v>Liphook Church of England Controlled Junior School</v>
          </cell>
          <cell r="D17547" t="str">
            <v>Hampshire</v>
          </cell>
          <cell r="E17547" t="str">
            <v>Voluntary Controlled School</v>
          </cell>
          <cell r="F17547" t="str">
            <v>Primary</v>
          </cell>
        </row>
        <row r="17548">
          <cell r="A17548">
            <v>8502342</v>
          </cell>
          <cell r="B17548">
            <v>116056</v>
          </cell>
          <cell r="C17548" t="str">
            <v>Liphook Infant School</v>
          </cell>
          <cell r="D17548" t="str">
            <v>Hampshire</v>
          </cell>
          <cell r="E17548" t="str">
            <v>Community School</v>
          </cell>
          <cell r="F17548" t="str">
            <v>Primary</v>
          </cell>
        </row>
        <row r="17549">
          <cell r="A17549">
            <v>8794187</v>
          </cell>
          <cell r="B17549">
            <v>113544</v>
          </cell>
          <cell r="C17549" t="str">
            <v>Lipson Community College</v>
          </cell>
          <cell r="D17549" t="str">
            <v>Plymouth</v>
          </cell>
          <cell r="E17549" t="str">
            <v>Foundation School</v>
          </cell>
          <cell r="F17549" t="str">
            <v>Secondary</v>
          </cell>
        </row>
        <row r="17550">
          <cell r="A17550">
            <v>8794187</v>
          </cell>
          <cell r="B17550">
            <v>136668</v>
          </cell>
          <cell r="C17550" t="str">
            <v>Lipson Community College</v>
          </cell>
          <cell r="D17550" t="str">
            <v>Plymouth</v>
          </cell>
          <cell r="E17550" t="str">
            <v>Academy Converters</v>
          </cell>
          <cell r="F17550" t="str">
            <v>Secondary</v>
          </cell>
        </row>
        <row r="17551">
          <cell r="A17551">
            <v>8792671</v>
          </cell>
          <cell r="B17551">
            <v>113298</v>
          </cell>
          <cell r="C17551" t="str">
            <v>Lipson Vale Primary School</v>
          </cell>
          <cell r="D17551" t="str">
            <v>Plymouth</v>
          </cell>
          <cell r="E17551" t="str">
            <v>Community School</v>
          </cell>
          <cell r="F17551" t="str">
            <v>Primary</v>
          </cell>
        </row>
        <row r="17552">
          <cell r="A17552">
            <v>3567506</v>
          </cell>
          <cell r="B17552">
            <v>106170</v>
          </cell>
          <cell r="C17552" t="str">
            <v>Lisburne School</v>
          </cell>
          <cell r="D17552" t="str">
            <v>Stockport</v>
          </cell>
          <cell r="E17552" t="str">
            <v>Community Special School</v>
          </cell>
          <cell r="F17552" t="str">
            <v>Special</v>
          </cell>
        </row>
        <row r="17553">
          <cell r="A17553">
            <v>3442102</v>
          </cell>
          <cell r="B17553">
            <v>104994</v>
          </cell>
          <cell r="C17553" t="str">
            <v>Liscard Primary School</v>
          </cell>
          <cell r="D17553" t="str">
            <v>Wirral</v>
          </cell>
          <cell r="E17553" t="str">
            <v>Community School</v>
          </cell>
          <cell r="F17553" t="str">
            <v>Primary</v>
          </cell>
        </row>
        <row r="17554">
          <cell r="A17554">
            <v>3413638</v>
          </cell>
          <cell r="B17554">
            <v>104680</v>
          </cell>
          <cell r="C17554" t="str">
            <v>Lisieux Catholic Infant School</v>
          </cell>
          <cell r="D17554" t="str">
            <v>Liverpool</v>
          </cell>
          <cell r="E17554" t="str">
            <v>Voluntary Aided School</v>
          </cell>
          <cell r="F17554" t="str">
            <v>Primary</v>
          </cell>
        </row>
        <row r="17555">
          <cell r="A17555">
            <v>9083896</v>
          </cell>
          <cell r="B17555">
            <v>129391</v>
          </cell>
          <cell r="C17555" t="str">
            <v>Liskeard Hillfort Primary School</v>
          </cell>
          <cell r="D17555" t="str">
            <v>Cornwall</v>
          </cell>
          <cell r="E17555" t="str">
            <v>Community School</v>
          </cell>
          <cell r="F17555" t="str">
            <v>Primary</v>
          </cell>
        </row>
        <row r="17556">
          <cell r="A17556">
            <v>9082728</v>
          </cell>
          <cell r="B17556">
            <v>111970</v>
          </cell>
          <cell r="C17556" t="str">
            <v>Liskeard Infant School</v>
          </cell>
          <cell r="D17556" t="str">
            <v>Cornwall</v>
          </cell>
          <cell r="E17556" t="str">
            <v>Community School</v>
          </cell>
          <cell r="F17556" t="str">
            <v>Primary</v>
          </cell>
        </row>
        <row r="17557">
          <cell r="A17557">
            <v>9082732</v>
          </cell>
          <cell r="B17557">
            <v>111974</v>
          </cell>
          <cell r="C17557" t="str">
            <v>Liskeard Junior School</v>
          </cell>
          <cell r="D17557" t="str">
            <v>Cornwall</v>
          </cell>
          <cell r="E17557" t="str">
            <v>Community School</v>
          </cell>
          <cell r="F17557" t="str">
            <v>Primary</v>
          </cell>
        </row>
        <row r="17558">
          <cell r="A17558">
            <v>9084167</v>
          </cell>
          <cell r="B17558">
            <v>112061</v>
          </cell>
          <cell r="C17558" t="str">
            <v>Liskeard School and Community College</v>
          </cell>
          <cell r="D17558" t="str">
            <v>Cornwall</v>
          </cell>
          <cell r="E17558" t="str">
            <v>Community School</v>
          </cell>
          <cell r="F17558" t="str">
            <v>Secondary</v>
          </cell>
        </row>
        <row r="17559">
          <cell r="A17559">
            <v>8123512</v>
          </cell>
          <cell r="B17559">
            <v>118056</v>
          </cell>
          <cell r="C17559" t="str">
            <v>Lisle Marsden CofE (VA) Infant School</v>
          </cell>
          <cell r="D17559" t="str">
            <v>North East Lincolnshire</v>
          </cell>
          <cell r="E17559" t="str">
            <v>Voluntary Aided School</v>
          </cell>
          <cell r="F17559" t="str">
            <v>Primary</v>
          </cell>
        </row>
        <row r="17560">
          <cell r="A17560">
            <v>8123513</v>
          </cell>
          <cell r="B17560">
            <v>118057</v>
          </cell>
          <cell r="C17560" t="str">
            <v>Lisle Marsden CofE (VA) Junior School</v>
          </cell>
          <cell r="D17560" t="str">
            <v>North East Lincolnshire</v>
          </cell>
          <cell r="E17560" t="str">
            <v>Voluntary Aided School</v>
          </cell>
          <cell r="F17560" t="str">
            <v>Primary</v>
          </cell>
        </row>
        <row r="17561">
          <cell r="A17561">
            <v>8123300</v>
          </cell>
          <cell r="B17561">
            <v>131964</v>
          </cell>
          <cell r="C17561" t="str">
            <v>Lisle Marsden CofE Aided Primary School</v>
          </cell>
          <cell r="D17561" t="str">
            <v>North East Lincolnshire</v>
          </cell>
          <cell r="E17561" t="str">
            <v>Voluntary Aided School</v>
          </cell>
          <cell r="F17561" t="str">
            <v>Primary</v>
          </cell>
        </row>
        <row r="17562">
          <cell r="A17562">
            <v>8123300</v>
          </cell>
          <cell r="B17562">
            <v>137611</v>
          </cell>
          <cell r="C17562" t="str">
            <v>Lisle Marsden CofE Aided Primary School</v>
          </cell>
          <cell r="D17562" t="str">
            <v>North East Lincolnshire</v>
          </cell>
          <cell r="E17562" t="str">
            <v>Academy Converters</v>
          </cell>
          <cell r="F17562" t="str">
            <v>Primary</v>
          </cell>
        </row>
        <row r="17563">
          <cell r="A17563">
            <v>9203004</v>
          </cell>
          <cell r="B17563">
            <v>129250</v>
          </cell>
          <cell r="C17563" t="str">
            <v>Lisle Marsden First School</v>
          </cell>
          <cell r="D17563" t="str">
            <v>Pre LGR (1996) Humberside</v>
          </cell>
          <cell r="E17563" t="str">
            <v>Voluntary Controlled School</v>
          </cell>
          <cell r="F17563" t="str">
            <v>Primary</v>
          </cell>
        </row>
        <row r="17564">
          <cell r="A17564">
            <v>9203005</v>
          </cell>
          <cell r="B17564">
            <v>129251</v>
          </cell>
          <cell r="C17564" t="str">
            <v>Lisle Marsden Middle School</v>
          </cell>
          <cell r="D17564" t="str">
            <v>Pre LGR (1996) Humberside</v>
          </cell>
          <cell r="E17564" t="str">
            <v>Voluntary Controlled School</v>
          </cell>
          <cell r="F17564" t="str">
            <v>Middle Deemed Primary</v>
          </cell>
        </row>
        <row r="17565">
          <cell r="A17565">
            <v>8502291</v>
          </cell>
          <cell r="B17565">
            <v>116021</v>
          </cell>
          <cell r="C17565" t="str">
            <v>Liss Infant School</v>
          </cell>
          <cell r="D17565" t="str">
            <v>Hampshire</v>
          </cell>
          <cell r="E17565" t="str">
            <v>Community School</v>
          </cell>
          <cell r="F17565" t="str">
            <v>Primary</v>
          </cell>
        </row>
        <row r="17566">
          <cell r="A17566">
            <v>8502127</v>
          </cell>
          <cell r="B17566">
            <v>115925</v>
          </cell>
          <cell r="C17566" t="str">
            <v>Liss Junior School</v>
          </cell>
          <cell r="D17566" t="str">
            <v>Hampshire</v>
          </cell>
          <cell r="E17566" t="str">
            <v>Community School</v>
          </cell>
          <cell r="F17566" t="str">
            <v>Primary</v>
          </cell>
        </row>
        <row r="17567">
          <cell r="A17567">
            <v>3164025</v>
          </cell>
          <cell r="B17567">
            <v>102778</v>
          </cell>
          <cell r="C17567" t="str">
            <v>Lister Community School</v>
          </cell>
          <cell r="D17567" t="str">
            <v>Newham</v>
          </cell>
          <cell r="E17567" t="str">
            <v>Community School</v>
          </cell>
          <cell r="F17567" t="str">
            <v>Secondary</v>
          </cell>
        </row>
        <row r="17568">
          <cell r="A17568">
            <v>3412093</v>
          </cell>
          <cell r="B17568">
            <v>104555</v>
          </cell>
          <cell r="C17568" t="str">
            <v>Lister Infants School</v>
          </cell>
          <cell r="D17568" t="str">
            <v>Liverpool</v>
          </cell>
          <cell r="E17568" t="str">
            <v>Community School</v>
          </cell>
          <cell r="F17568" t="str">
            <v>Primary</v>
          </cell>
        </row>
        <row r="17569">
          <cell r="A17569">
            <v>3412092</v>
          </cell>
          <cell r="B17569">
            <v>104554</v>
          </cell>
          <cell r="C17569" t="str">
            <v>Lister Junior School</v>
          </cell>
          <cell r="D17569" t="str">
            <v>Liverpool</v>
          </cell>
          <cell r="E17569" t="str">
            <v>Community School</v>
          </cell>
          <cell r="F17569" t="str">
            <v>Primary</v>
          </cell>
        </row>
        <row r="17570">
          <cell r="A17570">
            <v>3807002</v>
          </cell>
          <cell r="B17570">
            <v>107464</v>
          </cell>
          <cell r="C17570" t="str">
            <v>Lister Lane School</v>
          </cell>
          <cell r="D17570" t="str">
            <v>Bradford</v>
          </cell>
          <cell r="E17570" t="str">
            <v>Community Special School</v>
          </cell>
          <cell r="F17570" t="str">
            <v>Special</v>
          </cell>
        </row>
        <row r="17571">
          <cell r="A17571">
            <v>7022036</v>
          </cell>
          <cell r="B17571">
            <v>132410</v>
          </cell>
          <cell r="C17571" t="str">
            <v>Lister Primary School</v>
          </cell>
          <cell r="D17571" t="str">
            <v>BFPO Overseas Establishments</v>
          </cell>
          <cell r="E17571" t="str">
            <v>Service Childrens Education</v>
          </cell>
          <cell r="F17571" t="str">
            <v>Not applicable</v>
          </cell>
        </row>
        <row r="17572">
          <cell r="A17572">
            <v>3802002</v>
          </cell>
          <cell r="B17572">
            <v>134053</v>
          </cell>
          <cell r="C17572" t="str">
            <v>Lister Primary School</v>
          </cell>
          <cell r="D17572" t="str">
            <v>Bradford</v>
          </cell>
          <cell r="E17572" t="str">
            <v>Community School</v>
          </cell>
          <cell r="F17572" t="str">
            <v>Primary</v>
          </cell>
        </row>
        <row r="17573">
          <cell r="A17573">
            <v>8156024</v>
          </cell>
          <cell r="B17573">
            <v>121754</v>
          </cell>
          <cell r="C17573" t="str">
            <v>Lisvane Scarborough College Junior School</v>
          </cell>
          <cell r="D17573" t="str">
            <v>North Yorkshire</v>
          </cell>
          <cell r="E17573" t="str">
            <v>Other Independent School</v>
          </cell>
          <cell r="F17573" t="str">
            <v>Not applicable</v>
          </cell>
        </row>
        <row r="17574">
          <cell r="A17574">
            <v>6802321</v>
          </cell>
          <cell r="B17574">
            <v>402202</v>
          </cell>
          <cell r="C17574" t="str">
            <v>Liswerry Primary</v>
          </cell>
          <cell r="D17574" t="str">
            <v>Newport</v>
          </cell>
          <cell r="E17574" t="str">
            <v>Welsh Establishment</v>
          </cell>
          <cell r="F17574" t="str">
            <v>Primary</v>
          </cell>
        </row>
        <row r="17575">
          <cell r="A17575">
            <v>9264053</v>
          </cell>
          <cell r="B17575">
            <v>121168</v>
          </cell>
          <cell r="C17575" t="str">
            <v>Litcham High School</v>
          </cell>
          <cell r="D17575" t="str">
            <v>Norfolk</v>
          </cell>
          <cell r="E17575" t="str">
            <v>Community School</v>
          </cell>
          <cell r="F17575" t="str">
            <v>Secondary</v>
          </cell>
        </row>
        <row r="17576">
          <cell r="A17576">
            <v>9262099</v>
          </cell>
          <cell r="B17576">
            <v>120826</v>
          </cell>
          <cell r="C17576" t="str">
            <v>Litcham Primary School</v>
          </cell>
          <cell r="D17576" t="str">
            <v>Norfolk</v>
          </cell>
          <cell r="E17576" t="str">
            <v>Community School</v>
          </cell>
          <cell r="F17576" t="str">
            <v>Primary</v>
          </cell>
        </row>
        <row r="17577">
          <cell r="A17577">
            <v>6722299</v>
          </cell>
          <cell r="B17577">
            <v>401065</v>
          </cell>
          <cell r="C17577" t="str">
            <v>Litchard Infant School</v>
          </cell>
          <cell r="D17577" t="str">
            <v>Bridgend</v>
          </cell>
          <cell r="E17577" t="str">
            <v>Welsh Establishment</v>
          </cell>
          <cell r="F17577" t="str">
            <v>Primary</v>
          </cell>
        </row>
        <row r="17578">
          <cell r="A17578">
            <v>6722141</v>
          </cell>
          <cell r="B17578">
            <v>401038</v>
          </cell>
          <cell r="C17578" t="str">
            <v>Litchard Junior School</v>
          </cell>
          <cell r="D17578" t="str">
            <v>Bridgend</v>
          </cell>
          <cell r="E17578" t="str">
            <v>Welsh Establishment</v>
          </cell>
          <cell r="F17578" t="str">
            <v>Primary</v>
          </cell>
        </row>
        <row r="17579">
          <cell r="A17579">
            <v>6722374</v>
          </cell>
          <cell r="B17579">
            <v>402225</v>
          </cell>
          <cell r="C17579" t="str">
            <v>Litchard Primary</v>
          </cell>
          <cell r="D17579" t="str">
            <v>Bridgend</v>
          </cell>
          <cell r="E17579" t="str">
            <v>Welsh Establishment</v>
          </cell>
          <cell r="F17579" t="str">
            <v>Primary</v>
          </cell>
        </row>
        <row r="17580">
          <cell r="A17580">
            <v>3434104</v>
          </cell>
          <cell r="B17580">
            <v>104951</v>
          </cell>
          <cell r="C17580" t="str">
            <v>Litherland High School</v>
          </cell>
          <cell r="D17580" t="str">
            <v>Sefton</v>
          </cell>
          <cell r="E17580" t="str">
            <v>Community School</v>
          </cell>
          <cell r="F17580" t="str">
            <v>Secondary</v>
          </cell>
        </row>
        <row r="17581">
          <cell r="A17581">
            <v>3432063</v>
          </cell>
          <cell r="B17581">
            <v>104875</v>
          </cell>
          <cell r="C17581" t="str">
            <v>Litherland Moss Primary School</v>
          </cell>
          <cell r="D17581" t="str">
            <v>Sefton</v>
          </cell>
          <cell r="E17581" t="str">
            <v>Community School</v>
          </cell>
          <cell r="F17581" t="str">
            <v>Primary</v>
          </cell>
        </row>
        <row r="17582">
          <cell r="A17582">
            <v>9386245</v>
          </cell>
          <cell r="B17582">
            <v>130203</v>
          </cell>
          <cell r="C17582" t="str">
            <v>Little Acorns Montessori School</v>
          </cell>
          <cell r="D17582" t="str">
            <v>West Sussex</v>
          </cell>
          <cell r="E17582" t="str">
            <v>Other Independent School</v>
          </cell>
          <cell r="F17582" t="str">
            <v>Not applicable</v>
          </cell>
        </row>
        <row r="17583">
          <cell r="A17583">
            <v>8866085</v>
          </cell>
          <cell r="B17583">
            <v>131810</v>
          </cell>
          <cell r="C17583" t="str">
            <v>Little Acorns School</v>
          </cell>
          <cell r="D17583" t="str">
            <v>Kent</v>
          </cell>
          <cell r="E17583" t="str">
            <v>Other Independent Special School</v>
          </cell>
          <cell r="F17583" t="str">
            <v>Not applicable</v>
          </cell>
        </row>
        <row r="17584">
          <cell r="A17584">
            <v>4206000</v>
          </cell>
          <cell r="B17584">
            <v>131452</v>
          </cell>
          <cell r="C17584" t="str">
            <v>Little Arthur Independent School</v>
          </cell>
          <cell r="D17584" t="str">
            <v>Isles Of Scilly</v>
          </cell>
          <cell r="E17584" t="str">
            <v>Other Independent School</v>
          </cell>
          <cell r="F17584" t="str">
            <v>Not applicable</v>
          </cell>
        </row>
        <row r="17585">
          <cell r="A17585">
            <v>8602277</v>
          </cell>
          <cell r="B17585">
            <v>124127</v>
          </cell>
          <cell r="C17585" t="str">
            <v>Little Aston Primary School</v>
          </cell>
          <cell r="D17585" t="str">
            <v>Staffordshire</v>
          </cell>
          <cell r="E17585" t="str">
            <v>Community School</v>
          </cell>
          <cell r="F17585" t="str">
            <v>Primary</v>
          </cell>
        </row>
        <row r="17586">
          <cell r="A17586">
            <v>3353003</v>
          </cell>
          <cell r="B17586">
            <v>104222</v>
          </cell>
          <cell r="C17586" t="str">
            <v>Little Bloxwich CofE VC Primary School</v>
          </cell>
          <cell r="D17586" t="str">
            <v>Walsall</v>
          </cell>
          <cell r="E17586" t="str">
            <v>Voluntary Controlled School</v>
          </cell>
          <cell r="F17586" t="str">
            <v>Primary</v>
          </cell>
        </row>
        <row r="17587">
          <cell r="A17587">
            <v>8953108</v>
          </cell>
          <cell r="B17587">
            <v>111251</v>
          </cell>
          <cell r="C17587" t="str">
            <v>Little Bollington CofE Primary School</v>
          </cell>
          <cell r="D17587" t="str">
            <v>Cheshire East</v>
          </cell>
          <cell r="E17587" t="str">
            <v>Voluntary Controlled School</v>
          </cell>
          <cell r="F17587" t="str">
            <v>Primary</v>
          </cell>
        </row>
        <row r="17588">
          <cell r="A17588">
            <v>8552068</v>
          </cell>
          <cell r="B17588">
            <v>119936</v>
          </cell>
          <cell r="C17588" t="str">
            <v>Little Bowden School</v>
          </cell>
          <cell r="D17588" t="str">
            <v>Leicestershire</v>
          </cell>
          <cell r="E17588" t="str">
            <v>Community School</v>
          </cell>
          <cell r="F17588" t="str">
            <v>Primary</v>
          </cell>
        </row>
        <row r="17589">
          <cell r="A17589">
            <v>9252029</v>
          </cell>
          <cell r="B17589">
            <v>129559</v>
          </cell>
          <cell r="C17589" t="str">
            <v>Little Bytham County Primary School</v>
          </cell>
          <cell r="D17589" t="str">
            <v>Lincolnshire</v>
          </cell>
          <cell r="E17589" t="str">
            <v>Community School</v>
          </cell>
          <cell r="F17589" t="str">
            <v>Primary</v>
          </cell>
        </row>
        <row r="17590">
          <cell r="A17590">
            <v>8252153</v>
          </cell>
          <cell r="B17590">
            <v>110271</v>
          </cell>
          <cell r="C17590" t="str">
            <v>Little Chalfont Primary School</v>
          </cell>
          <cell r="D17590" t="str">
            <v>Buckinghamshire</v>
          </cell>
          <cell r="E17590" t="str">
            <v>Community School</v>
          </cell>
          <cell r="F17590" t="str">
            <v>Primary</v>
          </cell>
        </row>
        <row r="17591">
          <cell r="A17591">
            <v>9092122</v>
          </cell>
          <cell r="B17591">
            <v>128573</v>
          </cell>
          <cell r="C17591" t="str">
            <v>Little Clifton Primary School</v>
          </cell>
          <cell r="D17591" t="str">
            <v>Cumbria</v>
          </cell>
          <cell r="E17591" t="str">
            <v>Community School</v>
          </cell>
          <cell r="F17591" t="str">
            <v>Primary</v>
          </cell>
        </row>
        <row r="17592">
          <cell r="A17592">
            <v>9202304</v>
          </cell>
          <cell r="B17592">
            <v>129201</v>
          </cell>
          <cell r="C17592" t="str">
            <v>Little Coates First and Middle School</v>
          </cell>
          <cell r="D17592" t="str">
            <v>Pre LGR (1996) Humberside</v>
          </cell>
          <cell r="E17592" t="str">
            <v>Community School</v>
          </cell>
          <cell r="F17592" t="str">
            <v>Middle Deemed Primary</v>
          </cell>
        </row>
        <row r="17593">
          <cell r="A17593">
            <v>8452099</v>
          </cell>
          <cell r="B17593">
            <v>114429</v>
          </cell>
          <cell r="C17593" t="str">
            <v>Little Common School</v>
          </cell>
          <cell r="D17593" t="str">
            <v>East Sussex</v>
          </cell>
          <cell r="E17593" t="str">
            <v>Community School</v>
          </cell>
          <cell r="F17593" t="str">
            <v>Primary</v>
          </cell>
        </row>
        <row r="17594">
          <cell r="A17594">
            <v>9372036</v>
          </cell>
          <cell r="B17594">
            <v>125516</v>
          </cell>
          <cell r="C17594" t="str">
            <v>Little Compton Junior and Infant School</v>
          </cell>
          <cell r="D17594" t="str">
            <v>Warwickshire</v>
          </cell>
          <cell r="E17594" t="str">
            <v>Community School</v>
          </cell>
          <cell r="F17594" t="str">
            <v>Primary</v>
          </cell>
        </row>
        <row r="17595">
          <cell r="A17595">
            <v>3066093</v>
          </cell>
          <cell r="B17595">
            <v>132734</v>
          </cell>
          <cell r="C17595" t="str">
            <v>Little David's School</v>
          </cell>
          <cell r="D17595" t="str">
            <v>Croydon</v>
          </cell>
          <cell r="E17595" t="str">
            <v>Other Independent Special School</v>
          </cell>
          <cell r="F17595" t="str">
            <v>Not applicable</v>
          </cell>
        </row>
        <row r="17596">
          <cell r="A17596">
            <v>8843071</v>
          </cell>
          <cell r="B17596">
            <v>116828</v>
          </cell>
          <cell r="C17596" t="str">
            <v>Little Dewchurch CofE Primary School</v>
          </cell>
          <cell r="D17596" t="str">
            <v>Herefordshire</v>
          </cell>
          <cell r="E17596" t="str">
            <v>Voluntary Controlled School</v>
          </cell>
          <cell r="F17596" t="str">
            <v>Primary</v>
          </cell>
        </row>
        <row r="17597">
          <cell r="A17597">
            <v>8882525</v>
          </cell>
          <cell r="B17597">
            <v>119297</v>
          </cell>
          <cell r="C17597" t="str">
            <v>Little Digmoor Primary School</v>
          </cell>
          <cell r="D17597" t="str">
            <v>Lancashire</v>
          </cell>
          <cell r="E17597" t="str">
            <v>Community School</v>
          </cell>
          <cell r="F17597" t="str">
            <v>Primary</v>
          </cell>
        </row>
        <row r="17598">
          <cell r="A17598">
            <v>3072111</v>
          </cell>
          <cell r="B17598">
            <v>126849</v>
          </cell>
          <cell r="C17598" t="str">
            <v>Little Ealing First School</v>
          </cell>
          <cell r="D17598" t="str">
            <v>Ealing</v>
          </cell>
          <cell r="E17598" t="str">
            <v>Community School</v>
          </cell>
          <cell r="F17598" t="str">
            <v>Primary</v>
          </cell>
        </row>
        <row r="17599">
          <cell r="A17599">
            <v>3072112</v>
          </cell>
          <cell r="B17599">
            <v>126850</v>
          </cell>
          <cell r="C17599" t="str">
            <v>Little Ealing Middle School</v>
          </cell>
          <cell r="D17599" t="str">
            <v>Ealing</v>
          </cell>
          <cell r="E17599" t="str">
            <v>Community School</v>
          </cell>
          <cell r="F17599" t="str">
            <v>Middle Deemed Primary</v>
          </cell>
        </row>
        <row r="17600">
          <cell r="A17600">
            <v>3072174</v>
          </cell>
          <cell r="B17600">
            <v>101904</v>
          </cell>
          <cell r="C17600" t="str">
            <v>Little Ealing Primary School</v>
          </cell>
          <cell r="D17600" t="str">
            <v>Ealing</v>
          </cell>
          <cell r="E17600" t="str">
            <v>Community School</v>
          </cell>
          <cell r="F17600" t="str">
            <v>Primary</v>
          </cell>
        </row>
        <row r="17601">
          <cell r="A17601">
            <v>8302153</v>
          </cell>
          <cell r="B17601">
            <v>112580</v>
          </cell>
          <cell r="C17601" t="str">
            <v>Little Eaton Primary School</v>
          </cell>
          <cell r="D17601" t="str">
            <v>Derbyshire</v>
          </cell>
          <cell r="E17601" t="str">
            <v>Community School</v>
          </cell>
          <cell r="F17601" t="str">
            <v>Primary</v>
          </cell>
        </row>
        <row r="17602">
          <cell r="A17602">
            <v>9192175</v>
          </cell>
          <cell r="B17602">
            <v>117192</v>
          </cell>
          <cell r="C17602" t="str">
            <v>Little Furze Junior Mixed and Infant School</v>
          </cell>
          <cell r="D17602" t="str">
            <v>Hertfordshire</v>
          </cell>
          <cell r="E17602" t="str">
            <v>Community School</v>
          </cell>
          <cell r="F17602" t="str">
            <v>Primary</v>
          </cell>
        </row>
        <row r="17603">
          <cell r="A17603">
            <v>9193352</v>
          </cell>
          <cell r="B17603">
            <v>117443</v>
          </cell>
          <cell r="C17603" t="str">
            <v>Little Gaddesden Church of England Voluntary Aided Primary School</v>
          </cell>
          <cell r="D17603" t="str">
            <v>Hertfordshire</v>
          </cell>
          <cell r="E17603" t="str">
            <v>Voluntary Aided School</v>
          </cell>
          <cell r="F17603" t="str">
            <v>Primary</v>
          </cell>
        </row>
        <row r="17604">
          <cell r="A17604">
            <v>9192083</v>
          </cell>
          <cell r="B17604">
            <v>117132</v>
          </cell>
          <cell r="C17604" t="str">
            <v>Little Green Junior School</v>
          </cell>
          <cell r="D17604" t="str">
            <v>Hertfordshire</v>
          </cell>
          <cell r="E17604" t="str">
            <v>Community School</v>
          </cell>
          <cell r="F17604" t="str">
            <v>Primary</v>
          </cell>
        </row>
        <row r="17605">
          <cell r="A17605">
            <v>9192073</v>
          </cell>
          <cell r="B17605">
            <v>117126</v>
          </cell>
          <cell r="C17605" t="str">
            <v>Little Hadham Primary School</v>
          </cell>
          <cell r="D17605" t="str">
            <v>Hertfordshire</v>
          </cell>
          <cell r="E17605" t="str">
            <v>Community School</v>
          </cell>
          <cell r="F17605" t="str">
            <v>Primary</v>
          </cell>
        </row>
        <row r="17606">
          <cell r="A17606">
            <v>8813610</v>
          </cell>
          <cell r="B17606">
            <v>115182</v>
          </cell>
          <cell r="C17606" t="str">
            <v>Little Hallingbury Church of England Voluntary Aided Primary School</v>
          </cell>
          <cell r="D17606" t="str">
            <v>Essex</v>
          </cell>
          <cell r="E17606" t="str">
            <v>Voluntary Aided School</v>
          </cell>
          <cell r="F17606" t="str">
            <v>Primary</v>
          </cell>
        </row>
        <row r="17607">
          <cell r="A17607">
            <v>9282066</v>
          </cell>
          <cell r="B17607">
            <v>121842</v>
          </cell>
          <cell r="C17607" t="str">
            <v>Little Harrowden Community Primary School</v>
          </cell>
          <cell r="D17607" t="str">
            <v>Northamptonshire</v>
          </cell>
          <cell r="E17607" t="str">
            <v>Community School</v>
          </cell>
          <cell r="F17607" t="str">
            <v>Primary</v>
          </cell>
        </row>
        <row r="17608">
          <cell r="A17608">
            <v>8891023</v>
          </cell>
          <cell r="B17608">
            <v>119085</v>
          </cell>
          <cell r="C17608" t="str">
            <v>Little Harwood Children's Centre</v>
          </cell>
          <cell r="D17608" t="str">
            <v>Blackburn with Darwen</v>
          </cell>
          <cell r="E17608" t="str">
            <v>LA Nursery School</v>
          </cell>
          <cell r="F17608" t="str">
            <v>Nursery</v>
          </cell>
        </row>
        <row r="17609">
          <cell r="A17609">
            <v>8011004</v>
          </cell>
          <cell r="B17609">
            <v>108895</v>
          </cell>
          <cell r="C17609" t="str">
            <v>Little Hayes Nursery School</v>
          </cell>
          <cell r="D17609" t="str">
            <v>Bristol City of</v>
          </cell>
          <cell r="E17609" t="str">
            <v>LA Nursery School</v>
          </cell>
          <cell r="F17609" t="str">
            <v>Nursery</v>
          </cell>
        </row>
        <row r="17610">
          <cell r="A17610">
            <v>3312037</v>
          </cell>
          <cell r="B17610">
            <v>103647</v>
          </cell>
          <cell r="C17610" t="str">
            <v>Little Heath Primary School</v>
          </cell>
          <cell r="D17610" t="str">
            <v>Coventry</v>
          </cell>
          <cell r="E17610" t="str">
            <v>Community School</v>
          </cell>
          <cell r="F17610" t="str">
            <v>Primary</v>
          </cell>
        </row>
        <row r="17611">
          <cell r="A17611">
            <v>9195207</v>
          </cell>
          <cell r="B17611">
            <v>117567</v>
          </cell>
          <cell r="C17611" t="str">
            <v>Little Heath Primary School</v>
          </cell>
          <cell r="D17611" t="str">
            <v>Hertfordshire</v>
          </cell>
          <cell r="E17611" t="str">
            <v>Foundation School</v>
          </cell>
          <cell r="F17611" t="str">
            <v>Primary</v>
          </cell>
        </row>
        <row r="17612">
          <cell r="A17612">
            <v>3175950</v>
          </cell>
          <cell r="B17612">
            <v>102878</v>
          </cell>
          <cell r="C17612" t="str">
            <v>Little Heath School</v>
          </cell>
          <cell r="D17612" t="str">
            <v>Redbridge</v>
          </cell>
          <cell r="E17612" t="str">
            <v>Foundation Special School</v>
          </cell>
          <cell r="F17612" t="str">
            <v>Special</v>
          </cell>
        </row>
        <row r="17613">
          <cell r="A17613">
            <v>8694052</v>
          </cell>
          <cell r="B17613">
            <v>110063</v>
          </cell>
          <cell r="C17613" t="str">
            <v>Little Heath School</v>
          </cell>
          <cell r="D17613" t="str">
            <v>West Berkshire</v>
          </cell>
          <cell r="E17613" t="str">
            <v>Voluntary Aided School</v>
          </cell>
          <cell r="F17613" t="str">
            <v>Secondary</v>
          </cell>
        </row>
        <row r="17614">
          <cell r="A17614">
            <v>3543016</v>
          </cell>
          <cell r="B17614">
            <v>105812</v>
          </cell>
          <cell r="C17614" t="str">
            <v>Little Heaton Church of England Primary School</v>
          </cell>
          <cell r="D17614" t="str">
            <v>Rochdale</v>
          </cell>
          <cell r="E17614" t="str">
            <v>Voluntary Controlled School</v>
          </cell>
          <cell r="F17614" t="str">
            <v>Primary</v>
          </cell>
        </row>
        <row r="17615">
          <cell r="A17615">
            <v>8552369</v>
          </cell>
          <cell r="B17615">
            <v>120093</v>
          </cell>
          <cell r="C17615" t="str">
            <v>Little Hill Primary School</v>
          </cell>
          <cell r="D17615" t="str">
            <v>Leicestershire</v>
          </cell>
          <cell r="E17615" t="str">
            <v>Community School</v>
          </cell>
          <cell r="F17615" t="str">
            <v>Primary</v>
          </cell>
        </row>
        <row r="17616">
          <cell r="A17616">
            <v>8882055</v>
          </cell>
          <cell r="B17616">
            <v>119156</v>
          </cell>
          <cell r="C17616" t="str">
            <v>Little Hoole Primary School</v>
          </cell>
          <cell r="D17616" t="str">
            <v>Lancashire</v>
          </cell>
          <cell r="E17616" t="str">
            <v>Community School</v>
          </cell>
          <cell r="F17616" t="str">
            <v>Primary</v>
          </cell>
        </row>
        <row r="17617">
          <cell r="A17617">
            <v>8453330</v>
          </cell>
          <cell r="B17617">
            <v>114557</v>
          </cell>
          <cell r="C17617" t="str">
            <v>Little Horsted Church of England Primary School</v>
          </cell>
          <cell r="D17617" t="str">
            <v>East Sussex</v>
          </cell>
          <cell r="E17617" t="str">
            <v>Voluntary Aided School</v>
          </cell>
          <cell r="F17617" t="str">
            <v>Primary</v>
          </cell>
        </row>
        <row r="17618">
          <cell r="A17618">
            <v>9283326</v>
          </cell>
          <cell r="B17618">
            <v>122025</v>
          </cell>
          <cell r="C17618" t="str">
            <v>Little Houghton Church of England Primary</v>
          </cell>
          <cell r="D17618" t="str">
            <v>Northamptonshire</v>
          </cell>
          <cell r="E17618" t="str">
            <v>Voluntary Aided School</v>
          </cell>
          <cell r="F17618" t="str">
            <v>Primary</v>
          </cell>
        </row>
        <row r="17619">
          <cell r="A17619">
            <v>3551025</v>
          </cell>
          <cell r="B17619">
            <v>126559</v>
          </cell>
          <cell r="C17619" t="str">
            <v>Little Hulton Community Nursery Centre</v>
          </cell>
          <cell r="D17619" t="str">
            <v>Salford</v>
          </cell>
          <cell r="E17619" t="str">
            <v>LA Nursery School</v>
          </cell>
          <cell r="F17619" t="str">
            <v>Nursery</v>
          </cell>
        </row>
        <row r="17620">
          <cell r="A17620">
            <v>3554040</v>
          </cell>
          <cell r="B17620">
            <v>105978</v>
          </cell>
          <cell r="C17620" t="str">
            <v>Little Hulton Community School</v>
          </cell>
          <cell r="D17620" t="str">
            <v>Salford</v>
          </cell>
          <cell r="E17620" t="str">
            <v>Community School</v>
          </cell>
          <cell r="F17620" t="str">
            <v>Secondary</v>
          </cell>
        </row>
        <row r="17621">
          <cell r="A17621">
            <v>3164015</v>
          </cell>
          <cell r="B17621">
            <v>102776</v>
          </cell>
          <cell r="C17621" t="str">
            <v>Little Ilford School</v>
          </cell>
          <cell r="D17621" t="str">
            <v>Newham</v>
          </cell>
          <cell r="E17621" t="str">
            <v>Community School</v>
          </cell>
          <cell r="F17621" t="str">
            <v>Secondary</v>
          </cell>
        </row>
        <row r="17622">
          <cell r="A17622">
            <v>8252071</v>
          </cell>
          <cell r="B17622">
            <v>110244</v>
          </cell>
          <cell r="C17622" t="str">
            <v>Little Kingshill Combined School</v>
          </cell>
          <cell r="D17622" t="str">
            <v>Buckinghamshire</v>
          </cell>
          <cell r="E17622" t="str">
            <v>Community School</v>
          </cell>
          <cell r="F17622" t="str">
            <v>Primary</v>
          </cell>
        </row>
        <row r="17623">
          <cell r="A17623">
            <v>8962182</v>
          </cell>
          <cell r="B17623">
            <v>111051</v>
          </cell>
          <cell r="C17623" t="str">
            <v>Little Leigh Primary School</v>
          </cell>
          <cell r="D17623" t="str">
            <v>Cheshire West and Chester</v>
          </cell>
          <cell r="E17623" t="str">
            <v>Community School</v>
          </cell>
          <cell r="F17623" t="str">
            <v>Primary</v>
          </cell>
        </row>
        <row r="17624">
          <cell r="A17624">
            <v>3504044</v>
          </cell>
          <cell r="B17624">
            <v>105256</v>
          </cell>
          <cell r="C17624" t="str">
            <v>Little Lever School Specialist Language College</v>
          </cell>
          <cell r="D17624" t="str">
            <v>Bolton</v>
          </cell>
          <cell r="E17624" t="str">
            <v>Community School</v>
          </cell>
          <cell r="F17624" t="str">
            <v>Secondary</v>
          </cell>
        </row>
        <row r="17625">
          <cell r="A17625">
            <v>3832412</v>
          </cell>
          <cell r="B17625">
            <v>107888</v>
          </cell>
          <cell r="C17625" t="str">
            <v>Little London Community Primary School and Nursery</v>
          </cell>
          <cell r="D17625" t="str">
            <v>Leeds</v>
          </cell>
          <cell r="E17625" t="str">
            <v>Community School</v>
          </cell>
          <cell r="F17625" t="str">
            <v>Primary</v>
          </cell>
        </row>
        <row r="17626">
          <cell r="A17626">
            <v>3832249</v>
          </cell>
          <cell r="B17626">
            <v>127869</v>
          </cell>
          <cell r="C17626" t="str">
            <v>Little London First School</v>
          </cell>
          <cell r="D17626" t="str">
            <v>Leeds</v>
          </cell>
          <cell r="E17626" t="str">
            <v>Community School</v>
          </cell>
          <cell r="F17626" t="str">
            <v>Primary</v>
          </cell>
        </row>
        <row r="17627">
          <cell r="A17627">
            <v>3352113</v>
          </cell>
          <cell r="B17627">
            <v>104186</v>
          </cell>
          <cell r="C17627" t="str">
            <v>Little London Junior Mixed and Infant School</v>
          </cell>
          <cell r="D17627" t="str">
            <v>Walsall</v>
          </cell>
          <cell r="E17627" t="str">
            <v>Community School</v>
          </cell>
          <cell r="F17627" t="str">
            <v>Primary</v>
          </cell>
        </row>
        <row r="17628">
          <cell r="A17628">
            <v>8253337</v>
          </cell>
          <cell r="B17628">
            <v>110466</v>
          </cell>
          <cell r="C17628" t="str">
            <v>Little Marlow CofE School</v>
          </cell>
          <cell r="D17628" t="str">
            <v>Buckinghamshire</v>
          </cell>
          <cell r="E17628" t="str">
            <v>Voluntary Aided School</v>
          </cell>
          <cell r="F17628" t="str">
            <v>Primary</v>
          </cell>
        </row>
        <row r="17629">
          <cell r="A17629">
            <v>8013432</v>
          </cell>
          <cell r="B17629">
            <v>134863</v>
          </cell>
          <cell r="C17629" t="str">
            <v>Little Mead Primary School</v>
          </cell>
          <cell r="D17629" t="str">
            <v>Bristol City of</v>
          </cell>
          <cell r="E17629" t="str">
            <v>Community School</v>
          </cell>
          <cell r="F17629" t="str">
            <v>Primary</v>
          </cell>
        </row>
        <row r="17630">
          <cell r="A17630">
            <v>9262101</v>
          </cell>
          <cell r="B17630">
            <v>120827</v>
          </cell>
          <cell r="C17630" t="str">
            <v>Little Melton Primary School</v>
          </cell>
          <cell r="D17630" t="str">
            <v>Norfolk</v>
          </cell>
          <cell r="E17630" t="str">
            <v>Community School</v>
          </cell>
          <cell r="F17630" t="str">
            <v>Primary</v>
          </cell>
        </row>
        <row r="17631">
          <cell r="A17631">
            <v>9313755</v>
          </cell>
          <cell r="B17631">
            <v>123198</v>
          </cell>
          <cell r="C17631" t="str">
            <v>Little Milton Church of England Primary School</v>
          </cell>
          <cell r="D17631" t="str">
            <v>Oxfordshire</v>
          </cell>
          <cell r="E17631" t="str">
            <v>Voluntary Aided School</v>
          </cell>
          <cell r="F17631" t="str">
            <v>Primary</v>
          </cell>
        </row>
        <row r="17632">
          <cell r="A17632">
            <v>8253325</v>
          </cell>
          <cell r="B17632">
            <v>110457</v>
          </cell>
          <cell r="C17632" t="str">
            <v>Little Missenden Church of England School</v>
          </cell>
          <cell r="D17632" t="str">
            <v>Buckinghamshire</v>
          </cell>
          <cell r="E17632" t="str">
            <v>Voluntary Aided School</v>
          </cell>
          <cell r="F17632" t="str">
            <v>Primary</v>
          </cell>
        </row>
        <row r="17633">
          <cell r="A17633">
            <v>9193032</v>
          </cell>
          <cell r="B17633">
            <v>117402</v>
          </cell>
          <cell r="C17633" t="str">
            <v>Little Munden Church of England Voluntary Controlled Primary School</v>
          </cell>
          <cell r="D17633" t="str">
            <v>Hertfordshire</v>
          </cell>
          <cell r="E17633" t="str">
            <v>Voluntary Controlled School</v>
          </cell>
          <cell r="F17633" t="str">
            <v>Primary</v>
          </cell>
        </row>
        <row r="17634">
          <cell r="A17634">
            <v>8813034</v>
          </cell>
          <cell r="B17634">
            <v>115086</v>
          </cell>
          <cell r="C17634" t="str">
            <v>Little Oakley Church of England Controlled Infant School</v>
          </cell>
          <cell r="D17634" t="str">
            <v>Essex</v>
          </cell>
          <cell r="E17634" t="str">
            <v>Voluntary Controlled School</v>
          </cell>
          <cell r="F17634" t="str">
            <v>Primary</v>
          </cell>
        </row>
        <row r="17635">
          <cell r="A17635">
            <v>8812693</v>
          </cell>
          <cell r="B17635">
            <v>114953</v>
          </cell>
          <cell r="C17635" t="str">
            <v>Little Parndon Infant School</v>
          </cell>
          <cell r="D17635" t="str">
            <v>Essex</v>
          </cell>
          <cell r="E17635" t="str">
            <v>Community School</v>
          </cell>
          <cell r="F17635" t="str">
            <v>Primary</v>
          </cell>
        </row>
        <row r="17636">
          <cell r="A17636">
            <v>8813249</v>
          </cell>
          <cell r="B17636">
            <v>132222</v>
          </cell>
          <cell r="C17636" t="str">
            <v>Little Parndon Primary School</v>
          </cell>
          <cell r="D17636" t="str">
            <v>Essex</v>
          </cell>
          <cell r="E17636" t="str">
            <v>Foundation School</v>
          </cell>
          <cell r="F17636" t="str">
            <v>Primary</v>
          </cell>
        </row>
        <row r="17637">
          <cell r="A17637">
            <v>8812683</v>
          </cell>
          <cell r="B17637">
            <v>114947</v>
          </cell>
          <cell r="C17637" t="str">
            <v>Little Parndon School</v>
          </cell>
          <cell r="D17637" t="str">
            <v>Essex</v>
          </cell>
          <cell r="E17637" t="str">
            <v>Community School</v>
          </cell>
          <cell r="F17637" t="str">
            <v>Primary</v>
          </cell>
        </row>
        <row r="17638">
          <cell r="A17638">
            <v>8732293</v>
          </cell>
          <cell r="B17638">
            <v>110733</v>
          </cell>
          <cell r="C17638" t="str">
            <v>Little Paxton Primary School</v>
          </cell>
          <cell r="D17638" t="str">
            <v>Cambridgeshire</v>
          </cell>
          <cell r="E17638" t="str">
            <v>Community School</v>
          </cell>
          <cell r="F17638" t="str">
            <v>Primary</v>
          </cell>
        </row>
        <row r="17639">
          <cell r="A17639">
            <v>9263329</v>
          </cell>
          <cell r="B17639">
            <v>121119</v>
          </cell>
          <cell r="C17639" t="str">
            <v>Little Plumstead Church of England Primary School</v>
          </cell>
          <cell r="D17639" t="str">
            <v>Norfolk</v>
          </cell>
          <cell r="E17639" t="str">
            <v>Voluntary Aided School</v>
          </cell>
          <cell r="F17639" t="str">
            <v>Primary</v>
          </cell>
        </row>
        <row r="17640">
          <cell r="A17640">
            <v>9195208</v>
          </cell>
          <cell r="B17640">
            <v>117568</v>
          </cell>
          <cell r="C17640" t="str">
            <v>Little Reddings Primary School</v>
          </cell>
          <cell r="D17640" t="str">
            <v>Hertfordshire</v>
          </cell>
          <cell r="E17640" t="str">
            <v>Foundation School</v>
          </cell>
          <cell r="F17640" t="str">
            <v>Primary</v>
          </cell>
        </row>
        <row r="17641">
          <cell r="A17641">
            <v>8452159</v>
          </cell>
          <cell r="B17641">
            <v>114481</v>
          </cell>
          <cell r="C17641" t="str">
            <v>Little Ridge Community Primary School</v>
          </cell>
          <cell r="D17641" t="str">
            <v>East Sussex</v>
          </cell>
          <cell r="E17641" t="str">
            <v>Community School</v>
          </cell>
          <cell r="F17641" t="str">
            <v>Primary</v>
          </cell>
        </row>
        <row r="17642">
          <cell r="A17642">
            <v>9262102</v>
          </cell>
          <cell r="B17642">
            <v>120828</v>
          </cell>
          <cell r="C17642" t="str">
            <v>Little Snoring Primary School</v>
          </cell>
          <cell r="D17642" t="str">
            <v>Norfolk</v>
          </cell>
          <cell r="E17642" t="str">
            <v>Community School</v>
          </cell>
          <cell r="F17642" t="str">
            <v>Primary</v>
          </cell>
        </row>
        <row r="17643">
          <cell r="A17643">
            <v>8252012</v>
          </cell>
          <cell r="B17643">
            <v>133512</v>
          </cell>
          <cell r="C17643" t="str">
            <v>Little Spring School</v>
          </cell>
          <cell r="D17643" t="str">
            <v>Buckinghamshire</v>
          </cell>
          <cell r="E17643" t="str">
            <v>Community School</v>
          </cell>
          <cell r="F17643" t="str">
            <v>Primary</v>
          </cell>
        </row>
        <row r="17644">
          <cell r="A17644">
            <v>9283514</v>
          </cell>
          <cell r="B17644">
            <v>135283</v>
          </cell>
          <cell r="C17644" t="str">
            <v>Little Stanion Primary School</v>
          </cell>
          <cell r="D17644" t="str">
            <v>Northamptonshire</v>
          </cell>
          <cell r="E17644" t="str">
            <v>Community School</v>
          </cell>
          <cell r="F17644" t="str">
            <v>Primary</v>
          </cell>
        </row>
        <row r="17645">
          <cell r="A17645">
            <v>8032297</v>
          </cell>
          <cell r="B17645">
            <v>109109</v>
          </cell>
          <cell r="C17645" t="str">
            <v>Little Stoke County Infant School</v>
          </cell>
          <cell r="D17645" t="str">
            <v>South Gloucestershire</v>
          </cell>
          <cell r="E17645" t="str">
            <v>Community School</v>
          </cell>
          <cell r="F17645" t="str">
            <v>Primary</v>
          </cell>
        </row>
        <row r="17646">
          <cell r="A17646">
            <v>8032183</v>
          </cell>
          <cell r="B17646">
            <v>109022</v>
          </cell>
          <cell r="C17646" t="str">
            <v>Little Stoke Junior School</v>
          </cell>
          <cell r="D17646" t="str">
            <v>South Gloucestershire</v>
          </cell>
          <cell r="E17646" t="str">
            <v>Community School</v>
          </cell>
          <cell r="F17646" t="str">
            <v>Primary</v>
          </cell>
        </row>
        <row r="17647">
          <cell r="A17647">
            <v>8032003</v>
          </cell>
          <cell r="B17647">
            <v>131699</v>
          </cell>
          <cell r="C17647" t="str">
            <v>Little Stoke Primary School</v>
          </cell>
          <cell r="D17647" t="str">
            <v>South Gloucestershire</v>
          </cell>
          <cell r="E17647" t="str">
            <v>Community School</v>
          </cell>
          <cell r="F17647" t="str">
            <v>Primary</v>
          </cell>
        </row>
        <row r="17648">
          <cell r="A17648">
            <v>8963155</v>
          </cell>
          <cell r="B17648">
            <v>111275</v>
          </cell>
          <cell r="C17648" t="str">
            <v>Little Sutton CofE Primary School</v>
          </cell>
          <cell r="D17648" t="str">
            <v>Cheshire West and Chester</v>
          </cell>
          <cell r="E17648" t="str">
            <v>Voluntary Controlled School</v>
          </cell>
          <cell r="F17648" t="str">
            <v>Primary</v>
          </cell>
        </row>
        <row r="17649">
          <cell r="A17649">
            <v>3302423</v>
          </cell>
          <cell r="B17649">
            <v>127056</v>
          </cell>
          <cell r="C17649" t="str">
            <v>Little Sutton First School</v>
          </cell>
          <cell r="D17649" t="str">
            <v>Birmingham</v>
          </cell>
          <cell r="E17649" t="str">
            <v>Community School</v>
          </cell>
          <cell r="F17649" t="str">
            <v>Primary</v>
          </cell>
        </row>
        <row r="17650">
          <cell r="A17650">
            <v>3302419</v>
          </cell>
          <cell r="B17650">
            <v>127054</v>
          </cell>
          <cell r="C17650" t="str">
            <v>Little Sutton Middle School</v>
          </cell>
          <cell r="D17650" t="str">
            <v>Birmingham</v>
          </cell>
          <cell r="E17650" t="str">
            <v>Community School</v>
          </cell>
          <cell r="F17650" t="str">
            <v>Middle Deemed Primary</v>
          </cell>
        </row>
        <row r="17651">
          <cell r="A17651">
            <v>3302462</v>
          </cell>
          <cell r="B17651">
            <v>103388</v>
          </cell>
          <cell r="C17651" t="str">
            <v>Little Sutton Primary School</v>
          </cell>
          <cell r="D17651" t="str">
            <v>Birmingham</v>
          </cell>
          <cell r="E17651" t="str">
            <v>Community School</v>
          </cell>
          <cell r="F17651" t="str">
            <v>Primary</v>
          </cell>
        </row>
        <row r="17652">
          <cell r="A17652">
            <v>8733053</v>
          </cell>
          <cell r="B17652">
            <v>110803</v>
          </cell>
          <cell r="C17652" t="str">
            <v>Little Thetford CofE VC Primary School</v>
          </cell>
          <cell r="D17652" t="str">
            <v>Cambridgeshire</v>
          </cell>
          <cell r="E17652" t="str">
            <v>Voluntary Controlled School</v>
          </cell>
          <cell r="F17652" t="str">
            <v>Primary</v>
          </cell>
        </row>
        <row r="17653">
          <cell r="A17653">
            <v>8832402</v>
          </cell>
          <cell r="B17653">
            <v>114839</v>
          </cell>
          <cell r="C17653" t="str">
            <v>Little Thurrock Primary School</v>
          </cell>
          <cell r="D17653" t="str">
            <v>Thurrock</v>
          </cell>
          <cell r="E17653" t="str">
            <v>Community School</v>
          </cell>
          <cell r="F17653" t="str">
            <v>Primary</v>
          </cell>
        </row>
        <row r="17654">
          <cell r="A17654">
            <v>8813530</v>
          </cell>
          <cell r="B17654">
            <v>115175</v>
          </cell>
          <cell r="C17654" t="str">
            <v>Little Waltham Church of England Voluntary Aided Primary School</v>
          </cell>
          <cell r="D17654" t="str">
            <v>Essex</v>
          </cell>
          <cell r="E17654" t="str">
            <v>Voluntary Aided School</v>
          </cell>
          <cell r="F17654" t="str">
            <v>Primary</v>
          </cell>
        </row>
        <row r="17655">
          <cell r="A17655">
            <v>8113037</v>
          </cell>
          <cell r="B17655">
            <v>117990</v>
          </cell>
          <cell r="C17655" t="str">
            <v>Little Weighton Rowley Church of England Voluntary Controlled Primary School</v>
          </cell>
          <cell r="D17655" t="str">
            <v>East Riding of Yorkshire</v>
          </cell>
          <cell r="E17655" t="str">
            <v>Voluntary Controlled School</v>
          </cell>
          <cell r="F17655" t="str">
            <v>Primary</v>
          </cell>
        </row>
        <row r="17656">
          <cell r="A17656">
            <v>3196072</v>
          </cell>
          <cell r="B17656">
            <v>134482</v>
          </cell>
          <cell r="C17656" t="str">
            <v>Little Woodcote Centre</v>
          </cell>
          <cell r="D17656" t="str">
            <v>Sutton</v>
          </cell>
          <cell r="E17656" t="str">
            <v>Other Independent School</v>
          </cell>
          <cell r="F17656" t="str">
            <v>Not applicable</v>
          </cell>
        </row>
        <row r="17657">
          <cell r="A17657">
            <v>3542036</v>
          </cell>
          <cell r="B17657">
            <v>105785</v>
          </cell>
          <cell r="C17657" t="str">
            <v>Littleborough Community Primary School</v>
          </cell>
          <cell r="D17657" t="str">
            <v>Rochdale</v>
          </cell>
          <cell r="E17657" t="str">
            <v>Community School</v>
          </cell>
          <cell r="F17657" t="str">
            <v>Primary</v>
          </cell>
        </row>
        <row r="17658">
          <cell r="A17658">
            <v>3544076</v>
          </cell>
          <cell r="B17658">
            <v>127455</v>
          </cell>
          <cell r="C17658" t="str">
            <v>Littleborough High School</v>
          </cell>
          <cell r="D17658" t="str">
            <v>Rochdale</v>
          </cell>
          <cell r="E17658" t="str">
            <v>Community School</v>
          </cell>
          <cell r="F17658" t="str">
            <v>Secondary</v>
          </cell>
        </row>
        <row r="17659">
          <cell r="A17659">
            <v>8863126</v>
          </cell>
          <cell r="B17659">
            <v>118657</v>
          </cell>
          <cell r="C17659" t="str">
            <v>Littlebourne Church of England Primary School</v>
          </cell>
          <cell r="D17659" t="str">
            <v>Kent</v>
          </cell>
          <cell r="E17659" t="str">
            <v>Voluntary Controlled School</v>
          </cell>
          <cell r="F17659" t="str">
            <v>Primary</v>
          </cell>
        </row>
        <row r="17660">
          <cell r="A17660">
            <v>9199900</v>
          </cell>
          <cell r="B17660">
            <v>133917</v>
          </cell>
          <cell r="C17660" t="str">
            <v>Littlebury Resource Centre</v>
          </cell>
          <cell r="D17660" t="str">
            <v>Hertfordshire</v>
          </cell>
          <cell r="E17660" t="str">
            <v>Miscellaneous</v>
          </cell>
          <cell r="F17660" t="str">
            <v>Not applicable</v>
          </cell>
        </row>
        <row r="17661">
          <cell r="A17661">
            <v>9196244</v>
          </cell>
          <cell r="B17661">
            <v>134488</v>
          </cell>
          <cell r="C17661" t="str">
            <v>Littlebury Resource Centre</v>
          </cell>
          <cell r="D17661" t="str">
            <v>Hertfordshire</v>
          </cell>
          <cell r="E17661" t="str">
            <v>Other Independent School</v>
          </cell>
          <cell r="F17661" t="str">
            <v>Not applicable</v>
          </cell>
        </row>
        <row r="17662">
          <cell r="A17662">
            <v>8122937</v>
          </cell>
          <cell r="B17662">
            <v>117964</v>
          </cell>
          <cell r="C17662" t="str">
            <v>Littlecoates Primary School</v>
          </cell>
          <cell r="D17662" t="str">
            <v>North East Lincolnshire</v>
          </cell>
          <cell r="E17662" t="str">
            <v>Community School</v>
          </cell>
          <cell r="F17662" t="str">
            <v>Primary</v>
          </cell>
        </row>
        <row r="17663">
          <cell r="A17663">
            <v>9163044</v>
          </cell>
          <cell r="B17663">
            <v>115631</v>
          </cell>
          <cell r="C17663" t="str">
            <v>Littledean Church of England Primary School</v>
          </cell>
          <cell r="D17663" t="str">
            <v>Gloucestershire</v>
          </cell>
          <cell r="E17663" t="str">
            <v>Voluntary Controlled School</v>
          </cell>
          <cell r="F17663" t="str">
            <v>Primary</v>
          </cell>
        </row>
        <row r="17664">
          <cell r="A17664">
            <v>8717030</v>
          </cell>
          <cell r="B17664">
            <v>110188</v>
          </cell>
          <cell r="C17664" t="str">
            <v>Littledown School</v>
          </cell>
          <cell r="D17664" t="str">
            <v>Slough</v>
          </cell>
          <cell r="E17664" t="str">
            <v>Community Special School</v>
          </cell>
          <cell r="F17664" t="str">
            <v>Special</v>
          </cell>
        </row>
        <row r="17665">
          <cell r="A17665">
            <v>8506039</v>
          </cell>
          <cell r="B17665">
            <v>116547</v>
          </cell>
          <cell r="C17665" t="str">
            <v>Littlefield School</v>
          </cell>
          <cell r="D17665" t="str">
            <v>Hampshire</v>
          </cell>
          <cell r="E17665" t="str">
            <v>Other Independent School</v>
          </cell>
          <cell r="F17665" t="str">
            <v>Not applicable</v>
          </cell>
        </row>
        <row r="17666">
          <cell r="A17666">
            <v>8816019</v>
          </cell>
          <cell r="B17666">
            <v>115413</v>
          </cell>
          <cell r="C17666" t="str">
            <v>Littlegarth School</v>
          </cell>
          <cell r="D17666" t="str">
            <v>Essex</v>
          </cell>
          <cell r="E17666" t="str">
            <v>Other Independent School</v>
          </cell>
          <cell r="F17666" t="str">
            <v>Not applicable</v>
          </cell>
        </row>
        <row r="17667">
          <cell r="A17667">
            <v>9387005</v>
          </cell>
          <cell r="B17667">
            <v>126156</v>
          </cell>
          <cell r="C17667" t="str">
            <v>Littlegreen School, Compton</v>
          </cell>
          <cell r="D17667" t="str">
            <v>West Sussex</v>
          </cell>
          <cell r="E17667" t="str">
            <v>Community Special School</v>
          </cell>
          <cell r="F17667" t="str">
            <v>Special</v>
          </cell>
        </row>
        <row r="17668">
          <cell r="A17668">
            <v>3022035</v>
          </cell>
          <cell r="B17668">
            <v>126726</v>
          </cell>
          <cell r="C17668" t="str">
            <v>Littlegrove Junior Mixed and Infant School</v>
          </cell>
          <cell r="D17668" t="str">
            <v>Barnet</v>
          </cell>
          <cell r="E17668" t="str">
            <v>Community School</v>
          </cell>
          <cell r="F17668" t="str">
            <v>Primary</v>
          </cell>
        </row>
        <row r="17669">
          <cell r="A17669">
            <v>8783028</v>
          </cell>
          <cell r="B17669">
            <v>113370</v>
          </cell>
          <cell r="C17669" t="str">
            <v>Littleham Church of England Primary School</v>
          </cell>
          <cell r="D17669" t="str">
            <v>Devon</v>
          </cell>
          <cell r="E17669" t="str">
            <v>Voluntary Controlled School</v>
          </cell>
          <cell r="F17669" t="str">
            <v>Primary</v>
          </cell>
        </row>
        <row r="17670">
          <cell r="A17670">
            <v>9384062</v>
          </cell>
          <cell r="B17670">
            <v>126082</v>
          </cell>
          <cell r="C17670" t="str">
            <v>Littlehampton Community School,the</v>
          </cell>
          <cell r="D17670" t="str">
            <v>West Sussex</v>
          </cell>
          <cell r="E17670" t="str">
            <v>Community School</v>
          </cell>
          <cell r="F17670" t="str">
            <v>Secondary</v>
          </cell>
        </row>
        <row r="17671">
          <cell r="A17671">
            <v>9386261</v>
          </cell>
          <cell r="B17671">
            <v>134492</v>
          </cell>
          <cell r="C17671" t="str">
            <v>Littlehaven Education Trust</v>
          </cell>
          <cell r="D17671" t="str">
            <v>West Sussex</v>
          </cell>
          <cell r="E17671" t="str">
            <v>Other Independent School</v>
          </cell>
          <cell r="F17671" t="str">
            <v>Not applicable</v>
          </cell>
        </row>
        <row r="17672">
          <cell r="A17672">
            <v>9389901</v>
          </cell>
          <cell r="B17672">
            <v>133760</v>
          </cell>
          <cell r="C17672" t="str">
            <v>Littlehaven Educational Trust</v>
          </cell>
          <cell r="D17672" t="str">
            <v>West Sussex</v>
          </cell>
          <cell r="E17672" t="str">
            <v>Miscellaneous</v>
          </cell>
          <cell r="F17672" t="str">
            <v>Not applicable</v>
          </cell>
        </row>
        <row r="17673">
          <cell r="A17673">
            <v>9382037</v>
          </cell>
          <cell r="B17673">
            <v>125837</v>
          </cell>
          <cell r="C17673" t="str">
            <v>Littlehaven Infant School</v>
          </cell>
          <cell r="D17673" t="str">
            <v>West Sussex</v>
          </cell>
          <cell r="E17673" t="str">
            <v>Community School</v>
          </cell>
          <cell r="F17673" t="str">
            <v>Primary</v>
          </cell>
        </row>
        <row r="17674">
          <cell r="A17674">
            <v>3712160</v>
          </cell>
          <cell r="B17674">
            <v>106724</v>
          </cell>
          <cell r="C17674" t="str">
            <v>Littlemoor Children's Centre and School</v>
          </cell>
          <cell r="D17674" t="str">
            <v>Doncaster</v>
          </cell>
          <cell r="E17674" t="str">
            <v>Community School</v>
          </cell>
          <cell r="F17674" t="str">
            <v>Primary</v>
          </cell>
        </row>
        <row r="17675">
          <cell r="A17675">
            <v>3832304</v>
          </cell>
          <cell r="B17675">
            <v>127888</v>
          </cell>
          <cell r="C17675" t="str">
            <v>Littlemoor Infant School</v>
          </cell>
          <cell r="D17675" t="str">
            <v>Leeds</v>
          </cell>
          <cell r="E17675" t="str">
            <v>Community School</v>
          </cell>
          <cell r="F17675" t="str">
            <v>Primary</v>
          </cell>
        </row>
        <row r="17676">
          <cell r="A17676">
            <v>3532044</v>
          </cell>
          <cell r="B17676">
            <v>105642</v>
          </cell>
          <cell r="C17676" t="str">
            <v>Littlemoor Primary School</v>
          </cell>
          <cell r="D17676" t="str">
            <v>Oldham</v>
          </cell>
          <cell r="E17676" t="str">
            <v>Community School</v>
          </cell>
          <cell r="F17676" t="str">
            <v>Primary</v>
          </cell>
        </row>
        <row r="17677">
          <cell r="A17677">
            <v>3574014</v>
          </cell>
          <cell r="B17677">
            <v>106262</v>
          </cell>
          <cell r="C17677" t="str">
            <v>Littlemoss High School for Boys</v>
          </cell>
          <cell r="D17677" t="str">
            <v>Tameside</v>
          </cell>
          <cell r="E17677" t="str">
            <v>Community School</v>
          </cell>
          <cell r="F17677" t="str">
            <v>Secondary</v>
          </cell>
        </row>
        <row r="17678">
          <cell r="A17678">
            <v>8314182</v>
          </cell>
          <cell r="B17678">
            <v>112956</v>
          </cell>
          <cell r="C17678" t="str">
            <v>Littleover Community School</v>
          </cell>
          <cell r="D17678" t="str">
            <v>Derby</v>
          </cell>
          <cell r="E17678" t="str">
            <v>Community School</v>
          </cell>
          <cell r="F17678" t="str">
            <v>Secondary</v>
          </cell>
        </row>
        <row r="17679">
          <cell r="A17679">
            <v>9104155</v>
          </cell>
          <cell r="B17679">
            <v>128658</v>
          </cell>
          <cell r="C17679" t="str">
            <v>Littleover School</v>
          </cell>
          <cell r="D17679" t="str">
            <v>Pre LGR (1997) Derbyshire</v>
          </cell>
          <cell r="E17679" t="str">
            <v>Community School</v>
          </cell>
          <cell r="F17679" t="str">
            <v>Secondary</v>
          </cell>
        </row>
        <row r="17680">
          <cell r="A17680">
            <v>8732074</v>
          </cell>
          <cell r="B17680">
            <v>110637</v>
          </cell>
          <cell r="C17680" t="str">
            <v>Littleport Community Primary School</v>
          </cell>
          <cell r="D17680" t="str">
            <v>Cambridgeshire</v>
          </cell>
          <cell r="E17680" t="str">
            <v>Community School</v>
          </cell>
          <cell r="F17680" t="str">
            <v>Primary</v>
          </cell>
        </row>
        <row r="17681">
          <cell r="A17681">
            <v>9363585</v>
          </cell>
          <cell r="B17681">
            <v>125231</v>
          </cell>
          <cell r="C17681" t="str">
            <v>Littleton CofE Infant School</v>
          </cell>
          <cell r="D17681" t="str">
            <v>Surrey</v>
          </cell>
          <cell r="E17681" t="str">
            <v>Voluntary Aided School</v>
          </cell>
          <cell r="F17681" t="str">
            <v>Primary</v>
          </cell>
        </row>
        <row r="17682">
          <cell r="A17682">
            <v>8602217</v>
          </cell>
          <cell r="B17682">
            <v>124088</v>
          </cell>
          <cell r="C17682" t="str">
            <v>Littleton Green Community School</v>
          </cell>
          <cell r="D17682" t="str">
            <v>Staffordshire</v>
          </cell>
          <cell r="E17682" t="str">
            <v>Community School</v>
          </cell>
          <cell r="F17682" t="str">
            <v>Primary</v>
          </cell>
        </row>
        <row r="17683">
          <cell r="A17683">
            <v>8737002</v>
          </cell>
          <cell r="B17683">
            <v>110937</v>
          </cell>
          <cell r="C17683" t="str">
            <v>Littleton House School</v>
          </cell>
          <cell r="D17683" t="str">
            <v>Cambridgeshire</v>
          </cell>
          <cell r="E17683" t="str">
            <v>Community Special School</v>
          </cell>
          <cell r="F17683" t="str">
            <v>Special</v>
          </cell>
        </row>
        <row r="17684">
          <cell r="A17684">
            <v>3822103</v>
          </cell>
          <cell r="B17684">
            <v>107670</v>
          </cell>
          <cell r="C17684" t="str">
            <v>Littletown Junior Infant and Nursery School</v>
          </cell>
          <cell r="D17684" t="str">
            <v>Kirklees</v>
          </cell>
          <cell r="E17684" t="str">
            <v>Community School</v>
          </cell>
          <cell r="F17684" t="str">
            <v>Primary</v>
          </cell>
        </row>
        <row r="17685">
          <cell r="A17685">
            <v>8782049</v>
          </cell>
          <cell r="B17685">
            <v>113099</v>
          </cell>
          <cell r="C17685" t="str">
            <v>Littletown Primary School</v>
          </cell>
          <cell r="D17685" t="str">
            <v>Devon</v>
          </cell>
          <cell r="E17685" t="str">
            <v>Community School</v>
          </cell>
          <cell r="F17685" t="str">
            <v>Primary</v>
          </cell>
        </row>
        <row r="17686">
          <cell r="A17686">
            <v>8782049</v>
          </cell>
          <cell r="B17686">
            <v>137732</v>
          </cell>
          <cell r="C17686" t="str">
            <v>Littletown Primary School</v>
          </cell>
          <cell r="D17686" t="str">
            <v>Devon</v>
          </cell>
          <cell r="E17686" t="str">
            <v>Academy Converters</v>
          </cell>
          <cell r="F17686" t="str">
            <v>Primary</v>
          </cell>
        </row>
        <row r="17687">
          <cell r="A17687">
            <v>9036164</v>
          </cell>
          <cell r="B17687">
            <v>128304</v>
          </cell>
          <cell r="C17687" t="str">
            <v>Littlewick Green Montessori</v>
          </cell>
          <cell r="D17687" t="str">
            <v>Pre LGR (1998) Berkshire</v>
          </cell>
          <cell r="E17687" t="str">
            <v>Other Independent School</v>
          </cell>
          <cell r="F17687" t="str">
            <v>Not applicable</v>
          </cell>
        </row>
        <row r="17688">
          <cell r="A17688">
            <v>3703325</v>
          </cell>
          <cell r="B17688">
            <v>134688</v>
          </cell>
          <cell r="C17688" t="str">
            <v>Littleworth Grange Primary Learning Centre</v>
          </cell>
          <cell r="D17688" t="str">
            <v>Barnsley</v>
          </cell>
          <cell r="E17688" t="str">
            <v>Community School</v>
          </cell>
          <cell r="F17688" t="str">
            <v>Primary</v>
          </cell>
        </row>
        <row r="17689">
          <cell r="A17689">
            <v>3702021</v>
          </cell>
          <cell r="B17689">
            <v>106563</v>
          </cell>
          <cell r="C17689" t="str">
            <v>Littleworth Infant School</v>
          </cell>
          <cell r="D17689" t="str">
            <v>Barnsley</v>
          </cell>
          <cell r="E17689" t="str">
            <v>Community School</v>
          </cell>
          <cell r="F17689" t="str">
            <v>Primary</v>
          </cell>
        </row>
        <row r="17690">
          <cell r="A17690">
            <v>8303324</v>
          </cell>
          <cell r="B17690">
            <v>112886</v>
          </cell>
          <cell r="C17690" t="str">
            <v>Litton CofE Primary School</v>
          </cell>
          <cell r="D17690" t="str">
            <v>Derbyshire</v>
          </cell>
          <cell r="E17690" t="str">
            <v>Voluntary Aided School</v>
          </cell>
          <cell r="F17690" t="str">
            <v>Primary</v>
          </cell>
        </row>
        <row r="17691">
          <cell r="A17691">
            <v>3416000</v>
          </cell>
          <cell r="B17691">
            <v>104722</v>
          </cell>
          <cell r="C17691" t="str">
            <v>Liverpool College</v>
          </cell>
          <cell r="D17691" t="str">
            <v>Liverpool</v>
          </cell>
          <cell r="E17691" t="str">
            <v>Other Independent School</v>
          </cell>
          <cell r="F17691" t="str">
            <v>Not applicable</v>
          </cell>
        </row>
        <row r="17692">
          <cell r="A17692">
            <v>3418017</v>
          </cell>
          <cell r="B17692">
            <v>130487</v>
          </cell>
          <cell r="C17692" t="str">
            <v>Liverpool Community College</v>
          </cell>
          <cell r="D17692" t="str">
            <v>Liverpool</v>
          </cell>
          <cell r="E17692" t="str">
            <v>Further Education</v>
          </cell>
          <cell r="F17692" t="str">
            <v>16 Plus</v>
          </cell>
        </row>
        <row r="17693">
          <cell r="A17693">
            <v>8766005</v>
          </cell>
          <cell r="B17693">
            <v>135356</v>
          </cell>
          <cell r="C17693" t="str">
            <v>Liverpool Green Corns</v>
          </cell>
          <cell r="D17693" t="str">
            <v>Halton</v>
          </cell>
          <cell r="E17693" t="str">
            <v>Other Independent Special School</v>
          </cell>
          <cell r="F17693" t="str">
            <v>Not applicable</v>
          </cell>
        </row>
        <row r="17694">
          <cell r="A17694">
            <v>341</v>
          </cell>
          <cell r="B17694">
            <v>133826</v>
          </cell>
          <cell r="C17694" t="str">
            <v>Liverpool Hope University</v>
          </cell>
          <cell r="D17694" t="str">
            <v>Liverpool</v>
          </cell>
          <cell r="E17694" t="str">
            <v>Higher Education Institutions</v>
          </cell>
          <cell r="F17694" t="str">
            <v>Not applicable</v>
          </cell>
        </row>
        <row r="17695">
          <cell r="A17695">
            <v>341</v>
          </cell>
          <cell r="B17695">
            <v>135413</v>
          </cell>
          <cell r="C17695" t="str">
            <v>Liverpool Institute of Performing Arts</v>
          </cell>
          <cell r="D17695" t="str">
            <v>Liverpool</v>
          </cell>
          <cell r="E17695" t="str">
            <v>Higher Education Institutions</v>
          </cell>
          <cell r="F17695" t="str">
            <v>Not applicable</v>
          </cell>
        </row>
        <row r="17696">
          <cell r="A17696">
            <v>341</v>
          </cell>
          <cell r="B17696">
            <v>133827</v>
          </cell>
          <cell r="C17696" t="str">
            <v>Liverpool John Moores University</v>
          </cell>
          <cell r="D17696" t="str">
            <v>Liverpool</v>
          </cell>
          <cell r="E17696" t="str">
            <v>Higher Education Institutions</v>
          </cell>
          <cell r="F17696" t="str">
            <v>Not applicable</v>
          </cell>
        </row>
        <row r="17697">
          <cell r="A17697">
            <v>3824043</v>
          </cell>
          <cell r="B17697">
            <v>127795</v>
          </cell>
          <cell r="C17697" t="str">
            <v>Liversedge Secondary School</v>
          </cell>
          <cell r="D17697" t="str">
            <v>Kirklees</v>
          </cell>
          <cell r="E17697" t="str">
            <v>Community School</v>
          </cell>
          <cell r="F17697" t="str">
            <v>Secondary</v>
          </cell>
        </row>
        <row r="17698">
          <cell r="A17698">
            <v>8893311</v>
          </cell>
          <cell r="B17698">
            <v>119423</v>
          </cell>
          <cell r="C17698" t="str">
            <v>Livesey Saint Francis' Church of England School</v>
          </cell>
          <cell r="D17698" t="str">
            <v>Blackburn with Darwen</v>
          </cell>
          <cell r="E17698" t="str">
            <v>Voluntary Aided School</v>
          </cell>
          <cell r="F17698" t="str">
            <v>Primary</v>
          </cell>
        </row>
        <row r="17699">
          <cell r="A17699">
            <v>8222006</v>
          </cell>
          <cell r="B17699">
            <v>109432</v>
          </cell>
          <cell r="C17699" t="str">
            <v>Livingstone Lower School</v>
          </cell>
          <cell r="D17699" t="str">
            <v>Bedford</v>
          </cell>
          <cell r="E17699" t="str">
            <v>Foundation School</v>
          </cell>
          <cell r="F17699" t="str">
            <v>Primary</v>
          </cell>
        </row>
        <row r="17700">
          <cell r="A17700">
            <v>3022036</v>
          </cell>
          <cell r="B17700">
            <v>101289</v>
          </cell>
          <cell r="C17700" t="str">
            <v>Livingstone Primary and Nursery School</v>
          </cell>
          <cell r="D17700" t="str">
            <v>Barnet</v>
          </cell>
          <cell r="E17700" t="str">
            <v>Community School</v>
          </cell>
          <cell r="F17700" t="str">
            <v>Primary</v>
          </cell>
        </row>
        <row r="17701">
          <cell r="A17701">
            <v>3572051</v>
          </cell>
          <cell r="B17701">
            <v>106210</v>
          </cell>
          <cell r="C17701" t="str">
            <v>Livingstone Primary School</v>
          </cell>
          <cell r="D17701" t="str">
            <v>Tameside</v>
          </cell>
          <cell r="E17701" t="str">
            <v>Community School</v>
          </cell>
          <cell r="F17701" t="str">
            <v>Primary</v>
          </cell>
        </row>
        <row r="17702">
          <cell r="A17702">
            <v>6642026</v>
          </cell>
          <cell r="B17702">
            <v>400329</v>
          </cell>
          <cell r="C17702" t="str">
            <v>Lixwm C.P. School</v>
          </cell>
          <cell r="D17702" t="str">
            <v>Flintshire</v>
          </cell>
          <cell r="E17702" t="str">
            <v>Welsh Establishment</v>
          </cell>
          <cell r="F17702" t="str">
            <v>Primary</v>
          </cell>
        </row>
        <row r="17703">
          <cell r="A17703">
            <v>6692172</v>
          </cell>
          <cell r="B17703">
            <v>400811</v>
          </cell>
          <cell r="C17703" t="str">
            <v>Llanarthne School</v>
          </cell>
          <cell r="D17703" t="str">
            <v>Carmarthenshire</v>
          </cell>
          <cell r="E17703" t="str">
            <v>Welsh Establishment</v>
          </cell>
          <cell r="F17703" t="str">
            <v>Primary</v>
          </cell>
        </row>
        <row r="17704">
          <cell r="A17704">
            <v>6663316</v>
          </cell>
          <cell r="B17704">
            <v>400566</v>
          </cell>
          <cell r="C17704" t="str">
            <v>Llanbedr C.I.W. (Aided) School</v>
          </cell>
          <cell r="D17704" t="str">
            <v>Powys</v>
          </cell>
          <cell r="E17704" t="str">
            <v>Welsh Establishment</v>
          </cell>
          <cell r="F17704" t="str">
            <v>Primary</v>
          </cell>
        </row>
        <row r="17705">
          <cell r="A17705">
            <v>6662068</v>
          </cell>
          <cell r="B17705">
            <v>400500</v>
          </cell>
          <cell r="C17705" t="str">
            <v>Llanbister C.P. School</v>
          </cell>
          <cell r="D17705" t="str">
            <v>Powys</v>
          </cell>
          <cell r="E17705" t="str">
            <v>Welsh Establishment</v>
          </cell>
          <cell r="F17705" t="str">
            <v>Primary</v>
          </cell>
        </row>
        <row r="17706">
          <cell r="A17706">
            <v>6762158</v>
          </cell>
          <cell r="B17706">
            <v>401324</v>
          </cell>
          <cell r="C17706" t="str">
            <v>Llancaeach Junior School</v>
          </cell>
          <cell r="D17706" t="str">
            <v>Caerphilly</v>
          </cell>
          <cell r="E17706" t="str">
            <v>Welsh Establishment</v>
          </cell>
          <cell r="F17706" t="str">
            <v>Primary</v>
          </cell>
        </row>
        <row r="17707">
          <cell r="A17707">
            <v>6732126</v>
          </cell>
          <cell r="B17707">
            <v>401096</v>
          </cell>
          <cell r="C17707" t="str">
            <v>Llancarfan C.P. School</v>
          </cell>
          <cell r="D17707" t="str">
            <v>The Vale of Glamorgan</v>
          </cell>
          <cell r="E17707" t="str">
            <v>Welsh Establishment</v>
          </cell>
          <cell r="F17707" t="str">
            <v>Primary</v>
          </cell>
        </row>
        <row r="17708">
          <cell r="A17708">
            <v>6813346</v>
          </cell>
          <cell r="B17708">
            <v>401654</v>
          </cell>
          <cell r="C17708" t="str">
            <v>Llandaff City C.I.W. Primary School</v>
          </cell>
          <cell r="D17708" t="str">
            <v>Cardiff</v>
          </cell>
          <cell r="E17708" t="str">
            <v>Welsh Establishment</v>
          </cell>
          <cell r="F17708" t="str">
            <v>Primary</v>
          </cell>
        </row>
        <row r="17709">
          <cell r="A17709">
            <v>6693022</v>
          </cell>
          <cell r="B17709">
            <v>400850</v>
          </cell>
          <cell r="C17709" t="str">
            <v>Llanddowror V.C.P. School</v>
          </cell>
          <cell r="D17709" t="str">
            <v>Carmarthenshire</v>
          </cell>
          <cell r="E17709" t="str">
            <v>Welsh Establishment</v>
          </cell>
          <cell r="F17709" t="str">
            <v>Primary</v>
          </cell>
        </row>
        <row r="17710">
          <cell r="A17710">
            <v>6692185</v>
          </cell>
          <cell r="B17710">
            <v>400823</v>
          </cell>
          <cell r="C17710" t="str">
            <v>Llandeilo C.P. School</v>
          </cell>
          <cell r="D17710" t="str">
            <v>Carmarthenshire</v>
          </cell>
          <cell r="E17710" t="str">
            <v>Welsh Establishment</v>
          </cell>
          <cell r="F17710" t="str">
            <v>Primary</v>
          </cell>
        </row>
        <row r="17711">
          <cell r="A17711">
            <v>6662020</v>
          </cell>
          <cell r="B17711">
            <v>400474</v>
          </cell>
          <cell r="C17711" t="str">
            <v>Llandinam C.P. School</v>
          </cell>
          <cell r="D17711" t="str">
            <v>Powys</v>
          </cell>
          <cell r="E17711" t="str">
            <v>Welsh Establishment</v>
          </cell>
          <cell r="F17711" t="str">
            <v>Primary</v>
          </cell>
        </row>
        <row r="17712">
          <cell r="A17712">
            <v>6792263</v>
          </cell>
          <cell r="B17712">
            <v>401482</v>
          </cell>
          <cell r="C17712" t="str">
            <v>Llandogo C.P. School</v>
          </cell>
          <cell r="D17712" t="str">
            <v>Monmouthshire</v>
          </cell>
          <cell r="E17712" t="str">
            <v>Welsh Establishment</v>
          </cell>
          <cell r="F17712" t="str">
            <v>Primary</v>
          </cell>
        </row>
        <row r="17713">
          <cell r="A17713">
            <v>6732149</v>
          </cell>
          <cell r="B17713">
            <v>401110</v>
          </cell>
          <cell r="C17713" t="str">
            <v>Llandough Primary</v>
          </cell>
          <cell r="D17713" t="str">
            <v>The Vale of Glamorgan</v>
          </cell>
          <cell r="E17713" t="str">
            <v>Welsh Establishment</v>
          </cell>
          <cell r="F17713" t="str">
            <v>Primary</v>
          </cell>
        </row>
        <row r="17714">
          <cell r="A17714">
            <v>6696002</v>
          </cell>
          <cell r="B17714">
            <v>401992</v>
          </cell>
          <cell r="C17714" t="str">
            <v>Llandovery College</v>
          </cell>
          <cell r="D17714" t="str">
            <v>Carmarthenshire</v>
          </cell>
          <cell r="E17714" t="str">
            <v>Welsh Establishment</v>
          </cell>
          <cell r="F17714" t="str">
            <v>Not applicable</v>
          </cell>
        </row>
        <row r="17715">
          <cell r="A17715">
            <v>6622103</v>
          </cell>
          <cell r="B17715">
            <v>400213</v>
          </cell>
          <cell r="C17715" t="str">
            <v>Llandrillo Yn Rhos Primary School</v>
          </cell>
          <cell r="D17715" t="str">
            <v>Conwy</v>
          </cell>
          <cell r="E17715" t="str">
            <v>Welsh Establishment</v>
          </cell>
          <cell r="F17715" t="str">
            <v>Primary</v>
          </cell>
        </row>
        <row r="17716">
          <cell r="A17716">
            <v>6664019</v>
          </cell>
          <cell r="B17716">
            <v>401728</v>
          </cell>
          <cell r="C17716" t="str">
            <v>Llandrindod High School</v>
          </cell>
          <cell r="D17716" t="str">
            <v>Powys</v>
          </cell>
          <cell r="E17716" t="str">
            <v>Welsh Establishment</v>
          </cell>
          <cell r="F17716" t="str">
            <v>Secondary</v>
          </cell>
        </row>
        <row r="17717">
          <cell r="A17717">
            <v>6663030</v>
          </cell>
          <cell r="B17717">
            <v>400548</v>
          </cell>
          <cell r="C17717" t="str">
            <v>Llandrindod Wells C.I.W. School</v>
          </cell>
          <cell r="D17717" t="str">
            <v>Powys</v>
          </cell>
          <cell r="E17717" t="str">
            <v>Welsh Establishment</v>
          </cell>
          <cell r="F17717" t="str">
            <v>Primary</v>
          </cell>
        </row>
        <row r="17718">
          <cell r="A17718">
            <v>6662070</v>
          </cell>
          <cell r="B17718">
            <v>400501</v>
          </cell>
          <cell r="C17718" t="str">
            <v>Llandrindod Wells C.P. School</v>
          </cell>
          <cell r="D17718" t="str">
            <v>Powys</v>
          </cell>
          <cell r="E17718" t="str">
            <v>Welsh Establishment</v>
          </cell>
          <cell r="F17718" t="str">
            <v>Primary</v>
          </cell>
        </row>
        <row r="17719">
          <cell r="A17719">
            <v>6692181</v>
          </cell>
          <cell r="B17719">
            <v>400819</v>
          </cell>
          <cell r="C17719" t="str">
            <v>Llandybie Primary</v>
          </cell>
          <cell r="D17719" t="str">
            <v>Carmarthenshire</v>
          </cell>
          <cell r="E17719" t="str">
            <v>Welsh Establishment</v>
          </cell>
          <cell r="F17719" t="str">
            <v>Primary</v>
          </cell>
        </row>
        <row r="17720">
          <cell r="A17720">
            <v>6663021</v>
          </cell>
          <cell r="B17720">
            <v>400543</v>
          </cell>
          <cell r="C17720" t="str">
            <v>Llandysilio C.I.W. School</v>
          </cell>
          <cell r="D17720" t="str">
            <v>Powys</v>
          </cell>
          <cell r="E17720" t="str">
            <v>Welsh Establishment</v>
          </cell>
          <cell r="F17720" t="str">
            <v>Primary</v>
          </cell>
        </row>
        <row r="17721">
          <cell r="A17721">
            <v>6814047</v>
          </cell>
          <cell r="B17721">
            <v>401878</v>
          </cell>
          <cell r="C17721" t="str">
            <v>Llanedeyrn High School</v>
          </cell>
          <cell r="D17721" t="str">
            <v>Cardiff</v>
          </cell>
          <cell r="E17721" t="str">
            <v>Welsh Establishment</v>
          </cell>
          <cell r="F17721" t="str">
            <v>Secondary</v>
          </cell>
        </row>
        <row r="17722">
          <cell r="A17722">
            <v>6812094</v>
          </cell>
          <cell r="B17722">
            <v>401607</v>
          </cell>
          <cell r="C17722" t="str">
            <v>Llanedeyrn Primary School</v>
          </cell>
          <cell r="D17722" t="str">
            <v>Cardiff</v>
          </cell>
          <cell r="E17722" t="str">
            <v>Welsh Establishment</v>
          </cell>
          <cell r="F17722" t="str">
            <v>Primary</v>
          </cell>
        </row>
        <row r="17723">
          <cell r="A17723">
            <v>6622131</v>
          </cell>
          <cell r="B17723">
            <v>400230</v>
          </cell>
          <cell r="C17723" t="str">
            <v>Llanefydd School</v>
          </cell>
          <cell r="D17723" t="str">
            <v>Conwy</v>
          </cell>
          <cell r="E17723" t="str">
            <v>Welsh Establishment</v>
          </cell>
          <cell r="F17723" t="str">
            <v>Primary</v>
          </cell>
        </row>
        <row r="17724">
          <cell r="A17724">
            <v>6793020</v>
          </cell>
          <cell r="B17724">
            <v>401495</v>
          </cell>
          <cell r="C17724" t="str">
            <v>Llanellen C.V. Junior &amp; Infants</v>
          </cell>
          <cell r="D17724" t="str">
            <v>Monmouthshire</v>
          </cell>
          <cell r="E17724" t="str">
            <v>Welsh Establishment</v>
          </cell>
          <cell r="F17724" t="str">
            <v>Not applicable</v>
          </cell>
        </row>
        <row r="17725">
          <cell r="A17725">
            <v>6663037</v>
          </cell>
          <cell r="B17725">
            <v>400555</v>
          </cell>
          <cell r="C17725" t="str">
            <v>Llanelwedd C.I.W. School</v>
          </cell>
          <cell r="D17725" t="str">
            <v>Powys</v>
          </cell>
          <cell r="E17725" t="str">
            <v>Welsh Establishment</v>
          </cell>
          <cell r="F17725" t="str">
            <v>Primary</v>
          </cell>
        </row>
        <row r="17726">
          <cell r="A17726">
            <v>6665200</v>
          </cell>
          <cell r="B17726">
            <v>400571</v>
          </cell>
          <cell r="C17726" t="str">
            <v>Llanerfyl C.I.W. Foundation School</v>
          </cell>
          <cell r="D17726" t="str">
            <v>Powys</v>
          </cell>
          <cell r="E17726" t="str">
            <v>Welsh Establishment</v>
          </cell>
          <cell r="F17726" t="str">
            <v>Primary</v>
          </cell>
        </row>
        <row r="17727">
          <cell r="A17727">
            <v>6762171</v>
          </cell>
          <cell r="B17727">
            <v>401325</v>
          </cell>
          <cell r="C17727" t="str">
            <v>Llanfabon Infants School</v>
          </cell>
          <cell r="D17727" t="str">
            <v>Caerphilly</v>
          </cell>
          <cell r="E17727" t="str">
            <v>Welsh Establishment</v>
          </cell>
          <cell r="F17727" t="str">
            <v>Primary</v>
          </cell>
        </row>
        <row r="17728">
          <cell r="A17728">
            <v>6662125</v>
          </cell>
          <cell r="B17728">
            <v>400533</v>
          </cell>
          <cell r="C17728" t="str">
            <v>Llanfaes C.P. School</v>
          </cell>
          <cell r="D17728" t="str">
            <v>Powys</v>
          </cell>
          <cell r="E17728" t="str">
            <v>Welsh Establishment</v>
          </cell>
          <cell r="F17728" t="str">
            <v>Primary</v>
          </cell>
        </row>
        <row r="17729">
          <cell r="A17729">
            <v>6732127</v>
          </cell>
          <cell r="B17729">
            <v>401097</v>
          </cell>
          <cell r="C17729" t="str">
            <v>Llanfair C.P. School</v>
          </cell>
          <cell r="D17729" t="str">
            <v>The Vale of Glamorgan</v>
          </cell>
          <cell r="E17729" t="str">
            <v>Welsh Establishment</v>
          </cell>
          <cell r="F17729" t="str">
            <v>Primary</v>
          </cell>
        </row>
        <row r="17730">
          <cell r="A17730">
            <v>6662021</v>
          </cell>
          <cell r="B17730">
            <v>400475</v>
          </cell>
          <cell r="C17730" t="str">
            <v>Llanfair Caereinion C.P.</v>
          </cell>
          <cell r="D17730" t="str">
            <v>Powys</v>
          </cell>
          <cell r="E17730" t="str">
            <v>Welsh Establishment</v>
          </cell>
          <cell r="F17730" t="str">
            <v>Primary</v>
          </cell>
        </row>
        <row r="17731">
          <cell r="A17731">
            <v>6793005</v>
          </cell>
          <cell r="B17731">
            <v>401494</v>
          </cell>
          <cell r="C17731" t="str">
            <v>Llanfair Kilgeddin C.V. Primary</v>
          </cell>
          <cell r="D17731" t="str">
            <v>Monmouthshire</v>
          </cell>
          <cell r="E17731" t="str">
            <v>Welsh Establishment</v>
          </cell>
          <cell r="F17731" t="str">
            <v>Primary</v>
          </cell>
        </row>
        <row r="17732">
          <cell r="A17732">
            <v>6793328</v>
          </cell>
          <cell r="B17732">
            <v>402095</v>
          </cell>
          <cell r="C17732" t="str">
            <v>Llanfair Kilgeddin V.A. Primary</v>
          </cell>
          <cell r="D17732" t="str">
            <v>Monmouthshire</v>
          </cell>
          <cell r="E17732" t="str">
            <v>Welsh Establishment</v>
          </cell>
          <cell r="F17732" t="str">
            <v>Primary</v>
          </cell>
        </row>
        <row r="17733">
          <cell r="A17733">
            <v>6663000</v>
          </cell>
          <cell r="B17733">
            <v>400539</v>
          </cell>
          <cell r="C17733" t="str">
            <v>Llanfechain C.I.W. School</v>
          </cell>
          <cell r="D17733" t="str">
            <v>Powys</v>
          </cell>
          <cell r="E17733" t="str">
            <v>Welsh Establishment</v>
          </cell>
          <cell r="F17733" t="str">
            <v>Primary</v>
          </cell>
        </row>
        <row r="17734">
          <cell r="A17734">
            <v>6663300</v>
          </cell>
          <cell r="B17734">
            <v>400560</v>
          </cell>
          <cell r="C17734" t="str">
            <v>Llanfihangel  Yng Ngwynfa School</v>
          </cell>
          <cell r="D17734" t="str">
            <v>Powys</v>
          </cell>
          <cell r="E17734" t="str">
            <v>Welsh Establishment</v>
          </cell>
          <cell r="F17734" t="str">
            <v>Primary</v>
          </cell>
        </row>
        <row r="17735">
          <cell r="A17735">
            <v>6792243</v>
          </cell>
          <cell r="B17735">
            <v>401478</v>
          </cell>
          <cell r="C17735" t="str">
            <v>Llanfihangel Crucorney C.P. School</v>
          </cell>
          <cell r="D17735" t="str">
            <v>Monmouthshire</v>
          </cell>
          <cell r="E17735" t="str">
            <v>Welsh Establishment</v>
          </cell>
          <cell r="F17735" t="str">
            <v>Primary</v>
          </cell>
        </row>
        <row r="17736">
          <cell r="A17736">
            <v>6662071</v>
          </cell>
          <cell r="B17736">
            <v>400502</v>
          </cell>
          <cell r="C17736" t="str">
            <v>Llanfihangel Rhydithon C.P.</v>
          </cell>
          <cell r="D17736" t="str">
            <v>Powys</v>
          </cell>
          <cell r="E17736" t="str">
            <v>Welsh Establishment</v>
          </cell>
          <cell r="F17736" t="str">
            <v>Primary</v>
          </cell>
        </row>
        <row r="17737">
          <cell r="A17737">
            <v>6792140</v>
          </cell>
          <cell r="B17737">
            <v>401465</v>
          </cell>
          <cell r="C17737" t="str">
            <v>Llanfoist C.P. School</v>
          </cell>
          <cell r="D17737" t="str">
            <v>Monmouthshire</v>
          </cell>
          <cell r="E17737" t="str">
            <v>Welsh Establishment</v>
          </cell>
          <cell r="F17737" t="str">
            <v>Primary</v>
          </cell>
        </row>
        <row r="17738">
          <cell r="A17738">
            <v>6792323</v>
          </cell>
          <cell r="B17738">
            <v>402207</v>
          </cell>
          <cell r="C17738" t="str">
            <v>Llanfoist Fawr Primary School</v>
          </cell>
          <cell r="D17738" t="str">
            <v>Monmouthshire</v>
          </cell>
          <cell r="E17738" t="str">
            <v>Welsh Establishment</v>
          </cell>
          <cell r="F17738" t="str">
            <v>Primary</v>
          </cell>
        </row>
        <row r="17739">
          <cell r="A17739">
            <v>6662057</v>
          </cell>
          <cell r="B17739">
            <v>400493</v>
          </cell>
          <cell r="C17739" t="str">
            <v>Llanfyllin C.P. School</v>
          </cell>
          <cell r="D17739" t="str">
            <v>Powys</v>
          </cell>
          <cell r="E17739" t="str">
            <v>Welsh Establishment</v>
          </cell>
          <cell r="F17739" t="str">
            <v>Primary</v>
          </cell>
        </row>
        <row r="17740">
          <cell r="A17740">
            <v>6664001</v>
          </cell>
          <cell r="B17740">
            <v>401722</v>
          </cell>
          <cell r="C17740" t="str">
            <v>Llanfyllin High School</v>
          </cell>
          <cell r="D17740" t="str">
            <v>Powys</v>
          </cell>
          <cell r="E17740" t="str">
            <v>Welsh Establishment</v>
          </cell>
          <cell r="F17740" t="str">
            <v>Secondary</v>
          </cell>
        </row>
        <row r="17741">
          <cell r="A17741">
            <v>6642027</v>
          </cell>
          <cell r="B17741">
            <v>400330</v>
          </cell>
          <cell r="C17741" t="str">
            <v>Llanfynydd C.P. School</v>
          </cell>
          <cell r="D17741" t="str">
            <v>Flintshire</v>
          </cell>
          <cell r="E17741" t="str">
            <v>Welsh Establishment</v>
          </cell>
          <cell r="F17741" t="str">
            <v>Primary</v>
          </cell>
        </row>
        <row r="17742">
          <cell r="A17742">
            <v>6692080</v>
          </cell>
          <cell r="B17742">
            <v>400769</v>
          </cell>
          <cell r="C17742" t="str">
            <v>Llangadog C.P. School</v>
          </cell>
          <cell r="D17742" t="str">
            <v>Carmarthenshire</v>
          </cell>
          <cell r="E17742" t="str">
            <v>Welsh Establishment</v>
          </cell>
          <cell r="F17742" t="str">
            <v>Primary</v>
          </cell>
        </row>
        <row r="17743">
          <cell r="A17743">
            <v>6692009</v>
          </cell>
          <cell r="B17743">
            <v>400737</v>
          </cell>
          <cell r="C17743" t="str">
            <v>Llangain School</v>
          </cell>
          <cell r="D17743" t="str">
            <v>Carmarthenshire</v>
          </cell>
          <cell r="E17743" t="str">
            <v>Welsh Establishment</v>
          </cell>
          <cell r="F17743" t="str">
            <v>Primary</v>
          </cell>
        </row>
        <row r="17744">
          <cell r="A17744">
            <v>6732128</v>
          </cell>
          <cell r="B17744">
            <v>401098</v>
          </cell>
          <cell r="C17744" t="str">
            <v>Llangan C.P. School</v>
          </cell>
          <cell r="D17744" t="str">
            <v>The Vale of Glamorgan</v>
          </cell>
          <cell r="E17744" t="str">
            <v>Welsh Establishment</v>
          </cell>
          <cell r="F17744" t="str">
            <v>Primary</v>
          </cell>
        </row>
        <row r="17745">
          <cell r="A17745">
            <v>6663048</v>
          </cell>
          <cell r="B17745">
            <v>400558</v>
          </cell>
          <cell r="C17745" t="str">
            <v>Llangattock C.I.W. School</v>
          </cell>
          <cell r="D17745" t="str">
            <v>Powys</v>
          </cell>
          <cell r="E17745" t="str">
            <v>Welsh Establishment</v>
          </cell>
          <cell r="F17745" t="str">
            <v>Primary</v>
          </cell>
        </row>
        <row r="17746">
          <cell r="A17746">
            <v>6796013</v>
          </cell>
          <cell r="B17746">
            <v>402011</v>
          </cell>
          <cell r="C17746" t="str">
            <v>Llangattock School</v>
          </cell>
          <cell r="D17746" t="str">
            <v>Monmouthshire</v>
          </cell>
          <cell r="E17746" t="str">
            <v>Welsh Establishment</v>
          </cell>
          <cell r="F17746" t="str">
            <v>Not applicable</v>
          </cell>
        </row>
        <row r="17747">
          <cell r="A17747">
            <v>6714066</v>
          </cell>
          <cell r="B17747">
            <v>401785</v>
          </cell>
          <cell r="C17747" t="str">
            <v>Llangatwg Community School</v>
          </cell>
          <cell r="D17747" t="str">
            <v>Neath Port Talbot</v>
          </cell>
          <cell r="E17747" t="str">
            <v>Welsh Establishment</v>
          </cell>
          <cell r="F17747" t="str">
            <v>Secondary</v>
          </cell>
        </row>
        <row r="17748">
          <cell r="A17748">
            <v>6663046</v>
          </cell>
          <cell r="B17748">
            <v>400557</v>
          </cell>
          <cell r="C17748" t="str">
            <v>Llangedwyn Primary School</v>
          </cell>
          <cell r="D17748" t="str">
            <v>Powys</v>
          </cell>
          <cell r="E17748" t="str">
            <v>Welsh Establishment</v>
          </cell>
          <cell r="F17748" t="str">
            <v>Primary</v>
          </cell>
        </row>
        <row r="17749">
          <cell r="A17749">
            <v>6692129</v>
          </cell>
          <cell r="B17749">
            <v>400795</v>
          </cell>
          <cell r="C17749" t="str">
            <v>Llangennech Infants School</v>
          </cell>
          <cell r="D17749" t="str">
            <v>Carmarthenshire</v>
          </cell>
          <cell r="E17749" t="str">
            <v>Welsh Establishment</v>
          </cell>
          <cell r="F17749" t="str">
            <v>Primary</v>
          </cell>
        </row>
        <row r="17750">
          <cell r="A17750">
            <v>6692130</v>
          </cell>
          <cell r="B17750">
            <v>400796</v>
          </cell>
          <cell r="C17750" t="str">
            <v>Llangennech Junior School</v>
          </cell>
          <cell r="D17750" t="str">
            <v>Carmarthenshire</v>
          </cell>
          <cell r="E17750" t="str">
            <v>Welsh Establishment</v>
          </cell>
          <cell r="F17750" t="str">
            <v>Primary</v>
          </cell>
        </row>
        <row r="17751">
          <cell r="A17751">
            <v>6722292</v>
          </cell>
          <cell r="B17751">
            <v>401061</v>
          </cell>
          <cell r="C17751" t="str">
            <v>Llangewydd Junior School</v>
          </cell>
          <cell r="D17751" t="str">
            <v>Bridgend</v>
          </cell>
          <cell r="E17751" t="str">
            <v>Welsh Establishment</v>
          </cell>
          <cell r="F17751" t="str">
            <v>Primary</v>
          </cell>
        </row>
        <row r="17752">
          <cell r="A17752">
            <v>6712178</v>
          </cell>
          <cell r="B17752">
            <v>400995</v>
          </cell>
          <cell r="C17752" t="str">
            <v>Llangiwg Primary School</v>
          </cell>
          <cell r="D17752" t="str">
            <v>Neath Port Talbot</v>
          </cell>
          <cell r="E17752" t="str">
            <v>Welsh Establishment</v>
          </cell>
          <cell r="F17752" t="str">
            <v>Primary</v>
          </cell>
        </row>
        <row r="17753">
          <cell r="A17753">
            <v>6663050</v>
          </cell>
          <cell r="B17753">
            <v>400559</v>
          </cell>
          <cell r="C17753" t="str">
            <v>Llangors  V.P. School</v>
          </cell>
          <cell r="D17753" t="str">
            <v>Powys</v>
          </cell>
          <cell r="E17753" t="str">
            <v>Welsh Establishment</v>
          </cell>
          <cell r="F17753" t="str">
            <v>Primary</v>
          </cell>
        </row>
        <row r="17754">
          <cell r="A17754">
            <v>8843351</v>
          </cell>
          <cell r="B17754">
            <v>116896</v>
          </cell>
          <cell r="C17754" t="str">
            <v>Llangrove CofE Primary School</v>
          </cell>
          <cell r="D17754" t="str">
            <v>Herefordshire</v>
          </cell>
          <cell r="E17754" t="str">
            <v>Voluntary Aided School</v>
          </cell>
          <cell r="F17754" t="str">
            <v>Primary</v>
          </cell>
        </row>
        <row r="17755">
          <cell r="A17755">
            <v>6692173</v>
          </cell>
          <cell r="B17755">
            <v>400812</v>
          </cell>
          <cell r="C17755" t="str">
            <v>Llangunnor CP</v>
          </cell>
          <cell r="D17755" t="str">
            <v>Carmarthenshire</v>
          </cell>
          <cell r="E17755" t="str">
            <v>Welsh Establishment</v>
          </cell>
          <cell r="F17755" t="str">
            <v>Primary</v>
          </cell>
        </row>
        <row r="17756">
          <cell r="A17756">
            <v>6662023</v>
          </cell>
          <cell r="B17756">
            <v>400476</v>
          </cell>
          <cell r="C17756" t="str">
            <v>Llangurig C.P. School</v>
          </cell>
          <cell r="D17756" t="str">
            <v>Powys</v>
          </cell>
          <cell r="E17756" t="str">
            <v>Welsh Establishment</v>
          </cell>
          <cell r="F17756" t="str">
            <v>Primary</v>
          </cell>
        </row>
        <row r="17757">
          <cell r="A17757">
            <v>6622262</v>
          </cell>
          <cell r="B17757">
            <v>400238</v>
          </cell>
          <cell r="C17757" t="str">
            <v>Llangwm C.P. School</v>
          </cell>
          <cell r="D17757" t="str">
            <v>Conwy</v>
          </cell>
          <cell r="E17757" t="str">
            <v>Welsh Establishment</v>
          </cell>
          <cell r="F17757" t="str">
            <v>Primary</v>
          </cell>
        </row>
        <row r="17758">
          <cell r="A17758">
            <v>6683040</v>
          </cell>
          <cell r="B17758">
            <v>400707</v>
          </cell>
          <cell r="C17758" t="str">
            <v>Llangwm VCP School</v>
          </cell>
          <cell r="D17758" t="str">
            <v>Pembrokeshire</v>
          </cell>
          <cell r="E17758" t="str">
            <v>Welsh Establishment</v>
          </cell>
          <cell r="F17758" t="str">
            <v>Primary</v>
          </cell>
        </row>
        <row r="17759">
          <cell r="A17759">
            <v>6702157</v>
          </cell>
          <cell r="B17759">
            <v>400920</v>
          </cell>
          <cell r="C17759" t="str">
            <v>Llangyfelach Primary School</v>
          </cell>
          <cell r="D17759" t="str">
            <v>Swansea</v>
          </cell>
          <cell r="E17759" t="str">
            <v>Welsh Establishment</v>
          </cell>
          <cell r="F17759" t="str">
            <v>Primary</v>
          </cell>
        </row>
        <row r="17760">
          <cell r="A17760">
            <v>6662117</v>
          </cell>
          <cell r="B17760">
            <v>400528</v>
          </cell>
          <cell r="C17760" t="str">
            <v>Llangynidr C.P. School</v>
          </cell>
          <cell r="D17760" t="str">
            <v>Powys</v>
          </cell>
          <cell r="E17760" t="str">
            <v>Welsh Establishment</v>
          </cell>
          <cell r="F17760" t="str">
            <v>Primary</v>
          </cell>
        </row>
        <row r="17761">
          <cell r="A17761">
            <v>6692036</v>
          </cell>
          <cell r="B17761">
            <v>400745</v>
          </cell>
          <cell r="C17761" t="str">
            <v>Llangynin C.P. School</v>
          </cell>
          <cell r="D17761" t="str">
            <v>Carmarthenshire</v>
          </cell>
          <cell r="E17761" t="str">
            <v>Welsh Establishment</v>
          </cell>
          <cell r="F17761" t="str">
            <v>Not applicable</v>
          </cell>
        </row>
        <row r="17762">
          <cell r="A17762">
            <v>6693025</v>
          </cell>
          <cell r="B17762">
            <v>400851</v>
          </cell>
          <cell r="C17762" t="str">
            <v>Llangynog V.C.P. School</v>
          </cell>
          <cell r="D17762" t="str">
            <v>Carmarthenshire</v>
          </cell>
          <cell r="E17762" t="str">
            <v>Welsh Establishment</v>
          </cell>
          <cell r="F17762" t="str">
            <v>Primary</v>
          </cell>
        </row>
        <row r="17763">
          <cell r="A17763">
            <v>6722149</v>
          </cell>
          <cell r="B17763">
            <v>401040</v>
          </cell>
          <cell r="C17763" t="str">
            <v>Llangynwyd Primary School</v>
          </cell>
          <cell r="D17763" t="str">
            <v>Bridgend</v>
          </cell>
          <cell r="E17763" t="str">
            <v>Welsh Establishment</v>
          </cell>
          <cell r="F17763" t="str">
            <v>Primary</v>
          </cell>
        </row>
        <row r="17764">
          <cell r="A17764">
            <v>6742142</v>
          </cell>
          <cell r="B17764">
            <v>401183</v>
          </cell>
          <cell r="C17764" t="str">
            <v>Llanharan Primary School</v>
          </cell>
          <cell r="D17764" t="str">
            <v>Rhondda, Cynon, Taff</v>
          </cell>
          <cell r="E17764" t="str">
            <v>Welsh Establishment</v>
          </cell>
          <cell r="F17764" t="str">
            <v>Primary</v>
          </cell>
        </row>
        <row r="17765">
          <cell r="A17765">
            <v>6742151</v>
          </cell>
          <cell r="B17765">
            <v>401187</v>
          </cell>
          <cell r="C17765" t="str">
            <v>Llanhari Primary School</v>
          </cell>
          <cell r="D17765" t="str">
            <v>Rhondda, Cynon, Taff</v>
          </cell>
          <cell r="E17765" t="str">
            <v>Welsh Establishment</v>
          </cell>
          <cell r="F17765" t="str">
            <v>Primary</v>
          </cell>
        </row>
        <row r="17766">
          <cell r="A17766">
            <v>6662050</v>
          </cell>
          <cell r="B17766">
            <v>400487</v>
          </cell>
          <cell r="C17766" t="str">
            <v>Llanidloes C.P. School</v>
          </cell>
          <cell r="D17766" t="str">
            <v>Powys</v>
          </cell>
          <cell r="E17766" t="str">
            <v>Welsh Establishment</v>
          </cell>
          <cell r="F17766" t="str">
            <v>Primary</v>
          </cell>
        </row>
        <row r="17767">
          <cell r="A17767">
            <v>6664002</v>
          </cell>
          <cell r="B17767">
            <v>401723</v>
          </cell>
          <cell r="C17767" t="str">
            <v>Llanidloes High School</v>
          </cell>
          <cell r="D17767" t="str">
            <v>Powys</v>
          </cell>
          <cell r="E17767" t="str">
            <v>Welsh Establishment</v>
          </cell>
          <cell r="F17767" t="str">
            <v>Secondary</v>
          </cell>
        </row>
        <row r="17768">
          <cell r="A17768">
            <v>6662114</v>
          </cell>
          <cell r="B17768">
            <v>400525</v>
          </cell>
          <cell r="C17768" t="str">
            <v>Llanigon C.P. School</v>
          </cell>
          <cell r="D17768" t="str">
            <v>Powys</v>
          </cell>
          <cell r="E17768" t="str">
            <v>Welsh Establishment</v>
          </cell>
          <cell r="F17768" t="str">
            <v>Primary</v>
          </cell>
        </row>
        <row r="17769">
          <cell r="A17769">
            <v>6742118</v>
          </cell>
          <cell r="B17769">
            <v>401172</v>
          </cell>
          <cell r="C17769" t="str">
            <v>Llanilltud Faerdref Primary</v>
          </cell>
          <cell r="D17769" t="str">
            <v>Rhondda, Cynon, Taff</v>
          </cell>
          <cell r="E17769" t="str">
            <v>Welsh Establishment</v>
          </cell>
          <cell r="F17769" t="str">
            <v>Primary</v>
          </cell>
        </row>
        <row r="17770">
          <cell r="A17770">
            <v>6732142</v>
          </cell>
          <cell r="B17770">
            <v>401105</v>
          </cell>
          <cell r="C17770" t="str">
            <v>Llanilltud Fawr Primary</v>
          </cell>
          <cell r="D17770" t="str">
            <v>The Vale of Glamorgan</v>
          </cell>
          <cell r="E17770" t="str">
            <v>Welsh Establishment</v>
          </cell>
          <cell r="F17770" t="str">
            <v>Primary</v>
          </cell>
        </row>
        <row r="17771">
          <cell r="A17771">
            <v>6812090</v>
          </cell>
          <cell r="B17771">
            <v>401605</v>
          </cell>
          <cell r="C17771" t="str">
            <v>Llanishen Fach Primary School</v>
          </cell>
          <cell r="D17771" t="str">
            <v>Cardiff</v>
          </cell>
          <cell r="E17771" t="str">
            <v>Welsh Establishment</v>
          </cell>
          <cell r="F17771" t="str">
            <v>Primary</v>
          </cell>
        </row>
        <row r="17772">
          <cell r="A17772">
            <v>6814051</v>
          </cell>
          <cell r="B17772">
            <v>401881</v>
          </cell>
          <cell r="C17772" t="str">
            <v>Llanishen High School</v>
          </cell>
          <cell r="D17772" t="str">
            <v>Cardiff</v>
          </cell>
          <cell r="E17772" t="str">
            <v>Welsh Establishment</v>
          </cell>
          <cell r="F17772" t="str">
            <v>Secondary</v>
          </cell>
        </row>
        <row r="17773">
          <cell r="A17773">
            <v>6802224</v>
          </cell>
          <cell r="B17773">
            <v>401535</v>
          </cell>
          <cell r="C17773" t="str">
            <v>Llanmartin Primary School</v>
          </cell>
          <cell r="D17773" t="str">
            <v>Newport</v>
          </cell>
          <cell r="E17773" t="str">
            <v>Welsh Establishment</v>
          </cell>
          <cell r="F17773" t="str">
            <v>Primary</v>
          </cell>
        </row>
        <row r="17774">
          <cell r="A17774">
            <v>6692119</v>
          </cell>
          <cell r="B17774">
            <v>400787</v>
          </cell>
          <cell r="C17774" t="str">
            <v>Llanmiloe C.P. School</v>
          </cell>
          <cell r="D17774" t="str">
            <v>Carmarthenshire</v>
          </cell>
          <cell r="E17774" t="str">
            <v>Welsh Establishment</v>
          </cell>
          <cell r="F17774" t="str">
            <v>Primary</v>
          </cell>
        </row>
        <row r="17775">
          <cell r="A17775">
            <v>6702154</v>
          </cell>
          <cell r="B17775">
            <v>400919</v>
          </cell>
          <cell r="C17775" t="str">
            <v>Llanmorlais Primary School</v>
          </cell>
          <cell r="D17775" t="str">
            <v>Swansea</v>
          </cell>
          <cell r="E17775" t="str">
            <v>Welsh Establishment</v>
          </cell>
          <cell r="F17775" t="str">
            <v>Primary</v>
          </cell>
        </row>
        <row r="17776">
          <cell r="A17776">
            <v>6792143</v>
          </cell>
          <cell r="B17776">
            <v>401466</v>
          </cell>
          <cell r="C17776" t="str">
            <v>Llanover Junior &amp; Infants School</v>
          </cell>
          <cell r="D17776" t="str">
            <v>Monmouthshire</v>
          </cell>
          <cell r="E17776" t="str">
            <v>Welsh Establishment</v>
          </cell>
          <cell r="F17776" t="str">
            <v>Primary</v>
          </cell>
        </row>
        <row r="17777">
          <cell r="A17777">
            <v>6662146</v>
          </cell>
          <cell r="B17777">
            <v>400536</v>
          </cell>
          <cell r="C17777" t="str">
            <v>Llanrhaeadr Ym Mochnant C.P. School</v>
          </cell>
          <cell r="D17777" t="str">
            <v>Powys</v>
          </cell>
          <cell r="E17777" t="str">
            <v>Welsh Establishment</v>
          </cell>
          <cell r="F17777" t="str">
            <v>Primary</v>
          </cell>
        </row>
        <row r="17778">
          <cell r="A17778">
            <v>6702159</v>
          </cell>
          <cell r="B17778">
            <v>400921</v>
          </cell>
          <cell r="C17778" t="str">
            <v>Llanrhidian Primary School</v>
          </cell>
          <cell r="D17778" t="str">
            <v>Swansea</v>
          </cell>
          <cell r="E17778" t="str">
            <v>Welsh Establishment</v>
          </cell>
          <cell r="F17778" t="str">
            <v>Primary</v>
          </cell>
        </row>
        <row r="17779">
          <cell r="A17779">
            <v>6814052</v>
          </cell>
          <cell r="B17779">
            <v>401882</v>
          </cell>
          <cell r="C17779" t="str">
            <v>Llanrumney High School</v>
          </cell>
          <cell r="D17779" t="str">
            <v>Cardiff</v>
          </cell>
          <cell r="E17779" t="str">
            <v>Welsh Establishment</v>
          </cell>
          <cell r="F17779" t="str">
            <v>Secondary</v>
          </cell>
        </row>
        <row r="17780">
          <cell r="A17780">
            <v>6692082</v>
          </cell>
          <cell r="B17780">
            <v>400770</v>
          </cell>
          <cell r="C17780" t="str">
            <v>Llansadwrn School</v>
          </cell>
          <cell r="D17780" t="str">
            <v>Carmarthenshire</v>
          </cell>
          <cell r="E17780" t="str">
            <v>Welsh Establishment</v>
          </cell>
          <cell r="F17780" t="str">
            <v>Primary</v>
          </cell>
        </row>
        <row r="17781">
          <cell r="A17781">
            <v>6733365</v>
          </cell>
          <cell r="B17781">
            <v>401128</v>
          </cell>
          <cell r="C17781" t="str">
            <v>Llansannor C.I.W. Primary School</v>
          </cell>
          <cell r="D17781" t="str">
            <v>The Vale of Glamorgan</v>
          </cell>
          <cell r="E17781" t="str">
            <v>Welsh Establishment</v>
          </cell>
          <cell r="F17781" t="str">
            <v>Primary</v>
          </cell>
        </row>
        <row r="17782">
          <cell r="A17782">
            <v>6663303</v>
          </cell>
          <cell r="B17782">
            <v>400562</v>
          </cell>
          <cell r="C17782" t="str">
            <v>Llansantffraid C.I.W.A. School</v>
          </cell>
          <cell r="D17782" t="str">
            <v>Powys</v>
          </cell>
          <cell r="E17782" t="str">
            <v>Welsh Establishment</v>
          </cell>
          <cell r="F17782" t="str">
            <v>Primary</v>
          </cell>
        </row>
        <row r="17783">
          <cell r="A17783">
            <v>6712152</v>
          </cell>
          <cell r="B17783">
            <v>400982</v>
          </cell>
          <cell r="C17783" t="str">
            <v>Llansawel Primary School</v>
          </cell>
          <cell r="D17783" t="str">
            <v>Neath Port Talbot</v>
          </cell>
          <cell r="E17783" t="str">
            <v>Welsh Establishment</v>
          </cell>
          <cell r="F17783" t="str">
            <v>Primary</v>
          </cell>
        </row>
        <row r="17784">
          <cell r="A17784">
            <v>6784050</v>
          </cell>
          <cell r="B17784">
            <v>401852</v>
          </cell>
          <cell r="C17784" t="str">
            <v>Llantarnam  School</v>
          </cell>
          <cell r="D17784" t="str">
            <v>Torfaen</v>
          </cell>
          <cell r="E17784" t="str">
            <v>Welsh Establishment</v>
          </cell>
          <cell r="F17784" t="str">
            <v>Secondary</v>
          </cell>
        </row>
        <row r="17785">
          <cell r="A17785">
            <v>6793004</v>
          </cell>
          <cell r="B17785">
            <v>401493</v>
          </cell>
          <cell r="C17785" t="str">
            <v>Llantilio Pertholey C.V. Primary School</v>
          </cell>
          <cell r="D17785" t="str">
            <v>Monmouthshire</v>
          </cell>
          <cell r="E17785" t="str">
            <v>Welsh Establishment</v>
          </cell>
          <cell r="F17785" t="str">
            <v>Primary</v>
          </cell>
        </row>
        <row r="17786">
          <cell r="A17786">
            <v>6742124</v>
          </cell>
          <cell r="B17786">
            <v>401174</v>
          </cell>
          <cell r="C17786" t="str">
            <v>Llantrisant Primary</v>
          </cell>
          <cell r="D17786" t="str">
            <v>Rhondda, Cynon, Taff</v>
          </cell>
          <cell r="E17786" t="str">
            <v>Welsh Establishment</v>
          </cell>
          <cell r="F17786" t="str">
            <v>Primary</v>
          </cell>
        </row>
        <row r="17787">
          <cell r="A17787">
            <v>6734060</v>
          </cell>
          <cell r="B17787">
            <v>401798</v>
          </cell>
          <cell r="C17787" t="str">
            <v>Llantwit Major School</v>
          </cell>
          <cell r="D17787" t="str">
            <v>The Vale of Glamorgan</v>
          </cell>
          <cell r="E17787" t="str">
            <v>Welsh Establishment</v>
          </cell>
          <cell r="F17787" t="str">
            <v>Secondary</v>
          </cell>
        </row>
        <row r="17788">
          <cell r="A17788">
            <v>6731111</v>
          </cell>
          <cell r="B17788">
            <v>402171</v>
          </cell>
          <cell r="C17788" t="str">
            <v>Llantwit Major Youth Centre</v>
          </cell>
          <cell r="D17788" t="str">
            <v>The Vale of Glamorgan</v>
          </cell>
          <cell r="E17788" t="str">
            <v>Welsh Establishment</v>
          </cell>
          <cell r="F17788" t="str">
            <v>Not applicable</v>
          </cell>
        </row>
        <row r="17789">
          <cell r="A17789">
            <v>6633034</v>
          </cell>
          <cell r="B17789">
            <v>400305</v>
          </cell>
          <cell r="C17789" t="str">
            <v>Llantysilio C.I.W. Controlled School</v>
          </cell>
          <cell r="D17789" t="str">
            <v>Denbighshire</v>
          </cell>
          <cell r="E17789" t="str">
            <v>Welsh Establishment</v>
          </cell>
          <cell r="F17789" t="str">
            <v>Primary</v>
          </cell>
        </row>
        <row r="17790">
          <cell r="A17790">
            <v>6692184</v>
          </cell>
          <cell r="B17790">
            <v>400822</v>
          </cell>
          <cell r="C17790" t="str">
            <v>Llanybydder School</v>
          </cell>
          <cell r="D17790" t="str">
            <v>Carmarthenshire</v>
          </cell>
          <cell r="E17790" t="str">
            <v>Welsh Establishment</v>
          </cell>
          <cell r="F17790" t="str">
            <v>Primary</v>
          </cell>
        </row>
        <row r="17791">
          <cell r="A17791">
            <v>6782203</v>
          </cell>
          <cell r="B17791">
            <v>401431</v>
          </cell>
          <cell r="C17791" t="str">
            <v>Llanyrafon Primary School</v>
          </cell>
          <cell r="D17791" t="str">
            <v>Torfaen</v>
          </cell>
          <cell r="E17791" t="str">
            <v>Welsh Establishment</v>
          </cell>
          <cell r="F17791" t="str">
            <v>Primary</v>
          </cell>
        </row>
        <row r="17792">
          <cell r="A17792">
            <v>6692003</v>
          </cell>
          <cell r="B17792">
            <v>400731</v>
          </cell>
          <cell r="C17792" t="str">
            <v>Llechyfedach C.P. School</v>
          </cell>
          <cell r="D17792" t="str">
            <v>Carmarthenshire</v>
          </cell>
          <cell r="E17792" t="str">
            <v>Welsh Establishment</v>
          </cell>
          <cell r="F17792" t="str">
            <v>Primary</v>
          </cell>
        </row>
        <row r="17793">
          <cell r="A17793">
            <v>6804026</v>
          </cell>
          <cell r="B17793">
            <v>401868</v>
          </cell>
          <cell r="C17793" t="str">
            <v>Lliswerry High School</v>
          </cell>
          <cell r="D17793" t="str">
            <v>Newport</v>
          </cell>
          <cell r="E17793" t="str">
            <v>Welsh Establishment</v>
          </cell>
          <cell r="F17793" t="str">
            <v>Secondary</v>
          </cell>
        </row>
        <row r="17794">
          <cell r="A17794">
            <v>6802016</v>
          </cell>
          <cell r="B17794">
            <v>401510</v>
          </cell>
          <cell r="C17794" t="str">
            <v>Lliswerry Infant School</v>
          </cell>
          <cell r="D17794" t="str">
            <v>Newport</v>
          </cell>
          <cell r="E17794" t="str">
            <v>Welsh Establishment</v>
          </cell>
          <cell r="F17794" t="str">
            <v>Primary</v>
          </cell>
        </row>
        <row r="17795">
          <cell r="A17795">
            <v>6802049</v>
          </cell>
          <cell r="B17795">
            <v>401533</v>
          </cell>
          <cell r="C17795" t="str">
            <v>Lliswerry Junior School</v>
          </cell>
          <cell r="D17795" t="str">
            <v>Newport</v>
          </cell>
          <cell r="E17795" t="str">
            <v>Welsh Establishment</v>
          </cell>
          <cell r="F17795" t="str">
            <v>Primary</v>
          </cell>
        </row>
        <row r="17796">
          <cell r="A17796">
            <v>3306006</v>
          </cell>
          <cell r="B17796">
            <v>136150</v>
          </cell>
          <cell r="C17796" t="str">
            <v>Lloyds Academy</v>
          </cell>
          <cell r="D17796" t="str">
            <v>Birmingham</v>
          </cell>
          <cell r="E17796" t="str">
            <v>Other Independent School</v>
          </cell>
          <cell r="F17796" t="str">
            <v>Not applicable</v>
          </cell>
        </row>
        <row r="17797">
          <cell r="A17797">
            <v>6741114</v>
          </cell>
          <cell r="B17797">
            <v>402166</v>
          </cell>
          <cell r="C17797" t="str">
            <v>Llwydcoed Partnership</v>
          </cell>
          <cell r="D17797" t="str">
            <v>Rhondda, Cynon, Taff</v>
          </cell>
          <cell r="E17797" t="str">
            <v>Welsh Establishment</v>
          </cell>
          <cell r="F17797" t="str">
            <v>Not applicable</v>
          </cell>
        </row>
        <row r="17798">
          <cell r="A17798">
            <v>6742180</v>
          </cell>
          <cell r="B17798">
            <v>401200</v>
          </cell>
          <cell r="C17798" t="str">
            <v>Llwydcoed Primary</v>
          </cell>
          <cell r="D17798" t="str">
            <v>Rhondda, Cynon, Taff</v>
          </cell>
          <cell r="E17798" t="str">
            <v>Welsh Establishment</v>
          </cell>
          <cell r="F17798" t="str">
            <v>Primary</v>
          </cell>
        </row>
        <row r="17799">
          <cell r="A17799">
            <v>6666044</v>
          </cell>
          <cell r="B17799">
            <v>402102</v>
          </cell>
          <cell r="C17799" t="str">
            <v>Llwyn Gwilym Farmhouse</v>
          </cell>
          <cell r="D17799" t="str">
            <v>Powys</v>
          </cell>
          <cell r="E17799" t="str">
            <v>Welsh Establishment</v>
          </cell>
          <cell r="F17799" t="str">
            <v>Not applicable</v>
          </cell>
        </row>
        <row r="17800">
          <cell r="A17800">
            <v>6742138</v>
          </cell>
          <cell r="B17800">
            <v>401181</v>
          </cell>
          <cell r="C17800" t="str">
            <v>Llwyncelyn Infants School</v>
          </cell>
          <cell r="D17800" t="str">
            <v>Rhondda, Cynon, Taff</v>
          </cell>
          <cell r="E17800" t="str">
            <v>Welsh Establishment</v>
          </cell>
          <cell r="F17800" t="str">
            <v>Primary</v>
          </cell>
        </row>
        <row r="17801">
          <cell r="A17801">
            <v>6742228</v>
          </cell>
          <cell r="B17801">
            <v>401222</v>
          </cell>
          <cell r="C17801" t="str">
            <v>Llwyncrwn Primary School</v>
          </cell>
          <cell r="D17801" t="str">
            <v>Rhondda, Cynon, Taff</v>
          </cell>
          <cell r="E17801" t="str">
            <v>Welsh Establishment</v>
          </cell>
          <cell r="F17801" t="str">
            <v>Primary</v>
          </cell>
        </row>
        <row r="17802">
          <cell r="A17802">
            <v>6692126</v>
          </cell>
          <cell r="B17802">
            <v>400793</v>
          </cell>
          <cell r="C17802" t="str">
            <v>Llwynhendy Junior School</v>
          </cell>
          <cell r="D17802" t="str">
            <v>Carmarthenshire</v>
          </cell>
          <cell r="E17802" t="str">
            <v>Welsh Establishment</v>
          </cell>
          <cell r="F17802" t="str">
            <v>Primary</v>
          </cell>
        </row>
        <row r="17803">
          <cell r="A17803">
            <v>6691101</v>
          </cell>
          <cell r="B17803">
            <v>401946</v>
          </cell>
          <cell r="C17803" t="str">
            <v>Llwynhendy Pupil Referral Unit</v>
          </cell>
          <cell r="D17803" t="str">
            <v>Carmarthenshire</v>
          </cell>
          <cell r="E17803" t="str">
            <v>Welsh Establishment</v>
          </cell>
          <cell r="F17803" t="str">
            <v>Not applicable</v>
          </cell>
        </row>
        <row r="17804">
          <cell r="A17804">
            <v>6792208</v>
          </cell>
          <cell r="B17804">
            <v>401472</v>
          </cell>
          <cell r="C17804" t="str">
            <v>Llwynu Infants School</v>
          </cell>
          <cell r="D17804" t="str">
            <v>Monmouthshire</v>
          </cell>
          <cell r="E17804" t="str">
            <v>Welsh Establishment</v>
          </cell>
          <cell r="F17804" t="str">
            <v>Primary</v>
          </cell>
        </row>
        <row r="17805">
          <cell r="A17805">
            <v>6742143</v>
          </cell>
          <cell r="B17805">
            <v>401184</v>
          </cell>
          <cell r="C17805" t="str">
            <v>Llwynypia Primary School</v>
          </cell>
          <cell r="D17805" t="str">
            <v>Rhondda, Cynon, Taff</v>
          </cell>
          <cell r="E17805" t="str">
            <v>Welsh Establishment</v>
          </cell>
          <cell r="F17805" t="str">
            <v>Primary</v>
          </cell>
        </row>
        <row r="17806">
          <cell r="A17806">
            <v>6812147</v>
          </cell>
          <cell r="B17806">
            <v>401619</v>
          </cell>
          <cell r="C17806" t="str">
            <v>Llysfaen Primary School</v>
          </cell>
          <cell r="D17806" t="str">
            <v>Cardiff</v>
          </cell>
          <cell r="E17806" t="str">
            <v>Welsh Establishment</v>
          </cell>
          <cell r="F17806" t="str">
            <v>Primary</v>
          </cell>
        </row>
        <row r="17807">
          <cell r="A17807">
            <v>9282156</v>
          </cell>
          <cell r="B17807">
            <v>121910</v>
          </cell>
          <cell r="C17807" t="str">
            <v>Loatlands Primary School</v>
          </cell>
          <cell r="D17807" t="str">
            <v>Northamptonshire</v>
          </cell>
          <cell r="E17807" t="str">
            <v>Community School</v>
          </cell>
          <cell r="F17807" t="str">
            <v>Primary</v>
          </cell>
        </row>
        <row r="17808">
          <cell r="A17808">
            <v>3902222</v>
          </cell>
          <cell r="B17808">
            <v>108369</v>
          </cell>
          <cell r="C17808" t="str">
            <v>Lobley Hill Primary School</v>
          </cell>
          <cell r="D17808" t="str">
            <v>Gateshead</v>
          </cell>
          <cell r="E17808" t="str">
            <v>Community School</v>
          </cell>
          <cell r="F17808" t="str">
            <v>Primary</v>
          </cell>
        </row>
        <row r="17809">
          <cell r="A17809">
            <v>3702127</v>
          </cell>
          <cell r="B17809">
            <v>106615</v>
          </cell>
          <cell r="C17809" t="str">
            <v>Lobwood Primary School</v>
          </cell>
          <cell r="D17809" t="str">
            <v>Barnsley</v>
          </cell>
          <cell r="E17809" t="str">
            <v>Community School</v>
          </cell>
          <cell r="F17809" t="str">
            <v>Primary</v>
          </cell>
        </row>
        <row r="17810">
          <cell r="A17810">
            <v>3332058</v>
          </cell>
          <cell r="B17810">
            <v>103917</v>
          </cell>
          <cell r="C17810" t="str">
            <v>Locarno Infant School</v>
          </cell>
          <cell r="D17810" t="str">
            <v>Sandwell</v>
          </cell>
          <cell r="E17810" t="str">
            <v>Community School</v>
          </cell>
          <cell r="F17810" t="str">
            <v>Primary</v>
          </cell>
        </row>
        <row r="17811">
          <cell r="A17811">
            <v>3332059</v>
          </cell>
          <cell r="B17811">
            <v>103918</v>
          </cell>
          <cell r="C17811" t="str">
            <v>Locarno Junior School</v>
          </cell>
          <cell r="D17811" t="str">
            <v>Sandwell</v>
          </cell>
          <cell r="E17811" t="str">
            <v>Community School</v>
          </cell>
          <cell r="F17811" t="str">
            <v>Primary</v>
          </cell>
        </row>
        <row r="17812">
          <cell r="A17812">
            <v>3332184</v>
          </cell>
          <cell r="B17812">
            <v>131283</v>
          </cell>
          <cell r="C17812" t="str">
            <v>Locarno Primary School</v>
          </cell>
          <cell r="D17812" t="str">
            <v>Sandwell</v>
          </cell>
          <cell r="E17812" t="str">
            <v>Community School</v>
          </cell>
          <cell r="F17812" t="str">
            <v>Primary</v>
          </cell>
        </row>
        <row r="17813">
          <cell r="A17813">
            <v>9094005</v>
          </cell>
          <cell r="B17813">
            <v>112376</v>
          </cell>
          <cell r="C17813" t="str">
            <v>Lochinvar School</v>
          </cell>
          <cell r="D17813" t="str">
            <v>Cumbria</v>
          </cell>
          <cell r="E17813" t="str">
            <v>Community School</v>
          </cell>
          <cell r="F17813" t="str">
            <v>Secondary</v>
          </cell>
        </row>
        <row r="17814">
          <cell r="A17814">
            <v>9196201</v>
          </cell>
          <cell r="B17814">
            <v>117643</v>
          </cell>
          <cell r="C17814" t="str">
            <v>Lochinver House School</v>
          </cell>
          <cell r="D17814" t="str">
            <v>Hertfordshire</v>
          </cell>
          <cell r="E17814" t="str">
            <v>Other Independent School</v>
          </cell>
          <cell r="F17814" t="str">
            <v>Not applicable</v>
          </cell>
        </row>
        <row r="17815">
          <cell r="A17815">
            <v>8503356</v>
          </cell>
          <cell r="B17815">
            <v>116363</v>
          </cell>
          <cell r="C17815" t="str">
            <v>Lockerley Church of England Endowed Primary School</v>
          </cell>
          <cell r="D17815" t="str">
            <v>Hampshire</v>
          </cell>
          <cell r="E17815" t="str">
            <v>Voluntary Aided School</v>
          </cell>
          <cell r="F17815" t="str">
            <v>Primary</v>
          </cell>
        </row>
        <row r="17816">
          <cell r="A17816">
            <v>9196024</v>
          </cell>
          <cell r="B17816">
            <v>117611</v>
          </cell>
          <cell r="C17816" t="str">
            <v>Lockers Park School</v>
          </cell>
          <cell r="D17816" t="str">
            <v>Hertfordshire</v>
          </cell>
          <cell r="E17816" t="str">
            <v>Other Independent School</v>
          </cell>
          <cell r="F17816" t="str">
            <v>Not applicable</v>
          </cell>
        </row>
        <row r="17817">
          <cell r="A17817">
            <v>8022286</v>
          </cell>
          <cell r="B17817">
            <v>109103</v>
          </cell>
          <cell r="C17817" t="str">
            <v>Locking Primary School</v>
          </cell>
          <cell r="D17817" t="str">
            <v>North Somerset</v>
          </cell>
          <cell r="E17817" t="str">
            <v>Community School</v>
          </cell>
          <cell r="F17817" t="str">
            <v>Primary</v>
          </cell>
        </row>
        <row r="17818">
          <cell r="A17818">
            <v>8772677</v>
          </cell>
          <cell r="B17818">
            <v>111204</v>
          </cell>
          <cell r="C17818" t="str">
            <v>Locking Stumps Community Primary School</v>
          </cell>
          <cell r="D17818" t="str">
            <v>Warrington</v>
          </cell>
          <cell r="E17818" t="str">
            <v>Community School</v>
          </cell>
          <cell r="F17818" t="str">
            <v>Primary</v>
          </cell>
        </row>
        <row r="17819">
          <cell r="A17819">
            <v>8113048</v>
          </cell>
          <cell r="B17819">
            <v>118001</v>
          </cell>
          <cell r="C17819" t="str">
            <v>Lockington Church of England Voluntary Controlled Primary School</v>
          </cell>
          <cell r="D17819" t="str">
            <v>East Riding of Yorkshire</v>
          </cell>
          <cell r="E17819" t="str">
            <v>Voluntary Controlled School</v>
          </cell>
          <cell r="F17819" t="str">
            <v>Primary</v>
          </cell>
        </row>
        <row r="17820">
          <cell r="A17820">
            <v>8013433</v>
          </cell>
          <cell r="B17820">
            <v>134914</v>
          </cell>
          <cell r="C17820" t="str">
            <v>Lockleaze Primary</v>
          </cell>
          <cell r="D17820" t="str">
            <v>Bristol City of</v>
          </cell>
          <cell r="E17820" t="str">
            <v>Community School</v>
          </cell>
          <cell r="F17820" t="str">
            <v>Primary</v>
          </cell>
        </row>
        <row r="17821">
          <cell r="A17821">
            <v>8014029</v>
          </cell>
          <cell r="B17821">
            <v>109277</v>
          </cell>
          <cell r="C17821" t="str">
            <v>Lockleaze School</v>
          </cell>
          <cell r="D17821" t="str">
            <v>Bristol City of</v>
          </cell>
          <cell r="E17821" t="str">
            <v>Community School</v>
          </cell>
          <cell r="F17821" t="str">
            <v>Secondary</v>
          </cell>
        </row>
        <row r="17822">
          <cell r="A17822">
            <v>8502249</v>
          </cell>
          <cell r="B17822">
            <v>115989</v>
          </cell>
          <cell r="C17822" t="str">
            <v>Locks Heath Infant School</v>
          </cell>
          <cell r="D17822" t="str">
            <v>Hampshire</v>
          </cell>
          <cell r="E17822" t="str">
            <v>Community School</v>
          </cell>
          <cell r="F17822" t="str">
            <v>Primary</v>
          </cell>
        </row>
        <row r="17823">
          <cell r="A17823">
            <v>8502128</v>
          </cell>
          <cell r="B17823">
            <v>115926</v>
          </cell>
          <cell r="C17823" t="str">
            <v>Locks Heath Junior School</v>
          </cell>
          <cell r="D17823" t="str">
            <v>Hampshire</v>
          </cell>
          <cell r="E17823" t="str">
            <v>Community School</v>
          </cell>
          <cell r="F17823" t="str">
            <v>Primary</v>
          </cell>
        </row>
        <row r="17824">
          <cell r="A17824">
            <v>9256039</v>
          </cell>
          <cell r="B17824">
            <v>120744</v>
          </cell>
          <cell r="C17824" t="str">
            <v>Locksley Christian School</v>
          </cell>
          <cell r="D17824" t="str">
            <v>Lincolnshire</v>
          </cell>
          <cell r="E17824" t="str">
            <v>Other Independent School</v>
          </cell>
          <cell r="F17824" t="str">
            <v>Not applicable</v>
          </cell>
        </row>
        <row r="17825">
          <cell r="A17825">
            <v>9306032</v>
          </cell>
          <cell r="B17825">
            <v>122923</v>
          </cell>
          <cell r="C17825" t="str">
            <v>Locksley Preparatory School</v>
          </cell>
          <cell r="D17825" t="str">
            <v>Pre LGR (1998) Nottinghamshire</v>
          </cell>
          <cell r="E17825" t="str">
            <v>Other Independent School</v>
          </cell>
          <cell r="F17825" t="str">
            <v>Not applicable</v>
          </cell>
        </row>
        <row r="17826">
          <cell r="A17826">
            <v>8072018</v>
          </cell>
          <cell r="B17826">
            <v>111533</v>
          </cell>
          <cell r="C17826" t="str">
            <v>Lockwood Primary School</v>
          </cell>
          <cell r="D17826" t="str">
            <v>Redcar and Cleveland</v>
          </cell>
          <cell r="E17826" t="str">
            <v>Community School</v>
          </cell>
          <cell r="F17826" t="str">
            <v>Primary</v>
          </cell>
        </row>
        <row r="17827">
          <cell r="A17827">
            <v>8354034</v>
          </cell>
          <cell r="B17827">
            <v>113862</v>
          </cell>
          <cell r="C17827" t="str">
            <v>Lockyer's Middle School</v>
          </cell>
          <cell r="D17827" t="str">
            <v>Dorset</v>
          </cell>
          <cell r="E17827" t="str">
            <v>Community School</v>
          </cell>
          <cell r="F17827" t="str">
            <v>Middle Deemed Secondary</v>
          </cell>
        </row>
        <row r="17828">
          <cell r="A17828">
            <v>9283042</v>
          </cell>
          <cell r="B17828">
            <v>121981</v>
          </cell>
          <cell r="C17828" t="str">
            <v>Loddington Church of England Primary School</v>
          </cell>
          <cell r="D17828" t="str">
            <v>Northamptonshire</v>
          </cell>
          <cell r="E17828" t="str">
            <v>Voluntary Aided School</v>
          </cell>
          <cell r="F17828" t="str">
            <v>Primary</v>
          </cell>
        </row>
        <row r="17829">
          <cell r="A17829">
            <v>8782428</v>
          </cell>
          <cell r="B17829">
            <v>113207</v>
          </cell>
          <cell r="C17829" t="str">
            <v>Loddiswell Primary School</v>
          </cell>
          <cell r="D17829" t="str">
            <v>Devon</v>
          </cell>
          <cell r="E17829" t="str">
            <v>Community School</v>
          </cell>
          <cell r="F17829" t="str">
            <v>Primary</v>
          </cell>
        </row>
        <row r="17830">
          <cell r="A17830">
            <v>9265213</v>
          </cell>
          <cell r="B17830">
            <v>121203</v>
          </cell>
          <cell r="C17830" t="str">
            <v>Loddon Infant and Nursery School</v>
          </cell>
          <cell r="D17830" t="str">
            <v>Norfolk</v>
          </cell>
          <cell r="E17830" t="str">
            <v>Foundation School</v>
          </cell>
          <cell r="F17830" t="str">
            <v>Primary</v>
          </cell>
        </row>
        <row r="17831">
          <cell r="A17831">
            <v>8722102</v>
          </cell>
          <cell r="B17831">
            <v>109838</v>
          </cell>
          <cell r="C17831" t="str">
            <v>Loddon Junior School</v>
          </cell>
          <cell r="D17831" t="str">
            <v>Wokingham</v>
          </cell>
          <cell r="E17831" t="str">
            <v>Community School</v>
          </cell>
          <cell r="F17831" t="str">
            <v>Primary</v>
          </cell>
        </row>
        <row r="17832">
          <cell r="A17832">
            <v>9265202</v>
          </cell>
          <cell r="B17832">
            <v>121192</v>
          </cell>
          <cell r="C17832" t="str">
            <v>Loddon Junior School</v>
          </cell>
          <cell r="D17832" t="str">
            <v>Norfolk</v>
          </cell>
          <cell r="E17832" t="str">
            <v>Foundation School</v>
          </cell>
          <cell r="F17832" t="str">
            <v>Primary</v>
          </cell>
        </row>
        <row r="17833">
          <cell r="A17833">
            <v>8723371</v>
          </cell>
          <cell r="B17833">
            <v>131192</v>
          </cell>
          <cell r="C17833" t="str">
            <v>Loddon Primary School</v>
          </cell>
          <cell r="D17833" t="str">
            <v>Wokingham</v>
          </cell>
          <cell r="E17833" t="str">
            <v>Community School</v>
          </cell>
          <cell r="F17833" t="str">
            <v>Primary</v>
          </cell>
        </row>
        <row r="17834">
          <cell r="A17834">
            <v>3344019</v>
          </cell>
          <cell r="B17834">
            <v>104113</v>
          </cell>
          <cell r="C17834" t="str">
            <v>Lode Heath School</v>
          </cell>
          <cell r="D17834" t="str">
            <v>Solihull</v>
          </cell>
          <cell r="E17834" t="str">
            <v>Community School</v>
          </cell>
          <cell r="F17834" t="str">
            <v>Secondary</v>
          </cell>
        </row>
        <row r="17835">
          <cell r="A17835">
            <v>3344019</v>
          </cell>
          <cell r="B17835">
            <v>137008</v>
          </cell>
          <cell r="C17835" t="str">
            <v>Lode Heath School</v>
          </cell>
          <cell r="D17835" t="str">
            <v>Solihull</v>
          </cell>
          <cell r="E17835" t="str">
            <v>Academy Converters</v>
          </cell>
          <cell r="F17835" t="str">
            <v>Secondary</v>
          </cell>
        </row>
        <row r="17836">
          <cell r="A17836">
            <v>8353046</v>
          </cell>
          <cell r="B17836">
            <v>113773</v>
          </cell>
          <cell r="C17836" t="str">
            <v>Loders CofE VC Primary School</v>
          </cell>
          <cell r="D17836" t="str">
            <v>Dorset</v>
          </cell>
          <cell r="E17836" t="str">
            <v>Voluntary Controlled School</v>
          </cell>
          <cell r="F17836" t="str">
            <v>Primary</v>
          </cell>
        </row>
        <row r="17837">
          <cell r="A17837">
            <v>9242144</v>
          </cell>
          <cell r="B17837">
            <v>129518</v>
          </cell>
          <cell r="C17837" t="str">
            <v>Lodge Farm County Infant School</v>
          </cell>
          <cell r="D17837" t="str">
            <v>Pre LGR (1997) Leicestershire</v>
          </cell>
          <cell r="E17837" t="str">
            <v>Community School</v>
          </cell>
          <cell r="F17837" t="str">
            <v>Primary</v>
          </cell>
        </row>
        <row r="17838">
          <cell r="A17838">
            <v>3352120</v>
          </cell>
          <cell r="B17838">
            <v>127187</v>
          </cell>
          <cell r="C17838" t="str">
            <v>Lodge Farm Infant School</v>
          </cell>
          <cell r="D17838" t="str">
            <v>Walsall</v>
          </cell>
          <cell r="E17838" t="str">
            <v>Community School</v>
          </cell>
          <cell r="F17838" t="str">
            <v>Primary</v>
          </cell>
        </row>
        <row r="17839">
          <cell r="A17839">
            <v>9192255</v>
          </cell>
          <cell r="B17839">
            <v>117238</v>
          </cell>
          <cell r="C17839" t="str">
            <v>Lodge Farm Infants' School</v>
          </cell>
          <cell r="D17839" t="str">
            <v>Hertfordshire</v>
          </cell>
          <cell r="E17839" t="str">
            <v>Community School</v>
          </cell>
          <cell r="F17839" t="str">
            <v>Primary</v>
          </cell>
        </row>
        <row r="17840">
          <cell r="A17840">
            <v>3352238</v>
          </cell>
          <cell r="B17840">
            <v>104215</v>
          </cell>
          <cell r="C17840" t="str">
            <v>Lodge Farm Junior Mixed and Infant School</v>
          </cell>
          <cell r="D17840" t="str">
            <v>Walsall</v>
          </cell>
          <cell r="E17840" t="str">
            <v>Community School</v>
          </cell>
          <cell r="F17840" t="str">
            <v>Primary</v>
          </cell>
        </row>
        <row r="17841">
          <cell r="A17841">
            <v>9192254</v>
          </cell>
          <cell r="B17841">
            <v>117237</v>
          </cell>
          <cell r="C17841" t="str">
            <v>Lodge Farm Junior Mixed School</v>
          </cell>
          <cell r="D17841" t="str">
            <v>Hertfordshire</v>
          </cell>
          <cell r="E17841" t="str">
            <v>Community School</v>
          </cell>
          <cell r="F17841" t="str">
            <v>Primary</v>
          </cell>
        </row>
        <row r="17842">
          <cell r="A17842">
            <v>3352121</v>
          </cell>
          <cell r="B17842">
            <v>127188</v>
          </cell>
          <cell r="C17842" t="str">
            <v>Lodge Farm Junior School</v>
          </cell>
          <cell r="D17842" t="str">
            <v>Walsall</v>
          </cell>
          <cell r="E17842" t="str">
            <v>Community School</v>
          </cell>
          <cell r="F17842" t="str">
            <v>Primary</v>
          </cell>
        </row>
        <row r="17843">
          <cell r="A17843">
            <v>9192008</v>
          </cell>
          <cell r="B17843">
            <v>132091</v>
          </cell>
          <cell r="C17843" t="str">
            <v>Lodge Farm Primary School</v>
          </cell>
          <cell r="D17843" t="str">
            <v>Hertfordshire</v>
          </cell>
          <cell r="E17843" t="str">
            <v>Community School</v>
          </cell>
          <cell r="F17843" t="str">
            <v>Primary</v>
          </cell>
        </row>
        <row r="17844">
          <cell r="A17844">
            <v>9082411</v>
          </cell>
          <cell r="B17844">
            <v>128541</v>
          </cell>
          <cell r="C17844" t="str">
            <v>Lodge Hill Junior School</v>
          </cell>
          <cell r="D17844" t="str">
            <v>Cornwall</v>
          </cell>
          <cell r="E17844" t="str">
            <v>Community School</v>
          </cell>
          <cell r="F17844" t="str">
            <v>Primary</v>
          </cell>
        </row>
        <row r="17845">
          <cell r="A17845">
            <v>9388290</v>
          </cell>
          <cell r="B17845">
            <v>133143</v>
          </cell>
          <cell r="C17845" t="str">
            <v>Lodge Hill Residential Centre</v>
          </cell>
          <cell r="D17845" t="str">
            <v>West Sussex</v>
          </cell>
          <cell r="E17845" t="str">
            <v>Miscellaneous</v>
          </cell>
          <cell r="F17845" t="str">
            <v>Not applicable</v>
          </cell>
        </row>
        <row r="17846">
          <cell r="A17846">
            <v>9262364</v>
          </cell>
          <cell r="B17846">
            <v>120986</v>
          </cell>
          <cell r="C17846" t="str">
            <v>Lodge Lane Infant School</v>
          </cell>
          <cell r="D17846" t="str">
            <v>Norfolk</v>
          </cell>
          <cell r="E17846" t="str">
            <v>Community School</v>
          </cell>
          <cell r="F17846" t="str">
            <v>Primary</v>
          </cell>
        </row>
        <row r="17847">
          <cell r="A17847">
            <v>9285405</v>
          </cell>
          <cell r="B17847">
            <v>122118</v>
          </cell>
          <cell r="C17847" t="str">
            <v>Lodge Park Technology College</v>
          </cell>
          <cell r="D17847" t="str">
            <v>Northamptonshire</v>
          </cell>
          <cell r="E17847" t="str">
            <v>Foundation School</v>
          </cell>
          <cell r="F17847" t="str">
            <v>Secondary</v>
          </cell>
        </row>
        <row r="17848">
          <cell r="A17848">
            <v>3332163</v>
          </cell>
          <cell r="B17848">
            <v>103969</v>
          </cell>
          <cell r="C17848" t="str">
            <v>Lodge Primary School</v>
          </cell>
          <cell r="D17848" t="str">
            <v>Sandwell</v>
          </cell>
          <cell r="E17848" t="str">
            <v>Community School</v>
          </cell>
          <cell r="F17848" t="str">
            <v>Primary</v>
          </cell>
        </row>
        <row r="17849">
          <cell r="A17849">
            <v>3066001</v>
          </cell>
          <cell r="B17849">
            <v>101827</v>
          </cell>
          <cell r="C17849" t="str">
            <v>Lodge School</v>
          </cell>
          <cell r="D17849" t="str">
            <v>Croydon</v>
          </cell>
          <cell r="E17849" t="str">
            <v>Other Independent School</v>
          </cell>
          <cell r="F17849" t="str">
            <v>Not applicable</v>
          </cell>
        </row>
        <row r="17850">
          <cell r="A17850">
            <v>8752353</v>
          </cell>
          <cell r="B17850">
            <v>111162</v>
          </cell>
          <cell r="C17850" t="str">
            <v>Lodgefields Community Primary School</v>
          </cell>
          <cell r="D17850" t="str">
            <v>Pre LGR (2009) Cheshire</v>
          </cell>
          <cell r="E17850" t="str">
            <v>Community School</v>
          </cell>
          <cell r="F17850" t="str">
            <v>Primary</v>
          </cell>
        </row>
        <row r="17851">
          <cell r="A17851">
            <v>3842078</v>
          </cell>
          <cell r="B17851">
            <v>108163</v>
          </cell>
          <cell r="C17851" t="str">
            <v>Lofthouse Gate Primary School</v>
          </cell>
          <cell r="D17851" t="str">
            <v>Wakefield</v>
          </cell>
          <cell r="E17851" t="str">
            <v>Community School</v>
          </cell>
          <cell r="F17851" t="str">
            <v>Primary</v>
          </cell>
        </row>
        <row r="17852">
          <cell r="A17852">
            <v>8072025</v>
          </cell>
          <cell r="B17852">
            <v>111536</v>
          </cell>
          <cell r="C17852" t="str">
            <v>Loftus Junior School</v>
          </cell>
          <cell r="D17852" t="str">
            <v>Redcar and Cleveland</v>
          </cell>
          <cell r="E17852" t="str">
            <v>Community School</v>
          </cell>
          <cell r="F17852" t="str">
            <v>Primary</v>
          </cell>
        </row>
        <row r="17853">
          <cell r="A17853">
            <v>2036296</v>
          </cell>
          <cell r="B17853">
            <v>130282</v>
          </cell>
          <cell r="C17853" t="str">
            <v>Lollipops School (At Bramble House)</v>
          </cell>
          <cell r="D17853" t="str">
            <v>Greenwich</v>
          </cell>
          <cell r="E17853" t="str">
            <v>Other Independent School</v>
          </cell>
          <cell r="F17853" t="str">
            <v>Not applicable</v>
          </cell>
        </row>
        <row r="17854">
          <cell r="A17854">
            <v>8882090</v>
          </cell>
          <cell r="B17854">
            <v>119177</v>
          </cell>
          <cell r="C17854" t="str">
            <v>Lomeshaye Junior School</v>
          </cell>
          <cell r="D17854" t="str">
            <v>Lancashire</v>
          </cell>
          <cell r="E17854" t="str">
            <v>Community School</v>
          </cell>
          <cell r="F17854" t="str">
            <v>Primary</v>
          </cell>
        </row>
        <row r="17855">
          <cell r="A17855">
            <v>3026905</v>
          </cell>
          <cell r="B17855">
            <v>134798</v>
          </cell>
          <cell r="C17855" t="str">
            <v>London Academy</v>
          </cell>
          <cell r="D17855" t="str">
            <v>Barnet</v>
          </cell>
          <cell r="E17855" t="str">
            <v>Academy Sponsor Led</v>
          </cell>
          <cell r="F17855" t="str">
            <v>Secondary</v>
          </cell>
        </row>
        <row r="17856">
          <cell r="A17856">
            <v>3076079</v>
          </cell>
          <cell r="B17856">
            <v>131755</v>
          </cell>
          <cell r="C17856" t="str">
            <v>London Bunka Yochien School</v>
          </cell>
          <cell r="D17856" t="str">
            <v>Ealing</v>
          </cell>
          <cell r="E17856" t="str">
            <v>Other Independent School</v>
          </cell>
          <cell r="F17856" t="str">
            <v>Not applicable</v>
          </cell>
        </row>
        <row r="17857">
          <cell r="A17857">
            <v>213</v>
          </cell>
          <cell r="B17857">
            <v>133860</v>
          </cell>
          <cell r="C17857" t="str">
            <v>London Business School</v>
          </cell>
          <cell r="D17857" t="str">
            <v>Westminster</v>
          </cell>
          <cell r="E17857" t="str">
            <v>Higher Education Institutions</v>
          </cell>
          <cell r="F17857" t="str">
            <v>Not applicable</v>
          </cell>
        </row>
        <row r="17858">
          <cell r="A17858">
            <v>3166067</v>
          </cell>
          <cell r="B17858">
            <v>135091</v>
          </cell>
          <cell r="C17858" t="str">
            <v>London Christian Learning Centre</v>
          </cell>
          <cell r="D17858" t="str">
            <v>Newham</v>
          </cell>
          <cell r="E17858" t="str">
            <v>Other Independent School</v>
          </cell>
          <cell r="F17858" t="str">
            <v>Not applicable</v>
          </cell>
        </row>
        <row r="17859">
          <cell r="A17859">
            <v>2106397</v>
          </cell>
          <cell r="B17859">
            <v>135409</v>
          </cell>
          <cell r="C17859" t="str">
            <v>London Christian School</v>
          </cell>
          <cell r="D17859" t="str">
            <v>Southwark</v>
          </cell>
          <cell r="E17859" t="str">
            <v>Other Independent School</v>
          </cell>
          <cell r="F17859" t="str">
            <v>Not applicable</v>
          </cell>
        </row>
        <row r="17860">
          <cell r="A17860">
            <v>2108024</v>
          </cell>
          <cell r="B17860">
            <v>133167</v>
          </cell>
          <cell r="C17860" t="str">
            <v>London College of Printing &amp; Distributive Trades</v>
          </cell>
          <cell r="D17860" t="str">
            <v>Southwark</v>
          </cell>
          <cell r="E17860" t="str">
            <v>Miscellaneous</v>
          </cell>
          <cell r="F17860" t="str">
            <v>Not applicable</v>
          </cell>
        </row>
        <row r="17861">
          <cell r="A17861">
            <v>9191015</v>
          </cell>
          <cell r="B17861">
            <v>117075</v>
          </cell>
          <cell r="C17861" t="str">
            <v>London Colney Nursery School</v>
          </cell>
          <cell r="D17861" t="str">
            <v>Hertfordshire</v>
          </cell>
          <cell r="E17861" t="str">
            <v>LA Nursery School</v>
          </cell>
          <cell r="F17861" t="str">
            <v>Nursery</v>
          </cell>
        </row>
        <row r="17862">
          <cell r="A17862">
            <v>9192103</v>
          </cell>
          <cell r="B17862">
            <v>117146</v>
          </cell>
          <cell r="C17862" t="str">
            <v>London Colney Primary School</v>
          </cell>
          <cell r="D17862" t="str">
            <v>Hertfordshire</v>
          </cell>
          <cell r="E17862" t="str">
            <v>Community School</v>
          </cell>
          <cell r="F17862" t="str">
            <v>Primary</v>
          </cell>
        </row>
        <row r="17863">
          <cell r="A17863">
            <v>2116394</v>
          </cell>
          <cell r="B17863">
            <v>134810</v>
          </cell>
          <cell r="C17863" t="str">
            <v>London East Academy</v>
          </cell>
          <cell r="D17863" t="str">
            <v>Tower Hamlets</v>
          </cell>
          <cell r="E17863" t="str">
            <v>Other Independent School</v>
          </cell>
          <cell r="F17863" t="str">
            <v>Not applicable</v>
          </cell>
        </row>
        <row r="17864">
          <cell r="A17864">
            <v>2042388</v>
          </cell>
          <cell r="B17864">
            <v>100230</v>
          </cell>
          <cell r="C17864" t="str">
            <v>London Fields Primary School</v>
          </cell>
          <cell r="D17864" t="str">
            <v>Hackney</v>
          </cell>
          <cell r="E17864" t="str">
            <v>Community School</v>
          </cell>
          <cell r="F17864" t="str">
            <v>Primary</v>
          </cell>
        </row>
        <row r="17865">
          <cell r="A17865">
            <v>2116390</v>
          </cell>
          <cell r="B17865">
            <v>132797</v>
          </cell>
          <cell r="C17865" t="str">
            <v>London Islamic School</v>
          </cell>
          <cell r="D17865" t="str">
            <v>Tower Hamlets</v>
          </cell>
          <cell r="E17865" t="str">
            <v>Other Independent School</v>
          </cell>
          <cell r="F17865" t="str">
            <v>Not applicable</v>
          </cell>
        </row>
        <row r="17866">
          <cell r="A17866">
            <v>3026110</v>
          </cell>
          <cell r="B17866">
            <v>131403</v>
          </cell>
          <cell r="C17866" t="str">
            <v>London Jewish Girls' High School</v>
          </cell>
          <cell r="D17866" t="str">
            <v>Barnet</v>
          </cell>
          <cell r="E17866" t="str">
            <v>Other Independent School</v>
          </cell>
          <cell r="F17866" t="str">
            <v>Not applicable</v>
          </cell>
        </row>
        <row r="17867">
          <cell r="A17867">
            <v>9382202</v>
          </cell>
          <cell r="B17867">
            <v>125931</v>
          </cell>
          <cell r="C17867" t="str">
            <v>London Meed Community Primary School</v>
          </cell>
          <cell r="D17867" t="str">
            <v>West Sussex</v>
          </cell>
          <cell r="E17867" t="str">
            <v>Community School</v>
          </cell>
          <cell r="F17867" t="str">
            <v>Primary</v>
          </cell>
        </row>
        <row r="17868">
          <cell r="A17868">
            <v>2066380</v>
          </cell>
          <cell r="B17868">
            <v>131680</v>
          </cell>
          <cell r="C17868" t="str">
            <v>London Meridian Primary and Secondary School</v>
          </cell>
          <cell r="D17868" t="str">
            <v>Islington</v>
          </cell>
          <cell r="E17868" t="str">
            <v>Other Independent School</v>
          </cell>
          <cell r="F17868" t="str">
            <v>Not applicable</v>
          </cell>
        </row>
        <row r="17869">
          <cell r="A17869">
            <v>201</v>
          </cell>
          <cell r="B17869">
            <v>133816</v>
          </cell>
          <cell r="C17869" t="str">
            <v>London Metropolitan University</v>
          </cell>
          <cell r="D17869" t="str">
            <v>City of London</v>
          </cell>
          <cell r="E17869" t="str">
            <v>Higher Education Institutions</v>
          </cell>
          <cell r="F17869" t="str">
            <v>Not applicable</v>
          </cell>
        </row>
        <row r="17870">
          <cell r="A17870">
            <v>2085405</v>
          </cell>
          <cell r="B17870">
            <v>100642</v>
          </cell>
          <cell r="C17870" t="str">
            <v>London Nautical School</v>
          </cell>
          <cell r="D17870" t="str">
            <v>Lambeth</v>
          </cell>
          <cell r="E17870" t="str">
            <v>Foundation School</v>
          </cell>
          <cell r="F17870" t="str">
            <v>Secondary</v>
          </cell>
        </row>
        <row r="17871">
          <cell r="A17871">
            <v>213</v>
          </cell>
          <cell r="B17871">
            <v>133910</v>
          </cell>
          <cell r="C17871" t="str">
            <v>London School of Economics and Political Science</v>
          </cell>
          <cell r="D17871" t="str">
            <v>Westminster</v>
          </cell>
          <cell r="E17871" t="str">
            <v>Higher Education Institutions</v>
          </cell>
          <cell r="F17871" t="str">
            <v>Not applicable</v>
          </cell>
        </row>
        <row r="17872">
          <cell r="A17872">
            <v>202</v>
          </cell>
          <cell r="B17872">
            <v>133903</v>
          </cell>
          <cell r="C17872" t="str">
            <v>London School of Hygiene &amp; Tropical Medicine</v>
          </cell>
          <cell r="D17872" t="str">
            <v>Camden</v>
          </cell>
          <cell r="E17872" t="str">
            <v>Higher Education Institutions</v>
          </cell>
          <cell r="F17872" t="str">
            <v>Not applicable</v>
          </cell>
        </row>
        <row r="17873">
          <cell r="A17873">
            <v>3128220</v>
          </cell>
          <cell r="B17873">
            <v>133052</v>
          </cell>
          <cell r="C17873" t="str">
            <v>London School of Theology</v>
          </cell>
          <cell r="D17873" t="str">
            <v>Hillingdon</v>
          </cell>
          <cell r="E17873" t="str">
            <v>Miscellaneous</v>
          </cell>
          <cell r="F17873" t="str">
            <v>Not applicable</v>
          </cell>
        </row>
        <row r="17874">
          <cell r="A17874">
            <v>210</v>
          </cell>
          <cell r="B17874">
            <v>133873</v>
          </cell>
          <cell r="C17874" t="str">
            <v>London South Bank University</v>
          </cell>
          <cell r="D17874" t="str">
            <v>Southwark</v>
          </cell>
          <cell r="E17874" t="str">
            <v>Higher Education Institutions</v>
          </cell>
          <cell r="F17874" t="str">
            <v>Not applicable</v>
          </cell>
        </row>
        <row r="17875">
          <cell r="A17875">
            <v>3551004</v>
          </cell>
          <cell r="B17875">
            <v>105868</v>
          </cell>
          <cell r="C17875" t="str">
            <v>London Street Nursery School</v>
          </cell>
          <cell r="D17875" t="str">
            <v>Salford</v>
          </cell>
          <cell r="E17875" t="str">
            <v>LA Nursery School</v>
          </cell>
          <cell r="F17875" t="str">
            <v>Nursery</v>
          </cell>
        </row>
        <row r="17876">
          <cell r="A17876">
            <v>3152064</v>
          </cell>
          <cell r="B17876">
            <v>102636</v>
          </cell>
          <cell r="C17876" t="str">
            <v>Lonesome Primary School</v>
          </cell>
          <cell r="D17876" t="str">
            <v>Merton</v>
          </cell>
          <cell r="E17876" t="str">
            <v>Community School</v>
          </cell>
          <cell r="F17876" t="str">
            <v>Primary</v>
          </cell>
        </row>
        <row r="17877">
          <cell r="A17877">
            <v>9253040</v>
          </cell>
          <cell r="B17877">
            <v>120529</v>
          </cell>
          <cell r="C17877" t="str">
            <v>Long Bennington Church of England Primary School</v>
          </cell>
          <cell r="D17877" t="str">
            <v>Lincolnshire</v>
          </cell>
          <cell r="E17877" t="str">
            <v>Voluntary Controlled School</v>
          </cell>
          <cell r="F17877" t="str">
            <v>Primary</v>
          </cell>
        </row>
        <row r="17878">
          <cell r="A17878">
            <v>9282068</v>
          </cell>
          <cell r="B17878">
            <v>121844</v>
          </cell>
          <cell r="C17878" t="str">
            <v>Long Buckby Infant School</v>
          </cell>
          <cell r="D17878" t="str">
            <v>Northamptonshire</v>
          </cell>
          <cell r="E17878" t="str">
            <v>Community School</v>
          </cell>
          <cell r="F17878" t="str">
            <v>Primary</v>
          </cell>
        </row>
        <row r="17879">
          <cell r="A17879">
            <v>9282067</v>
          </cell>
          <cell r="B17879">
            <v>121843</v>
          </cell>
          <cell r="C17879" t="str">
            <v>Long Buckby Junior School</v>
          </cell>
          <cell r="D17879" t="str">
            <v>Northamptonshire</v>
          </cell>
          <cell r="E17879" t="str">
            <v>Community School</v>
          </cell>
          <cell r="F17879" t="str">
            <v>Primary</v>
          </cell>
        </row>
        <row r="17880">
          <cell r="A17880">
            <v>8553053</v>
          </cell>
          <cell r="B17880">
            <v>120141</v>
          </cell>
          <cell r="C17880" t="str">
            <v>Long Clawson Church of England Primary School</v>
          </cell>
          <cell r="D17880" t="str">
            <v>Leicestershire</v>
          </cell>
          <cell r="E17880" t="str">
            <v>Voluntary Controlled School</v>
          </cell>
          <cell r="F17880" t="str">
            <v>Primary</v>
          </cell>
        </row>
        <row r="17881">
          <cell r="A17881">
            <v>8716001</v>
          </cell>
          <cell r="B17881">
            <v>110162</v>
          </cell>
          <cell r="C17881" t="str">
            <v>Long Close School</v>
          </cell>
          <cell r="D17881" t="str">
            <v>Slough</v>
          </cell>
          <cell r="E17881" t="str">
            <v>Other Independent School</v>
          </cell>
          <cell r="F17881" t="str">
            <v>Not applicable</v>
          </cell>
        </row>
        <row r="17882">
          <cell r="A17882">
            <v>9247210</v>
          </cell>
          <cell r="B17882">
            <v>120360</v>
          </cell>
          <cell r="C17882" t="str">
            <v>Long Close School</v>
          </cell>
          <cell r="D17882" t="str">
            <v>Pre LGR (1997) Leicestershire</v>
          </cell>
          <cell r="E17882" t="str">
            <v>Community Special School</v>
          </cell>
          <cell r="F17882" t="str">
            <v>Special</v>
          </cell>
        </row>
        <row r="17883">
          <cell r="A17883">
            <v>9372037</v>
          </cell>
          <cell r="B17883">
            <v>125517</v>
          </cell>
          <cell r="C17883" t="str">
            <v>Long Compton Junior and Infant School</v>
          </cell>
          <cell r="D17883" t="str">
            <v>Warwickshire</v>
          </cell>
          <cell r="E17883" t="str">
            <v>Community School</v>
          </cell>
          <cell r="F17883" t="str">
            <v>Primary</v>
          </cell>
        </row>
        <row r="17884">
          <cell r="A17884">
            <v>8252261</v>
          </cell>
          <cell r="B17884">
            <v>110338</v>
          </cell>
          <cell r="C17884" t="str">
            <v>Long Crendon School</v>
          </cell>
          <cell r="D17884" t="str">
            <v>Buckinghamshire</v>
          </cell>
          <cell r="E17884" t="str">
            <v>Community School</v>
          </cell>
          <cell r="F17884" t="str">
            <v>Primary</v>
          </cell>
        </row>
        <row r="17885">
          <cell r="A17885">
            <v>8013341</v>
          </cell>
          <cell r="B17885">
            <v>135781</v>
          </cell>
          <cell r="C17885" t="str">
            <v>Long Cross Primary and Nursery School</v>
          </cell>
          <cell r="D17885" t="str">
            <v>Bristol City of</v>
          </cell>
          <cell r="E17885" t="str">
            <v>Community School</v>
          </cell>
          <cell r="F17885" t="str">
            <v>Primary</v>
          </cell>
        </row>
        <row r="17886">
          <cell r="A17886">
            <v>9362101</v>
          </cell>
          <cell r="B17886">
            <v>124966</v>
          </cell>
          <cell r="C17886" t="str">
            <v>Long Ditton Infant and Nursery School</v>
          </cell>
          <cell r="D17886" t="str">
            <v>Surrey</v>
          </cell>
          <cell r="E17886" t="str">
            <v>Community School</v>
          </cell>
          <cell r="F17886" t="str">
            <v>Primary</v>
          </cell>
        </row>
        <row r="17887">
          <cell r="A17887">
            <v>9363343</v>
          </cell>
          <cell r="B17887">
            <v>125180</v>
          </cell>
          <cell r="C17887" t="str">
            <v>Long Ditton St Mary's CofE (Aided) Junior School</v>
          </cell>
          <cell r="D17887" t="str">
            <v>Surrey</v>
          </cell>
          <cell r="E17887" t="str">
            <v>Voluntary Aided School</v>
          </cell>
          <cell r="F17887" t="str">
            <v>Primary</v>
          </cell>
        </row>
        <row r="17888">
          <cell r="A17888">
            <v>8555400</v>
          </cell>
          <cell r="B17888">
            <v>120308</v>
          </cell>
          <cell r="C17888" t="str">
            <v>Long Field School</v>
          </cell>
          <cell r="D17888" t="str">
            <v>Leicestershire</v>
          </cell>
          <cell r="E17888" t="str">
            <v>Foundation School</v>
          </cell>
          <cell r="F17888" t="str">
            <v>Secondary</v>
          </cell>
        </row>
        <row r="17889">
          <cell r="A17889">
            <v>9312602</v>
          </cell>
          <cell r="B17889">
            <v>123085</v>
          </cell>
          <cell r="C17889" t="str">
            <v>Long Furlong Primary School</v>
          </cell>
          <cell r="D17889" t="str">
            <v>Oxfordshire</v>
          </cell>
          <cell r="E17889" t="str">
            <v>Community School</v>
          </cell>
          <cell r="F17889" t="str">
            <v>Primary</v>
          </cell>
        </row>
        <row r="17890">
          <cell r="A17890">
            <v>9373039</v>
          </cell>
          <cell r="B17890">
            <v>125638</v>
          </cell>
          <cell r="C17890" t="str">
            <v>Long Itchington CofE First School</v>
          </cell>
          <cell r="D17890" t="str">
            <v>Warwickshire</v>
          </cell>
          <cell r="E17890" t="str">
            <v>Voluntary Controlled School</v>
          </cell>
          <cell r="F17890" t="str">
            <v>Primary</v>
          </cell>
        </row>
        <row r="17891">
          <cell r="A17891">
            <v>9373211</v>
          </cell>
          <cell r="B17891">
            <v>130874</v>
          </cell>
          <cell r="C17891" t="str">
            <v>Long Itchington CofE Primary School</v>
          </cell>
          <cell r="D17891" t="str">
            <v>Warwickshire</v>
          </cell>
          <cell r="E17891" t="str">
            <v>Voluntary Controlled School</v>
          </cell>
          <cell r="F17891" t="str">
            <v>Primary</v>
          </cell>
        </row>
        <row r="17892">
          <cell r="A17892">
            <v>3362058</v>
          </cell>
          <cell r="B17892">
            <v>104320</v>
          </cell>
          <cell r="C17892" t="str">
            <v>Long Knowle Primary School</v>
          </cell>
          <cell r="D17892" t="str">
            <v>Wolverhampton</v>
          </cell>
          <cell r="E17892" t="str">
            <v>Community School</v>
          </cell>
          <cell r="F17892" t="str">
            <v>Primary</v>
          </cell>
        </row>
        <row r="17893">
          <cell r="A17893">
            <v>8303076</v>
          </cell>
          <cell r="B17893">
            <v>112846</v>
          </cell>
          <cell r="C17893" t="str">
            <v>Long Lane Church of England Primary School</v>
          </cell>
          <cell r="D17893" t="str">
            <v>Derbyshire</v>
          </cell>
          <cell r="E17893" t="str">
            <v>Voluntary Controlled School</v>
          </cell>
          <cell r="F17893" t="str">
            <v>Primary</v>
          </cell>
        </row>
        <row r="17894">
          <cell r="A17894">
            <v>8692119</v>
          </cell>
          <cell r="B17894">
            <v>109853</v>
          </cell>
          <cell r="C17894" t="str">
            <v>Long Lane Primary School</v>
          </cell>
          <cell r="D17894" t="str">
            <v>West Berkshire</v>
          </cell>
          <cell r="E17894" t="str">
            <v>Community School</v>
          </cell>
          <cell r="F17894" t="str">
            <v>Primary</v>
          </cell>
        </row>
        <row r="17895">
          <cell r="A17895">
            <v>9372405</v>
          </cell>
          <cell r="B17895">
            <v>125570</v>
          </cell>
          <cell r="C17895" t="str">
            <v>Long Lawford Primary School</v>
          </cell>
          <cell r="D17895" t="str">
            <v>Warwickshire</v>
          </cell>
          <cell r="E17895" t="str">
            <v>Community School</v>
          </cell>
          <cell r="F17895" t="str">
            <v>Primary</v>
          </cell>
        </row>
        <row r="17896">
          <cell r="A17896">
            <v>3802128</v>
          </cell>
          <cell r="B17896">
            <v>107265</v>
          </cell>
          <cell r="C17896" t="str">
            <v>Long Lee Primary School</v>
          </cell>
          <cell r="D17896" t="str">
            <v>Bradford</v>
          </cell>
          <cell r="E17896" t="str">
            <v>Community School</v>
          </cell>
          <cell r="F17896" t="str">
            <v>Primary</v>
          </cell>
        </row>
        <row r="17897">
          <cell r="A17897">
            <v>3362088</v>
          </cell>
          <cell r="B17897">
            <v>104333</v>
          </cell>
          <cell r="C17897" t="str">
            <v>Long Ley Primary School</v>
          </cell>
          <cell r="D17897" t="str">
            <v>Wolverhampton</v>
          </cell>
          <cell r="E17897" t="str">
            <v>Community School</v>
          </cell>
          <cell r="F17897" t="str">
            <v>Primary</v>
          </cell>
        </row>
        <row r="17898">
          <cell r="A17898">
            <v>8153255</v>
          </cell>
          <cell r="B17898">
            <v>121575</v>
          </cell>
          <cell r="C17898" t="str">
            <v>Long Marston Church of England Voluntary Controlled Primary School</v>
          </cell>
          <cell r="D17898" t="str">
            <v>North Yorkshire</v>
          </cell>
          <cell r="E17898" t="str">
            <v>Voluntary Controlled School</v>
          </cell>
          <cell r="F17898" t="str">
            <v>Primary</v>
          </cell>
        </row>
        <row r="17899">
          <cell r="A17899">
            <v>9193373</v>
          </cell>
          <cell r="B17899">
            <v>117459</v>
          </cell>
          <cell r="C17899" t="str">
            <v>Long Marston VA Church of England Primary School</v>
          </cell>
          <cell r="D17899" t="str">
            <v>Hertfordshire</v>
          </cell>
          <cell r="E17899" t="str">
            <v>Voluntary Aided School</v>
          </cell>
          <cell r="F17899" t="str">
            <v>Primary</v>
          </cell>
        </row>
        <row r="17900">
          <cell r="A17900">
            <v>9092313</v>
          </cell>
          <cell r="B17900">
            <v>112182</v>
          </cell>
          <cell r="C17900" t="str">
            <v>Long Marton School</v>
          </cell>
          <cell r="D17900" t="str">
            <v>Cumbria</v>
          </cell>
          <cell r="E17900" t="str">
            <v>Community School</v>
          </cell>
          <cell r="F17900" t="str">
            <v>Primary</v>
          </cell>
        </row>
        <row r="17901">
          <cell r="A17901">
            <v>8862662</v>
          </cell>
          <cell r="B17901">
            <v>118575</v>
          </cell>
          <cell r="C17901" t="str">
            <v>Long Mead Community Primary School</v>
          </cell>
          <cell r="D17901" t="str">
            <v>Kent</v>
          </cell>
          <cell r="E17901" t="str">
            <v>Community School</v>
          </cell>
          <cell r="F17901" t="str">
            <v>Primary</v>
          </cell>
        </row>
        <row r="17902">
          <cell r="A17902">
            <v>9222515</v>
          </cell>
          <cell r="B17902">
            <v>129388</v>
          </cell>
          <cell r="C17902" t="str">
            <v>Long Mead County Infant School</v>
          </cell>
          <cell r="D17902" t="str">
            <v>Pre LGR (1998) Kent</v>
          </cell>
          <cell r="E17902" t="str">
            <v>Community School</v>
          </cell>
          <cell r="F17902" t="str">
            <v>Primary</v>
          </cell>
        </row>
        <row r="17903">
          <cell r="A17903">
            <v>9222498</v>
          </cell>
          <cell r="B17903">
            <v>129386</v>
          </cell>
          <cell r="C17903" t="str">
            <v>Long Mead County Junior School</v>
          </cell>
          <cell r="D17903" t="str">
            <v>Pre LGR (1998) Kent</v>
          </cell>
          <cell r="E17903" t="str">
            <v>Community School</v>
          </cell>
          <cell r="F17903" t="str">
            <v>Primary</v>
          </cell>
        </row>
        <row r="17904">
          <cell r="A17904">
            <v>8933158</v>
          </cell>
          <cell r="B17904">
            <v>123531</v>
          </cell>
          <cell r="C17904" t="str">
            <v>Long Meadow CofE Primary and Nursery School</v>
          </cell>
          <cell r="D17904" t="str">
            <v>Shropshire</v>
          </cell>
          <cell r="E17904" t="str">
            <v>Voluntary Controlled School</v>
          </cell>
          <cell r="F17904" t="str">
            <v>Primary</v>
          </cell>
        </row>
        <row r="17905">
          <cell r="A17905">
            <v>8262007</v>
          </cell>
          <cell r="B17905">
            <v>132787</v>
          </cell>
          <cell r="C17905" t="str">
            <v>Long Meadow School</v>
          </cell>
          <cell r="D17905" t="str">
            <v>Milton Keynes</v>
          </cell>
          <cell r="E17905" t="str">
            <v>Community School</v>
          </cell>
          <cell r="F17905" t="str">
            <v>Primary</v>
          </cell>
        </row>
        <row r="17906">
          <cell r="A17906">
            <v>9353045</v>
          </cell>
          <cell r="B17906">
            <v>124707</v>
          </cell>
          <cell r="C17906" t="str">
            <v>Long Melford Church of England Voluntary Controlled Primary School</v>
          </cell>
          <cell r="D17906" t="str">
            <v>Suffolk</v>
          </cell>
          <cell r="E17906" t="str">
            <v>Voluntary Controlled School</v>
          </cell>
          <cell r="F17906" t="str">
            <v>Primary</v>
          </cell>
        </row>
        <row r="17907">
          <cell r="A17907">
            <v>8153362</v>
          </cell>
          <cell r="B17907">
            <v>121631</v>
          </cell>
          <cell r="C17907" t="str">
            <v>Long Preston Endowed Voluntary Aided Primary School</v>
          </cell>
          <cell r="D17907" t="str">
            <v>North Yorkshire</v>
          </cell>
          <cell r="E17907" t="str">
            <v>Voluntary Aided School</v>
          </cell>
          <cell r="F17907" t="str">
            <v>Primary</v>
          </cell>
        </row>
        <row r="17908">
          <cell r="A17908">
            <v>8812588</v>
          </cell>
          <cell r="B17908">
            <v>114902</v>
          </cell>
          <cell r="C17908" t="str">
            <v>Long Ridings Primary School</v>
          </cell>
          <cell r="D17908" t="str">
            <v>Essex</v>
          </cell>
          <cell r="E17908" t="str">
            <v>Community School</v>
          </cell>
          <cell r="F17908" t="str">
            <v>Primary</v>
          </cell>
        </row>
        <row r="17909">
          <cell r="A17909">
            <v>9054026</v>
          </cell>
          <cell r="B17909">
            <v>128384</v>
          </cell>
          <cell r="C17909" t="str">
            <v>Long Road Sixth Form College</v>
          </cell>
          <cell r="D17909" t="str">
            <v>Pre LGR (1998) Cambridgeshire</v>
          </cell>
          <cell r="E17909" t="str">
            <v>Community School</v>
          </cell>
          <cell r="F17909" t="str">
            <v>Secondary</v>
          </cell>
        </row>
        <row r="17910">
          <cell r="A17910">
            <v>8738601</v>
          </cell>
          <cell r="B17910">
            <v>130616</v>
          </cell>
          <cell r="C17910" t="str">
            <v>Long Road Sixth Form College</v>
          </cell>
          <cell r="D17910" t="str">
            <v>Cambridgeshire</v>
          </cell>
          <cell r="E17910" t="str">
            <v>Further Education</v>
          </cell>
          <cell r="F17910" t="str">
            <v>16 Plus</v>
          </cell>
        </row>
        <row r="17911">
          <cell r="A17911">
            <v>8302622</v>
          </cell>
          <cell r="B17911">
            <v>112785</v>
          </cell>
          <cell r="C17911" t="str">
            <v>Long Row Primary School</v>
          </cell>
          <cell r="D17911" t="str">
            <v>Derbyshire</v>
          </cell>
          <cell r="E17911" t="str">
            <v>Community School</v>
          </cell>
          <cell r="F17911" t="str">
            <v>Primary</v>
          </cell>
        </row>
        <row r="17912">
          <cell r="A17912">
            <v>9264040</v>
          </cell>
          <cell r="B17912">
            <v>121160</v>
          </cell>
          <cell r="C17912" t="str">
            <v>Long Stratton High School</v>
          </cell>
          <cell r="D17912" t="str">
            <v>Norfolk</v>
          </cell>
          <cell r="E17912" t="str">
            <v>Community School</v>
          </cell>
          <cell r="F17912" t="str">
            <v>Secondary</v>
          </cell>
        </row>
        <row r="17913">
          <cell r="A17913">
            <v>8503096</v>
          </cell>
          <cell r="B17913">
            <v>116298</v>
          </cell>
          <cell r="C17913" t="str">
            <v>Long Sutton Church of England Primary School</v>
          </cell>
          <cell r="D17913" t="str">
            <v>Hampshire</v>
          </cell>
          <cell r="E17913" t="str">
            <v>Voluntary Controlled School</v>
          </cell>
          <cell r="F17913" t="str">
            <v>Primary</v>
          </cell>
        </row>
        <row r="17914">
          <cell r="A17914">
            <v>9333331</v>
          </cell>
          <cell r="B17914">
            <v>123835</v>
          </cell>
          <cell r="C17914" t="str">
            <v>Long Sutton CofE Primary School</v>
          </cell>
          <cell r="D17914" t="str">
            <v>Somerset</v>
          </cell>
          <cell r="E17914" t="str">
            <v>Voluntary Aided School</v>
          </cell>
          <cell r="F17914" t="str">
            <v>Primary</v>
          </cell>
        </row>
        <row r="17915">
          <cell r="A17915">
            <v>9252095</v>
          </cell>
          <cell r="B17915">
            <v>120416</v>
          </cell>
          <cell r="C17915" t="str">
            <v>Long Sutton Primary School</v>
          </cell>
          <cell r="D17915" t="str">
            <v>Lincolnshire</v>
          </cell>
          <cell r="E17915" t="str">
            <v>Community School</v>
          </cell>
          <cell r="F17915" t="str">
            <v>Primary</v>
          </cell>
        </row>
        <row r="17916">
          <cell r="A17916">
            <v>3712209</v>
          </cell>
          <cell r="B17916">
            <v>133637</v>
          </cell>
          <cell r="C17916" t="str">
            <v>Long Toft Primary School</v>
          </cell>
          <cell r="D17916" t="str">
            <v>Doncaster</v>
          </cell>
          <cell r="E17916" t="str">
            <v>Community School</v>
          </cell>
          <cell r="F17916" t="str">
            <v>Primary</v>
          </cell>
        </row>
        <row r="17917">
          <cell r="A17917">
            <v>8553054</v>
          </cell>
          <cell r="B17917">
            <v>120142</v>
          </cell>
          <cell r="C17917" t="str">
            <v>Long Whatton Church of England Primary School and Community Centre</v>
          </cell>
          <cell r="D17917" t="str">
            <v>Leicestershire</v>
          </cell>
          <cell r="E17917" t="str">
            <v>Voluntary Controlled School</v>
          </cell>
          <cell r="F17917" t="str">
            <v>Primary</v>
          </cell>
        </row>
        <row r="17918">
          <cell r="A17918">
            <v>9313233</v>
          </cell>
          <cell r="B17918">
            <v>123153</v>
          </cell>
          <cell r="C17918" t="str">
            <v>Long Wittenham (Church of England) Primary School</v>
          </cell>
          <cell r="D17918" t="str">
            <v>Oxfordshire</v>
          </cell>
          <cell r="E17918" t="str">
            <v>Voluntary Controlled School</v>
          </cell>
          <cell r="F17918" t="str">
            <v>Primary</v>
          </cell>
        </row>
        <row r="17919">
          <cell r="A17919">
            <v>9306075</v>
          </cell>
          <cell r="B17919">
            <v>129734</v>
          </cell>
          <cell r="C17919" t="str">
            <v>Longacre Preparatory School</v>
          </cell>
          <cell r="D17919" t="str">
            <v>Pre LGR (1998) Nottinghamshire</v>
          </cell>
          <cell r="E17919" t="str">
            <v>Other Independent School</v>
          </cell>
          <cell r="F17919" t="str">
            <v>Not applicable</v>
          </cell>
        </row>
        <row r="17920">
          <cell r="A17920">
            <v>9366315</v>
          </cell>
          <cell r="B17920">
            <v>125393</v>
          </cell>
          <cell r="C17920" t="str">
            <v>Longacre School</v>
          </cell>
          <cell r="D17920" t="str">
            <v>Surrey</v>
          </cell>
          <cell r="E17920" t="str">
            <v>Other Independent School</v>
          </cell>
          <cell r="F17920" t="str">
            <v>Not applicable</v>
          </cell>
        </row>
        <row r="17921">
          <cell r="A17921">
            <v>8772429</v>
          </cell>
          <cell r="B17921">
            <v>111200</v>
          </cell>
          <cell r="C17921" t="str">
            <v>Longbarn Community Primary School</v>
          </cell>
          <cell r="D17921" t="str">
            <v>Warrington</v>
          </cell>
          <cell r="E17921" t="str">
            <v>Community School</v>
          </cell>
          <cell r="F17921" t="str">
            <v>Primary</v>
          </cell>
        </row>
        <row r="17922">
          <cell r="A17922">
            <v>3924039</v>
          </cell>
          <cell r="B17922">
            <v>108645</v>
          </cell>
          <cell r="C17922" t="str">
            <v>Longbenton Community College</v>
          </cell>
          <cell r="D17922" t="str">
            <v>North Tyneside</v>
          </cell>
          <cell r="E17922" t="str">
            <v>Foundation School</v>
          </cell>
          <cell r="F17922" t="str">
            <v>Secondary</v>
          </cell>
        </row>
        <row r="17923">
          <cell r="A17923">
            <v>9163045</v>
          </cell>
          <cell r="B17923">
            <v>115632</v>
          </cell>
          <cell r="C17923" t="str">
            <v>Longborough Church of England Primary School</v>
          </cell>
          <cell r="D17923" t="str">
            <v>Gloucestershire</v>
          </cell>
          <cell r="E17923" t="str">
            <v>Voluntary Controlled School</v>
          </cell>
          <cell r="F17923" t="str">
            <v>Primary</v>
          </cell>
        </row>
        <row r="17924">
          <cell r="A17924">
            <v>8797068</v>
          </cell>
          <cell r="B17924">
            <v>113650</v>
          </cell>
          <cell r="C17924" t="str">
            <v>Longcause Community Special School</v>
          </cell>
          <cell r="D17924" t="str">
            <v>Plymouth</v>
          </cell>
          <cell r="E17924" t="str">
            <v>Community Special School</v>
          </cell>
          <cell r="F17924" t="str">
            <v>Special</v>
          </cell>
        </row>
        <row r="17925">
          <cell r="A17925">
            <v>9313232</v>
          </cell>
          <cell r="B17925">
            <v>123152</v>
          </cell>
          <cell r="C17925" t="str">
            <v>Longcot and Fernham Church of England Primary School</v>
          </cell>
          <cell r="D17925" t="str">
            <v>Oxfordshire</v>
          </cell>
          <cell r="E17925" t="str">
            <v>Voluntary Controlled School</v>
          </cell>
          <cell r="F17925" t="str">
            <v>Primary</v>
          </cell>
        </row>
        <row r="17926">
          <cell r="A17926">
            <v>8114051</v>
          </cell>
          <cell r="B17926">
            <v>118073</v>
          </cell>
          <cell r="C17926" t="str">
            <v>Longcroft School</v>
          </cell>
          <cell r="D17926" t="str">
            <v>East Riding of Yorkshire</v>
          </cell>
          <cell r="E17926" t="str">
            <v>Community School</v>
          </cell>
          <cell r="F17926" t="str">
            <v>Secondary</v>
          </cell>
        </row>
        <row r="17927">
          <cell r="A17927">
            <v>9194080</v>
          </cell>
          <cell r="B17927">
            <v>117523</v>
          </cell>
          <cell r="C17927" t="str">
            <v>Longdean School</v>
          </cell>
          <cell r="D17927" t="str">
            <v>Hertfordshire</v>
          </cell>
          <cell r="E17927" t="str">
            <v>Community School</v>
          </cell>
          <cell r="F17927" t="str">
            <v>Secondary</v>
          </cell>
        </row>
        <row r="17928">
          <cell r="A17928">
            <v>9194080</v>
          </cell>
          <cell r="B17928">
            <v>137110</v>
          </cell>
          <cell r="C17928" t="str">
            <v>Longdean School</v>
          </cell>
          <cell r="D17928" t="str">
            <v>Hertfordshire</v>
          </cell>
          <cell r="E17928" t="str">
            <v>Academy Converters</v>
          </cell>
          <cell r="F17928" t="str">
            <v>Secondary</v>
          </cell>
        </row>
        <row r="17929">
          <cell r="A17929">
            <v>8933321</v>
          </cell>
          <cell r="B17929">
            <v>123546</v>
          </cell>
          <cell r="C17929" t="str">
            <v>Longden CofE Primary School</v>
          </cell>
          <cell r="D17929" t="str">
            <v>Shropshire</v>
          </cell>
          <cell r="E17929" t="str">
            <v>Voluntary Aided School</v>
          </cell>
          <cell r="F17929" t="str">
            <v>Primary</v>
          </cell>
        </row>
        <row r="17930">
          <cell r="A17930">
            <v>3574023</v>
          </cell>
          <cell r="B17930">
            <v>106267</v>
          </cell>
          <cell r="C17930" t="str">
            <v>Longdendale Community Language College</v>
          </cell>
          <cell r="D17930" t="str">
            <v>Tameside</v>
          </cell>
          <cell r="E17930" t="str">
            <v>Community School</v>
          </cell>
          <cell r="F17930" t="str">
            <v>Secondary</v>
          </cell>
        </row>
        <row r="17931">
          <cell r="A17931">
            <v>8606007</v>
          </cell>
          <cell r="B17931">
            <v>124483</v>
          </cell>
          <cell r="C17931" t="str">
            <v>Longdon Hall School</v>
          </cell>
          <cell r="D17931" t="str">
            <v>Staffordshire</v>
          </cell>
          <cell r="E17931" t="str">
            <v>Independent School Approved for SEN Pupils</v>
          </cell>
          <cell r="F17931" t="str">
            <v>Not applicable</v>
          </cell>
        </row>
        <row r="17932">
          <cell r="A17932">
            <v>8606037</v>
          </cell>
          <cell r="B17932">
            <v>137098</v>
          </cell>
          <cell r="C17932" t="str">
            <v>Longdon Hall School</v>
          </cell>
          <cell r="D17932" t="str">
            <v>Staffordshire</v>
          </cell>
          <cell r="E17932" t="str">
            <v>Other Independent Special School</v>
          </cell>
          <cell r="F17932" t="str">
            <v>Not applicable</v>
          </cell>
        </row>
        <row r="17933">
          <cell r="A17933">
            <v>8853352</v>
          </cell>
          <cell r="B17933">
            <v>116897</v>
          </cell>
          <cell r="C17933" t="str">
            <v>Longdon St Mary's Church of England (VA) Primary School</v>
          </cell>
          <cell r="D17933" t="str">
            <v>Worcestershire</v>
          </cell>
          <cell r="E17933" t="str">
            <v>Voluntary Aided School</v>
          </cell>
          <cell r="F17933" t="str">
            <v>Primary</v>
          </cell>
        </row>
        <row r="17934">
          <cell r="A17934">
            <v>8866914</v>
          </cell>
          <cell r="B17934">
            <v>135630</v>
          </cell>
          <cell r="C17934" t="str">
            <v>Longfield Academy</v>
          </cell>
          <cell r="D17934" t="str">
            <v>Kent</v>
          </cell>
          <cell r="E17934" t="str">
            <v>Academy Sponsor Led</v>
          </cell>
          <cell r="F17934" t="str">
            <v>Secondary</v>
          </cell>
        </row>
        <row r="17935">
          <cell r="A17935">
            <v>9224536</v>
          </cell>
          <cell r="B17935">
            <v>129441</v>
          </cell>
          <cell r="C17935" t="str">
            <v>Longfield CofE Middle School</v>
          </cell>
          <cell r="D17935" t="str">
            <v>Pre LGR (1998) Kent</v>
          </cell>
          <cell r="E17935" t="str">
            <v>Voluntary Controlled School</v>
          </cell>
          <cell r="F17935" t="str">
            <v>Middle Deemed Secondary</v>
          </cell>
        </row>
        <row r="17936">
          <cell r="A17936">
            <v>3102075</v>
          </cell>
          <cell r="B17936">
            <v>102206</v>
          </cell>
          <cell r="C17936" t="str">
            <v>Longfield Infant School and Nursery</v>
          </cell>
          <cell r="D17936" t="str">
            <v>Harrow</v>
          </cell>
          <cell r="E17936" t="str">
            <v>Community School</v>
          </cell>
          <cell r="F17936" t="str">
            <v>Primary</v>
          </cell>
        </row>
        <row r="17937">
          <cell r="A17937">
            <v>3102066</v>
          </cell>
          <cell r="B17937">
            <v>102199</v>
          </cell>
          <cell r="C17937" t="str">
            <v>Longfield Primary School</v>
          </cell>
          <cell r="D17937" t="str">
            <v>Harrow</v>
          </cell>
          <cell r="E17937" t="str">
            <v>Community School</v>
          </cell>
          <cell r="F17937" t="str">
            <v>Primary</v>
          </cell>
        </row>
        <row r="17938">
          <cell r="A17938">
            <v>8414287</v>
          </cell>
          <cell r="B17938">
            <v>114322</v>
          </cell>
          <cell r="C17938" t="str">
            <v>Longfield School</v>
          </cell>
          <cell r="D17938" t="str">
            <v>Darlington</v>
          </cell>
          <cell r="E17938" t="str">
            <v>Community School</v>
          </cell>
          <cell r="F17938" t="str">
            <v>Secondary</v>
          </cell>
        </row>
        <row r="17939">
          <cell r="A17939">
            <v>8414287</v>
          </cell>
          <cell r="B17939">
            <v>137222</v>
          </cell>
          <cell r="C17939" t="str">
            <v>Longfield School</v>
          </cell>
          <cell r="D17939" t="str">
            <v>Darlington</v>
          </cell>
          <cell r="E17939" t="str">
            <v>Academy Converters</v>
          </cell>
          <cell r="F17939" t="str">
            <v>Secondary</v>
          </cell>
        </row>
        <row r="17940">
          <cell r="A17940">
            <v>3071100</v>
          </cell>
          <cell r="B17940">
            <v>101863</v>
          </cell>
          <cell r="C17940" t="str">
            <v>Longfield Tutorial Centre</v>
          </cell>
          <cell r="D17940" t="str">
            <v>Ealing</v>
          </cell>
          <cell r="E17940" t="str">
            <v>Pupil Referral Unit</v>
          </cell>
          <cell r="F17940" t="str">
            <v>PRU</v>
          </cell>
        </row>
        <row r="17941">
          <cell r="A17941">
            <v>9311029</v>
          </cell>
          <cell r="B17941">
            <v>122981</v>
          </cell>
          <cell r="C17941" t="str">
            <v>Longfields Nursery School</v>
          </cell>
          <cell r="D17941" t="str">
            <v>Oxfordshire</v>
          </cell>
          <cell r="E17941" t="str">
            <v>LA Nursery School</v>
          </cell>
          <cell r="F17941" t="str">
            <v>Nursery</v>
          </cell>
        </row>
        <row r="17942">
          <cell r="A17942">
            <v>9312207</v>
          </cell>
          <cell r="B17942">
            <v>123008</v>
          </cell>
          <cell r="C17942" t="str">
            <v>Longfields Primary and Nursery School</v>
          </cell>
          <cell r="D17942" t="str">
            <v>Oxfordshire</v>
          </cell>
          <cell r="E17942" t="str">
            <v>Community School</v>
          </cell>
          <cell r="F17942" t="str">
            <v>Primary</v>
          </cell>
        </row>
        <row r="17943">
          <cell r="A17943">
            <v>8363152</v>
          </cell>
          <cell r="B17943">
            <v>113782</v>
          </cell>
          <cell r="C17943" t="str">
            <v>Longfleet Church of England Voluntary Controlled Combined School</v>
          </cell>
          <cell r="D17943" t="str">
            <v>Poole</v>
          </cell>
          <cell r="E17943" t="str">
            <v>Voluntary Controlled School</v>
          </cell>
          <cell r="F17943" t="str">
            <v>Middle Deemed Primary</v>
          </cell>
        </row>
        <row r="17944">
          <cell r="A17944">
            <v>8653017</v>
          </cell>
          <cell r="B17944">
            <v>126304</v>
          </cell>
          <cell r="C17944" t="str">
            <v>Longford CofE (VC) Primary School</v>
          </cell>
          <cell r="D17944" t="str">
            <v>Wiltshire</v>
          </cell>
          <cell r="E17944" t="str">
            <v>Voluntary Controlled School</v>
          </cell>
          <cell r="F17944" t="str">
            <v>Primary</v>
          </cell>
        </row>
        <row r="17945">
          <cell r="A17945">
            <v>8303064</v>
          </cell>
          <cell r="B17945">
            <v>112835</v>
          </cell>
          <cell r="C17945" t="str">
            <v>Longford CofE Primary School</v>
          </cell>
          <cell r="D17945" t="str">
            <v>Derbyshire</v>
          </cell>
          <cell r="E17945" t="str">
            <v>Voluntary Controlled School</v>
          </cell>
          <cell r="F17945" t="str">
            <v>Primary</v>
          </cell>
        </row>
        <row r="17946">
          <cell r="A17946">
            <v>3134022</v>
          </cell>
          <cell r="B17946">
            <v>102534</v>
          </cell>
          <cell r="C17946" t="str">
            <v>Longford Community School</v>
          </cell>
          <cell r="D17946" t="str">
            <v>Hounslow</v>
          </cell>
          <cell r="E17946" t="str">
            <v>Community School</v>
          </cell>
          <cell r="F17946" t="str">
            <v>Secondary</v>
          </cell>
        </row>
        <row r="17947">
          <cell r="A17947">
            <v>9342351</v>
          </cell>
          <cell r="B17947">
            <v>129902</v>
          </cell>
          <cell r="C17947" t="str">
            <v>Longford Junior School</v>
          </cell>
          <cell r="D17947" t="str">
            <v>Pre LGR (1997) Staffordshire</v>
          </cell>
          <cell r="E17947" t="str">
            <v>Community School</v>
          </cell>
          <cell r="F17947" t="str">
            <v>Primary</v>
          </cell>
        </row>
        <row r="17948">
          <cell r="A17948">
            <v>3312150</v>
          </cell>
          <cell r="B17948">
            <v>103648</v>
          </cell>
          <cell r="C17948" t="str">
            <v>Longford Park Primary School</v>
          </cell>
          <cell r="D17948" t="str">
            <v>Coventry</v>
          </cell>
          <cell r="E17948" t="str">
            <v>Community School</v>
          </cell>
          <cell r="F17948" t="str">
            <v>Primary</v>
          </cell>
        </row>
        <row r="17949">
          <cell r="A17949">
            <v>3587003</v>
          </cell>
          <cell r="B17949">
            <v>106392</v>
          </cell>
          <cell r="C17949" t="str">
            <v>Longford Park School</v>
          </cell>
          <cell r="D17949" t="str">
            <v>Trafford</v>
          </cell>
          <cell r="E17949" t="str">
            <v>Community Special School</v>
          </cell>
          <cell r="F17949" t="str">
            <v>Special</v>
          </cell>
        </row>
        <row r="17950">
          <cell r="A17950">
            <v>8602189</v>
          </cell>
          <cell r="B17950">
            <v>124074</v>
          </cell>
          <cell r="C17950" t="str">
            <v>Longford Primary School</v>
          </cell>
          <cell r="D17950" t="str">
            <v>Staffordshire</v>
          </cell>
          <cell r="E17950" t="str">
            <v>Community School</v>
          </cell>
          <cell r="F17950" t="str">
            <v>Primary</v>
          </cell>
        </row>
        <row r="17951">
          <cell r="A17951">
            <v>9167002</v>
          </cell>
          <cell r="B17951">
            <v>115811</v>
          </cell>
          <cell r="C17951" t="str">
            <v>Longford School</v>
          </cell>
          <cell r="D17951" t="str">
            <v>Gloucestershire</v>
          </cell>
          <cell r="E17951" t="str">
            <v>Community Special School</v>
          </cell>
          <cell r="F17951" t="str">
            <v>Special</v>
          </cell>
        </row>
        <row r="17952">
          <cell r="A17952">
            <v>8464018</v>
          </cell>
          <cell r="B17952">
            <v>114581</v>
          </cell>
          <cell r="C17952" t="str">
            <v>Longhill High School</v>
          </cell>
          <cell r="D17952" t="str">
            <v>Brighton and Hove</v>
          </cell>
          <cell r="E17952" t="str">
            <v>Community School</v>
          </cell>
          <cell r="F17952" t="str">
            <v>Secondary</v>
          </cell>
        </row>
        <row r="17953">
          <cell r="A17953">
            <v>9204474</v>
          </cell>
          <cell r="B17953">
            <v>129305</v>
          </cell>
          <cell r="C17953" t="str">
            <v>Longhill Junior High School</v>
          </cell>
          <cell r="D17953" t="str">
            <v>Pre LGR (1996) Humberside</v>
          </cell>
          <cell r="E17953" t="str">
            <v>Community School</v>
          </cell>
          <cell r="F17953" t="str">
            <v>Secondary</v>
          </cell>
        </row>
        <row r="17954">
          <cell r="A17954">
            <v>8102403</v>
          </cell>
          <cell r="B17954">
            <v>117800</v>
          </cell>
          <cell r="C17954" t="str">
            <v>Longhill Primary School</v>
          </cell>
          <cell r="D17954" t="str">
            <v>Kingston upon Hull City of</v>
          </cell>
          <cell r="E17954" t="str">
            <v>Community School</v>
          </cell>
          <cell r="F17954" t="str">
            <v>Primary</v>
          </cell>
        </row>
        <row r="17955">
          <cell r="A17955">
            <v>9163046</v>
          </cell>
          <cell r="B17955">
            <v>115633</v>
          </cell>
          <cell r="C17955" t="str">
            <v>Longhope Church of England Primary School</v>
          </cell>
          <cell r="D17955" t="str">
            <v>Gloucestershire</v>
          </cell>
          <cell r="E17955" t="str">
            <v>Voluntary Controlled School</v>
          </cell>
          <cell r="F17955" t="str">
            <v>Primary</v>
          </cell>
        </row>
        <row r="17956">
          <cell r="A17956">
            <v>9293347</v>
          </cell>
          <cell r="B17956">
            <v>122283</v>
          </cell>
          <cell r="C17956" t="str">
            <v>Longhorsley St Helen's Church of England Aided First School</v>
          </cell>
          <cell r="D17956" t="str">
            <v>Northumberland</v>
          </cell>
          <cell r="E17956" t="str">
            <v>Voluntary Aided School</v>
          </cell>
          <cell r="F17956" t="str">
            <v>Primary</v>
          </cell>
        </row>
        <row r="17957">
          <cell r="A17957">
            <v>9293173</v>
          </cell>
          <cell r="B17957">
            <v>122277</v>
          </cell>
          <cell r="C17957" t="str">
            <v>Longhoughton Church of England First School</v>
          </cell>
          <cell r="D17957" t="str">
            <v>Northumberland</v>
          </cell>
          <cell r="E17957" t="str">
            <v>Voluntary Controlled School</v>
          </cell>
          <cell r="F17957" t="str">
            <v>Primary</v>
          </cell>
        </row>
        <row r="17958">
          <cell r="A17958">
            <v>9078002</v>
          </cell>
          <cell r="B17958">
            <v>132874</v>
          </cell>
          <cell r="C17958" t="str">
            <v>Longlands College of Further Education</v>
          </cell>
          <cell r="D17958" t="str">
            <v>Pre LGR (1996) Cleveland</v>
          </cell>
          <cell r="E17958" t="str">
            <v>Miscellaneous</v>
          </cell>
          <cell r="F17958" t="str">
            <v>Not applicable</v>
          </cell>
        </row>
        <row r="17959">
          <cell r="A17959">
            <v>3032049</v>
          </cell>
          <cell r="B17959">
            <v>101429</v>
          </cell>
          <cell r="C17959" t="str">
            <v>Longlands Primary School</v>
          </cell>
          <cell r="D17959" t="str">
            <v>Bexley</v>
          </cell>
          <cell r="E17959" t="str">
            <v>Community School</v>
          </cell>
          <cell r="F17959" t="str">
            <v>Primary</v>
          </cell>
        </row>
        <row r="17960">
          <cell r="A17960">
            <v>8932145</v>
          </cell>
          <cell r="B17960">
            <v>123423</v>
          </cell>
          <cell r="C17960" t="str">
            <v>Longlands Primary School</v>
          </cell>
          <cell r="D17960" t="str">
            <v>Shropshire</v>
          </cell>
          <cell r="E17960" t="str">
            <v>Community School</v>
          </cell>
          <cell r="F17960" t="str">
            <v>Primary</v>
          </cell>
        </row>
        <row r="17961">
          <cell r="A17961">
            <v>9192411</v>
          </cell>
          <cell r="B17961">
            <v>117326</v>
          </cell>
          <cell r="C17961" t="str">
            <v>Longlands Primary School and Nursery</v>
          </cell>
          <cell r="D17961" t="str">
            <v>Hertfordshire</v>
          </cell>
          <cell r="E17961" t="str">
            <v>Community School</v>
          </cell>
          <cell r="F17961" t="str">
            <v>Primary</v>
          </cell>
        </row>
        <row r="17962">
          <cell r="A17962">
            <v>8652184</v>
          </cell>
          <cell r="B17962">
            <v>126262</v>
          </cell>
          <cell r="C17962" t="str">
            <v>Longleaze Primary School</v>
          </cell>
          <cell r="D17962" t="str">
            <v>Wiltshire</v>
          </cell>
          <cell r="E17962" t="str">
            <v>Community School</v>
          </cell>
          <cell r="F17962" t="str">
            <v>Primary</v>
          </cell>
        </row>
        <row r="17963">
          <cell r="A17963">
            <v>9162033</v>
          </cell>
          <cell r="B17963">
            <v>115498</v>
          </cell>
          <cell r="C17963" t="str">
            <v>Longlevens Infant School</v>
          </cell>
          <cell r="D17963" t="str">
            <v>Gloucestershire</v>
          </cell>
          <cell r="E17963" t="str">
            <v>Community School</v>
          </cell>
          <cell r="F17963" t="str">
            <v>Primary</v>
          </cell>
        </row>
        <row r="17964">
          <cell r="A17964">
            <v>9162031</v>
          </cell>
          <cell r="B17964">
            <v>115496</v>
          </cell>
          <cell r="C17964" t="str">
            <v>Longlevens Junior School</v>
          </cell>
          <cell r="D17964" t="str">
            <v>Gloucestershire</v>
          </cell>
          <cell r="E17964" t="str">
            <v>Community School</v>
          </cell>
          <cell r="F17964" t="str">
            <v>Primary</v>
          </cell>
        </row>
        <row r="17965">
          <cell r="A17965">
            <v>9164014</v>
          </cell>
          <cell r="B17965">
            <v>128955</v>
          </cell>
          <cell r="C17965" t="str">
            <v>Longlevens School</v>
          </cell>
          <cell r="D17965" t="str">
            <v>Gloucestershire</v>
          </cell>
          <cell r="E17965" t="str">
            <v>Community School</v>
          </cell>
          <cell r="F17965" t="str">
            <v>Secondary</v>
          </cell>
        </row>
        <row r="17966">
          <cell r="A17966">
            <v>3738023</v>
          </cell>
          <cell r="B17966">
            <v>133991</v>
          </cell>
          <cell r="C17966" t="str">
            <v>Longley Park Sixth Form College</v>
          </cell>
          <cell r="D17966" t="str">
            <v>Sheffield</v>
          </cell>
          <cell r="E17966" t="str">
            <v>Further Education</v>
          </cell>
          <cell r="F17966" t="str">
            <v>16 Plus</v>
          </cell>
        </row>
        <row r="17967">
          <cell r="A17967">
            <v>3732326</v>
          </cell>
          <cell r="B17967">
            <v>107070</v>
          </cell>
          <cell r="C17967" t="str">
            <v>Longley Primary School</v>
          </cell>
          <cell r="D17967" t="str">
            <v>Sheffield</v>
          </cell>
          <cell r="E17967" t="str">
            <v>Community School</v>
          </cell>
          <cell r="F17967" t="str">
            <v>Primary</v>
          </cell>
        </row>
        <row r="17968">
          <cell r="A17968">
            <v>3827001</v>
          </cell>
          <cell r="B17968">
            <v>107797</v>
          </cell>
          <cell r="C17968" t="str">
            <v>Longley School</v>
          </cell>
          <cell r="D17968" t="str">
            <v>Kirklees</v>
          </cell>
          <cell r="E17968" t="str">
            <v>Community Special School</v>
          </cell>
          <cell r="F17968" t="str">
            <v>Special</v>
          </cell>
        </row>
        <row r="17969">
          <cell r="A17969">
            <v>9362207</v>
          </cell>
          <cell r="B17969">
            <v>130031</v>
          </cell>
          <cell r="C17969" t="str">
            <v>Longmead County First School</v>
          </cell>
          <cell r="D17969" t="str">
            <v>Surrey</v>
          </cell>
          <cell r="E17969" t="str">
            <v>Community School</v>
          </cell>
          <cell r="F17969" t="str">
            <v>Primary</v>
          </cell>
        </row>
        <row r="17970">
          <cell r="A17970">
            <v>9192200</v>
          </cell>
          <cell r="B17970">
            <v>117208</v>
          </cell>
          <cell r="C17970" t="str">
            <v>Longmeadow Infant and Nursery School</v>
          </cell>
          <cell r="D17970" t="str">
            <v>Hertfordshire</v>
          </cell>
          <cell r="E17970" t="str">
            <v>Community School</v>
          </cell>
          <cell r="F17970" t="str">
            <v>Primary</v>
          </cell>
        </row>
        <row r="17971">
          <cell r="A17971">
            <v>9192199</v>
          </cell>
          <cell r="B17971">
            <v>117207</v>
          </cell>
          <cell r="C17971" t="str">
            <v>Longmeadow Junior School</v>
          </cell>
          <cell r="D17971" t="str">
            <v>Hertfordshire</v>
          </cell>
          <cell r="E17971" t="str">
            <v>Community School</v>
          </cell>
          <cell r="F17971" t="str">
            <v>Primary</v>
          </cell>
        </row>
        <row r="17972">
          <cell r="A17972">
            <v>9193983</v>
          </cell>
          <cell r="B17972">
            <v>135083</v>
          </cell>
          <cell r="C17972" t="str">
            <v>Longmeadow Primary School</v>
          </cell>
          <cell r="D17972" t="str">
            <v>Hertfordshire</v>
          </cell>
          <cell r="E17972" t="str">
            <v>Community School</v>
          </cell>
          <cell r="F17972" t="str">
            <v>Primary</v>
          </cell>
        </row>
        <row r="17973">
          <cell r="A17973">
            <v>3304155</v>
          </cell>
          <cell r="B17973">
            <v>127059</v>
          </cell>
          <cell r="C17973" t="str">
            <v>Longmeadow School</v>
          </cell>
          <cell r="D17973" t="str">
            <v>Birmingham</v>
          </cell>
          <cell r="E17973" t="str">
            <v>Community School</v>
          </cell>
          <cell r="F17973" t="str">
            <v>Secondary</v>
          </cell>
        </row>
        <row r="17974">
          <cell r="A17974">
            <v>3412241</v>
          </cell>
          <cell r="B17974">
            <v>133334</v>
          </cell>
          <cell r="C17974" t="str">
            <v>Longmoor Community Primary School</v>
          </cell>
          <cell r="D17974" t="str">
            <v>Liverpool</v>
          </cell>
          <cell r="E17974" t="str">
            <v>Community School</v>
          </cell>
          <cell r="F17974" t="str">
            <v>Primary</v>
          </cell>
        </row>
        <row r="17975">
          <cell r="A17975">
            <v>3412157</v>
          </cell>
          <cell r="B17975">
            <v>104584</v>
          </cell>
          <cell r="C17975" t="str">
            <v>Longmoor Infant and Nursery School</v>
          </cell>
          <cell r="D17975" t="str">
            <v>Liverpool</v>
          </cell>
          <cell r="E17975" t="str">
            <v>Community School</v>
          </cell>
          <cell r="F17975" t="str">
            <v>Primary</v>
          </cell>
        </row>
        <row r="17976">
          <cell r="A17976">
            <v>3412205</v>
          </cell>
          <cell r="B17976">
            <v>104604</v>
          </cell>
          <cell r="C17976" t="str">
            <v>Longmoor Junior School</v>
          </cell>
          <cell r="D17976" t="str">
            <v>Liverpool</v>
          </cell>
          <cell r="E17976" t="str">
            <v>Community School</v>
          </cell>
          <cell r="F17976" t="str">
            <v>Primary</v>
          </cell>
        </row>
        <row r="17977">
          <cell r="A17977">
            <v>8302161</v>
          </cell>
          <cell r="B17977">
            <v>112585</v>
          </cell>
          <cell r="C17977" t="str">
            <v>Longmoor Primary School</v>
          </cell>
          <cell r="D17977" t="str">
            <v>Derbyshire</v>
          </cell>
          <cell r="E17977" t="str">
            <v>Community School</v>
          </cell>
          <cell r="F17977" t="str">
            <v>Primary</v>
          </cell>
        </row>
        <row r="17978">
          <cell r="A17978">
            <v>3307061</v>
          </cell>
          <cell r="B17978">
            <v>103631</v>
          </cell>
          <cell r="C17978" t="str">
            <v>Longmoor School and Residential Unit</v>
          </cell>
          <cell r="D17978" t="str">
            <v>Birmingham</v>
          </cell>
          <cell r="E17978" t="str">
            <v>Community Special School</v>
          </cell>
          <cell r="F17978" t="str">
            <v>Special</v>
          </cell>
        </row>
        <row r="17979">
          <cell r="A17979">
            <v>9163047</v>
          </cell>
          <cell r="B17979">
            <v>115634</v>
          </cell>
          <cell r="C17979" t="str">
            <v>Longney Church of England Primary School</v>
          </cell>
          <cell r="D17979" t="str">
            <v>Gloucestershire</v>
          </cell>
          <cell r="E17979" t="str">
            <v>Voluntary Controlled School</v>
          </cell>
          <cell r="F17979" t="str">
            <v>Primary</v>
          </cell>
        </row>
        <row r="17980">
          <cell r="A17980">
            <v>8933068</v>
          </cell>
          <cell r="B17980">
            <v>123482</v>
          </cell>
          <cell r="C17980" t="str">
            <v>Longnor CofE Primary School</v>
          </cell>
          <cell r="D17980" t="str">
            <v>Shropshire</v>
          </cell>
          <cell r="E17980" t="str">
            <v>Voluntary Controlled School</v>
          </cell>
          <cell r="F17980" t="str">
            <v>Primary</v>
          </cell>
        </row>
        <row r="17981">
          <cell r="A17981">
            <v>8503357</v>
          </cell>
          <cell r="B17981">
            <v>116364</v>
          </cell>
          <cell r="C17981" t="str">
            <v>Longparish Church of England Primary School</v>
          </cell>
          <cell r="D17981" t="str">
            <v>Hampshire</v>
          </cell>
          <cell r="E17981" t="str">
            <v>Voluntary Aided School</v>
          </cell>
          <cell r="F17981" t="str">
            <v>Primary</v>
          </cell>
        </row>
        <row r="17982">
          <cell r="A17982">
            <v>8883583</v>
          </cell>
          <cell r="B17982">
            <v>119568</v>
          </cell>
          <cell r="C17982" t="str">
            <v>Longridge Church of England Primary School</v>
          </cell>
          <cell r="D17982" t="str">
            <v>Lancashire</v>
          </cell>
          <cell r="E17982" t="str">
            <v>Voluntary Aided School</v>
          </cell>
          <cell r="F17982" t="str">
            <v>Primary</v>
          </cell>
        </row>
        <row r="17983">
          <cell r="A17983">
            <v>8884168</v>
          </cell>
          <cell r="B17983">
            <v>119749</v>
          </cell>
          <cell r="C17983" t="str">
            <v>Longridge High School A Maths and Computing College</v>
          </cell>
          <cell r="D17983" t="str">
            <v>Lancashire</v>
          </cell>
          <cell r="E17983" t="str">
            <v>Community School</v>
          </cell>
          <cell r="F17983" t="str">
            <v>Secondary</v>
          </cell>
        </row>
        <row r="17984">
          <cell r="A17984">
            <v>8883728</v>
          </cell>
          <cell r="B17984">
            <v>119636</v>
          </cell>
          <cell r="C17984" t="str">
            <v>Longridge St Wilfrid's Roman Catholic Primary School</v>
          </cell>
          <cell r="D17984" t="str">
            <v>Lancashire</v>
          </cell>
          <cell r="E17984" t="str">
            <v>Voluntary Aided School</v>
          </cell>
          <cell r="F17984" t="str">
            <v>Primary</v>
          </cell>
        </row>
        <row r="17985">
          <cell r="A17985">
            <v>9296001</v>
          </cell>
          <cell r="B17985">
            <v>122376</v>
          </cell>
          <cell r="C17985" t="str">
            <v>Longridge Towers School</v>
          </cell>
          <cell r="D17985" t="str">
            <v>Northumberland</v>
          </cell>
          <cell r="E17985" t="str">
            <v>Other Independent School</v>
          </cell>
          <cell r="F17985" t="str">
            <v>Not applicable</v>
          </cell>
        </row>
        <row r="17986">
          <cell r="A17986">
            <v>3815207</v>
          </cell>
          <cell r="B17986">
            <v>107501</v>
          </cell>
          <cell r="C17986" t="str">
            <v>Longroyde Junior School</v>
          </cell>
          <cell r="D17986" t="str">
            <v>Calderdale</v>
          </cell>
          <cell r="E17986" t="str">
            <v>Foundation School</v>
          </cell>
          <cell r="F17986" t="str">
            <v>Primary</v>
          </cell>
        </row>
        <row r="17987">
          <cell r="A17987">
            <v>8735411</v>
          </cell>
          <cell r="B17987">
            <v>136992</v>
          </cell>
          <cell r="C17987" t="str">
            <v>Longsands Academy</v>
          </cell>
          <cell r="D17987" t="str">
            <v>Cambridgeshire</v>
          </cell>
          <cell r="E17987" t="str">
            <v>Academy Converters</v>
          </cell>
          <cell r="F17987" t="str">
            <v>Secondary</v>
          </cell>
        </row>
        <row r="17988">
          <cell r="A17988">
            <v>8735411</v>
          </cell>
          <cell r="B17988">
            <v>110905</v>
          </cell>
          <cell r="C17988" t="str">
            <v>Longsands College</v>
          </cell>
          <cell r="D17988" t="str">
            <v>Cambridgeshire</v>
          </cell>
          <cell r="E17988" t="str">
            <v>Foundation School</v>
          </cell>
          <cell r="F17988" t="str">
            <v>Secondary</v>
          </cell>
        </row>
        <row r="17989">
          <cell r="A17989">
            <v>8882833</v>
          </cell>
          <cell r="B17989">
            <v>130261</v>
          </cell>
          <cell r="C17989" t="str">
            <v>Longsands Community Primary School</v>
          </cell>
          <cell r="D17989" t="str">
            <v>Lancashire</v>
          </cell>
          <cell r="E17989" t="str">
            <v>Community School</v>
          </cell>
          <cell r="F17989" t="str">
            <v>Primary</v>
          </cell>
        </row>
        <row r="17990">
          <cell r="A17990">
            <v>8892007</v>
          </cell>
          <cell r="B17990">
            <v>119119</v>
          </cell>
          <cell r="C17990" t="str">
            <v>Longshaw Community Junior School</v>
          </cell>
          <cell r="D17990" t="str">
            <v>Blackburn with Darwen</v>
          </cell>
          <cell r="E17990" t="str">
            <v>Community School</v>
          </cell>
          <cell r="F17990" t="str">
            <v>Primary</v>
          </cell>
        </row>
        <row r="17991">
          <cell r="A17991">
            <v>8892013</v>
          </cell>
          <cell r="B17991">
            <v>119125</v>
          </cell>
          <cell r="C17991" t="str">
            <v>Longshaw Infant School</v>
          </cell>
          <cell r="D17991" t="str">
            <v>Blackburn with Darwen</v>
          </cell>
          <cell r="E17991" t="str">
            <v>Community School</v>
          </cell>
          <cell r="F17991" t="str">
            <v>Primary</v>
          </cell>
        </row>
        <row r="17992">
          <cell r="A17992">
            <v>8891022</v>
          </cell>
          <cell r="B17992">
            <v>119084</v>
          </cell>
          <cell r="C17992" t="str">
            <v>Longshaw Nursery School</v>
          </cell>
          <cell r="D17992" t="str">
            <v>Blackburn with Darwen</v>
          </cell>
          <cell r="E17992" t="str">
            <v>LA Nursery School</v>
          </cell>
          <cell r="F17992" t="str">
            <v>Nursery</v>
          </cell>
        </row>
        <row r="17993">
          <cell r="A17993">
            <v>3202004</v>
          </cell>
          <cell r="B17993">
            <v>103035</v>
          </cell>
          <cell r="C17993" t="str">
            <v>Longshaw Primary School</v>
          </cell>
          <cell r="D17993" t="str">
            <v>Waltham Forest</v>
          </cell>
          <cell r="E17993" t="str">
            <v>Community School</v>
          </cell>
          <cell r="F17993" t="str">
            <v>Primary</v>
          </cell>
        </row>
        <row r="17994">
          <cell r="A17994">
            <v>3502082</v>
          </cell>
          <cell r="B17994">
            <v>105201</v>
          </cell>
          <cell r="C17994" t="str">
            <v>Longsight Community Primary School</v>
          </cell>
          <cell r="D17994" t="str">
            <v>Bolton</v>
          </cell>
          <cell r="E17994" t="str">
            <v>Community School</v>
          </cell>
          <cell r="F17994" t="str">
            <v>Primary</v>
          </cell>
        </row>
        <row r="17995">
          <cell r="A17995">
            <v>3527052</v>
          </cell>
          <cell r="B17995">
            <v>105619</v>
          </cell>
          <cell r="C17995" t="str">
            <v>Longsight Park School</v>
          </cell>
          <cell r="D17995" t="str">
            <v>Manchester</v>
          </cell>
          <cell r="E17995" t="str">
            <v>Community Special School</v>
          </cell>
          <cell r="F17995" t="str">
            <v>Special</v>
          </cell>
        </row>
        <row r="17996">
          <cell r="A17996">
            <v>8554039</v>
          </cell>
          <cell r="B17996">
            <v>120261</v>
          </cell>
          <cell r="C17996" t="str">
            <v>Longslade Community College</v>
          </cell>
          <cell r="D17996" t="str">
            <v>Leicestershire</v>
          </cell>
          <cell r="E17996" t="str">
            <v>Community School</v>
          </cell>
          <cell r="F17996" t="str">
            <v>Secondary</v>
          </cell>
        </row>
        <row r="17997">
          <cell r="A17997">
            <v>8367015</v>
          </cell>
          <cell r="B17997">
            <v>113963</v>
          </cell>
          <cell r="C17997" t="str">
            <v>Longspee School</v>
          </cell>
          <cell r="D17997" t="str">
            <v>Poole</v>
          </cell>
          <cell r="E17997" t="str">
            <v>Community Special School</v>
          </cell>
          <cell r="F17997" t="str">
            <v>Special</v>
          </cell>
        </row>
        <row r="17998">
          <cell r="A17998">
            <v>8303325</v>
          </cell>
          <cell r="B17998">
            <v>112887</v>
          </cell>
          <cell r="C17998" t="str">
            <v>Longstone CofE Primary School</v>
          </cell>
          <cell r="D17998" t="str">
            <v>Derbyshire</v>
          </cell>
          <cell r="E17998" t="str">
            <v>Voluntary Aided School</v>
          </cell>
          <cell r="F17998" t="str">
            <v>Primary</v>
          </cell>
        </row>
        <row r="17999">
          <cell r="A17999">
            <v>9082721</v>
          </cell>
          <cell r="B17999">
            <v>111965</v>
          </cell>
          <cell r="C17999" t="str">
            <v>Longstone Infant School</v>
          </cell>
          <cell r="D17999" t="str">
            <v>Cornwall</v>
          </cell>
          <cell r="E17999" t="str">
            <v>Community School</v>
          </cell>
          <cell r="F17999" t="str">
            <v>Primary</v>
          </cell>
        </row>
        <row r="18000">
          <cell r="A18000">
            <v>8742297</v>
          </cell>
          <cell r="B18000">
            <v>110736</v>
          </cell>
          <cell r="C18000" t="str">
            <v>Longthorpe Primary School</v>
          </cell>
          <cell r="D18000" t="str">
            <v>Peterborough</v>
          </cell>
          <cell r="E18000" t="str">
            <v>Community School</v>
          </cell>
          <cell r="F18000" t="str">
            <v>Primary</v>
          </cell>
        </row>
        <row r="18001">
          <cell r="A18001">
            <v>9232638</v>
          </cell>
          <cell r="B18001">
            <v>129472</v>
          </cell>
          <cell r="C18001" t="str">
            <v>Longton County Infant School</v>
          </cell>
          <cell r="D18001" t="str">
            <v>Pre LGR (1998) Lancashire</v>
          </cell>
          <cell r="E18001" t="str">
            <v>Community School</v>
          </cell>
          <cell r="F18001" t="str">
            <v>Primary</v>
          </cell>
        </row>
        <row r="18002">
          <cell r="A18002">
            <v>9232057</v>
          </cell>
          <cell r="B18002">
            <v>133135</v>
          </cell>
          <cell r="C18002" t="str">
            <v>Longton County Junior School</v>
          </cell>
          <cell r="D18002" t="str">
            <v>Pre LGR (1998) Lancashire</v>
          </cell>
          <cell r="E18002" t="str">
            <v>Community School</v>
          </cell>
          <cell r="F18002" t="str">
            <v>Primary</v>
          </cell>
        </row>
        <row r="18003">
          <cell r="A18003">
            <v>8614040</v>
          </cell>
          <cell r="B18003">
            <v>124386</v>
          </cell>
          <cell r="C18003" t="str">
            <v>Longton High School</v>
          </cell>
          <cell r="D18003" t="str">
            <v>Stoke-on-Trent</v>
          </cell>
          <cell r="E18003" t="str">
            <v>Community School</v>
          </cell>
          <cell r="F18003" t="str">
            <v>Secondary</v>
          </cell>
        </row>
        <row r="18004">
          <cell r="A18004">
            <v>3422059</v>
          </cell>
          <cell r="B18004">
            <v>104777</v>
          </cell>
          <cell r="C18004" t="str">
            <v>Longton Lane Community Primary School</v>
          </cell>
          <cell r="D18004" t="str">
            <v>St. Helens</v>
          </cell>
          <cell r="E18004" t="str">
            <v>Community School</v>
          </cell>
          <cell r="F18004" t="str">
            <v>Primary</v>
          </cell>
        </row>
        <row r="18005">
          <cell r="A18005">
            <v>8882830</v>
          </cell>
          <cell r="B18005">
            <v>119350</v>
          </cell>
          <cell r="C18005" t="str">
            <v>Longton Primary School</v>
          </cell>
          <cell r="D18005" t="str">
            <v>Lancashire</v>
          </cell>
          <cell r="E18005" t="str">
            <v>Community School</v>
          </cell>
          <cell r="F18005" t="str">
            <v>Primary</v>
          </cell>
        </row>
        <row r="18006">
          <cell r="A18006">
            <v>8842101</v>
          </cell>
          <cell r="B18006">
            <v>116705</v>
          </cell>
          <cell r="C18006" t="str">
            <v>Longtown Community Primary School</v>
          </cell>
          <cell r="D18006" t="str">
            <v>Herefordshire</v>
          </cell>
          <cell r="E18006" t="str">
            <v>Community School</v>
          </cell>
          <cell r="F18006" t="str">
            <v>Primary</v>
          </cell>
        </row>
        <row r="18007">
          <cell r="A18007">
            <v>9092037</v>
          </cell>
          <cell r="B18007">
            <v>112115</v>
          </cell>
          <cell r="C18007" t="str">
            <v>Longtown Infant School</v>
          </cell>
          <cell r="D18007" t="str">
            <v>Cumbria</v>
          </cell>
          <cell r="E18007" t="str">
            <v>Community School</v>
          </cell>
          <cell r="F18007" t="str">
            <v>Primary</v>
          </cell>
        </row>
        <row r="18008">
          <cell r="A18008">
            <v>9095224</v>
          </cell>
          <cell r="B18008">
            <v>112426</v>
          </cell>
          <cell r="C18008" t="str">
            <v>Longtown Junior School</v>
          </cell>
          <cell r="D18008" t="str">
            <v>Cumbria</v>
          </cell>
          <cell r="E18008" t="str">
            <v>Foundation School</v>
          </cell>
          <cell r="F18008" t="str">
            <v>Primary</v>
          </cell>
        </row>
        <row r="18009">
          <cell r="A18009">
            <v>9092719</v>
          </cell>
          <cell r="B18009">
            <v>133387</v>
          </cell>
          <cell r="C18009" t="str">
            <v>Longtown Primary School</v>
          </cell>
          <cell r="D18009" t="str">
            <v>Cumbria</v>
          </cell>
          <cell r="E18009" t="str">
            <v>Foundation School</v>
          </cell>
          <cell r="F18009" t="str">
            <v>Primary</v>
          </cell>
        </row>
        <row r="18010">
          <cell r="A18010">
            <v>8002293</v>
          </cell>
          <cell r="B18010">
            <v>109107</v>
          </cell>
          <cell r="C18010" t="str">
            <v>Longvernal Primary School</v>
          </cell>
          <cell r="D18010" t="str">
            <v>Bath and North East Somerset</v>
          </cell>
          <cell r="E18010" t="str">
            <v>Community School</v>
          </cell>
          <cell r="F18010" t="str">
            <v>Primary</v>
          </cell>
        </row>
        <row r="18011">
          <cell r="A18011">
            <v>8811108</v>
          </cell>
          <cell r="B18011">
            <v>134260</v>
          </cell>
          <cell r="C18011" t="str">
            <v>Longview Adolescent Psychiatric Unit</v>
          </cell>
          <cell r="D18011" t="str">
            <v>Essex</v>
          </cell>
          <cell r="E18011" t="str">
            <v>Pupil Referral Unit</v>
          </cell>
          <cell r="F18011" t="str">
            <v>PRU</v>
          </cell>
        </row>
        <row r="18012">
          <cell r="A18012">
            <v>3402005</v>
          </cell>
          <cell r="B18012">
            <v>104422</v>
          </cell>
          <cell r="C18012" t="str">
            <v>Longview Community School</v>
          </cell>
          <cell r="D18012" t="str">
            <v>Knowsley</v>
          </cell>
          <cell r="E18012" t="str">
            <v>Community School</v>
          </cell>
          <cell r="F18012" t="str">
            <v>Primary</v>
          </cell>
        </row>
        <row r="18013">
          <cell r="A18013">
            <v>8032194</v>
          </cell>
          <cell r="B18013">
            <v>109030</v>
          </cell>
          <cell r="C18013" t="str">
            <v>Longwell Green Primary School</v>
          </cell>
          <cell r="D18013" t="str">
            <v>South Gloucestershire</v>
          </cell>
          <cell r="E18013" t="str">
            <v>Community School</v>
          </cell>
          <cell r="F18013" t="str">
            <v>Primary</v>
          </cell>
        </row>
        <row r="18014">
          <cell r="A18014">
            <v>8253043</v>
          </cell>
          <cell r="B18014">
            <v>110432</v>
          </cell>
          <cell r="C18014" t="str">
            <v>Longwick Church of England Combined School</v>
          </cell>
          <cell r="D18014" t="str">
            <v>Buckinghamshire</v>
          </cell>
          <cell r="E18014" t="str">
            <v>Voluntary Controlled School</v>
          </cell>
          <cell r="F18014" t="str">
            <v>Primary</v>
          </cell>
        </row>
        <row r="18015">
          <cell r="A18015">
            <v>3307012</v>
          </cell>
          <cell r="B18015">
            <v>103603</v>
          </cell>
          <cell r="C18015" t="str">
            <v>Longwill A Primary School for Deaf Children</v>
          </cell>
          <cell r="D18015" t="str">
            <v>Birmingham</v>
          </cell>
          <cell r="E18015" t="str">
            <v>Community Special School</v>
          </cell>
          <cell r="F18015" t="str">
            <v>Special</v>
          </cell>
        </row>
        <row r="18016">
          <cell r="A18016">
            <v>8302194</v>
          </cell>
          <cell r="B18016">
            <v>112609</v>
          </cell>
          <cell r="C18016" t="str">
            <v>Longwood Community Infant School</v>
          </cell>
          <cell r="D18016" t="str">
            <v>Derbyshire</v>
          </cell>
          <cell r="E18016" t="str">
            <v>Community School</v>
          </cell>
          <cell r="F18016" t="str">
            <v>Primary</v>
          </cell>
        </row>
        <row r="18017">
          <cell r="A18017">
            <v>8602239</v>
          </cell>
          <cell r="B18017">
            <v>124104</v>
          </cell>
          <cell r="C18017" t="str">
            <v>Longwood Primary School</v>
          </cell>
          <cell r="D18017" t="str">
            <v>Staffordshire</v>
          </cell>
          <cell r="E18017" t="str">
            <v>Community School</v>
          </cell>
          <cell r="F18017" t="str">
            <v>Primary</v>
          </cell>
        </row>
        <row r="18018">
          <cell r="A18018">
            <v>8812019</v>
          </cell>
          <cell r="B18018">
            <v>132224</v>
          </cell>
          <cell r="C18018" t="str">
            <v>Longwood Primary School</v>
          </cell>
          <cell r="D18018" t="str">
            <v>Essex</v>
          </cell>
          <cell r="E18018" t="str">
            <v>Community School</v>
          </cell>
          <cell r="F18018" t="str">
            <v>Primary</v>
          </cell>
        </row>
        <row r="18019">
          <cell r="A18019">
            <v>9196236</v>
          </cell>
          <cell r="B18019">
            <v>117662</v>
          </cell>
          <cell r="C18019" t="str">
            <v>Longwood School</v>
          </cell>
          <cell r="D18019" t="str">
            <v>Hertfordshire</v>
          </cell>
          <cell r="E18019" t="str">
            <v>Other Independent School</v>
          </cell>
          <cell r="F18019" t="str">
            <v>Not applicable</v>
          </cell>
        </row>
        <row r="18020">
          <cell r="A18020">
            <v>9313234</v>
          </cell>
          <cell r="B18020">
            <v>123154</v>
          </cell>
          <cell r="C18020" t="str">
            <v>Longworth Primary School</v>
          </cell>
          <cell r="D18020" t="str">
            <v>Oxfordshire</v>
          </cell>
          <cell r="E18020" t="str">
            <v>Voluntary Controlled School</v>
          </cell>
          <cell r="F18020" t="str">
            <v>Primary</v>
          </cell>
        </row>
        <row r="18021">
          <cell r="A18021">
            <v>8302377</v>
          </cell>
          <cell r="B18021">
            <v>112710</v>
          </cell>
          <cell r="C18021" t="str">
            <v>Lons Infant School</v>
          </cell>
          <cell r="D18021" t="str">
            <v>Derbyshire</v>
          </cell>
          <cell r="E18021" t="str">
            <v>Community School</v>
          </cell>
          <cell r="F18021" t="str">
            <v>Primary</v>
          </cell>
        </row>
        <row r="18022">
          <cell r="A18022">
            <v>9342199</v>
          </cell>
          <cell r="B18022">
            <v>129882</v>
          </cell>
          <cell r="C18022" t="str">
            <v>Lonsdale First School</v>
          </cell>
          <cell r="D18022" t="str">
            <v>Pre LGR (1997) Staffordshire</v>
          </cell>
          <cell r="E18022" t="str">
            <v>Community School</v>
          </cell>
          <cell r="F18022" t="str">
            <v>Primary</v>
          </cell>
        </row>
        <row r="18023">
          <cell r="A18023">
            <v>9197022</v>
          </cell>
          <cell r="B18023">
            <v>117679</v>
          </cell>
          <cell r="C18023" t="str">
            <v>Lonsdale School</v>
          </cell>
          <cell r="D18023" t="str">
            <v>Hertfordshire</v>
          </cell>
          <cell r="E18023" t="str">
            <v>Community Special School</v>
          </cell>
          <cell r="F18023" t="str">
            <v>Special</v>
          </cell>
        </row>
        <row r="18024">
          <cell r="A18024">
            <v>9266112</v>
          </cell>
          <cell r="B18024">
            <v>129637</v>
          </cell>
          <cell r="C18024" t="str">
            <v>Lonsdale School</v>
          </cell>
          <cell r="D18024" t="str">
            <v>Norfolk</v>
          </cell>
          <cell r="E18024" t="str">
            <v>Other Independent School</v>
          </cell>
          <cell r="F18024" t="str">
            <v>Not applicable</v>
          </cell>
        </row>
        <row r="18025">
          <cell r="A18025">
            <v>9084168</v>
          </cell>
          <cell r="B18025">
            <v>112062</v>
          </cell>
          <cell r="C18025" t="str">
            <v>Looe Community School</v>
          </cell>
          <cell r="D18025" t="str">
            <v>Cornwall</v>
          </cell>
          <cell r="E18025" t="str">
            <v>Community School</v>
          </cell>
          <cell r="F18025" t="str">
            <v>Secondary</v>
          </cell>
        </row>
        <row r="18026">
          <cell r="A18026">
            <v>9082712</v>
          </cell>
          <cell r="B18026">
            <v>111959</v>
          </cell>
          <cell r="C18026" t="str">
            <v>Looe Primary School</v>
          </cell>
          <cell r="D18026" t="str">
            <v>Cornwall</v>
          </cell>
          <cell r="E18026" t="str">
            <v>Community School</v>
          </cell>
          <cell r="F18026" t="str">
            <v>Primary</v>
          </cell>
        </row>
        <row r="18027">
          <cell r="A18027">
            <v>8862536</v>
          </cell>
          <cell r="B18027">
            <v>118499</v>
          </cell>
          <cell r="C18027" t="str">
            <v>Loose Infant School</v>
          </cell>
          <cell r="D18027" t="str">
            <v>Kent</v>
          </cell>
          <cell r="E18027" t="str">
            <v>Community School</v>
          </cell>
          <cell r="F18027" t="str">
            <v>Primary</v>
          </cell>
        </row>
        <row r="18028">
          <cell r="A18028">
            <v>8862170</v>
          </cell>
          <cell r="B18028">
            <v>118296</v>
          </cell>
          <cell r="C18028" t="str">
            <v>Loose Junior School</v>
          </cell>
          <cell r="D18028" t="str">
            <v>Kent</v>
          </cell>
          <cell r="E18028" t="str">
            <v>Community School</v>
          </cell>
          <cell r="F18028" t="str">
            <v>Primary</v>
          </cell>
        </row>
        <row r="18029">
          <cell r="A18029">
            <v>8937905</v>
          </cell>
          <cell r="B18029">
            <v>131914</v>
          </cell>
          <cell r="C18029" t="str">
            <v>Loppington House FE Unit</v>
          </cell>
          <cell r="D18029" t="str">
            <v>Shropshire</v>
          </cell>
          <cell r="E18029" t="str">
            <v>Special College</v>
          </cell>
          <cell r="F18029" t="str">
            <v>16 Plus</v>
          </cell>
        </row>
        <row r="18030">
          <cell r="A18030">
            <v>3932076</v>
          </cell>
          <cell r="B18030">
            <v>108700</v>
          </cell>
          <cell r="C18030" t="str">
            <v>Lord Blyton Primary School</v>
          </cell>
          <cell r="D18030" t="str">
            <v>South Tyneside</v>
          </cell>
          <cell r="E18030" t="str">
            <v>Community School</v>
          </cell>
          <cell r="F18030" t="str">
            <v>Primary</v>
          </cell>
        </row>
        <row r="18031">
          <cell r="A18031">
            <v>8163158</v>
          </cell>
          <cell r="B18031">
            <v>121536</v>
          </cell>
          <cell r="C18031" t="str">
            <v>Lord Deramore's Primary School</v>
          </cell>
          <cell r="D18031" t="str">
            <v>York</v>
          </cell>
          <cell r="E18031" t="str">
            <v>Voluntary Controlled School</v>
          </cell>
          <cell r="F18031" t="str">
            <v>Primary</v>
          </cell>
        </row>
        <row r="18032">
          <cell r="A18032">
            <v>9124011</v>
          </cell>
          <cell r="B18032">
            <v>128787</v>
          </cell>
          <cell r="C18032" t="str">
            <v>Lord Digby's School</v>
          </cell>
          <cell r="D18032" t="str">
            <v>Pre LGR (1997) Dorset</v>
          </cell>
          <cell r="E18032" t="str">
            <v>Community School</v>
          </cell>
          <cell r="F18032" t="str">
            <v>Secondary</v>
          </cell>
        </row>
        <row r="18033">
          <cell r="A18033">
            <v>8265405</v>
          </cell>
          <cell r="B18033">
            <v>110531</v>
          </cell>
          <cell r="C18033" t="str">
            <v>Lord Grey School</v>
          </cell>
          <cell r="D18033" t="str">
            <v>Milton Keynes</v>
          </cell>
          <cell r="E18033" t="str">
            <v>Foundation School</v>
          </cell>
          <cell r="F18033" t="str">
            <v>Secondary</v>
          </cell>
        </row>
        <row r="18034">
          <cell r="A18034">
            <v>3904027</v>
          </cell>
          <cell r="B18034">
            <v>108403</v>
          </cell>
          <cell r="C18034" t="str">
            <v>Lord Lawson of Beamish Community School</v>
          </cell>
          <cell r="D18034" t="str">
            <v>Gateshead</v>
          </cell>
          <cell r="E18034" t="str">
            <v>Community School</v>
          </cell>
          <cell r="F18034" t="str">
            <v>Secondary</v>
          </cell>
        </row>
        <row r="18035">
          <cell r="A18035">
            <v>9177002</v>
          </cell>
          <cell r="B18035">
            <v>129069</v>
          </cell>
          <cell r="C18035" t="str">
            <v>Lord Mayor Treloar Hospital School</v>
          </cell>
          <cell r="D18035" t="str">
            <v>Pre LGR (1997) Hampshire</v>
          </cell>
          <cell r="E18035" t="str">
            <v>Community Special School</v>
          </cell>
          <cell r="F18035" t="str">
            <v>Special</v>
          </cell>
        </row>
        <row r="18036">
          <cell r="A18036">
            <v>8842061</v>
          </cell>
          <cell r="B18036">
            <v>116683</v>
          </cell>
          <cell r="C18036" t="str">
            <v>Lord Scudamore Primary School</v>
          </cell>
          <cell r="D18036" t="str">
            <v>Herefordshire</v>
          </cell>
          <cell r="E18036" t="str">
            <v>Foundation School</v>
          </cell>
          <cell r="F18036" t="str">
            <v>Primary</v>
          </cell>
        </row>
        <row r="18037">
          <cell r="A18037">
            <v>8842061</v>
          </cell>
          <cell r="B18037">
            <v>136761</v>
          </cell>
          <cell r="C18037" t="str">
            <v>Lord Scudamore Primary School</v>
          </cell>
          <cell r="D18037" t="str">
            <v>Herefordshire</v>
          </cell>
          <cell r="E18037" t="str">
            <v>Academy Converters</v>
          </cell>
          <cell r="F18037" t="str">
            <v>Primary</v>
          </cell>
        </row>
        <row r="18038">
          <cell r="A18038">
            <v>8311005</v>
          </cell>
          <cell r="B18038">
            <v>112471</v>
          </cell>
          <cell r="C18038" t="str">
            <v>Lord Street Nursery School</v>
          </cell>
          <cell r="D18038" t="str">
            <v>Derby</v>
          </cell>
          <cell r="E18038" t="str">
            <v>LA Nursery School</v>
          </cell>
          <cell r="F18038" t="str">
            <v>Nursery</v>
          </cell>
        </row>
        <row r="18039">
          <cell r="A18039">
            <v>3502053</v>
          </cell>
          <cell r="B18039">
            <v>105179</v>
          </cell>
          <cell r="C18039" t="str">
            <v>Lord Street Primary School</v>
          </cell>
          <cell r="D18039" t="str">
            <v>Bolton</v>
          </cell>
          <cell r="E18039" t="str">
            <v>Community School</v>
          </cell>
          <cell r="F18039" t="str">
            <v>Primary</v>
          </cell>
        </row>
        <row r="18040">
          <cell r="A18040">
            <v>8506064</v>
          </cell>
          <cell r="B18040">
            <v>116521</v>
          </cell>
          <cell r="C18040" t="str">
            <v>Lord Wandsworth College</v>
          </cell>
          <cell r="D18040" t="str">
            <v>Hampshire</v>
          </cell>
          <cell r="E18040" t="str">
            <v>Other Independent School</v>
          </cell>
          <cell r="F18040" t="str">
            <v>Not applicable</v>
          </cell>
        </row>
        <row r="18041">
          <cell r="A18041">
            <v>9314580</v>
          </cell>
          <cell r="B18041">
            <v>123268</v>
          </cell>
          <cell r="C18041" t="str">
            <v>Lord Williams's School</v>
          </cell>
          <cell r="D18041" t="str">
            <v>Oxfordshire</v>
          </cell>
          <cell r="E18041" t="str">
            <v>Voluntary Controlled School</v>
          </cell>
          <cell r="F18041" t="str">
            <v>Secondary</v>
          </cell>
        </row>
        <row r="18042">
          <cell r="A18042">
            <v>8507078</v>
          </cell>
          <cell r="B18042">
            <v>115849</v>
          </cell>
          <cell r="C18042" t="str">
            <v>Lord Wilson School</v>
          </cell>
          <cell r="D18042" t="str">
            <v>Hampshire</v>
          </cell>
          <cell r="E18042" t="str">
            <v>Community Special School</v>
          </cell>
          <cell r="F18042" t="str">
            <v>Special</v>
          </cell>
        </row>
        <row r="18043">
          <cell r="A18043">
            <v>9172453</v>
          </cell>
          <cell r="B18043">
            <v>129001</v>
          </cell>
          <cell r="C18043" t="str">
            <v>Lord's Hill First School</v>
          </cell>
          <cell r="D18043" t="str">
            <v>Pre LGR (1997) Hampshire</v>
          </cell>
          <cell r="E18043" t="str">
            <v>Community School</v>
          </cell>
          <cell r="F18043" t="str">
            <v>Primary</v>
          </cell>
        </row>
        <row r="18044">
          <cell r="A18044">
            <v>9172454</v>
          </cell>
          <cell r="B18044">
            <v>129002</v>
          </cell>
          <cell r="C18044" t="str">
            <v>Lord's Hill Middle School</v>
          </cell>
          <cell r="D18044" t="str">
            <v>Pre LGR (1997) Hampshire</v>
          </cell>
          <cell r="E18044" t="str">
            <v>Community School</v>
          </cell>
          <cell r="F18044" t="str">
            <v>Middle Deemed Primary</v>
          </cell>
        </row>
        <row r="18045">
          <cell r="A18045">
            <v>3506000</v>
          </cell>
          <cell r="B18045">
            <v>105269</v>
          </cell>
          <cell r="C18045" t="str">
            <v>Lord's Independent School</v>
          </cell>
          <cell r="D18045" t="str">
            <v>Bolton</v>
          </cell>
          <cell r="E18045" t="str">
            <v>Other Independent School</v>
          </cell>
          <cell r="F18045" t="str">
            <v>Not applicable</v>
          </cell>
        </row>
        <row r="18046">
          <cell r="A18046">
            <v>9192416</v>
          </cell>
          <cell r="B18046">
            <v>117330</v>
          </cell>
          <cell r="C18046" t="str">
            <v>Lordship Farm Primary School</v>
          </cell>
          <cell r="D18046" t="str">
            <v>Hertfordshire</v>
          </cell>
          <cell r="E18046" t="str">
            <v>Community School</v>
          </cell>
          <cell r="F18046" t="str">
            <v>Primary</v>
          </cell>
        </row>
        <row r="18047">
          <cell r="A18047">
            <v>3092027</v>
          </cell>
          <cell r="B18047">
            <v>102096</v>
          </cell>
          <cell r="C18047" t="str">
            <v>Lordship Lane Infant School</v>
          </cell>
          <cell r="D18047" t="str">
            <v>Haringey</v>
          </cell>
          <cell r="E18047" t="str">
            <v>Community School</v>
          </cell>
          <cell r="F18047" t="str">
            <v>Primary</v>
          </cell>
        </row>
        <row r="18048">
          <cell r="A18048">
            <v>3092026</v>
          </cell>
          <cell r="B18048">
            <v>102095</v>
          </cell>
          <cell r="C18048" t="str">
            <v>Lordship Lane Junior School</v>
          </cell>
          <cell r="D18048" t="str">
            <v>Haringey</v>
          </cell>
          <cell r="E18048" t="str">
            <v>Community School</v>
          </cell>
          <cell r="F18048" t="str">
            <v>Primary</v>
          </cell>
        </row>
        <row r="18049">
          <cell r="A18049">
            <v>3092082</v>
          </cell>
          <cell r="B18049">
            <v>131595</v>
          </cell>
          <cell r="C18049" t="str">
            <v>Lordship Lane Primary School</v>
          </cell>
          <cell r="D18049" t="str">
            <v>Haringey</v>
          </cell>
          <cell r="E18049" t="str">
            <v>Community School</v>
          </cell>
          <cell r="F18049" t="str">
            <v>Primary</v>
          </cell>
        </row>
        <row r="18050">
          <cell r="A18050">
            <v>3304057</v>
          </cell>
          <cell r="B18050">
            <v>103484</v>
          </cell>
          <cell r="C18050" t="str">
            <v>Lordswood Boys' School</v>
          </cell>
          <cell r="D18050" t="str">
            <v>Birmingham</v>
          </cell>
          <cell r="E18050" t="str">
            <v>Community School</v>
          </cell>
          <cell r="F18050" t="str">
            <v>Secondary</v>
          </cell>
        </row>
        <row r="18051">
          <cell r="A18051">
            <v>3304060</v>
          </cell>
          <cell r="B18051">
            <v>136592</v>
          </cell>
          <cell r="C18051" t="str">
            <v>Lordswood Girls' School and Sixth Form Centre</v>
          </cell>
          <cell r="D18051" t="str">
            <v>Birmingham</v>
          </cell>
          <cell r="E18051" t="str">
            <v>Academy Converters</v>
          </cell>
          <cell r="F18051" t="str">
            <v>Secondary</v>
          </cell>
        </row>
        <row r="18052">
          <cell r="A18052">
            <v>3304060</v>
          </cell>
          <cell r="B18052">
            <v>103485</v>
          </cell>
          <cell r="C18052" t="str">
            <v>Lordswood Girls' School and The Sixth Form Centre, Harborne A Specialist Media Arts College</v>
          </cell>
          <cell r="D18052" t="str">
            <v>Birmingham</v>
          </cell>
          <cell r="E18052" t="str">
            <v>Foundation School</v>
          </cell>
          <cell r="F18052" t="str">
            <v>Secondary</v>
          </cell>
        </row>
        <row r="18053">
          <cell r="A18053">
            <v>8872502</v>
          </cell>
          <cell r="B18053">
            <v>118475</v>
          </cell>
          <cell r="C18053" t="str">
            <v>Lordswood Junior School</v>
          </cell>
          <cell r="D18053" t="str">
            <v>Medway</v>
          </cell>
          <cell r="E18053" t="str">
            <v>Community School</v>
          </cell>
          <cell r="F18053" t="str">
            <v>Primary</v>
          </cell>
        </row>
        <row r="18054">
          <cell r="A18054">
            <v>8872448</v>
          </cell>
          <cell r="B18054">
            <v>118446</v>
          </cell>
          <cell r="C18054" t="str">
            <v>Lordswood School</v>
          </cell>
          <cell r="D18054" t="str">
            <v>Medway</v>
          </cell>
          <cell r="E18054" t="str">
            <v>Community School</v>
          </cell>
          <cell r="F18054" t="str">
            <v>Primary</v>
          </cell>
        </row>
        <row r="18055">
          <cell r="A18055">
            <v>8866064</v>
          </cell>
          <cell r="B18055">
            <v>119014</v>
          </cell>
          <cell r="C18055" t="str">
            <v>Lorenden Preparatory School</v>
          </cell>
          <cell r="D18055" t="str">
            <v>Kent</v>
          </cell>
          <cell r="E18055" t="str">
            <v>Other Independent School</v>
          </cell>
          <cell r="F18055" t="str">
            <v>Not applicable</v>
          </cell>
        </row>
        <row r="18056">
          <cell r="A18056">
            <v>9194620</v>
          </cell>
          <cell r="B18056">
            <v>117558</v>
          </cell>
          <cell r="C18056" t="str">
            <v>Loreto College</v>
          </cell>
          <cell r="D18056" t="str">
            <v>Hertfordshire</v>
          </cell>
          <cell r="E18056" t="str">
            <v>Voluntary Aided School</v>
          </cell>
          <cell r="F18056" t="str">
            <v>Secondary</v>
          </cell>
        </row>
        <row r="18057">
          <cell r="A18057">
            <v>3528601</v>
          </cell>
          <cell r="B18057">
            <v>130503</v>
          </cell>
          <cell r="C18057" t="str">
            <v>Loreto College</v>
          </cell>
          <cell r="D18057" t="str">
            <v>Manchester</v>
          </cell>
          <cell r="E18057" t="str">
            <v>Further Education</v>
          </cell>
          <cell r="F18057" t="str">
            <v>16 Plus</v>
          </cell>
        </row>
        <row r="18058">
          <cell r="A18058">
            <v>3585901</v>
          </cell>
          <cell r="B18058">
            <v>106378</v>
          </cell>
          <cell r="C18058" t="str">
            <v>Loreto Grammar School</v>
          </cell>
          <cell r="D18058" t="str">
            <v>Trafford</v>
          </cell>
          <cell r="E18058" t="str">
            <v>Voluntary Aided School</v>
          </cell>
          <cell r="F18058" t="str">
            <v>Secondary</v>
          </cell>
        </row>
        <row r="18059">
          <cell r="A18059">
            <v>3524753</v>
          </cell>
          <cell r="B18059">
            <v>105574</v>
          </cell>
          <cell r="C18059" t="str">
            <v>Loreto High School Chorlton</v>
          </cell>
          <cell r="D18059" t="str">
            <v>Manchester</v>
          </cell>
          <cell r="E18059" t="str">
            <v>Voluntary Aided School</v>
          </cell>
          <cell r="F18059" t="str">
            <v>Secondary</v>
          </cell>
        </row>
        <row r="18060">
          <cell r="A18060">
            <v>3586014</v>
          </cell>
          <cell r="B18060">
            <v>106387</v>
          </cell>
          <cell r="C18060" t="str">
            <v>Loreto Preparatory School</v>
          </cell>
          <cell r="D18060" t="str">
            <v>Trafford</v>
          </cell>
          <cell r="E18060" t="str">
            <v>Other Independent School</v>
          </cell>
          <cell r="F18060" t="str">
            <v>Not applicable</v>
          </cell>
        </row>
        <row r="18061">
          <cell r="A18061">
            <v>3524763</v>
          </cell>
          <cell r="B18061">
            <v>127420</v>
          </cell>
          <cell r="C18061" t="str">
            <v>Loreto Sixth Form College</v>
          </cell>
          <cell r="D18061" t="str">
            <v>Manchester</v>
          </cell>
          <cell r="E18061" t="str">
            <v>Voluntary Aided School</v>
          </cell>
          <cell r="F18061" t="str">
            <v>Secondary</v>
          </cell>
        </row>
        <row r="18062">
          <cell r="A18062">
            <v>3802047</v>
          </cell>
          <cell r="B18062">
            <v>107214</v>
          </cell>
          <cell r="C18062" t="str">
            <v>Lorne First School</v>
          </cell>
          <cell r="D18062" t="str">
            <v>Bradford</v>
          </cell>
          <cell r="E18062" t="str">
            <v>Community School</v>
          </cell>
          <cell r="F18062" t="str">
            <v>Primary</v>
          </cell>
        </row>
        <row r="18063">
          <cell r="A18063">
            <v>9306020</v>
          </cell>
          <cell r="B18063">
            <v>122920</v>
          </cell>
          <cell r="C18063" t="str">
            <v>Lorne House School</v>
          </cell>
          <cell r="D18063" t="str">
            <v>Pre LGR (1998) Nottinghamshire</v>
          </cell>
          <cell r="E18063" t="str">
            <v>Other Independent School</v>
          </cell>
          <cell r="F18063" t="str">
            <v>Not applicable</v>
          </cell>
        </row>
        <row r="18064">
          <cell r="A18064">
            <v>9362292</v>
          </cell>
          <cell r="B18064">
            <v>125006</v>
          </cell>
          <cell r="C18064" t="str">
            <v>Lorraine School</v>
          </cell>
          <cell r="D18064" t="str">
            <v>Surrey</v>
          </cell>
          <cell r="E18064" t="str">
            <v>Community School</v>
          </cell>
          <cell r="F18064" t="str">
            <v>Primary</v>
          </cell>
        </row>
        <row r="18065">
          <cell r="A18065">
            <v>9092123</v>
          </cell>
          <cell r="B18065">
            <v>112133</v>
          </cell>
          <cell r="C18065" t="str">
            <v>Lorton School</v>
          </cell>
          <cell r="D18065" t="str">
            <v>Cumbria</v>
          </cell>
          <cell r="E18065" t="str">
            <v>Community School</v>
          </cell>
          <cell r="F18065" t="str">
            <v>Primary</v>
          </cell>
        </row>
        <row r="18066">
          <cell r="A18066">
            <v>8303049</v>
          </cell>
          <cell r="B18066">
            <v>112828</v>
          </cell>
          <cell r="C18066" t="str">
            <v>Loscoe CofE (C) Primary School</v>
          </cell>
          <cell r="D18066" t="str">
            <v>Derbyshire</v>
          </cell>
          <cell r="E18066" t="str">
            <v>Voluntary Controlled School</v>
          </cell>
          <cell r="F18066" t="str">
            <v>Primary</v>
          </cell>
        </row>
        <row r="18067">
          <cell r="A18067">
            <v>9363939</v>
          </cell>
          <cell r="B18067">
            <v>134828</v>
          </cell>
          <cell r="C18067" t="str">
            <v>Loseley Fields Primary School</v>
          </cell>
          <cell r="D18067" t="str">
            <v>Surrey</v>
          </cell>
          <cell r="E18067" t="str">
            <v>Foundation School</v>
          </cell>
          <cell r="F18067" t="str">
            <v>Primary</v>
          </cell>
        </row>
        <row r="18068">
          <cell r="A18068">
            <v>3584015</v>
          </cell>
          <cell r="B18068">
            <v>106365</v>
          </cell>
          <cell r="C18068" t="str">
            <v>Lostock College</v>
          </cell>
          <cell r="D18068" t="str">
            <v>Trafford</v>
          </cell>
          <cell r="E18068" t="str">
            <v>Community School</v>
          </cell>
          <cell r="F18068" t="str">
            <v>Secondary</v>
          </cell>
        </row>
        <row r="18069">
          <cell r="A18069">
            <v>8963171</v>
          </cell>
          <cell r="B18069">
            <v>111289</v>
          </cell>
          <cell r="C18069" t="str">
            <v>Lostock Gralam CofE Primary School</v>
          </cell>
          <cell r="D18069" t="str">
            <v>Cheshire West and Chester</v>
          </cell>
          <cell r="E18069" t="str">
            <v>Voluntary Controlled School</v>
          </cell>
          <cell r="F18069" t="str">
            <v>Primary</v>
          </cell>
        </row>
        <row r="18070">
          <cell r="A18070">
            <v>8884193</v>
          </cell>
          <cell r="B18070">
            <v>119755</v>
          </cell>
          <cell r="C18070" t="str">
            <v>Lostock Hall Community High School and Arts College</v>
          </cell>
          <cell r="D18070" t="str">
            <v>Lancashire</v>
          </cell>
          <cell r="E18070" t="str">
            <v>Community School</v>
          </cell>
          <cell r="F18070" t="str">
            <v>Secondary</v>
          </cell>
        </row>
        <row r="18071">
          <cell r="A18071">
            <v>8884193</v>
          </cell>
          <cell r="B18071">
            <v>137111</v>
          </cell>
          <cell r="C18071" t="str">
            <v>Lostock Hall Community High School and Arts College</v>
          </cell>
          <cell r="D18071" t="str">
            <v>Lancashire</v>
          </cell>
          <cell r="E18071" t="str">
            <v>Academy Converters</v>
          </cell>
          <cell r="F18071" t="str">
            <v>Secondary</v>
          </cell>
        </row>
        <row r="18072">
          <cell r="A18072">
            <v>8882060</v>
          </cell>
          <cell r="B18072">
            <v>119159</v>
          </cell>
          <cell r="C18072" t="str">
            <v>Lostock Hall Community Primary School</v>
          </cell>
          <cell r="D18072" t="str">
            <v>Lancashire</v>
          </cell>
          <cell r="E18072" t="str">
            <v>Community School</v>
          </cell>
          <cell r="F18072" t="str">
            <v>Primary</v>
          </cell>
        </row>
        <row r="18073">
          <cell r="A18073">
            <v>9232061</v>
          </cell>
          <cell r="B18073">
            <v>129467</v>
          </cell>
          <cell r="C18073" t="str">
            <v>Lostock Hall County Infant School</v>
          </cell>
          <cell r="D18073" t="str">
            <v>Pre LGR (1998) Lancashire</v>
          </cell>
          <cell r="E18073" t="str">
            <v>Community School</v>
          </cell>
          <cell r="F18073" t="str">
            <v>Primary</v>
          </cell>
        </row>
        <row r="18074">
          <cell r="A18074">
            <v>8887049</v>
          </cell>
          <cell r="B18074">
            <v>119880</v>
          </cell>
          <cell r="C18074" t="str">
            <v>Lostock Hall Moor Hey School</v>
          </cell>
          <cell r="D18074" t="str">
            <v>Lancashire</v>
          </cell>
          <cell r="E18074" t="str">
            <v>Community Special School</v>
          </cell>
          <cell r="F18074" t="str">
            <v>Special</v>
          </cell>
        </row>
        <row r="18075">
          <cell r="A18075">
            <v>8952344</v>
          </cell>
          <cell r="B18075">
            <v>111156</v>
          </cell>
          <cell r="C18075" t="str">
            <v>Lostock Hall Primary School</v>
          </cell>
          <cell r="D18075" t="str">
            <v>Cheshire East</v>
          </cell>
          <cell r="E18075" t="str">
            <v>Community School</v>
          </cell>
          <cell r="F18075" t="str">
            <v>Primary</v>
          </cell>
        </row>
        <row r="18076">
          <cell r="A18076">
            <v>3507001</v>
          </cell>
          <cell r="B18076">
            <v>105275</v>
          </cell>
          <cell r="C18076" t="str">
            <v>Lostock Park School</v>
          </cell>
          <cell r="D18076" t="str">
            <v>Bolton</v>
          </cell>
          <cell r="E18076" t="str">
            <v>Community Special School</v>
          </cell>
          <cell r="F18076" t="str">
            <v>Special</v>
          </cell>
        </row>
        <row r="18077">
          <cell r="A18077">
            <v>3502041</v>
          </cell>
          <cell r="B18077">
            <v>105174</v>
          </cell>
          <cell r="C18077" t="str">
            <v>Lostock Primary School</v>
          </cell>
          <cell r="D18077" t="str">
            <v>Bolton</v>
          </cell>
          <cell r="E18077" t="str">
            <v>Community School</v>
          </cell>
          <cell r="F18077" t="str">
            <v>Primary</v>
          </cell>
        </row>
        <row r="18078">
          <cell r="A18078">
            <v>9082509</v>
          </cell>
          <cell r="B18078">
            <v>111916</v>
          </cell>
          <cell r="C18078" t="str">
            <v>Lostwithiel School</v>
          </cell>
          <cell r="D18078" t="str">
            <v>Cornwall</v>
          </cell>
          <cell r="E18078" t="str">
            <v>Community School</v>
          </cell>
          <cell r="F18078" t="str">
            <v>Primary</v>
          </cell>
        </row>
        <row r="18079">
          <cell r="A18079">
            <v>8152346</v>
          </cell>
          <cell r="B18079">
            <v>121409</v>
          </cell>
          <cell r="C18079" t="str">
            <v>Lothersdale Community Primary School</v>
          </cell>
          <cell r="D18079" t="str">
            <v>North Yorkshire</v>
          </cell>
          <cell r="E18079" t="str">
            <v>Community School</v>
          </cell>
          <cell r="F18079" t="str">
            <v>Primary</v>
          </cell>
        </row>
        <row r="18080">
          <cell r="A18080">
            <v>9354052</v>
          </cell>
          <cell r="B18080">
            <v>124815</v>
          </cell>
          <cell r="C18080" t="str">
            <v>Lothingland Middle School</v>
          </cell>
          <cell r="D18080" t="str">
            <v>Suffolk</v>
          </cell>
          <cell r="E18080" t="str">
            <v>Community School</v>
          </cell>
          <cell r="F18080" t="str">
            <v>Middle Deemed Secondary</v>
          </cell>
        </row>
        <row r="18081">
          <cell r="A18081">
            <v>8255206</v>
          </cell>
          <cell r="B18081">
            <v>110524</v>
          </cell>
          <cell r="C18081" t="str">
            <v>Loudwater Combined School</v>
          </cell>
          <cell r="D18081" t="str">
            <v>Buckinghamshire</v>
          </cell>
          <cell r="E18081" t="str">
            <v>Foundation School</v>
          </cell>
          <cell r="F18081" t="str">
            <v>Primary</v>
          </cell>
        </row>
        <row r="18082">
          <cell r="A18082">
            <v>2061108</v>
          </cell>
          <cell r="B18082">
            <v>100395</v>
          </cell>
          <cell r="C18082" t="str">
            <v>Lough Road Class Base (Central)</v>
          </cell>
          <cell r="D18082" t="str">
            <v>Islington</v>
          </cell>
          <cell r="E18082" t="str">
            <v>Pupil Referral Unit</v>
          </cell>
          <cell r="F18082" t="str">
            <v>PRU</v>
          </cell>
        </row>
        <row r="18083">
          <cell r="A18083">
            <v>8553434</v>
          </cell>
          <cell r="B18083">
            <v>120233</v>
          </cell>
          <cell r="C18083" t="str">
            <v>Loughborough Church of England Primary School</v>
          </cell>
          <cell r="D18083" t="str">
            <v>Leicestershire</v>
          </cell>
          <cell r="E18083" t="str">
            <v>Voluntary Aided School</v>
          </cell>
          <cell r="F18083" t="str">
            <v>Primary</v>
          </cell>
        </row>
        <row r="18084">
          <cell r="A18084">
            <v>8558002</v>
          </cell>
          <cell r="B18084">
            <v>130748</v>
          </cell>
          <cell r="C18084" t="str">
            <v>Loughborough College</v>
          </cell>
          <cell r="D18084" t="str">
            <v>Leicestershire</v>
          </cell>
          <cell r="E18084" t="str">
            <v>Further Education</v>
          </cell>
          <cell r="F18084" t="str">
            <v>16 Plus</v>
          </cell>
        </row>
        <row r="18085">
          <cell r="A18085">
            <v>8556012</v>
          </cell>
          <cell r="B18085">
            <v>120332</v>
          </cell>
          <cell r="C18085" t="str">
            <v>Loughborough Grammar School</v>
          </cell>
          <cell r="D18085" t="str">
            <v>Leicestershire</v>
          </cell>
          <cell r="E18085" t="str">
            <v>Other Independent School</v>
          </cell>
          <cell r="F18085" t="str">
            <v>Not applicable</v>
          </cell>
        </row>
        <row r="18086">
          <cell r="A18086">
            <v>8556009</v>
          </cell>
          <cell r="B18086">
            <v>120333</v>
          </cell>
          <cell r="C18086" t="str">
            <v>Loughborough High School</v>
          </cell>
          <cell r="D18086" t="str">
            <v>Leicestershire</v>
          </cell>
          <cell r="E18086" t="str">
            <v>Other Independent School</v>
          </cell>
          <cell r="F18086" t="str">
            <v>Not applicable</v>
          </cell>
        </row>
        <row r="18087">
          <cell r="A18087">
            <v>2082853</v>
          </cell>
          <cell r="B18087">
            <v>100603</v>
          </cell>
          <cell r="C18087" t="str">
            <v>Loughborough Infant School</v>
          </cell>
          <cell r="D18087" t="str">
            <v>Lambeth</v>
          </cell>
          <cell r="E18087" t="str">
            <v>Community School</v>
          </cell>
          <cell r="F18087" t="str">
            <v>Primary</v>
          </cell>
        </row>
        <row r="18088">
          <cell r="A18088">
            <v>2082817</v>
          </cell>
          <cell r="B18088">
            <v>100600</v>
          </cell>
          <cell r="C18088" t="str">
            <v>Loughborough Junior School</v>
          </cell>
          <cell r="D18088" t="str">
            <v>Lambeth</v>
          </cell>
          <cell r="E18088" t="str">
            <v>Community School</v>
          </cell>
          <cell r="F18088" t="str">
            <v>Primary</v>
          </cell>
        </row>
        <row r="18089">
          <cell r="A18089">
            <v>2082905</v>
          </cell>
          <cell r="B18089">
            <v>133584</v>
          </cell>
          <cell r="C18089" t="str">
            <v>Loughborough Primary School</v>
          </cell>
          <cell r="D18089" t="str">
            <v>Lambeth</v>
          </cell>
          <cell r="E18089" t="str">
            <v>Community School</v>
          </cell>
          <cell r="F18089" t="str">
            <v>Primary</v>
          </cell>
        </row>
        <row r="18090">
          <cell r="A18090">
            <v>855</v>
          </cell>
          <cell r="B18090">
            <v>133834</v>
          </cell>
          <cell r="C18090" t="str">
            <v>Loughborough University</v>
          </cell>
          <cell r="D18090" t="str">
            <v>Leicestershire</v>
          </cell>
          <cell r="E18090" t="str">
            <v>Higher Education Institutions</v>
          </cell>
          <cell r="F18090" t="str">
            <v>Not applicable</v>
          </cell>
        </row>
        <row r="18091">
          <cell r="A18091">
            <v>9154203</v>
          </cell>
          <cell r="B18091">
            <v>128905</v>
          </cell>
          <cell r="C18091" t="str">
            <v>Loughton High School</v>
          </cell>
          <cell r="D18091" t="str">
            <v>Pre LGR (1998) Essex</v>
          </cell>
          <cell r="E18091" t="str">
            <v>Community School</v>
          </cell>
          <cell r="F18091" t="str">
            <v>Secondary</v>
          </cell>
        </row>
        <row r="18092">
          <cell r="A18092">
            <v>8262506</v>
          </cell>
          <cell r="B18092">
            <v>131348</v>
          </cell>
          <cell r="C18092" t="str">
            <v>Loughton Manor First School</v>
          </cell>
          <cell r="D18092" t="str">
            <v>Milton Keynes</v>
          </cell>
          <cell r="E18092" t="str">
            <v>Community School</v>
          </cell>
          <cell r="F18092" t="str">
            <v>Primary</v>
          </cell>
        </row>
        <row r="18093">
          <cell r="A18093">
            <v>8262332</v>
          </cell>
          <cell r="B18093">
            <v>110390</v>
          </cell>
          <cell r="C18093" t="str">
            <v>Loughton School</v>
          </cell>
          <cell r="D18093" t="str">
            <v>Milton Keynes</v>
          </cell>
          <cell r="E18093" t="str">
            <v>Foundation School</v>
          </cell>
          <cell r="F18093" t="str">
            <v>Primary</v>
          </cell>
        </row>
        <row r="18094">
          <cell r="A18094">
            <v>9156006</v>
          </cell>
          <cell r="B18094">
            <v>128912</v>
          </cell>
          <cell r="C18094" t="str">
            <v>Loughton School</v>
          </cell>
          <cell r="D18094" t="str">
            <v>Pre LGR (1998) Essex</v>
          </cell>
          <cell r="E18094" t="str">
            <v>Other Independent School</v>
          </cell>
          <cell r="F18094" t="str">
            <v>Not applicable</v>
          </cell>
        </row>
        <row r="18095">
          <cell r="A18095">
            <v>3732315</v>
          </cell>
          <cell r="B18095">
            <v>107062</v>
          </cell>
          <cell r="C18095" t="str">
            <v>Lound Infant School</v>
          </cell>
          <cell r="D18095" t="str">
            <v>Sheffield</v>
          </cell>
          <cell r="E18095" t="str">
            <v>Community School</v>
          </cell>
          <cell r="F18095" t="str">
            <v>Primary</v>
          </cell>
        </row>
        <row r="18096">
          <cell r="A18096">
            <v>3732298</v>
          </cell>
          <cell r="B18096">
            <v>107053</v>
          </cell>
          <cell r="C18096" t="str">
            <v>Lound Junior School</v>
          </cell>
          <cell r="D18096" t="str">
            <v>Sheffield</v>
          </cell>
          <cell r="E18096" t="str">
            <v>Community School</v>
          </cell>
          <cell r="F18096" t="str">
            <v>Primary</v>
          </cell>
        </row>
        <row r="18097">
          <cell r="A18097">
            <v>9252170</v>
          </cell>
          <cell r="B18097">
            <v>120458</v>
          </cell>
          <cell r="C18097" t="str">
            <v>Louth Eastfield Infants' and Nursery School</v>
          </cell>
          <cell r="D18097" t="str">
            <v>Lincolnshire</v>
          </cell>
          <cell r="E18097" t="str">
            <v>Community School</v>
          </cell>
          <cell r="F18097" t="str">
            <v>Primary</v>
          </cell>
        </row>
        <row r="18098">
          <cell r="A18098">
            <v>9252171</v>
          </cell>
          <cell r="B18098">
            <v>120459</v>
          </cell>
          <cell r="C18098" t="str">
            <v>Louth Kidgate Primary School</v>
          </cell>
          <cell r="D18098" t="str">
            <v>Lincolnshire</v>
          </cell>
          <cell r="E18098" t="str">
            <v>Community School</v>
          </cell>
          <cell r="F18098" t="str">
            <v>Primary</v>
          </cell>
        </row>
        <row r="18099">
          <cell r="A18099">
            <v>8262221</v>
          </cell>
          <cell r="B18099">
            <v>110315</v>
          </cell>
          <cell r="C18099" t="str">
            <v>Lovat School</v>
          </cell>
          <cell r="D18099" t="str">
            <v>Milton Keynes</v>
          </cell>
          <cell r="E18099" t="str">
            <v>Community School</v>
          </cell>
          <cell r="F18099" t="str">
            <v>Primary</v>
          </cell>
        </row>
        <row r="18100">
          <cell r="A18100">
            <v>3142036</v>
          </cell>
          <cell r="B18100">
            <v>102583</v>
          </cell>
          <cell r="C18100" t="str">
            <v>Lovelace Primary School</v>
          </cell>
          <cell r="D18100" t="str">
            <v>Kingston upon Thames</v>
          </cell>
          <cell r="E18100" t="str">
            <v>Community School</v>
          </cell>
          <cell r="F18100" t="str">
            <v>Primary</v>
          </cell>
        </row>
        <row r="18101">
          <cell r="A18101">
            <v>9266159</v>
          </cell>
          <cell r="B18101">
            <v>135554</v>
          </cell>
          <cell r="C18101" t="str">
            <v>Lovells Hall</v>
          </cell>
          <cell r="D18101" t="str">
            <v>Norfolk</v>
          </cell>
          <cell r="E18101" t="str">
            <v>Other Independent Special School</v>
          </cell>
          <cell r="F18101" t="str">
            <v>Not applicable</v>
          </cell>
        </row>
        <row r="18102">
          <cell r="A18102">
            <v>8912532</v>
          </cell>
          <cell r="B18102">
            <v>122595</v>
          </cell>
          <cell r="C18102" t="str">
            <v>Lovers Lane Primary and Nursery School</v>
          </cell>
          <cell r="D18102" t="str">
            <v>Nottinghamshire</v>
          </cell>
          <cell r="E18102" t="str">
            <v>Community School</v>
          </cell>
          <cell r="F18102" t="str">
            <v>Primary</v>
          </cell>
        </row>
        <row r="18103">
          <cell r="A18103">
            <v>9333076</v>
          </cell>
          <cell r="B18103">
            <v>123766</v>
          </cell>
          <cell r="C18103" t="str">
            <v>Lovington Church of England Primary School</v>
          </cell>
          <cell r="D18103" t="str">
            <v>Somerset</v>
          </cell>
          <cell r="E18103" t="str">
            <v>Voluntary Controlled School</v>
          </cell>
          <cell r="F18103" t="str">
            <v>Primary</v>
          </cell>
        </row>
        <row r="18104">
          <cell r="A18104">
            <v>3802145</v>
          </cell>
          <cell r="B18104">
            <v>107272</v>
          </cell>
          <cell r="C18104" t="str">
            <v>Low Ash Primary School</v>
          </cell>
          <cell r="D18104" t="str">
            <v>Bradford</v>
          </cell>
          <cell r="E18104" t="str">
            <v>Community School</v>
          </cell>
          <cell r="F18104" t="str">
            <v>Primary</v>
          </cell>
        </row>
        <row r="18105">
          <cell r="A18105">
            <v>8152306</v>
          </cell>
          <cell r="B18105">
            <v>121381</v>
          </cell>
          <cell r="C18105" t="str">
            <v>Low Bentham Community Primary School</v>
          </cell>
          <cell r="D18105" t="str">
            <v>North Yorkshire</v>
          </cell>
          <cell r="E18105" t="str">
            <v>Community School</v>
          </cell>
          <cell r="F18105" t="str">
            <v>Primary</v>
          </cell>
        </row>
        <row r="18106">
          <cell r="A18106">
            <v>3902020</v>
          </cell>
          <cell r="B18106">
            <v>108324</v>
          </cell>
          <cell r="C18106" t="str">
            <v>Low Fell County Junior School</v>
          </cell>
          <cell r="D18106" t="str">
            <v>Gateshead</v>
          </cell>
          <cell r="E18106" t="str">
            <v>Community School</v>
          </cell>
          <cell r="F18106" t="str">
            <v>Primary</v>
          </cell>
        </row>
        <row r="18107">
          <cell r="A18107">
            <v>3902021</v>
          </cell>
          <cell r="B18107">
            <v>108325</v>
          </cell>
          <cell r="C18107" t="str">
            <v>Low Fell Infant School</v>
          </cell>
          <cell r="D18107" t="str">
            <v>Gateshead</v>
          </cell>
          <cell r="E18107" t="str">
            <v>Community School</v>
          </cell>
          <cell r="F18107" t="str">
            <v>Primary</v>
          </cell>
        </row>
        <row r="18108">
          <cell r="A18108">
            <v>9093212</v>
          </cell>
          <cell r="B18108">
            <v>112299</v>
          </cell>
          <cell r="C18108" t="str">
            <v>Low Furness CofE Primary School</v>
          </cell>
          <cell r="D18108" t="str">
            <v>Cumbria</v>
          </cell>
          <cell r="E18108" t="str">
            <v>Voluntary Controlled School</v>
          </cell>
          <cell r="F18108" t="str">
            <v>Primary</v>
          </cell>
        </row>
        <row r="18109">
          <cell r="A18109">
            <v>8082010</v>
          </cell>
          <cell r="B18109">
            <v>111528</v>
          </cell>
          <cell r="C18109" t="str">
            <v>Low Grange Infant School</v>
          </cell>
          <cell r="D18109" t="str">
            <v>Stockton-on-Tees</v>
          </cell>
          <cell r="E18109" t="str">
            <v>Community School</v>
          </cell>
          <cell r="F18109" t="str">
            <v>Primary</v>
          </cell>
        </row>
        <row r="18110">
          <cell r="A18110">
            <v>8082009</v>
          </cell>
          <cell r="B18110">
            <v>111527</v>
          </cell>
          <cell r="C18110" t="str">
            <v>Low Grange Junior School</v>
          </cell>
          <cell r="D18110" t="str">
            <v>Stockton-on-Tees</v>
          </cell>
          <cell r="E18110" t="str">
            <v>Community School</v>
          </cell>
          <cell r="F18110" t="str">
            <v>Primary</v>
          </cell>
        </row>
        <row r="18111">
          <cell r="A18111">
            <v>3592059</v>
          </cell>
          <cell r="B18111">
            <v>106434</v>
          </cell>
          <cell r="C18111" t="str">
            <v>Low Hall Community Primary School</v>
          </cell>
          <cell r="D18111" t="str">
            <v>Wigan</v>
          </cell>
          <cell r="E18111" t="str">
            <v>Community School</v>
          </cell>
          <cell r="F18111" t="str">
            <v>Primary</v>
          </cell>
        </row>
        <row r="18112">
          <cell r="A18112">
            <v>3201000</v>
          </cell>
          <cell r="B18112">
            <v>103027</v>
          </cell>
          <cell r="C18112" t="str">
            <v>Low Hall Nursery School and Children's Centre</v>
          </cell>
          <cell r="D18112" t="str">
            <v>Waltham Forest</v>
          </cell>
          <cell r="E18112" t="str">
            <v>LA Nursery School</v>
          </cell>
          <cell r="F18112" t="str">
            <v>Nursery</v>
          </cell>
        </row>
        <row r="18113">
          <cell r="A18113">
            <v>3361002</v>
          </cell>
          <cell r="B18113">
            <v>104278</v>
          </cell>
          <cell r="C18113" t="str">
            <v>Low Hill Nursery School</v>
          </cell>
          <cell r="D18113" t="str">
            <v>Wolverhampton</v>
          </cell>
          <cell r="E18113" t="str">
            <v>LA Nursery School</v>
          </cell>
          <cell r="F18113" t="str">
            <v>Nursery</v>
          </cell>
        </row>
        <row r="18114">
          <cell r="A18114">
            <v>3803023</v>
          </cell>
          <cell r="B18114">
            <v>107307</v>
          </cell>
          <cell r="C18114" t="str">
            <v>Low Moor CofE Primary School</v>
          </cell>
          <cell r="D18114" t="str">
            <v>Bradford</v>
          </cell>
          <cell r="E18114" t="str">
            <v>Voluntary Controlled School</v>
          </cell>
          <cell r="F18114" t="str">
            <v>Primary</v>
          </cell>
        </row>
        <row r="18115">
          <cell r="A18115">
            <v>3832121</v>
          </cell>
          <cell r="B18115">
            <v>127837</v>
          </cell>
          <cell r="C18115" t="str">
            <v>Low Road First School</v>
          </cell>
          <cell r="D18115" t="str">
            <v>Leeds</v>
          </cell>
          <cell r="E18115" t="str">
            <v>Community School</v>
          </cell>
          <cell r="F18115" t="str">
            <v>Primary</v>
          </cell>
        </row>
        <row r="18116">
          <cell r="A18116">
            <v>3832481</v>
          </cell>
          <cell r="B18116">
            <v>107957</v>
          </cell>
          <cell r="C18116" t="str">
            <v>Low Road Primary School</v>
          </cell>
          <cell r="D18116" t="str">
            <v>Leeds</v>
          </cell>
          <cell r="E18116" t="str">
            <v>Community School</v>
          </cell>
          <cell r="F18116" t="str">
            <v>Primary</v>
          </cell>
        </row>
        <row r="18117">
          <cell r="A18117">
            <v>8655203</v>
          </cell>
          <cell r="B18117">
            <v>126477</v>
          </cell>
          <cell r="C18117" t="str">
            <v>Lowbourne Junior School</v>
          </cell>
          <cell r="D18117" t="str">
            <v>Wiltshire</v>
          </cell>
          <cell r="E18117" t="str">
            <v>Foundation School</v>
          </cell>
          <cell r="F18117" t="str">
            <v>Primary</v>
          </cell>
        </row>
        <row r="18118">
          <cell r="A18118">
            <v>8682186</v>
          </cell>
          <cell r="B18118">
            <v>109900</v>
          </cell>
          <cell r="C18118" t="str">
            <v>Lowbrook Primary School</v>
          </cell>
          <cell r="D18118" t="str">
            <v>Windsor and Maidenhead</v>
          </cell>
          <cell r="E18118" t="str">
            <v>Community School</v>
          </cell>
          <cell r="F18118" t="str">
            <v>Primary</v>
          </cell>
        </row>
        <row r="18119">
          <cell r="A18119">
            <v>3342078</v>
          </cell>
          <cell r="B18119">
            <v>127174</v>
          </cell>
          <cell r="C18119" t="str">
            <v>Lowbrook Primary School</v>
          </cell>
          <cell r="D18119" t="str">
            <v>Solihull</v>
          </cell>
          <cell r="E18119" t="str">
            <v>Community School</v>
          </cell>
          <cell r="F18119" t="str">
            <v>Primary</v>
          </cell>
        </row>
        <row r="18120">
          <cell r="A18120">
            <v>8682186</v>
          </cell>
          <cell r="B18120">
            <v>136712</v>
          </cell>
          <cell r="C18120" t="str">
            <v>Lowbrook Primary School</v>
          </cell>
          <cell r="D18120" t="str">
            <v>Windsor and Maidenhead</v>
          </cell>
          <cell r="E18120" t="str">
            <v>Academy Converters</v>
          </cell>
          <cell r="F18120" t="str">
            <v>Primary</v>
          </cell>
        </row>
        <row r="18121">
          <cell r="A18121">
            <v>9092216</v>
          </cell>
          <cell r="B18121">
            <v>112158</v>
          </cell>
          <cell r="C18121" t="str">
            <v>Lowca Community School</v>
          </cell>
          <cell r="D18121" t="str">
            <v>Cumbria</v>
          </cell>
          <cell r="E18121" t="str">
            <v>Community School</v>
          </cell>
          <cell r="F18121" t="str">
            <v>Primary</v>
          </cell>
        </row>
        <row r="18122">
          <cell r="A18122">
            <v>8913566</v>
          </cell>
          <cell r="B18122">
            <v>122806</v>
          </cell>
          <cell r="C18122" t="str">
            <v>Lowdham CofE Primary School</v>
          </cell>
          <cell r="D18122" t="str">
            <v>Nottinghamshire</v>
          </cell>
          <cell r="E18122" t="str">
            <v>Voluntary Aided School</v>
          </cell>
          <cell r="F18122" t="str">
            <v>Primary</v>
          </cell>
        </row>
        <row r="18123">
          <cell r="A18123">
            <v>3423408</v>
          </cell>
          <cell r="B18123">
            <v>127350</v>
          </cell>
          <cell r="C18123" t="str">
            <v>Lowe House RC Infant School</v>
          </cell>
          <cell r="D18123" t="str">
            <v>St. Helens</v>
          </cell>
          <cell r="E18123" t="str">
            <v>Voluntary Aided School</v>
          </cell>
          <cell r="F18123" t="str">
            <v>Primary</v>
          </cell>
        </row>
        <row r="18124">
          <cell r="A18124">
            <v>3423406</v>
          </cell>
          <cell r="B18124">
            <v>127349</v>
          </cell>
          <cell r="C18124" t="str">
            <v>Lowe House RC Junior School</v>
          </cell>
          <cell r="D18124" t="str">
            <v>St. Helens</v>
          </cell>
          <cell r="E18124" t="str">
            <v>Voluntary Aided School</v>
          </cell>
          <cell r="F18124" t="str">
            <v>Primary</v>
          </cell>
        </row>
        <row r="18125">
          <cell r="A18125">
            <v>3732211</v>
          </cell>
          <cell r="B18125">
            <v>127679</v>
          </cell>
          <cell r="C18125" t="str">
            <v>Lowedges Junior School</v>
          </cell>
          <cell r="D18125" t="str">
            <v>Sheffield</v>
          </cell>
          <cell r="E18125" t="str">
            <v>Community School</v>
          </cell>
          <cell r="F18125" t="str">
            <v>Primary</v>
          </cell>
        </row>
        <row r="18126">
          <cell r="A18126">
            <v>3732216</v>
          </cell>
          <cell r="B18126">
            <v>127681</v>
          </cell>
          <cell r="C18126" t="str">
            <v>Lowedges Nursery and Infant School</v>
          </cell>
          <cell r="D18126" t="str">
            <v>Sheffield</v>
          </cell>
          <cell r="E18126" t="str">
            <v>Community School</v>
          </cell>
          <cell r="F18126" t="str">
            <v>Primary</v>
          </cell>
        </row>
        <row r="18127">
          <cell r="A18127">
            <v>3732333</v>
          </cell>
          <cell r="B18127">
            <v>107076</v>
          </cell>
          <cell r="C18127" t="str">
            <v>Lowedges Primary School</v>
          </cell>
          <cell r="D18127" t="str">
            <v>Sheffield</v>
          </cell>
          <cell r="E18127" t="str">
            <v>Community School</v>
          </cell>
          <cell r="F18127" t="str">
            <v>Primary</v>
          </cell>
        </row>
        <row r="18128">
          <cell r="A18128">
            <v>3071101</v>
          </cell>
          <cell r="B18128">
            <v>101864</v>
          </cell>
          <cell r="C18128" t="str">
            <v>Lower Boston Road Tutorial Centre</v>
          </cell>
          <cell r="D18128" t="str">
            <v>Ealing</v>
          </cell>
          <cell r="E18128" t="str">
            <v>Pupil Referral Unit</v>
          </cell>
          <cell r="F18128" t="str">
            <v>PRU</v>
          </cell>
        </row>
        <row r="18129">
          <cell r="A18129">
            <v>8892008</v>
          </cell>
          <cell r="B18129">
            <v>119120</v>
          </cell>
          <cell r="C18129" t="str">
            <v>Lower Darwen Primary School</v>
          </cell>
          <cell r="D18129" t="str">
            <v>Blackburn with Darwen</v>
          </cell>
          <cell r="E18129" t="str">
            <v>Community School</v>
          </cell>
          <cell r="F18129" t="str">
            <v>Primary</v>
          </cell>
        </row>
        <row r="18130">
          <cell r="A18130">
            <v>3352042</v>
          </cell>
          <cell r="B18130">
            <v>104169</v>
          </cell>
          <cell r="C18130" t="str">
            <v>Lower Farm Primary School</v>
          </cell>
          <cell r="D18130" t="str">
            <v>Walsall</v>
          </cell>
          <cell r="E18130" t="str">
            <v>Community School</v>
          </cell>
          <cell r="F18130" t="str">
            <v>Primary</v>
          </cell>
        </row>
        <row r="18131">
          <cell r="A18131">
            <v>3804104</v>
          </cell>
          <cell r="B18131">
            <v>107417</v>
          </cell>
          <cell r="C18131" t="str">
            <v>Lower Fields Middle School</v>
          </cell>
          <cell r="D18131" t="str">
            <v>Bradford</v>
          </cell>
          <cell r="E18131" t="str">
            <v>Community School</v>
          </cell>
          <cell r="F18131" t="str">
            <v>Middle Deemed Secondary</v>
          </cell>
        </row>
        <row r="18132">
          <cell r="A18132">
            <v>3802199</v>
          </cell>
          <cell r="B18132">
            <v>132182</v>
          </cell>
          <cell r="C18132" t="str">
            <v>Lower Fields Primary School</v>
          </cell>
          <cell r="D18132" t="str">
            <v>Bradford</v>
          </cell>
          <cell r="E18132" t="str">
            <v>Community School</v>
          </cell>
          <cell r="F18132" t="str">
            <v>Primary</v>
          </cell>
        </row>
        <row r="18133">
          <cell r="A18133">
            <v>8862231</v>
          </cell>
          <cell r="B18133">
            <v>118341</v>
          </cell>
          <cell r="C18133" t="str">
            <v>Lower Halstow Primary School</v>
          </cell>
          <cell r="D18133" t="str">
            <v>Kent</v>
          </cell>
          <cell r="E18133" t="str">
            <v>Community School</v>
          </cell>
          <cell r="F18133" t="str">
            <v>Primary</v>
          </cell>
        </row>
        <row r="18134">
          <cell r="A18134">
            <v>9223127</v>
          </cell>
          <cell r="B18134">
            <v>129404</v>
          </cell>
          <cell r="C18134" t="str">
            <v>Lower Hardres CofE Primary School</v>
          </cell>
          <cell r="D18134" t="str">
            <v>Pre LGR (1998) Kent</v>
          </cell>
          <cell r="E18134" t="str">
            <v>Voluntary Controlled School</v>
          </cell>
          <cell r="F18134" t="str">
            <v>Primary</v>
          </cell>
        </row>
        <row r="18135">
          <cell r="A18135">
            <v>8933070</v>
          </cell>
          <cell r="B18135">
            <v>123483</v>
          </cell>
          <cell r="C18135" t="str">
            <v>Lower Heath CofE Primary School</v>
          </cell>
          <cell r="D18135" t="str">
            <v>Shropshire</v>
          </cell>
          <cell r="E18135" t="str">
            <v>Voluntary Controlled School</v>
          </cell>
          <cell r="F18135" t="str">
            <v>Primary</v>
          </cell>
        </row>
        <row r="18136">
          <cell r="A18136">
            <v>3552011</v>
          </cell>
          <cell r="B18136">
            <v>105886</v>
          </cell>
          <cell r="C18136" t="str">
            <v>Lower Kersal Community Primary School</v>
          </cell>
          <cell r="D18136" t="str">
            <v>Salford</v>
          </cell>
          <cell r="E18136" t="str">
            <v>Community School</v>
          </cell>
          <cell r="F18136" t="str">
            <v>Primary</v>
          </cell>
        </row>
        <row r="18137">
          <cell r="A18137">
            <v>3732368</v>
          </cell>
          <cell r="B18137">
            <v>133484</v>
          </cell>
          <cell r="C18137" t="str">
            <v>Lower Meadow Primary School</v>
          </cell>
          <cell r="D18137" t="str">
            <v>Sheffield</v>
          </cell>
          <cell r="E18137" t="str">
            <v>Community School</v>
          </cell>
          <cell r="F18137" t="str">
            <v>Primary</v>
          </cell>
        </row>
        <row r="18138">
          <cell r="A18138">
            <v>8952152</v>
          </cell>
          <cell r="B18138">
            <v>111023</v>
          </cell>
          <cell r="C18138" t="str">
            <v>Lower Park School</v>
          </cell>
          <cell r="D18138" t="str">
            <v>Cheshire East</v>
          </cell>
          <cell r="E18138" t="str">
            <v>Community School</v>
          </cell>
          <cell r="F18138" t="str">
            <v>Primary</v>
          </cell>
        </row>
        <row r="18139">
          <cell r="A18139">
            <v>8963533</v>
          </cell>
          <cell r="B18139">
            <v>111337</v>
          </cell>
          <cell r="C18139" t="str">
            <v>Lower Peover CofE Primary School</v>
          </cell>
          <cell r="D18139" t="str">
            <v>Cheshire West and Chester</v>
          </cell>
          <cell r="E18139" t="str">
            <v>Voluntary Aided School</v>
          </cell>
          <cell r="F18139" t="str">
            <v>Primary</v>
          </cell>
        </row>
        <row r="18140">
          <cell r="A18140">
            <v>3832125</v>
          </cell>
          <cell r="B18140">
            <v>127838</v>
          </cell>
          <cell r="C18140" t="str">
            <v>Lower Wortley First School</v>
          </cell>
          <cell r="D18140" t="str">
            <v>Leeds</v>
          </cell>
          <cell r="E18140" t="str">
            <v>Community School</v>
          </cell>
          <cell r="F18140" t="str">
            <v>Primary</v>
          </cell>
        </row>
        <row r="18141">
          <cell r="A18141">
            <v>3832496</v>
          </cell>
          <cell r="B18141">
            <v>107972</v>
          </cell>
          <cell r="C18141" t="str">
            <v>Lower Wortley Primary School</v>
          </cell>
          <cell r="D18141" t="str">
            <v>Leeds</v>
          </cell>
          <cell r="E18141" t="str">
            <v>Community School</v>
          </cell>
          <cell r="F18141" t="str">
            <v>Primary</v>
          </cell>
        </row>
        <row r="18142">
          <cell r="A18142">
            <v>3512020</v>
          </cell>
          <cell r="B18142">
            <v>105295</v>
          </cell>
          <cell r="C18142" t="str">
            <v>Lowercroft Primary School</v>
          </cell>
          <cell r="D18142" t="str">
            <v>Bury</v>
          </cell>
          <cell r="E18142" t="str">
            <v>Community School</v>
          </cell>
          <cell r="F18142" t="str">
            <v>Primary</v>
          </cell>
        </row>
        <row r="18143">
          <cell r="A18143">
            <v>3823000</v>
          </cell>
          <cell r="B18143">
            <v>107698</v>
          </cell>
          <cell r="C18143" t="str">
            <v>Lowerhouses CofE (Voluntary Controlled) Junior Infant and Early Years School</v>
          </cell>
          <cell r="D18143" t="str">
            <v>Kirklees</v>
          </cell>
          <cell r="E18143" t="str">
            <v>Voluntary Controlled School</v>
          </cell>
          <cell r="F18143" t="str">
            <v>Primary</v>
          </cell>
        </row>
        <row r="18144">
          <cell r="A18144">
            <v>3542024</v>
          </cell>
          <cell r="B18144">
            <v>105777</v>
          </cell>
          <cell r="C18144" t="str">
            <v>Lowerplace Primary School</v>
          </cell>
          <cell r="D18144" t="str">
            <v>Rochdale</v>
          </cell>
          <cell r="E18144" t="str">
            <v>Community School</v>
          </cell>
          <cell r="F18144" t="str">
            <v>Primary</v>
          </cell>
        </row>
        <row r="18145">
          <cell r="A18145">
            <v>8913133</v>
          </cell>
          <cell r="B18145">
            <v>122769</v>
          </cell>
          <cell r="C18145" t="str">
            <v>Lowe's Wong Anglican Methodist Junior School</v>
          </cell>
          <cell r="D18145" t="str">
            <v>Nottinghamshire</v>
          </cell>
          <cell r="E18145" t="str">
            <v>Voluntary Controlled School</v>
          </cell>
          <cell r="F18145" t="str">
            <v>Primary</v>
          </cell>
        </row>
        <row r="18146">
          <cell r="A18146">
            <v>8912824</v>
          </cell>
          <cell r="B18146">
            <v>122676</v>
          </cell>
          <cell r="C18146" t="str">
            <v>Lowe's Wong Infant School</v>
          </cell>
          <cell r="D18146" t="str">
            <v>Nottinghamshire</v>
          </cell>
          <cell r="E18146" t="str">
            <v>Community School</v>
          </cell>
          <cell r="F18146" t="str">
            <v>Primary</v>
          </cell>
        </row>
        <row r="18147">
          <cell r="A18147">
            <v>9358352</v>
          </cell>
          <cell r="B18147">
            <v>136255</v>
          </cell>
          <cell r="C18147" t="str">
            <v>Lowestoft 6th Form College</v>
          </cell>
          <cell r="D18147" t="str">
            <v>Suffolk</v>
          </cell>
          <cell r="E18147" t="str">
            <v>Further Education</v>
          </cell>
          <cell r="F18147" t="str">
            <v>16 Plus</v>
          </cell>
        </row>
        <row r="18148">
          <cell r="A18148">
            <v>9358001</v>
          </cell>
          <cell r="B18148">
            <v>130819</v>
          </cell>
          <cell r="C18148" t="str">
            <v>Lowestoft College</v>
          </cell>
          <cell r="D18148" t="str">
            <v>Suffolk</v>
          </cell>
          <cell r="E18148" t="str">
            <v>Further Education</v>
          </cell>
          <cell r="F18148" t="str">
            <v>16 Plus</v>
          </cell>
        </row>
        <row r="18149">
          <cell r="A18149">
            <v>3732070</v>
          </cell>
          <cell r="B18149">
            <v>106997</v>
          </cell>
          <cell r="C18149" t="str">
            <v>Lowfield Community Primary School</v>
          </cell>
          <cell r="D18149" t="str">
            <v>Sheffield</v>
          </cell>
          <cell r="E18149" t="str">
            <v>Community School</v>
          </cell>
          <cell r="F18149" t="str">
            <v>Primary</v>
          </cell>
        </row>
        <row r="18150">
          <cell r="A18150">
            <v>8164228</v>
          </cell>
          <cell r="B18150">
            <v>121705</v>
          </cell>
          <cell r="C18150" t="str">
            <v>Lowfield School</v>
          </cell>
          <cell r="D18150" t="str">
            <v>York</v>
          </cell>
          <cell r="E18150" t="str">
            <v>Community School</v>
          </cell>
          <cell r="F18150" t="str">
            <v>Secondary</v>
          </cell>
        </row>
        <row r="18151">
          <cell r="A18151">
            <v>9077007</v>
          </cell>
          <cell r="B18151">
            <v>128528</v>
          </cell>
          <cell r="C18151" t="str">
            <v>Lowfields School</v>
          </cell>
          <cell r="D18151" t="str">
            <v>Pre LGR (1996) Cleveland</v>
          </cell>
          <cell r="E18151" t="str">
            <v>Community Special School</v>
          </cell>
          <cell r="F18151" t="str">
            <v>Special</v>
          </cell>
        </row>
        <row r="18152">
          <cell r="A18152">
            <v>9292144</v>
          </cell>
          <cell r="B18152">
            <v>122204</v>
          </cell>
          <cell r="C18152" t="str">
            <v>Lowgate First School</v>
          </cell>
          <cell r="D18152" t="str">
            <v>Northumberland</v>
          </cell>
          <cell r="E18152" t="str">
            <v>Community School</v>
          </cell>
          <cell r="F18152" t="str">
            <v>Primary</v>
          </cell>
        </row>
        <row r="18153">
          <cell r="A18153">
            <v>9096039</v>
          </cell>
          <cell r="B18153">
            <v>112457</v>
          </cell>
          <cell r="C18153" t="str">
            <v>Lowgate House School</v>
          </cell>
          <cell r="D18153" t="str">
            <v>Cumbria</v>
          </cell>
          <cell r="E18153" t="str">
            <v>Independent School Approved for SEN Pupils</v>
          </cell>
          <cell r="F18153" t="str">
            <v>Not applicable</v>
          </cell>
        </row>
        <row r="18154">
          <cell r="A18154">
            <v>9293922</v>
          </cell>
          <cell r="B18154">
            <v>131221</v>
          </cell>
          <cell r="C18154" t="str">
            <v>Lowick Church of England Voluntary Controlled First School</v>
          </cell>
          <cell r="D18154" t="str">
            <v>Northumberland</v>
          </cell>
          <cell r="E18154" t="str">
            <v>Voluntary Controlled School</v>
          </cell>
          <cell r="F18154" t="str">
            <v>Primary</v>
          </cell>
        </row>
        <row r="18155">
          <cell r="A18155">
            <v>9093133</v>
          </cell>
          <cell r="B18155">
            <v>112288</v>
          </cell>
          <cell r="C18155" t="str">
            <v>Lowick CofE School</v>
          </cell>
          <cell r="D18155" t="str">
            <v>Cumbria</v>
          </cell>
          <cell r="E18155" t="str">
            <v>Voluntary Controlled School</v>
          </cell>
          <cell r="F18155" t="str">
            <v>Primary</v>
          </cell>
        </row>
        <row r="18156">
          <cell r="A18156">
            <v>9292176</v>
          </cell>
          <cell r="B18156">
            <v>122207</v>
          </cell>
          <cell r="C18156" t="str">
            <v>Lowick First School</v>
          </cell>
          <cell r="D18156" t="str">
            <v>Northumberland</v>
          </cell>
          <cell r="E18156" t="str">
            <v>Community School</v>
          </cell>
          <cell r="F18156" t="str">
            <v>Primary</v>
          </cell>
        </row>
        <row r="18157">
          <cell r="A18157">
            <v>9096055</v>
          </cell>
          <cell r="B18157">
            <v>134816</v>
          </cell>
          <cell r="C18157" t="str">
            <v>Lowick New School</v>
          </cell>
          <cell r="D18157" t="str">
            <v>Cumbria</v>
          </cell>
          <cell r="E18157" t="str">
            <v>Other Independent School</v>
          </cell>
          <cell r="F18157" t="str">
            <v>Not applicable</v>
          </cell>
        </row>
        <row r="18158">
          <cell r="A18158">
            <v>9044032</v>
          </cell>
          <cell r="B18158">
            <v>128346</v>
          </cell>
          <cell r="C18158" t="str">
            <v>Lowndes Girls' School</v>
          </cell>
          <cell r="D18158" t="str">
            <v>Pre LGR (1997) Buckinghamshire</v>
          </cell>
          <cell r="E18158" t="str">
            <v>Community School</v>
          </cell>
          <cell r="F18158" t="str">
            <v>Secondary</v>
          </cell>
        </row>
        <row r="18159">
          <cell r="A18159">
            <v>3554047</v>
          </cell>
          <cell r="B18159">
            <v>105980</v>
          </cell>
          <cell r="C18159" t="str">
            <v>Lowry High School</v>
          </cell>
          <cell r="D18159" t="str">
            <v>Salford</v>
          </cell>
          <cell r="E18159" t="str">
            <v>Community School</v>
          </cell>
          <cell r="F18159" t="str">
            <v>Secondary</v>
          </cell>
        </row>
        <row r="18160">
          <cell r="A18160">
            <v>9093451</v>
          </cell>
          <cell r="B18160">
            <v>112342</v>
          </cell>
          <cell r="C18160" t="str">
            <v>Lowther Endowed School</v>
          </cell>
          <cell r="D18160" t="str">
            <v>Cumbria</v>
          </cell>
          <cell r="E18160" t="str">
            <v>Voluntary Aided School</v>
          </cell>
          <cell r="F18160" t="str">
            <v>Primary</v>
          </cell>
        </row>
        <row r="18161">
          <cell r="A18161">
            <v>3182013</v>
          </cell>
          <cell r="B18161">
            <v>102892</v>
          </cell>
          <cell r="C18161" t="str">
            <v>Lowther Primary School</v>
          </cell>
          <cell r="D18161" t="str">
            <v>Richmond upon Thames</v>
          </cell>
          <cell r="E18161" t="str">
            <v>Community School</v>
          </cell>
          <cell r="F18161" t="str">
            <v>Primary</v>
          </cell>
        </row>
        <row r="18162">
          <cell r="A18162">
            <v>3594028</v>
          </cell>
          <cell r="B18162">
            <v>106530</v>
          </cell>
          <cell r="C18162" t="str">
            <v>Lowton High School A Specialist Sports College</v>
          </cell>
          <cell r="D18162" t="str">
            <v>Wigan</v>
          </cell>
          <cell r="E18162" t="str">
            <v>Foundation School</v>
          </cell>
          <cell r="F18162" t="str">
            <v>Secondary</v>
          </cell>
        </row>
        <row r="18163">
          <cell r="A18163">
            <v>3592039</v>
          </cell>
          <cell r="B18163">
            <v>106421</v>
          </cell>
          <cell r="C18163" t="str">
            <v>Lowton Junior and Infant School</v>
          </cell>
          <cell r="D18163" t="str">
            <v>Wigan</v>
          </cell>
          <cell r="E18163" t="str">
            <v>Foundation School</v>
          </cell>
          <cell r="F18163" t="str">
            <v>Primary</v>
          </cell>
        </row>
        <row r="18164">
          <cell r="A18164">
            <v>3593378</v>
          </cell>
          <cell r="B18164">
            <v>106486</v>
          </cell>
          <cell r="C18164" t="str">
            <v>Lowton St Mary's CofE (Voluntary Aided) Primary School</v>
          </cell>
          <cell r="D18164" t="str">
            <v>Wigan</v>
          </cell>
          <cell r="E18164" t="str">
            <v>Voluntary Aided School</v>
          </cell>
          <cell r="F18164" t="str">
            <v>Primary</v>
          </cell>
        </row>
        <row r="18165">
          <cell r="A18165">
            <v>3592049</v>
          </cell>
          <cell r="B18165">
            <v>106428</v>
          </cell>
          <cell r="C18165" t="str">
            <v>Lowton West Primary School</v>
          </cell>
          <cell r="D18165" t="str">
            <v>Wigan</v>
          </cell>
          <cell r="E18165" t="str">
            <v>Community School</v>
          </cell>
          <cell r="F18165" t="str">
            <v>Primary</v>
          </cell>
        </row>
        <row r="18166">
          <cell r="A18166">
            <v>3832365</v>
          </cell>
          <cell r="B18166">
            <v>107862</v>
          </cell>
          <cell r="C18166" t="str">
            <v>Lowtown Primary School</v>
          </cell>
          <cell r="D18166" t="str">
            <v>Leeds</v>
          </cell>
          <cell r="E18166" t="str">
            <v>Community School</v>
          </cell>
          <cell r="F18166" t="str">
            <v>Primary</v>
          </cell>
        </row>
        <row r="18167">
          <cell r="A18167">
            <v>3362051</v>
          </cell>
          <cell r="B18167">
            <v>104315</v>
          </cell>
          <cell r="C18167" t="str">
            <v>Loxdale Primary School</v>
          </cell>
          <cell r="D18167" t="str">
            <v>Wolverhampton</v>
          </cell>
          <cell r="E18167" t="str">
            <v>Community School</v>
          </cell>
          <cell r="F18167" t="str">
            <v>Primary</v>
          </cell>
        </row>
        <row r="18168">
          <cell r="A18168">
            <v>3174027</v>
          </cell>
          <cell r="B18168">
            <v>102853</v>
          </cell>
          <cell r="C18168" t="str">
            <v>Loxford School of Science and Technology</v>
          </cell>
          <cell r="D18168" t="str">
            <v>Redbridge</v>
          </cell>
          <cell r="E18168" t="str">
            <v>Community School</v>
          </cell>
          <cell r="F18168" t="str">
            <v>Secondary</v>
          </cell>
        </row>
        <row r="18169">
          <cell r="A18169">
            <v>9373040</v>
          </cell>
          <cell r="B18169">
            <v>125639</v>
          </cell>
          <cell r="C18169" t="str">
            <v>Loxley CofE Community Primary School</v>
          </cell>
          <cell r="D18169" t="str">
            <v>Warwickshire</v>
          </cell>
          <cell r="E18169" t="str">
            <v>Voluntary Controlled School</v>
          </cell>
          <cell r="F18169" t="str">
            <v>Primary</v>
          </cell>
        </row>
        <row r="18170">
          <cell r="A18170">
            <v>8607024</v>
          </cell>
          <cell r="B18170">
            <v>124509</v>
          </cell>
          <cell r="C18170" t="str">
            <v>Loxley Hall School</v>
          </cell>
          <cell r="D18170" t="str">
            <v>Staffordshire</v>
          </cell>
          <cell r="E18170" t="str">
            <v>Community Special School</v>
          </cell>
          <cell r="F18170" t="str">
            <v>Special</v>
          </cell>
        </row>
        <row r="18171">
          <cell r="A18171">
            <v>3732292</v>
          </cell>
          <cell r="B18171">
            <v>107049</v>
          </cell>
          <cell r="C18171" t="str">
            <v>Loxley Primary School</v>
          </cell>
          <cell r="D18171" t="str">
            <v>Sheffield</v>
          </cell>
          <cell r="E18171" t="str">
            <v>Community School</v>
          </cell>
          <cell r="F18171" t="str">
            <v>Primary</v>
          </cell>
        </row>
        <row r="18172">
          <cell r="A18172">
            <v>3738009</v>
          </cell>
          <cell r="B18172">
            <v>133090</v>
          </cell>
          <cell r="C18172" t="str">
            <v>Loxley Tertiary College</v>
          </cell>
          <cell r="D18172" t="str">
            <v>Sheffield</v>
          </cell>
          <cell r="E18172" t="str">
            <v>Miscellaneous</v>
          </cell>
          <cell r="F18172" t="str">
            <v>Not applicable</v>
          </cell>
        </row>
        <row r="18173">
          <cell r="A18173">
            <v>9382046</v>
          </cell>
          <cell r="B18173">
            <v>125845</v>
          </cell>
          <cell r="C18173" t="str">
            <v>Loxwood Primary School</v>
          </cell>
          <cell r="D18173" t="str">
            <v>West Sussex</v>
          </cell>
          <cell r="E18173" t="str">
            <v>Community School</v>
          </cell>
          <cell r="F18173" t="str">
            <v>Primary</v>
          </cell>
        </row>
        <row r="18174">
          <cell r="A18174">
            <v>8816007</v>
          </cell>
          <cell r="B18174">
            <v>115393</v>
          </cell>
          <cell r="C18174" t="str">
            <v>Loyola Preparatory School</v>
          </cell>
          <cell r="D18174" t="str">
            <v>Essex</v>
          </cell>
          <cell r="E18174" t="str">
            <v>Other Independent School</v>
          </cell>
          <cell r="F18174" t="str">
            <v>Not applicable</v>
          </cell>
        </row>
        <row r="18175">
          <cell r="A18175">
            <v>3302127</v>
          </cell>
          <cell r="B18175">
            <v>103227</v>
          </cell>
          <cell r="C18175" t="str">
            <v>Lozells Junior and Infant School and Nursery</v>
          </cell>
          <cell r="D18175" t="str">
            <v>Birmingham</v>
          </cell>
          <cell r="E18175" t="str">
            <v>Community School</v>
          </cell>
          <cell r="F18175" t="str">
            <v>Primary</v>
          </cell>
        </row>
        <row r="18176">
          <cell r="A18176">
            <v>8016029</v>
          </cell>
          <cell r="B18176">
            <v>137583</v>
          </cell>
          <cell r="C18176" t="str">
            <v>LPW Independent School</v>
          </cell>
          <cell r="D18176" t="str">
            <v>Bristol City of</v>
          </cell>
          <cell r="E18176" t="str">
            <v>Other Independent School</v>
          </cell>
          <cell r="F18176" t="str">
            <v>Not applicable</v>
          </cell>
        </row>
        <row r="18177">
          <cell r="A18177">
            <v>2046234</v>
          </cell>
          <cell r="B18177">
            <v>100290</v>
          </cell>
          <cell r="C18177" t="str">
            <v>Lubavitch House Junior School</v>
          </cell>
          <cell r="D18177" t="str">
            <v>Hackney</v>
          </cell>
          <cell r="E18177" t="str">
            <v>Other Independent School</v>
          </cell>
          <cell r="F18177" t="str">
            <v>Not applicable</v>
          </cell>
        </row>
        <row r="18178">
          <cell r="A18178">
            <v>2046412</v>
          </cell>
          <cell r="B18178">
            <v>133617</v>
          </cell>
          <cell r="C18178" t="str">
            <v>Lubavitch House School (Junior Boys)</v>
          </cell>
          <cell r="D18178" t="str">
            <v>Hackney</v>
          </cell>
          <cell r="E18178" t="str">
            <v>Other Independent School</v>
          </cell>
          <cell r="F18178" t="str">
            <v>Not applicable</v>
          </cell>
        </row>
        <row r="18179">
          <cell r="A18179">
            <v>2046413</v>
          </cell>
          <cell r="B18179">
            <v>133618</v>
          </cell>
          <cell r="C18179" t="str">
            <v>Lubavitch House School (Junior Girls')</v>
          </cell>
          <cell r="D18179" t="str">
            <v>Hackney</v>
          </cell>
          <cell r="E18179" t="str">
            <v>Other Independent School</v>
          </cell>
          <cell r="F18179" t="str">
            <v>Not applicable</v>
          </cell>
        </row>
        <row r="18180">
          <cell r="A18180">
            <v>2046411</v>
          </cell>
          <cell r="B18180">
            <v>133616</v>
          </cell>
          <cell r="C18180" t="str">
            <v>Lubavitch House School (Senior Girls)</v>
          </cell>
          <cell r="D18180" t="str">
            <v>Hackney</v>
          </cell>
          <cell r="E18180" t="str">
            <v>Other Independent School</v>
          </cell>
          <cell r="F18180" t="str">
            <v>Not applicable</v>
          </cell>
        </row>
        <row r="18181">
          <cell r="A18181">
            <v>2046268</v>
          </cell>
          <cell r="B18181">
            <v>100292</v>
          </cell>
          <cell r="C18181" t="str">
            <v>Lubavitch House Senior School</v>
          </cell>
          <cell r="D18181" t="str">
            <v>Hackney</v>
          </cell>
          <cell r="E18181" t="str">
            <v>Other Independent School</v>
          </cell>
          <cell r="F18181" t="str">
            <v>Not applicable</v>
          </cell>
        </row>
        <row r="18182">
          <cell r="A18182">
            <v>2043664</v>
          </cell>
          <cell r="B18182">
            <v>134639</v>
          </cell>
          <cell r="C18182" t="str">
            <v>Lubavitch Ruth Lunzer Girls Primary School</v>
          </cell>
          <cell r="D18182" t="str">
            <v>Hackney</v>
          </cell>
          <cell r="E18182" t="str">
            <v>Voluntary Aided School</v>
          </cell>
          <cell r="F18182" t="str">
            <v>Primary</v>
          </cell>
        </row>
        <row r="18183">
          <cell r="A18183">
            <v>8812557</v>
          </cell>
          <cell r="B18183">
            <v>114891</v>
          </cell>
          <cell r="C18183" t="str">
            <v>Lubbins Park Community Primary School</v>
          </cell>
          <cell r="D18183" t="str">
            <v>Essex</v>
          </cell>
          <cell r="E18183" t="str">
            <v>Community School</v>
          </cell>
          <cell r="F18183" t="str">
            <v>Primary</v>
          </cell>
        </row>
        <row r="18184">
          <cell r="A18184">
            <v>8553056</v>
          </cell>
          <cell r="B18184">
            <v>120143</v>
          </cell>
          <cell r="C18184" t="str">
            <v>Lubenham All Saints CofE Primary School</v>
          </cell>
          <cell r="D18184" t="str">
            <v>Leicestershire</v>
          </cell>
          <cell r="E18184" t="str">
            <v>Voluntary Controlled School</v>
          </cell>
          <cell r="F18184" t="str">
            <v>Primary</v>
          </cell>
        </row>
        <row r="18185">
          <cell r="A18185">
            <v>2092390</v>
          </cell>
          <cell r="B18185">
            <v>100695</v>
          </cell>
          <cell r="C18185" t="str">
            <v>Lucas Vale Primary School</v>
          </cell>
          <cell r="D18185" t="str">
            <v>Lewisham</v>
          </cell>
          <cell r="E18185" t="str">
            <v>Community School</v>
          </cell>
          <cell r="F18185" t="str">
            <v>Primary</v>
          </cell>
        </row>
        <row r="18186">
          <cell r="A18186">
            <v>8652060</v>
          </cell>
          <cell r="B18186">
            <v>126200</v>
          </cell>
          <cell r="C18186" t="str">
            <v>Luckington Community School</v>
          </cell>
          <cell r="D18186" t="str">
            <v>Wiltshire</v>
          </cell>
          <cell r="E18186" t="str">
            <v>Community School</v>
          </cell>
          <cell r="F18186" t="str">
            <v>Primary</v>
          </cell>
        </row>
        <row r="18187">
          <cell r="A18187">
            <v>8726000</v>
          </cell>
          <cell r="B18187">
            <v>110136</v>
          </cell>
          <cell r="C18187" t="str">
            <v>Luckley-Oakfield School</v>
          </cell>
          <cell r="D18187" t="str">
            <v>Wokingham</v>
          </cell>
          <cell r="E18187" t="str">
            <v>Other Independent School</v>
          </cell>
          <cell r="F18187" t="str">
            <v>Not applicable</v>
          </cell>
        </row>
        <row r="18188">
          <cell r="A18188">
            <v>8012052</v>
          </cell>
          <cell r="B18188">
            <v>108944</v>
          </cell>
          <cell r="C18188" t="str">
            <v>Luckwell Primary School</v>
          </cell>
          <cell r="D18188" t="str">
            <v>Bristol City of</v>
          </cell>
          <cell r="E18188" t="str">
            <v>Foundation School</v>
          </cell>
          <cell r="F18188" t="str">
            <v>Primary</v>
          </cell>
        </row>
        <row r="18189">
          <cell r="A18189">
            <v>8846007</v>
          </cell>
          <cell r="B18189">
            <v>117045</v>
          </cell>
          <cell r="C18189" t="str">
            <v>Lucton School</v>
          </cell>
          <cell r="D18189" t="str">
            <v>Herefordshire</v>
          </cell>
          <cell r="E18189" t="str">
            <v>Other Independent School</v>
          </cell>
          <cell r="F18189" t="str">
            <v>Not applicable</v>
          </cell>
        </row>
        <row r="18190">
          <cell r="A18190">
            <v>9376096</v>
          </cell>
          <cell r="B18190">
            <v>125793</v>
          </cell>
          <cell r="C18190" t="str">
            <v>Lucy Locket Kindergarten</v>
          </cell>
          <cell r="D18190" t="str">
            <v>Warwickshire</v>
          </cell>
          <cell r="E18190" t="str">
            <v>Other Independent School</v>
          </cell>
          <cell r="F18190" t="str">
            <v>Not applicable</v>
          </cell>
        </row>
        <row r="18191">
          <cell r="A18191">
            <v>3813008</v>
          </cell>
          <cell r="B18191">
            <v>127762</v>
          </cell>
          <cell r="C18191" t="str">
            <v>Luddenden (Controlled) CofE Junior Mixed School</v>
          </cell>
          <cell r="D18191" t="str">
            <v>Calderdale</v>
          </cell>
          <cell r="E18191" t="str">
            <v>Voluntary Controlled School</v>
          </cell>
          <cell r="F18191" t="str">
            <v>Primary</v>
          </cell>
        </row>
        <row r="18192">
          <cell r="A18192">
            <v>3813009</v>
          </cell>
          <cell r="B18192">
            <v>127763</v>
          </cell>
          <cell r="C18192" t="str">
            <v>Luddenden CofE Infants' School</v>
          </cell>
          <cell r="D18192" t="str">
            <v>Calderdale</v>
          </cell>
          <cell r="E18192" t="str">
            <v>Voluntary Controlled School</v>
          </cell>
          <cell r="F18192" t="str">
            <v>Primary</v>
          </cell>
        </row>
        <row r="18193">
          <cell r="A18193">
            <v>3813014</v>
          </cell>
          <cell r="B18193">
            <v>107541</v>
          </cell>
          <cell r="C18193" t="str">
            <v>Luddenden Dene CofE (VC) Junior Infant and Nursery School</v>
          </cell>
          <cell r="D18193" t="str">
            <v>Calderdale</v>
          </cell>
          <cell r="E18193" t="str">
            <v>Voluntary Controlled School</v>
          </cell>
          <cell r="F18193" t="str">
            <v>Primary</v>
          </cell>
        </row>
        <row r="18194">
          <cell r="A18194">
            <v>3813007</v>
          </cell>
          <cell r="B18194">
            <v>127761</v>
          </cell>
          <cell r="C18194" t="str">
            <v>Luddendenfoot CofE Junior and Infant School</v>
          </cell>
          <cell r="D18194" t="str">
            <v>Calderdale</v>
          </cell>
          <cell r="E18194" t="str">
            <v>Voluntary Controlled School</v>
          </cell>
          <cell r="F18194" t="str">
            <v>Primary</v>
          </cell>
        </row>
        <row r="18195">
          <cell r="A18195">
            <v>3812064</v>
          </cell>
          <cell r="B18195">
            <v>107516</v>
          </cell>
          <cell r="C18195" t="str">
            <v>Luddendenfoot Junior and Infant School</v>
          </cell>
          <cell r="D18195" t="str">
            <v>Calderdale</v>
          </cell>
          <cell r="E18195" t="str">
            <v>Community School</v>
          </cell>
          <cell r="F18195" t="str">
            <v>Primary</v>
          </cell>
        </row>
        <row r="18196">
          <cell r="A18196">
            <v>3812064</v>
          </cell>
          <cell r="B18196">
            <v>137699</v>
          </cell>
          <cell r="C18196" t="str">
            <v>Luddendenfoot Junior and Infant School</v>
          </cell>
          <cell r="D18196" t="str">
            <v>Calderdale</v>
          </cell>
          <cell r="E18196" t="str">
            <v>Academy Converters</v>
          </cell>
          <cell r="F18196" t="str">
            <v>Primary</v>
          </cell>
        </row>
        <row r="18197">
          <cell r="A18197">
            <v>8862232</v>
          </cell>
          <cell r="B18197">
            <v>118342</v>
          </cell>
          <cell r="C18197" t="str">
            <v>Luddenham School</v>
          </cell>
          <cell r="D18197" t="str">
            <v>Kent</v>
          </cell>
          <cell r="E18197" t="str">
            <v>Community School</v>
          </cell>
          <cell r="F18197" t="str">
            <v>Primary</v>
          </cell>
        </row>
        <row r="18198">
          <cell r="A18198">
            <v>8132122</v>
          </cell>
          <cell r="B18198">
            <v>117740</v>
          </cell>
          <cell r="C18198" t="str">
            <v>Luddington and Garthorpe Primary School</v>
          </cell>
          <cell r="D18198" t="str">
            <v>North Lincolnshire</v>
          </cell>
          <cell r="E18198" t="str">
            <v>Community School</v>
          </cell>
          <cell r="F18198" t="str">
            <v>Primary</v>
          </cell>
        </row>
        <row r="18199">
          <cell r="A18199">
            <v>8655215</v>
          </cell>
          <cell r="B18199">
            <v>126489</v>
          </cell>
          <cell r="C18199" t="str">
            <v>Ludgershall Castle Primary School</v>
          </cell>
          <cell r="D18199" t="str">
            <v>Wiltshire</v>
          </cell>
          <cell r="E18199" t="str">
            <v>Foundation School</v>
          </cell>
          <cell r="F18199" t="str">
            <v>Primary</v>
          </cell>
        </row>
        <row r="18200">
          <cell r="A18200">
            <v>8726002</v>
          </cell>
          <cell r="B18200">
            <v>110138</v>
          </cell>
          <cell r="C18200" t="str">
            <v>Ludgrove School</v>
          </cell>
          <cell r="D18200" t="str">
            <v>Wokingham</v>
          </cell>
          <cell r="E18200" t="str">
            <v>Other Independent School</v>
          </cell>
          <cell r="F18200" t="str">
            <v>Not applicable</v>
          </cell>
        </row>
        <row r="18201">
          <cell r="A18201">
            <v>9082032</v>
          </cell>
          <cell r="B18201">
            <v>111808</v>
          </cell>
          <cell r="C18201" t="str">
            <v>Ludgvan Community Primary School</v>
          </cell>
          <cell r="D18201" t="str">
            <v>Cornwall</v>
          </cell>
          <cell r="E18201" t="str">
            <v>Community School</v>
          </cell>
          <cell r="F18201" t="str">
            <v>Primary</v>
          </cell>
        </row>
        <row r="18202">
          <cell r="A18202">
            <v>9082032</v>
          </cell>
          <cell r="B18202">
            <v>137466</v>
          </cell>
          <cell r="C18202" t="str">
            <v>Ludgvan Community Primary School</v>
          </cell>
          <cell r="D18202" t="str">
            <v>Cornwall</v>
          </cell>
          <cell r="E18202" t="str">
            <v>Academy Converters</v>
          </cell>
          <cell r="F18202" t="str">
            <v>Primary</v>
          </cell>
        </row>
        <row r="18203">
          <cell r="A18203">
            <v>9262105</v>
          </cell>
          <cell r="B18203">
            <v>120830</v>
          </cell>
          <cell r="C18203" t="str">
            <v>Ludham Primary School and Nursery</v>
          </cell>
          <cell r="D18203" t="str">
            <v>Norfolk</v>
          </cell>
          <cell r="E18203" t="str">
            <v>Community School</v>
          </cell>
          <cell r="F18203" t="str">
            <v>Primary</v>
          </cell>
        </row>
        <row r="18204">
          <cell r="A18204">
            <v>8934501</v>
          </cell>
          <cell r="B18204">
            <v>123587</v>
          </cell>
          <cell r="C18204" t="str">
            <v>Ludlow Church of England School</v>
          </cell>
          <cell r="D18204" t="str">
            <v>Shropshire</v>
          </cell>
          <cell r="E18204" t="str">
            <v>Voluntary Controlled School</v>
          </cell>
          <cell r="F18204" t="str">
            <v>Secondary</v>
          </cell>
        </row>
        <row r="18205">
          <cell r="A18205">
            <v>9324600</v>
          </cell>
          <cell r="B18205">
            <v>129815</v>
          </cell>
          <cell r="C18205" t="str">
            <v>Ludlow College</v>
          </cell>
          <cell r="D18205" t="str">
            <v>Pre LGR (1998) Shropshire</v>
          </cell>
          <cell r="E18205" t="str">
            <v>Voluntary Aided School</v>
          </cell>
          <cell r="F18205" t="str">
            <v>Secondary</v>
          </cell>
        </row>
        <row r="18206">
          <cell r="A18206">
            <v>8938602</v>
          </cell>
          <cell r="B18206">
            <v>130802</v>
          </cell>
          <cell r="C18206" t="str">
            <v>Ludlow College</v>
          </cell>
          <cell r="D18206" t="str">
            <v>Shropshire</v>
          </cell>
          <cell r="E18206" t="str">
            <v>Further Education</v>
          </cell>
          <cell r="F18206" t="str">
            <v>16 Plus</v>
          </cell>
        </row>
        <row r="18207">
          <cell r="A18207">
            <v>8522419</v>
          </cell>
          <cell r="B18207">
            <v>116099</v>
          </cell>
          <cell r="C18207" t="str">
            <v>Ludlow Infant School</v>
          </cell>
          <cell r="D18207" t="str">
            <v>Southampton</v>
          </cell>
          <cell r="E18207" t="str">
            <v>Community School</v>
          </cell>
          <cell r="F18207" t="str">
            <v>Primary</v>
          </cell>
        </row>
        <row r="18208">
          <cell r="A18208">
            <v>8932065</v>
          </cell>
          <cell r="B18208">
            <v>123379</v>
          </cell>
          <cell r="C18208" t="str">
            <v>Ludlow Infant School</v>
          </cell>
          <cell r="D18208" t="str">
            <v>Shropshire</v>
          </cell>
          <cell r="E18208" t="str">
            <v>Community School</v>
          </cell>
          <cell r="F18208" t="str">
            <v>Primary</v>
          </cell>
        </row>
        <row r="18209">
          <cell r="A18209">
            <v>8522418</v>
          </cell>
          <cell r="B18209">
            <v>116098</v>
          </cell>
          <cell r="C18209" t="str">
            <v>Ludlow Junior School</v>
          </cell>
          <cell r="D18209" t="str">
            <v>Southampton</v>
          </cell>
          <cell r="E18209" t="str">
            <v>Community School</v>
          </cell>
          <cell r="F18209" t="str">
            <v>Primary</v>
          </cell>
        </row>
        <row r="18210">
          <cell r="A18210">
            <v>8932149</v>
          </cell>
          <cell r="B18210">
            <v>123426</v>
          </cell>
          <cell r="C18210" t="str">
            <v>Ludlow Junior School</v>
          </cell>
          <cell r="D18210" t="str">
            <v>Shropshire</v>
          </cell>
          <cell r="E18210" t="str">
            <v>Community School</v>
          </cell>
          <cell r="F18210" t="str">
            <v>Primary</v>
          </cell>
        </row>
        <row r="18211">
          <cell r="A18211">
            <v>8652198</v>
          </cell>
          <cell r="B18211">
            <v>126271</v>
          </cell>
          <cell r="C18211" t="str">
            <v>Ludwell Community Primary School</v>
          </cell>
          <cell r="D18211" t="str">
            <v>Wiltshire</v>
          </cell>
          <cell r="E18211" t="str">
            <v>Community School</v>
          </cell>
          <cell r="F18211" t="str">
            <v>Primary</v>
          </cell>
        </row>
        <row r="18212">
          <cell r="A18212">
            <v>9191019</v>
          </cell>
          <cell r="B18212">
            <v>117079</v>
          </cell>
          <cell r="C18212" t="str">
            <v>Ludwick Nursery School</v>
          </cell>
          <cell r="D18212" t="str">
            <v>Hertfordshire</v>
          </cell>
          <cell r="E18212" t="str">
            <v>LA Nursery School</v>
          </cell>
          <cell r="F18212" t="str">
            <v>Nursery</v>
          </cell>
        </row>
        <row r="18213">
          <cell r="A18213">
            <v>3562053</v>
          </cell>
          <cell r="B18213">
            <v>106057</v>
          </cell>
          <cell r="C18213" t="str">
            <v>Ludworth Primary School</v>
          </cell>
          <cell r="D18213" t="str">
            <v>Stockport</v>
          </cell>
          <cell r="E18213" t="str">
            <v>Community School</v>
          </cell>
          <cell r="F18213" t="str">
            <v>Primary</v>
          </cell>
        </row>
        <row r="18214">
          <cell r="A18214">
            <v>8402472</v>
          </cell>
          <cell r="B18214">
            <v>114126</v>
          </cell>
          <cell r="C18214" t="str">
            <v>Ludworth Primary School</v>
          </cell>
          <cell r="D18214" t="str">
            <v>Durham</v>
          </cell>
          <cell r="E18214" t="str">
            <v>Community School</v>
          </cell>
          <cell r="F18214" t="str">
            <v>Primary</v>
          </cell>
        </row>
        <row r="18215">
          <cell r="A18215">
            <v>9337907</v>
          </cell>
          <cell r="B18215">
            <v>131921</v>
          </cell>
          <cell r="C18215" t="str">
            <v>Lufton College of Further Education</v>
          </cell>
          <cell r="D18215" t="str">
            <v>Somerset</v>
          </cell>
          <cell r="E18215" t="str">
            <v>Special College</v>
          </cell>
          <cell r="F18215" t="str">
            <v>16 Plus</v>
          </cell>
        </row>
        <row r="18216">
          <cell r="A18216">
            <v>8842102</v>
          </cell>
          <cell r="B18216">
            <v>116706</v>
          </cell>
          <cell r="C18216" t="str">
            <v>Lugwardine Primary School</v>
          </cell>
          <cell r="D18216" t="str">
            <v>Herefordshire</v>
          </cell>
          <cell r="E18216" t="str">
            <v>Community School</v>
          </cell>
          <cell r="F18216" t="str">
            <v>Primary</v>
          </cell>
        </row>
        <row r="18217">
          <cell r="A18217">
            <v>3932082</v>
          </cell>
          <cell r="B18217">
            <v>108703</v>
          </cell>
          <cell r="C18217" t="str">
            <v>Lukes Lane Community School</v>
          </cell>
          <cell r="D18217" t="str">
            <v>South Tyneside</v>
          </cell>
          <cell r="E18217" t="str">
            <v>Community School</v>
          </cell>
          <cell r="F18217" t="str">
            <v>Primary</v>
          </cell>
        </row>
        <row r="18218">
          <cell r="A18218">
            <v>3932066</v>
          </cell>
          <cell r="B18218">
            <v>128178</v>
          </cell>
          <cell r="C18218" t="str">
            <v>Lukes Lane County Infant School</v>
          </cell>
          <cell r="D18218" t="str">
            <v>South Tyneside</v>
          </cell>
          <cell r="E18218" t="str">
            <v>Community School</v>
          </cell>
          <cell r="F18218" t="str">
            <v>Primary</v>
          </cell>
        </row>
        <row r="18219">
          <cell r="A18219">
            <v>3932069</v>
          </cell>
          <cell r="B18219">
            <v>128180</v>
          </cell>
          <cell r="C18219" t="str">
            <v>Lukes Lane County Junior School</v>
          </cell>
          <cell r="D18219" t="str">
            <v>South Tyneside</v>
          </cell>
          <cell r="E18219" t="str">
            <v>Community School</v>
          </cell>
          <cell r="F18219" t="str">
            <v>Primary</v>
          </cell>
        </row>
        <row r="18220">
          <cell r="A18220">
            <v>8353702</v>
          </cell>
          <cell r="B18220">
            <v>135323</v>
          </cell>
          <cell r="C18220" t="str">
            <v>Lulworth and Winfrith CofE VC First School</v>
          </cell>
          <cell r="D18220" t="str">
            <v>Dorset</v>
          </cell>
          <cell r="E18220" t="str">
            <v>Voluntary Controlled School</v>
          </cell>
          <cell r="F18220" t="str">
            <v>Primary</v>
          </cell>
        </row>
        <row r="18221">
          <cell r="A18221">
            <v>3562107</v>
          </cell>
          <cell r="B18221">
            <v>106093</v>
          </cell>
          <cell r="C18221" t="str">
            <v>Lum Head Primary School</v>
          </cell>
          <cell r="D18221" t="str">
            <v>Stockport</v>
          </cell>
          <cell r="E18221" t="str">
            <v>Community School</v>
          </cell>
          <cell r="F18221" t="str">
            <v>Primary</v>
          </cell>
        </row>
        <row r="18222">
          <cell r="A18222">
            <v>9282186</v>
          </cell>
          <cell r="B18222">
            <v>121929</v>
          </cell>
          <cell r="C18222" t="str">
            <v>Lumbertubs Primary School</v>
          </cell>
          <cell r="D18222" t="str">
            <v>Northamptonshire</v>
          </cell>
          <cell r="E18222" t="str">
            <v>Community School</v>
          </cell>
          <cell r="F18222" t="str">
            <v>Primary</v>
          </cell>
        </row>
        <row r="18223">
          <cell r="A18223">
            <v>8402108</v>
          </cell>
          <cell r="B18223">
            <v>114003</v>
          </cell>
          <cell r="C18223" t="str">
            <v>Lumley Infant and Nursery School</v>
          </cell>
          <cell r="D18223" t="str">
            <v>Durham</v>
          </cell>
          <cell r="E18223" t="str">
            <v>Community School</v>
          </cell>
          <cell r="F18223" t="str">
            <v>Primary</v>
          </cell>
        </row>
        <row r="18224">
          <cell r="A18224">
            <v>8402107</v>
          </cell>
          <cell r="B18224">
            <v>114002</v>
          </cell>
          <cell r="C18224" t="str">
            <v>Lumley Junior School</v>
          </cell>
          <cell r="D18224" t="str">
            <v>Durham</v>
          </cell>
          <cell r="E18224" t="str">
            <v>Community School</v>
          </cell>
          <cell r="F18224" t="str">
            <v>Primary</v>
          </cell>
        </row>
        <row r="18225">
          <cell r="A18225">
            <v>8862562</v>
          </cell>
          <cell r="B18225">
            <v>118516</v>
          </cell>
          <cell r="C18225" t="str">
            <v>Lunsford Primary School</v>
          </cell>
          <cell r="D18225" t="str">
            <v>Kent</v>
          </cell>
          <cell r="E18225" t="str">
            <v>Community School</v>
          </cell>
          <cell r="F18225" t="str">
            <v>Primary</v>
          </cell>
        </row>
        <row r="18226">
          <cell r="A18226">
            <v>8766011</v>
          </cell>
          <cell r="B18226">
            <v>135442</v>
          </cell>
          <cell r="C18226" t="str">
            <v>Lunts Heath - Green Corns</v>
          </cell>
          <cell r="D18226" t="str">
            <v>Halton</v>
          </cell>
          <cell r="E18226" t="str">
            <v>Other Independent Special School</v>
          </cell>
          <cell r="F18226" t="str">
            <v>Not applicable</v>
          </cell>
        </row>
        <row r="18227">
          <cell r="A18227">
            <v>8762428</v>
          </cell>
          <cell r="B18227">
            <v>111199</v>
          </cell>
          <cell r="C18227" t="str">
            <v>Lunts Heath Primary School</v>
          </cell>
          <cell r="D18227" t="str">
            <v>Halton</v>
          </cell>
          <cell r="E18227" t="str">
            <v>Community School</v>
          </cell>
          <cell r="F18227" t="str">
            <v>Primary</v>
          </cell>
        </row>
        <row r="18228">
          <cell r="A18228">
            <v>9116102</v>
          </cell>
          <cell r="B18228">
            <v>128747</v>
          </cell>
          <cell r="C18228" t="str">
            <v>Lupton House Lower School</v>
          </cell>
          <cell r="D18228" t="str">
            <v>Pre LGR (1998) Devon</v>
          </cell>
          <cell r="E18228" t="str">
            <v>Other Independent School</v>
          </cell>
          <cell r="F18228" t="str">
            <v>Not applicable</v>
          </cell>
        </row>
        <row r="18229">
          <cell r="A18229">
            <v>8786044</v>
          </cell>
          <cell r="B18229">
            <v>113622</v>
          </cell>
          <cell r="C18229" t="str">
            <v>Lustleigh School</v>
          </cell>
          <cell r="D18229" t="str">
            <v>Devon</v>
          </cell>
          <cell r="E18229" t="str">
            <v>Other Independent School</v>
          </cell>
          <cell r="F18229" t="str">
            <v>Not applicable</v>
          </cell>
        </row>
        <row r="18230">
          <cell r="A18230">
            <v>8842103</v>
          </cell>
          <cell r="B18230">
            <v>116707</v>
          </cell>
          <cell r="C18230" t="str">
            <v>Luston Primary School</v>
          </cell>
          <cell r="D18230" t="str">
            <v>Herefordshire</v>
          </cell>
          <cell r="E18230" t="str">
            <v>Community School</v>
          </cell>
          <cell r="F18230" t="str">
            <v>Primary</v>
          </cell>
        </row>
        <row r="18231">
          <cell r="A18231">
            <v>3322120</v>
          </cell>
          <cell r="B18231">
            <v>103804</v>
          </cell>
          <cell r="C18231" t="str">
            <v>Lutley Primary School</v>
          </cell>
          <cell r="D18231" t="str">
            <v>Dudley</v>
          </cell>
          <cell r="E18231" t="str">
            <v>Community School</v>
          </cell>
          <cell r="F18231" t="str">
            <v>Primary</v>
          </cell>
        </row>
        <row r="18232">
          <cell r="A18232">
            <v>8211101</v>
          </cell>
          <cell r="B18232">
            <v>131614</v>
          </cell>
          <cell r="C18232" t="str">
            <v>Luton Education, Tuition and Guidance Centre</v>
          </cell>
          <cell r="D18232" t="str">
            <v>Luton</v>
          </cell>
          <cell r="E18232" t="str">
            <v>Pupil Referral Unit</v>
          </cell>
          <cell r="F18232" t="str">
            <v>PRU</v>
          </cell>
        </row>
        <row r="18233">
          <cell r="A18233">
            <v>8872201</v>
          </cell>
          <cell r="B18233">
            <v>118319</v>
          </cell>
          <cell r="C18233" t="str">
            <v>Luton Infant &amp; Nursery School</v>
          </cell>
          <cell r="D18233" t="str">
            <v>Medway</v>
          </cell>
          <cell r="E18233" t="str">
            <v>Community School</v>
          </cell>
          <cell r="F18233" t="str">
            <v>Primary</v>
          </cell>
        </row>
        <row r="18234">
          <cell r="A18234">
            <v>8872199</v>
          </cell>
          <cell r="B18234">
            <v>118318</v>
          </cell>
          <cell r="C18234" t="str">
            <v>Luton Junior School</v>
          </cell>
          <cell r="D18234" t="str">
            <v>Medway</v>
          </cell>
          <cell r="E18234" t="str">
            <v>Community School</v>
          </cell>
          <cell r="F18234" t="str">
            <v>Primary</v>
          </cell>
        </row>
        <row r="18235">
          <cell r="A18235">
            <v>8216205</v>
          </cell>
          <cell r="B18235">
            <v>135699</v>
          </cell>
          <cell r="C18235" t="str">
            <v>Luton Pentecostal Church Christian Academy</v>
          </cell>
          <cell r="D18235" t="str">
            <v>Luton</v>
          </cell>
          <cell r="E18235" t="str">
            <v>Other Independent School</v>
          </cell>
          <cell r="F18235" t="str">
            <v>Not applicable</v>
          </cell>
        </row>
        <row r="18236">
          <cell r="A18236">
            <v>9024107</v>
          </cell>
          <cell r="B18236">
            <v>128256</v>
          </cell>
          <cell r="C18236" t="str">
            <v>Luton Sixth Form College</v>
          </cell>
          <cell r="D18236" t="str">
            <v>Pre LGR (1997) Bedfordshire</v>
          </cell>
          <cell r="E18236" t="str">
            <v>Community School</v>
          </cell>
          <cell r="F18236" t="str">
            <v>Secondary</v>
          </cell>
        </row>
        <row r="18237">
          <cell r="A18237">
            <v>8218600</v>
          </cell>
          <cell r="B18237">
            <v>130600</v>
          </cell>
          <cell r="C18237" t="str">
            <v>Luton Sixth Form College</v>
          </cell>
          <cell r="D18237" t="str">
            <v>Luton</v>
          </cell>
          <cell r="E18237" t="str">
            <v>Further Education</v>
          </cell>
          <cell r="F18237" t="str">
            <v>16 Plus</v>
          </cell>
        </row>
        <row r="18238">
          <cell r="A18238">
            <v>8554503</v>
          </cell>
          <cell r="B18238">
            <v>120300</v>
          </cell>
          <cell r="C18238" t="str">
            <v>Lutterworth College</v>
          </cell>
          <cell r="D18238" t="str">
            <v>Leicestershire</v>
          </cell>
          <cell r="E18238" t="str">
            <v>Voluntary Controlled School</v>
          </cell>
          <cell r="F18238" t="str">
            <v>Secondary</v>
          </cell>
        </row>
        <row r="18239">
          <cell r="A18239">
            <v>8554015</v>
          </cell>
          <cell r="B18239">
            <v>120244</v>
          </cell>
          <cell r="C18239" t="str">
            <v>Lutterworth High School</v>
          </cell>
          <cell r="D18239" t="str">
            <v>Leicestershire</v>
          </cell>
          <cell r="E18239" t="str">
            <v>Community School</v>
          </cell>
          <cell r="F18239" t="str">
            <v>Secondary</v>
          </cell>
        </row>
        <row r="18240">
          <cell r="A18240">
            <v>8554015</v>
          </cell>
          <cell r="B18240">
            <v>137115</v>
          </cell>
          <cell r="C18240" t="str">
            <v>Lutterworth High School</v>
          </cell>
          <cell r="D18240" t="str">
            <v>Leicestershire</v>
          </cell>
          <cell r="E18240" t="str">
            <v>Academy Converters</v>
          </cell>
          <cell r="F18240" t="str">
            <v>Secondary</v>
          </cell>
        </row>
        <row r="18241">
          <cell r="A18241">
            <v>9252105</v>
          </cell>
          <cell r="B18241">
            <v>120421</v>
          </cell>
          <cell r="C18241" t="str">
            <v>Lutton St Nicholas Primary School</v>
          </cell>
          <cell r="D18241" t="str">
            <v>Lincolnshire</v>
          </cell>
          <cell r="E18241" t="str">
            <v>Community School</v>
          </cell>
          <cell r="F18241" t="str">
            <v>Primary</v>
          </cell>
        </row>
        <row r="18242">
          <cell r="A18242">
            <v>8152406</v>
          </cell>
          <cell r="B18242">
            <v>121454</v>
          </cell>
          <cell r="C18242" t="str">
            <v>Luttons Community Primary School</v>
          </cell>
          <cell r="D18242" t="str">
            <v>North Yorkshire</v>
          </cell>
          <cell r="E18242" t="str">
            <v>Community School</v>
          </cell>
          <cell r="F18242" t="str">
            <v>Primary</v>
          </cell>
        </row>
        <row r="18243">
          <cell r="A18243">
            <v>9082510</v>
          </cell>
          <cell r="B18243">
            <v>111917</v>
          </cell>
          <cell r="C18243" t="str">
            <v>Luxulyan School</v>
          </cell>
          <cell r="D18243" t="str">
            <v>Cornwall</v>
          </cell>
          <cell r="E18243" t="str">
            <v>Community School</v>
          </cell>
          <cell r="F18243" t="str">
            <v>Primary</v>
          </cell>
        </row>
        <row r="18244">
          <cell r="A18244">
            <v>308940</v>
          </cell>
          <cell r="B18244">
            <v>135301</v>
          </cell>
          <cell r="C18244" t="str">
            <v>LVA Fast Track Centre</v>
          </cell>
          <cell r="D18244" t="str">
            <v>Enfield</v>
          </cell>
          <cell r="E18244" t="str">
            <v>Playing for Success Centres</v>
          </cell>
          <cell r="F18244" t="str">
            <v>Not applicable</v>
          </cell>
        </row>
        <row r="18245">
          <cell r="A18245">
            <v>8676005</v>
          </cell>
          <cell r="B18245">
            <v>110159</v>
          </cell>
          <cell r="C18245" t="str">
            <v>LVS Ascot</v>
          </cell>
          <cell r="D18245" t="str">
            <v>Bracknell Forest</v>
          </cell>
          <cell r="E18245" t="str">
            <v>Other Independent School</v>
          </cell>
          <cell r="F18245" t="str">
            <v>Not applicable</v>
          </cell>
        </row>
        <row r="18246">
          <cell r="A18246">
            <v>9386267</v>
          </cell>
          <cell r="B18246">
            <v>135930</v>
          </cell>
          <cell r="C18246" t="str">
            <v>LVS Hassocks</v>
          </cell>
          <cell r="D18246" t="str">
            <v>West Sussex</v>
          </cell>
          <cell r="E18246" t="str">
            <v>Other Independent Special School</v>
          </cell>
          <cell r="F18246" t="str">
            <v>Not applicable</v>
          </cell>
        </row>
        <row r="18247">
          <cell r="A18247">
            <v>9056076</v>
          </cell>
          <cell r="B18247">
            <v>128388</v>
          </cell>
          <cell r="C18247" t="str">
            <v>Lycee Cambridge</v>
          </cell>
          <cell r="D18247" t="str">
            <v>Pre LGR (1998) Cambridgeshire</v>
          </cell>
          <cell r="E18247" t="str">
            <v>Other Independent School</v>
          </cell>
          <cell r="F18247" t="str">
            <v>Not applicable</v>
          </cell>
        </row>
        <row r="18248">
          <cell r="A18248">
            <v>2076028</v>
          </cell>
          <cell r="B18248">
            <v>100512</v>
          </cell>
          <cell r="C18248" t="str">
            <v>Lycee Francais Charles De Gaulle</v>
          </cell>
          <cell r="D18248" t="str">
            <v>Kensington and Chelsea</v>
          </cell>
          <cell r="E18248" t="str">
            <v>Other Independent School</v>
          </cell>
          <cell r="F18248" t="str">
            <v>Not applicable</v>
          </cell>
        </row>
        <row r="18249">
          <cell r="A18249">
            <v>2076391</v>
          </cell>
          <cell r="B18249">
            <v>100547</v>
          </cell>
          <cell r="C18249" t="str">
            <v>Lycee Francais Charles de Gaulle</v>
          </cell>
          <cell r="D18249" t="str">
            <v>Kensington and Chelsea</v>
          </cell>
          <cell r="E18249" t="str">
            <v>Other Independent School</v>
          </cell>
          <cell r="F18249" t="str">
            <v>Not applicable</v>
          </cell>
        </row>
        <row r="18250">
          <cell r="A18250">
            <v>9311017</v>
          </cell>
          <cell r="B18250">
            <v>122972</v>
          </cell>
          <cell r="C18250" t="str">
            <v>Lydalls Nursery School</v>
          </cell>
          <cell r="D18250" t="str">
            <v>Oxfordshire</v>
          </cell>
          <cell r="E18250" t="str">
            <v>LA Nursery School</v>
          </cell>
          <cell r="F18250" t="str">
            <v>Nursery</v>
          </cell>
        </row>
        <row r="18251">
          <cell r="A18251">
            <v>9162077</v>
          </cell>
          <cell r="B18251">
            <v>115531</v>
          </cell>
          <cell r="C18251" t="str">
            <v>Lydbrook Primary School</v>
          </cell>
          <cell r="D18251" t="str">
            <v>Gloucestershire</v>
          </cell>
          <cell r="E18251" t="str">
            <v>Community School</v>
          </cell>
          <cell r="F18251" t="str">
            <v>Primary</v>
          </cell>
        </row>
        <row r="18252">
          <cell r="A18252">
            <v>8933322</v>
          </cell>
          <cell r="B18252">
            <v>123547</v>
          </cell>
          <cell r="C18252" t="str">
            <v>Lydbury North CofE (A) Primary School</v>
          </cell>
          <cell r="D18252" t="str">
            <v>Shropshire</v>
          </cell>
          <cell r="E18252" t="str">
            <v>Voluntary Aided School</v>
          </cell>
          <cell r="F18252" t="str">
            <v>Primary</v>
          </cell>
        </row>
        <row r="18253">
          <cell r="A18253">
            <v>8862645</v>
          </cell>
          <cell r="B18253">
            <v>118560</v>
          </cell>
          <cell r="C18253" t="str">
            <v>Lydd Primary School</v>
          </cell>
          <cell r="D18253" t="str">
            <v>Kent</v>
          </cell>
          <cell r="E18253" t="str">
            <v>Community School</v>
          </cell>
          <cell r="F18253" t="str">
            <v>Primary</v>
          </cell>
        </row>
        <row r="18254">
          <cell r="A18254">
            <v>8862321</v>
          </cell>
          <cell r="B18254">
            <v>118400</v>
          </cell>
          <cell r="C18254" t="str">
            <v>Lydden Primary School</v>
          </cell>
          <cell r="D18254" t="str">
            <v>Kent</v>
          </cell>
          <cell r="E18254" t="str">
            <v>Community School</v>
          </cell>
          <cell r="F18254" t="str">
            <v>Primary</v>
          </cell>
        </row>
        <row r="18255">
          <cell r="A18255">
            <v>9332205</v>
          </cell>
          <cell r="B18255">
            <v>123702</v>
          </cell>
          <cell r="C18255" t="str">
            <v>Lydeard St Lawrence Community Primary School</v>
          </cell>
          <cell r="D18255" t="str">
            <v>Somerset</v>
          </cell>
          <cell r="E18255" t="str">
            <v>Community School</v>
          </cell>
          <cell r="F18255" t="str">
            <v>Primary</v>
          </cell>
        </row>
        <row r="18256">
          <cell r="A18256">
            <v>9333363</v>
          </cell>
          <cell r="B18256">
            <v>129849</v>
          </cell>
          <cell r="C18256" t="str">
            <v>Lydford On Fosse Primary School</v>
          </cell>
          <cell r="D18256" t="str">
            <v>Somerset</v>
          </cell>
          <cell r="E18256" t="str">
            <v>Voluntary Aided School</v>
          </cell>
          <cell r="F18256" t="str">
            <v>Primary</v>
          </cell>
        </row>
        <row r="18257">
          <cell r="A18257">
            <v>8782613</v>
          </cell>
          <cell r="B18257">
            <v>113257</v>
          </cell>
          <cell r="C18257" t="str">
            <v>Lydford Primary School</v>
          </cell>
          <cell r="D18257" t="str">
            <v>Devon</v>
          </cell>
          <cell r="E18257" t="str">
            <v>Community School</v>
          </cell>
          <cell r="F18257" t="str">
            <v>Primary</v>
          </cell>
        </row>
        <row r="18258">
          <cell r="A18258">
            <v>3732072</v>
          </cell>
          <cell r="B18258">
            <v>106999</v>
          </cell>
          <cell r="C18258" t="str">
            <v>Lydgate Infant School</v>
          </cell>
          <cell r="D18258" t="str">
            <v>Sheffield</v>
          </cell>
          <cell r="E18258" t="str">
            <v>Community School</v>
          </cell>
          <cell r="F18258" t="str">
            <v>Primary</v>
          </cell>
        </row>
        <row r="18259">
          <cell r="A18259">
            <v>3822122</v>
          </cell>
          <cell r="B18259">
            <v>107678</v>
          </cell>
          <cell r="C18259" t="str">
            <v>Lydgate Junior and Infant School</v>
          </cell>
          <cell r="D18259" t="str">
            <v>Kirklees</v>
          </cell>
          <cell r="E18259" t="str">
            <v>Community School</v>
          </cell>
          <cell r="F18259" t="str">
            <v>Primary</v>
          </cell>
        </row>
        <row r="18260">
          <cell r="A18260">
            <v>3732071</v>
          </cell>
          <cell r="B18260">
            <v>106998</v>
          </cell>
          <cell r="C18260" t="str">
            <v>Lydgate Junior School</v>
          </cell>
          <cell r="D18260" t="str">
            <v>Sheffield</v>
          </cell>
          <cell r="E18260" t="str">
            <v>Community School</v>
          </cell>
          <cell r="F18260" t="str">
            <v>Primary</v>
          </cell>
        </row>
        <row r="18261">
          <cell r="A18261">
            <v>3827010</v>
          </cell>
          <cell r="B18261">
            <v>107801</v>
          </cell>
          <cell r="C18261" t="str">
            <v>Lydgate School</v>
          </cell>
          <cell r="D18261" t="str">
            <v>Kirklees</v>
          </cell>
          <cell r="E18261" t="str">
            <v>Community Special School</v>
          </cell>
          <cell r="F18261" t="str">
            <v>Special</v>
          </cell>
        </row>
        <row r="18262">
          <cell r="A18262">
            <v>8653110</v>
          </cell>
          <cell r="B18262">
            <v>126337</v>
          </cell>
          <cell r="C18262" t="str">
            <v>Lydiard Millicent Church of England Primary School</v>
          </cell>
          <cell r="D18262" t="str">
            <v>Wiltshire</v>
          </cell>
          <cell r="E18262" t="str">
            <v>Voluntary Controlled School</v>
          </cell>
          <cell r="F18262" t="str">
            <v>Primary</v>
          </cell>
        </row>
        <row r="18263">
          <cell r="A18263">
            <v>3432069</v>
          </cell>
          <cell r="B18263">
            <v>127364</v>
          </cell>
          <cell r="C18263" t="str">
            <v>Lydiate Infant School</v>
          </cell>
          <cell r="D18263" t="str">
            <v>Sefton</v>
          </cell>
          <cell r="E18263" t="str">
            <v>Community School</v>
          </cell>
          <cell r="F18263" t="str">
            <v>Primary</v>
          </cell>
        </row>
        <row r="18264">
          <cell r="A18264">
            <v>3432052</v>
          </cell>
          <cell r="B18264">
            <v>127363</v>
          </cell>
          <cell r="C18264" t="str">
            <v>Lydiate Junior School</v>
          </cell>
          <cell r="D18264" t="str">
            <v>Sefton</v>
          </cell>
          <cell r="E18264" t="str">
            <v>Community School</v>
          </cell>
          <cell r="F18264" t="str">
            <v>Primary</v>
          </cell>
        </row>
        <row r="18265">
          <cell r="A18265">
            <v>3432092</v>
          </cell>
          <cell r="B18265">
            <v>104891</v>
          </cell>
          <cell r="C18265" t="str">
            <v>Lydiate Primary School</v>
          </cell>
          <cell r="D18265" t="str">
            <v>Sefton</v>
          </cell>
          <cell r="E18265" t="str">
            <v>Community School</v>
          </cell>
          <cell r="F18265" t="str">
            <v>Primary</v>
          </cell>
        </row>
        <row r="18266">
          <cell r="A18266">
            <v>3433350</v>
          </cell>
          <cell r="B18266">
            <v>127372</v>
          </cell>
          <cell r="C18266" t="str">
            <v>Lydiate RC Primary School</v>
          </cell>
          <cell r="D18266" t="str">
            <v>Sefton</v>
          </cell>
          <cell r="E18266" t="str">
            <v>Voluntary Aided School</v>
          </cell>
          <cell r="F18266" t="str">
            <v>Primary</v>
          </cell>
        </row>
        <row r="18267">
          <cell r="A18267">
            <v>8502194</v>
          </cell>
          <cell r="B18267">
            <v>115954</v>
          </cell>
          <cell r="C18267" t="str">
            <v>Lydlynch Infant School</v>
          </cell>
          <cell r="D18267" t="str">
            <v>Hampshire</v>
          </cell>
          <cell r="E18267" t="str">
            <v>Community School</v>
          </cell>
          <cell r="F18267" t="str">
            <v>Primary</v>
          </cell>
        </row>
        <row r="18268">
          <cell r="A18268">
            <v>9163048</v>
          </cell>
          <cell r="B18268">
            <v>115635</v>
          </cell>
          <cell r="C18268" t="str">
            <v>Lydney Church of England Community School (VC)</v>
          </cell>
          <cell r="D18268" t="str">
            <v>Gloucestershire</v>
          </cell>
          <cell r="E18268" t="str">
            <v>Voluntary Controlled School</v>
          </cell>
          <cell r="F18268" t="str">
            <v>Primary</v>
          </cell>
        </row>
        <row r="18269">
          <cell r="A18269">
            <v>3422058</v>
          </cell>
          <cell r="B18269">
            <v>104776</v>
          </cell>
          <cell r="C18269" t="str">
            <v>Lyme Community Primary School</v>
          </cell>
          <cell r="D18269" t="str">
            <v>St. Helens</v>
          </cell>
          <cell r="E18269" t="str">
            <v>Community School</v>
          </cell>
          <cell r="F18269" t="str">
            <v>Primary</v>
          </cell>
        </row>
        <row r="18270">
          <cell r="A18270">
            <v>8863154</v>
          </cell>
          <cell r="B18270">
            <v>118679</v>
          </cell>
          <cell r="C18270" t="str">
            <v>Lyminge Church of England Primary School</v>
          </cell>
          <cell r="D18270" t="str">
            <v>Kent</v>
          </cell>
          <cell r="E18270" t="str">
            <v>Voluntary Controlled School</v>
          </cell>
          <cell r="F18270" t="str">
            <v>Primary</v>
          </cell>
        </row>
        <row r="18271">
          <cell r="A18271">
            <v>8503358</v>
          </cell>
          <cell r="B18271">
            <v>116365</v>
          </cell>
          <cell r="C18271" t="str">
            <v>Lymington Church of England Infant School</v>
          </cell>
          <cell r="D18271" t="str">
            <v>Hampshire</v>
          </cell>
          <cell r="E18271" t="str">
            <v>Voluntary Aided School</v>
          </cell>
          <cell r="F18271" t="str">
            <v>Primary</v>
          </cell>
        </row>
        <row r="18272">
          <cell r="A18272">
            <v>8502332</v>
          </cell>
          <cell r="B18272">
            <v>116051</v>
          </cell>
          <cell r="C18272" t="str">
            <v>Lymington Junior School</v>
          </cell>
          <cell r="D18272" t="str">
            <v>Hampshire</v>
          </cell>
          <cell r="E18272" t="str">
            <v>Community School</v>
          </cell>
          <cell r="F18272" t="str">
            <v>Primary</v>
          </cell>
        </row>
        <row r="18273">
          <cell r="A18273">
            <v>9382198</v>
          </cell>
          <cell r="B18273">
            <v>125927</v>
          </cell>
          <cell r="C18273" t="str">
            <v>Lyminster Primary School</v>
          </cell>
          <cell r="D18273" t="str">
            <v>West Sussex</v>
          </cell>
          <cell r="E18273" t="str">
            <v>Community School</v>
          </cell>
          <cell r="F18273" t="str">
            <v>Primary</v>
          </cell>
        </row>
        <row r="18274">
          <cell r="A18274">
            <v>8774502</v>
          </cell>
          <cell r="B18274">
            <v>111448</v>
          </cell>
          <cell r="C18274" t="str">
            <v>Lymm High Voluntary Controlled School</v>
          </cell>
          <cell r="D18274" t="str">
            <v>Warrington</v>
          </cell>
          <cell r="E18274" t="str">
            <v>Voluntary Controlled School</v>
          </cell>
          <cell r="F18274" t="str">
            <v>Secondary</v>
          </cell>
        </row>
        <row r="18275">
          <cell r="A18275">
            <v>8863155</v>
          </cell>
          <cell r="B18275">
            <v>118680</v>
          </cell>
          <cell r="C18275" t="str">
            <v>Lympne Church of England Primary School</v>
          </cell>
          <cell r="D18275" t="str">
            <v>Kent</v>
          </cell>
          <cell r="E18275" t="str">
            <v>Voluntary Controlled School</v>
          </cell>
          <cell r="F18275" t="str">
            <v>Primary</v>
          </cell>
        </row>
        <row r="18276">
          <cell r="A18276">
            <v>9333236</v>
          </cell>
          <cell r="B18276">
            <v>123810</v>
          </cell>
          <cell r="C18276" t="str">
            <v>Lympsham Church of England Voluntary Controlled First School</v>
          </cell>
          <cell r="D18276" t="str">
            <v>Somerset</v>
          </cell>
          <cell r="E18276" t="str">
            <v>Voluntary Controlled School</v>
          </cell>
          <cell r="F18276" t="str">
            <v>Primary</v>
          </cell>
        </row>
        <row r="18277">
          <cell r="A18277">
            <v>8783014</v>
          </cell>
          <cell r="B18277">
            <v>113358</v>
          </cell>
          <cell r="C18277" t="str">
            <v>Lympstone Church of England Primary School</v>
          </cell>
          <cell r="D18277" t="str">
            <v>Devon</v>
          </cell>
          <cell r="E18277" t="str">
            <v>Voluntary Controlled School</v>
          </cell>
          <cell r="F18277" t="str">
            <v>Primary</v>
          </cell>
        </row>
        <row r="18278">
          <cell r="A18278">
            <v>8715208</v>
          </cell>
          <cell r="B18278">
            <v>109933</v>
          </cell>
          <cell r="C18278" t="str">
            <v>Lynch Hill (Foundation Primary) School</v>
          </cell>
          <cell r="D18278" t="str">
            <v>Slough</v>
          </cell>
          <cell r="E18278" t="str">
            <v>Foundation School</v>
          </cell>
          <cell r="F18278" t="str">
            <v>Primary</v>
          </cell>
        </row>
        <row r="18279">
          <cell r="A18279">
            <v>8715208</v>
          </cell>
          <cell r="B18279">
            <v>137010</v>
          </cell>
          <cell r="C18279" t="str">
            <v>Lynch Hill (Foundation Primary) School</v>
          </cell>
          <cell r="D18279" t="str">
            <v>Slough</v>
          </cell>
          <cell r="E18279" t="str">
            <v>Academy Converters</v>
          </cell>
          <cell r="F18279" t="str">
            <v>Primary</v>
          </cell>
        </row>
        <row r="18280">
          <cell r="A18280">
            <v>9282176</v>
          </cell>
          <cell r="B18280">
            <v>121922</v>
          </cell>
          <cell r="C18280" t="str">
            <v>Lyncrest Primary School</v>
          </cell>
          <cell r="D18280" t="str">
            <v>Northamptonshire</v>
          </cell>
          <cell r="E18280" t="str">
            <v>Community School</v>
          </cell>
          <cell r="F18280" t="str">
            <v>Primary</v>
          </cell>
        </row>
        <row r="18281">
          <cell r="A18281">
            <v>9196134</v>
          </cell>
          <cell r="B18281">
            <v>129171</v>
          </cell>
          <cell r="C18281" t="str">
            <v>Lyndale School</v>
          </cell>
          <cell r="D18281" t="str">
            <v>Hertfordshire</v>
          </cell>
          <cell r="E18281" t="str">
            <v>Other Independent School</v>
          </cell>
          <cell r="F18281" t="str">
            <v>Not applicable</v>
          </cell>
        </row>
        <row r="18282">
          <cell r="A18282">
            <v>8851114</v>
          </cell>
          <cell r="B18282">
            <v>131040</v>
          </cell>
          <cell r="C18282" t="str">
            <v>Lyndenwood</v>
          </cell>
          <cell r="D18282" t="str">
            <v>Worcestershire</v>
          </cell>
          <cell r="E18282" t="str">
            <v>Pupil Referral Unit</v>
          </cell>
          <cell r="F18282" t="str">
            <v>PRU</v>
          </cell>
        </row>
        <row r="18283">
          <cell r="A18283">
            <v>3572024</v>
          </cell>
          <cell r="B18283">
            <v>106192</v>
          </cell>
          <cell r="C18283" t="str">
            <v>Lyndhurst Community Primary School</v>
          </cell>
          <cell r="D18283" t="str">
            <v>Tameside</v>
          </cell>
          <cell r="E18283" t="str">
            <v>Community School</v>
          </cell>
          <cell r="F18283" t="str">
            <v>Primary</v>
          </cell>
        </row>
        <row r="18284">
          <cell r="A18284">
            <v>3904039</v>
          </cell>
          <cell r="B18284">
            <v>108409</v>
          </cell>
          <cell r="C18284" t="str">
            <v>Lyndhurst Comprehensive School</v>
          </cell>
          <cell r="D18284" t="str">
            <v>Gateshead</v>
          </cell>
          <cell r="E18284" t="str">
            <v>Community School</v>
          </cell>
          <cell r="F18284" t="str">
            <v>Secondary</v>
          </cell>
        </row>
        <row r="18285">
          <cell r="A18285">
            <v>9382079</v>
          </cell>
          <cell r="B18285">
            <v>130178</v>
          </cell>
          <cell r="C18285" t="str">
            <v>Lyndhurst First and Middle School</v>
          </cell>
          <cell r="D18285" t="str">
            <v>West Sussex</v>
          </cell>
          <cell r="E18285" t="str">
            <v>Community School</v>
          </cell>
          <cell r="F18285" t="str">
            <v>Middle Deemed Primary</v>
          </cell>
        </row>
        <row r="18286">
          <cell r="A18286">
            <v>9382238</v>
          </cell>
          <cell r="B18286">
            <v>125960</v>
          </cell>
          <cell r="C18286" t="str">
            <v>Lyndhurst First School</v>
          </cell>
          <cell r="D18286" t="str">
            <v>West Sussex</v>
          </cell>
          <cell r="E18286" t="str">
            <v>Community School</v>
          </cell>
          <cell r="F18286" t="str">
            <v>Primary</v>
          </cell>
        </row>
        <row r="18287">
          <cell r="A18287">
            <v>2026210</v>
          </cell>
          <cell r="B18287">
            <v>100072</v>
          </cell>
          <cell r="C18287" t="str">
            <v>Lyndhurst House Preparatory School</v>
          </cell>
          <cell r="D18287" t="str">
            <v>Camden</v>
          </cell>
          <cell r="E18287" t="str">
            <v>Other Independent School</v>
          </cell>
          <cell r="F18287" t="str">
            <v>Not applicable</v>
          </cell>
        </row>
        <row r="18288">
          <cell r="A18288">
            <v>8515211</v>
          </cell>
          <cell r="B18288">
            <v>116491</v>
          </cell>
          <cell r="C18288" t="str">
            <v>Lyndhurst Junior School</v>
          </cell>
          <cell r="D18288" t="str">
            <v>Portsmouth</v>
          </cell>
          <cell r="E18288" t="str">
            <v>Foundation School</v>
          </cell>
          <cell r="F18288" t="str">
            <v>Primary</v>
          </cell>
        </row>
        <row r="18289">
          <cell r="A18289">
            <v>9194073</v>
          </cell>
          <cell r="B18289">
            <v>117521</v>
          </cell>
          <cell r="C18289" t="str">
            <v>Lyndhurst Middle School</v>
          </cell>
          <cell r="D18289" t="str">
            <v>Hertfordshire</v>
          </cell>
          <cell r="E18289" t="str">
            <v>Community School</v>
          </cell>
          <cell r="F18289" t="str">
            <v>Middle Deemed Secondary</v>
          </cell>
        </row>
        <row r="18290">
          <cell r="A18290">
            <v>3532012</v>
          </cell>
          <cell r="B18290">
            <v>105632</v>
          </cell>
          <cell r="C18290" t="str">
            <v>Lyndhurst Primary and Nursery School</v>
          </cell>
          <cell r="D18290" t="str">
            <v>Oldham</v>
          </cell>
          <cell r="E18290" t="str">
            <v>Community School</v>
          </cell>
          <cell r="F18290" t="str">
            <v>Primary</v>
          </cell>
        </row>
        <row r="18291">
          <cell r="A18291">
            <v>2102392</v>
          </cell>
          <cell r="B18291">
            <v>100802</v>
          </cell>
          <cell r="C18291" t="str">
            <v>Lyndhurst School</v>
          </cell>
          <cell r="D18291" t="str">
            <v>Southwark</v>
          </cell>
          <cell r="E18291" t="str">
            <v>Community School</v>
          </cell>
          <cell r="F18291" t="str">
            <v>Primary</v>
          </cell>
        </row>
        <row r="18292">
          <cell r="A18292">
            <v>9366132</v>
          </cell>
          <cell r="B18292">
            <v>125370</v>
          </cell>
          <cell r="C18292" t="str">
            <v>Lyndhurst School</v>
          </cell>
          <cell r="D18292" t="str">
            <v>Surrey</v>
          </cell>
          <cell r="E18292" t="str">
            <v>Other Independent School</v>
          </cell>
          <cell r="F18292" t="str">
            <v>Not applicable</v>
          </cell>
        </row>
        <row r="18293">
          <cell r="A18293">
            <v>3302129</v>
          </cell>
          <cell r="B18293">
            <v>103229</v>
          </cell>
          <cell r="C18293" t="str">
            <v>Lyndon Green Infant School</v>
          </cell>
          <cell r="D18293" t="str">
            <v>Birmingham</v>
          </cell>
          <cell r="E18293" t="str">
            <v>Community School</v>
          </cell>
          <cell r="F18293" t="str">
            <v>Primary</v>
          </cell>
        </row>
        <row r="18294">
          <cell r="A18294">
            <v>3302128</v>
          </cell>
          <cell r="B18294">
            <v>103228</v>
          </cell>
          <cell r="C18294" t="str">
            <v>Lyndon Green Junior School</v>
          </cell>
          <cell r="D18294" t="str">
            <v>Birmingham</v>
          </cell>
          <cell r="E18294" t="str">
            <v>Community School</v>
          </cell>
          <cell r="F18294" t="str">
            <v>Primary</v>
          </cell>
        </row>
        <row r="18295">
          <cell r="A18295">
            <v>6626029</v>
          </cell>
          <cell r="B18295">
            <v>401973</v>
          </cell>
          <cell r="C18295" t="str">
            <v>Lyndon School</v>
          </cell>
          <cell r="D18295" t="str">
            <v>Conwy</v>
          </cell>
          <cell r="E18295" t="str">
            <v>Welsh Establishment</v>
          </cell>
          <cell r="F18295" t="str">
            <v>Not applicable</v>
          </cell>
        </row>
        <row r="18296">
          <cell r="A18296">
            <v>3344020</v>
          </cell>
          <cell r="B18296">
            <v>104114</v>
          </cell>
          <cell r="C18296" t="str">
            <v>Lyndon School Humanities College</v>
          </cell>
          <cell r="D18296" t="str">
            <v>Solihull</v>
          </cell>
          <cell r="E18296" t="str">
            <v>Foundation School</v>
          </cell>
          <cell r="F18296" t="str">
            <v>Secondary</v>
          </cell>
        </row>
        <row r="18297">
          <cell r="A18297">
            <v>9363931</v>
          </cell>
          <cell r="B18297">
            <v>125137</v>
          </cell>
          <cell r="C18297" t="str">
            <v>Lyne and Longcross CofE Infant School</v>
          </cell>
          <cell r="D18297" t="str">
            <v>Surrey</v>
          </cell>
          <cell r="E18297" t="str">
            <v>Voluntary Aided School</v>
          </cell>
          <cell r="F18297" t="str">
            <v>Primary</v>
          </cell>
        </row>
        <row r="18298">
          <cell r="A18298">
            <v>9323064</v>
          </cell>
          <cell r="B18298">
            <v>129799</v>
          </cell>
          <cell r="C18298" t="str">
            <v>Lyneal CofE (Controlled) Primary School</v>
          </cell>
          <cell r="D18298" t="str">
            <v>Pre LGR (1998) Shropshire</v>
          </cell>
          <cell r="E18298" t="str">
            <v>Voluntary Controlled School</v>
          </cell>
          <cell r="F18298" t="str">
            <v>Primary</v>
          </cell>
        </row>
        <row r="18299">
          <cell r="A18299">
            <v>8652158</v>
          </cell>
          <cell r="B18299">
            <v>126247</v>
          </cell>
          <cell r="C18299" t="str">
            <v>Lyneham Infants' School</v>
          </cell>
          <cell r="D18299" t="str">
            <v>Wiltshire</v>
          </cell>
          <cell r="E18299" t="str">
            <v>Community School</v>
          </cell>
          <cell r="F18299" t="str">
            <v>Primary</v>
          </cell>
        </row>
        <row r="18300">
          <cell r="A18300">
            <v>8652063</v>
          </cell>
          <cell r="B18300">
            <v>126201</v>
          </cell>
          <cell r="C18300" t="str">
            <v>Lyneham Junior School</v>
          </cell>
          <cell r="D18300" t="str">
            <v>Wiltshire</v>
          </cell>
          <cell r="E18300" t="str">
            <v>Community School</v>
          </cell>
          <cell r="F18300" t="str">
            <v>Primary</v>
          </cell>
        </row>
        <row r="18301">
          <cell r="A18301">
            <v>8653471</v>
          </cell>
          <cell r="B18301">
            <v>135177</v>
          </cell>
          <cell r="C18301" t="str">
            <v>Lyneham Primary School</v>
          </cell>
          <cell r="D18301" t="str">
            <v>Wiltshire</v>
          </cell>
          <cell r="E18301" t="str">
            <v>Community School</v>
          </cell>
          <cell r="F18301" t="str">
            <v>Primary</v>
          </cell>
        </row>
        <row r="18302">
          <cell r="A18302">
            <v>9292106</v>
          </cell>
          <cell r="B18302">
            <v>122200</v>
          </cell>
          <cell r="C18302" t="str">
            <v>Lynemouth First School</v>
          </cell>
          <cell r="D18302" t="str">
            <v>Northumberland</v>
          </cell>
          <cell r="E18302" t="str">
            <v>Community School</v>
          </cell>
          <cell r="F18302" t="str">
            <v>Primary</v>
          </cell>
        </row>
        <row r="18303">
          <cell r="A18303">
            <v>9263145</v>
          </cell>
          <cell r="B18303">
            <v>121102</v>
          </cell>
          <cell r="C18303" t="str">
            <v>Lyng Church of England Primary School</v>
          </cell>
          <cell r="D18303" t="str">
            <v>Norfolk</v>
          </cell>
          <cell r="E18303" t="str">
            <v>Voluntary Controlled School</v>
          </cell>
          <cell r="F18303" t="str">
            <v>Primary</v>
          </cell>
        </row>
        <row r="18304">
          <cell r="A18304">
            <v>3314030</v>
          </cell>
          <cell r="B18304">
            <v>103733</v>
          </cell>
          <cell r="C18304" t="str">
            <v>Lyng Hall School</v>
          </cell>
          <cell r="D18304" t="str">
            <v>Coventry</v>
          </cell>
          <cell r="E18304" t="str">
            <v>Foundation School</v>
          </cell>
          <cell r="F18304" t="str">
            <v>Secondary</v>
          </cell>
        </row>
        <row r="18305">
          <cell r="A18305">
            <v>3332162</v>
          </cell>
          <cell r="B18305">
            <v>103968</v>
          </cell>
          <cell r="C18305" t="str">
            <v>Lyng Primary School</v>
          </cell>
          <cell r="D18305" t="str">
            <v>Sandwell</v>
          </cell>
          <cell r="E18305" t="str">
            <v>Community School</v>
          </cell>
          <cell r="F18305" t="str">
            <v>Primary</v>
          </cell>
        </row>
        <row r="18306">
          <cell r="A18306">
            <v>9332229</v>
          </cell>
          <cell r="B18306">
            <v>123715</v>
          </cell>
          <cell r="C18306" t="str">
            <v>Lyngford Park Primary School</v>
          </cell>
          <cell r="D18306" t="str">
            <v>Somerset</v>
          </cell>
          <cell r="E18306" t="str">
            <v>Community School</v>
          </cell>
          <cell r="F18306" t="str">
            <v>Primary</v>
          </cell>
        </row>
        <row r="18307">
          <cell r="A18307">
            <v>9265407</v>
          </cell>
          <cell r="B18307">
            <v>121215</v>
          </cell>
          <cell r="C18307" t="str">
            <v>Lynn Grove VA High School</v>
          </cell>
          <cell r="D18307" t="str">
            <v>Norfolk</v>
          </cell>
          <cell r="E18307" t="str">
            <v>Voluntary Aided School</v>
          </cell>
          <cell r="F18307" t="str">
            <v>Secondary</v>
          </cell>
        </row>
        <row r="18308">
          <cell r="A18308">
            <v>9265407</v>
          </cell>
          <cell r="B18308">
            <v>137541</v>
          </cell>
          <cell r="C18308" t="str">
            <v>Lynn Grove VA High School</v>
          </cell>
          <cell r="D18308" t="str">
            <v>Norfolk</v>
          </cell>
          <cell r="E18308" t="str">
            <v>Academy Converters</v>
          </cell>
          <cell r="F18308" t="str">
            <v>Secondary</v>
          </cell>
        </row>
        <row r="18309">
          <cell r="A18309">
            <v>8912406</v>
          </cell>
          <cell r="B18309">
            <v>122571</v>
          </cell>
          <cell r="C18309" t="str">
            <v>Lynncroft Primary and Nursery School</v>
          </cell>
          <cell r="D18309" t="str">
            <v>Nottinghamshire</v>
          </cell>
          <cell r="E18309" t="str">
            <v>Community School</v>
          </cell>
          <cell r="F18309" t="str">
            <v>Primary</v>
          </cell>
        </row>
        <row r="18310">
          <cell r="A18310">
            <v>8052153</v>
          </cell>
          <cell r="B18310">
            <v>111590</v>
          </cell>
          <cell r="C18310" t="str">
            <v>Lynnfield Primary School</v>
          </cell>
          <cell r="D18310" t="str">
            <v>Hartlepool</v>
          </cell>
          <cell r="E18310" t="str">
            <v>Community School</v>
          </cell>
          <cell r="F18310" t="str">
            <v>Primary</v>
          </cell>
        </row>
        <row r="18311">
          <cell r="A18311">
            <v>8862233</v>
          </cell>
          <cell r="B18311">
            <v>118343</v>
          </cell>
          <cell r="C18311" t="str">
            <v>Lynsted and Norton Primary School</v>
          </cell>
          <cell r="D18311" t="str">
            <v>Kent</v>
          </cell>
          <cell r="E18311" t="str">
            <v>Community School</v>
          </cell>
          <cell r="F18311" t="str">
            <v>Primary</v>
          </cell>
        </row>
        <row r="18312">
          <cell r="A18312">
            <v>8862233</v>
          </cell>
          <cell r="B18312">
            <v>137467</v>
          </cell>
          <cell r="C18312" t="str">
            <v>Lynsted and Norton Primary School</v>
          </cell>
          <cell r="D18312" t="str">
            <v>Kent</v>
          </cell>
          <cell r="E18312" t="str">
            <v>Academy Converters</v>
          </cell>
          <cell r="F18312" t="str">
            <v>Primary</v>
          </cell>
        </row>
        <row r="18313">
          <cell r="A18313">
            <v>8783455</v>
          </cell>
          <cell r="B18313">
            <v>113451</v>
          </cell>
          <cell r="C18313" t="str">
            <v>Lynton Church of England Primary School</v>
          </cell>
          <cell r="D18313" t="str">
            <v>Devon</v>
          </cell>
          <cell r="E18313" t="str">
            <v>Voluntary Aided School</v>
          </cell>
          <cell r="F18313" t="str">
            <v>Primary</v>
          </cell>
        </row>
        <row r="18314">
          <cell r="A18314">
            <v>8136001</v>
          </cell>
          <cell r="B18314">
            <v>118130</v>
          </cell>
          <cell r="C18314" t="str">
            <v>Lynton Preparatory School</v>
          </cell>
          <cell r="D18314" t="str">
            <v>North Lincolnshire</v>
          </cell>
          <cell r="E18314" t="str">
            <v>Other Independent School</v>
          </cell>
          <cell r="F18314" t="str">
            <v>Not applicable</v>
          </cell>
        </row>
        <row r="18315">
          <cell r="A18315">
            <v>9366027</v>
          </cell>
          <cell r="B18315">
            <v>125330</v>
          </cell>
          <cell r="C18315" t="str">
            <v>Lynton Preparatory School</v>
          </cell>
          <cell r="D18315" t="str">
            <v>Surrey</v>
          </cell>
          <cell r="E18315" t="str">
            <v>Other Independent School</v>
          </cell>
          <cell r="F18315" t="str">
            <v>Not applicable</v>
          </cell>
        </row>
        <row r="18316">
          <cell r="A18316">
            <v>9162152</v>
          </cell>
          <cell r="B18316">
            <v>115587</v>
          </cell>
          <cell r="C18316" t="str">
            <v>Lynworth Primary School</v>
          </cell>
          <cell r="D18316" t="str">
            <v>Gloucestershire</v>
          </cell>
          <cell r="E18316" t="str">
            <v>Community School</v>
          </cell>
          <cell r="F18316" t="str">
            <v>Primary</v>
          </cell>
        </row>
        <row r="18317">
          <cell r="A18317">
            <v>3042031</v>
          </cell>
          <cell r="B18317">
            <v>101506</v>
          </cell>
          <cell r="C18317" t="str">
            <v>Lyon Park Infant School</v>
          </cell>
          <cell r="D18317" t="str">
            <v>Brent</v>
          </cell>
          <cell r="E18317" t="str">
            <v>Community School</v>
          </cell>
          <cell r="F18317" t="str">
            <v>Primary</v>
          </cell>
        </row>
        <row r="18318">
          <cell r="A18318">
            <v>3042030</v>
          </cell>
          <cell r="B18318">
            <v>101505</v>
          </cell>
          <cell r="C18318" t="str">
            <v>Lyon Park Junior School</v>
          </cell>
          <cell r="D18318" t="str">
            <v>Brent</v>
          </cell>
          <cell r="E18318" t="str">
            <v>Community School</v>
          </cell>
          <cell r="F18318" t="str">
            <v>Primary</v>
          </cell>
        </row>
        <row r="18319">
          <cell r="A18319">
            <v>8812080</v>
          </cell>
          <cell r="B18319">
            <v>131207</v>
          </cell>
          <cell r="C18319" t="str">
            <v>Lyons Hall School</v>
          </cell>
          <cell r="D18319" t="str">
            <v>Essex</v>
          </cell>
          <cell r="E18319" t="str">
            <v>Community School</v>
          </cell>
          <cell r="F18319" t="str">
            <v>Primary</v>
          </cell>
        </row>
        <row r="18320">
          <cell r="A18320">
            <v>3026006</v>
          </cell>
          <cell r="B18320">
            <v>101370</v>
          </cell>
          <cell r="C18320" t="str">
            <v>Lyonsdown School</v>
          </cell>
          <cell r="D18320" t="str">
            <v>Barnet</v>
          </cell>
          <cell r="E18320" t="str">
            <v>Other Independent School</v>
          </cell>
          <cell r="F18320" t="str">
            <v>Not applicable</v>
          </cell>
        </row>
        <row r="18321">
          <cell r="A18321">
            <v>8652029</v>
          </cell>
          <cell r="B18321">
            <v>126185</v>
          </cell>
          <cell r="C18321" t="str">
            <v>Lypiatt Primary School</v>
          </cell>
          <cell r="D18321" t="str">
            <v>Wiltshire</v>
          </cell>
          <cell r="E18321" t="str">
            <v>Community School</v>
          </cell>
          <cell r="F18321" t="str">
            <v>Primary</v>
          </cell>
        </row>
        <row r="18322">
          <cell r="A18322">
            <v>8852918</v>
          </cell>
          <cell r="B18322">
            <v>131274</v>
          </cell>
          <cell r="C18322" t="str">
            <v>Lyppard Grange Primary School</v>
          </cell>
          <cell r="D18322" t="str">
            <v>Worcestershire</v>
          </cell>
          <cell r="E18322" t="str">
            <v>Community School</v>
          </cell>
          <cell r="F18322" t="str">
            <v>Primary</v>
          </cell>
        </row>
        <row r="18323">
          <cell r="A18323">
            <v>8774218</v>
          </cell>
          <cell r="B18323">
            <v>111438</v>
          </cell>
          <cell r="C18323" t="str">
            <v>Lysander Community High School</v>
          </cell>
          <cell r="D18323" t="str">
            <v>Warrington</v>
          </cell>
          <cell r="E18323" t="str">
            <v>Community School</v>
          </cell>
          <cell r="F18323" t="str">
            <v>Secondary</v>
          </cell>
        </row>
        <row r="18324">
          <cell r="A18324">
            <v>8352024</v>
          </cell>
          <cell r="B18324">
            <v>113670</v>
          </cell>
          <cell r="C18324" t="str">
            <v>Lytchett Matravers Primary School</v>
          </cell>
          <cell r="D18324" t="str">
            <v>Dorset</v>
          </cell>
          <cell r="E18324" t="str">
            <v>Community School</v>
          </cell>
          <cell r="F18324" t="str">
            <v>Primary</v>
          </cell>
        </row>
        <row r="18325">
          <cell r="A18325">
            <v>8354035</v>
          </cell>
          <cell r="B18325">
            <v>113863</v>
          </cell>
          <cell r="C18325" t="str">
            <v>Lytchett Minster School</v>
          </cell>
          <cell r="D18325" t="str">
            <v>Dorset</v>
          </cell>
          <cell r="E18325" t="str">
            <v>Foundation School</v>
          </cell>
          <cell r="F18325" t="str">
            <v>Secondary</v>
          </cell>
        </row>
        <row r="18326">
          <cell r="A18326">
            <v>8883562</v>
          </cell>
          <cell r="B18326">
            <v>119551</v>
          </cell>
          <cell r="C18326" t="str">
            <v>Lytham Church of England Voluntary Aided Primary School</v>
          </cell>
          <cell r="D18326" t="str">
            <v>Lancashire</v>
          </cell>
          <cell r="E18326" t="str">
            <v>Voluntary Aided School</v>
          </cell>
          <cell r="F18326" t="str">
            <v>Primary</v>
          </cell>
        </row>
        <row r="18327">
          <cell r="A18327">
            <v>8882615</v>
          </cell>
          <cell r="B18327">
            <v>119315</v>
          </cell>
          <cell r="C18327" t="str">
            <v>Lytham Hall Park Primary School</v>
          </cell>
          <cell r="D18327" t="str">
            <v>Lancashire</v>
          </cell>
          <cell r="E18327" t="str">
            <v>Community School</v>
          </cell>
          <cell r="F18327" t="str">
            <v>Primary</v>
          </cell>
        </row>
        <row r="18328">
          <cell r="A18328">
            <v>8882426</v>
          </cell>
          <cell r="B18328">
            <v>119284</v>
          </cell>
          <cell r="C18328" t="str">
            <v>Lytham St Annes Mayfield Primary School</v>
          </cell>
          <cell r="D18328" t="str">
            <v>Lancashire</v>
          </cell>
          <cell r="E18328" t="str">
            <v>Community School</v>
          </cell>
          <cell r="F18328" t="str">
            <v>Primary</v>
          </cell>
        </row>
        <row r="18329">
          <cell r="A18329">
            <v>8884137</v>
          </cell>
          <cell r="B18329">
            <v>119740</v>
          </cell>
          <cell r="C18329" t="str">
            <v>Lytham St Annes Technology and Performing Arts College</v>
          </cell>
          <cell r="D18329" t="str">
            <v>Lancashire</v>
          </cell>
          <cell r="E18329" t="str">
            <v>Foundation School</v>
          </cell>
          <cell r="F18329" t="str">
            <v>Secondary</v>
          </cell>
        </row>
        <row r="18330">
          <cell r="A18330">
            <v>8153069</v>
          </cell>
          <cell r="B18330">
            <v>121507</v>
          </cell>
          <cell r="C18330" t="str">
            <v>Lythe Church of England Voluntary Controlled Primary School</v>
          </cell>
          <cell r="D18330" t="str">
            <v>North Yorkshire</v>
          </cell>
          <cell r="E18330" t="str">
            <v>Voluntary Controlled School</v>
          </cell>
          <cell r="F18330" t="str">
            <v>Primary</v>
          </cell>
        </row>
        <row r="18331">
          <cell r="A18331">
            <v>3806115</v>
          </cell>
          <cell r="B18331">
            <v>134386</v>
          </cell>
          <cell r="C18331" t="str">
            <v>M A Institute</v>
          </cell>
          <cell r="D18331" t="str">
            <v>Bradford</v>
          </cell>
          <cell r="E18331" t="str">
            <v>Other Independent School</v>
          </cell>
          <cell r="F18331" t="str">
            <v>Not applicable</v>
          </cell>
        </row>
        <row r="18332">
          <cell r="A18332">
            <v>7022037</v>
          </cell>
          <cell r="B18332">
            <v>133007</v>
          </cell>
          <cell r="C18332" t="str">
            <v>Maas First School</v>
          </cell>
          <cell r="D18332" t="str">
            <v>BFPO Overseas Establishments</v>
          </cell>
          <cell r="E18332" t="str">
            <v>Service Childrens Education</v>
          </cell>
          <cell r="F18332" t="str">
            <v>Not applicable</v>
          </cell>
        </row>
        <row r="18333">
          <cell r="A18333">
            <v>3412032</v>
          </cell>
          <cell r="B18333">
            <v>104528</v>
          </cell>
          <cell r="C18333" t="str">
            <v>Mab Lane County Junior School</v>
          </cell>
          <cell r="D18333" t="str">
            <v>Liverpool</v>
          </cell>
          <cell r="E18333" t="str">
            <v>Community School</v>
          </cell>
          <cell r="F18333" t="str">
            <v>Primary</v>
          </cell>
        </row>
        <row r="18334">
          <cell r="A18334">
            <v>3412200</v>
          </cell>
          <cell r="B18334">
            <v>104601</v>
          </cell>
          <cell r="C18334" t="str">
            <v>Mab Lane Infant School</v>
          </cell>
          <cell r="D18334" t="str">
            <v>Liverpool</v>
          </cell>
          <cell r="E18334" t="str">
            <v>Community School</v>
          </cell>
          <cell r="F18334" t="str">
            <v>Primary</v>
          </cell>
        </row>
        <row r="18335">
          <cell r="A18335">
            <v>3412226</v>
          </cell>
          <cell r="B18335">
            <v>131480</v>
          </cell>
          <cell r="C18335" t="str">
            <v>Mab Lane Junior Mixed and Infant School</v>
          </cell>
          <cell r="D18335" t="str">
            <v>Liverpool</v>
          </cell>
          <cell r="E18335" t="str">
            <v>Community School</v>
          </cell>
          <cell r="F18335" t="str">
            <v>Primary</v>
          </cell>
        </row>
        <row r="18336">
          <cell r="A18336">
            <v>9082238</v>
          </cell>
          <cell r="B18336">
            <v>111855</v>
          </cell>
          <cell r="C18336" t="str">
            <v>Mabe Community Primary School</v>
          </cell>
          <cell r="D18336" t="str">
            <v>Cornwall</v>
          </cell>
          <cell r="E18336" t="str">
            <v>Community School</v>
          </cell>
          <cell r="F18336" t="str">
            <v>Primary</v>
          </cell>
        </row>
        <row r="18337">
          <cell r="A18337">
            <v>9317020</v>
          </cell>
          <cell r="B18337">
            <v>123339</v>
          </cell>
          <cell r="C18337" t="str">
            <v>Mabel Prichard School</v>
          </cell>
          <cell r="D18337" t="str">
            <v>Oxfordshire</v>
          </cell>
          <cell r="E18337" t="str">
            <v>Community Special School</v>
          </cell>
          <cell r="F18337" t="str">
            <v>Special</v>
          </cell>
        </row>
        <row r="18338">
          <cell r="A18338">
            <v>9252173</v>
          </cell>
          <cell r="B18338">
            <v>120460</v>
          </cell>
          <cell r="C18338" t="str">
            <v>Mablethorpe Community Primary and Nursery School</v>
          </cell>
          <cell r="D18338" t="str">
            <v>Lincolnshire</v>
          </cell>
          <cell r="E18338" t="str">
            <v>Community School</v>
          </cell>
          <cell r="F18338" t="str">
            <v>Primary</v>
          </cell>
        </row>
        <row r="18339">
          <cell r="A18339">
            <v>8952699</v>
          </cell>
          <cell r="B18339">
            <v>111216</v>
          </cell>
          <cell r="C18339" t="str">
            <v>Mablins Lane Community Primary School</v>
          </cell>
          <cell r="D18339" t="str">
            <v>Cheshire East</v>
          </cell>
          <cell r="E18339" t="str">
            <v>Community School</v>
          </cell>
          <cell r="F18339" t="str">
            <v>Primary</v>
          </cell>
        </row>
        <row r="18340">
          <cell r="A18340">
            <v>3592013</v>
          </cell>
          <cell r="B18340">
            <v>106405</v>
          </cell>
          <cell r="C18340" t="str">
            <v>Mab's Cross Primary School</v>
          </cell>
          <cell r="D18340" t="str">
            <v>Wigan</v>
          </cell>
          <cell r="E18340" t="str">
            <v>Community School</v>
          </cell>
          <cell r="F18340" t="str">
            <v>Primary</v>
          </cell>
        </row>
        <row r="18341">
          <cell r="A18341">
            <v>2083375</v>
          </cell>
          <cell r="B18341">
            <v>100612</v>
          </cell>
          <cell r="C18341" t="str">
            <v>Macaulay Church of England Primary School</v>
          </cell>
          <cell r="D18341" t="str">
            <v>Lambeth</v>
          </cell>
          <cell r="E18341" t="str">
            <v>Voluntary Aided School</v>
          </cell>
          <cell r="F18341" t="str">
            <v>Primary</v>
          </cell>
        </row>
        <row r="18342">
          <cell r="A18342">
            <v>8122921</v>
          </cell>
          <cell r="B18342">
            <v>117948</v>
          </cell>
          <cell r="C18342" t="str">
            <v>Macaulay Infants' School</v>
          </cell>
          <cell r="D18342" t="str">
            <v>North East Lincolnshire</v>
          </cell>
          <cell r="E18342" t="str">
            <v>Community School</v>
          </cell>
          <cell r="F18342" t="str">
            <v>Primary</v>
          </cell>
        </row>
        <row r="18343">
          <cell r="A18343">
            <v>8122922</v>
          </cell>
          <cell r="B18343">
            <v>117949</v>
          </cell>
          <cell r="C18343" t="str">
            <v>Macaulay Junior School</v>
          </cell>
          <cell r="D18343" t="str">
            <v>North East Lincolnshire</v>
          </cell>
          <cell r="E18343" t="str">
            <v>Community School</v>
          </cell>
          <cell r="F18343" t="str">
            <v>Primary</v>
          </cell>
        </row>
        <row r="18344">
          <cell r="A18344">
            <v>8123520</v>
          </cell>
          <cell r="B18344">
            <v>131254</v>
          </cell>
          <cell r="C18344" t="str">
            <v>Macaulay School</v>
          </cell>
          <cell r="D18344" t="str">
            <v>North East Lincolnshire</v>
          </cell>
          <cell r="E18344" t="str">
            <v>Community School</v>
          </cell>
          <cell r="F18344" t="str">
            <v>Primary</v>
          </cell>
        </row>
        <row r="18345">
          <cell r="A18345">
            <v>9202306</v>
          </cell>
          <cell r="B18345">
            <v>129203</v>
          </cell>
          <cell r="C18345" t="str">
            <v>Macauley First School</v>
          </cell>
          <cell r="D18345" t="str">
            <v>Pre LGR (1996) Humberside</v>
          </cell>
          <cell r="E18345" t="str">
            <v>Community School</v>
          </cell>
          <cell r="F18345" t="str">
            <v>Primary</v>
          </cell>
        </row>
        <row r="18346">
          <cell r="A18346">
            <v>9202305</v>
          </cell>
          <cell r="B18346">
            <v>129202</v>
          </cell>
          <cell r="C18346" t="str">
            <v>Macauley Middle School</v>
          </cell>
          <cell r="D18346" t="str">
            <v>Pre LGR (1996) Humberside</v>
          </cell>
          <cell r="E18346" t="str">
            <v>Community School</v>
          </cell>
          <cell r="F18346" t="str">
            <v>Middle Deemed Primary</v>
          </cell>
        </row>
        <row r="18347">
          <cell r="A18347">
            <v>8958012</v>
          </cell>
          <cell r="B18347">
            <v>130621</v>
          </cell>
          <cell r="C18347" t="str">
            <v>Macclesfield College</v>
          </cell>
          <cell r="D18347" t="str">
            <v>Cheshire East</v>
          </cell>
          <cell r="E18347" t="str">
            <v>Further Education</v>
          </cell>
          <cell r="F18347" t="str">
            <v>16 Plus</v>
          </cell>
        </row>
        <row r="18348">
          <cell r="A18348">
            <v>8955402</v>
          </cell>
          <cell r="B18348">
            <v>111465</v>
          </cell>
          <cell r="C18348" t="str">
            <v>Macclesfield High School</v>
          </cell>
          <cell r="D18348" t="str">
            <v>Cheshire East</v>
          </cell>
          <cell r="E18348" t="str">
            <v>Foundation School</v>
          </cell>
          <cell r="F18348" t="str">
            <v>Secondary</v>
          </cell>
        </row>
        <row r="18349">
          <cell r="A18349">
            <v>9064120</v>
          </cell>
          <cell r="B18349">
            <v>128469</v>
          </cell>
          <cell r="C18349" t="str">
            <v>Macclesfield High School</v>
          </cell>
          <cell r="D18349" t="str">
            <v>Pre LGR (1998) Cheshire</v>
          </cell>
          <cell r="E18349" t="str">
            <v>Community School</v>
          </cell>
          <cell r="F18349" t="str">
            <v>Secondary</v>
          </cell>
        </row>
        <row r="18350">
          <cell r="A18350">
            <v>8756023</v>
          </cell>
          <cell r="B18350">
            <v>111490</v>
          </cell>
          <cell r="C18350" t="str">
            <v>Macclesfield Preparatory School</v>
          </cell>
          <cell r="D18350" t="str">
            <v>Pre LGR (2009) Cheshire</v>
          </cell>
          <cell r="E18350" t="str">
            <v>Other Independent School</v>
          </cell>
          <cell r="F18350" t="str">
            <v>Not applicable</v>
          </cell>
        </row>
        <row r="18351">
          <cell r="A18351">
            <v>9342301</v>
          </cell>
          <cell r="B18351">
            <v>129896</v>
          </cell>
          <cell r="C18351" t="str">
            <v>Macgregor Junior School</v>
          </cell>
          <cell r="D18351" t="str">
            <v>Pre LGR (1997) Staffordshire</v>
          </cell>
          <cell r="E18351" t="str">
            <v>Community School</v>
          </cell>
          <cell r="F18351" t="str">
            <v>Primary</v>
          </cell>
        </row>
        <row r="18352">
          <cell r="A18352">
            <v>6762326</v>
          </cell>
          <cell r="B18352">
            <v>401367</v>
          </cell>
          <cell r="C18352" t="str">
            <v>Machen Primary School</v>
          </cell>
          <cell r="D18352" t="str">
            <v>Caerphilly</v>
          </cell>
          <cell r="E18352" t="str">
            <v>Welsh Establishment</v>
          </cell>
          <cell r="F18352" t="str">
            <v>Primary</v>
          </cell>
        </row>
        <row r="18353">
          <cell r="A18353">
            <v>6662031</v>
          </cell>
          <cell r="B18353">
            <v>400478</v>
          </cell>
          <cell r="C18353" t="str">
            <v>Machynlleth C.P. School</v>
          </cell>
          <cell r="D18353" t="str">
            <v>Powys</v>
          </cell>
          <cell r="E18353" t="str">
            <v>Welsh Establishment</v>
          </cell>
          <cell r="F18353" t="str">
            <v>Primary</v>
          </cell>
        </row>
        <row r="18354">
          <cell r="A18354">
            <v>6666008</v>
          </cell>
          <cell r="B18354">
            <v>401986</v>
          </cell>
          <cell r="C18354" t="str">
            <v>Macintyre Care - Womaston School</v>
          </cell>
          <cell r="D18354" t="str">
            <v>Powys</v>
          </cell>
          <cell r="E18354" t="str">
            <v>Welsh Establishment</v>
          </cell>
          <cell r="F18354" t="str">
            <v>Not applicable</v>
          </cell>
        </row>
        <row r="18355">
          <cell r="A18355">
            <v>8256011</v>
          </cell>
          <cell r="B18355">
            <v>110564</v>
          </cell>
          <cell r="C18355" t="str">
            <v>Macintyre School</v>
          </cell>
          <cell r="D18355" t="str">
            <v>Buckinghamshire</v>
          </cell>
          <cell r="E18355" t="str">
            <v>Other Independent Special School</v>
          </cell>
          <cell r="F18355" t="str">
            <v>Not applicable</v>
          </cell>
        </row>
        <row r="18356">
          <cell r="A18356">
            <v>9026055</v>
          </cell>
          <cell r="B18356">
            <v>128263</v>
          </cell>
          <cell r="C18356" t="str">
            <v>Macintyre School</v>
          </cell>
          <cell r="D18356" t="str">
            <v>Pre LGR (1997) Bedfordshire</v>
          </cell>
          <cell r="E18356" t="str">
            <v>Other Independent School</v>
          </cell>
          <cell r="F18356" t="str">
            <v>Not applicable</v>
          </cell>
        </row>
        <row r="18357">
          <cell r="A18357">
            <v>3402023</v>
          </cell>
          <cell r="B18357">
            <v>104435</v>
          </cell>
          <cell r="C18357" t="str">
            <v>Mackets Primary School</v>
          </cell>
          <cell r="D18357" t="str">
            <v>Knowsley</v>
          </cell>
          <cell r="E18357" t="str">
            <v>Community School</v>
          </cell>
          <cell r="F18357" t="str">
            <v>Primary</v>
          </cell>
        </row>
        <row r="18358">
          <cell r="A18358">
            <v>8318011</v>
          </cell>
          <cell r="B18358">
            <v>130643</v>
          </cell>
          <cell r="C18358" t="str">
            <v>Mackworth College, Derby</v>
          </cell>
          <cell r="D18358" t="str">
            <v>Derby</v>
          </cell>
          <cell r="E18358" t="str">
            <v>Further Education</v>
          </cell>
          <cell r="F18358" t="str">
            <v>16 Plus</v>
          </cell>
        </row>
        <row r="18359">
          <cell r="A18359">
            <v>8066900</v>
          </cell>
          <cell r="B18359">
            <v>111772</v>
          </cell>
          <cell r="C18359" t="str">
            <v>Macmillan Academy</v>
          </cell>
          <cell r="D18359" t="str">
            <v>Middlesbrough</v>
          </cell>
          <cell r="E18359" t="str">
            <v>City Technology College</v>
          </cell>
          <cell r="F18359" t="str">
            <v>Not applicable</v>
          </cell>
        </row>
        <row r="18360">
          <cell r="A18360">
            <v>8066907</v>
          </cell>
          <cell r="B18360">
            <v>130908</v>
          </cell>
          <cell r="C18360" t="str">
            <v>Macmillan Academy</v>
          </cell>
          <cell r="D18360" t="str">
            <v>Middlesbrough</v>
          </cell>
          <cell r="E18360" t="str">
            <v>Academy Sponsor Led</v>
          </cell>
          <cell r="F18360" t="str">
            <v>Secondary</v>
          </cell>
        </row>
        <row r="18361">
          <cell r="A18361">
            <v>8564724</v>
          </cell>
          <cell r="B18361">
            <v>129645</v>
          </cell>
          <cell r="C18361" t="str">
            <v>Madani Muslim High School (VA)</v>
          </cell>
          <cell r="D18361" t="str">
            <v>Leicester</v>
          </cell>
          <cell r="E18361" t="str">
            <v>Voluntary Aided School</v>
          </cell>
          <cell r="F18361" t="str">
            <v>Secondary</v>
          </cell>
        </row>
        <row r="18362">
          <cell r="A18362">
            <v>2116383</v>
          </cell>
          <cell r="B18362">
            <v>100982</v>
          </cell>
          <cell r="C18362" t="str">
            <v>Madani Secondary Girls' School</v>
          </cell>
          <cell r="D18362" t="str">
            <v>Tower Hamlets</v>
          </cell>
          <cell r="E18362" t="str">
            <v>Other Independent School</v>
          </cell>
          <cell r="F18362" t="str">
            <v>Not applicable</v>
          </cell>
        </row>
        <row r="18363">
          <cell r="A18363">
            <v>8944424</v>
          </cell>
          <cell r="B18363">
            <v>123581</v>
          </cell>
          <cell r="C18363" t="str">
            <v>Madeley Academy</v>
          </cell>
          <cell r="D18363" t="str">
            <v>Telford and Wrekin</v>
          </cell>
          <cell r="E18363" t="str">
            <v>Community School</v>
          </cell>
          <cell r="F18363" t="str">
            <v>Secondary</v>
          </cell>
        </row>
        <row r="18364">
          <cell r="A18364">
            <v>8946905</v>
          </cell>
          <cell r="B18364">
            <v>135149</v>
          </cell>
          <cell r="C18364" t="str">
            <v>Madeley Academy</v>
          </cell>
          <cell r="D18364" t="str">
            <v>Telford and Wrekin</v>
          </cell>
          <cell r="E18364" t="str">
            <v>Academy Sponsor Led</v>
          </cell>
          <cell r="F18364" t="str">
            <v>Secondary</v>
          </cell>
        </row>
        <row r="18365">
          <cell r="A18365">
            <v>8604090</v>
          </cell>
          <cell r="B18365">
            <v>124410</v>
          </cell>
          <cell r="C18365" t="str">
            <v>Madeley High School</v>
          </cell>
          <cell r="D18365" t="str">
            <v>Staffordshire</v>
          </cell>
          <cell r="E18365" t="str">
            <v>Community School</v>
          </cell>
          <cell r="F18365" t="str">
            <v>Secondary</v>
          </cell>
        </row>
        <row r="18366">
          <cell r="A18366">
            <v>8942066</v>
          </cell>
          <cell r="B18366">
            <v>123380</v>
          </cell>
          <cell r="C18366" t="str">
            <v>Madeley Infant School</v>
          </cell>
          <cell r="D18366" t="str">
            <v>Telford and Wrekin</v>
          </cell>
          <cell r="E18366" t="str">
            <v>Community School</v>
          </cell>
          <cell r="F18366" t="str">
            <v>Primary</v>
          </cell>
        </row>
        <row r="18367">
          <cell r="A18367">
            <v>8941000</v>
          </cell>
          <cell r="B18367">
            <v>123347</v>
          </cell>
          <cell r="C18367" t="str">
            <v>Madeley Nursery School</v>
          </cell>
          <cell r="D18367" t="str">
            <v>Telford and Wrekin</v>
          </cell>
          <cell r="E18367" t="str">
            <v>LA Nursery School</v>
          </cell>
          <cell r="F18367" t="str">
            <v>Nursery</v>
          </cell>
        </row>
        <row r="18368">
          <cell r="A18368">
            <v>8862520</v>
          </cell>
          <cell r="B18368">
            <v>118488</v>
          </cell>
          <cell r="C18368" t="str">
            <v>Madginford Park Infant School</v>
          </cell>
          <cell r="D18368" t="str">
            <v>Kent</v>
          </cell>
          <cell r="E18368" t="str">
            <v>Community School</v>
          </cell>
          <cell r="F18368" t="str">
            <v>Primary</v>
          </cell>
        </row>
        <row r="18369">
          <cell r="A18369">
            <v>8862491</v>
          </cell>
          <cell r="B18369">
            <v>118469</v>
          </cell>
          <cell r="C18369" t="str">
            <v>Madginford Park Junior School</v>
          </cell>
          <cell r="D18369" t="str">
            <v>Kent</v>
          </cell>
          <cell r="E18369" t="str">
            <v>Community School</v>
          </cell>
          <cell r="F18369" t="str">
            <v>Primary</v>
          </cell>
        </row>
        <row r="18370">
          <cell r="A18370">
            <v>8856031</v>
          </cell>
          <cell r="B18370">
            <v>117044</v>
          </cell>
          <cell r="C18370" t="str">
            <v>Madinatul Uloom Al Islamiya School</v>
          </cell>
          <cell r="D18370" t="str">
            <v>Worcestershire</v>
          </cell>
          <cell r="E18370" t="str">
            <v>Other Independent School</v>
          </cell>
          <cell r="F18370" t="str">
            <v>Not applicable</v>
          </cell>
        </row>
        <row r="18371">
          <cell r="A18371">
            <v>8736027</v>
          </cell>
          <cell r="B18371">
            <v>131668</v>
          </cell>
          <cell r="C18371" t="str">
            <v>Madingley Pre-Preparatory School</v>
          </cell>
          <cell r="D18371" t="str">
            <v>Cambridgeshire</v>
          </cell>
          <cell r="E18371" t="str">
            <v>Other Independent School</v>
          </cell>
          <cell r="F18371" t="str">
            <v>Not applicable</v>
          </cell>
        </row>
        <row r="18372">
          <cell r="A18372">
            <v>9056067</v>
          </cell>
          <cell r="B18372">
            <v>110922</v>
          </cell>
          <cell r="C18372" t="str">
            <v>Madingley School</v>
          </cell>
          <cell r="D18372" t="str">
            <v>Pre LGR (1998) Cambridgeshire</v>
          </cell>
          <cell r="E18372" t="str">
            <v>Other Independent School</v>
          </cell>
          <cell r="F18372" t="str">
            <v>Not applicable</v>
          </cell>
        </row>
        <row r="18373">
          <cell r="A18373">
            <v>9312002</v>
          </cell>
          <cell r="B18373">
            <v>134136</v>
          </cell>
          <cell r="C18373" t="str">
            <v>Madley Brook Community Primary School</v>
          </cell>
          <cell r="D18373" t="str">
            <v>Oxfordshire</v>
          </cell>
          <cell r="E18373" t="str">
            <v>Community School</v>
          </cell>
          <cell r="F18373" t="str">
            <v>Primary</v>
          </cell>
        </row>
        <row r="18374">
          <cell r="A18374">
            <v>8842104</v>
          </cell>
          <cell r="B18374">
            <v>116708</v>
          </cell>
          <cell r="C18374" t="str">
            <v>Madley Primary School</v>
          </cell>
          <cell r="D18374" t="str">
            <v>Herefordshire</v>
          </cell>
          <cell r="E18374" t="str">
            <v>Community School</v>
          </cell>
          <cell r="F18374" t="str">
            <v>Primary</v>
          </cell>
        </row>
        <row r="18375">
          <cell r="A18375">
            <v>8716002</v>
          </cell>
          <cell r="B18375">
            <v>136955</v>
          </cell>
          <cell r="C18375" t="str">
            <v>Madni Institute</v>
          </cell>
          <cell r="D18375" t="str">
            <v>Slough</v>
          </cell>
          <cell r="E18375" t="str">
            <v>Other Independent School</v>
          </cell>
          <cell r="F18375" t="str">
            <v>Not applicable</v>
          </cell>
        </row>
        <row r="18376">
          <cell r="A18376">
            <v>3826017</v>
          </cell>
          <cell r="B18376">
            <v>107794</v>
          </cell>
          <cell r="C18376" t="str">
            <v>Madni Muslim Girls' High School</v>
          </cell>
          <cell r="D18376" t="str">
            <v>Kirklees</v>
          </cell>
          <cell r="E18376" t="str">
            <v>Other Independent School</v>
          </cell>
          <cell r="F18376" t="str">
            <v>Not applicable</v>
          </cell>
        </row>
        <row r="18377">
          <cell r="A18377">
            <v>6653305</v>
          </cell>
          <cell r="B18377">
            <v>400454</v>
          </cell>
          <cell r="C18377" t="str">
            <v>Madras Primary School</v>
          </cell>
          <cell r="D18377" t="str">
            <v>Wrexham</v>
          </cell>
          <cell r="E18377" t="str">
            <v>Welsh Establishment</v>
          </cell>
          <cell r="F18377" t="str">
            <v>Primary</v>
          </cell>
        </row>
        <row r="18378">
          <cell r="A18378">
            <v>3506018</v>
          </cell>
          <cell r="B18378">
            <v>133285</v>
          </cell>
          <cell r="C18378" t="str">
            <v>Madrasatul Imam Muhammad Zakariya</v>
          </cell>
          <cell r="D18378" t="str">
            <v>Bolton</v>
          </cell>
          <cell r="E18378" t="str">
            <v>Other Independent School</v>
          </cell>
          <cell r="F18378" t="str">
            <v>Not applicable</v>
          </cell>
        </row>
        <row r="18379">
          <cell r="A18379">
            <v>8853353</v>
          </cell>
          <cell r="B18379">
            <v>116898</v>
          </cell>
          <cell r="C18379" t="str">
            <v>Madresfield CofE Primary School</v>
          </cell>
          <cell r="D18379" t="str">
            <v>Worcestershire</v>
          </cell>
          <cell r="E18379" t="str">
            <v>Voluntary Aided School</v>
          </cell>
          <cell r="F18379" t="str">
            <v>Primary</v>
          </cell>
        </row>
        <row r="18380">
          <cell r="A18380">
            <v>8856034</v>
          </cell>
          <cell r="B18380">
            <v>131676</v>
          </cell>
          <cell r="C18380" t="str">
            <v>Madresfield Early Years Centre</v>
          </cell>
          <cell r="D18380" t="str">
            <v>Worcestershire</v>
          </cell>
          <cell r="E18380" t="str">
            <v>Other Independent School</v>
          </cell>
          <cell r="F18380" t="str">
            <v>Not applicable</v>
          </cell>
        </row>
        <row r="18381">
          <cell r="A18381">
            <v>6782204</v>
          </cell>
          <cell r="B18381">
            <v>401432</v>
          </cell>
          <cell r="C18381" t="str">
            <v>Maendy Primary School</v>
          </cell>
          <cell r="D18381" t="str">
            <v>Torfaen</v>
          </cell>
          <cell r="E18381" t="str">
            <v>Welsh Establishment</v>
          </cell>
          <cell r="F18381" t="str">
            <v>Primary</v>
          </cell>
        </row>
        <row r="18382">
          <cell r="A18382">
            <v>6742382</v>
          </cell>
          <cell r="B18382">
            <v>402250</v>
          </cell>
          <cell r="C18382" t="str">
            <v>Maerdy Community Primary School</v>
          </cell>
          <cell r="D18382" t="str">
            <v>Rhondda, Cynon, Taff</v>
          </cell>
          <cell r="E18382" t="str">
            <v>Welsh Establishment</v>
          </cell>
          <cell r="F18382" t="str">
            <v>Primary</v>
          </cell>
        </row>
        <row r="18383">
          <cell r="A18383">
            <v>6742156</v>
          </cell>
          <cell r="B18383">
            <v>401189</v>
          </cell>
          <cell r="C18383" t="str">
            <v>Maerdy Infants School</v>
          </cell>
          <cell r="D18383" t="str">
            <v>Rhondda, Cynon, Taff</v>
          </cell>
          <cell r="E18383" t="str">
            <v>Welsh Establishment</v>
          </cell>
          <cell r="F18383" t="str">
            <v>Primary</v>
          </cell>
        </row>
        <row r="18384">
          <cell r="A18384">
            <v>6742152</v>
          </cell>
          <cell r="B18384">
            <v>401188</v>
          </cell>
          <cell r="C18384" t="str">
            <v>Maerdy Junior School</v>
          </cell>
          <cell r="D18384" t="str">
            <v>Rhondda, Cynon, Taff</v>
          </cell>
          <cell r="E18384" t="str">
            <v>Welsh Establishment</v>
          </cell>
          <cell r="F18384" t="str">
            <v>Primary</v>
          </cell>
        </row>
        <row r="18385">
          <cell r="A18385">
            <v>6807002</v>
          </cell>
          <cell r="B18385">
            <v>401928</v>
          </cell>
          <cell r="C18385" t="str">
            <v>Maes Ebbw School</v>
          </cell>
          <cell r="D18385" t="str">
            <v>Newport</v>
          </cell>
          <cell r="E18385" t="str">
            <v>Welsh Establishment</v>
          </cell>
          <cell r="F18385" t="str">
            <v>Not applicable</v>
          </cell>
        </row>
        <row r="18386">
          <cell r="A18386">
            <v>6696013</v>
          </cell>
          <cell r="B18386">
            <v>402107</v>
          </cell>
          <cell r="C18386" t="str">
            <v>Maes Werdd</v>
          </cell>
          <cell r="D18386" t="str">
            <v>Carmarthenshire</v>
          </cell>
          <cell r="E18386" t="str">
            <v>Welsh Establishment</v>
          </cell>
          <cell r="F18386" t="str">
            <v>Not applicable</v>
          </cell>
        </row>
        <row r="18387">
          <cell r="A18387">
            <v>6722367</v>
          </cell>
          <cell r="B18387">
            <v>401077</v>
          </cell>
          <cell r="C18387" t="str">
            <v>Maes yr Haul Primary School</v>
          </cell>
          <cell r="D18387" t="str">
            <v>Bridgend</v>
          </cell>
          <cell r="E18387" t="str">
            <v>Welsh Establishment</v>
          </cell>
          <cell r="F18387" t="str">
            <v>Primary</v>
          </cell>
        </row>
        <row r="18388">
          <cell r="A18388">
            <v>6692393</v>
          </cell>
          <cell r="B18388">
            <v>402214</v>
          </cell>
          <cell r="C18388" t="str">
            <v>Maes Yr Morfa Community Primary School</v>
          </cell>
          <cell r="D18388" t="str">
            <v>Carmarthenshire</v>
          </cell>
          <cell r="E18388" t="str">
            <v>Welsh Establishment</v>
          </cell>
          <cell r="F18388" t="str">
            <v>Primary</v>
          </cell>
        </row>
        <row r="18389">
          <cell r="A18389">
            <v>8932067</v>
          </cell>
          <cell r="B18389">
            <v>123381</v>
          </cell>
          <cell r="C18389" t="str">
            <v>Maesbury Primary School</v>
          </cell>
          <cell r="D18389" t="str">
            <v>Shropshire</v>
          </cell>
          <cell r="E18389" t="str">
            <v>Community School</v>
          </cell>
          <cell r="F18389" t="str">
            <v>Primary</v>
          </cell>
        </row>
        <row r="18390">
          <cell r="A18390">
            <v>6802017</v>
          </cell>
          <cell r="B18390">
            <v>401511</v>
          </cell>
          <cell r="C18390" t="str">
            <v>Maesglas C.P. School</v>
          </cell>
          <cell r="D18390" t="str">
            <v>Newport</v>
          </cell>
          <cell r="E18390" t="str">
            <v>Welsh Establishment</v>
          </cell>
          <cell r="F18390" t="str">
            <v>Primary</v>
          </cell>
        </row>
        <row r="18391">
          <cell r="A18391">
            <v>6747006</v>
          </cell>
          <cell r="B18391">
            <v>401919</v>
          </cell>
          <cell r="C18391" t="str">
            <v>Maesgwyn Special School</v>
          </cell>
          <cell r="D18391" t="str">
            <v>Rhondda, Cynon, Taff</v>
          </cell>
          <cell r="E18391" t="str">
            <v>Welsh Establishment</v>
          </cell>
          <cell r="F18391" t="str">
            <v>Not applicable</v>
          </cell>
        </row>
        <row r="18392">
          <cell r="A18392">
            <v>6712155</v>
          </cell>
          <cell r="B18392">
            <v>400983</v>
          </cell>
          <cell r="C18392" t="str">
            <v>Maesmarchog Primary  School</v>
          </cell>
          <cell r="D18392" t="str">
            <v>Neath Port Talbot</v>
          </cell>
          <cell r="E18392" t="str">
            <v>Welsh Establishment</v>
          </cell>
          <cell r="F18392" t="str">
            <v>Primary</v>
          </cell>
        </row>
        <row r="18393">
          <cell r="A18393">
            <v>6724071</v>
          </cell>
          <cell r="B18393">
            <v>401791</v>
          </cell>
          <cell r="C18393" t="str">
            <v>Maesteg School</v>
          </cell>
          <cell r="D18393" t="str">
            <v>Bridgend</v>
          </cell>
          <cell r="E18393" t="str">
            <v>Welsh Establishment</v>
          </cell>
          <cell r="F18393" t="str">
            <v>Secondary</v>
          </cell>
        </row>
        <row r="18394">
          <cell r="A18394">
            <v>6692002</v>
          </cell>
          <cell r="B18394">
            <v>400730</v>
          </cell>
          <cell r="C18394" t="str">
            <v>Maesybont C.P. School</v>
          </cell>
          <cell r="D18394" t="str">
            <v>Carmarthenshire</v>
          </cell>
          <cell r="E18394" t="str">
            <v>Welsh Establishment</v>
          </cell>
          <cell r="F18394" t="str">
            <v>Primary</v>
          </cell>
        </row>
        <row r="18395">
          <cell r="A18395">
            <v>6742263</v>
          </cell>
          <cell r="B18395">
            <v>401239</v>
          </cell>
          <cell r="C18395" t="str">
            <v>Maesybryn Primary School</v>
          </cell>
          <cell r="D18395" t="str">
            <v>Rhondda, Cynon, Taff</v>
          </cell>
          <cell r="E18395" t="str">
            <v>Welsh Establishment</v>
          </cell>
          <cell r="F18395" t="str">
            <v>Primary</v>
          </cell>
        </row>
        <row r="18396">
          <cell r="A18396">
            <v>6742130</v>
          </cell>
          <cell r="B18396">
            <v>401177</v>
          </cell>
          <cell r="C18396" t="str">
            <v>Maes-Y-Coed Primary School</v>
          </cell>
          <cell r="D18396" t="str">
            <v>Rhondda, Cynon, Taff</v>
          </cell>
          <cell r="E18396" t="str">
            <v>Welsh Establishment</v>
          </cell>
          <cell r="F18396" t="str">
            <v>Primary</v>
          </cell>
        </row>
        <row r="18397">
          <cell r="A18397">
            <v>6717006</v>
          </cell>
          <cell r="B18397">
            <v>401913</v>
          </cell>
          <cell r="C18397" t="str">
            <v>Maes-y-Coed Special School</v>
          </cell>
          <cell r="D18397" t="str">
            <v>Neath Port Talbot</v>
          </cell>
          <cell r="E18397" t="str">
            <v>Welsh Establishment</v>
          </cell>
          <cell r="F18397" t="str">
            <v>Not applicable</v>
          </cell>
        </row>
        <row r="18398">
          <cell r="A18398">
            <v>6741113</v>
          </cell>
          <cell r="B18398">
            <v>402167</v>
          </cell>
          <cell r="C18398" t="str">
            <v>Maes-y-Coed Tuition Group</v>
          </cell>
          <cell r="D18398" t="str">
            <v>Rhondda, Cynon, Taff</v>
          </cell>
          <cell r="E18398" t="str">
            <v>Welsh Establishment</v>
          </cell>
          <cell r="F18398" t="str">
            <v>Not applicable</v>
          </cell>
        </row>
        <row r="18399">
          <cell r="A18399">
            <v>6762322</v>
          </cell>
          <cell r="B18399">
            <v>401363</v>
          </cell>
          <cell r="C18399" t="str">
            <v>Maesycwmmer Primary School</v>
          </cell>
          <cell r="D18399" t="str">
            <v>Caerphilly</v>
          </cell>
          <cell r="E18399" t="str">
            <v>Welsh Establishment</v>
          </cell>
          <cell r="F18399" t="str">
            <v>Primary</v>
          </cell>
        </row>
        <row r="18400">
          <cell r="A18400">
            <v>6662060</v>
          </cell>
          <cell r="B18400">
            <v>400496</v>
          </cell>
          <cell r="C18400" t="str">
            <v>Maesyrhandir C.P. School</v>
          </cell>
          <cell r="D18400" t="str">
            <v>Powys</v>
          </cell>
          <cell r="E18400" t="str">
            <v>Welsh Establishment</v>
          </cell>
          <cell r="F18400" t="str">
            <v>Primary</v>
          </cell>
        </row>
        <row r="18401">
          <cell r="A18401">
            <v>9284550</v>
          </cell>
          <cell r="B18401">
            <v>122094</v>
          </cell>
          <cell r="C18401" t="str">
            <v>Magdalen College School</v>
          </cell>
          <cell r="D18401" t="str">
            <v>Northamptonshire</v>
          </cell>
          <cell r="E18401" t="str">
            <v>Voluntary Controlled School</v>
          </cell>
          <cell r="F18401" t="str">
            <v>Secondary</v>
          </cell>
        </row>
        <row r="18402">
          <cell r="A18402">
            <v>9316094</v>
          </cell>
          <cell r="B18402">
            <v>123311</v>
          </cell>
          <cell r="C18402" t="str">
            <v>Magdalen College School</v>
          </cell>
          <cell r="D18402" t="str">
            <v>Oxfordshire</v>
          </cell>
          <cell r="E18402" t="str">
            <v>Other Independent School</v>
          </cell>
          <cell r="F18402" t="str">
            <v>Not applicable</v>
          </cell>
        </row>
        <row r="18403">
          <cell r="A18403">
            <v>8786045</v>
          </cell>
          <cell r="B18403">
            <v>113623</v>
          </cell>
          <cell r="C18403" t="str">
            <v>Magdalen Court School</v>
          </cell>
          <cell r="D18403" t="str">
            <v>Devon</v>
          </cell>
          <cell r="E18403" t="str">
            <v>Other Independent School</v>
          </cell>
          <cell r="F18403" t="str">
            <v>Not applicable</v>
          </cell>
        </row>
        <row r="18404">
          <cell r="A18404">
            <v>9262295</v>
          </cell>
          <cell r="B18404">
            <v>120932</v>
          </cell>
          <cell r="C18404" t="str">
            <v>Magdalen Gates Primary School</v>
          </cell>
          <cell r="D18404" t="str">
            <v>Norfolk</v>
          </cell>
          <cell r="E18404" t="str">
            <v>Community School</v>
          </cell>
          <cell r="F18404" t="str">
            <v>Primary</v>
          </cell>
        </row>
        <row r="18405">
          <cell r="A18405">
            <v>9262235</v>
          </cell>
          <cell r="B18405">
            <v>120892</v>
          </cell>
          <cell r="C18405" t="str">
            <v>Magdalen Village School</v>
          </cell>
          <cell r="D18405" t="str">
            <v>Norfolk</v>
          </cell>
          <cell r="E18405" t="str">
            <v>Community School</v>
          </cell>
          <cell r="F18405" t="str">
            <v>Primary</v>
          </cell>
        </row>
        <row r="18406">
          <cell r="A18406">
            <v>3432074</v>
          </cell>
          <cell r="B18406">
            <v>104880</v>
          </cell>
          <cell r="C18406" t="str">
            <v>Maghull Community Primary School</v>
          </cell>
          <cell r="D18406" t="str">
            <v>Sefton</v>
          </cell>
          <cell r="E18406" t="str">
            <v>Community School</v>
          </cell>
          <cell r="F18406" t="str">
            <v>Primary</v>
          </cell>
        </row>
        <row r="18407">
          <cell r="A18407">
            <v>3434113</v>
          </cell>
          <cell r="B18407">
            <v>104958</v>
          </cell>
          <cell r="C18407" t="str">
            <v>Maghull High School</v>
          </cell>
          <cell r="D18407" t="str">
            <v>Sefton</v>
          </cell>
          <cell r="E18407" t="str">
            <v>Community School</v>
          </cell>
          <cell r="F18407" t="str">
            <v>Secondary</v>
          </cell>
        </row>
        <row r="18408">
          <cell r="A18408">
            <v>3434113</v>
          </cell>
          <cell r="B18408">
            <v>137520</v>
          </cell>
          <cell r="C18408" t="str">
            <v>Maghull High School</v>
          </cell>
          <cell r="D18408" t="str">
            <v>Sefton</v>
          </cell>
          <cell r="E18408" t="str">
            <v>Academy Converters</v>
          </cell>
          <cell r="F18408" t="str">
            <v>Secondary</v>
          </cell>
        </row>
        <row r="18409">
          <cell r="A18409">
            <v>3551024</v>
          </cell>
          <cell r="B18409">
            <v>126558</v>
          </cell>
          <cell r="C18409" t="str">
            <v>Magnalls Fold Community Nursery Centre</v>
          </cell>
          <cell r="D18409" t="str">
            <v>Salford</v>
          </cell>
          <cell r="E18409" t="str">
            <v>LA Nursery School</v>
          </cell>
          <cell r="F18409" t="str">
            <v>Nursery</v>
          </cell>
        </row>
        <row r="18410">
          <cell r="A18410">
            <v>8914583</v>
          </cell>
          <cell r="B18410">
            <v>131360</v>
          </cell>
          <cell r="C18410" t="str">
            <v>Magnus CofE School</v>
          </cell>
          <cell r="D18410" t="str">
            <v>Nottinghamshire</v>
          </cell>
          <cell r="E18410" t="str">
            <v>Foundation School</v>
          </cell>
          <cell r="F18410" t="str">
            <v>Secondary</v>
          </cell>
        </row>
        <row r="18411">
          <cell r="A18411">
            <v>6793310</v>
          </cell>
          <cell r="B18411">
            <v>401499</v>
          </cell>
          <cell r="C18411" t="str">
            <v>Magor V.A. Primary School</v>
          </cell>
          <cell r="D18411" t="str">
            <v>Monmouthshire</v>
          </cell>
          <cell r="E18411" t="str">
            <v>Welsh Establishment</v>
          </cell>
          <cell r="F18411" t="str">
            <v>Primary</v>
          </cell>
        </row>
        <row r="18412">
          <cell r="A18412">
            <v>8886018</v>
          </cell>
          <cell r="B18412">
            <v>137498</v>
          </cell>
          <cell r="C18412" t="str">
            <v>Maharishi Free School</v>
          </cell>
          <cell r="D18412" t="str">
            <v>Lancashire</v>
          </cell>
          <cell r="E18412" t="str">
            <v>Academy Free Schools</v>
          </cell>
          <cell r="F18412" t="str">
            <v>Not applicable</v>
          </cell>
        </row>
        <row r="18413">
          <cell r="A18413">
            <v>8886018</v>
          </cell>
          <cell r="B18413">
            <v>119843</v>
          </cell>
          <cell r="C18413" t="str">
            <v>Maharishi School of the Age of Enlightenment</v>
          </cell>
          <cell r="D18413" t="str">
            <v>Lancashire</v>
          </cell>
          <cell r="E18413" t="str">
            <v>Other Independent School</v>
          </cell>
          <cell r="F18413" t="str">
            <v>Not applicable</v>
          </cell>
        </row>
        <row r="18414">
          <cell r="A18414">
            <v>9334287</v>
          </cell>
          <cell r="B18414">
            <v>137118</v>
          </cell>
          <cell r="C18414" t="str">
            <v>Maiden Beech Academy</v>
          </cell>
          <cell r="D18414" t="str">
            <v>Somerset</v>
          </cell>
          <cell r="E18414" t="str">
            <v>Academy Converters</v>
          </cell>
          <cell r="F18414" t="str">
            <v>Middle Deemed Secondary</v>
          </cell>
        </row>
        <row r="18415">
          <cell r="A18415">
            <v>9334287</v>
          </cell>
          <cell r="B18415">
            <v>123874</v>
          </cell>
          <cell r="C18415" t="str">
            <v>Maiden Beech Middle School</v>
          </cell>
          <cell r="D18415" t="str">
            <v>Somerset</v>
          </cell>
          <cell r="E18415" t="str">
            <v>Community School</v>
          </cell>
          <cell r="F18415" t="str">
            <v>Middle Deemed Secondary</v>
          </cell>
        </row>
        <row r="18416">
          <cell r="A18416">
            <v>9127010</v>
          </cell>
          <cell r="B18416">
            <v>128810</v>
          </cell>
          <cell r="C18416" t="str">
            <v>Maiden Castle School</v>
          </cell>
          <cell r="D18416" t="str">
            <v>Pre LGR (1997) Dorset</v>
          </cell>
          <cell r="E18416" t="str">
            <v>Community Special School</v>
          </cell>
          <cell r="F18416" t="str">
            <v>Special</v>
          </cell>
        </row>
        <row r="18417">
          <cell r="A18417">
            <v>8724053</v>
          </cell>
          <cell r="B18417">
            <v>110064</v>
          </cell>
          <cell r="C18417" t="str">
            <v>Maiden Erlegh School</v>
          </cell>
          <cell r="D18417" t="str">
            <v>Wokingham</v>
          </cell>
          <cell r="E18417" t="str">
            <v>Community School</v>
          </cell>
          <cell r="F18417" t="str">
            <v>Secondary</v>
          </cell>
        </row>
        <row r="18418">
          <cell r="A18418">
            <v>8724053</v>
          </cell>
          <cell r="B18418">
            <v>136637</v>
          </cell>
          <cell r="C18418" t="str">
            <v>Maiden Erlegh School</v>
          </cell>
          <cell r="D18418" t="str">
            <v>Wokingham</v>
          </cell>
          <cell r="E18418" t="str">
            <v>Academy Converters</v>
          </cell>
          <cell r="F18418" t="str">
            <v>Secondary</v>
          </cell>
        </row>
        <row r="18419">
          <cell r="A18419">
            <v>8353021</v>
          </cell>
          <cell r="B18419">
            <v>113762</v>
          </cell>
          <cell r="C18419" t="str">
            <v>Maiden Newton, Greenford Church of England Primary School</v>
          </cell>
          <cell r="D18419" t="str">
            <v>Dorset</v>
          </cell>
          <cell r="E18419" t="str">
            <v>Voluntary Controlled School</v>
          </cell>
          <cell r="F18419" t="str">
            <v>Primary</v>
          </cell>
        </row>
        <row r="18420">
          <cell r="A18420">
            <v>9382240</v>
          </cell>
          <cell r="B18420">
            <v>125962</v>
          </cell>
          <cell r="C18420" t="str">
            <v>Maidenbower Infant School</v>
          </cell>
          <cell r="D18420" t="str">
            <v>West Sussex</v>
          </cell>
          <cell r="E18420" t="str">
            <v>Community School</v>
          </cell>
          <cell r="F18420" t="str">
            <v>Primary</v>
          </cell>
        </row>
        <row r="18421">
          <cell r="A18421">
            <v>9382255</v>
          </cell>
          <cell r="B18421">
            <v>131603</v>
          </cell>
          <cell r="C18421" t="str">
            <v>Maidenbower Junior School</v>
          </cell>
          <cell r="D18421" t="str">
            <v>West Sussex</v>
          </cell>
          <cell r="E18421" t="str">
            <v>Community School</v>
          </cell>
          <cell r="F18421" t="str">
            <v>Primary</v>
          </cell>
        </row>
        <row r="18422">
          <cell r="A18422">
            <v>8212238</v>
          </cell>
          <cell r="B18422">
            <v>109547</v>
          </cell>
          <cell r="C18422" t="str">
            <v>Maidenhall Infant School</v>
          </cell>
          <cell r="D18422" t="str">
            <v>Luton</v>
          </cell>
          <cell r="E18422" t="str">
            <v>Community School</v>
          </cell>
          <cell r="F18422" t="str">
            <v>Primary</v>
          </cell>
        </row>
        <row r="18423">
          <cell r="A18423">
            <v>8212237</v>
          </cell>
          <cell r="B18423">
            <v>109546</v>
          </cell>
          <cell r="C18423" t="str">
            <v>Maidenhall Primary School</v>
          </cell>
          <cell r="D18423" t="str">
            <v>Luton</v>
          </cell>
          <cell r="E18423" t="str">
            <v>Community School</v>
          </cell>
          <cell r="F18423" t="str">
            <v>Primary</v>
          </cell>
        </row>
        <row r="18424">
          <cell r="A18424">
            <v>8686008</v>
          </cell>
          <cell r="B18424">
            <v>110144</v>
          </cell>
          <cell r="C18424" t="str">
            <v>Maidenhead College for Girls</v>
          </cell>
          <cell r="D18424" t="str">
            <v>Windsor and Maidenhead</v>
          </cell>
          <cell r="E18424" t="str">
            <v>Other Independent School</v>
          </cell>
          <cell r="F18424" t="str">
            <v>Not applicable</v>
          </cell>
        </row>
        <row r="18425">
          <cell r="A18425">
            <v>8681013</v>
          </cell>
          <cell r="B18425">
            <v>109756</v>
          </cell>
          <cell r="C18425" t="str">
            <v>Maidenhead Nursery School</v>
          </cell>
          <cell r="D18425" t="str">
            <v>Windsor and Maidenhead</v>
          </cell>
          <cell r="E18425" t="str">
            <v>LA Nursery School</v>
          </cell>
          <cell r="F18425" t="str">
            <v>Nursery</v>
          </cell>
        </row>
        <row r="18426">
          <cell r="A18426">
            <v>9165424</v>
          </cell>
          <cell r="B18426">
            <v>115775</v>
          </cell>
          <cell r="C18426" t="str">
            <v>Maidenhill School</v>
          </cell>
          <cell r="D18426" t="str">
            <v>Gloucestershire</v>
          </cell>
          <cell r="E18426" t="str">
            <v>Foundation School</v>
          </cell>
          <cell r="F18426" t="str">
            <v>Secondary</v>
          </cell>
        </row>
        <row r="18427">
          <cell r="A18427">
            <v>3322035</v>
          </cell>
          <cell r="B18427">
            <v>103779</v>
          </cell>
          <cell r="C18427" t="str">
            <v>Maidensbridge Primary School</v>
          </cell>
          <cell r="D18427" t="str">
            <v>Dudley</v>
          </cell>
          <cell r="E18427" t="str">
            <v>Community School</v>
          </cell>
          <cell r="F18427" t="str">
            <v>Primary</v>
          </cell>
        </row>
        <row r="18428">
          <cell r="A18428">
            <v>3412056</v>
          </cell>
          <cell r="B18428">
            <v>127261</v>
          </cell>
          <cell r="C18428" t="str">
            <v>Maidford Infant School</v>
          </cell>
          <cell r="D18428" t="str">
            <v>Liverpool</v>
          </cell>
          <cell r="E18428" t="str">
            <v>Community School</v>
          </cell>
          <cell r="F18428" t="str">
            <v>Primary</v>
          </cell>
        </row>
        <row r="18429">
          <cell r="A18429">
            <v>3412055</v>
          </cell>
          <cell r="B18429">
            <v>104540</v>
          </cell>
          <cell r="C18429" t="str">
            <v>Maidford Primary School</v>
          </cell>
          <cell r="D18429" t="str">
            <v>Liverpool</v>
          </cell>
          <cell r="E18429" t="str">
            <v>Community School</v>
          </cell>
          <cell r="F18429" t="str">
            <v>Primary</v>
          </cell>
        </row>
        <row r="18430">
          <cell r="A18430">
            <v>8253057</v>
          </cell>
          <cell r="B18430">
            <v>110438</v>
          </cell>
          <cell r="C18430" t="str">
            <v>Maids Moreton Church of England School</v>
          </cell>
          <cell r="D18430" t="str">
            <v>Buckinghamshire</v>
          </cell>
          <cell r="E18430" t="str">
            <v>Voluntary Controlled School</v>
          </cell>
          <cell r="F18430" t="str">
            <v>Primary</v>
          </cell>
        </row>
        <row r="18431">
          <cell r="A18431">
            <v>8861127</v>
          </cell>
          <cell r="B18431">
            <v>135465</v>
          </cell>
          <cell r="C18431" t="str">
            <v>Maidstone and Malling Alternative Curriculum PRU</v>
          </cell>
          <cell r="D18431" t="str">
            <v>Kent</v>
          </cell>
          <cell r="E18431" t="str">
            <v>Pupil Referral Unit</v>
          </cell>
          <cell r="F18431" t="str">
            <v>PRU</v>
          </cell>
        </row>
        <row r="18432">
          <cell r="A18432">
            <v>8864522</v>
          </cell>
          <cell r="B18432">
            <v>118835</v>
          </cell>
          <cell r="C18432" t="str">
            <v>Maidstone Grammar School</v>
          </cell>
          <cell r="D18432" t="str">
            <v>Kent</v>
          </cell>
          <cell r="E18432" t="str">
            <v>Foundation School</v>
          </cell>
          <cell r="F18432" t="str">
            <v>Secondary</v>
          </cell>
        </row>
        <row r="18433">
          <cell r="A18433">
            <v>8864523</v>
          </cell>
          <cell r="B18433">
            <v>118836</v>
          </cell>
          <cell r="C18433" t="str">
            <v>Maidstone Grammar School for Girls</v>
          </cell>
          <cell r="D18433" t="str">
            <v>Kent</v>
          </cell>
          <cell r="E18433" t="str">
            <v>Voluntary Controlled School</v>
          </cell>
          <cell r="F18433" t="str">
            <v>Secondary</v>
          </cell>
        </row>
        <row r="18434">
          <cell r="A18434">
            <v>9352075</v>
          </cell>
          <cell r="B18434">
            <v>124581</v>
          </cell>
          <cell r="C18434" t="str">
            <v>Maidstone Infant School</v>
          </cell>
          <cell r="D18434" t="str">
            <v>Suffolk</v>
          </cell>
          <cell r="E18434" t="str">
            <v>Community School</v>
          </cell>
          <cell r="F18434" t="str">
            <v>Primary</v>
          </cell>
        </row>
        <row r="18435">
          <cell r="A18435">
            <v>8863071</v>
          </cell>
          <cell r="B18435">
            <v>118624</v>
          </cell>
          <cell r="C18435" t="str">
            <v>Maidstone, All Saints Church of England Primary School</v>
          </cell>
          <cell r="D18435" t="str">
            <v>Kent</v>
          </cell>
          <cell r="E18435" t="str">
            <v>Voluntary Controlled School</v>
          </cell>
          <cell r="F18435" t="str">
            <v>Primary</v>
          </cell>
        </row>
        <row r="18436">
          <cell r="A18436">
            <v>8863372</v>
          </cell>
          <cell r="B18436">
            <v>118753</v>
          </cell>
          <cell r="C18436" t="str">
            <v>Maidstone, St John's Church of England Primary School</v>
          </cell>
          <cell r="D18436" t="str">
            <v>Kent</v>
          </cell>
          <cell r="E18436" t="str">
            <v>Voluntary Aided School</v>
          </cell>
          <cell r="F18436" t="str">
            <v>Primary</v>
          </cell>
        </row>
        <row r="18437">
          <cell r="A18437">
            <v>8863372</v>
          </cell>
          <cell r="B18437">
            <v>137615</v>
          </cell>
          <cell r="C18437" t="str">
            <v>Maidstone, St John's Church of England Primary School</v>
          </cell>
          <cell r="D18437" t="str">
            <v>Kent</v>
          </cell>
          <cell r="E18437" t="str">
            <v>Academy Converters</v>
          </cell>
          <cell r="F18437" t="str">
            <v>Primary</v>
          </cell>
        </row>
        <row r="18438">
          <cell r="A18438">
            <v>8863072</v>
          </cell>
          <cell r="B18438">
            <v>118625</v>
          </cell>
          <cell r="C18438" t="str">
            <v>Maidstone, St Michael's Church of England Junior School</v>
          </cell>
          <cell r="D18438" t="str">
            <v>Kent</v>
          </cell>
          <cell r="E18438" t="str">
            <v>Voluntary Controlled School</v>
          </cell>
          <cell r="F18438" t="str">
            <v>Primary</v>
          </cell>
        </row>
        <row r="18439">
          <cell r="A18439">
            <v>9286005</v>
          </cell>
          <cell r="B18439">
            <v>122127</v>
          </cell>
          <cell r="C18439" t="str">
            <v>Maidwell Hall School</v>
          </cell>
          <cell r="D18439" t="str">
            <v>Northamptonshire</v>
          </cell>
          <cell r="E18439" t="str">
            <v>Other Independent School</v>
          </cell>
          <cell r="F18439" t="str">
            <v>Not applicable</v>
          </cell>
        </row>
        <row r="18440">
          <cell r="A18440">
            <v>9282069</v>
          </cell>
          <cell r="B18440">
            <v>121845</v>
          </cell>
          <cell r="C18440" t="str">
            <v>Maidwell Primary School</v>
          </cell>
          <cell r="D18440" t="str">
            <v>Northamptonshire</v>
          </cell>
          <cell r="E18440" t="str">
            <v>Community School</v>
          </cell>
          <cell r="F18440" t="str">
            <v>Primary</v>
          </cell>
        </row>
        <row r="18441">
          <cell r="A18441">
            <v>2031100</v>
          </cell>
          <cell r="B18441">
            <v>126578</v>
          </cell>
          <cell r="C18441" t="str">
            <v>Main Office and Primary Resource</v>
          </cell>
          <cell r="D18441" t="str">
            <v>Greenwich</v>
          </cell>
          <cell r="E18441" t="str">
            <v>Pupil Referral Unit</v>
          </cell>
          <cell r="F18441" t="str">
            <v>PRU</v>
          </cell>
        </row>
        <row r="18442">
          <cell r="A18442">
            <v>6802019</v>
          </cell>
          <cell r="B18442">
            <v>401512</v>
          </cell>
          <cell r="C18442" t="str">
            <v>Maindee C.P. School</v>
          </cell>
          <cell r="D18442" t="str">
            <v>Newport</v>
          </cell>
          <cell r="E18442" t="str">
            <v>Welsh Establishment</v>
          </cell>
          <cell r="F18442" t="str">
            <v>Primary</v>
          </cell>
        </row>
        <row r="18443">
          <cell r="A18443">
            <v>3412096</v>
          </cell>
          <cell r="B18443">
            <v>127268</v>
          </cell>
          <cell r="C18443" t="str">
            <v>Major Lester County Infant School</v>
          </cell>
          <cell r="D18443" t="str">
            <v>Liverpool</v>
          </cell>
          <cell r="E18443" t="str">
            <v>Community School</v>
          </cell>
          <cell r="F18443" t="str">
            <v>Primary</v>
          </cell>
        </row>
        <row r="18444">
          <cell r="A18444">
            <v>3412094</v>
          </cell>
          <cell r="B18444">
            <v>104556</v>
          </cell>
          <cell r="C18444" t="str">
            <v>Major Lester Junior Mixed and Infant School</v>
          </cell>
          <cell r="D18444" t="str">
            <v>Liverpool</v>
          </cell>
          <cell r="E18444" t="str">
            <v>Community School</v>
          </cell>
          <cell r="F18444" t="str">
            <v>Primary</v>
          </cell>
        </row>
        <row r="18445">
          <cell r="A18445">
            <v>8954143</v>
          </cell>
          <cell r="B18445">
            <v>111419</v>
          </cell>
          <cell r="C18445" t="str">
            <v>Malbank School and Sixth Form College</v>
          </cell>
          <cell r="D18445" t="str">
            <v>Cheshire East</v>
          </cell>
          <cell r="E18445" t="str">
            <v>Foundation School</v>
          </cell>
          <cell r="F18445" t="str">
            <v>Secondary</v>
          </cell>
        </row>
        <row r="18446">
          <cell r="A18446">
            <v>8783114</v>
          </cell>
          <cell r="B18446">
            <v>113399</v>
          </cell>
          <cell r="C18446" t="str">
            <v>Malborough with South Huish Church of England Primary School</v>
          </cell>
          <cell r="D18446" t="str">
            <v>Devon</v>
          </cell>
          <cell r="E18446" t="str">
            <v>Voluntary Controlled School</v>
          </cell>
          <cell r="F18446" t="str">
            <v>Primary</v>
          </cell>
        </row>
        <row r="18447">
          <cell r="A18447">
            <v>9286910</v>
          </cell>
          <cell r="B18447">
            <v>136201</v>
          </cell>
          <cell r="C18447" t="str">
            <v>Malcolm Arnold Academy</v>
          </cell>
          <cell r="D18447" t="str">
            <v>Northamptonshire</v>
          </cell>
          <cell r="E18447" t="str">
            <v>Academy Sponsor Led</v>
          </cell>
          <cell r="F18447" t="str">
            <v>Secondary</v>
          </cell>
        </row>
        <row r="18448">
          <cell r="A18448">
            <v>3052060</v>
          </cell>
          <cell r="B18448">
            <v>101629</v>
          </cell>
          <cell r="C18448" t="str">
            <v>Malcolm Primary School</v>
          </cell>
          <cell r="D18448" t="str">
            <v>Bromley</v>
          </cell>
          <cell r="E18448" t="str">
            <v>Community School</v>
          </cell>
          <cell r="F18448" t="str">
            <v>Primary</v>
          </cell>
        </row>
        <row r="18449">
          <cell r="A18449">
            <v>3142034</v>
          </cell>
          <cell r="B18449">
            <v>102581</v>
          </cell>
          <cell r="C18449" t="str">
            <v>Malden Manor Primary and Nursery School</v>
          </cell>
          <cell r="D18449" t="str">
            <v>Kingston upon Thames</v>
          </cell>
          <cell r="E18449" t="str">
            <v>Community School</v>
          </cell>
          <cell r="F18449" t="str">
            <v>Primary</v>
          </cell>
        </row>
        <row r="18450">
          <cell r="A18450">
            <v>3141101</v>
          </cell>
          <cell r="B18450">
            <v>102562</v>
          </cell>
          <cell r="C18450" t="str">
            <v>Malden Oaks PRU</v>
          </cell>
          <cell r="D18450" t="str">
            <v>Kingston upon Thames</v>
          </cell>
          <cell r="E18450" t="str">
            <v>Pupil Referral Unit</v>
          </cell>
          <cell r="F18450" t="str">
            <v>PRU</v>
          </cell>
        </row>
        <row r="18451">
          <cell r="A18451">
            <v>3143303</v>
          </cell>
          <cell r="B18451">
            <v>102587</v>
          </cell>
          <cell r="C18451" t="str">
            <v>Malden Parochial CofE Primary School</v>
          </cell>
          <cell r="D18451" t="str">
            <v>Kingston upon Thames</v>
          </cell>
          <cell r="E18451" t="str">
            <v>Voluntary Aided School</v>
          </cell>
          <cell r="F18451" t="str">
            <v>Primary</v>
          </cell>
        </row>
        <row r="18452">
          <cell r="A18452">
            <v>8816027</v>
          </cell>
          <cell r="B18452">
            <v>115421</v>
          </cell>
          <cell r="C18452" t="str">
            <v>Maldon Court Preparatory School</v>
          </cell>
          <cell r="D18452" t="str">
            <v>Essex</v>
          </cell>
          <cell r="E18452" t="str">
            <v>Other Independent School</v>
          </cell>
          <cell r="F18452" t="str">
            <v>Not applicable</v>
          </cell>
        </row>
        <row r="18453">
          <cell r="A18453">
            <v>8812230</v>
          </cell>
          <cell r="B18453">
            <v>114806</v>
          </cell>
          <cell r="C18453" t="str">
            <v>Maldon Primary School</v>
          </cell>
          <cell r="D18453" t="str">
            <v>Essex</v>
          </cell>
          <cell r="E18453" t="str">
            <v>Community School</v>
          </cell>
          <cell r="F18453" t="str">
            <v>Primary</v>
          </cell>
        </row>
        <row r="18454">
          <cell r="A18454">
            <v>8104020</v>
          </cell>
          <cell r="B18454">
            <v>118069</v>
          </cell>
          <cell r="C18454" t="str">
            <v>Malet Lambert School Language College</v>
          </cell>
          <cell r="D18454" t="str">
            <v>Kingston upon Hull City of</v>
          </cell>
          <cell r="E18454" t="str">
            <v>Community School</v>
          </cell>
          <cell r="F18454" t="str">
            <v>Secondary</v>
          </cell>
        </row>
        <row r="18455">
          <cell r="A18455">
            <v>3732074</v>
          </cell>
          <cell r="B18455">
            <v>127654</v>
          </cell>
          <cell r="C18455" t="str">
            <v>Malin Bridge Infant School</v>
          </cell>
          <cell r="D18455" t="str">
            <v>Sheffield</v>
          </cell>
          <cell r="E18455" t="str">
            <v>Community School</v>
          </cell>
          <cell r="F18455" t="str">
            <v>Primary</v>
          </cell>
        </row>
        <row r="18456">
          <cell r="A18456">
            <v>3732073</v>
          </cell>
          <cell r="B18456">
            <v>127653</v>
          </cell>
          <cell r="C18456" t="str">
            <v>Malin Bridge Junior School</v>
          </cell>
          <cell r="D18456" t="str">
            <v>Sheffield</v>
          </cell>
          <cell r="E18456" t="str">
            <v>Community School</v>
          </cell>
          <cell r="F18456" t="str">
            <v>Primary</v>
          </cell>
        </row>
        <row r="18457">
          <cell r="A18457">
            <v>3732358</v>
          </cell>
          <cell r="B18457">
            <v>107100</v>
          </cell>
          <cell r="C18457" t="str">
            <v>Malin Bridge Primary School</v>
          </cell>
          <cell r="D18457" t="str">
            <v>Sheffield</v>
          </cell>
          <cell r="E18457" t="str">
            <v>Community School</v>
          </cell>
          <cell r="F18457" t="str">
            <v>Primary</v>
          </cell>
        </row>
        <row r="18458">
          <cell r="A18458">
            <v>8942173</v>
          </cell>
          <cell r="B18458">
            <v>123442</v>
          </cell>
          <cell r="C18458" t="str">
            <v>Malinslee Primary School</v>
          </cell>
          <cell r="D18458" t="str">
            <v>Telford and Wrekin</v>
          </cell>
          <cell r="E18458" t="str">
            <v>Community School</v>
          </cell>
          <cell r="F18458" t="str">
            <v>Primary</v>
          </cell>
        </row>
        <row r="18459">
          <cell r="A18459">
            <v>3713324</v>
          </cell>
          <cell r="B18459">
            <v>134235</v>
          </cell>
          <cell r="C18459" t="str">
            <v>Mallard Primary School</v>
          </cell>
          <cell r="D18459" t="str">
            <v>Doncaster</v>
          </cell>
          <cell r="E18459" t="str">
            <v>Community School</v>
          </cell>
          <cell r="F18459" t="str">
            <v>Primary</v>
          </cell>
        </row>
        <row r="18460">
          <cell r="A18460">
            <v>8653117</v>
          </cell>
          <cell r="B18460">
            <v>126338</v>
          </cell>
          <cell r="C18460" t="str">
            <v>Malmesbury Church of England Primary School</v>
          </cell>
          <cell r="D18460" t="str">
            <v>Wiltshire</v>
          </cell>
          <cell r="E18460" t="str">
            <v>Voluntary Controlled School</v>
          </cell>
          <cell r="F18460" t="str">
            <v>Primary</v>
          </cell>
        </row>
        <row r="18461">
          <cell r="A18461">
            <v>3154035</v>
          </cell>
          <cell r="B18461">
            <v>126957</v>
          </cell>
          <cell r="C18461" t="str">
            <v>Malmesbury County Middle School</v>
          </cell>
          <cell r="D18461" t="str">
            <v>Merton</v>
          </cell>
          <cell r="E18461" t="str">
            <v>Community School</v>
          </cell>
          <cell r="F18461" t="str">
            <v>Middle Deemed Secondary</v>
          </cell>
        </row>
        <row r="18462">
          <cell r="A18462">
            <v>3152065</v>
          </cell>
          <cell r="B18462">
            <v>102637</v>
          </cell>
          <cell r="C18462" t="str">
            <v>Malmesbury First School</v>
          </cell>
          <cell r="D18462" t="str">
            <v>Merton</v>
          </cell>
          <cell r="E18462" t="str">
            <v>Community School</v>
          </cell>
          <cell r="F18462" t="str">
            <v>Primary</v>
          </cell>
        </row>
        <row r="18463">
          <cell r="A18463">
            <v>2112395</v>
          </cell>
          <cell r="B18463">
            <v>100910</v>
          </cell>
          <cell r="C18463" t="str">
            <v>Malmesbury Infant School</v>
          </cell>
          <cell r="D18463" t="str">
            <v>Tower Hamlets</v>
          </cell>
          <cell r="E18463" t="str">
            <v>Community School</v>
          </cell>
          <cell r="F18463" t="str">
            <v>Primary</v>
          </cell>
        </row>
        <row r="18464">
          <cell r="A18464">
            <v>2112394</v>
          </cell>
          <cell r="B18464">
            <v>100909</v>
          </cell>
          <cell r="C18464" t="str">
            <v>Malmesbury Junior School</v>
          </cell>
          <cell r="D18464" t="str">
            <v>Tower Hamlets</v>
          </cell>
          <cell r="E18464" t="str">
            <v>Community School</v>
          </cell>
          <cell r="F18464" t="str">
            <v>Primary</v>
          </cell>
        </row>
        <row r="18465">
          <cell r="A18465">
            <v>3152086</v>
          </cell>
          <cell r="B18465">
            <v>102657</v>
          </cell>
          <cell r="C18465" t="str">
            <v>Malmesbury Middle School</v>
          </cell>
          <cell r="D18465" t="str">
            <v>Merton</v>
          </cell>
          <cell r="E18465" t="str">
            <v>Community School</v>
          </cell>
          <cell r="F18465" t="str">
            <v>Middle Deemed Primary</v>
          </cell>
        </row>
        <row r="18466">
          <cell r="A18466">
            <v>8372226</v>
          </cell>
          <cell r="B18466">
            <v>113725</v>
          </cell>
          <cell r="C18466" t="str">
            <v>Malmesbury Park Primary School</v>
          </cell>
          <cell r="D18466" t="str">
            <v>Bournemouth</v>
          </cell>
          <cell r="E18466" t="str">
            <v>Community School</v>
          </cell>
          <cell r="F18466" t="str">
            <v>Primary</v>
          </cell>
        </row>
        <row r="18467">
          <cell r="A18467">
            <v>3152092</v>
          </cell>
          <cell r="B18467">
            <v>132169</v>
          </cell>
          <cell r="C18467" t="str">
            <v>Malmesbury Primary School</v>
          </cell>
          <cell r="D18467" t="str">
            <v>Merton</v>
          </cell>
          <cell r="E18467" t="str">
            <v>Community School</v>
          </cell>
          <cell r="F18467" t="str">
            <v>Primary</v>
          </cell>
        </row>
        <row r="18468">
          <cell r="A18468">
            <v>2112005</v>
          </cell>
          <cell r="B18468">
            <v>134160</v>
          </cell>
          <cell r="C18468" t="str">
            <v>Malmesbury Primary School</v>
          </cell>
          <cell r="D18468" t="str">
            <v>Tower Hamlets</v>
          </cell>
          <cell r="E18468" t="str">
            <v>Community School</v>
          </cell>
          <cell r="F18468" t="str">
            <v>Primary</v>
          </cell>
        </row>
        <row r="18469">
          <cell r="A18469">
            <v>8654064</v>
          </cell>
          <cell r="B18469">
            <v>126452</v>
          </cell>
          <cell r="C18469" t="str">
            <v>Malmesbury School</v>
          </cell>
          <cell r="D18469" t="str">
            <v>Wiltshire</v>
          </cell>
          <cell r="E18469" t="str">
            <v>Foundation School</v>
          </cell>
          <cell r="F18469" t="str">
            <v>Secondary</v>
          </cell>
        </row>
        <row r="18470">
          <cell r="A18470">
            <v>8654064</v>
          </cell>
          <cell r="B18470">
            <v>137308</v>
          </cell>
          <cell r="C18470" t="str">
            <v>Malmesbury School</v>
          </cell>
          <cell r="D18470" t="str">
            <v>Wiltshire</v>
          </cell>
          <cell r="E18470" t="str">
            <v>Academy Converters</v>
          </cell>
          <cell r="F18470" t="str">
            <v>Secondary</v>
          </cell>
        </row>
        <row r="18471">
          <cell r="A18471">
            <v>3042033</v>
          </cell>
          <cell r="B18471">
            <v>101507</v>
          </cell>
          <cell r="C18471" t="str">
            <v>Malorees Infant School</v>
          </cell>
          <cell r="D18471" t="str">
            <v>Brent</v>
          </cell>
          <cell r="E18471" t="str">
            <v>Community School</v>
          </cell>
          <cell r="F18471" t="str">
            <v>Primary</v>
          </cell>
        </row>
        <row r="18472">
          <cell r="A18472">
            <v>3045202</v>
          </cell>
          <cell r="B18472">
            <v>101554</v>
          </cell>
          <cell r="C18472" t="str">
            <v>Malorees Junior School</v>
          </cell>
          <cell r="D18472" t="str">
            <v>Brent</v>
          </cell>
          <cell r="E18472" t="str">
            <v>Foundation School</v>
          </cell>
          <cell r="F18472" t="str">
            <v>Primary</v>
          </cell>
        </row>
        <row r="18473">
          <cell r="A18473">
            <v>2094274</v>
          </cell>
          <cell r="B18473">
            <v>100744</v>
          </cell>
          <cell r="C18473" t="str">
            <v>Malory School</v>
          </cell>
          <cell r="D18473" t="str">
            <v>Lewisham</v>
          </cell>
          <cell r="E18473" t="str">
            <v>Community School</v>
          </cell>
          <cell r="F18473" t="str">
            <v>Secondary</v>
          </cell>
        </row>
        <row r="18474">
          <cell r="A18474">
            <v>8963164</v>
          </cell>
          <cell r="B18474">
            <v>111282</v>
          </cell>
          <cell r="C18474" t="str">
            <v>Malpas Alport Endowed Primary School</v>
          </cell>
          <cell r="D18474" t="str">
            <v>Cheshire West and Chester</v>
          </cell>
          <cell r="E18474" t="str">
            <v>Voluntary Controlled School</v>
          </cell>
          <cell r="F18474" t="str">
            <v>Primary</v>
          </cell>
        </row>
        <row r="18475">
          <cell r="A18475">
            <v>6803001</v>
          </cell>
          <cell r="B18475">
            <v>401548</v>
          </cell>
          <cell r="C18475" t="str">
            <v>Malpas C.I.W. Infant School</v>
          </cell>
          <cell r="D18475" t="str">
            <v>Newport</v>
          </cell>
          <cell r="E18475" t="str">
            <v>Welsh Establishment</v>
          </cell>
          <cell r="F18475" t="str">
            <v>Primary</v>
          </cell>
        </row>
        <row r="18476">
          <cell r="A18476">
            <v>6803000</v>
          </cell>
          <cell r="B18476">
            <v>401547</v>
          </cell>
          <cell r="C18476" t="str">
            <v>Malpas C.I.W. Junior School</v>
          </cell>
          <cell r="D18476" t="str">
            <v>Newport</v>
          </cell>
          <cell r="E18476" t="str">
            <v>Welsh Establishment</v>
          </cell>
          <cell r="F18476" t="str">
            <v>Primary</v>
          </cell>
        </row>
        <row r="18477">
          <cell r="A18477">
            <v>6802022</v>
          </cell>
          <cell r="B18477">
            <v>401513</v>
          </cell>
          <cell r="C18477" t="str">
            <v>Malpas Court Primary School</v>
          </cell>
          <cell r="D18477" t="str">
            <v>Newport</v>
          </cell>
          <cell r="E18477" t="str">
            <v>Welsh Establishment</v>
          </cell>
          <cell r="F18477" t="str">
            <v>Primary</v>
          </cell>
        </row>
        <row r="18478">
          <cell r="A18478">
            <v>6802043</v>
          </cell>
          <cell r="B18478">
            <v>401528</v>
          </cell>
          <cell r="C18478" t="str">
            <v>Malpas Park Primary School</v>
          </cell>
          <cell r="D18478" t="str">
            <v>Newport</v>
          </cell>
          <cell r="E18478" t="str">
            <v>Welsh Establishment</v>
          </cell>
          <cell r="F18478" t="str">
            <v>Primary</v>
          </cell>
        </row>
        <row r="18479">
          <cell r="A18479">
            <v>8156025</v>
          </cell>
          <cell r="B18479">
            <v>121755</v>
          </cell>
          <cell r="C18479" t="str">
            <v>Malsis School</v>
          </cell>
          <cell r="D18479" t="str">
            <v>North Yorkshire</v>
          </cell>
          <cell r="E18479" t="str">
            <v>Other Independent School</v>
          </cell>
          <cell r="F18479" t="str">
            <v>Not applicable</v>
          </cell>
        </row>
        <row r="18480">
          <cell r="A18480">
            <v>3726905</v>
          </cell>
          <cell r="B18480">
            <v>136042</v>
          </cell>
          <cell r="C18480" t="str">
            <v>Maltby Academy</v>
          </cell>
          <cell r="D18480" t="str">
            <v>Rotherham</v>
          </cell>
          <cell r="E18480" t="str">
            <v>Academy Sponsor Led</v>
          </cell>
          <cell r="F18480" t="str">
            <v>Secondary</v>
          </cell>
        </row>
        <row r="18481">
          <cell r="A18481">
            <v>3724015</v>
          </cell>
          <cell r="B18481">
            <v>106952</v>
          </cell>
          <cell r="C18481" t="str">
            <v>Maltby Community School - Specialising in Business and Enterprise</v>
          </cell>
          <cell r="D18481" t="str">
            <v>Rotherham</v>
          </cell>
          <cell r="E18481" t="str">
            <v>Community School</v>
          </cell>
          <cell r="F18481" t="str">
            <v>Secondary</v>
          </cell>
        </row>
        <row r="18482">
          <cell r="A18482">
            <v>3722062</v>
          </cell>
          <cell r="B18482">
            <v>106869</v>
          </cell>
          <cell r="C18482" t="str">
            <v>Maltby Crags Junior School</v>
          </cell>
          <cell r="D18482" t="str">
            <v>Rotherham</v>
          </cell>
          <cell r="E18482" t="str">
            <v>Community School</v>
          </cell>
          <cell r="F18482" t="str">
            <v>Primary</v>
          </cell>
        </row>
        <row r="18483">
          <cell r="A18483">
            <v>3722064</v>
          </cell>
          <cell r="B18483">
            <v>106871</v>
          </cell>
          <cell r="C18483" t="str">
            <v>Maltby Hall Infant School</v>
          </cell>
          <cell r="D18483" t="str">
            <v>Rotherham</v>
          </cell>
          <cell r="E18483" t="str">
            <v>Community School</v>
          </cell>
          <cell r="F18483" t="str">
            <v>Primary</v>
          </cell>
        </row>
        <row r="18484">
          <cell r="A18484">
            <v>3722113</v>
          </cell>
          <cell r="B18484">
            <v>106913</v>
          </cell>
          <cell r="C18484" t="str">
            <v>Maltby Manor Infant School</v>
          </cell>
          <cell r="D18484" t="str">
            <v>Rotherham</v>
          </cell>
          <cell r="E18484" t="str">
            <v>Community School</v>
          </cell>
          <cell r="F18484" t="str">
            <v>Primary</v>
          </cell>
        </row>
        <row r="18485">
          <cell r="A18485">
            <v>3722089</v>
          </cell>
          <cell r="B18485">
            <v>106890</v>
          </cell>
          <cell r="C18485" t="str">
            <v>Maltby Manor Junior School</v>
          </cell>
          <cell r="D18485" t="str">
            <v>Rotherham</v>
          </cell>
          <cell r="E18485" t="str">
            <v>Community School</v>
          </cell>
          <cell r="F18485" t="str">
            <v>Primary</v>
          </cell>
        </row>
        <row r="18486">
          <cell r="A18486">
            <v>3723343</v>
          </cell>
          <cell r="B18486">
            <v>132765</v>
          </cell>
          <cell r="C18486" t="str">
            <v>Maltby Manor Primary School</v>
          </cell>
          <cell r="D18486" t="str">
            <v>Rotherham</v>
          </cell>
          <cell r="E18486" t="str">
            <v>Community School</v>
          </cell>
          <cell r="F18486" t="str">
            <v>Primary</v>
          </cell>
        </row>
        <row r="18487">
          <cell r="A18487">
            <v>3722112</v>
          </cell>
          <cell r="B18487">
            <v>106912</v>
          </cell>
          <cell r="C18487" t="str">
            <v>Maltby Redwood Junior and Infant School</v>
          </cell>
          <cell r="D18487" t="str">
            <v>Rotherham</v>
          </cell>
          <cell r="E18487" t="str">
            <v>Community School</v>
          </cell>
          <cell r="F18487" t="str">
            <v>Primary</v>
          </cell>
        </row>
        <row r="18488">
          <cell r="A18488">
            <v>9319902</v>
          </cell>
          <cell r="B18488">
            <v>134079</v>
          </cell>
          <cell r="C18488" t="str">
            <v>Maltfield House</v>
          </cell>
          <cell r="D18488" t="str">
            <v>Oxfordshire</v>
          </cell>
          <cell r="E18488" t="str">
            <v>Miscellaneous</v>
          </cell>
          <cell r="F18488" t="str">
            <v>Not applicable</v>
          </cell>
        </row>
        <row r="18489">
          <cell r="A18489">
            <v>8816907</v>
          </cell>
          <cell r="B18489">
            <v>135653</v>
          </cell>
          <cell r="C18489" t="str">
            <v>Maltings Academy</v>
          </cell>
          <cell r="D18489" t="str">
            <v>Essex</v>
          </cell>
          <cell r="E18489" t="str">
            <v>Academy Sponsor Led</v>
          </cell>
          <cell r="F18489" t="str">
            <v>Secondary</v>
          </cell>
        </row>
        <row r="18490">
          <cell r="A18490">
            <v>3816014</v>
          </cell>
          <cell r="B18490">
            <v>135678</v>
          </cell>
          <cell r="C18490" t="str">
            <v>Maltings Independent School Ltd</v>
          </cell>
          <cell r="D18490" t="str">
            <v>Calderdale</v>
          </cell>
          <cell r="E18490" t="str">
            <v>Other Independent School</v>
          </cell>
          <cell r="F18490" t="str">
            <v>Not applicable</v>
          </cell>
        </row>
        <row r="18491">
          <cell r="A18491">
            <v>8256020</v>
          </cell>
          <cell r="B18491">
            <v>110543</v>
          </cell>
          <cell r="C18491" t="str">
            <v>Maltmans Green School</v>
          </cell>
          <cell r="D18491" t="str">
            <v>Buckinghamshire</v>
          </cell>
          <cell r="E18491" t="str">
            <v>Other Independent School</v>
          </cell>
          <cell r="F18491" t="str">
            <v>Not applicable</v>
          </cell>
        </row>
        <row r="18492">
          <cell r="A18492">
            <v>8152074</v>
          </cell>
          <cell r="B18492">
            <v>121305</v>
          </cell>
          <cell r="C18492" t="str">
            <v>Malton Community Primary School</v>
          </cell>
          <cell r="D18492" t="str">
            <v>North Yorkshire</v>
          </cell>
          <cell r="E18492" t="str">
            <v>Community School</v>
          </cell>
          <cell r="F18492" t="str">
            <v>Primary</v>
          </cell>
        </row>
        <row r="18493">
          <cell r="A18493">
            <v>8154077</v>
          </cell>
          <cell r="B18493">
            <v>121681</v>
          </cell>
          <cell r="C18493" t="str">
            <v>Malton School</v>
          </cell>
          <cell r="D18493" t="str">
            <v>North Yorkshire</v>
          </cell>
          <cell r="E18493" t="str">
            <v>Community School</v>
          </cell>
          <cell r="F18493" t="str">
            <v>Secondary</v>
          </cell>
        </row>
        <row r="18494">
          <cell r="A18494">
            <v>8856011</v>
          </cell>
          <cell r="B18494">
            <v>117017</v>
          </cell>
          <cell r="C18494" t="str">
            <v>Malvern College</v>
          </cell>
          <cell r="D18494" t="str">
            <v>Worcestershire</v>
          </cell>
          <cell r="E18494" t="str">
            <v>Other Independent School</v>
          </cell>
          <cell r="F18494" t="str">
            <v>Not applicable</v>
          </cell>
        </row>
        <row r="18495">
          <cell r="A18495">
            <v>3402031</v>
          </cell>
          <cell r="B18495">
            <v>127237</v>
          </cell>
          <cell r="C18495" t="str">
            <v>Malvern County Infant School</v>
          </cell>
          <cell r="D18495" t="str">
            <v>Knowsley</v>
          </cell>
          <cell r="E18495" t="str">
            <v>Community School</v>
          </cell>
          <cell r="F18495" t="str">
            <v>Primary</v>
          </cell>
        </row>
        <row r="18496">
          <cell r="A18496">
            <v>3344016</v>
          </cell>
          <cell r="B18496">
            <v>127177</v>
          </cell>
          <cell r="C18496" t="str">
            <v>Malvern Hall School</v>
          </cell>
          <cell r="D18496" t="str">
            <v>Solihull</v>
          </cell>
          <cell r="E18496" t="str">
            <v>Community School</v>
          </cell>
          <cell r="F18496" t="str">
            <v>Secondary</v>
          </cell>
        </row>
        <row r="18497">
          <cell r="A18497">
            <v>8852106</v>
          </cell>
          <cell r="B18497">
            <v>116710</v>
          </cell>
          <cell r="C18497" t="str">
            <v>Malvern Hills Primary School</v>
          </cell>
          <cell r="D18497" t="str">
            <v>Worcestershire</v>
          </cell>
          <cell r="E18497" t="str">
            <v>Community School</v>
          </cell>
          <cell r="F18497" t="str">
            <v>Primary</v>
          </cell>
        </row>
        <row r="18498">
          <cell r="A18498">
            <v>8853357</v>
          </cell>
          <cell r="B18498">
            <v>116900</v>
          </cell>
          <cell r="C18498" t="str">
            <v>Malvern Parish CofE Primary School</v>
          </cell>
          <cell r="D18498" t="str">
            <v>Worcestershire</v>
          </cell>
          <cell r="E18498" t="str">
            <v>Voluntary Aided School</v>
          </cell>
          <cell r="F18498" t="str">
            <v>Primary</v>
          </cell>
        </row>
        <row r="18499">
          <cell r="A18499">
            <v>3402013</v>
          </cell>
          <cell r="B18499">
            <v>104427</v>
          </cell>
          <cell r="C18499" t="str">
            <v>Malvern Primary School</v>
          </cell>
          <cell r="D18499" t="str">
            <v>Knowsley</v>
          </cell>
          <cell r="E18499" t="str">
            <v>Community School</v>
          </cell>
          <cell r="F18499" t="str">
            <v>Primary</v>
          </cell>
        </row>
        <row r="18500">
          <cell r="A18500">
            <v>8856012</v>
          </cell>
          <cell r="B18500">
            <v>117018</v>
          </cell>
          <cell r="C18500" t="str">
            <v>Malvern St James</v>
          </cell>
          <cell r="D18500" t="str">
            <v>Worcestershire</v>
          </cell>
          <cell r="E18500" t="str">
            <v>Other Independent School</v>
          </cell>
          <cell r="F18500" t="str">
            <v>Not applicable</v>
          </cell>
        </row>
        <row r="18501">
          <cell r="A18501">
            <v>9192084</v>
          </cell>
          <cell r="B18501">
            <v>117133</v>
          </cell>
          <cell r="C18501" t="str">
            <v>Malvern Way Infant and Nursery School</v>
          </cell>
          <cell r="D18501" t="str">
            <v>Hertfordshire</v>
          </cell>
          <cell r="E18501" t="str">
            <v>Community School</v>
          </cell>
          <cell r="F18501" t="str">
            <v>Primary</v>
          </cell>
        </row>
        <row r="18502">
          <cell r="A18502">
            <v>8853359</v>
          </cell>
          <cell r="B18502">
            <v>116902</v>
          </cell>
          <cell r="C18502" t="str">
            <v>Malvern Wells CofE Primary School</v>
          </cell>
          <cell r="D18502" t="str">
            <v>Worcestershire</v>
          </cell>
          <cell r="E18502" t="str">
            <v>Voluntary Aided School</v>
          </cell>
          <cell r="F18502" t="str">
            <v>Primary</v>
          </cell>
        </row>
        <row r="18503">
          <cell r="A18503">
            <v>8853074</v>
          </cell>
          <cell r="B18503">
            <v>116830</v>
          </cell>
          <cell r="C18503" t="str">
            <v>Malvern Wyche CofE Primary School</v>
          </cell>
          <cell r="D18503" t="str">
            <v>Worcestershire</v>
          </cell>
          <cell r="E18503" t="str">
            <v>Voluntary Controlled School</v>
          </cell>
          <cell r="F18503" t="str">
            <v>Primary</v>
          </cell>
        </row>
        <row r="18504">
          <cell r="A18504">
            <v>8852110</v>
          </cell>
          <cell r="B18504">
            <v>116712</v>
          </cell>
          <cell r="C18504" t="str">
            <v>Malvern, the Grove Infants' School</v>
          </cell>
          <cell r="D18504" t="str">
            <v>Worcestershire</v>
          </cell>
          <cell r="E18504" t="str">
            <v>Community School</v>
          </cell>
          <cell r="F18504" t="str">
            <v>Primary</v>
          </cell>
        </row>
        <row r="18505">
          <cell r="A18505">
            <v>8852109</v>
          </cell>
          <cell r="B18505">
            <v>116711</v>
          </cell>
          <cell r="C18505" t="str">
            <v>Malvern, the Grove Junior School</v>
          </cell>
          <cell r="D18505" t="str">
            <v>Worcestershire</v>
          </cell>
          <cell r="E18505" t="str">
            <v>Community School</v>
          </cell>
          <cell r="F18505" t="str">
            <v>Primary</v>
          </cell>
        </row>
        <row r="18506">
          <cell r="A18506">
            <v>9292417</v>
          </cell>
          <cell r="B18506">
            <v>122262</v>
          </cell>
          <cell r="C18506" t="str">
            <v>Malvin's Close Primary School</v>
          </cell>
          <cell r="D18506" t="str">
            <v>Northumberland</v>
          </cell>
          <cell r="E18506" t="str">
            <v>Community School</v>
          </cell>
          <cell r="F18506" t="str">
            <v>Primary</v>
          </cell>
        </row>
        <row r="18507">
          <cell r="A18507">
            <v>9082113</v>
          </cell>
          <cell r="B18507">
            <v>111815</v>
          </cell>
          <cell r="C18507" t="str">
            <v>Manaccan Primary School</v>
          </cell>
          <cell r="D18507" t="str">
            <v>Cornwall</v>
          </cell>
          <cell r="E18507" t="str">
            <v>Community School</v>
          </cell>
          <cell r="F18507" t="str">
            <v>Primary</v>
          </cell>
        </row>
        <row r="18508">
          <cell r="A18508">
            <v>8792677</v>
          </cell>
          <cell r="B18508">
            <v>113301</v>
          </cell>
          <cell r="C18508" t="str">
            <v>Manadon Vale Primary School</v>
          </cell>
          <cell r="D18508" t="str">
            <v>Plymouth</v>
          </cell>
          <cell r="E18508" t="str">
            <v>Community School</v>
          </cell>
          <cell r="F18508" t="str">
            <v>Primary</v>
          </cell>
        </row>
        <row r="18509">
          <cell r="A18509">
            <v>9362472</v>
          </cell>
          <cell r="B18509">
            <v>125075</v>
          </cell>
          <cell r="C18509" t="str">
            <v>Manby Lodge Infant School</v>
          </cell>
          <cell r="D18509" t="str">
            <v>Surrey</v>
          </cell>
          <cell r="E18509" t="str">
            <v>Community School</v>
          </cell>
          <cell r="F18509" t="str">
            <v>Primary</v>
          </cell>
        </row>
        <row r="18510">
          <cell r="A18510">
            <v>9373042</v>
          </cell>
          <cell r="B18510">
            <v>130156</v>
          </cell>
          <cell r="C18510" t="str">
            <v>Mancetter CofE First School</v>
          </cell>
          <cell r="D18510" t="str">
            <v>Warwickshire</v>
          </cell>
          <cell r="E18510" t="str">
            <v>Voluntary Controlled School</v>
          </cell>
          <cell r="F18510" t="str">
            <v>Primary</v>
          </cell>
        </row>
        <row r="18511">
          <cell r="A18511">
            <v>3526071</v>
          </cell>
          <cell r="B18511">
            <v>136264</v>
          </cell>
          <cell r="C18511" t="str">
            <v>Manchester  Young Lives</v>
          </cell>
          <cell r="D18511" t="str">
            <v>Manchester</v>
          </cell>
          <cell r="E18511" t="str">
            <v>Other Independent School</v>
          </cell>
          <cell r="F18511" t="str">
            <v>Not applicable</v>
          </cell>
        </row>
        <row r="18512">
          <cell r="A18512">
            <v>3526905</v>
          </cell>
          <cell r="B18512">
            <v>134224</v>
          </cell>
          <cell r="C18512" t="str">
            <v>Manchester Academy</v>
          </cell>
          <cell r="D18512" t="str">
            <v>Manchester</v>
          </cell>
          <cell r="E18512" t="str">
            <v>Academy Sponsor Led</v>
          </cell>
          <cell r="F18512" t="str">
            <v>Secondary</v>
          </cell>
        </row>
        <row r="18513">
          <cell r="A18513">
            <v>3526913</v>
          </cell>
          <cell r="B18513">
            <v>136105</v>
          </cell>
          <cell r="C18513" t="str">
            <v>Manchester Communication Academy</v>
          </cell>
          <cell r="D18513" t="str">
            <v>Manchester</v>
          </cell>
          <cell r="E18513" t="str">
            <v>Academy Sponsor Led</v>
          </cell>
          <cell r="F18513" t="str">
            <v>Secondary</v>
          </cell>
        </row>
        <row r="18514">
          <cell r="A18514">
            <v>3526911</v>
          </cell>
          <cell r="B18514">
            <v>135909</v>
          </cell>
          <cell r="C18514" t="str">
            <v>Manchester Creative and Media Academy for Boys</v>
          </cell>
          <cell r="D18514" t="str">
            <v>Manchester</v>
          </cell>
          <cell r="E18514" t="str">
            <v>Academy Sponsor Led</v>
          </cell>
          <cell r="F18514" t="str">
            <v>Secondary</v>
          </cell>
        </row>
        <row r="18515">
          <cell r="A18515">
            <v>3526910</v>
          </cell>
          <cell r="B18515">
            <v>135905</v>
          </cell>
          <cell r="C18515" t="str">
            <v>Manchester Creative and Media Academy for Girls</v>
          </cell>
          <cell r="D18515" t="str">
            <v>Manchester</v>
          </cell>
          <cell r="E18515" t="str">
            <v>Academy Sponsor Led</v>
          </cell>
          <cell r="F18515" t="str">
            <v>Secondary</v>
          </cell>
        </row>
        <row r="18516">
          <cell r="A18516">
            <v>3526908</v>
          </cell>
          <cell r="B18516">
            <v>135874</v>
          </cell>
          <cell r="C18516" t="str">
            <v>Manchester Enterprise Academy</v>
          </cell>
          <cell r="D18516" t="str">
            <v>Manchester</v>
          </cell>
          <cell r="E18516" t="str">
            <v>Academy Sponsor Led</v>
          </cell>
          <cell r="F18516" t="str">
            <v>Secondary</v>
          </cell>
        </row>
        <row r="18517">
          <cell r="A18517">
            <v>3526909</v>
          </cell>
          <cell r="B18517">
            <v>135875</v>
          </cell>
          <cell r="C18517" t="str">
            <v>Manchester Health Academy</v>
          </cell>
          <cell r="D18517" t="str">
            <v>Manchester</v>
          </cell>
          <cell r="E18517" t="str">
            <v>Academy Sponsor Led</v>
          </cell>
          <cell r="F18517" t="str">
            <v>Secondary</v>
          </cell>
        </row>
        <row r="18518">
          <cell r="A18518">
            <v>3526030</v>
          </cell>
          <cell r="B18518">
            <v>105592</v>
          </cell>
          <cell r="C18518" t="str">
            <v>Manchester High School for Girls</v>
          </cell>
          <cell r="D18518" t="str">
            <v>Manchester</v>
          </cell>
          <cell r="E18518" t="str">
            <v>Other Independent School</v>
          </cell>
          <cell r="F18518" t="str">
            <v>Not applicable</v>
          </cell>
        </row>
        <row r="18519">
          <cell r="A18519">
            <v>3527007</v>
          </cell>
          <cell r="B18519">
            <v>105602</v>
          </cell>
          <cell r="C18519" t="str">
            <v>Manchester Hospital Schools and Home Teaching Service</v>
          </cell>
          <cell r="D18519" t="str">
            <v>Manchester</v>
          </cell>
          <cell r="E18519" t="str">
            <v>Community Special School</v>
          </cell>
          <cell r="F18519" t="str">
            <v>Special</v>
          </cell>
        </row>
        <row r="18520">
          <cell r="A18520">
            <v>3526061</v>
          </cell>
          <cell r="B18520">
            <v>134385</v>
          </cell>
          <cell r="C18520" t="str">
            <v>Manchester Islamia School</v>
          </cell>
          <cell r="D18520" t="str">
            <v>Manchester</v>
          </cell>
          <cell r="E18520" t="str">
            <v>Other Independent School</v>
          </cell>
          <cell r="F18520" t="str">
            <v>Not applicable</v>
          </cell>
        </row>
        <row r="18521">
          <cell r="A18521">
            <v>3526040</v>
          </cell>
          <cell r="B18521">
            <v>130318</v>
          </cell>
          <cell r="C18521" t="str">
            <v>Manchester Islamic High School for Girls</v>
          </cell>
          <cell r="D18521" t="str">
            <v>Manchester</v>
          </cell>
          <cell r="E18521" t="str">
            <v>Other Independent School</v>
          </cell>
          <cell r="F18521" t="str">
            <v>Not applicable</v>
          </cell>
        </row>
        <row r="18522">
          <cell r="A18522">
            <v>3516001</v>
          </cell>
          <cell r="B18522">
            <v>105370</v>
          </cell>
          <cell r="C18522" t="str">
            <v>Manchester Jewish Grammar School</v>
          </cell>
          <cell r="D18522" t="str">
            <v>Bury</v>
          </cell>
          <cell r="E18522" t="str">
            <v>Other Independent School</v>
          </cell>
          <cell r="F18522" t="str">
            <v>Not applicable</v>
          </cell>
        </row>
        <row r="18523">
          <cell r="A18523">
            <v>3556027</v>
          </cell>
          <cell r="B18523">
            <v>106003</v>
          </cell>
          <cell r="C18523" t="str">
            <v>Manchester Junior Girls' School</v>
          </cell>
          <cell r="D18523" t="str">
            <v>Salford</v>
          </cell>
          <cell r="E18523" t="str">
            <v>Other Independent School</v>
          </cell>
          <cell r="F18523" t="str">
            <v>Not applicable</v>
          </cell>
        </row>
        <row r="18524">
          <cell r="A18524">
            <v>3521100</v>
          </cell>
          <cell r="B18524">
            <v>132739</v>
          </cell>
          <cell r="C18524" t="str">
            <v>Manchester Key Stage 3 PRU</v>
          </cell>
          <cell r="D18524" t="str">
            <v>Manchester</v>
          </cell>
          <cell r="E18524" t="str">
            <v>Pupil Referral Unit</v>
          </cell>
          <cell r="F18524" t="str">
            <v>PRU</v>
          </cell>
        </row>
        <row r="18525">
          <cell r="A18525">
            <v>3521103</v>
          </cell>
          <cell r="B18525">
            <v>134276</v>
          </cell>
          <cell r="C18525" t="str">
            <v>Manchester KS3 and 4 PRU</v>
          </cell>
          <cell r="D18525" t="str">
            <v>Manchester</v>
          </cell>
          <cell r="E18525" t="str">
            <v>Pupil Referral Unit</v>
          </cell>
          <cell r="F18525" t="str">
            <v>PRU</v>
          </cell>
        </row>
        <row r="18526">
          <cell r="A18526">
            <v>3521105</v>
          </cell>
          <cell r="B18526">
            <v>136743</v>
          </cell>
          <cell r="C18526" t="str">
            <v>Manchester KS3/4 PRU</v>
          </cell>
          <cell r="D18526" t="str">
            <v>Manchester</v>
          </cell>
          <cell r="E18526" t="str">
            <v>Pupil Referral Unit</v>
          </cell>
          <cell r="F18526" t="str">
            <v>PRU</v>
          </cell>
        </row>
        <row r="18527">
          <cell r="A18527">
            <v>3514005</v>
          </cell>
          <cell r="B18527">
            <v>134195</v>
          </cell>
          <cell r="C18527" t="str">
            <v>Manchester Mesivta School</v>
          </cell>
          <cell r="D18527" t="str">
            <v>Bury</v>
          </cell>
          <cell r="E18527" t="str">
            <v>Voluntary Aided School</v>
          </cell>
          <cell r="F18527" t="str">
            <v>Secondary</v>
          </cell>
        </row>
        <row r="18528">
          <cell r="A18528">
            <v>3526041</v>
          </cell>
          <cell r="B18528">
            <v>105598</v>
          </cell>
          <cell r="C18528" t="str">
            <v>Manchester Muslim Preparatory School</v>
          </cell>
          <cell r="D18528" t="str">
            <v>Manchester</v>
          </cell>
          <cell r="E18528" t="str">
            <v>Other Independent School</v>
          </cell>
          <cell r="F18528" t="str">
            <v>Not applicable</v>
          </cell>
        </row>
        <row r="18529">
          <cell r="A18529">
            <v>3526038</v>
          </cell>
          <cell r="B18529">
            <v>105597</v>
          </cell>
          <cell r="C18529" t="str">
            <v>Manchester Preparatory School</v>
          </cell>
          <cell r="D18529" t="str">
            <v>Manchester</v>
          </cell>
          <cell r="E18529" t="str">
            <v>Other Independent School</v>
          </cell>
          <cell r="F18529" t="str">
            <v>Not applicable</v>
          </cell>
        </row>
        <row r="18530">
          <cell r="A18530">
            <v>3526068</v>
          </cell>
          <cell r="B18530">
            <v>135949</v>
          </cell>
          <cell r="C18530" t="str">
            <v>Manchester Progressive School</v>
          </cell>
          <cell r="D18530" t="str">
            <v>Manchester</v>
          </cell>
          <cell r="E18530" t="str">
            <v>Other Independent Special School</v>
          </cell>
          <cell r="F18530" t="str">
            <v>Not applicable</v>
          </cell>
        </row>
        <row r="18531">
          <cell r="A18531">
            <v>3572046</v>
          </cell>
          <cell r="B18531">
            <v>106208</v>
          </cell>
          <cell r="C18531" t="str">
            <v>Manchester Road Primary School</v>
          </cell>
          <cell r="D18531" t="str">
            <v>Tameside</v>
          </cell>
          <cell r="E18531" t="str">
            <v>Community School</v>
          </cell>
          <cell r="F18531" t="str">
            <v>Primary</v>
          </cell>
        </row>
        <row r="18532">
          <cell r="A18532">
            <v>3526059</v>
          </cell>
          <cell r="B18532">
            <v>134342</v>
          </cell>
          <cell r="C18532" t="str">
            <v>Manchester Salafi School</v>
          </cell>
          <cell r="D18532" t="str">
            <v>Manchester</v>
          </cell>
          <cell r="E18532" t="str">
            <v>Other Independent School</v>
          </cell>
          <cell r="F18532" t="str">
            <v>Not applicable</v>
          </cell>
        </row>
        <row r="18533">
          <cell r="A18533">
            <v>3526067</v>
          </cell>
          <cell r="B18533">
            <v>135948</v>
          </cell>
          <cell r="C18533" t="str">
            <v>Manchester Settlement</v>
          </cell>
          <cell r="D18533" t="str">
            <v>Manchester</v>
          </cell>
          <cell r="E18533" t="str">
            <v>Other Independent School</v>
          </cell>
          <cell r="F18533" t="str">
            <v>Not applicable</v>
          </cell>
        </row>
        <row r="18534">
          <cell r="A18534">
            <v>358940</v>
          </cell>
          <cell r="B18534">
            <v>132707</v>
          </cell>
          <cell r="C18534" t="str">
            <v>Manchester United Foundation Study Support</v>
          </cell>
          <cell r="D18534" t="str">
            <v>Trafford</v>
          </cell>
          <cell r="E18534" t="str">
            <v>Playing for Success Centres</v>
          </cell>
          <cell r="F18534" t="str">
            <v>Not applicable</v>
          </cell>
        </row>
        <row r="18535">
          <cell r="A18535">
            <v>9072073</v>
          </cell>
          <cell r="B18535">
            <v>111557</v>
          </cell>
          <cell r="C18535" t="str">
            <v>Mandale Infant School</v>
          </cell>
          <cell r="D18535" t="str">
            <v>Pre LGR (1996) Cleveland</v>
          </cell>
          <cell r="E18535" t="str">
            <v>Community School</v>
          </cell>
          <cell r="F18535" t="str">
            <v>Primary</v>
          </cell>
        </row>
        <row r="18536">
          <cell r="A18536">
            <v>9072072</v>
          </cell>
          <cell r="B18536">
            <v>111556</v>
          </cell>
          <cell r="C18536" t="str">
            <v>Mandale Junior School</v>
          </cell>
          <cell r="D18536" t="str">
            <v>Pre LGR (1996) Cleveland</v>
          </cell>
          <cell r="E18536" t="str">
            <v>Community School</v>
          </cell>
          <cell r="F18536" t="str">
            <v>Primary</v>
          </cell>
        </row>
        <row r="18537">
          <cell r="A18537">
            <v>3804071</v>
          </cell>
          <cell r="B18537">
            <v>107393</v>
          </cell>
          <cell r="C18537" t="str">
            <v>Mandale Middle School</v>
          </cell>
          <cell r="D18537" t="str">
            <v>Bradford</v>
          </cell>
          <cell r="E18537" t="str">
            <v>Community School</v>
          </cell>
          <cell r="F18537" t="str">
            <v>Middle Deemed Secondary</v>
          </cell>
        </row>
        <row r="18538">
          <cell r="A18538">
            <v>8082371</v>
          </cell>
          <cell r="B18538">
            <v>130378</v>
          </cell>
          <cell r="C18538" t="str">
            <v>Mandale Mill Primary School</v>
          </cell>
          <cell r="D18538" t="str">
            <v>Stockton-on-Tees</v>
          </cell>
          <cell r="E18538" t="str">
            <v>Community School</v>
          </cell>
          <cell r="F18538" t="str">
            <v>Primary</v>
          </cell>
        </row>
        <row r="18539">
          <cell r="A18539">
            <v>8736017</v>
          </cell>
          <cell r="B18539">
            <v>110930</v>
          </cell>
          <cell r="C18539" t="str">
            <v>Mander Portman Woodward</v>
          </cell>
          <cell r="D18539" t="str">
            <v>Cambridgeshire</v>
          </cell>
          <cell r="E18539" t="str">
            <v>Other Independent School</v>
          </cell>
          <cell r="F18539" t="str">
            <v>Not applicable</v>
          </cell>
        </row>
        <row r="18540">
          <cell r="A18540">
            <v>3306079</v>
          </cell>
          <cell r="B18540">
            <v>103587</v>
          </cell>
          <cell r="C18540" t="str">
            <v>Mander Portman Woodward Independent College</v>
          </cell>
          <cell r="D18540" t="str">
            <v>Birmingham</v>
          </cell>
          <cell r="E18540" t="str">
            <v>Other Independent School</v>
          </cell>
          <cell r="F18540" t="str">
            <v>Not applicable</v>
          </cell>
        </row>
        <row r="18541">
          <cell r="A18541">
            <v>2076363</v>
          </cell>
          <cell r="B18541">
            <v>100540</v>
          </cell>
          <cell r="C18541" t="str">
            <v>Mander Portman Woodward School</v>
          </cell>
          <cell r="D18541" t="str">
            <v>Kensington and Chelsea</v>
          </cell>
          <cell r="E18541" t="str">
            <v>Other Independent School</v>
          </cell>
          <cell r="F18541" t="str">
            <v>Not applicable</v>
          </cell>
        </row>
        <row r="18542">
          <cell r="A18542">
            <v>8016018</v>
          </cell>
          <cell r="B18542">
            <v>109380</v>
          </cell>
          <cell r="C18542" t="str">
            <v>Mander Portman Woodward School</v>
          </cell>
          <cell r="D18542" t="str">
            <v>Bristol City of</v>
          </cell>
          <cell r="E18542" t="str">
            <v>Other Independent School</v>
          </cell>
          <cell r="F18542" t="str">
            <v>Not applicable</v>
          </cell>
        </row>
        <row r="18543">
          <cell r="A18543">
            <v>2042896</v>
          </cell>
          <cell r="B18543">
            <v>100261</v>
          </cell>
          <cell r="C18543" t="str">
            <v>Mandeville Primary School</v>
          </cell>
          <cell r="D18543" t="str">
            <v>Hackney</v>
          </cell>
          <cell r="E18543" t="str">
            <v>Community School</v>
          </cell>
          <cell r="F18543" t="str">
            <v>Primary</v>
          </cell>
        </row>
        <row r="18544">
          <cell r="A18544">
            <v>9192099</v>
          </cell>
          <cell r="B18544">
            <v>117142</v>
          </cell>
          <cell r="C18544" t="str">
            <v>Mandeville Primary School</v>
          </cell>
          <cell r="D18544" t="str">
            <v>Hertfordshire</v>
          </cell>
          <cell r="E18544" t="str">
            <v>Community School</v>
          </cell>
          <cell r="F18544" t="str">
            <v>Primary</v>
          </cell>
        </row>
        <row r="18545">
          <cell r="A18545">
            <v>9192380</v>
          </cell>
          <cell r="B18545">
            <v>117305</v>
          </cell>
          <cell r="C18545" t="str">
            <v>Mandeville Primary School</v>
          </cell>
          <cell r="D18545" t="str">
            <v>Hertfordshire</v>
          </cell>
          <cell r="E18545" t="str">
            <v>Community School</v>
          </cell>
          <cell r="F18545" t="str">
            <v>Primary</v>
          </cell>
        </row>
        <row r="18546">
          <cell r="A18546">
            <v>3077010</v>
          </cell>
          <cell r="B18546">
            <v>101968</v>
          </cell>
          <cell r="C18546" t="str">
            <v>Mandeville School</v>
          </cell>
          <cell r="D18546" t="str">
            <v>Ealing</v>
          </cell>
          <cell r="E18546" t="str">
            <v>Community Special School</v>
          </cell>
          <cell r="F18546" t="str">
            <v>Special</v>
          </cell>
        </row>
        <row r="18547">
          <cell r="A18547">
            <v>3557018</v>
          </cell>
          <cell r="B18547">
            <v>133077</v>
          </cell>
          <cell r="C18547" t="str">
            <v>Mandley Park School</v>
          </cell>
          <cell r="D18547" t="str">
            <v>Salford</v>
          </cell>
          <cell r="E18547" t="str">
            <v>Community Special School</v>
          </cell>
          <cell r="F18547" t="str">
            <v>Special</v>
          </cell>
        </row>
        <row r="18548">
          <cell r="A18548">
            <v>8732075</v>
          </cell>
          <cell r="B18548">
            <v>110638</v>
          </cell>
          <cell r="C18548" t="str">
            <v>Manea Community Primary School</v>
          </cell>
          <cell r="D18548" t="str">
            <v>Cambridgeshire</v>
          </cell>
          <cell r="E18548" t="str">
            <v>Community School</v>
          </cell>
          <cell r="F18548" t="str">
            <v>Primary</v>
          </cell>
        </row>
        <row r="18549">
          <cell r="A18549">
            <v>3302420</v>
          </cell>
          <cell r="B18549">
            <v>103353</v>
          </cell>
          <cell r="C18549" t="str">
            <v>Maney Hill Primary School</v>
          </cell>
          <cell r="D18549" t="str">
            <v>Birmingham</v>
          </cell>
          <cell r="E18549" t="str">
            <v>Community School</v>
          </cell>
          <cell r="F18549" t="str">
            <v>Primary</v>
          </cell>
        </row>
        <row r="18550">
          <cell r="A18550">
            <v>8153317</v>
          </cell>
          <cell r="B18550">
            <v>121612</v>
          </cell>
          <cell r="C18550" t="str">
            <v>Manfield Church of England Primary School</v>
          </cell>
          <cell r="D18550" t="str">
            <v>North Yorkshire</v>
          </cell>
          <cell r="E18550" t="str">
            <v>Voluntary Aided School</v>
          </cell>
          <cell r="F18550" t="str">
            <v>Primary</v>
          </cell>
        </row>
        <row r="18551">
          <cell r="A18551">
            <v>9362300</v>
          </cell>
          <cell r="B18551">
            <v>130035</v>
          </cell>
          <cell r="C18551" t="str">
            <v>Manfield County First School</v>
          </cell>
          <cell r="D18551" t="str">
            <v>Surrey</v>
          </cell>
          <cell r="E18551" t="str">
            <v>Community School</v>
          </cell>
          <cell r="F18551" t="str">
            <v>Primary</v>
          </cell>
        </row>
        <row r="18552">
          <cell r="A18552">
            <v>3172002</v>
          </cell>
          <cell r="B18552">
            <v>102795</v>
          </cell>
          <cell r="C18552" t="str">
            <v>Manford Primary School</v>
          </cell>
          <cell r="D18552" t="str">
            <v>Redbridge</v>
          </cell>
          <cell r="E18552" t="str">
            <v>Community School</v>
          </cell>
          <cell r="F18552" t="str">
            <v>Primary</v>
          </cell>
        </row>
        <row r="18553">
          <cell r="A18553">
            <v>8033049</v>
          </cell>
          <cell r="B18553">
            <v>109164</v>
          </cell>
          <cell r="C18553" t="str">
            <v>Mangotsfield Church of England Voluntary Controlled Primary School</v>
          </cell>
          <cell r="D18553" t="str">
            <v>South Gloucestershire</v>
          </cell>
          <cell r="E18553" t="str">
            <v>Voluntary Controlled School</v>
          </cell>
          <cell r="F18553" t="str">
            <v>Primary</v>
          </cell>
        </row>
        <row r="18554">
          <cell r="A18554">
            <v>8034147</v>
          </cell>
          <cell r="B18554">
            <v>109320</v>
          </cell>
          <cell r="C18554" t="str">
            <v>Mangotsfield School</v>
          </cell>
          <cell r="D18554" t="str">
            <v>South Gloucestershire</v>
          </cell>
          <cell r="E18554" t="str">
            <v>Community School</v>
          </cell>
          <cell r="F18554" t="str">
            <v>Secondary</v>
          </cell>
        </row>
        <row r="18555">
          <cell r="A18555">
            <v>9384037</v>
          </cell>
          <cell r="B18555">
            <v>126073</v>
          </cell>
          <cell r="C18555" t="str">
            <v>Manhood Community College</v>
          </cell>
          <cell r="D18555" t="str">
            <v>West Sussex</v>
          </cell>
          <cell r="E18555" t="str">
            <v>Community School</v>
          </cell>
          <cell r="F18555" t="str">
            <v>Secondary</v>
          </cell>
        </row>
        <row r="18556">
          <cell r="A18556">
            <v>8603155</v>
          </cell>
          <cell r="B18556">
            <v>124305</v>
          </cell>
          <cell r="C18556" t="str">
            <v>Manifold CofE (VC) Primary School</v>
          </cell>
          <cell r="D18556" t="str">
            <v>Staffordshire</v>
          </cell>
          <cell r="E18556" t="str">
            <v>Voluntary Controlled School</v>
          </cell>
          <cell r="F18556" t="str">
            <v>Primary</v>
          </cell>
        </row>
        <row r="18557">
          <cell r="A18557">
            <v>9342307</v>
          </cell>
          <cell r="B18557">
            <v>129897</v>
          </cell>
          <cell r="C18557" t="str">
            <v>Manifold First School</v>
          </cell>
          <cell r="D18557" t="str">
            <v>Pre LGR (1997) Staffordshire</v>
          </cell>
          <cell r="E18557" t="str">
            <v>Community School</v>
          </cell>
          <cell r="F18557" t="str">
            <v>Primary</v>
          </cell>
        </row>
        <row r="18558">
          <cell r="A18558">
            <v>9192034</v>
          </cell>
          <cell r="B18558">
            <v>117103</v>
          </cell>
          <cell r="C18558" t="str">
            <v>Manland Primary School</v>
          </cell>
          <cell r="D18558" t="str">
            <v>Hertfordshire</v>
          </cell>
          <cell r="E18558" t="str">
            <v>Community School</v>
          </cell>
          <cell r="F18558" t="str">
            <v>Primary</v>
          </cell>
        </row>
        <row r="18559">
          <cell r="A18559">
            <v>3522313</v>
          </cell>
          <cell r="B18559">
            <v>105476</v>
          </cell>
          <cell r="C18559" t="str">
            <v>Manley Park Infant School</v>
          </cell>
          <cell r="D18559" t="str">
            <v>Manchester</v>
          </cell>
          <cell r="E18559" t="str">
            <v>Community School</v>
          </cell>
          <cell r="F18559" t="str">
            <v>Primary</v>
          </cell>
        </row>
        <row r="18560">
          <cell r="A18560">
            <v>3522305</v>
          </cell>
          <cell r="B18560">
            <v>105472</v>
          </cell>
          <cell r="C18560" t="str">
            <v>Manley Park Primary School</v>
          </cell>
          <cell r="D18560" t="str">
            <v>Manchester</v>
          </cell>
          <cell r="E18560" t="str">
            <v>Community School</v>
          </cell>
          <cell r="F18560" t="str">
            <v>Primary</v>
          </cell>
        </row>
        <row r="18561">
          <cell r="A18561">
            <v>8962115</v>
          </cell>
          <cell r="B18561">
            <v>110999</v>
          </cell>
          <cell r="C18561" t="str">
            <v>Manley Village School</v>
          </cell>
          <cell r="D18561" t="str">
            <v>Cheshire West and Chester</v>
          </cell>
          <cell r="E18561" t="str">
            <v>Community School</v>
          </cell>
          <cell r="F18561" t="str">
            <v>Primary</v>
          </cell>
        </row>
        <row r="18562">
          <cell r="A18562">
            <v>8912673</v>
          </cell>
          <cell r="B18562">
            <v>122611</v>
          </cell>
          <cell r="C18562" t="str">
            <v>Manners Sutton Primary School</v>
          </cell>
          <cell r="D18562" t="str">
            <v>Nottinghamshire</v>
          </cell>
          <cell r="E18562" t="str">
            <v>Community School</v>
          </cell>
          <cell r="F18562" t="str">
            <v>Primary</v>
          </cell>
        </row>
        <row r="18563">
          <cell r="A18563">
            <v>8924001</v>
          </cell>
          <cell r="B18563">
            <v>122825</v>
          </cell>
          <cell r="C18563" t="str">
            <v>Manning Comprehensive School</v>
          </cell>
          <cell r="D18563" t="str">
            <v>Nottingham</v>
          </cell>
          <cell r="E18563" t="str">
            <v>Community School</v>
          </cell>
          <cell r="F18563" t="str">
            <v>Secondary</v>
          </cell>
        </row>
        <row r="18564">
          <cell r="A18564">
            <v>3804046</v>
          </cell>
          <cell r="B18564">
            <v>107372</v>
          </cell>
          <cell r="C18564" t="str">
            <v>Manningham Middle School</v>
          </cell>
          <cell r="D18564" t="str">
            <v>Bradford</v>
          </cell>
          <cell r="E18564" t="str">
            <v>Community School</v>
          </cell>
          <cell r="F18564" t="str">
            <v>Middle Deemed Secondary</v>
          </cell>
        </row>
        <row r="18565">
          <cell r="A18565">
            <v>8815470</v>
          </cell>
          <cell r="B18565">
            <v>115206</v>
          </cell>
          <cell r="C18565" t="str">
            <v>Manningtree High School</v>
          </cell>
          <cell r="D18565" t="str">
            <v>Essex</v>
          </cell>
          <cell r="E18565" t="str">
            <v>Foundation School</v>
          </cell>
          <cell r="F18565" t="str">
            <v>Secondary</v>
          </cell>
        </row>
        <row r="18566">
          <cell r="A18566">
            <v>8164602</v>
          </cell>
          <cell r="B18566">
            <v>136544</v>
          </cell>
          <cell r="C18566" t="str">
            <v>Manor Church of England Academy Trust</v>
          </cell>
          <cell r="D18566" t="str">
            <v>York</v>
          </cell>
          <cell r="E18566" t="str">
            <v>Academy Converters</v>
          </cell>
          <cell r="F18566" t="str">
            <v>Secondary</v>
          </cell>
        </row>
        <row r="18567">
          <cell r="A18567">
            <v>8164602</v>
          </cell>
          <cell r="B18567">
            <v>121713</v>
          </cell>
          <cell r="C18567" t="str">
            <v>Manor Church of England Voluntary Aided School, York</v>
          </cell>
          <cell r="D18567" t="str">
            <v>York</v>
          </cell>
          <cell r="E18567" t="str">
            <v>Voluntary Aided School</v>
          </cell>
          <cell r="F18567" t="str">
            <v>Secondary</v>
          </cell>
        </row>
        <row r="18568">
          <cell r="A18568">
            <v>8054134</v>
          </cell>
          <cell r="B18568">
            <v>111749</v>
          </cell>
          <cell r="C18568" t="str">
            <v>Manor College of Technology</v>
          </cell>
          <cell r="D18568" t="str">
            <v>Hartlepool</v>
          </cell>
          <cell r="E18568" t="str">
            <v>Foundation School</v>
          </cell>
          <cell r="F18568" t="str">
            <v>Secondary</v>
          </cell>
        </row>
        <row r="18569">
          <cell r="A18569">
            <v>8863915</v>
          </cell>
          <cell r="B18569">
            <v>135178</v>
          </cell>
          <cell r="C18569" t="str">
            <v>Manor Community Primary School</v>
          </cell>
          <cell r="D18569" t="str">
            <v>Kent</v>
          </cell>
          <cell r="E18569" t="str">
            <v>Community School</v>
          </cell>
          <cell r="F18569" t="str">
            <v>Primary</v>
          </cell>
        </row>
        <row r="18570">
          <cell r="A18570">
            <v>9232424</v>
          </cell>
          <cell r="B18570">
            <v>129471</v>
          </cell>
          <cell r="C18570" t="str">
            <v>Manor County Infant School</v>
          </cell>
          <cell r="D18570" t="str">
            <v>Pre LGR (1998) Lancashire</v>
          </cell>
          <cell r="E18570" t="str">
            <v>Community School</v>
          </cell>
          <cell r="F18570" t="str">
            <v>Primary</v>
          </cell>
        </row>
        <row r="18571">
          <cell r="A18571">
            <v>9152280</v>
          </cell>
          <cell r="B18571">
            <v>128885</v>
          </cell>
          <cell r="C18571" t="str">
            <v>Manor County Primary School</v>
          </cell>
          <cell r="D18571" t="str">
            <v>Pre LGR (1998) Essex</v>
          </cell>
          <cell r="E18571" t="str">
            <v>Community School</v>
          </cell>
          <cell r="F18571" t="str">
            <v>Primary</v>
          </cell>
        </row>
        <row r="18572">
          <cell r="A18572">
            <v>9332089</v>
          </cell>
          <cell r="B18572">
            <v>123670</v>
          </cell>
          <cell r="C18572" t="str">
            <v>Manor Court Community Primary School</v>
          </cell>
          <cell r="D18572" t="str">
            <v>Somerset</v>
          </cell>
          <cell r="E18572" t="str">
            <v>Community School</v>
          </cell>
          <cell r="F18572" t="str">
            <v>Primary</v>
          </cell>
        </row>
        <row r="18573">
          <cell r="A18573">
            <v>8252196</v>
          </cell>
          <cell r="B18573">
            <v>110297</v>
          </cell>
          <cell r="C18573" t="str">
            <v>Manor Farm Community Infant School</v>
          </cell>
          <cell r="D18573" t="str">
            <v>Buckinghamshire</v>
          </cell>
          <cell r="E18573" t="str">
            <v>Community School</v>
          </cell>
          <cell r="F18573" t="str">
            <v>Primary</v>
          </cell>
        </row>
        <row r="18574">
          <cell r="A18574">
            <v>8252263</v>
          </cell>
          <cell r="B18574">
            <v>110340</v>
          </cell>
          <cell r="C18574" t="str">
            <v>Manor Farm Community Junior School</v>
          </cell>
          <cell r="D18574" t="str">
            <v>Buckinghamshire</v>
          </cell>
          <cell r="E18574" t="str">
            <v>Community School</v>
          </cell>
          <cell r="F18574" t="str">
            <v>Primary</v>
          </cell>
        </row>
        <row r="18575">
          <cell r="A18575">
            <v>3354109</v>
          </cell>
          <cell r="B18575">
            <v>104253</v>
          </cell>
          <cell r="C18575" t="str">
            <v>Manor Farm Community School</v>
          </cell>
          <cell r="D18575" t="str">
            <v>Walsall</v>
          </cell>
          <cell r="E18575" t="str">
            <v>Community School</v>
          </cell>
          <cell r="F18575" t="str">
            <v>Secondary</v>
          </cell>
        </row>
        <row r="18576">
          <cell r="A18576">
            <v>9262275</v>
          </cell>
          <cell r="B18576">
            <v>120919</v>
          </cell>
          <cell r="C18576" t="str">
            <v>Manor Field Infant and Nursery School</v>
          </cell>
          <cell r="D18576" t="str">
            <v>Norfolk</v>
          </cell>
          <cell r="E18576" t="str">
            <v>Community School</v>
          </cell>
          <cell r="F18576" t="str">
            <v>Primary</v>
          </cell>
        </row>
        <row r="18577">
          <cell r="A18577">
            <v>8502341</v>
          </cell>
          <cell r="B18577">
            <v>116055</v>
          </cell>
          <cell r="C18577" t="str">
            <v>Manor Field Infant School</v>
          </cell>
          <cell r="D18577" t="str">
            <v>Hampshire</v>
          </cell>
          <cell r="E18577" t="str">
            <v>Community School</v>
          </cell>
          <cell r="F18577" t="str">
            <v>Primary</v>
          </cell>
        </row>
        <row r="18578">
          <cell r="A18578">
            <v>8502285</v>
          </cell>
          <cell r="B18578">
            <v>116015</v>
          </cell>
          <cell r="C18578" t="str">
            <v>Manor Field Junior School</v>
          </cell>
          <cell r="D18578" t="str">
            <v>Hampshire</v>
          </cell>
          <cell r="E18578" t="str">
            <v>Community School</v>
          </cell>
          <cell r="F18578" t="str">
            <v>Primary</v>
          </cell>
        </row>
        <row r="18579">
          <cell r="A18579">
            <v>9382201</v>
          </cell>
          <cell r="B18579">
            <v>125930</v>
          </cell>
          <cell r="C18579" t="str">
            <v>Manor Field Primary School</v>
          </cell>
          <cell r="D18579" t="str">
            <v>West Sussex</v>
          </cell>
          <cell r="E18579" t="str">
            <v>Community School</v>
          </cell>
          <cell r="F18579" t="str">
            <v>Primary</v>
          </cell>
        </row>
        <row r="18580">
          <cell r="A18580">
            <v>9192998</v>
          </cell>
          <cell r="B18580">
            <v>117380</v>
          </cell>
          <cell r="C18580" t="str">
            <v>Manor Fields Primary School</v>
          </cell>
          <cell r="D18580" t="str">
            <v>Hertfordshire</v>
          </cell>
          <cell r="E18580" t="str">
            <v>Community School</v>
          </cell>
          <cell r="F18580" t="str">
            <v>Primary</v>
          </cell>
        </row>
        <row r="18581">
          <cell r="A18581">
            <v>3335400</v>
          </cell>
          <cell r="B18581">
            <v>104021</v>
          </cell>
          <cell r="C18581" t="str">
            <v>Manor Foundation Business, Enterprise &amp; Sports College</v>
          </cell>
          <cell r="D18581" t="str">
            <v>Sandwell</v>
          </cell>
          <cell r="E18581" t="str">
            <v>Foundation School</v>
          </cell>
          <cell r="F18581" t="str">
            <v>Secondary</v>
          </cell>
        </row>
        <row r="18582">
          <cell r="A18582">
            <v>9387006</v>
          </cell>
          <cell r="B18582">
            <v>126157</v>
          </cell>
          <cell r="C18582" t="str">
            <v>Manor Green College</v>
          </cell>
          <cell r="D18582" t="str">
            <v>West Sussex</v>
          </cell>
          <cell r="E18582" t="str">
            <v>Community Special School</v>
          </cell>
          <cell r="F18582" t="str">
            <v>Special</v>
          </cell>
        </row>
        <row r="18583">
          <cell r="A18583">
            <v>3572069</v>
          </cell>
          <cell r="B18583">
            <v>106220</v>
          </cell>
          <cell r="C18583" t="str">
            <v>Manor Green Primary and Nursery School</v>
          </cell>
          <cell r="D18583" t="str">
            <v>Tameside</v>
          </cell>
          <cell r="E18583" t="str">
            <v>Community School</v>
          </cell>
          <cell r="F18583" t="str">
            <v>Primary</v>
          </cell>
        </row>
        <row r="18584">
          <cell r="A18584">
            <v>9387011</v>
          </cell>
          <cell r="B18584">
            <v>126162</v>
          </cell>
          <cell r="C18584" t="str">
            <v>Manor Green Primary School</v>
          </cell>
          <cell r="D18584" t="str">
            <v>West Sussex</v>
          </cell>
          <cell r="E18584" t="str">
            <v>Community Special School</v>
          </cell>
          <cell r="F18584" t="str">
            <v>Special</v>
          </cell>
        </row>
        <row r="18585">
          <cell r="A18585">
            <v>8687009</v>
          </cell>
          <cell r="B18585">
            <v>110183</v>
          </cell>
          <cell r="C18585" t="str">
            <v>Manor Green School</v>
          </cell>
          <cell r="D18585" t="str">
            <v>Windsor and Maidenhead</v>
          </cell>
          <cell r="E18585" t="str">
            <v>Community Special School</v>
          </cell>
          <cell r="F18585" t="str">
            <v>Special</v>
          </cell>
        </row>
        <row r="18586">
          <cell r="A18586">
            <v>9382169</v>
          </cell>
          <cell r="B18586">
            <v>125911</v>
          </cell>
          <cell r="C18586" t="str">
            <v>Manor Hall First School</v>
          </cell>
          <cell r="D18586" t="str">
            <v>West Sussex</v>
          </cell>
          <cell r="E18586" t="str">
            <v>Community School</v>
          </cell>
          <cell r="F18586" t="str">
            <v>Primary</v>
          </cell>
        </row>
        <row r="18587">
          <cell r="A18587">
            <v>9382171</v>
          </cell>
          <cell r="B18587">
            <v>125912</v>
          </cell>
          <cell r="C18587" t="str">
            <v>Manor Hall Middle School</v>
          </cell>
          <cell r="D18587" t="str">
            <v>West Sussex</v>
          </cell>
          <cell r="E18587" t="str">
            <v>Community School</v>
          </cell>
          <cell r="F18587" t="str">
            <v>Middle Deemed Primary</v>
          </cell>
        </row>
        <row r="18588">
          <cell r="A18588">
            <v>3434102</v>
          </cell>
          <cell r="B18588">
            <v>104950</v>
          </cell>
          <cell r="C18588" t="str">
            <v>Manor High School</v>
          </cell>
          <cell r="D18588" t="str">
            <v>Sefton</v>
          </cell>
          <cell r="E18588" t="str">
            <v>Community School</v>
          </cell>
          <cell r="F18588" t="str">
            <v>Secondary</v>
          </cell>
        </row>
        <row r="18589">
          <cell r="A18589">
            <v>3587008</v>
          </cell>
          <cell r="B18589">
            <v>130943</v>
          </cell>
          <cell r="C18589" t="str">
            <v>Manor High School</v>
          </cell>
          <cell r="D18589" t="str">
            <v>Trafford</v>
          </cell>
          <cell r="E18589" t="str">
            <v>Community Special School</v>
          </cell>
          <cell r="F18589" t="str">
            <v>Special</v>
          </cell>
        </row>
        <row r="18590">
          <cell r="A18590">
            <v>8554043</v>
          </cell>
          <cell r="B18590">
            <v>137120</v>
          </cell>
          <cell r="C18590" t="str">
            <v>Manor High School</v>
          </cell>
          <cell r="D18590" t="str">
            <v>Leicestershire</v>
          </cell>
          <cell r="E18590" t="str">
            <v>Academy Converters</v>
          </cell>
          <cell r="F18590" t="str">
            <v>Middle Deemed Secondary</v>
          </cell>
        </row>
        <row r="18591">
          <cell r="A18591">
            <v>8554043</v>
          </cell>
          <cell r="B18591">
            <v>120263</v>
          </cell>
          <cell r="C18591" t="str">
            <v>Manor High School Oadby</v>
          </cell>
          <cell r="D18591" t="str">
            <v>Leicestershire</v>
          </cell>
          <cell r="E18591" t="str">
            <v>Community School</v>
          </cell>
          <cell r="F18591" t="str">
            <v>Middle Deemed Secondary</v>
          </cell>
        </row>
        <row r="18592">
          <cell r="A18592">
            <v>8602294</v>
          </cell>
          <cell r="B18592">
            <v>124131</v>
          </cell>
          <cell r="C18592" t="str">
            <v>Manor Hill First School</v>
          </cell>
          <cell r="D18592" t="str">
            <v>Staffordshire</v>
          </cell>
          <cell r="E18592" t="str">
            <v>Community School</v>
          </cell>
          <cell r="F18592" t="str">
            <v>Primary</v>
          </cell>
        </row>
        <row r="18593">
          <cell r="A18593">
            <v>3076057</v>
          </cell>
          <cell r="B18593">
            <v>101951</v>
          </cell>
          <cell r="C18593" t="str">
            <v>Manor House School</v>
          </cell>
          <cell r="D18593" t="str">
            <v>Ealing</v>
          </cell>
          <cell r="E18593" t="str">
            <v>Other Independent School</v>
          </cell>
          <cell r="F18593" t="str">
            <v>Not applicable</v>
          </cell>
        </row>
        <row r="18594">
          <cell r="A18594">
            <v>8786023</v>
          </cell>
          <cell r="B18594">
            <v>113590</v>
          </cell>
          <cell r="C18594" t="str">
            <v>Manor House School</v>
          </cell>
          <cell r="D18594" t="str">
            <v>Devon</v>
          </cell>
          <cell r="E18594" t="str">
            <v>Other Independent School</v>
          </cell>
          <cell r="F18594" t="str">
            <v>Not applicable</v>
          </cell>
        </row>
        <row r="18595">
          <cell r="A18595">
            <v>8556003</v>
          </cell>
          <cell r="B18595">
            <v>120314</v>
          </cell>
          <cell r="C18595" t="str">
            <v>Manor House School</v>
          </cell>
          <cell r="D18595" t="str">
            <v>Leicestershire</v>
          </cell>
          <cell r="E18595" t="str">
            <v>Other Independent School</v>
          </cell>
          <cell r="F18595" t="str">
            <v>Not applicable</v>
          </cell>
        </row>
        <row r="18596">
          <cell r="A18596">
            <v>9366068</v>
          </cell>
          <cell r="B18596">
            <v>125352</v>
          </cell>
          <cell r="C18596" t="str">
            <v>Manor House School</v>
          </cell>
          <cell r="D18596" t="str">
            <v>Surrey</v>
          </cell>
          <cell r="E18596" t="str">
            <v>Other Independent School</v>
          </cell>
          <cell r="F18596" t="str">
            <v>Not applicable</v>
          </cell>
        </row>
        <row r="18597">
          <cell r="A18597">
            <v>9336188</v>
          </cell>
          <cell r="B18597">
            <v>123935</v>
          </cell>
          <cell r="C18597" t="str">
            <v>Manor Independent School</v>
          </cell>
          <cell r="D18597" t="str">
            <v>Somerset</v>
          </cell>
          <cell r="E18597" t="str">
            <v>Other Independent School</v>
          </cell>
          <cell r="F18597" t="str">
            <v>Not applicable</v>
          </cell>
        </row>
        <row r="18598">
          <cell r="A18598">
            <v>8832572</v>
          </cell>
          <cell r="B18598">
            <v>114896</v>
          </cell>
          <cell r="C18598" t="str">
            <v>Manor Infant and Nursery School</v>
          </cell>
          <cell r="D18598" t="str">
            <v>Thurrock</v>
          </cell>
          <cell r="E18598" t="str">
            <v>Community School</v>
          </cell>
          <cell r="F18598" t="str">
            <v>Primary</v>
          </cell>
        </row>
        <row r="18599">
          <cell r="A18599">
            <v>8812501</v>
          </cell>
          <cell r="B18599">
            <v>114870</v>
          </cell>
          <cell r="C18599" t="str">
            <v>Manor Infant School</v>
          </cell>
          <cell r="D18599" t="str">
            <v>Essex</v>
          </cell>
          <cell r="E18599" t="str">
            <v>Community School</v>
          </cell>
          <cell r="F18599" t="str">
            <v>Primary</v>
          </cell>
        </row>
        <row r="18600">
          <cell r="A18600">
            <v>8502359</v>
          </cell>
          <cell r="B18600">
            <v>116066</v>
          </cell>
          <cell r="C18600" t="str">
            <v>Manor Infant School</v>
          </cell>
          <cell r="D18600" t="str">
            <v>Hampshire</v>
          </cell>
          <cell r="E18600" t="str">
            <v>Community School</v>
          </cell>
          <cell r="F18600" t="str">
            <v>Primary</v>
          </cell>
        </row>
        <row r="18601">
          <cell r="A18601">
            <v>8502524</v>
          </cell>
          <cell r="B18601">
            <v>116150</v>
          </cell>
          <cell r="C18601" t="str">
            <v>Manor Infant School</v>
          </cell>
          <cell r="D18601" t="str">
            <v>Hampshire</v>
          </cell>
          <cell r="E18601" t="str">
            <v>Community School</v>
          </cell>
          <cell r="F18601" t="str">
            <v>Primary</v>
          </cell>
        </row>
        <row r="18602">
          <cell r="A18602">
            <v>8512719</v>
          </cell>
          <cell r="B18602">
            <v>116226</v>
          </cell>
          <cell r="C18602" t="str">
            <v>Manor Infant School</v>
          </cell>
          <cell r="D18602" t="str">
            <v>Portsmouth</v>
          </cell>
          <cell r="E18602" t="str">
            <v>Community School</v>
          </cell>
          <cell r="F18602" t="str">
            <v>Primary</v>
          </cell>
        </row>
        <row r="18603">
          <cell r="A18603">
            <v>3702105</v>
          </cell>
          <cell r="B18603">
            <v>127583</v>
          </cell>
          <cell r="C18603" t="str">
            <v>Manor Infant School</v>
          </cell>
          <cell r="D18603" t="str">
            <v>Barnsley</v>
          </cell>
          <cell r="E18603" t="str">
            <v>Community School</v>
          </cell>
          <cell r="F18603" t="str">
            <v>Primary</v>
          </cell>
        </row>
        <row r="18604">
          <cell r="A18604">
            <v>9032028</v>
          </cell>
          <cell r="B18604">
            <v>128267</v>
          </cell>
          <cell r="C18604" t="str">
            <v>Manor Infant School</v>
          </cell>
          <cell r="D18604" t="str">
            <v>Pre LGR (1998) Berkshire</v>
          </cell>
          <cell r="E18604" t="str">
            <v>Community School</v>
          </cell>
          <cell r="F18604" t="str">
            <v>Primary</v>
          </cell>
        </row>
        <row r="18605">
          <cell r="A18605">
            <v>3012010</v>
          </cell>
          <cell r="B18605">
            <v>101193</v>
          </cell>
          <cell r="C18605" t="str">
            <v>Manor Infants' School/Manor Longbridge</v>
          </cell>
          <cell r="D18605" t="str">
            <v>Barking and Dagenham</v>
          </cell>
          <cell r="E18605" t="str">
            <v>Community School</v>
          </cell>
          <cell r="F18605" t="str">
            <v>Primary</v>
          </cell>
        </row>
        <row r="18606">
          <cell r="A18606">
            <v>3012009</v>
          </cell>
          <cell r="B18606">
            <v>101192</v>
          </cell>
          <cell r="C18606" t="str">
            <v>Manor Junior School</v>
          </cell>
          <cell r="D18606" t="str">
            <v>Barking and Dagenham</v>
          </cell>
          <cell r="E18606" t="str">
            <v>Community School</v>
          </cell>
          <cell r="F18606" t="str">
            <v>Primary</v>
          </cell>
        </row>
        <row r="18607">
          <cell r="A18607">
            <v>8812491</v>
          </cell>
          <cell r="B18607">
            <v>114865</v>
          </cell>
          <cell r="C18607" t="str">
            <v>Manor Junior School</v>
          </cell>
          <cell r="D18607" t="str">
            <v>Essex</v>
          </cell>
          <cell r="E18607" t="str">
            <v>Community School</v>
          </cell>
          <cell r="F18607" t="str">
            <v>Primary</v>
          </cell>
        </row>
        <row r="18608">
          <cell r="A18608">
            <v>8502520</v>
          </cell>
          <cell r="B18608">
            <v>116146</v>
          </cell>
          <cell r="C18608" t="str">
            <v>Manor Junior School</v>
          </cell>
          <cell r="D18608" t="str">
            <v>Hampshire</v>
          </cell>
          <cell r="E18608" t="str">
            <v>Community School</v>
          </cell>
          <cell r="F18608" t="str">
            <v>Primary</v>
          </cell>
        </row>
        <row r="18609">
          <cell r="A18609">
            <v>9032033</v>
          </cell>
          <cell r="B18609">
            <v>128269</v>
          </cell>
          <cell r="C18609" t="str">
            <v>Manor Junior School</v>
          </cell>
          <cell r="D18609" t="str">
            <v>Pre LGR (1998) Berkshire</v>
          </cell>
          <cell r="E18609" t="str">
            <v>Community School</v>
          </cell>
          <cell r="F18609" t="str">
            <v>Primary</v>
          </cell>
        </row>
        <row r="18610">
          <cell r="A18610">
            <v>3732359</v>
          </cell>
          <cell r="B18610">
            <v>107101</v>
          </cell>
          <cell r="C18610" t="str">
            <v>Manor Lodge Community Primary School</v>
          </cell>
          <cell r="D18610" t="str">
            <v>Sheffield</v>
          </cell>
          <cell r="E18610" t="str">
            <v>Community School</v>
          </cell>
          <cell r="F18610" t="str">
            <v>Primary</v>
          </cell>
        </row>
        <row r="18611">
          <cell r="A18611">
            <v>3732078</v>
          </cell>
          <cell r="B18611">
            <v>127656</v>
          </cell>
          <cell r="C18611" t="str">
            <v>Manor Lodge First School</v>
          </cell>
          <cell r="D18611" t="str">
            <v>Sheffield</v>
          </cell>
          <cell r="E18611" t="str">
            <v>Community School</v>
          </cell>
          <cell r="F18611" t="str">
            <v>Primary</v>
          </cell>
        </row>
        <row r="18612">
          <cell r="A18612">
            <v>3732077</v>
          </cell>
          <cell r="B18612">
            <v>127655</v>
          </cell>
          <cell r="C18612" t="str">
            <v>Manor Lodge Middle School</v>
          </cell>
          <cell r="D18612" t="str">
            <v>Sheffield</v>
          </cell>
          <cell r="E18612" t="str">
            <v>Community School</v>
          </cell>
          <cell r="F18612" t="str">
            <v>Middle Deemed Primary</v>
          </cell>
        </row>
        <row r="18613">
          <cell r="A18613">
            <v>9196232</v>
          </cell>
          <cell r="B18613">
            <v>117658</v>
          </cell>
          <cell r="C18613" t="str">
            <v>Manor Lodge School</v>
          </cell>
          <cell r="D18613" t="str">
            <v>Hertfordshire</v>
          </cell>
          <cell r="E18613" t="str">
            <v>Other Independent School</v>
          </cell>
          <cell r="F18613" t="str">
            <v>Not applicable</v>
          </cell>
        </row>
        <row r="18614">
          <cell r="A18614">
            <v>9367053</v>
          </cell>
          <cell r="B18614">
            <v>125473</v>
          </cell>
          <cell r="C18614" t="str">
            <v>Manor Mead School</v>
          </cell>
          <cell r="D18614" t="str">
            <v>Surrey</v>
          </cell>
          <cell r="E18614" t="str">
            <v>Community Special School</v>
          </cell>
          <cell r="F18614" t="str">
            <v>Special</v>
          </cell>
        </row>
        <row r="18615">
          <cell r="A18615">
            <v>3714039</v>
          </cell>
          <cell r="B18615">
            <v>106794</v>
          </cell>
          <cell r="C18615" t="str">
            <v>Manor Middle School</v>
          </cell>
          <cell r="D18615" t="str">
            <v>Doncaster</v>
          </cell>
          <cell r="E18615" t="str">
            <v>Community School</v>
          </cell>
          <cell r="F18615" t="str">
            <v>Middle Deemed Secondary</v>
          </cell>
        </row>
        <row r="18616">
          <cell r="A18616">
            <v>8111010</v>
          </cell>
          <cell r="B18616">
            <v>117698</v>
          </cell>
          <cell r="C18616" t="str">
            <v>Manor Nursery School</v>
          </cell>
          <cell r="D18616" t="str">
            <v>East Riding of Yorkshire</v>
          </cell>
          <cell r="E18616" t="str">
            <v>LA Nursery School</v>
          </cell>
          <cell r="F18616" t="str">
            <v>Nursery</v>
          </cell>
        </row>
        <row r="18617">
          <cell r="A18617">
            <v>3052084</v>
          </cell>
          <cell r="B18617">
            <v>132063</v>
          </cell>
          <cell r="C18617" t="str">
            <v>Manor Oak Primary School</v>
          </cell>
          <cell r="D18617" t="str">
            <v>Bromley</v>
          </cell>
          <cell r="E18617" t="str">
            <v>Community School</v>
          </cell>
          <cell r="F18617" t="str">
            <v>Primary</v>
          </cell>
        </row>
        <row r="18618">
          <cell r="A18618">
            <v>8353210</v>
          </cell>
          <cell r="B18618">
            <v>113791</v>
          </cell>
          <cell r="C18618" t="str">
            <v>Manor Park Church of England First School</v>
          </cell>
          <cell r="D18618" t="str">
            <v>Dorset</v>
          </cell>
          <cell r="E18618" t="str">
            <v>Voluntary Controlled School</v>
          </cell>
          <cell r="F18618" t="str">
            <v>Primary</v>
          </cell>
        </row>
        <row r="18619">
          <cell r="A18619">
            <v>9374154</v>
          </cell>
          <cell r="B18619">
            <v>125742</v>
          </cell>
          <cell r="C18619" t="str">
            <v>Manor Park Community School and Specialist Arts College</v>
          </cell>
          <cell r="D18619" t="str">
            <v>Warwickshire</v>
          </cell>
          <cell r="E18619" t="str">
            <v>Community School</v>
          </cell>
          <cell r="F18619" t="str">
            <v>Secondary</v>
          </cell>
        </row>
        <row r="18620">
          <cell r="A18620">
            <v>8912700</v>
          </cell>
          <cell r="B18620">
            <v>122625</v>
          </cell>
          <cell r="C18620" t="str">
            <v>Manor Park Infant and Nursery School</v>
          </cell>
          <cell r="D18620" t="str">
            <v>Nottinghamshire</v>
          </cell>
          <cell r="E18620" t="str">
            <v>Community School</v>
          </cell>
          <cell r="F18620" t="str">
            <v>Primary</v>
          </cell>
        </row>
        <row r="18621">
          <cell r="A18621">
            <v>3312040</v>
          </cell>
          <cell r="B18621">
            <v>127089</v>
          </cell>
          <cell r="C18621" t="str">
            <v>Manor Park Infant School</v>
          </cell>
          <cell r="D18621" t="str">
            <v>Coventry</v>
          </cell>
          <cell r="E18621" t="str">
            <v>Community School</v>
          </cell>
          <cell r="F18621" t="str">
            <v>Primary</v>
          </cell>
        </row>
        <row r="18622">
          <cell r="A18622">
            <v>3312039</v>
          </cell>
          <cell r="B18622">
            <v>127088</v>
          </cell>
          <cell r="C18622" t="str">
            <v>Manor Park Junior School</v>
          </cell>
          <cell r="D18622" t="str">
            <v>Coventry</v>
          </cell>
          <cell r="E18622" t="str">
            <v>Community School</v>
          </cell>
          <cell r="F18622" t="str">
            <v>Primary</v>
          </cell>
        </row>
        <row r="18623">
          <cell r="A18623">
            <v>7052057</v>
          </cell>
          <cell r="B18623">
            <v>132467</v>
          </cell>
          <cell r="C18623" t="str">
            <v>Manor Park Primary Junior Mixed and Infant School</v>
          </cell>
          <cell r="D18623" t="str">
            <v>Isle of Man Offshore Establishments</v>
          </cell>
          <cell r="E18623" t="str">
            <v>Offshore Schools</v>
          </cell>
          <cell r="F18623" t="str">
            <v>Not applicable</v>
          </cell>
        </row>
        <row r="18624">
          <cell r="A18624">
            <v>3192026</v>
          </cell>
          <cell r="B18624">
            <v>102976</v>
          </cell>
          <cell r="C18624" t="str">
            <v>Manor Park Primary School</v>
          </cell>
          <cell r="D18624" t="str">
            <v>Sutton</v>
          </cell>
          <cell r="E18624" t="str">
            <v>Community School</v>
          </cell>
          <cell r="F18624" t="str">
            <v>Primary</v>
          </cell>
        </row>
        <row r="18625">
          <cell r="A18625">
            <v>3305204</v>
          </cell>
          <cell r="B18625">
            <v>103545</v>
          </cell>
          <cell r="C18625" t="str">
            <v>Manor Park Primary School</v>
          </cell>
          <cell r="D18625" t="str">
            <v>Birmingham</v>
          </cell>
          <cell r="E18625" t="str">
            <v>Foundation School</v>
          </cell>
          <cell r="F18625" t="str">
            <v>Primary</v>
          </cell>
        </row>
        <row r="18626">
          <cell r="A18626">
            <v>3312141</v>
          </cell>
          <cell r="B18626">
            <v>103691</v>
          </cell>
          <cell r="C18626" t="str">
            <v>Manor Park Primary School</v>
          </cell>
          <cell r="D18626" t="str">
            <v>Coventry</v>
          </cell>
          <cell r="E18626" t="str">
            <v>Community School</v>
          </cell>
          <cell r="F18626" t="str">
            <v>Primary</v>
          </cell>
        </row>
        <row r="18627">
          <cell r="A18627">
            <v>8857012</v>
          </cell>
          <cell r="B18627">
            <v>117059</v>
          </cell>
          <cell r="C18627" t="str">
            <v>Manor Park School</v>
          </cell>
          <cell r="D18627" t="str">
            <v>Worcestershire</v>
          </cell>
          <cell r="E18627" t="str">
            <v>Community Special School</v>
          </cell>
          <cell r="F18627" t="str">
            <v>Special</v>
          </cell>
        </row>
        <row r="18628">
          <cell r="A18628">
            <v>8952720</v>
          </cell>
          <cell r="B18628">
            <v>111237</v>
          </cell>
          <cell r="C18628" t="str">
            <v>Manor Park School and Nursery</v>
          </cell>
          <cell r="D18628" t="str">
            <v>Cheshire East</v>
          </cell>
          <cell r="E18628" t="str">
            <v>Community School</v>
          </cell>
          <cell r="F18628" t="str">
            <v>Primary</v>
          </cell>
        </row>
        <row r="18629">
          <cell r="A18629">
            <v>3162038</v>
          </cell>
          <cell r="B18629">
            <v>102729</v>
          </cell>
          <cell r="C18629" t="str">
            <v>Manor Primary School</v>
          </cell>
          <cell r="D18629" t="str">
            <v>Newham</v>
          </cell>
          <cell r="E18629" t="str">
            <v>Community School</v>
          </cell>
          <cell r="F18629" t="str">
            <v>Primary</v>
          </cell>
        </row>
        <row r="18630">
          <cell r="A18630">
            <v>3355202</v>
          </cell>
          <cell r="B18630">
            <v>104210</v>
          </cell>
          <cell r="C18630" t="str">
            <v>Manor Primary School</v>
          </cell>
          <cell r="D18630" t="str">
            <v>Walsall</v>
          </cell>
          <cell r="E18630" t="str">
            <v>Foundation School</v>
          </cell>
          <cell r="F18630" t="str">
            <v>Primary</v>
          </cell>
        </row>
        <row r="18631">
          <cell r="A18631">
            <v>3362072</v>
          </cell>
          <cell r="B18631">
            <v>104328</v>
          </cell>
          <cell r="C18631" t="str">
            <v>Manor Primary School</v>
          </cell>
          <cell r="D18631" t="str">
            <v>Wolverhampton</v>
          </cell>
          <cell r="E18631" t="str">
            <v>Community School</v>
          </cell>
          <cell r="F18631" t="str">
            <v>Primary</v>
          </cell>
        </row>
        <row r="18632">
          <cell r="A18632">
            <v>3442254</v>
          </cell>
          <cell r="B18632">
            <v>105041</v>
          </cell>
          <cell r="C18632" t="str">
            <v>Manor Primary School</v>
          </cell>
          <cell r="D18632" t="str">
            <v>Wirral</v>
          </cell>
          <cell r="E18632" t="str">
            <v>Community School</v>
          </cell>
          <cell r="F18632" t="str">
            <v>Primary</v>
          </cell>
        </row>
        <row r="18633">
          <cell r="A18633">
            <v>8702253</v>
          </cell>
          <cell r="B18633">
            <v>109944</v>
          </cell>
          <cell r="C18633" t="str">
            <v>Manor Primary School</v>
          </cell>
          <cell r="D18633" t="str">
            <v>Reading</v>
          </cell>
          <cell r="E18633" t="str">
            <v>Community School</v>
          </cell>
          <cell r="F18633" t="str">
            <v>Primary</v>
          </cell>
        </row>
        <row r="18634">
          <cell r="A18634">
            <v>8452107</v>
          </cell>
          <cell r="B18634">
            <v>114437</v>
          </cell>
          <cell r="C18634" t="str">
            <v>Manor Primary School</v>
          </cell>
          <cell r="D18634" t="str">
            <v>East Sussex</v>
          </cell>
          <cell r="E18634" t="str">
            <v>Community School</v>
          </cell>
          <cell r="F18634" t="str">
            <v>Primary</v>
          </cell>
        </row>
        <row r="18635">
          <cell r="A18635">
            <v>8602198</v>
          </cell>
          <cell r="B18635">
            <v>124079</v>
          </cell>
          <cell r="C18635" t="str">
            <v>Manor Primary School</v>
          </cell>
          <cell r="D18635" t="str">
            <v>Staffordshire</v>
          </cell>
          <cell r="E18635" t="str">
            <v>Community School</v>
          </cell>
          <cell r="F18635" t="str">
            <v>Primary</v>
          </cell>
        </row>
        <row r="18636">
          <cell r="A18636">
            <v>8782610</v>
          </cell>
          <cell r="B18636">
            <v>113255</v>
          </cell>
          <cell r="C18636" t="str">
            <v>Manor Primary School, Ivybridge</v>
          </cell>
          <cell r="D18636" t="str">
            <v>Devon</v>
          </cell>
          <cell r="E18636" t="str">
            <v>Community School</v>
          </cell>
          <cell r="F18636" t="str">
            <v>Primary</v>
          </cell>
        </row>
        <row r="18637">
          <cell r="A18637">
            <v>8261105</v>
          </cell>
          <cell r="B18637">
            <v>110204</v>
          </cell>
          <cell r="C18637" t="str">
            <v>Manor Road Resource Centre</v>
          </cell>
          <cell r="D18637" t="str">
            <v>Milton Keynes</v>
          </cell>
          <cell r="E18637" t="str">
            <v>Pupil Referral Unit</v>
          </cell>
          <cell r="F18637" t="str">
            <v>PRU</v>
          </cell>
        </row>
        <row r="18638">
          <cell r="A18638">
            <v>3047006</v>
          </cell>
          <cell r="B18638">
            <v>101582</v>
          </cell>
          <cell r="C18638" t="str">
            <v>Manor School</v>
          </cell>
          <cell r="D18638" t="str">
            <v>Brent</v>
          </cell>
          <cell r="E18638" t="str">
            <v>Community Special School</v>
          </cell>
          <cell r="F18638" t="str">
            <v>Special</v>
          </cell>
        </row>
        <row r="18639">
          <cell r="A18639">
            <v>8156031</v>
          </cell>
          <cell r="B18639">
            <v>121762</v>
          </cell>
          <cell r="C18639" t="str">
            <v>Manor School</v>
          </cell>
          <cell r="D18639" t="str">
            <v>North Yorkshire</v>
          </cell>
          <cell r="E18639" t="str">
            <v>Other Independent School</v>
          </cell>
          <cell r="F18639" t="str">
            <v>Not applicable</v>
          </cell>
        </row>
        <row r="18640">
          <cell r="A18640">
            <v>9312597</v>
          </cell>
          <cell r="B18640">
            <v>123082</v>
          </cell>
          <cell r="C18640" t="str">
            <v>Manor School</v>
          </cell>
          <cell r="D18640" t="str">
            <v>Oxfordshire</v>
          </cell>
          <cell r="E18640" t="str">
            <v>Community School</v>
          </cell>
          <cell r="F18640" t="str">
            <v>Primary</v>
          </cell>
        </row>
        <row r="18641">
          <cell r="A18641">
            <v>9104021</v>
          </cell>
          <cell r="B18641">
            <v>128634</v>
          </cell>
          <cell r="C18641" t="str">
            <v>Manor School</v>
          </cell>
          <cell r="D18641" t="str">
            <v>Pre LGR (1997) Derbyshire</v>
          </cell>
          <cell r="E18641" t="str">
            <v>Community School</v>
          </cell>
          <cell r="F18641" t="str">
            <v>Secondary</v>
          </cell>
        </row>
        <row r="18642">
          <cell r="A18642">
            <v>9164037</v>
          </cell>
          <cell r="B18642">
            <v>128958</v>
          </cell>
          <cell r="C18642" t="str">
            <v>Manor School</v>
          </cell>
          <cell r="D18642" t="str">
            <v>Gloucestershire</v>
          </cell>
          <cell r="E18642" t="str">
            <v>Community School</v>
          </cell>
          <cell r="F18642" t="str">
            <v>Secondary</v>
          </cell>
        </row>
        <row r="18643">
          <cell r="A18643">
            <v>9285406</v>
          </cell>
          <cell r="B18643">
            <v>122119</v>
          </cell>
          <cell r="C18643" t="str">
            <v>Manor School and Sports College</v>
          </cell>
          <cell r="D18643" t="str">
            <v>Northamptonshire</v>
          </cell>
          <cell r="E18643" t="str">
            <v>Foundation School</v>
          </cell>
          <cell r="F18643" t="str">
            <v>Secondary</v>
          </cell>
        </row>
        <row r="18644">
          <cell r="A18644">
            <v>9285406</v>
          </cell>
          <cell r="B18644">
            <v>137613</v>
          </cell>
          <cell r="C18644" t="str">
            <v>Manor School and Sports College</v>
          </cell>
          <cell r="D18644" t="str">
            <v>Northamptonshire</v>
          </cell>
          <cell r="E18644" t="str">
            <v>Academy Converters</v>
          </cell>
          <cell r="F18644" t="str">
            <v>Secondary</v>
          </cell>
        </row>
        <row r="18645">
          <cell r="A18645">
            <v>3322139</v>
          </cell>
          <cell r="B18645">
            <v>103816</v>
          </cell>
          <cell r="C18645" t="str">
            <v>Manor Way Primary School</v>
          </cell>
          <cell r="D18645" t="str">
            <v>Dudley</v>
          </cell>
          <cell r="E18645" t="str">
            <v>Community School</v>
          </cell>
          <cell r="F18645" t="str">
            <v>Primary</v>
          </cell>
        </row>
        <row r="18646">
          <cell r="A18646">
            <v>6683042</v>
          </cell>
          <cell r="B18646">
            <v>400708</v>
          </cell>
          <cell r="C18646" t="str">
            <v>Manorbier V.C.P. School</v>
          </cell>
          <cell r="D18646" t="str">
            <v>Pembrokeshire</v>
          </cell>
          <cell r="E18646" t="str">
            <v>Welsh Establishment</v>
          </cell>
          <cell r="F18646" t="str">
            <v>Primary</v>
          </cell>
        </row>
        <row r="18647">
          <cell r="A18647">
            <v>9012221</v>
          </cell>
          <cell r="B18647">
            <v>109050</v>
          </cell>
          <cell r="C18647" t="str">
            <v>Manorbrook Infants' School</v>
          </cell>
          <cell r="D18647" t="str">
            <v>Pre LGR (1996) Avon</v>
          </cell>
          <cell r="E18647" t="str">
            <v>Community School</v>
          </cell>
          <cell r="F18647" t="str">
            <v>Primary</v>
          </cell>
        </row>
        <row r="18648">
          <cell r="A18648">
            <v>9012212</v>
          </cell>
          <cell r="B18648">
            <v>109044</v>
          </cell>
          <cell r="C18648" t="str">
            <v>Manorbrook Junior School</v>
          </cell>
          <cell r="D18648" t="str">
            <v>Pre LGR (1996) Avon</v>
          </cell>
          <cell r="E18648" t="str">
            <v>Community School</v>
          </cell>
          <cell r="F18648" t="str">
            <v>Primary</v>
          </cell>
        </row>
        <row r="18649">
          <cell r="A18649">
            <v>8032339</v>
          </cell>
          <cell r="B18649">
            <v>130978</v>
          </cell>
          <cell r="C18649" t="str">
            <v>Manorbrook Primary School</v>
          </cell>
          <cell r="D18649" t="str">
            <v>South Gloucestershire</v>
          </cell>
          <cell r="E18649" t="str">
            <v>Community School</v>
          </cell>
          <cell r="F18649" t="str">
            <v>Primary</v>
          </cell>
        </row>
        <row r="18650">
          <cell r="A18650">
            <v>8567201</v>
          </cell>
          <cell r="B18650">
            <v>120356</v>
          </cell>
          <cell r="C18650" t="str">
            <v>Manorbrooke School</v>
          </cell>
          <cell r="D18650" t="str">
            <v>Leicester</v>
          </cell>
          <cell r="E18650" t="str">
            <v>Community Special School</v>
          </cell>
          <cell r="F18650" t="str">
            <v>Special</v>
          </cell>
        </row>
        <row r="18651">
          <cell r="A18651">
            <v>9362079</v>
          </cell>
          <cell r="B18651">
            <v>124953</v>
          </cell>
          <cell r="C18651" t="str">
            <v>Manorcroft Primary School</v>
          </cell>
          <cell r="D18651" t="str">
            <v>Surrey</v>
          </cell>
          <cell r="E18651" t="str">
            <v>Community School</v>
          </cell>
          <cell r="F18651" t="str">
            <v>Primary</v>
          </cell>
        </row>
        <row r="18652">
          <cell r="A18652">
            <v>8553087</v>
          </cell>
          <cell r="B18652">
            <v>120161</v>
          </cell>
          <cell r="C18652" t="str">
            <v>Manorfield Church of England Primary School Stoney Stanton</v>
          </cell>
          <cell r="D18652" t="str">
            <v>Leicestershire</v>
          </cell>
          <cell r="E18652" t="str">
            <v>Voluntary Controlled School</v>
          </cell>
          <cell r="F18652" t="str">
            <v>Primary</v>
          </cell>
        </row>
        <row r="18653">
          <cell r="A18653">
            <v>3822110</v>
          </cell>
          <cell r="B18653">
            <v>107672</v>
          </cell>
          <cell r="C18653" t="str">
            <v>Manorfield Infant and Nursery School</v>
          </cell>
          <cell r="D18653" t="str">
            <v>Kirklees</v>
          </cell>
          <cell r="E18653" t="str">
            <v>Community School</v>
          </cell>
          <cell r="F18653" t="str">
            <v>Primary</v>
          </cell>
        </row>
        <row r="18654">
          <cell r="A18654">
            <v>9363937</v>
          </cell>
          <cell r="B18654">
            <v>134732</v>
          </cell>
          <cell r="C18654" t="str">
            <v>Manorfield Primary and Nursery School</v>
          </cell>
          <cell r="D18654" t="str">
            <v>Surrey</v>
          </cell>
          <cell r="E18654" t="str">
            <v>Community School</v>
          </cell>
          <cell r="F18654" t="str">
            <v>Primary</v>
          </cell>
        </row>
        <row r="18655">
          <cell r="A18655">
            <v>2112533</v>
          </cell>
          <cell r="B18655">
            <v>100920</v>
          </cell>
          <cell r="C18655" t="str">
            <v>Manorfield Primary School</v>
          </cell>
          <cell r="D18655" t="str">
            <v>Tower Hamlets</v>
          </cell>
          <cell r="E18655" t="str">
            <v>Community School</v>
          </cell>
          <cell r="F18655" t="str">
            <v>Primary</v>
          </cell>
        </row>
        <row r="18656">
          <cell r="A18656">
            <v>2037188</v>
          </cell>
          <cell r="B18656">
            <v>126590</v>
          </cell>
          <cell r="C18656" t="str">
            <v>Manormead School</v>
          </cell>
          <cell r="D18656" t="str">
            <v>Greenwich</v>
          </cell>
          <cell r="E18656" t="str">
            <v>Community Special School</v>
          </cell>
          <cell r="F18656" t="str">
            <v>Special</v>
          </cell>
        </row>
        <row r="18657">
          <cell r="A18657">
            <v>8363613</v>
          </cell>
          <cell r="B18657">
            <v>134709</v>
          </cell>
          <cell r="C18657" t="str">
            <v>Manorside Combined School</v>
          </cell>
          <cell r="D18657" t="str">
            <v>Poole</v>
          </cell>
          <cell r="E18657" t="str">
            <v>Community School</v>
          </cell>
          <cell r="F18657" t="str">
            <v>Middle Deemed Primary</v>
          </cell>
        </row>
        <row r="18658">
          <cell r="A18658">
            <v>3022037</v>
          </cell>
          <cell r="B18658">
            <v>101290</v>
          </cell>
          <cell r="C18658" t="str">
            <v>Manorside Primary School</v>
          </cell>
          <cell r="D18658" t="str">
            <v>Barnet</v>
          </cell>
          <cell r="E18658" t="str">
            <v>Community School</v>
          </cell>
          <cell r="F18658" t="str">
            <v>Primary</v>
          </cell>
        </row>
        <row r="18659">
          <cell r="A18659">
            <v>8522441</v>
          </cell>
          <cell r="B18659">
            <v>116117</v>
          </cell>
          <cell r="C18659" t="str">
            <v>Mansbridge Primary School</v>
          </cell>
          <cell r="D18659" t="str">
            <v>Southampton</v>
          </cell>
          <cell r="E18659" t="str">
            <v>Community School</v>
          </cell>
          <cell r="F18659" t="str">
            <v>Primary</v>
          </cell>
        </row>
        <row r="18660">
          <cell r="A18660">
            <v>3732254</v>
          </cell>
          <cell r="B18660">
            <v>127694</v>
          </cell>
          <cell r="C18660" t="str">
            <v>Mansel First School</v>
          </cell>
          <cell r="D18660" t="str">
            <v>Sheffield</v>
          </cell>
          <cell r="E18660" t="str">
            <v>Community School</v>
          </cell>
          <cell r="F18660" t="str">
            <v>Primary</v>
          </cell>
        </row>
        <row r="18661">
          <cell r="A18661">
            <v>8522449</v>
          </cell>
          <cell r="B18661">
            <v>116124</v>
          </cell>
          <cell r="C18661" t="str">
            <v>Mansel Infant School</v>
          </cell>
          <cell r="D18661" t="str">
            <v>Southampton</v>
          </cell>
          <cell r="E18661" t="str">
            <v>Community School</v>
          </cell>
          <cell r="F18661" t="str">
            <v>Primary</v>
          </cell>
        </row>
        <row r="18662">
          <cell r="A18662">
            <v>8522445</v>
          </cell>
          <cell r="B18662">
            <v>116120</v>
          </cell>
          <cell r="C18662" t="str">
            <v>Mansel Junior School</v>
          </cell>
          <cell r="D18662" t="str">
            <v>Southampton</v>
          </cell>
          <cell r="E18662" t="str">
            <v>Community School</v>
          </cell>
          <cell r="F18662" t="str">
            <v>Primary</v>
          </cell>
        </row>
        <row r="18663">
          <cell r="A18663">
            <v>3732253</v>
          </cell>
          <cell r="B18663">
            <v>127693</v>
          </cell>
          <cell r="C18663" t="str">
            <v>Mansel Middle School</v>
          </cell>
          <cell r="D18663" t="str">
            <v>Sheffield</v>
          </cell>
          <cell r="E18663" t="str">
            <v>Community School</v>
          </cell>
          <cell r="F18663" t="str">
            <v>Middle Deemed Primary</v>
          </cell>
        </row>
        <row r="18664">
          <cell r="A18664">
            <v>8522401</v>
          </cell>
          <cell r="B18664">
            <v>131272</v>
          </cell>
          <cell r="C18664" t="str">
            <v>Mansel Park Primary School</v>
          </cell>
          <cell r="D18664" t="str">
            <v>Southampton</v>
          </cell>
          <cell r="E18664" t="str">
            <v>Community School</v>
          </cell>
          <cell r="F18664" t="str">
            <v>Primary</v>
          </cell>
        </row>
        <row r="18665">
          <cell r="A18665">
            <v>3732345</v>
          </cell>
          <cell r="B18665">
            <v>107088</v>
          </cell>
          <cell r="C18665" t="str">
            <v>Mansel Primary School</v>
          </cell>
          <cell r="D18665" t="str">
            <v>Sheffield</v>
          </cell>
          <cell r="E18665" t="str">
            <v>Community School</v>
          </cell>
          <cell r="F18665" t="str">
            <v>Primary</v>
          </cell>
        </row>
        <row r="18666">
          <cell r="A18666">
            <v>6702037</v>
          </cell>
          <cell r="B18666">
            <v>400877</v>
          </cell>
          <cell r="C18666" t="str">
            <v>Manselton Primary School</v>
          </cell>
          <cell r="D18666" t="str">
            <v>Swansea</v>
          </cell>
          <cell r="E18666" t="str">
            <v>Welsh Establishment</v>
          </cell>
          <cell r="F18666" t="str">
            <v>Primary</v>
          </cell>
        </row>
        <row r="18667">
          <cell r="A18667">
            <v>9062284</v>
          </cell>
          <cell r="B18667">
            <v>128422</v>
          </cell>
          <cell r="C18667" t="str">
            <v>Mansfield County Infant School</v>
          </cell>
          <cell r="D18667" t="str">
            <v>Pre LGR (1998) Cheshire</v>
          </cell>
          <cell r="E18667" t="str">
            <v>Community School</v>
          </cell>
          <cell r="F18667" t="str">
            <v>Primary</v>
          </cell>
        </row>
        <row r="18668">
          <cell r="A18668">
            <v>9062248</v>
          </cell>
          <cell r="B18668">
            <v>128410</v>
          </cell>
          <cell r="C18668" t="str">
            <v>Mansfield County Junior School</v>
          </cell>
          <cell r="D18668" t="str">
            <v>Pre LGR (1998) Cheshire</v>
          </cell>
          <cell r="E18668" t="str">
            <v>Community School</v>
          </cell>
          <cell r="F18668" t="str">
            <v>Primary</v>
          </cell>
        </row>
        <row r="18669">
          <cell r="A18669">
            <v>3302461</v>
          </cell>
          <cell r="B18669">
            <v>103387</v>
          </cell>
          <cell r="C18669" t="str">
            <v>Mansfield Green Community School</v>
          </cell>
          <cell r="D18669" t="str">
            <v>Birmingham</v>
          </cell>
          <cell r="E18669" t="str">
            <v>Community School</v>
          </cell>
          <cell r="F18669" t="str">
            <v>Primary</v>
          </cell>
        </row>
        <row r="18670">
          <cell r="A18670">
            <v>8816043</v>
          </cell>
          <cell r="B18670">
            <v>115438</v>
          </cell>
          <cell r="C18670" t="str">
            <v>Mansfield Infant College</v>
          </cell>
          <cell r="D18670" t="str">
            <v>Essex</v>
          </cell>
          <cell r="E18670" t="str">
            <v>Other Independent School</v>
          </cell>
          <cell r="F18670" t="str">
            <v>Not applicable</v>
          </cell>
        </row>
        <row r="18671">
          <cell r="A18671">
            <v>8752703</v>
          </cell>
          <cell r="B18671">
            <v>111220</v>
          </cell>
          <cell r="C18671" t="str">
            <v>Mansfield Primary School</v>
          </cell>
          <cell r="D18671" t="str">
            <v>Pre LGR (2009) Cheshire</v>
          </cell>
          <cell r="E18671" t="str">
            <v>Community School</v>
          </cell>
          <cell r="F18671" t="str">
            <v>Primary</v>
          </cell>
        </row>
        <row r="18672">
          <cell r="A18672">
            <v>891940</v>
          </cell>
          <cell r="B18672">
            <v>134069</v>
          </cell>
          <cell r="C18672" t="str">
            <v>Mansfield Town FC Study Support Centre</v>
          </cell>
          <cell r="D18672" t="str">
            <v>Nottinghamshire</v>
          </cell>
          <cell r="E18672" t="str">
            <v>Playing for Success Centres</v>
          </cell>
          <cell r="F18672" t="str">
            <v>Not applicable</v>
          </cell>
        </row>
        <row r="18673">
          <cell r="A18673">
            <v>8235401</v>
          </cell>
          <cell r="B18673">
            <v>109705</v>
          </cell>
          <cell r="C18673" t="str">
            <v>Manshead CofE VA Upper School</v>
          </cell>
          <cell r="D18673" t="str">
            <v>Central Bedfordshire</v>
          </cell>
          <cell r="E18673" t="str">
            <v>Voluntary Aided School</v>
          </cell>
          <cell r="F18673" t="str">
            <v>Secondary</v>
          </cell>
        </row>
        <row r="18674">
          <cell r="A18674">
            <v>3832127</v>
          </cell>
          <cell r="B18674">
            <v>127839</v>
          </cell>
          <cell r="C18674" t="str">
            <v>Manston First School</v>
          </cell>
          <cell r="D18674" t="str">
            <v>Leeds</v>
          </cell>
          <cell r="E18674" t="str">
            <v>Community School</v>
          </cell>
          <cell r="F18674" t="str">
            <v>Primary</v>
          </cell>
        </row>
        <row r="18675">
          <cell r="A18675">
            <v>3832464</v>
          </cell>
          <cell r="B18675">
            <v>107940</v>
          </cell>
          <cell r="C18675" t="str">
            <v>Manston Primary School</v>
          </cell>
          <cell r="D18675" t="str">
            <v>Leeds</v>
          </cell>
          <cell r="E18675" t="str">
            <v>Community School</v>
          </cell>
          <cell r="F18675" t="str">
            <v>Primary</v>
          </cell>
        </row>
        <row r="18676">
          <cell r="A18676">
            <v>3833910</v>
          </cell>
          <cell r="B18676">
            <v>108049</v>
          </cell>
          <cell r="C18676" t="str">
            <v>Manston St James Church of England Primary School</v>
          </cell>
          <cell r="D18676" t="str">
            <v>Leeds</v>
          </cell>
          <cell r="E18676" t="str">
            <v>Voluntary Aided School</v>
          </cell>
          <cell r="F18676" t="str">
            <v>Primary</v>
          </cell>
        </row>
        <row r="18677">
          <cell r="A18677">
            <v>8912624</v>
          </cell>
          <cell r="B18677">
            <v>122608</v>
          </cell>
          <cell r="C18677" t="str">
            <v>Manton Infant and Nursery School</v>
          </cell>
          <cell r="D18677" t="str">
            <v>Nottinghamshire</v>
          </cell>
          <cell r="E18677" t="str">
            <v>Community School</v>
          </cell>
          <cell r="F18677" t="str">
            <v>Primary</v>
          </cell>
        </row>
        <row r="18678">
          <cell r="A18678">
            <v>8912625</v>
          </cell>
          <cell r="B18678">
            <v>122609</v>
          </cell>
          <cell r="C18678" t="str">
            <v>Manton Junior School</v>
          </cell>
          <cell r="D18678" t="str">
            <v>Nottinghamshire</v>
          </cell>
          <cell r="E18678" t="str">
            <v>Community School</v>
          </cell>
          <cell r="F18678" t="str">
            <v>Primary</v>
          </cell>
        </row>
        <row r="18679">
          <cell r="A18679">
            <v>8912943</v>
          </cell>
          <cell r="B18679">
            <v>132238</v>
          </cell>
          <cell r="C18679" t="str">
            <v>Manton Primary School</v>
          </cell>
          <cell r="D18679" t="str">
            <v>Nottinghamshire</v>
          </cell>
          <cell r="E18679" t="str">
            <v>Community School</v>
          </cell>
          <cell r="F18679" t="str">
            <v>Primary</v>
          </cell>
        </row>
        <row r="18680">
          <cell r="A18680">
            <v>8812750</v>
          </cell>
          <cell r="B18680">
            <v>114979</v>
          </cell>
          <cell r="C18680" t="str">
            <v>Manuden Primary School</v>
          </cell>
          <cell r="D18680" t="str">
            <v>Essex</v>
          </cell>
          <cell r="E18680" t="str">
            <v>Community School</v>
          </cell>
          <cell r="F18680" t="str">
            <v>Primary</v>
          </cell>
        </row>
        <row r="18681">
          <cell r="A18681">
            <v>8912720</v>
          </cell>
          <cell r="B18681">
            <v>122632</v>
          </cell>
          <cell r="C18681" t="str">
            <v>Manvers Junior School</v>
          </cell>
          <cell r="D18681" t="str">
            <v>Nottinghamshire</v>
          </cell>
          <cell r="E18681" t="str">
            <v>Community School</v>
          </cell>
          <cell r="F18681" t="str">
            <v>Primary</v>
          </cell>
        </row>
        <row r="18682">
          <cell r="A18682">
            <v>9304054</v>
          </cell>
          <cell r="B18682">
            <v>129730</v>
          </cell>
          <cell r="C18682" t="str">
            <v>Manvers Pierrepont Comprehensive School</v>
          </cell>
          <cell r="D18682" t="str">
            <v>Pre LGR (1998) Nottinghamshire</v>
          </cell>
          <cell r="E18682" t="str">
            <v>Community School</v>
          </cell>
          <cell r="F18682" t="str">
            <v>Secondary</v>
          </cell>
        </row>
        <row r="18683">
          <cell r="A18683">
            <v>3844002</v>
          </cell>
          <cell r="B18683">
            <v>128084</v>
          </cell>
          <cell r="C18683" t="str">
            <v>Manygates Middle School</v>
          </cell>
          <cell r="D18683" t="str">
            <v>Wakefield</v>
          </cell>
          <cell r="E18683" t="str">
            <v>Community School</v>
          </cell>
          <cell r="F18683" t="str">
            <v>Middle Deemed Secondary</v>
          </cell>
        </row>
        <row r="18684">
          <cell r="A18684">
            <v>8612095</v>
          </cell>
          <cell r="B18684">
            <v>124018</v>
          </cell>
          <cell r="C18684" t="str">
            <v>Maple Court Primary School</v>
          </cell>
          <cell r="D18684" t="str">
            <v>Stoke-on-Trent</v>
          </cell>
          <cell r="E18684" t="str">
            <v>Community School</v>
          </cell>
          <cell r="F18684" t="str">
            <v>Primary</v>
          </cell>
        </row>
        <row r="18685">
          <cell r="A18685">
            <v>9192308</v>
          </cell>
          <cell r="B18685">
            <v>117266</v>
          </cell>
          <cell r="C18685" t="str">
            <v>Maple Cross Junior Mixed Infant and Nursery School</v>
          </cell>
          <cell r="D18685" t="str">
            <v>Hertfordshire</v>
          </cell>
          <cell r="E18685" t="str">
            <v>Community School</v>
          </cell>
          <cell r="F18685" t="str">
            <v>Primary</v>
          </cell>
        </row>
        <row r="18686">
          <cell r="A18686">
            <v>8732077</v>
          </cell>
          <cell r="B18686">
            <v>110640</v>
          </cell>
          <cell r="C18686" t="str">
            <v>Maple Grove Infant School</v>
          </cell>
          <cell r="D18686" t="str">
            <v>Cambridgeshire</v>
          </cell>
          <cell r="E18686" t="str">
            <v>Community School</v>
          </cell>
          <cell r="F18686" t="str">
            <v>Primary</v>
          </cell>
        </row>
        <row r="18687">
          <cell r="A18687">
            <v>9193987</v>
          </cell>
          <cell r="B18687">
            <v>135221</v>
          </cell>
          <cell r="C18687" t="str">
            <v>Maple Grove Primary School</v>
          </cell>
          <cell r="D18687" t="str">
            <v>Hertfordshire</v>
          </cell>
          <cell r="E18687" t="str">
            <v>Community School</v>
          </cell>
          <cell r="F18687" t="str">
            <v>Primary</v>
          </cell>
        </row>
        <row r="18688">
          <cell r="A18688">
            <v>8606022</v>
          </cell>
          <cell r="B18688">
            <v>124488</v>
          </cell>
          <cell r="C18688" t="str">
            <v>Maple Hayes Hall School</v>
          </cell>
          <cell r="D18688" t="str">
            <v>Staffordshire</v>
          </cell>
          <cell r="E18688" t="str">
            <v>Other Independent Special School</v>
          </cell>
          <cell r="F18688" t="str">
            <v>Not applicable</v>
          </cell>
        </row>
        <row r="18689">
          <cell r="A18689">
            <v>3066090</v>
          </cell>
          <cell r="B18689">
            <v>131770</v>
          </cell>
          <cell r="C18689" t="str">
            <v>Maple House School</v>
          </cell>
          <cell r="D18689" t="str">
            <v>Croydon</v>
          </cell>
          <cell r="E18689" t="str">
            <v>Other Independent School</v>
          </cell>
          <cell r="F18689" t="str">
            <v>Not applicable</v>
          </cell>
        </row>
        <row r="18690">
          <cell r="A18690">
            <v>3142030</v>
          </cell>
          <cell r="B18690">
            <v>102577</v>
          </cell>
          <cell r="C18690" t="str">
            <v>Maple Infant School</v>
          </cell>
          <cell r="D18690" t="str">
            <v>Kingston upon Thames</v>
          </cell>
          <cell r="E18690" t="str">
            <v>Community School</v>
          </cell>
          <cell r="F18690" t="str">
            <v>Primary</v>
          </cell>
        </row>
        <row r="18691">
          <cell r="A18691">
            <v>3711110</v>
          </cell>
          <cell r="B18691">
            <v>135502</v>
          </cell>
          <cell r="C18691" t="str">
            <v>Maple Medical PRU</v>
          </cell>
          <cell r="D18691" t="str">
            <v>Doncaster</v>
          </cell>
          <cell r="E18691" t="str">
            <v>Pupil Referral Unit</v>
          </cell>
          <cell r="F18691" t="str">
            <v>PRU</v>
          </cell>
        </row>
        <row r="18692">
          <cell r="A18692">
            <v>9192364</v>
          </cell>
          <cell r="B18692">
            <v>117298</v>
          </cell>
          <cell r="C18692" t="str">
            <v>Maple Primary School</v>
          </cell>
          <cell r="D18692" t="str">
            <v>Hertfordshire</v>
          </cell>
          <cell r="E18692" t="str">
            <v>Community School</v>
          </cell>
          <cell r="F18692" t="str">
            <v>Primary</v>
          </cell>
        </row>
        <row r="18693">
          <cell r="A18693">
            <v>8507016</v>
          </cell>
          <cell r="B18693">
            <v>116605</v>
          </cell>
          <cell r="C18693" t="str">
            <v>Maple Ridge School</v>
          </cell>
          <cell r="D18693" t="str">
            <v>Hampshire</v>
          </cell>
          <cell r="E18693" t="str">
            <v>Community Special School</v>
          </cell>
          <cell r="F18693" t="str">
            <v>Special</v>
          </cell>
        </row>
        <row r="18694">
          <cell r="A18694">
            <v>8232001</v>
          </cell>
          <cell r="B18694">
            <v>132236</v>
          </cell>
          <cell r="C18694" t="str">
            <v>Maple Tree Lower School</v>
          </cell>
          <cell r="D18694" t="str">
            <v>Central Bedfordshire</v>
          </cell>
          <cell r="E18694" t="str">
            <v>Foundation School</v>
          </cell>
          <cell r="F18694" t="str">
            <v>Primary</v>
          </cell>
        </row>
        <row r="18695">
          <cell r="A18695">
            <v>3046113</v>
          </cell>
          <cell r="B18695">
            <v>135298</v>
          </cell>
          <cell r="C18695" t="str">
            <v>Maple Walk School</v>
          </cell>
          <cell r="D18695" t="str">
            <v>Brent</v>
          </cell>
          <cell r="E18695" t="str">
            <v>Other Independent School</v>
          </cell>
          <cell r="F18695" t="str">
            <v>Not applicable</v>
          </cell>
        </row>
        <row r="18696">
          <cell r="A18696">
            <v>3302131</v>
          </cell>
          <cell r="B18696">
            <v>103231</v>
          </cell>
          <cell r="C18696" t="str">
            <v>Mapledene Infant School (NC)</v>
          </cell>
          <cell r="D18696" t="str">
            <v>Birmingham</v>
          </cell>
          <cell r="E18696" t="str">
            <v>Community School</v>
          </cell>
          <cell r="F18696" t="str">
            <v>Primary</v>
          </cell>
        </row>
        <row r="18697">
          <cell r="A18697">
            <v>3302130</v>
          </cell>
          <cell r="B18697">
            <v>103230</v>
          </cell>
          <cell r="C18697" t="str">
            <v>Mapledene Junior School</v>
          </cell>
          <cell r="D18697" t="str">
            <v>Birmingham</v>
          </cell>
          <cell r="E18697" t="str">
            <v>Community School</v>
          </cell>
          <cell r="F18697" t="str">
            <v>Primary</v>
          </cell>
        </row>
        <row r="18698">
          <cell r="A18698">
            <v>3302004</v>
          </cell>
          <cell r="B18698">
            <v>134094</v>
          </cell>
          <cell r="C18698" t="str">
            <v>Mapledene Primary School</v>
          </cell>
          <cell r="D18698" t="str">
            <v>Birmingham</v>
          </cell>
          <cell r="E18698" t="str">
            <v>Community School</v>
          </cell>
          <cell r="F18698" t="str">
            <v>Primary</v>
          </cell>
        </row>
        <row r="18699">
          <cell r="A18699">
            <v>3027010</v>
          </cell>
          <cell r="B18699">
            <v>101397</v>
          </cell>
          <cell r="C18699" t="str">
            <v>Mapledown School</v>
          </cell>
          <cell r="D18699" t="str">
            <v>Barnet</v>
          </cell>
          <cell r="E18699" t="str">
            <v>Community Special School</v>
          </cell>
          <cell r="F18699" t="str">
            <v>Special</v>
          </cell>
        </row>
        <row r="18700">
          <cell r="A18700">
            <v>3027006</v>
          </cell>
          <cell r="B18700">
            <v>126741</v>
          </cell>
          <cell r="C18700" t="str">
            <v>Mapledown School</v>
          </cell>
          <cell r="D18700" t="str">
            <v>Barnet</v>
          </cell>
          <cell r="E18700" t="str">
            <v>Community Special School</v>
          </cell>
          <cell r="F18700" t="str">
            <v>Special</v>
          </cell>
        </row>
        <row r="18701">
          <cell r="A18701">
            <v>9287033</v>
          </cell>
          <cell r="B18701">
            <v>131186</v>
          </cell>
          <cell r="C18701" t="str">
            <v>Maplefields School</v>
          </cell>
          <cell r="D18701" t="str">
            <v>Northamptonshire</v>
          </cell>
          <cell r="E18701" t="str">
            <v>Community Special School</v>
          </cell>
          <cell r="F18701" t="str">
            <v>Special</v>
          </cell>
        </row>
        <row r="18702">
          <cell r="A18702">
            <v>3071000</v>
          </cell>
          <cell r="B18702">
            <v>101858</v>
          </cell>
          <cell r="C18702" t="str">
            <v>Maples Children's Centre</v>
          </cell>
          <cell r="D18702" t="str">
            <v>Ealing</v>
          </cell>
          <cell r="E18702" t="str">
            <v>LA Nursery School</v>
          </cell>
          <cell r="F18702" t="str">
            <v>Nursery</v>
          </cell>
        </row>
        <row r="18703">
          <cell r="A18703">
            <v>8557002</v>
          </cell>
          <cell r="B18703">
            <v>120348</v>
          </cell>
          <cell r="C18703" t="str">
            <v>Maplewell Hall School</v>
          </cell>
          <cell r="D18703" t="str">
            <v>Leicestershire</v>
          </cell>
          <cell r="E18703" t="str">
            <v>Community Special School</v>
          </cell>
          <cell r="F18703" t="str">
            <v>Special</v>
          </cell>
        </row>
        <row r="18704">
          <cell r="A18704">
            <v>3947014</v>
          </cell>
          <cell r="B18704">
            <v>108880</v>
          </cell>
          <cell r="C18704" t="str">
            <v>Maplewood School</v>
          </cell>
          <cell r="D18704" t="str">
            <v>Sunderland</v>
          </cell>
          <cell r="E18704" t="str">
            <v>Community Special School</v>
          </cell>
          <cell r="F18704" t="str">
            <v>Special</v>
          </cell>
        </row>
        <row r="18705">
          <cell r="A18705">
            <v>3947006</v>
          </cell>
          <cell r="B18705">
            <v>128209</v>
          </cell>
          <cell r="C18705" t="str">
            <v>Maplewood School</v>
          </cell>
          <cell r="D18705" t="str">
            <v>Sunderland</v>
          </cell>
          <cell r="E18705" t="str">
            <v>Community Special School</v>
          </cell>
          <cell r="F18705" t="str">
            <v>Special</v>
          </cell>
        </row>
        <row r="18706">
          <cell r="A18706">
            <v>8257000</v>
          </cell>
          <cell r="B18706">
            <v>131915</v>
          </cell>
          <cell r="C18706" t="str">
            <v>Maplewood School</v>
          </cell>
          <cell r="D18706" t="str">
            <v>Buckinghamshire</v>
          </cell>
          <cell r="E18706" t="str">
            <v>Community Special School</v>
          </cell>
          <cell r="F18706" t="str">
            <v>Special</v>
          </cell>
        </row>
        <row r="18707">
          <cell r="A18707">
            <v>8303065</v>
          </cell>
          <cell r="B18707">
            <v>112836</v>
          </cell>
          <cell r="C18707" t="str">
            <v>Mapperley CofE Controlled Primary School</v>
          </cell>
          <cell r="D18707" t="str">
            <v>Derbyshire</v>
          </cell>
          <cell r="E18707" t="str">
            <v>Voluntary Controlled School</v>
          </cell>
          <cell r="F18707" t="str">
            <v>Primary</v>
          </cell>
        </row>
        <row r="18708">
          <cell r="A18708">
            <v>8912228</v>
          </cell>
          <cell r="B18708">
            <v>122525</v>
          </cell>
          <cell r="C18708" t="str">
            <v>Mapperley Plains Primary and Nursery School</v>
          </cell>
          <cell r="D18708" t="str">
            <v>Nottinghamshire</v>
          </cell>
          <cell r="E18708" t="str">
            <v>Community School</v>
          </cell>
          <cell r="F18708" t="str">
            <v>Primary</v>
          </cell>
        </row>
        <row r="18709">
          <cell r="A18709">
            <v>9373041</v>
          </cell>
          <cell r="B18709">
            <v>125640</v>
          </cell>
          <cell r="C18709" t="str">
            <v>Mappleborough Green CofE Primary School</v>
          </cell>
          <cell r="D18709" t="str">
            <v>Warwickshire</v>
          </cell>
          <cell r="E18709" t="str">
            <v>Voluntary Controlled School</v>
          </cell>
          <cell r="F18709" t="str">
            <v>Primary</v>
          </cell>
        </row>
        <row r="18710">
          <cell r="A18710">
            <v>3702055</v>
          </cell>
          <cell r="B18710">
            <v>106577</v>
          </cell>
          <cell r="C18710" t="str">
            <v>Mapplewell Primary School</v>
          </cell>
          <cell r="D18710" t="str">
            <v>Barnsley</v>
          </cell>
          <cell r="E18710" t="str">
            <v>Community School</v>
          </cell>
          <cell r="F18710" t="str">
            <v>Primary</v>
          </cell>
        </row>
        <row r="18711">
          <cell r="A18711">
            <v>3702143</v>
          </cell>
          <cell r="B18711">
            <v>131949</v>
          </cell>
          <cell r="C18711" t="str">
            <v>Mapplewell Primary School</v>
          </cell>
          <cell r="D18711" t="str">
            <v>Barnsley</v>
          </cell>
          <cell r="E18711" t="str">
            <v>Community School</v>
          </cell>
          <cell r="F18711" t="str">
            <v>Primary</v>
          </cell>
        </row>
        <row r="18712">
          <cell r="A18712">
            <v>8912120</v>
          </cell>
          <cell r="B18712">
            <v>122458</v>
          </cell>
          <cell r="C18712" t="str">
            <v>Mapplewells Primary and Nursery School</v>
          </cell>
          <cell r="D18712" t="str">
            <v>Nottinghamshire</v>
          </cell>
          <cell r="E18712" t="str">
            <v>Community School</v>
          </cell>
          <cell r="F18712" t="str">
            <v>Primary</v>
          </cell>
        </row>
        <row r="18713">
          <cell r="A18713">
            <v>9194019</v>
          </cell>
          <cell r="B18713">
            <v>129151</v>
          </cell>
          <cell r="C18713" t="str">
            <v>Maragaret Dane School</v>
          </cell>
          <cell r="D18713" t="str">
            <v>Hertfordshire</v>
          </cell>
          <cell r="E18713" t="str">
            <v>Community School</v>
          </cell>
          <cell r="F18713" t="str">
            <v>Secondary</v>
          </cell>
        </row>
        <row r="18714">
          <cell r="A18714">
            <v>8666001</v>
          </cell>
          <cell r="B18714">
            <v>126536</v>
          </cell>
          <cell r="C18714" t="str">
            <v>Maranatha Christian School</v>
          </cell>
          <cell r="D18714" t="str">
            <v>Swindon</v>
          </cell>
          <cell r="E18714" t="str">
            <v>Other Independent School</v>
          </cell>
          <cell r="F18714" t="str">
            <v>Not applicable</v>
          </cell>
        </row>
        <row r="18715">
          <cell r="A18715">
            <v>2096409</v>
          </cell>
          <cell r="B18715">
            <v>135901</v>
          </cell>
          <cell r="C18715" t="str">
            <v>Marathon Science School</v>
          </cell>
          <cell r="D18715" t="str">
            <v>Lewisham</v>
          </cell>
          <cell r="E18715" t="str">
            <v>Other Independent School</v>
          </cell>
          <cell r="F18715" t="str">
            <v>Not applicable</v>
          </cell>
        </row>
        <row r="18716">
          <cell r="A18716">
            <v>9082004</v>
          </cell>
          <cell r="B18716">
            <v>111792</v>
          </cell>
          <cell r="C18716" t="str">
            <v>Marazion School</v>
          </cell>
          <cell r="D18716" t="str">
            <v>Cornwall</v>
          </cell>
          <cell r="E18716" t="str">
            <v>Community School</v>
          </cell>
          <cell r="F18716" t="str">
            <v>Primary</v>
          </cell>
        </row>
        <row r="18717">
          <cell r="A18717">
            <v>9063144</v>
          </cell>
          <cell r="B18717">
            <v>128449</v>
          </cell>
          <cell r="C18717" t="str">
            <v>Marbury With Quoisley CofE Primary School</v>
          </cell>
          <cell r="D18717" t="str">
            <v>Pre LGR (1998) Cheshire</v>
          </cell>
          <cell r="E18717" t="str">
            <v>Voluntary Controlled School</v>
          </cell>
          <cell r="F18717" t="str">
            <v>Primary</v>
          </cell>
        </row>
        <row r="18718">
          <cell r="A18718">
            <v>9383321</v>
          </cell>
          <cell r="B18718">
            <v>126031</v>
          </cell>
          <cell r="C18718" t="str">
            <v>March CofE Primary School,the</v>
          </cell>
          <cell r="D18718" t="str">
            <v>West Sussex</v>
          </cell>
          <cell r="E18718" t="str">
            <v>Voluntary Aided School</v>
          </cell>
          <cell r="F18718" t="str">
            <v>Primary</v>
          </cell>
        </row>
        <row r="18719">
          <cell r="A18719">
            <v>2056383</v>
          </cell>
          <cell r="B18719">
            <v>126626</v>
          </cell>
          <cell r="C18719" t="str">
            <v>March Hare Montessori School</v>
          </cell>
          <cell r="D18719" t="str">
            <v>Hammersmith and Fulham</v>
          </cell>
          <cell r="E18719" t="str">
            <v>Other Independent School</v>
          </cell>
          <cell r="F18719" t="str">
            <v>Not applicable</v>
          </cell>
        </row>
        <row r="18720">
          <cell r="A18720">
            <v>8736040</v>
          </cell>
          <cell r="B18720">
            <v>131701</v>
          </cell>
          <cell r="C18720" t="str">
            <v>March House</v>
          </cell>
          <cell r="D18720" t="str">
            <v>Cambridgeshire</v>
          </cell>
          <cell r="E18720" t="str">
            <v>Other Independent Special School</v>
          </cell>
          <cell r="F18720" t="str">
            <v>Not applicable</v>
          </cell>
        </row>
        <row r="18721">
          <cell r="A18721">
            <v>9313235</v>
          </cell>
          <cell r="B18721">
            <v>123155</v>
          </cell>
          <cell r="C18721" t="str">
            <v>Marcham Church of England (Voluntary Controlled) Primary School</v>
          </cell>
          <cell r="D18721" t="str">
            <v>Oxfordshire</v>
          </cell>
          <cell r="E18721" t="str">
            <v>Voluntary Controlled School</v>
          </cell>
          <cell r="F18721" t="str">
            <v>Primary</v>
          </cell>
        </row>
        <row r="18722">
          <cell r="A18722">
            <v>9336089</v>
          </cell>
          <cell r="B18722">
            <v>123920</v>
          </cell>
          <cell r="C18722" t="str">
            <v>Marchant Holliday School</v>
          </cell>
          <cell r="D18722" t="str">
            <v>Somerset</v>
          </cell>
          <cell r="E18722" t="str">
            <v>Other Independent Special School</v>
          </cell>
          <cell r="F18722" t="str">
            <v>Not applicable</v>
          </cell>
        </row>
        <row r="18723">
          <cell r="A18723">
            <v>8503100</v>
          </cell>
          <cell r="B18723">
            <v>116299</v>
          </cell>
          <cell r="C18723" t="str">
            <v>Marchwood Church of England Infant School</v>
          </cell>
          <cell r="D18723" t="str">
            <v>Hampshire</v>
          </cell>
          <cell r="E18723" t="str">
            <v>Voluntary Controlled School</v>
          </cell>
          <cell r="F18723" t="str">
            <v>Primary</v>
          </cell>
        </row>
        <row r="18724">
          <cell r="A18724">
            <v>8502378</v>
          </cell>
          <cell r="B18724">
            <v>116073</v>
          </cell>
          <cell r="C18724" t="str">
            <v>Marchwood Junior School</v>
          </cell>
          <cell r="D18724" t="str">
            <v>Hampshire</v>
          </cell>
          <cell r="E18724" t="str">
            <v>Community School</v>
          </cell>
          <cell r="F18724" t="str">
            <v>Primary</v>
          </cell>
        </row>
        <row r="18725">
          <cell r="A18725">
            <v>3924025</v>
          </cell>
          <cell r="B18725">
            <v>108635</v>
          </cell>
          <cell r="C18725" t="str">
            <v>Marden Bridge Middle School</v>
          </cell>
          <cell r="D18725" t="str">
            <v>North Tyneside</v>
          </cell>
          <cell r="E18725" t="str">
            <v>Community School</v>
          </cell>
          <cell r="F18725" t="str">
            <v>Middle Deemed Secondary</v>
          </cell>
        </row>
        <row r="18726">
          <cell r="A18726">
            <v>3924006</v>
          </cell>
          <cell r="B18726">
            <v>108627</v>
          </cell>
          <cell r="C18726" t="str">
            <v>Marden High School - A Specialist Maths, Science and Media Arts College</v>
          </cell>
          <cell r="D18726" t="str">
            <v>North Tyneside</v>
          </cell>
          <cell r="E18726" t="str">
            <v>Foundation School</v>
          </cell>
          <cell r="F18726" t="str">
            <v>Secondary</v>
          </cell>
        </row>
        <row r="18727">
          <cell r="A18727">
            <v>9362048</v>
          </cell>
          <cell r="B18727">
            <v>130017</v>
          </cell>
          <cell r="C18727" t="str">
            <v>Marden Lodge County First School</v>
          </cell>
          <cell r="D18727" t="str">
            <v>Surrey</v>
          </cell>
          <cell r="E18727" t="str">
            <v>Community School</v>
          </cell>
          <cell r="F18727" t="str">
            <v>Primary</v>
          </cell>
        </row>
        <row r="18728">
          <cell r="A18728">
            <v>9362047</v>
          </cell>
          <cell r="B18728">
            <v>130016</v>
          </cell>
          <cell r="C18728" t="str">
            <v>Marden Lodge County Middle School</v>
          </cell>
          <cell r="D18728" t="str">
            <v>Surrey</v>
          </cell>
          <cell r="E18728" t="str">
            <v>Community School</v>
          </cell>
          <cell r="F18728" t="str">
            <v>Middle Deemed Primary</v>
          </cell>
        </row>
        <row r="18729">
          <cell r="A18729">
            <v>9362938</v>
          </cell>
          <cell r="B18729">
            <v>125114</v>
          </cell>
          <cell r="C18729" t="str">
            <v>Marden Lodge Primary School</v>
          </cell>
          <cell r="D18729" t="str">
            <v>Surrey</v>
          </cell>
          <cell r="E18729" t="str">
            <v>Community School</v>
          </cell>
          <cell r="F18729" t="str">
            <v>Primary</v>
          </cell>
        </row>
        <row r="18730">
          <cell r="A18730">
            <v>8842115</v>
          </cell>
          <cell r="B18730">
            <v>116713</v>
          </cell>
          <cell r="C18730" t="str">
            <v>Marden Primary School</v>
          </cell>
          <cell r="D18730" t="str">
            <v>Herefordshire</v>
          </cell>
          <cell r="E18730" t="str">
            <v>Community School</v>
          </cell>
          <cell r="F18730" t="str">
            <v>Primary</v>
          </cell>
        </row>
        <row r="18731">
          <cell r="A18731">
            <v>8862183</v>
          </cell>
          <cell r="B18731">
            <v>118306</v>
          </cell>
          <cell r="C18731" t="str">
            <v>Marden Primary School</v>
          </cell>
          <cell r="D18731" t="str">
            <v>Kent</v>
          </cell>
          <cell r="E18731" t="str">
            <v>Community School</v>
          </cell>
          <cell r="F18731" t="str">
            <v>Primary</v>
          </cell>
        </row>
        <row r="18732">
          <cell r="A18732">
            <v>8102440</v>
          </cell>
          <cell r="B18732">
            <v>117801</v>
          </cell>
          <cell r="C18732" t="str">
            <v>Marfleet Primary School</v>
          </cell>
          <cell r="D18732" t="str">
            <v>Kingston upon Hull City of</v>
          </cell>
          <cell r="E18732" t="str">
            <v>Community School</v>
          </cell>
          <cell r="F18732" t="str">
            <v>Primary</v>
          </cell>
        </row>
        <row r="18733">
          <cell r="A18733">
            <v>8224042</v>
          </cell>
          <cell r="B18733">
            <v>136475</v>
          </cell>
          <cell r="C18733" t="str">
            <v>Margaret Beaufort Middle School</v>
          </cell>
          <cell r="D18733" t="str">
            <v>Bedford</v>
          </cell>
          <cell r="E18733" t="str">
            <v>Academy Converters</v>
          </cell>
          <cell r="F18733" t="str">
            <v>Middle Deemed Secondary</v>
          </cell>
        </row>
        <row r="18734">
          <cell r="A18734">
            <v>8224042</v>
          </cell>
          <cell r="B18734">
            <v>109657</v>
          </cell>
          <cell r="C18734" t="str">
            <v>Margaret Beaufort Middle School and Arts College</v>
          </cell>
          <cell r="D18734" t="str">
            <v>Bedford</v>
          </cell>
          <cell r="E18734" t="str">
            <v>Foundation School</v>
          </cell>
          <cell r="F18734" t="str">
            <v>Middle Deemed Secondary</v>
          </cell>
        </row>
        <row r="18735">
          <cell r="A18735">
            <v>3417008</v>
          </cell>
          <cell r="B18735">
            <v>104732</v>
          </cell>
          <cell r="C18735" t="str">
            <v>Margaret Beavan School</v>
          </cell>
          <cell r="D18735" t="str">
            <v>Liverpool</v>
          </cell>
          <cell r="E18735" t="str">
            <v>Community Special School</v>
          </cell>
          <cell r="F18735" t="str">
            <v>Special</v>
          </cell>
        </row>
        <row r="18736">
          <cell r="A18736">
            <v>3568602</v>
          </cell>
          <cell r="B18736">
            <v>132856</v>
          </cell>
          <cell r="C18736" t="str">
            <v>Margaret Danyers College</v>
          </cell>
          <cell r="D18736" t="str">
            <v>Stockport</v>
          </cell>
          <cell r="E18736" t="str">
            <v>Miscellaneous</v>
          </cell>
          <cell r="F18736" t="str">
            <v>Not applicable</v>
          </cell>
        </row>
        <row r="18737">
          <cell r="A18737">
            <v>8924051</v>
          </cell>
          <cell r="B18737">
            <v>122834</v>
          </cell>
          <cell r="C18737" t="str">
            <v>Margaret Glen-Bott School</v>
          </cell>
          <cell r="D18737" t="str">
            <v>Nottingham</v>
          </cell>
          <cell r="E18737" t="str">
            <v>Community School</v>
          </cell>
          <cell r="F18737" t="str">
            <v>Secondary</v>
          </cell>
        </row>
        <row r="18738">
          <cell r="A18738">
            <v>9144003</v>
          </cell>
          <cell r="B18738">
            <v>128844</v>
          </cell>
          <cell r="C18738" t="str">
            <v>Margaret Hardy School</v>
          </cell>
          <cell r="D18738" t="str">
            <v>Pre LGR (1997) East Sussex</v>
          </cell>
          <cell r="E18738" t="str">
            <v>Community School</v>
          </cell>
          <cell r="F18738" t="str">
            <v>Secondary</v>
          </cell>
        </row>
        <row r="18739">
          <cell r="A18739">
            <v>2061009</v>
          </cell>
          <cell r="B18739">
            <v>100384</v>
          </cell>
          <cell r="C18739" t="str">
            <v>Margaret McMillan Nursery School</v>
          </cell>
          <cell r="D18739" t="str">
            <v>Islington</v>
          </cell>
          <cell r="E18739" t="str">
            <v>LA Nursery School</v>
          </cell>
          <cell r="F18739" t="str">
            <v>Nursery</v>
          </cell>
        </row>
        <row r="18740">
          <cell r="A18740">
            <v>3802179</v>
          </cell>
          <cell r="B18740">
            <v>107291</v>
          </cell>
          <cell r="C18740" t="str">
            <v>Margaret McMillan Primary School</v>
          </cell>
          <cell r="D18740" t="str">
            <v>Bradford</v>
          </cell>
          <cell r="E18740" t="str">
            <v>Community School</v>
          </cell>
          <cell r="F18740" t="str">
            <v>Primary</v>
          </cell>
        </row>
        <row r="18741">
          <cell r="A18741">
            <v>3063404</v>
          </cell>
          <cell r="B18741">
            <v>101797</v>
          </cell>
          <cell r="C18741" t="str">
            <v>Margaret Roper Catholic Primary School</v>
          </cell>
          <cell r="D18741" t="str">
            <v>Croydon</v>
          </cell>
          <cell r="E18741" t="str">
            <v>Voluntary Aided School</v>
          </cell>
          <cell r="F18741" t="str">
            <v>Primary</v>
          </cell>
        </row>
        <row r="18742">
          <cell r="A18742">
            <v>8652126</v>
          </cell>
          <cell r="B18742">
            <v>126229</v>
          </cell>
          <cell r="C18742" t="str">
            <v>Margaret Stancomb Nursery and Infants' School</v>
          </cell>
          <cell r="D18742" t="str">
            <v>Wiltshire</v>
          </cell>
          <cell r="E18742" t="str">
            <v>Community School</v>
          </cell>
          <cell r="F18742" t="str">
            <v>Primary</v>
          </cell>
        </row>
        <row r="18743">
          <cell r="A18743">
            <v>6701003</v>
          </cell>
          <cell r="B18743">
            <v>400005</v>
          </cell>
          <cell r="C18743" t="str">
            <v>Margaret Street Nursery</v>
          </cell>
          <cell r="D18743" t="str">
            <v>Swansea</v>
          </cell>
          <cell r="E18743" t="str">
            <v>Welsh Establishment</v>
          </cell>
          <cell r="F18743" t="str">
            <v>Nursery</v>
          </cell>
        </row>
        <row r="18744">
          <cell r="A18744">
            <v>3937002</v>
          </cell>
          <cell r="B18744">
            <v>108739</v>
          </cell>
          <cell r="C18744" t="str">
            <v>Margaret Sutton School</v>
          </cell>
          <cell r="D18744" t="str">
            <v>South Tyneside</v>
          </cell>
          <cell r="E18744" t="str">
            <v>Community Special School</v>
          </cell>
          <cell r="F18744" t="str">
            <v>Special</v>
          </cell>
        </row>
        <row r="18745">
          <cell r="A18745">
            <v>3557010</v>
          </cell>
          <cell r="B18745">
            <v>133075</v>
          </cell>
          <cell r="C18745" t="str">
            <v>Margaret Whitehead School</v>
          </cell>
          <cell r="D18745" t="str">
            <v>Salford</v>
          </cell>
          <cell r="E18745" t="str">
            <v>Community Special School</v>
          </cell>
          <cell r="F18745" t="str">
            <v>Special</v>
          </cell>
        </row>
        <row r="18746">
          <cell r="A18746">
            <v>9192168</v>
          </cell>
          <cell r="B18746">
            <v>117188</v>
          </cell>
          <cell r="C18746" t="str">
            <v>Margaret Wix Primary School</v>
          </cell>
          <cell r="D18746" t="str">
            <v>Hertfordshire</v>
          </cell>
          <cell r="E18746" t="str">
            <v>Community School</v>
          </cell>
          <cell r="F18746" t="str">
            <v>Primary</v>
          </cell>
        </row>
        <row r="18747">
          <cell r="A18747">
            <v>8813220</v>
          </cell>
          <cell r="B18747">
            <v>115116</v>
          </cell>
          <cell r="C18747" t="str">
            <v>Margaretting Church of England Voluntary Controlled Primary School</v>
          </cell>
          <cell r="D18747" t="str">
            <v>Essex</v>
          </cell>
          <cell r="E18747" t="str">
            <v>Voluntary Controlled School</v>
          </cell>
          <cell r="F18747" t="str">
            <v>Primary</v>
          </cell>
        </row>
        <row r="18748">
          <cell r="A18748">
            <v>886943</v>
          </cell>
          <cell r="B18748">
            <v>135613</v>
          </cell>
          <cell r="C18748" t="str">
            <v>Margate Learning Zone</v>
          </cell>
          <cell r="D18748" t="str">
            <v>Kent</v>
          </cell>
          <cell r="E18748" t="str">
            <v>Playing for Success Centres</v>
          </cell>
          <cell r="F18748" t="str">
            <v>Not applicable</v>
          </cell>
        </row>
        <row r="18749">
          <cell r="A18749">
            <v>8863179</v>
          </cell>
          <cell r="B18749">
            <v>118694</v>
          </cell>
          <cell r="C18749" t="str">
            <v>Margate, Holy Trinity and St John's Church of England Primary School</v>
          </cell>
          <cell r="D18749" t="str">
            <v>Kent</v>
          </cell>
          <cell r="E18749" t="str">
            <v>Voluntary Controlled School</v>
          </cell>
          <cell r="F18749" t="str">
            <v>Primary</v>
          </cell>
        </row>
        <row r="18750">
          <cell r="A18750">
            <v>9262246</v>
          </cell>
          <cell r="B18750">
            <v>120900</v>
          </cell>
          <cell r="C18750" t="str">
            <v>Marham Infant School</v>
          </cell>
          <cell r="D18750" t="str">
            <v>Norfolk</v>
          </cell>
          <cell r="E18750" t="str">
            <v>Community School</v>
          </cell>
          <cell r="F18750" t="str">
            <v>Primary</v>
          </cell>
        </row>
        <row r="18751">
          <cell r="A18751">
            <v>9262239</v>
          </cell>
          <cell r="B18751">
            <v>120895</v>
          </cell>
          <cell r="C18751" t="str">
            <v>Marham Junior School</v>
          </cell>
          <cell r="D18751" t="str">
            <v>Norfolk</v>
          </cell>
          <cell r="E18751" t="str">
            <v>Community School</v>
          </cell>
          <cell r="F18751" t="str">
            <v>Primary</v>
          </cell>
        </row>
        <row r="18752">
          <cell r="A18752">
            <v>9083183</v>
          </cell>
          <cell r="B18752">
            <v>111991</v>
          </cell>
          <cell r="C18752" t="str">
            <v>Marhamchurch CofE VC Primary School</v>
          </cell>
          <cell r="D18752" t="str">
            <v>Cornwall</v>
          </cell>
          <cell r="E18752" t="str">
            <v>Voluntary Controlled School</v>
          </cell>
          <cell r="F18752" t="str">
            <v>Primary</v>
          </cell>
        </row>
        <row r="18753">
          <cell r="A18753">
            <v>2024652</v>
          </cell>
          <cell r="B18753">
            <v>100055</v>
          </cell>
          <cell r="C18753" t="str">
            <v>Maria Fidelis Roman Catholic Convent School FCJ</v>
          </cell>
          <cell r="D18753" t="str">
            <v>Camden</v>
          </cell>
          <cell r="E18753" t="str">
            <v>Voluntary Aided School</v>
          </cell>
          <cell r="F18753" t="str">
            <v>Secondary</v>
          </cell>
        </row>
        <row r="18754">
          <cell r="A18754">
            <v>8786043</v>
          </cell>
          <cell r="B18754">
            <v>113621</v>
          </cell>
          <cell r="C18754" t="str">
            <v>Maria Montessori School</v>
          </cell>
          <cell r="D18754" t="str">
            <v>Devon</v>
          </cell>
          <cell r="E18754" t="str">
            <v>Other Independent School</v>
          </cell>
          <cell r="F18754" t="str">
            <v>Not applicable</v>
          </cell>
        </row>
        <row r="18755">
          <cell r="A18755">
            <v>2026399</v>
          </cell>
          <cell r="B18755">
            <v>131978</v>
          </cell>
          <cell r="C18755" t="str">
            <v>Maria Montessori School</v>
          </cell>
          <cell r="D18755" t="str">
            <v>Camden</v>
          </cell>
          <cell r="E18755" t="str">
            <v>Other Independent School</v>
          </cell>
          <cell r="F18755" t="str">
            <v>Not applicable</v>
          </cell>
        </row>
        <row r="18756">
          <cell r="A18756">
            <v>3052008</v>
          </cell>
          <cell r="B18756">
            <v>101592</v>
          </cell>
          <cell r="C18756" t="str">
            <v>Marian Vian Primary School</v>
          </cell>
          <cell r="D18756" t="str">
            <v>Bromley</v>
          </cell>
          <cell r="E18756" t="str">
            <v>Community School</v>
          </cell>
          <cell r="F18756" t="str">
            <v>Primary</v>
          </cell>
        </row>
        <row r="18757">
          <cell r="A18757">
            <v>3434621</v>
          </cell>
          <cell r="B18757">
            <v>104960</v>
          </cell>
          <cell r="C18757" t="str">
            <v>Maricourt Catholic High School</v>
          </cell>
          <cell r="D18757" t="str">
            <v>Sefton</v>
          </cell>
          <cell r="E18757" t="str">
            <v>Voluntary Aided School</v>
          </cell>
          <cell r="F18757" t="str">
            <v>Secondary</v>
          </cell>
        </row>
        <row r="18758">
          <cell r="A18758">
            <v>9377019</v>
          </cell>
          <cell r="B18758">
            <v>125799</v>
          </cell>
          <cell r="C18758" t="str">
            <v>Marie Corelli School</v>
          </cell>
          <cell r="D18758" t="str">
            <v>Warwickshire</v>
          </cell>
          <cell r="E18758" t="str">
            <v>Community Special School</v>
          </cell>
          <cell r="F18758" t="str">
            <v>Special</v>
          </cell>
        </row>
        <row r="18759">
          <cell r="A18759">
            <v>8464021</v>
          </cell>
          <cell r="B18759">
            <v>114582</v>
          </cell>
          <cell r="C18759" t="str">
            <v>Marina High School</v>
          </cell>
          <cell r="D18759" t="str">
            <v>Brighton and Hove</v>
          </cell>
          <cell r="E18759" t="str">
            <v>Community School</v>
          </cell>
          <cell r="F18759" t="str">
            <v>Secondary</v>
          </cell>
        </row>
        <row r="18760">
          <cell r="A18760">
            <v>8796906</v>
          </cell>
          <cell r="B18760">
            <v>136166</v>
          </cell>
          <cell r="C18760" t="str">
            <v>Marine Academy Plymouth</v>
          </cell>
          <cell r="D18760" t="str">
            <v>Plymouth</v>
          </cell>
          <cell r="E18760" t="str">
            <v>Academy Sponsor Led</v>
          </cell>
          <cell r="F18760" t="str">
            <v>Secondary</v>
          </cell>
        </row>
        <row r="18761">
          <cell r="A18761">
            <v>3922058</v>
          </cell>
          <cell r="B18761">
            <v>108589</v>
          </cell>
          <cell r="C18761" t="str">
            <v>Marine Park First School</v>
          </cell>
          <cell r="D18761" t="str">
            <v>North Tyneside</v>
          </cell>
          <cell r="E18761" t="str">
            <v>Community School</v>
          </cell>
          <cell r="F18761" t="str">
            <v>Primary</v>
          </cell>
        </row>
        <row r="18762">
          <cell r="A18762">
            <v>3932020</v>
          </cell>
          <cell r="B18762">
            <v>108675</v>
          </cell>
          <cell r="C18762" t="str">
            <v>Marine Park Primary School</v>
          </cell>
          <cell r="D18762" t="str">
            <v>South Tyneside</v>
          </cell>
          <cell r="E18762" t="str">
            <v>Community School</v>
          </cell>
          <cell r="F18762" t="str">
            <v>Primary</v>
          </cell>
        </row>
        <row r="18763">
          <cell r="A18763">
            <v>2112397</v>
          </cell>
          <cell r="B18763">
            <v>100911</v>
          </cell>
          <cell r="C18763" t="str">
            <v>Marion Richardson Primary School</v>
          </cell>
          <cell r="D18763" t="str">
            <v>Tower Hamlets</v>
          </cell>
          <cell r="E18763" t="str">
            <v>Community School</v>
          </cell>
          <cell r="F18763" t="str">
            <v>Primary</v>
          </cell>
        </row>
        <row r="18764">
          <cell r="A18764">
            <v>8712212</v>
          </cell>
          <cell r="B18764">
            <v>109911</v>
          </cell>
          <cell r="C18764" t="str">
            <v>Marish Infant School and Nursery Unit</v>
          </cell>
          <cell r="D18764" t="str">
            <v>Slough</v>
          </cell>
          <cell r="E18764" t="str">
            <v>Community School</v>
          </cell>
          <cell r="F18764" t="str">
            <v>Primary</v>
          </cell>
        </row>
        <row r="18765">
          <cell r="A18765">
            <v>8712206</v>
          </cell>
          <cell r="B18765">
            <v>109908</v>
          </cell>
          <cell r="C18765" t="str">
            <v>Marish Junior School</v>
          </cell>
          <cell r="D18765" t="str">
            <v>Slough</v>
          </cell>
          <cell r="E18765" t="str">
            <v>Community School</v>
          </cell>
          <cell r="F18765" t="str">
            <v>Primary</v>
          </cell>
        </row>
        <row r="18766">
          <cell r="A18766">
            <v>8713365</v>
          </cell>
          <cell r="B18766">
            <v>134651</v>
          </cell>
          <cell r="C18766" t="str">
            <v>Marish Primary School</v>
          </cell>
          <cell r="D18766" t="str">
            <v>Slough</v>
          </cell>
          <cell r="E18766" t="str">
            <v>Community School</v>
          </cell>
          <cell r="F18766" t="str">
            <v>Primary</v>
          </cell>
        </row>
        <row r="18767">
          <cell r="A18767">
            <v>9204600</v>
          </cell>
          <cell r="B18767">
            <v>129325</v>
          </cell>
          <cell r="C18767" t="str">
            <v>Marist College</v>
          </cell>
          <cell r="D18767" t="str">
            <v>Pre LGR (1996) Humberside</v>
          </cell>
          <cell r="E18767" t="str">
            <v>Voluntary Aided School</v>
          </cell>
          <cell r="F18767" t="str">
            <v>Secondary</v>
          </cell>
        </row>
        <row r="18768">
          <cell r="A18768">
            <v>2056060</v>
          </cell>
          <cell r="B18768">
            <v>126625</v>
          </cell>
          <cell r="C18768" t="str">
            <v>Marist Convent School</v>
          </cell>
          <cell r="D18768" t="str">
            <v>Hammersmith and Fulham</v>
          </cell>
          <cell r="E18768" t="str">
            <v>Other Independent School</v>
          </cell>
          <cell r="F18768" t="str">
            <v>Not applicable</v>
          </cell>
        </row>
        <row r="18769">
          <cell r="A18769">
            <v>8686013</v>
          </cell>
          <cell r="B18769">
            <v>110152</v>
          </cell>
          <cell r="C18769" t="str">
            <v>Marist Senior School</v>
          </cell>
          <cell r="D18769" t="str">
            <v>Windsor and Maidenhead</v>
          </cell>
          <cell r="E18769" t="str">
            <v>Other Independent School</v>
          </cell>
          <cell r="F18769" t="str">
            <v>Not applicable</v>
          </cell>
        </row>
        <row r="18770">
          <cell r="A18770">
            <v>3057005</v>
          </cell>
          <cell r="B18770">
            <v>101697</v>
          </cell>
          <cell r="C18770" t="str">
            <v>Marjorie McClure School</v>
          </cell>
          <cell r="D18770" t="str">
            <v>Bromley</v>
          </cell>
          <cell r="E18770" t="str">
            <v>Community Special School</v>
          </cell>
          <cell r="F18770" t="str">
            <v>Special</v>
          </cell>
        </row>
        <row r="18771">
          <cell r="A18771">
            <v>3137005</v>
          </cell>
          <cell r="B18771">
            <v>102554</v>
          </cell>
          <cell r="C18771" t="str">
            <v>Marjory Kinnon School</v>
          </cell>
          <cell r="D18771" t="str">
            <v>Hounslow</v>
          </cell>
          <cell r="E18771" t="str">
            <v>Community Special School</v>
          </cell>
          <cell r="F18771" t="str">
            <v>Special</v>
          </cell>
        </row>
        <row r="18772">
          <cell r="A18772">
            <v>9333237</v>
          </cell>
          <cell r="B18772">
            <v>123811</v>
          </cell>
          <cell r="C18772" t="str">
            <v>Mark Church of England VC First School</v>
          </cell>
          <cell r="D18772" t="str">
            <v>Somerset</v>
          </cell>
          <cell r="E18772" t="str">
            <v>Voluntary Controlled School</v>
          </cell>
          <cell r="F18772" t="str">
            <v>Primary</v>
          </cell>
        </row>
        <row r="18773">
          <cell r="A18773">
            <v>9336185</v>
          </cell>
          <cell r="B18773">
            <v>123933</v>
          </cell>
          <cell r="C18773" t="str">
            <v>Mark College</v>
          </cell>
          <cell r="D18773" t="str">
            <v>Somerset</v>
          </cell>
          <cell r="E18773" t="str">
            <v>Other Independent Special School</v>
          </cell>
          <cell r="F18773" t="str">
            <v>Not applicable</v>
          </cell>
        </row>
        <row r="18774">
          <cell r="A18774">
            <v>8453331</v>
          </cell>
          <cell r="B18774">
            <v>114558</v>
          </cell>
          <cell r="C18774" t="str">
            <v>Mark Cross Church of England Aided Primary School</v>
          </cell>
          <cell r="D18774" t="str">
            <v>East Sussex</v>
          </cell>
          <cell r="E18774" t="str">
            <v>Voluntary Aided School</v>
          </cell>
          <cell r="F18774" t="str">
            <v>Primary</v>
          </cell>
        </row>
        <row r="18775">
          <cell r="A18775">
            <v>8814263</v>
          </cell>
          <cell r="B18775">
            <v>115213</v>
          </cell>
          <cell r="C18775" t="str">
            <v>Mark Hall Specialist Sport College</v>
          </cell>
          <cell r="D18775" t="str">
            <v>Essex</v>
          </cell>
          <cell r="E18775" t="str">
            <v>Foundation School</v>
          </cell>
          <cell r="F18775" t="str">
            <v>Secondary</v>
          </cell>
        </row>
        <row r="18776">
          <cell r="A18776">
            <v>8224085</v>
          </cell>
          <cell r="B18776">
            <v>109674</v>
          </cell>
          <cell r="C18776" t="str">
            <v>Mark Rutherford School</v>
          </cell>
          <cell r="D18776" t="str">
            <v>Bedford</v>
          </cell>
          <cell r="E18776" t="str">
            <v>Foundation School</v>
          </cell>
          <cell r="F18776" t="str">
            <v>Secondary</v>
          </cell>
        </row>
        <row r="18777">
          <cell r="A18777">
            <v>8896009</v>
          </cell>
          <cell r="B18777">
            <v>133541</v>
          </cell>
          <cell r="C18777" t="str">
            <v>Markazul Uloom</v>
          </cell>
          <cell r="D18777" t="str">
            <v>Blackburn with Darwen</v>
          </cell>
          <cell r="E18777" t="str">
            <v>Other Independent School</v>
          </cell>
          <cell r="F18777" t="str">
            <v>Not applicable</v>
          </cell>
        </row>
        <row r="18778">
          <cell r="A18778">
            <v>8312436</v>
          </cell>
          <cell r="B18778">
            <v>112739</v>
          </cell>
          <cell r="C18778" t="str">
            <v>Markeaton Primary School</v>
          </cell>
          <cell r="D18778" t="str">
            <v>Derby</v>
          </cell>
          <cell r="E18778" t="str">
            <v>Community School</v>
          </cell>
          <cell r="F18778" t="str">
            <v>Primary</v>
          </cell>
        </row>
        <row r="18779">
          <cell r="A18779">
            <v>3551005</v>
          </cell>
          <cell r="B18779">
            <v>105869</v>
          </cell>
          <cell r="C18779" t="str">
            <v>Markendale Nursery School</v>
          </cell>
          <cell r="D18779" t="str">
            <v>Salford</v>
          </cell>
          <cell r="E18779" t="str">
            <v>LA Nursery School</v>
          </cell>
          <cell r="F18779" t="str">
            <v>Nursery</v>
          </cell>
        </row>
        <row r="18780">
          <cell r="A18780">
            <v>8554016</v>
          </cell>
          <cell r="B18780">
            <v>120245</v>
          </cell>
          <cell r="C18780" t="str">
            <v>Market Bosworth High School</v>
          </cell>
          <cell r="D18780" t="str">
            <v>Leicestershire</v>
          </cell>
          <cell r="E18780" t="str">
            <v>Community School</v>
          </cell>
          <cell r="F18780" t="str">
            <v>Secondary</v>
          </cell>
        </row>
        <row r="18781">
          <cell r="A18781">
            <v>9252065</v>
          </cell>
          <cell r="B18781">
            <v>120398</v>
          </cell>
          <cell r="C18781" t="str">
            <v>Market Deeping Community Primary School</v>
          </cell>
          <cell r="D18781" t="str">
            <v>Lincolnshire</v>
          </cell>
          <cell r="E18781" t="str">
            <v>Community School</v>
          </cell>
          <cell r="F18781" t="str">
            <v>Primary</v>
          </cell>
        </row>
        <row r="18782">
          <cell r="A18782">
            <v>8932070</v>
          </cell>
          <cell r="B18782">
            <v>123382</v>
          </cell>
          <cell r="C18782" t="str">
            <v>Market Drayton Infant School</v>
          </cell>
          <cell r="D18782" t="str">
            <v>Shropshire</v>
          </cell>
          <cell r="E18782" t="str">
            <v>Community School</v>
          </cell>
          <cell r="F18782" t="str">
            <v>Primary</v>
          </cell>
        </row>
        <row r="18783">
          <cell r="A18783">
            <v>8932122</v>
          </cell>
          <cell r="B18783">
            <v>123411</v>
          </cell>
          <cell r="C18783" t="str">
            <v>Market Drayton Junior School</v>
          </cell>
          <cell r="D18783" t="str">
            <v>Shropshire</v>
          </cell>
          <cell r="E18783" t="str">
            <v>Community School</v>
          </cell>
          <cell r="F18783" t="str">
            <v>Primary</v>
          </cell>
        </row>
        <row r="18784">
          <cell r="A18784">
            <v>8817065</v>
          </cell>
          <cell r="B18784">
            <v>115473</v>
          </cell>
          <cell r="C18784" t="str">
            <v>Market Field School</v>
          </cell>
          <cell r="D18784" t="str">
            <v>Essex</v>
          </cell>
          <cell r="E18784" t="str">
            <v>Community Special School</v>
          </cell>
          <cell r="F18784" t="str">
            <v>Special</v>
          </cell>
        </row>
        <row r="18785">
          <cell r="A18785">
            <v>8553058</v>
          </cell>
          <cell r="B18785">
            <v>120144</v>
          </cell>
          <cell r="C18785" t="str">
            <v>Market Harborough Church of England Primary School</v>
          </cell>
          <cell r="D18785" t="str">
            <v>Leicestershire</v>
          </cell>
          <cell r="E18785" t="str">
            <v>Voluntary Controlled School</v>
          </cell>
          <cell r="F18785" t="str">
            <v>Primary</v>
          </cell>
        </row>
        <row r="18786">
          <cell r="A18786">
            <v>8552179</v>
          </cell>
          <cell r="B18786">
            <v>119983</v>
          </cell>
          <cell r="C18786" t="str">
            <v>Market Harborough Ridgeway Primary School</v>
          </cell>
          <cell r="D18786" t="str">
            <v>Leicestershire</v>
          </cell>
          <cell r="E18786" t="str">
            <v>Community School</v>
          </cell>
          <cell r="F18786" t="str">
            <v>Primary</v>
          </cell>
        </row>
        <row r="18787">
          <cell r="A18787">
            <v>9254514</v>
          </cell>
          <cell r="B18787">
            <v>120663</v>
          </cell>
          <cell r="C18787" t="str">
            <v>Market Rasen De Aston School</v>
          </cell>
          <cell r="D18787" t="str">
            <v>Lincolnshire</v>
          </cell>
          <cell r="E18787" t="str">
            <v>Foundation School</v>
          </cell>
          <cell r="F18787" t="str">
            <v>Secondary</v>
          </cell>
        </row>
        <row r="18788">
          <cell r="A18788">
            <v>8112882</v>
          </cell>
          <cell r="B18788">
            <v>117912</v>
          </cell>
          <cell r="C18788" t="str">
            <v>Market Weighton Infant School</v>
          </cell>
          <cell r="D18788" t="str">
            <v>East Riding of Yorkshire</v>
          </cell>
          <cell r="E18788" t="str">
            <v>Community School</v>
          </cell>
          <cell r="F18788" t="str">
            <v>Primary</v>
          </cell>
        </row>
        <row r="18789">
          <cell r="A18789">
            <v>6762078</v>
          </cell>
          <cell r="B18789">
            <v>401303</v>
          </cell>
          <cell r="C18789" t="str">
            <v>Markham Primary School</v>
          </cell>
          <cell r="D18789" t="str">
            <v>Caerphilly</v>
          </cell>
          <cell r="E18789" t="str">
            <v>Welsh Establishment</v>
          </cell>
          <cell r="F18789" t="str">
            <v>Primary</v>
          </cell>
        </row>
        <row r="18790">
          <cell r="A18790">
            <v>8153256</v>
          </cell>
          <cell r="B18790">
            <v>121576</v>
          </cell>
          <cell r="C18790" t="str">
            <v>Markington Church of England Primary School</v>
          </cell>
          <cell r="D18790" t="str">
            <v>North Yorkshire</v>
          </cell>
          <cell r="E18790" t="str">
            <v>Voluntary Controlled School</v>
          </cell>
          <cell r="F18790" t="str">
            <v>Primary</v>
          </cell>
        </row>
        <row r="18791">
          <cell r="A18791">
            <v>3502019</v>
          </cell>
          <cell r="B18791">
            <v>105159</v>
          </cell>
          <cell r="C18791" t="str">
            <v>Markland Hill Primary School</v>
          </cell>
          <cell r="D18791" t="str">
            <v>Bolton</v>
          </cell>
          <cell r="E18791" t="str">
            <v>Community School</v>
          </cell>
          <cell r="F18791" t="str">
            <v>Primary</v>
          </cell>
        </row>
        <row r="18792">
          <cell r="A18792">
            <v>9104164</v>
          </cell>
          <cell r="B18792">
            <v>128664</v>
          </cell>
          <cell r="C18792" t="str">
            <v>Markland School</v>
          </cell>
          <cell r="D18792" t="str">
            <v>Pre LGR (1997) Derbyshire</v>
          </cell>
          <cell r="E18792" t="str">
            <v>Community School</v>
          </cell>
          <cell r="F18792" t="str">
            <v>Secondary</v>
          </cell>
        </row>
        <row r="18793">
          <cell r="A18793">
            <v>3012042</v>
          </cell>
          <cell r="B18793">
            <v>101210</v>
          </cell>
          <cell r="C18793" t="str">
            <v>Marks Gate Infants' School</v>
          </cell>
          <cell r="D18793" t="str">
            <v>Barking and Dagenham</v>
          </cell>
          <cell r="E18793" t="str">
            <v>Community School</v>
          </cell>
          <cell r="F18793" t="str">
            <v>Primary</v>
          </cell>
        </row>
        <row r="18794">
          <cell r="A18794">
            <v>3012061</v>
          </cell>
          <cell r="B18794">
            <v>101224</v>
          </cell>
          <cell r="C18794" t="str">
            <v>Marks Gate Junior School</v>
          </cell>
          <cell r="D18794" t="str">
            <v>Barking and Dagenham</v>
          </cell>
          <cell r="E18794" t="str">
            <v>Community School</v>
          </cell>
          <cell r="F18794" t="str">
            <v>Primary</v>
          </cell>
        </row>
        <row r="18795">
          <cell r="A18795">
            <v>8003096</v>
          </cell>
          <cell r="B18795">
            <v>109199</v>
          </cell>
          <cell r="C18795" t="str">
            <v>Marksbury CofE Primary School</v>
          </cell>
          <cell r="D18795" t="str">
            <v>Bath and North East Somerset</v>
          </cell>
          <cell r="E18795" t="str">
            <v>Voluntary Controlled School</v>
          </cell>
          <cell r="F18795" t="str">
            <v>Primary</v>
          </cell>
        </row>
        <row r="18796">
          <cell r="A18796">
            <v>9192074</v>
          </cell>
          <cell r="B18796">
            <v>117127</v>
          </cell>
          <cell r="C18796" t="str">
            <v>Markyate Village School and Nursery</v>
          </cell>
          <cell r="D18796" t="str">
            <v>Hertfordshire</v>
          </cell>
          <cell r="E18796" t="str">
            <v>Community School</v>
          </cell>
          <cell r="F18796" t="str">
            <v>Primary</v>
          </cell>
        </row>
        <row r="18797">
          <cell r="A18797">
            <v>3537005</v>
          </cell>
          <cell r="B18797">
            <v>105751</v>
          </cell>
          <cell r="C18797" t="str">
            <v>Marland Fold Community Special School</v>
          </cell>
          <cell r="D18797" t="str">
            <v>Oldham</v>
          </cell>
          <cell r="E18797" t="str">
            <v>Community Special School</v>
          </cell>
          <cell r="F18797" t="str">
            <v>Special</v>
          </cell>
        </row>
        <row r="18798">
          <cell r="A18798">
            <v>3542025</v>
          </cell>
          <cell r="B18798">
            <v>105778</v>
          </cell>
          <cell r="C18798" t="str">
            <v>Marland Hill Community Primary School</v>
          </cell>
          <cell r="D18798" t="str">
            <v>Rochdale</v>
          </cell>
          <cell r="E18798" t="str">
            <v>Community School</v>
          </cell>
          <cell r="F18798" t="str">
            <v>Primary</v>
          </cell>
        </row>
        <row r="18799">
          <cell r="A18799">
            <v>8786025</v>
          </cell>
          <cell r="B18799">
            <v>113592</v>
          </cell>
          <cell r="C18799" t="str">
            <v>Marland School</v>
          </cell>
          <cell r="D18799" t="str">
            <v>Devon</v>
          </cell>
          <cell r="E18799" t="str">
            <v>Other Independent School</v>
          </cell>
          <cell r="F18799" t="str">
            <v>Not applicable</v>
          </cell>
        </row>
        <row r="18800">
          <cell r="A18800">
            <v>8787088</v>
          </cell>
          <cell r="B18800">
            <v>131552</v>
          </cell>
          <cell r="C18800" t="str">
            <v>Marland School</v>
          </cell>
          <cell r="D18800" t="str">
            <v>Devon</v>
          </cell>
          <cell r="E18800" t="str">
            <v>Community Special School</v>
          </cell>
          <cell r="F18800" t="str">
            <v>Special</v>
          </cell>
        </row>
        <row r="18801">
          <cell r="A18801">
            <v>6812036</v>
          </cell>
          <cell r="B18801">
            <v>401578</v>
          </cell>
          <cell r="C18801" t="str">
            <v>Marlborough  Infant School</v>
          </cell>
          <cell r="D18801" t="str">
            <v>Cardiff</v>
          </cell>
          <cell r="E18801" t="str">
            <v>Welsh Establishment</v>
          </cell>
          <cell r="F18801" t="str">
            <v>Primary</v>
          </cell>
        </row>
        <row r="18802">
          <cell r="A18802">
            <v>8656013</v>
          </cell>
          <cell r="B18802">
            <v>126516</v>
          </cell>
          <cell r="C18802" t="str">
            <v>Marlborough College</v>
          </cell>
          <cell r="D18802" t="str">
            <v>Wiltshire</v>
          </cell>
          <cell r="E18802" t="str">
            <v>Other Independent School</v>
          </cell>
          <cell r="F18802" t="str">
            <v>Not applicable</v>
          </cell>
        </row>
        <row r="18803">
          <cell r="A18803">
            <v>9082131</v>
          </cell>
          <cell r="B18803">
            <v>128536</v>
          </cell>
          <cell r="C18803" t="str">
            <v>Marlborough County Infant School</v>
          </cell>
          <cell r="D18803" t="str">
            <v>Cornwall</v>
          </cell>
          <cell r="E18803" t="str">
            <v>Community School</v>
          </cell>
          <cell r="F18803" t="str">
            <v>Primary</v>
          </cell>
        </row>
        <row r="18804">
          <cell r="A18804">
            <v>7022038</v>
          </cell>
          <cell r="B18804">
            <v>132386</v>
          </cell>
          <cell r="C18804" t="str">
            <v>Marlborough First School</v>
          </cell>
          <cell r="D18804" t="str">
            <v>BFPO Overseas Establishments</v>
          </cell>
          <cell r="E18804" t="str">
            <v>Service Childrens Education</v>
          </cell>
          <cell r="F18804" t="str">
            <v>Not applicable</v>
          </cell>
        </row>
        <row r="18805">
          <cell r="A18805">
            <v>3146069</v>
          </cell>
          <cell r="B18805">
            <v>126952</v>
          </cell>
          <cell r="C18805" t="str">
            <v>Marlborough House Nursery School</v>
          </cell>
          <cell r="D18805" t="str">
            <v>Kingston upon Thames</v>
          </cell>
          <cell r="E18805" t="str">
            <v>Other Independent School</v>
          </cell>
          <cell r="F18805" t="str">
            <v>Not applicable</v>
          </cell>
        </row>
        <row r="18806">
          <cell r="A18806">
            <v>8866005</v>
          </cell>
          <cell r="B18806">
            <v>118942</v>
          </cell>
          <cell r="C18806" t="str">
            <v>Marlborough House School</v>
          </cell>
          <cell r="D18806" t="str">
            <v>Kent</v>
          </cell>
          <cell r="E18806" t="str">
            <v>Other Independent School</v>
          </cell>
          <cell r="F18806" t="str">
            <v>Not applicable</v>
          </cell>
        </row>
        <row r="18807">
          <cell r="A18807">
            <v>3302132</v>
          </cell>
          <cell r="B18807">
            <v>103232</v>
          </cell>
          <cell r="C18807" t="str">
            <v>Marlborough Infant School</v>
          </cell>
          <cell r="D18807" t="str">
            <v>Birmingham</v>
          </cell>
          <cell r="E18807" t="str">
            <v>Community School</v>
          </cell>
          <cell r="F18807" t="str">
            <v>Primary</v>
          </cell>
        </row>
        <row r="18808">
          <cell r="A18808">
            <v>8502516</v>
          </cell>
          <cell r="B18808">
            <v>116143</v>
          </cell>
          <cell r="C18808" t="str">
            <v>Marlborough Infant School</v>
          </cell>
          <cell r="D18808" t="str">
            <v>Hampshire</v>
          </cell>
          <cell r="E18808" t="str">
            <v>Community School</v>
          </cell>
          <cell r="F18808" t="str">
            <v>Primary</v>
          </cell>
        </row>
        <row r="18809">
          <cell r="A18809">
            <v>3302283</v>
          </cell>
          <cell r="B18809">
            <v>103312</v>
          </cell>
          <cell r="C18809" t="str">
            <v>Marlborough Junior School</v>
          </cell>
          <cell r="D18809" t="str">
            <v>Birmingham</v>
          </cell>
          <cell r="E18809" t="str">
            <v>Community School</v>
          </cell>
          <cell r="F18809" t="str">
            <v>Primary</v>
          </cell>
        </row>
        <row r="18810">
          <cell r="A18810">
            <v>6812035</v>
          </cell>
          <cell r="B18810">
            <v>401577</v>
          </cell>
          <cell r="C18810" t="str">
            <v>Marlborough Junior School</v>
          </cell>
          <cell r="D18810" t="str">
            <v>Cardiff</v>
          </cell>
          <cell r="E18810" t="str">
            <v>Welsh Establishment</v>
          </cell>
          <cell r="F18810" t="str">
            <v>Primary</v>
          </cell>
        </row>
        <row r="18811">
          <cell r="A18811">
            <v>8202015</v>
          </cell>
          <cell r="B18811">
            <v>109438</v>
          </cell>
          <cell r="C18811" t="str">
            <v>Marlborough Lower School</v>
          </cell>
          <cell r="D18811" t="str">
            <v>Pre LGR (2009) Bedfordshire</v>
          </cell>
          <cell r="E18811" t="str">
            <v>Community School</v>
          </cell>
          <cell r="F18811" t="str">
            <v>Primary</v>
          </cell>
        </row>
        <row r="18812">
          <cell r="A18812">
            <v>6812326</v>
          </cell>
          <cell r="B18812">
            <v>402272</v>
          </cell>
          <cell r="C18812" t="str">
            <v>Marlborough Primary</v>
          </cell>
          <cell r="D18812" t="str">
            <v>Cardiff</v>
          </cell>
          <cell r="E18812" t="str">
            <v>Welsh Establishment</v>
          </cell>
          <cell r="F18812" t="str">
            <v>Primary</v>
          </cell>
        </row>
        <row r="18813">
          <cell r="A18813">
            <v>2072399</v>
          </cell>
          <cell r="B18813">
            <v>100483</v>
          </cell>
          <cell r="C18813" t="str">
            <v>Marlborough Primary School</v>
          </cell>
          <cell r="D18813" t="str">
            <v>Kensington and Chelsea</v>
          </cell>
          <cell r="E18813" t="str">
            <v>Community School</v>
          </cell>
          <cell r="F18813" t="str">
            <v>Primary</v>
          </cell>
        </row>
        <row r="18814">
          <cell r="A18814">
            <v>3102051</v>
          </cell>
          <cell r="B18814">
            <v>102186</v>
          </cell>
          <cell r="C18814" t="str">
            <v>Marlborough Primary School</v>
          </cell>
          <cell r="D18814" t="str">
            <v>Harrow</v>
          </cell>
          <cell r="E18814" t="str">
            <v>Community School</v>
          </cell>
          <cell r="F18814" t="str">
            <v>Primary</v>
          </cell>
        </row>
        <row r="18815">
          <cell r="A18815">
            <v>3132037</v>
          </cell>
          <cell r="B18815">
            <v>102494</v>
          </cell>
          <cell r="C18815" t="str">
            <v>Marlborough Primary School</v>
          </cell>
          <cell r="D18815" t="str">
            <v>Hounslow</v>
          </cell>
          <cell r="E18815" t="str">
            <v>Community School</v>
          </cell>
          <cell r="F18815" t="str">
            <v>Primary</v>
          </cell>
        </row>
        <row r="18816">
          <cell r="A18816">
            <v>8792682</v>
          </cell>
          <cell r="B18816">
            <v>113306</v>
          </cell>
          <cell r="C18816" t="str">
            <v>Marlborough Primary School</v>
          </cell>
          <cell r="D18816" t="str">
            <v>Plymouth</v>
          </cell>
          <cell r="E18816" t="str">
            <v>Community School</v>
          </cell>
          <cell r="F18816" t="str">
            <v>Primary</v>
          </cell>
        </row>
        <row r="18817">
          <cell r="A18817">
            <v>3552014</v>
          </cell>
          <cell r="B18817">
            <v>127465</v>
          </cell>
          <cell r="C18817" t="str">
            <v>Marlborough Road Infant School</v>
          </cell>
          <cell r="D18817" t="str">
            <v>Salford</v>
          </cell>
          <cell r="E18817" t="str">
            <v>Community School</v>
          </cell>
          <cell r="F18817" t="str">
            <v>Primary</v>
          </cell>
        </row>
        <row r="18818">
          <cell r="A18818">
            <v>3552013</v>
          </cell>
          <cell r="B18818">
            <v>127464</v>
          </cell>
          <cell r="C18818" t="str">
            <v>Marlborough Road Junior School</v>
          </cell>
          <cell r="D18818" t="str">
            <v>Salford</v>
          </cell>
          <cell r="E18818" t="str">
            <v>Community School</v>
          </cell>
          <cell r="F18818" t="str">
            <v>Primary</v>
          </cell>
        </row>
        <row r="18819">
          <cell r="A18819">
            <v>3552094</v>
          </cell>
          <cell r="B18819">
            <v>105926</v>
          </cell>
          <cell r="C18819" t="str">
            <v>Marlborough Road Primary School</v>
          </cell>
          <cell r="D18819" t="str">
            <v>Salford</v>
          </cell>
          <cell r="E18819" t="str">
            <v>Community School</v>
          </cell>
          <cell r="F18819" t="str">
            <v>Primary</v>
          </cell>
        </row>
        <row r="18820">
          <cell r="A18820">
            <v>3037002</v>
          </cell>
          <cell r="B18820">
            <v>101487</v>
          </cell>
          <cell r="C18820" t="str">
            <v>Marlborough School</v>
          </cell>
          <cell r="D18820" t="str">
            <v>Bexley</v>
          </cell>
          <cell r="E18820" t="str">
            <v>Community Special School</v>
          </cell>
          <cell r="F18820" t="str">
            <v>Special</v>
          </cell>
        </row>
        <row r="18821">
          <cell r="A18821">
            <v>9082741</v>
          </cell>
          <cell r="B18821">
            <v>111978</v>
          </cell>
          <cell r="C18821" t="str">
            <v>Marlborough School</v>
          </cell>
          <cell r="D18821" t="str">
            <v>Cornwall</v>
          </cell>
          <cell r="E18821" t="str">
            <v>Community School</v>
          </cell>
          <cell r="F18821" t="str">
            <v>Primary</v>
          </cell>
        </row>
        <row r="18822">
          <cell r="A18822">
            <v>9195414</v>
          </cell>
          <cell r="B18822">
            <v>117586</v>
          </cell>
          <cell r="C18822" t="str">
            <v>Marlborough School</v>
          </cell>
          <cell r="D18822" t="str">
            <v>Hertfordshire</v>
          </cell>
          <cell r="E18822" t="str">
            <v>Foundation School</v>
          </cell>
          <cell r="F18822" t="str">
            <v>Secondary</v>
          </cell>
        </row>
        <row r="18823">
          <cell r="A18823">
            <v>8842063</v>
          </cell>
          <cell r="B18823">
            <v>116684</v>
          </cell>
          <cell r="C18823" t="str">
            <v>Marlbrook Primary School</v>
          </cell>
          <cell r="D18823" t="str">
            <v>Herefordshire</v>
          </cell>
          <cell r="E18823" t="str">
            <v>Community School</v>
          </cell>
          <cell r="F18823" t="str">
            <v>Primary</v>
          </cell>
        </row>
        <row r="18824">
          <cell r="A18824">
            <v>3732079</v>
          </cell>
          <cell r="B18824">
            <v>107000</v>
          </cell>
          <cell r="C18824" t="str">
            <v>Marlcliffe Community Primary School</v>
          </cell>
          <cell r="D18824" t="str">
            <v>Sheffield</v>
          </cell>
          <cell r="E18824" t="str">
            <v>Community School</v>
          </cell>
          <cell r="F18824" t="str">
            <v>Primary</v>
          </cell>
        </row>
        <row r="18825">
          <cell r="A18825">
            <v>8783607</v>
          </cell>
          <cell r="B18825">
            <v>113465</v>
          </cell>
          <cell r="C18825" t="str">
            <v>Marldon Church of England Primary School</v>
          </cell>
          <cell r="D18825" t="str">
            <v>Devon</v>
          </cell>
          <cell r="E18825" t="str">
            <v>Voluntary Aided School</v>
          </cell>
          <cell r="F18825" t="str">
            <v>Primary</v>
          </cell>
        </row>
        <row r="18826">
          <cell r="A18826">
            <v>8881120</v>
          </cell>
          <cell r="B18826">
            <v>129175</v>
          </cell>
          <cell r="C18826" t="str">
            <v>Marles Hill Centre (KS3) C O Personalised Curriculum Support and Service</v>
          </cell>
          <cell r="D18826" t="str">
            <v>Lancashire</v>
          </cell>
          <cell r="E18826" t="str">
            <v>Pupil Referral Unit</v>
          </cell>
          <cell r="F18826" t="str">
            <v>PRU</v>
          </cell>
        </row>
        <row r="18827">
          <cell r="A18827">
            <v>8881111</v>
          </cell>
          <cell r="B18827">
            <v>119114</v>
          </cell>
          <cell r="C18827" t="str">
            <v>Marles Hill School</v>
          </cell>
          <cell r="D18827" t="str">
            <v>Lancashire</v>
          </cell>
          <cell r="E18827" t="str">
            <v>Pupil Referral Unit</v>
          </cell>
          <cell r="F18827" t="str">
            <v>PRU</v>
          </cell>
        </row>
        <row r="18828">
          <cell r="A18828">
            <v>3902171</v>
          </cell>
          <cell r="B18828">
            <v>108341</v>
          </cell>
          <cell r="C18828" t="str">
            <v>Marley Hill Community Primary School</v>
          </cell>
          <cell r="D18828" t="str">
            <v>Gateshead</v>
          </cell>
          <cell r="E18828" t="str">
            <v>Community School</v>
          </cell>
          <cell r="F18828" t="str">
            <v>Primary</v>
          </cell>
        </row>
        <row r="18829">
          <cell r="A18829">
            <v>8952170</v>
          </cell>
          <cell r="B18829">
            <v>111040</v>
          </cell>
          <cell r="C18829" t="str">
            <v>Marlfields Primary School</v>
          </cell>
          <cell r="D18829" t="str">
            <v>Cheshire East</v>
          </cell>
          <cell r="E18829" t="str">
            <v>Community School</v>
          </cell>
          <cell r="F18829" t="str">
            <v>Primary</v>
          </cell>
        </row>
        <row r="18830">
          <cell r="A18830">
            <v>9196223</v>
          </cell>
          <cell r="B18830">
            <v>129176</v>
          </cell>
          <cell r="C18830" t="str">
            <v>Marlin Montessori School</v>
          </cell>
          <cell r="D18830" t="str">
            <v>Hertfordshire</v>
          </cell>
          <cell r="E18830" t="str">
            <v>Other Independent School</v>
          </cell>
          <cell r="F18830" t="str">
            <v>Not applicable</v>
          </cell>
        </row>
        <row r="18831">
          <cell r="A18831">
            <v>9165401</v>
          </cell>
          <cell r="B18831">
            <v>115752</v>
          </cell>
          <cell r="C18831" t="str">
            <v>Marling School</v>
          </cell>
          <cell r="D18831" t="str">
            <v>Gloucestershire</v>
          </cell>
          <cell r="E18831" t="str">
            <v>Foundation School</v>
          </cell>
          <cell r="F18831" t="str">
            <v>Secondary</v>
          </cell>
        </row>
        <row r="18832">
          <cell r="A18832">
            <v>9165401</v>
          </cell>
          <cell r="B18832">
            <v>137123</v>
          </cell>
          <cell r="C18832" t="str">
            <v>Marling School</v>
          </cell>
          <cell r="D18832" t="str">
            <v>Gloucestershire</v>
          </cell>
          <cell r="E18832" t="str">
            <v>Academy Converters</v>
          </cell>
          <cell r="F18832" t="str">
            <v>Secondary</v>
          </cell>
        </row>
        <row r="18833">
          <cell r="A18833">
            <v>8253044</v>
          </cell>
          <cell r="B18833">
            <v>110433</v>
          </cell>
          <cell r="C18833" t="str">
            <v>Marlow Church of England Infant School</v>
          </cell>
          <cell r="D18833" t="str">
            <v>Buckinghamshire</v>
          </cell>
          <cell r="E18833" t="str">
            <v>Voluntary Aided School</v>
          </cell>
          <cell r="F18833" t="str">
            <v>Primary</v>
          </cell>
        </row>
        <row r="18834">
          <cell r="A18834">
            <v>6686014</v>
          </cell>
          <cell r="B18834">
            <v>401990</v>
          </cell>
          <cell r="C18834" t="str">
            <v>Marlowe St David's Education Unit</v>
          </cell>
          <cell r="D18834" t="str">
            <v>Pembrokeshire</v>
          </cell>
          <cell r="E18834" t="str">
            <v>Welsh Establishment</v>
          </cell>
          <cell r="F18834" t="str">
            <v>Not applicable</v>
          </cell>
        </row>
        <row r="18835">
          <cell r="A18835">
            <v>8302125</v>
          </cell>
          <cell r="B18835">
            <v>112562</v>
          </cell>
          <cell r="C18835" t="str">
            <v>Marlpool Infant School</v>
          </cell>
          <cell r="D18835" t="str">
            <v>Derbyshire</v>
          </cell>
          <cell r="E18835" t="str">
            <v>Community School</v>
          </cell>
          <cell r="F18835" t="str">
            <v>Primary</v>
          </cell>
        </row>
        <row r="18836">
          <cell r="A18836">
            <v>8302124</v>
          </cell>
          <cell r="B18836">
            <v>112561</v>
          </cell>
          <cell r="C18836" t="str">
            <v>Marlpool Junior School</v>
          </cell>
          <cell r="D18836" t="str">
            <v>Derbyshire</v>
          </cell>
          <cell r="E18836" t="str">
            <v>Community School</v>
          </cell>
          <cell r="F18836" t="str">
            <v>Primary</v>
          </cell>
        </row>
        <row r="18837">
          <cell r="A18837">
            <v>8034511</v>
          </cell>
          <cell r="B18837">
            <v>109325</v>
          </cell>
          <cell r="C18837" t="str">
            <v>Marlwood School</v>
          </cell>
          <cell r="D18837" t="str">
            <v>South Gloucestershire</v>
          </cell>
          <cell r="E18837" t="str">
            <v>Voluntary Controlled School</v>
          </cell>
          <cell r="F18837" t="str">
            <v>Secondary</v>
          </cell>
        </row>
        <row r="18838">
          <cell r="A18838">
            <v>8602304</v>
          </cell>
          <cell r="B18838">
            <v>124137</v>
          </cell>
          <cell r="C18838" t="str">
            <v>Marmion Junior School</v>
          </cell>
          <cell r="D18838" t="str">
            <v>Staffordshire</v>
          </cell>
          <cell r="E18838" t="str">
            <v>Community School</v>
          </cell>
          <cell r="F18838" t="str">
            <v>Primary</v>
          </cell>
        </row>
        <row r="18839">
          <cell r="A18839">
            <v>8502298</v>
          </cell>
          <cell r="B18839">
            <v>116023</v>
          </cell>
          <cell r="C18839" t="str">
            <v>Marnel Community Infant School</v>
          </cell>
          <cell r="D18839" t="str">
            <v>Hampshire</v>
          </cell>
          <cell r="E18839" t="str">
            <v>Community School</v>
          </cell>
          <cell r="F18839" t="str">
            <v>Primary</v>
          </cell>
        </row>
        <row r="18840">
          <cell r="A18840">
            <v>8502287</v>
          </cell>
          <cell r="B18840">
            <v>116017</v>
          </cell>
          <cell r="C18840" t="str">
            <v>Marnel Junior School</v>
          </cell>
          <cell r="D18840" t="str">
            <v>Hampshire</v>
          </cell>
          <cell r="E18840" t="str">
            <v>Community School</v>
          </cell>
          <cell r="F18840" t="str">
            <v>Primary</v>
          </cell>
        </row>
        <row r="18841">
          <cell r="A18841">
            <v>2112402</v>
          </cell>
          <cell r="B18841">
            <v>100912</v>
          </cell>
          <cell r="C18841" t="str">
            <v>Marner Primary School</v>
          </cell>
          <cell r="D18841" t="str">
            <v>Tower Hamlets</v>
          </cell>
          <cell r="E18841" t="str">
            <v>Community School</v>
          </cell>
          <cell r="F18841" t="str">
            <v>Primary</v>
          </cell>
        </row>
        <row r="18842">
          <cell r="A18842">
            <v>7052024</v>
          </cell>
          <cell r="B18842">
            <v>132461</v>
          </cell>
          <cell r="C18842" t="str">
            <v>Marown Primary School</v>
          </cell>
          <cell r="D18842" t="str">
            <v>Isle of Man Offshore Establishments</v>
          </cell>
          <cell r="E18842" t="str">
            <v>Offshore Schools</v>
          </cell>
          <cell r="F18842" t="str">
            <v>Not applicable</v>
          </cell>
        </row>
        <row r="18843">
          <cell r="A18843">
            <v>3564026</v>
          </cell>
          <cell r="B18843">
            <v>127513</v>
          </cell>
          <cell r="C18843" t="str">
            <v>Marple Hall High School</v>
          </cell>
          <cell r="D18843" t="str">
            <v>Stockport</v>
          </cell>
          <cell r="E18843" t="str">
            <v>Community School</v>
          </cell>
          <cell r="F18843" t="str">
            <v>Secondary</v>
          </cell>
        </row>
        <row r="18844">
          <cell r="A18844">
            <v>3564037</v>
          </cell>
          <cell r="B18844">
            <v>106138</v>
          </cell>
          <cell r="C18844" t="str">
            <v>Marple Hall School - A Specialist Language College</v>
          </cell>
          <cell r="D18844" t="str">
            <v>Stockport</v>
          </cell>
          <cell r="E18844" t="str">
            <v>Community School</v>
          </cell>
          <cell r="F18844" t="str">
            <v>Secondary</v>
          </cell>
        </row>
        <row r="18845">
          <cell r="A18845">
            <v>3564025</v>
          </cell>
          <cell r="B18845">
            <v>127512</v>
          </cell>
          <cell r="C18845" t="str">
            <v>Marple Ridge High School</v>
          </cell>
          <cell r="D18845" t="str">
            <v>Stockport</v>
          </cell>
          <cell r="E18845" t="str">
            <v>Community School</v>
          </cell>
          <cell r="F18845" t="str">
            <v>Secondary</v>
          </cell>
        </row>
        <row r="18846">
          <cell r="A18846">
            <v>8782045</v>
          </cell>
          <cell r="B18846">
            <v>113096</v>
          </cell>
          <cell r="C18846" t="str">
            <v>Marpool Primary School</v>
          </cell>
          <cell r="D18846" t="str">
            <v>Devon</v>
          </cell>
          <cell r="E18846" t="str">
            <v>Community School</v>
          </cell>
          <cell r="F18846" t="str">
            <v>Primary</v>
          </cell>
        </row>
        <row r="18847">
          <cell r="A18847">
            <v>8562352</v>
          </cell>
          <cell r="B18847">
            <v>120077</v>
          </cell>
          <cell r="C18847" t="str">
            <v>Marriott Primary School</v>
          </cell>
          <cell r="D18847" t="str">
            <v>Leicester</v>
          </cell>
          <cell r="E18847" t="str">
            <v>Community School</v>
          </cell>
          <cell r="F18847" t="str">
            <v>Primary</v>
          </cell>
        </row>
        <row r="18848">
          <cell r="A18848">
            <v>9194116</v>
          </cell>
          <cell r="B18848">
            <v>117534</v>
          </cell>
          <cell r="C18848" t="str">
            <v>Marriotts School</v>
          </cell>
          <cell r="D18848" t="str">
            <v>Hertfordshire</v>
          </cell>
          <cell r="E18848" t="str">
            <v>Community School</v>
          </cell>
          <cell r="F18848" t="str">
            <v>Secondary</v>
          </cell>
        </row>
        <row r="18849">
          <cell r="A18849">
            <v>8882089</v>
          </cell>
          <cell r="B18849">
            <v>119176</v>
          </cell>
          <cell r="C18849" t="str">
            <v>Marsden Community Primary School</v>
          </cell>
          <cell r="D18849" t="str">
            <v>Lancashire</v>
          </cell>
          <cell r="E18849" t="str">
            <v>Community School</v>
          </cell>
          <cell r="F18849" t="str">
            <v>Primary</v>
          </cell>
        </row>
        <row r="18850">
          <cell r="A18850">
            <v>8884800</v>
          </cell>
          <cell r="B18850">
            <v>134990</v>
          </cell>
          <cell r="C18850" t="str">
            <v>Marsden Heights Community College</v>
          </cell>
          <cell r="D18850" t="str">
            <v>Lancashire</v>
          </cell>
          <cell r="E18850" t="str">
            <v>Community School</v>
          </cell>
          <cell r="F18850" t="str">
            <v>Secondary</v>
          </cell>
        </row>
        <row r="18851">
          <cell r="A18851">
            <v>3822073</v>
          </cell>
          <cell r="B18851">
            <v>107644</v>
          </cell>
          <cell r="C18851" t="str">
            <v>Marsden Infant and Nursery School</v>
          </cell>
          <cell r="D18851" t="str">
            <v>Kirklees</v>
          </cell>
          <cell r="E18851" t="str">
            <v>Community School</v>
          </cell>
          <cell r="F18851" t="str">
            <v>Primary</v>
          </cell>
        </row>
        <row r="18852">
          <cell r="A18852">
            <v>3822116</v>
          </cell>
          <cell r="B18852">
            <v>107675</v>
          </cell>
          <cell r="C18852" t="str">
            <v>Marsden Junior School</v>
          </cell>
          <cell r="D18852" t="str">
            <v>Kirklees</v>
          </cell>
          <cell r="E18852" t="str">
            <v>Community School</v>
          </cell>
          <cell r="F18852" t="str">
            <v>Primary</v>
          </cell>
        </row>
        <row r="18853">
          <cell r="A18853">
            <v>3932042</v>
          </cell>
          <cell r="B18853">
            <v>108687</v>
          </cell>
          <cell r="C18853" t="str">
            <v>Marsden Primary School</v>
          </cell>
          <cell r="D18853" t="str">
            <v>South Tyneside</v>
          </cell>
          <cell r="E18853" t="str">
            <v>Community School</v>
          </cell>
          <cell r="F18853" t="str">
            <v>Primary</v>
          </cell>
        </row>
        <row r="18854">
          <cell r="A18854">
            <v>8866909</v>
          </cell>
          <cell r="B18854">
            <v>135290</v>
          </cell>
          <cell r="C18854" t="str">
            <v>Marsh Academy</v>
          </cell>
          <cell r="D18854" t="str">
            <v>Kent</v>
          </cell>
          <cell r="E18854" t="str">
            <v>Academy Sponsor Led</v>
          </cell>
          <cell r="F18854" t="str">
            <v>Secondary</v>
          </cell>
        </row>
        <row r="18855">
          <cell r="A18855">
            <v>9313188</v>
          </cell>
          <cell r="B18855">
            <v>123131</v>
          </cell>
          <cell r="C18855" t="str">
            <v>Marsh Baldon Church of England Controlled School</v>
          </cell>
          <cell r="D18855" t="str">
            <v>Oxfordshire</v>
          </cell>
          <cell r="E18855" t="str">
            <v>Voluntary Controlled School</v>
          </cell>
          <cell r="F18855" t="str">
            <v>Primary</v>
          </cell>
        </row>
        <row r="18856">
          <cell r="A18856">
            <v>9176346</v>
          </cell>
          <cell r="B18856">
            <v>129066</v>
          </cell>
          <cell r="C18856" t="str">
            <v>Marsh Court House School</v>
          </cell>
          <cell r="D18856" t="str">
            <v>Pre LGR (1997) Hampshire</v>
          </cell>
          <cell r="E18856" t="str">
            <v>Other Independent School</v>
          </cell>
          <cell r="F18856" t="str">
            <v>Not applicable</v>
          </cell>
        </row>
        <row r="18857">
          <cell r="A18857">
            <v>9176030</v>
          </cell>
          <cell r="B18857">
            <v>129052</v>
          </cell>
          <cell r="C18857" t="str">
            <v>Marsh Court School</v>
          </cell>
          <cell r="D18857" t="str">
            <v>Pre LGR (1997) Hampshire</v>
          </cell>
          <cell r="E18857" t="str">
            <v>Other Independent School</v>
          </cell>
          <cell r="F18857" t="str">
            <v>Not applicable</v>
          </cell>
        </row>
        <row r="18858">
          <cell r="A18858">
            <v>8253012</v>
          </cell>
          <cell r="B18858">
            <v>110411</v>
          </cell>
          <cell r="C18858" t="str">
            <v>Marsh Gibbon CofE Infant School</v>
          </cell>
          <cell r="D18858" t="str">
            <v>Buckinghamshire</v>
          </cell>
          <cell r="E18858" t="str">
            <v>Voluntary Aided School</v>
          </cell>
          <cell r="F18858" t="str">
            <v>Primary</v>
          </cell>
        </row>
        <row r="18859">
          <cell r="A18859">
            <v>3012043</v>
          </cell>
          <cell r="B18859">
            <v>101211</v>
          </cell>
          <cell r="C18859" t="str">
            <v>Marsh Green Primary School</v>
          </cell>
          <cell r="D18859" t="str">
            <v>Barking and Dagenham</v>
          </cell>
          <cell r="E18859" t="str">
            <v>Community School</v>
          </cell>
          <cell r="F18859" t="str">
            <v>Primary</v>
          </cell>
        </row>
        <row r="18860">
          <cell r="A18860">
            <v>3592009</v>
          </cell>
          <cell r="B18860">
            <v>106403</v>
          </cell>
          <cell r="C18860" t="str">
            <v>Marsh Green Primary School</v>
          </cell>
          <cell r="D18860" t="str">
            <v>Wigan</v>
          </cell>
          <cell r="E18860" t="str">
            <v>Community School</v>
          </cell>
          <cell r="F18860" t="str">
            <v>Primary</v>
          </cell>
        </row>
        <row r="18861">
          <cell r="A18861">
            <v>3301012</v>
          </cell>
          <cell r="B18861">
            <v>103126</v>
          </cell>
          <cell r="C18861" t="str">
            <v>Marsh Hill Nursery School</v>
          </cell>
          <cell r="D18861" t="str">
            <v>Birmingham</v>
          </cell>
          <cell r="E18861" t="str">
            <v>LA Nursery School</v>
          </cell>
          <cell r="F18861" t="str">
            <v>Nursery</v>
          </cell>
        </row>
        <row r="18862">
          <cell r="A18862">
            <v>3302133</v>
          </cell>
          <cell r="B18862">
            <v>103233</v>
          </cell>
          <cell r="C18862" t="str">
            <v>Marsh Hill Primary School</v>
          </cell>
          <cell r="D18862" t="str">
            <v>Birmingham</v>
          </cell>
          <cell r="E18862" t="str">
            <v>Community School</v>
          </cell>
          <cell r="F18862" t="str">
            <v>Primary</v>
          </cell>
        </row>
        <row r="18863">
          <cell r="A18863">
            <v>8302097</v>
          </cell>
          <cell r="B18863">
            <v>112544</v>
          </cell>
          <cell r="C18863" t="str">
            <v>Marsh Lane Primary School</v>
          </cell>
          <cell r="D18863" t="str">
            <v>Derbyshire</v>
          </cell>
          <cell r="E18863" t="str">
            <v>Community School</v>
          </cell>
          <cell r="F18863" t="str">
            <v>Primary</v>
          </cell>
        </row>
        <row r="18864">
          <cell r="A18864">
            <v>8602205</v>
          </cell>
          <cell r="B18864">
            <v>124083</v>
          </cell>
          <cell r="C18864" t="str">
            <v>Marsh Primary School</v>
          </cell>
          <cell r="D18864" t="str">
            <v>Staffordshire</v>
          </cell>
          <cell r="E18864" t="str">
            <v>Community School</v>
          </cell>
          <cell r="F18864" t="str">
            <v>Primary</v>
          </cell>
        </row>
        <row r="18865">
          <cell r="A18865">
            <v>8252049</v>
          </cell>
          <cell r="B18865">
            <v>110234</v>
          </cell>
          <cell r="C18865" t="str">
            <v>Marsh School</v>
          </cell>
          <cell r="D18865" t="str">
            <v>Buckinghamshire</v>
          </cell>
          <cell r="E18865" t="str">
            <v>Community School</v>
          </cell>
          <cell r="F18865" t="str">
            <v>Primary</v>
          </cell>
        </row>
        <row r="18866">
          <cell r="A18866">
            <v>3526064</v>
          </cell>
          <cell r="B18866">
            <v>135918</v>
          </cell>
          <cell r="C18866" t="str">
            <v>Marshall Road Independent School</v>
          </cell>
          <cell r="D18866" t="str">
            <v>Manchester</v>
          </cell>
          <cell r="E18866" t="str">
            <v>Other Independent Special School</v>
          </cell>
          <cell r="F18866" t="str">
            <v>Not applicable</v>
          </cell>
        </row>
        <row r="18867">
          <cell r="A18867">
            <v>3114037</v>
          </cell>
          <cell r="B18867">
            <v>102345</v>
          </cell>
          <cell r="C18867" t="str">
            <v>Marshalls Park School</v>
          </cell>
          <cell r="D18867" t="str">
            <v>Havering</v>
          </cell>
          <cell r="E18867" t="str">
            <v>Foundation School</v>
          </cell>
          <cell r="F18867" t="str">
            <v>Secondary</v>
          </cell>
        </row>
        <row r="18868">
          <cell r="A18868">
            <v>9262107</v>
          </cell>
          <cell r="B18868">
            <v>120831</v>
          </cell>
          <cell r="C18868" t="str">
            <v>Marsham Primary School</v>
          </cell>
          <cell r="D18868" t="str">
            <v>Norfolk</v>
          </cell>
          <cell r="E18868" t="str">
            <v>Community School</v>
          </cell>
          <cell r="F18868" t="str">
            <v>Primary</v>
          </cell>
        </row>
        <row r="18869">
          <cell r="A18869">
            <v>8602323</v>
          </cell>
          <cell r="B18869">
            <v>124148</v>
          </cell>
          <cell r="C18869" t="str">
            <v>Marshbrook First School</v>
          </cell>
          <cell r="D18869" t="str">
            <v>Staffordshire</v>
          </cell>
          <cell r="E18869" t="str">
            <v>Community School</v>
          </cell>
          <cell r="F18869" t="str">
            <v>Primary</v>
          </cell>
        </row>
        <row r="18870">
          <cell r="A18870">
            <v>9252174</v>
          </cell>
          <cell r="B18870">
            <v>120461</v>
          </cell>
          <cell r="C18870" t="str">
            <v>Marshchapel Primary School</v>
          </cell>
          <cell r="D18870" t="str">
            <v>Lincolnshire</v>
          </cell>
          <cell r="E18870" t="str">
            <v>Community School</v>
          </cell>
          <cell r="F18870" t="str">
            <v>Primary</v>
          </cell>
        </row>
        <row r="18871">
          <cell r="A18871">
            <v>2051003</v>
          </cell>
          <cell r="B18871">
            <v>100313</v>
          </cell>
          <cell r="C18871" t="str">
            <v>Marshcroft Early Years Centre</v>
          </cell>
          <cell r="D18871" t="str">
            <v>Hammersmith and Fulham</v>
          </cell>
          <cell r="E18871" t="str">
            <v>LA Nursery School</v>
          </cell>
          <cell r="F18871" t="str">
            <v>Nursery</v>
          </cell>
        </row>
        <row r="18872">
          <cell r="A18872">
            <v>8033053</v>
          </cell>
          <cell r="B18872">
            <v>109168</v>
          </cell>
          <cell r="C18872" t="str">
            <v>Marshfield Church of England Primary School</v>
          </cell>
          <cell r="D18872" t="str">
            <v>South Gloucestershire</v>
          </cell>
          <cell r="E18872" t="str">
            <v>Voluntary Controlled School</v>
          </cell>
          <cell r="F18872" t="str">
            <v>Primary</v>
          </cell>
        </row>
        <row r="18873">
          <cell r="A18873">
            <v>3802048</v>
          </cell>
          <cell r="B18873">
            <v>107215</v>
          </cell>
          <cell r="C18873" t="str">
            <v>Marshfield Primary School</v>
          </cell>
          <cell r="D18873" t="str">
            <v>Bradford</v>
          </cell>
          <cell r="E18873" t="str">
            <v>Community School</v>
          </cell>
          <cell r="F18873" t="str">
            <v>Primary</v>
          </cell>
        </row>
        <row r="18874">
          <cell r="A18874">
            <v>6802236</v>
          </cell>
          <cell r="B18874">
            <v>401536</v>
          </cell>
          <cell r="C18874" t="str">
            <v>Marshfield Primary School</v>
          </cell>
          <cell r="D18874" t="str">
            <v>Newport</v>
          </cell>
          <cell r="E18874" t="str">
            <v>Welsh Establishment</v>
          </cell>
          <cell r="F18874" t="str">
            <v>Primary</v>
          </cell>
        </row>
        <row r="18875">
          <cell r="A18875">
            <v>8747013</v>
          </cell>
          <cell r="B18875">
            <v>110943</v>
          </cell>
          <cell r="C18875" t="str">
            <v>Marshfields School</v>
          </cell>
          <cell r="D18875" t="str">
            <v>Peterborough</v>
          </cell>
          <cell r="E18875" t="str">
            <v>Community Special School</v>
          </cell>
          <cell r="F18875" t="str">
            <v>Special</v>
          </cell>
        </row>
        <row r="18876">
          <cell r="A18876">
            <v>3182040</v>
          </cell>
          <cell r="B18876">
            <v>133728</v>
          </cell>
          <cell r="C18876" t="str">
            <v>Marshgate Primary School</v>
          </cell>
          <cell r="D18876" t="str">
            <v>Richmond upon Thames</v>
          </cell>
          <cell r="E18876" t="str">
            <v>Community School</v>
          </cell>
          <cell r="F18876" t="str">
            <v>Primary</v>
          </cell>
        </row>
        <row r="18877">
          <cell r="A18877">
            <v>9265404</v>
          </cell>
          <cell r="B18877">
            <v>121212</v>
          </cell>
          <cell r="C18877" t="str">
            <v>Marshland High School</v>
          </cell>
          <cell r="D18877" t="str">
            <v>Norfolk</v>
          </cell>
          <cell r="E18877" t="str">
            <v>Foundation School</v>
          </cell>
          <cell r="F18877" t="str">
            <v>Secondary</v>
          </cell>
        </row>
        <row r="18878">
          <cell r="A18878">
            <v>3712101</v>
          </cell>
          <cell r="B18878">
            <v>106690</v>
          </cell>
          <cell r="C18878" t="str">
            <v>Marshland Primary School</v>
          </cell>
          <cell r="D18878" t="str">
            <v>Doncaster</v>
          </cell>
          <cell r="E18878" t="str">
            <v>Community School</v>
          </cell>
          <cell r="F18878" t="str">
            <v>Primary</v>
          </cell>
        </row>
        <row r="18879">
          <cell r="A18879">
            <v>9263108</v>
          </cell>
          <cell r="B18879">
            <v>121073</v>
          </cell>
          <cell r="C18879" t="str">
            <v>Marshland St James VC Primary School and Nursery</v>
          </cell>
          <cell r="D18879" t="str">
            <v>Norfolk</v>
          </cell>
          <cell r="E18879" t="str">
            <v>Voluntary Controlled School</v>
          </cell>
          <cell r="F18879" t="str">
            <v>Primary</v>
          </cell>
        </row>
        <row r="18880">
          <cell r="A18880">
            <v>9204487</v>
          </cell>
          <cell r="B18880">
            <v>129316</v>
          </cell>
          <cell r="C18880" t="str">
            <v>Marshlands Middle School</v>
          </cell>
          <cell r="D18880" t="str">
            <v>Pre LGR (1996) Humberside</v>
          </cell>
          <cell r="E18880" t="str">
            <v>Community School</v>
          </cell>
          <cell r="F18880" t="str">
            <v>Middle Deemed Secondary</v>
          </cell>
        </row>
        <row r="18881">
          <cell r="A18881">
            <v>8452113</v>
          </cell>
          <cell r="B18881">
            <v>114442</v>
          </cell>
          <cell r="C18881" t="str">
            <v>Marshlands Primary School</v>
          </cell>
          <cell r="D18881" t="str">
            <v>East Sussex</v>
          </cell>
          <cell r="E18881" t="str">
            <v>Foundation School</v>
          </cell>
          <cell r="F18881" t="str">
            <v>Primary</v>
          </cell>
        </row>
        <row r="18882">
          <cell r="A18882">
            <v>8112910</v>
          </cell>
          <cell r="B18882">
            <v>117937</v>
          </cell>
          <cell r="C18882" t="str">
            <v>Marshlands Primary School</v>
          </cell>
          <cell r="D18882" t="str">
            <v>East Riding of Yorkshire</v>
          </cell>
          <cell r="E18882" t="str">
            <v>Community School</v>
          </cell>
          <cell r="F18882" t="str">
            <v>Primary</v>
          </cell>
        </row>
        <row r="18883">
          <cell r="A18883">
            <v>8607037</v>
          </cell>
          <cell r="B18883">
            <v>124518</v>
          </cell>
          <cell r="C18883" t="str">
            <v>Marshlands School</v>
          </cell>
          <cell r="D18883" t="str">
            <v>Staffordshire</v>
          </cell>
          <cell r="E18883" t="str">
            <v>Community Special School</v>
          </cell>
          <cell r="F18883" t="str">
            <v>Special</v>
          </cell>
        </row>
        <row r="18884">
          <cell r="A18884">
            <v>3432047</v>
          </cell>
          <cell r="B18884">
            <v>104866</v>
          </cell>
          <cell r="C18884" t="str">
            <v>Marshside Primary School</v>
          </cell>
          <cell r="D18884" t="str">
            <v>Sefton</v>
          </cell>
          <cell r="E18884" t="str">
            <v>Community School</v>
          </cell>
          <cell r="F18884" t="str">
            <v>Primary</v>
          </cell>
        </row>
        <row r="18885">
          <cell r="A18885">
            <v>8353338</v>
          </cell>
          <cell r="B18885">
            <v>113806</v>
          </cell>
          <cell r="C18885" t="str">
            <v>Marshwood Church of England Aided Primary School</v>
          </cell>
          <cell r="D18885" t="str">
            <v>Dorset</v>
          </cell>
          <cell r="E18885" t="str">
            <v>Voluntary Aided School</v>
          </cell>
          <cell r="F18885" t="str">
            <v>Primary</v>
          </cell>
        </row>
        <row r="18886">
          <cell r="A18886">
            <v>3342081</v>
          </cell>
          <cell r="B18886">
            <v>104073</v>
          </cell>
          <cell r="C18886" t="str">
            <v>Marston Green Infant School</v>
          </cell>
          <cell r="D18886" t="str">
            <v>Solihull</v>
          </cell>
          <cell r="E18886" t="str">
            <v>Community School</v>
          </cell>
          <cell r="F18886" t="str">
            <v>Primary</v>
          </cell>
        </row>
        <row r="18887">
          <cell r="A18887">
            <v>3342051</v>
          </cell>
          <cell r="B18887">
            <v>104060</v>
          </cell>
          <cell r="C18887" t="str">
            <v>Marston Green Junior School</v>
          </cell>
          <cell r="D18887" t="str">
            <v>Solihull</v>
          </cell>
          <cell r="E18887" t="str">
            <v>Community School</v>
          </cell>
          <cell r="F18887" t="str">
            <v>Primary</v>
          </cell>
        </row>
        <row r="18888">
          <cell r="A18888">
            <v>9314143</v>
          </cell>
          <cell r="B18888">
            <v>123264</v>
          </cell>
          <cell r="C18888" t="str">
            <v>Marston Middle School</v>
          </cell>
          <cell r="D18888" t="str">
            <v>Oxfordshire</v>
          </cell>
          <cell r="E18888" t="str">
            <v>Community School</v>
          </cell>
          <cell r="F18888" t="str">
            <v>Middle Deemed Secondary</v>
          </cell>
        </row>
        <row r="18889">
          <cell r="A18889">
            <v>8302169</v>
          </cell>
          <cell r="B18889">
            <v>112589</v>
          </cell>
          <cell r="C18889" t="str">
            <v>Marston Montgomery Primary School</v>
          </cell>
          <cell r="D18889" t="str">
            <v>Derbyshire</v>
          </cell>
          <cell r="E18889" t="str">
            <v>Community School</v>
          </cell>
          <cell r="F18889" t="str">
            <v>Primary</v>
          </cell>
        </row>
        <row r="18890">
          <cell r="A18890">
            <v>8224035</v>
          </cell>
          <cell r="B18890">
            <v>109653</v>
          </cell>
          <cell r="C18890" t="str">
            <v>Marston Vale Middle School</v>
          </cell>
          <cell r="D18890" t="str">
            <v>Bedford</v>
          </cell>
          <cell r="E18890" t="str">
            <v>Community School</v>
          </cell>
          <cell r="F18890" t="str">
            <v>Middle Deemed Secondary</v>
          </cell>
        </row>
        <row r="18891">
          <cell r="A18891">
            <v>8253315</v>
          </cell>
          <cell r="B18891">
            <v>110454</v>
          </cell>
          <cell r="C18891" t="str">
            <v>Marsworth Church of England Infant School</v>
          </cell>
          <cell r="D18891" t="str">
            <v>Buckinghamshire</v>
          </cell>
          <cell r="E18891" t="str">
            <v>Voluntary Aided School</v>
          </cell>
          <cell r="F18891" t="str">
            <v>Primary</v>
          </cell>
        </row>
        <row r="18892">
          <cell r="A18892">
            <v>8606444</v>
          </cell>
          <cell r="B18892">
            <v>136685</v>
          </cell>
          <cell r="C18892" t="str">
            <v>Martec Training</v>
          </cell>
          <cell r="D18892" t="str">
            <v>Staffordshire</v>
          </cell>
          <cell r="E18892" t="str">
            <v>Other Independent School</v>
          </cell>
          <cell r="F18892" t="str">
            <v>Not applicable</v>
          </cell>
        </row>
        <row r="18893">
          <cell r="A18893">
            <v>3521007</v>
          </cell>
          <cell r="B18893">
            <v>105384</v>
          </cell>
          <cell r="C18893" t="str">
            <v>Martenscroft Nursery School &amp; Sure Start Children's Centre</v>
          </cell>
          <cell r="D18893" t="str">
            <v>Manchester</v>
          </cell>
          <cell r="E18893" t="str">
            <v>LA Nursery School</v>
          </cell>
          <cell r="F18893" t="str">
            <v>Nursery</v>
          </cell>
        </row>
        <row r="18894">
          <cell r="A18894">
            <v>9262108</v>
          </cell>
          <cell r="B18894">
            <v>120832</v>
          </cell>
          <cell r="C18894" t="str">
            <v>Martham First School and Nursery</v>
          </cell>
          <cell r="D18894" t="str">
            <v>Norfolk</v>
          </cell>
          <cell r="E18894" t="str">
            <v>Community School</v>
          </cell>
          <cell r="F18894" t="str">
            <v>Primary</v>
          </cell>
        </row>
        <row r="18895">
          <cell r="A18895">
            <v>9262006</v>
          </cell>
          <cell r="B18895">
            <v>134044</v>
          </cell>
          <cell r="C18895" t="str">
            <v>Martham Foundation Primary School and Nursery</v>
          </cell>
          <cell r="D18895" t="str">
            <v>Norfolk</v>
          </cell>
          <cell r="E18895" t="str">
            <v>Foundation School</v>
          </cell>
          <cell r="F18895" t="str">
            <v>Primary</v>
          </cell>
        </row>
        <row r="18896">
          <cell r="A18896">
            <v>9262006</v>
          </cell>
          <cell r="B18896">
            <v>136356</v>
          </cell>
          <cell r="C18896" t="str">
            <v>Martham Foundation Primary School and Nursery</v>
          </cell>
          <cell r="D18896" t="str">
            <v>Norfolk</v>
          </cell>
          <cell r="E18896" t="str">
            <v>Academy Converters</v>
          </cell>
          <cell r="F18896" t="str">
            <v>Primary</v>
          </cell>
        </row>
        <row r="18897">
          <cell r="A18897">
            <v>3842054</v>
          </cell>
          <cell r="B18897">
            <v>108148</v>
          </cell>
          <cell r="C18897" t="str">
            <v>Martin Frobisher Infant School</v>
          </cell>
          <cell r="D18897" t="str">
            <v>Wakefield</v>
          </cell>
          <cell r="E18897" t="str">
            <v>Community School</v>
          </cell>
          <cell r="F18897" t="str">
            <v>Primary</v>
          </cell>
        </row>
        <row r="18898">
          <cell r="A18898">
            <v>3022040</v>
          </cell>
          <cell r="B18898">
            <v>101292</v>
          </cell>
          <cell r="C18898" t="str">
            <v>Martin Infant School</v>
          </cell>
          <cell r="D18898" t="str">
            <v>Barnet</v>
          </cell>
          <cell r="E18898" t="str">
            <v>Community School</v>
          </cell>
          <cell r="F18898" t="str">
            <v>Primary</v>
          </cell>
        </row>
        <row r="18899">
          <cell r="A18899">
            <v>3022039</v>
          </cell>
          <cell r="B18899">
            <v>101291</v>
          </cell>
          <cell r="C18899" t="str">
            <v>Martin Junior School</v>
          </cell>
          <cell r="D18899" t="str">
            <v>Barnet</v>
          </cell>
          <cell r="E18899" t="str">
            <v>Community School</v>
          </cell>
          <cell r="F18899" t="str">
            <v>Primary</v>
          </cell>
        </row>
        <row r="18900">
          <cell r="A18900">
            <v>3023523</v>
          </cell>
          <cell r="B18900">
            <v>135226</v>
          </cell>
          <cell r="C18900" t="str">
            <v>Martin Primary School</v>
          </cell>
          <cell r="D18900" t="str">
            <v>Barnet</v>
          </cell>
          <cell r="E18900" t="str">
            <v>Community School</v>
          </cell>
          <cell r="F18900" t="str">
            <v>Primary</v>
          </cell>
        </row>
        <row r="18901">
          <cell r="A18901">
            <v>8913289</v>
          </cell>
          <cell r="B18901">
            <v>122773</v>
          </cell>
          <cell r="C18901" t="str">
            <v>Martin Roe CofE Junior School</v>
          </cell>
          <cell r="D18901" t="str">
            <v>Nottinghamshire</v>
          </cell>
          <cell r="E18901" t="str">
            <v>Voluntary Controlled School</v>
          </cell>
          <cell r="F18901" t="str">
            <v>Primary</v>
          </cell>
        </row>
        <row r="18902">
          <cell r="A18902">
            <v>3556032</v>
          </cell>
          <cell r="B18902">
            <v>130275</v>
          </cell>
          <cell r="C18902" t="str">
            <v>Martindale Preparatory School</v>
          </cell>
          <cell r="D18902" t="str">
            <v>Salford</v>
          </cell>
          <cell r="E18902" t="str">
            <v>Other Independent School</v>
          </cell>
          <cell r="F18902" t="str">
            <v>Not applicable</v>
          </cell>
        </row>
        <row r="18903">
          <cell r="A18903">
            <v>9192259</v>
          </cell>
          <cell r="B18903">
            <v>117241</v>
          </cell>
          <cell r="C18903" t="str">
            <v>Martindale Primary and Nursery School</v>
          </cell>
          <cell r="D18903" t="str">
            <v>Hertfordshire</v>
          </cell>
          <cell r="E18903" t="str">
            <v>Community School</v>
          </cell>
          <cell r="F18903" t="str">
            <v>Primary</v>
          </cell>
        </row>
        <row r="18904">
          <cell r="A18904">
            <v>3137002</v>
          </cell>
          <cell r="B18904">
            <v>126948</v>
          </cell>
          <cell r="C18904" t="str">
            <v>Martindale School</v>
          </cell>
          <cell r="D18904" t="str">
            <v>Hounslow</v>
          </cell>
          <cell r="E18904" t="str">
            <v>Community Special School</v>
          </cell>
          <cell r="F18904" t="str">
            <v>Special</v>
          </cell>
        </row>
        <row r="18905">
          <cell r="A18905">
            <v>9362466</v>
          </cell>
          <cell r="B18905">
            <v>130054</v>
          </cell>
          <cell r="C18905" t="str">
            <v>Martinfield First School</v>
          </cell>
          <cell r="D18905" t="str">
            <v>Surrey</v>
          </cell>
          <cell r="E18905" t="str">
            <v>Community School</v>
          </cell>
          <cell r="F18905" t="str">
            <v>Primary</v>
          </cell>
        </row>
        <row r="18906">
          <cell r="A18906">
            <v>8791103</v>
          </cell>
          <cell r="B18906">
            <v>113056</v>
          </cell>
          <cell r="C18906" t="str">
            <v>Martin's Gate Pupil Referral Unit</v>
          </cell>
          <cell r="D18906" t="str">
            <v>Plymouth</v>
          </cell>
          <cell r="E18906" t="str">
            <v>Pupil Referral Unit</v>
          </cell>
          <cell r="F18906" t="str">
            <v>PRU</v>
          </cell>
        </row>
        <row r="18907">
          <cell r="A18907">
            <v>9192341</v>
          </cell>
          <cell r="B18907">
            <v>117285</v>
          </cell>
          <cell r="C18907" t="str">
            <v>Martins Wood Primary School</v>
          </cell>
          <cell r="D18907" t="str">
            <v>Hertfordshire</v>
          </cell>
          <cell r="E18907" t="str">
            <v>Community School</v>
          </cell>
          <cell r="F18907" t="str">
            <v>Primary</v>
          </cell>
        </row>
        <row r="18908">
          <cell r="A18908">
            <v>8552042</v>
          </cell>
          <cell r="B18908">
            <v>119925</v>
          </cell>
          <cell r="C18908" t="str">
            <v>Martinshaw Primary School</v>
          </cell>
          <cell r="D18908" t="str">
            <v>Leicestershire</v>
          </cell>
          <cell r="E18908" t="str">
            <v>Community School</v>
          </cell>
          <cell r="F18908" t="str">
            <v>Primary</v>
          </cell>
        </row>
        <row r="18909">
          <cell r="A18909">
            <v>9352094</v>
          </cell>
          <cell r="B18909">
            <v>124596</v>
          </cell>
          <cell r="C18909" t="str">
            <v>Martlesham Beacon Hill Primary School</v>
          </cell>
          <cell r="D18909" t="str">
            <v>Suffolk</v>
          </cell>
          <cell r="E18909" t="str">
            <v>Community School</v>
          </cell>
          <cell r="F18909" t="str">
            <v>Primary</v>
          </cell>
        </row>
        <row r="18910">
          <cell r="A18910">
            <v>8853077</v>
          </cell>
          <cell r="B18910">
            <v>116831</v>
          </cell>
          <cell r="C18910" t="str">
            <v>Martley CofE Primary School</v>
          </cell>
          <cell r="D18910" t="str">
            <v>Worcestershire</v>
          </cell>
          <cell r="E18910" t="str">
            <v>Voluntary Controlled School</v>
          </cell>
          <cell r="F18910" t="str">
            <v>Primary</v>
          </cell>
        </row>
        <row r="18911">
          <cell r="A18911">
            <v>8851118</v>
          </cell>
          <cell r="B18911">
            <v>131795</v>
          </cell>
          <cell r="C18911" t="str">
            <v>Martley Pupil Referral Unit</v>
          </cell>
          <cell r="D18911" t="str">
            <v>Worcestershire</v>
          </cell>
          <cell r="E18911" t="str">
            <v>Pupil Referral Unit</v>
          </cell>
          <cell r="F18911" t="str">
            <v>PRU</v>
          </cell>
        </row>
        <row r="18912">
          <cell r="A18912">
            <v>8854435</v>
          </cell>
          <cell r="B18912">
            <v>116980</v>
          </cell>
          <cell r="C18912" t="str">
            <v>Martley, the Chantry High School</v>
          </cell>
          <cell r="D18912" t="str">
            <v>Worcestershire</v>
          </cell>
          <cell r="E18912" t="str">
            <v>Community School</v>
          </cell>
          <cell r="F18912" t="str">
            <v>Secondary</v>
          </cell>
        </row>
        <row r="18913">
          <cell r="A18913">
            <v>9333486</v>
          </cell>
          <cell r="B18913">
            <v>123856</v>
          </cell>
          <cell r="C18913" t="str">
            <v>Martock Church of England VA Primary School</v>
          </cell>
          <cell r="D18913" t="str">
            <v>Somerset</v>
          </cell>
          <cell r="E18913" t="str">
            <v>Voluntary Aided School</v>
          </cell>
          <cell r="F18913" t="str">
            <v>Primary</v>
          </cell>
        </row>
        <row r="18914">
          <cell r="A18914">
            <v>8953524</v>
          </cell>
          <cell r="B18914">
            <v>111329</v>
          </cell>
          <cell r="C18914" t="str">
            <v>Marton and District CofE Aided Primary School</v>
          </cell>
          <cell r="D18914" t="str">
            <v>Cheshire East</v>
          </cell>
          <cell r="E18914" t="str">
            <v>Voluntary Aided School</v>
          </cell>
          <cell r="F18914" t="str">
            <v>Primary</v>
          </cell>
        </row>
        <row r="18915">
          <cell r="A18915">
            <v>8062180</v>
          </cell>
          <cell r="B18915">
            <v>111597</v>
          </cell>
          <cell r="C18915" t="str">
            <v>Marton Manor Primary School</v>
          </cell>
          <cell r="D18915" t="str">
            <v>Middlesbrough</v>
          </cell>
          <cell r="E18915" t="str">
            <v>Community School</v>
          </cell>
          <cell r="F18915" t="str">
            <v>Primary</v>
          </cell>
        </row>
        <row r="18916">
          <cell r="A18916">
            <v>9252175</v>
          </cell>
          <cell r="B18916">
            <v>120462</v>
          </cell>
          <cell r="C18916" t="str">
            <v>Marton Primary School</v>
          </cell>
          <cell r="D18916" t="str">
            <v>Lincolnshire</v>
          </cell>
          <cell r="E18916" t="str">
            <v>Community School</v>
          </cell>
          <cell r="F18916" t="str">
            <v>Primary</v>
          </cell>
        </row>
        <row r="18917">
          <cell r="A18917">
            <v>8902828</v>
          </cell>
          <cell r="B18917">
            <v>119348</v>
          </cell>
          <cell r="C18917" t="str">
            <v>Marton Primary School and Nursery</v>
          </cell>
          <cell r="D18917" t="str">
            <v>Blackpool</v>
          </cell>
          <cell r="E18917" t="str">
            <v>Community School</v>
          </cell>
          <cell r="F18917" t="str">
            <v>Primary</v>
          </cell>
        </row>
        <row r="18918">
          <cell r="A18918">
            <v>9078602</v>
          </cell>
          <cell r="B18918">
            <v>128516</v>
          </cell>
          <cell r="C18918" t="str">
            <v>Marton Sixth Form College</v>
          </cell>
          <cell r="D18918" t="str">
            <v>Pre LGR (1996) Cleveland</v>
          </cell>
          <cell r="E18918" t="str">
            <v>Further Education</v>
          </cell>
          <cell r="F18918" t="str">
            <v>16 Plus</v>
          </cell>
        </row>
        <row r="18919">
          <cell r="A18919">
            <v>8153363</v>
          </cell>
          <cell r="B18919">
            <v>121632</v>
          </cell>
          <cell r="C18919" t="str">
            <v>Marton-Cum-Grafton Church of England Voluntary Aided Primary School</v>
          </cell>
          <cell r="D18919" t="str">
            <v>North Yorkshire</v>
          </cell>
          <cell r="E18919" t="str">
            <v>Voluntary Aided School</v>
          </cell>
          <cell r="F18919" t="str">
            <v>Primary</v>
          </cell>
        </row>
        <row r="18920">
          <cell r="A18920">
            <v>8112771</v>
          </cell>
          <cell r="B18920">
            <v>117886</v>
          </cell>
          <cell r="C18920" t="str">
            <v>Martongate Primary School</v>
          </cell>
          <cell r="D18920" t="str">
            <v>East Riding of Yorkshire</v>
          </cell>
          <cell r="E18920" t="str">
            <v>Community School</v>
          </cell>
          <cell r="F18920" t="str">
            <v>Primary</v>
          </cell>
        </row>
        <row r="18921">
          <cell r="A18921">
            <v>3592015</v>
          </cell>
          <cell r="B18921">
            <v>106406</v>
          </cell>
          <cell r="C18921" t="str">
            <v>Marus Bridge Primary School</v>
          </cell>
          <cell r="D18921" t="str">
            <v>Wigan</v>
          </cell>
          <cell r="E18921" t="str">
            <v>Community School</v>
          </cell>
          <cell r="F18921" t="str">
            <v>Primary</v>
          </cell>
        </row>
        <row r="18922">
          <cell r="A18922">
            <v>2092404</v>
          </cell>
          <cell r="B18922">
            <v>126658</v>
          </cell>
          <cell r="C18922" t="str">
            <v>Marvels Lane Infant School</v>
          </cell>
          <cell r="D18922" t="str">
            <v>Lewisham</v>
          </cell>
          <cell r="E18922" t="str">
            <v>Community School</v>
          </cell>
          <cell r="F18922" t="str">
            <v>Primary</v>
          </cell>
        </row>
        <row r="18923">
          <cell r="A18923">
            <v>2092403</v>
          </cell>
          <cell r="B18923">
            <v>100696</v>
          </cell>
          <cell r="C18923" t="str">
            <v>Marvels Lane Primary School</v>
          </cell>
          <cell r="D18923" t="str">
            <v>Lewisham</v>
          </cell>
          <cell r="E18923" t="str">
            <v>Community School</v>
          </cell>
          <cell r="F18923" t="str">
            <v>Primary</v>
          </cell>
        </row>
        <row r="18924">
          <cell r="A18924">
            <v>8153042</v>
          </cell>
          <cell r="B18924">
            <v>121495</v>
          </cell>
          <cell r="C18924" t="str">
            <v>Marwood Church of England Voluntary Controlled Infant School, Great Ayton</v>
          </cell>
          <cell r="D18924" t="str">
            <v>North Yorkshire</v>
          </cell>
          <cell r="E18924" t="str">
            <v>Voluntary Controlled School</v>
          </cell>
          <cell r="F18924" t="str">
            <v>Primary</v>
          </cell>
        </row>
        <row r="18925">
          <cell r="A18925">
            <v>8782238</v>
          </cell>
          <cell r="B18925">
            <v>113161</v>
          </cell>
          <cell r="C18925" t="str">
            <v>Marwood School</v>
          </cell>
          <cell r="D18925" t="str">
            <v>Devon</v>
          </cell>
          <cell r="E18925" t="str">
            <v>Community School</v>
          </cell>
          <cell r="F18925" t="str">
            <v>Primary</v>
          </cell>
        </row>
        <row r="18926">
          <cell r="A18926">
            <v>8793161</v>
          </cell>
          <cell r="B18926">
            <v>113418</v>
          </cell>
          <cell r="C18926" t="str">
            <v>Mary Dean's CofE Primary School</v>
          </cell>
          <cell r="D18926" t="str">
            <v>Plymouth</v>
          </cell>
          <cell r="E18926" t="str">
            <v>Voluntary Controlled School</v>
          </cell>
          <cell r="F18926" t="str">
            <v>Primary</v>
          </cell>
        </row>
        <row r="18927">
          <cell r="A18927">
            <v>3357005</v>
          </cell>
          <cell r="B18927">
            <v>104272</v>
          </cell>
          <cell r="C18927" t="str">
            <v>Mary Elliot School</v>
          </cell>
          <cell r="D18927" t="str">
            <v>Walsall</v>
          </cell>
          <cell r="E18927" t="str">
            <v>Community Special School</v>
          </cell>
          <cell r="F18927" t="str">
            <v>Special</v>
          </cell>
        </row>
        <row r="18928">
          <cell r="A18928">
            <v>8022310</v>
          </cell>
          <cell r="B18928">
            <v>109115</v>
          </cell>
          <cell r="C18928" t="str">
            <v>Mary Elton Primary School</v>
          </cell>
          <cell r="D18928" t="str">
            <v>North Somerset</v>
          </cell>
          <cell r="E18928" t="str">
            <v>Community School</v>
          </cell>
          <cell r="F18928" t="str">
            <v>Primary</v>
          </cell>
        </row>
        <row r="18929">
          <cell r="A18929">
            <v>9192415</v>
          </cell>
          <cell r="B18929">
            <v>117329</v>
          </cell>
          <cell r="C18929" t="str">
            <v>Mary Exton Junior Mixed and Infant School</v>
          </cell>
          <cell r="D18929" t="str">
            <v>Hertfordshire</v>
          </cell>
          <cell r="E18929" t="str">
            <v>Community School</v>
          </cell>
          <cell r="F18929" t="str">
            <v>Primary</v>
          </cell>
        </row>
        <row r="18930">
          <cell r="A18930">
            <v>8697005</v>
          </cell>
          <cell r="B18930">
            <v>110180</v>
          </cell>
          <cell r="C18930" t="str">
            <v>Mary Hare School</v>
          </cell>
          <cell r="D18930" t="str">
            <v>West Berkshire</v>
          </cell>
          <cell r="E18930" t="str">
            <v>Non-Maintained Special School</v>
          </cell>
          <cell r="F18930" t="str">
            <v>Special</v>
          </cell>
        </row>
        <row r="18931">
          <cell r="A18931">
            <v>8603051</v>
          </cell>
          <cell r="B18931">
            <v>124249</v>
          </cell>
          <cell r="C18931" t="str">
            <v>Mary Howard CofE (VC) Primary School</v>
          </cell>
          <cell r="D18931" t="str">
            <v>Staffordshire</v>
          </cell>
          <cell r="E18931" t="str">
            <v>Voluntary Controlled School</v>
          </cell>
          <cell r="F18931" t="str">
            <v>Primary</v>
          </cell>
        </row>
        <row r="18932">
          <cell r="A18932">
            <v>8302123</v>
          </cell>
          <cell r="B18932">
            <v>112560</v>
          </cell>
          <cell r="C18932" t="str">
            <v>Mary Howitt Infant Community School</v>
          </cell>
          <cell r="D18932" t="str">
            <v>Derbyshire</v>
          </cell>
          <cell r="E18932" t="str">
            <v>Community School</v>
          </cell>
          <cell r="F18932" t="str">
            <v>Primary</v>
          </cell>
        </row>
        <row r="18933">
          <cell r="A18933">
            <v>6814607</v>
          </cell>
          <cell r="B18933">
            <v>401888</v>
          </cell>
          <cell r="C18933" t="str">
            <v>Mary Immaculate  R.C. High School</v>
          </cell>
          <cell r="D18933" t="str">
            <v>Cardiff</v>
          </cell>
          <cell r="E18933" t="str">
            <v>Welsh Establishment</v>
          </cell>
          <cell r="F18933" t="str">
            <v>Secondary</v>
          </cell>
        </row>
        <row r="18934">
          <cell r="A18934">
            <v>6683313</v>
          </cell>
          <cell r="B18934">
            <v>400722</v>
          </cell>
          <cell r="C18934" t="str">
            <v>Mary Immaculate V.R.C. School</v>
          </cell>
          <cell r="D18934" t="str">
            <v>Pembrokeshire</v>
          </cell>
          <cell r="E18934" t="str">
            <v>Welsh Establishment</v>
          </cell>
          <cell r="F18934" t="str">
            <v>Primary</v>
          </cell>
        </row>
        <row r="18935">
          <cell r="A18935">
            <v>8564224</v>
          </cell>
          <cell r="B18935">
            <v>120278</v>
          </cell>
          <cell r="C18935" t="str">
            <v>Mary Linwood School</v>
          </cell>
          <cell r="D18935" t="str">
            <v>Leicester</v>
          </cell>
          <cell r="E18935" t="str">
            <v>Community School</v>
          </cell>
          <cell r="F18935" t="str">
            <v>Secondary</v>
          </cell>
        </row>
        <row r="18936">
          <cell r="A18936">
            <v>2131052</v>
          </cell>
          <cell r="B18936">
            <v>101106</v>
          </cell>
          <cell r="C18936" t="str">
            <v>Mary Paterson Nursery School</v>
          </cell>
          <cell r="D18936" t="str">
            <v>Westminster</v>
          </cell>
          <cell r="E18936" t="str">
            <v>LA Nursery School</v>
          </cell>
          <cell r="F18936" t="str">
            <v>Nursery</v>
          </cell>
        </row>
        <row r="18937">
          <cell r="A18937">
            <v>8517471</v>
          </cell>
          <cell r="B18937">
            <v>134881</v>
          </cell>
          <cell r="C18937" t="str">
            <v>Mary Rose School</v>
          </cell>
          <cell r="D18937" t="str">
            <v>Portsmouth</v>
          </cell>
          <cell r="E18937" t="str">
            <v>Community Special School</v>
          </cell>
          <cell r="F18937" t="str">
            <v>Special</v>
          </cell>
        </row>
        <row r="18938">
          <cell r="A18938">
            <v>8302291</v>
          </cell>
          <cell r="B18938">
            <v>112666</v>
          </cell>
          <cell r="C18938" t="str">
            <v>Mary Swanwick Community Primary School</v>
          </cell>
          <cell r="D18938" t="str">
            <v>Derbyshire</v>
          </cell>
          <cell r="E18938" t="str">
            <v>Community School</v>
          </cell>
          <cell r="F18938" t="str">
            <v>Primary</v>
          </cell>
        </row>
        <row r="18939">
          <cell r="A18939">
            <v>8782622</v>
          </cell>
          <cell r="B18939">
            <v>113264</v>
          </cell>
          <cell r="C18939" t="str">
            <v>Mary Tavy and Brentor Community Primary School</v>
          </cell>
          <cell r="D18939" t="str">
            <v>Devon</v>
          </cell>
          <cell r="E18939" t="str">
            <v>Community School</v>
          </cell>
          <cell r="F18939" t="str">
            <v>Primary</v>
          </cell>
        </row>
        <row r="18940">
          <cell r="A18940">
            <v>3912096</v>
          </cell>
          <cell r="B18940">
            <v>108462</v>
          </cell>
          <cell r="C18940" t="str">
            <v>Mary Trevelyan Primary School</v>
          </cell>
          <cell r="D18940" t="str">
            <v>Newcastle upon Tyne</v>
          </cell>
          <cell r="E18940" t="str">
            <v>Community School</v>
          </cell>
          <cell r="F18940" t="str">
            <v>Primary</v>
          </cell>
        </row>
        <row r="18941">
          <cell r="A18941">
            <v>8613006</v>
          </cell>
          <cell r="B18941">
            <v>124224</v>
          </cell>
          <cell r="C18941" t="str">
            <v>Marychurch CofE (C) Primary School</v>
          </cell>
          <cell r="D18941" t="str">
            <v>Stoke-on-Trent</v>
          </cell>
          <cell r="E18941" t="str">
            <v>Voluntary Controlled School</v>
          </cell>
          <cell r="F18941" t="str">
            <v>Primary</v>
          </cell>
        </row>
        <row r="18942">
          <cell r="A18942">
            <v>8506021</v>
          </cell>
          <cell r="B18942">
            <v>116538</v>
          </cell>
          <cell r="C18942" t="str">
            <v>Marycourt School</v>
          </cell>
          <cell r="D18942" t="str">
            <v>Hampshire</v>
          </cell>
          <cell r="E18942" t="str">
            <v>Other Independent School</v>
          </cell>
          <cell r="F18942" t="str">
            <v>Not applicable</v>
          </cell>
        </row>
        <row r="18943">
          <cell r="A18943">
            <v>2131100</v>
          </cell>
          <cell r="B18943">
            <v>126706</v>
          </cell>
          <cell r="C18943" t="str">
            <v>Maryfields Tutorial Centre</v>
          </cell>
          <cell r="D18943" t="str">
            <v>Westminster</v>
          </cell>
          <cell r="E18943" t="str">
            <v>Pupil Referral Unit</v>
          </cell>
          <cell r="F18943" t="str">
            <v>PRU</v>
          </cell>
        </row>
        <row r="18944">
          <cell r="A18944">
            <v>8604084</v>
          </cell>
          <cell r="B18944">
            <v>124405</v>
          </cell>
          <cell r="C18944" t="str">
            <v>Maryhill High School</v>
          </cell>
          <cell r="D18944" t="str">
            <v>Staffordshire</v>
          </cell>
          <cell r="E18944" t="str">
            <v>Community School</v>
          </cell>
          <cell r="F18944" t="str">
            <v>Secondary</v>
          </cell>
        </row>
        <row r="18945">
          <cell r="A18945">
            <v>8602225</v>
          </cell>
          <cell r="B18945">
            <v>124096</v>
          </cell>
          <cell r="C18945" t="str">
            <v>Maryhill Primary School</v>
          </cell>
          <cell r="D18945" t="str">
            <v>Staffordshire</v>
          </cell>
          <cell r="E18945" t="str">
            <v>Community School</v>
          </cell>
          <cell r="F18945" t="str">
            <v>Primary</v>
          </cell>
        </row>
        <row r="18946">
          <cell r="A18946">
            <v>3162040</v>
          </cell>
          <cell r="B18946">
            <v>126983</v>
          </cell>
          <cell r="C18946" t="str">
            <v>Maryland Infant School</v>
          </cell>
          <cell r="D18946" t="str">
            <v>Newham</v>
          </cell>
          <cell r="E18946" t="str">
            <v>Community School</v>
          </cell>
          <cell r="F18946" t="str">
            <v>Primary</v>
          </cell>
        </row>
        <row r="18947">
          <cell r="A18947">
            <v>3162039</v>
          </cell>
          <cell r="B18947">
            <v>102730</v>
          </cell>
          <cell r="C18947" t="str">
            <v>Maryland Primary School</v>
          </cell>
          <cell r="D18947" t="str">
            <v>Newham</v>
          </cell>
          <cell r="E18947" t="str">
            <v>Community School</v>
          </cell>
          <cell r="F18947" t="str">
            <v>Primary</v>
          </cell>
        </row>
        <row r="18948">
          <cell r="A18948">
            <v>3146058</v>
          </cell>
          <cell r="B18948">
            <v>102615</v>
          </cell>
          <cell r="C18948" t="str">
            <v>Marymount International School</v>
          </cell>
          <cell r="D18948" t="str">
            <v>Kingston upon Thames</v>
          </cell>
          <cell r="E18948" t="str">
            <v>Other Independent School</v>
          </cell>
          <cell r="F18948" t="str">
            <v>Not applicable</v>
          </cell>
        </row>
        <row r="18949">
          <cell r="A18949">
            <v>3446008</v>
          </cell>
          <cell r="B18949">
            <v>105120</v>
          </cell>
          <cell r="C18949" t="str">
            <v>Marymount School</v>
          </cell>
          <cell r="D18949" t="str">
            <v>Wirral</v>
          </cell>
          <cell r="E18949" t="str">
            <v>Other Independent School</v>
          </cell>
          <cell r="F18949" t="str">
            <v>Not applicable</v>
          </cell>
        </row>
        <row r="18950">
          <cell r="A18950">
            <v>9093112</v>
          </cell>
          <cell r="B18950">
            <v>112274</v>
          </cell>
          <cell r="C18950" t="str">
            <v>Maryport CofE Junior School</v>
          </cell>
          <cell r="D18950" t="str">
            <v>Cumbria</v>
          </cell>
          <cell r="E18950" t="str">
            <v>Voluntary Controlled School</v>
          </cell>
          <cell r="F18950" t="str">
            <v>Primary</v>
          </cell>
        </row>
        <row r="18951">
          <cell r="A18951">
            <v>9092125</v>
          </cell>
          <cell r="B18951">
            <v>112135</v>
          </cell>
          <cell r="C18951" t="str">
            <v>Maryport Infant School</v>
          </cell>
          <cell r="D18951" t="str">
            <v>Cumbria</v>
          </cell>
          <cell r="E18951" t="str">
            <v>Community School</v>
          </cell>
          <cell r="F18951" t="str">
            <v>Primary</v>
          </cell>
        </row>
        <row r="18952">
          <cell r="A18952">
            <v>9091000</v>
          </cell>
          <cell r="B18952">
            <v>128564</v>
          </cell>
          <cell r="C18952" t="str">
            <v>Maryport Nursery School</v>
          </cell>
          <cell r="D18952" t="str">
            <v>Cumbria</v>
          </cell>
          <cell r="E18952" t="str">
            <v>LA Nursery School</v>
          </cell>
          <cell r="F18952" t="str">
            <v>Nursery</v>
          </cell>
        </row>
        <row r="18953">
          <cell r="A18953">
            <v>3303322</v>
          </cell>
          <cell r="B18953">
            <v>103426</v>
          </cell>
          <cell r="C18953" t="str">
            <v>Maryvale Catholic Primary School</v>
          </cell>
          <cell r="D18953" t="str">
            <v>Birmingham</v>
          </cell>
          <cell r="E18953" t="str">
            <v>Voluntary Aided School</v>
          </cell>
          <cell r="F18953" t="str">
            <v>Primary</v>
          </cell>
        </row>
        <row r="18954">
          <cell r="A18954">
            <v>8865439</v>
          </cell>
          <cell r="B18954">
            <v>118911</v>
          </cell>
          <cell r="C18954" t="str">
            <v>Mascalls School</v>
          </cell>
          <cell r="D18954" t="str">
            <v>Kent</v>
          </cell>
          <cell r="E18954" t="str">
            <v>Foundation School</v>
          </cell>
          <cell r="F18954" t="str">
            <v>Secondary</v>
          </cell>
        </row>
        <row r="18955">
          <cell r="A18955">
            <v>8865439</v>
          </cell>
          <cell r="B18955">
            <v>136847</v>
          </cell>
          <cell r="C18955" t="str">
            <v>Mascalls School</v>
          </cell>
          <cell r="D18955" t="str">
            <v>Kent</v>
          </cell>
          <cell r="E18955" t="str">
            <v>Academy Converters</v>
          </cell>
          <cell r="F18955" t="str">
            <v>Secondary</v>
          </cell>
        </row>
        <row r="18956">
          <cell r="A18956">
            <v>3502070</v>
          </cell>
          <cell r="B18956">
            <v>127395</v>
          </cell>
          <cell r="C18956" t="str">
            <v>Masefield Infant School</v>
          </cell>
          <cell r="D18956" t="str">
            <v>Bolton</v>
          </cell>
          <cell r="E18956" t="str">
            <v>Community School</v>
          </cell>
          <cell r="F18956" t="str">
            <v>Primary</v>
          </cell>
        </row>
        <row r="18957">
          <cell r="A18957">
            <v>3502071</v>
          </cell>
          <cell r="B18957">
            <v>105193</v>
          </cell>
          <cell r="C18957" t="str">
            <v>Masefield Primary School</v>
          </cell>
          <cell r="D18957" t="str">
            <v>Bolton</v>
          </cell>
          <cell r="E18957" t="str">
            <v>Community School</v>
          </cell>
          <cell r="F18957" t="str">
            <v>Primary</v>
          </cell>
        </row>
        <row r="18958">
          <cell r="A18958">
            <v>8153319</v>
          </cell>
          <cell r="B18958">
            <v>121613</v>
          </cell>
          <cell r="C18958" t="str">
            <v>Masham Church of England VA Primary School</v>
          </cell>
          <cell r="D18958" t="str">
            <v>North Yorkshire</v>
          </cell>
          <cell r="E18958" t="str">
            <v>Voluntary Aided School</v>
          </cell>
          <cell r="F18958" t="str">
            <v>Primary</v>
          </cell>
        </row>
        <row r="18959">
          <cell r="A18959">
            <v>8522771</v>
          </cell>
          <cell r="B18959">
            <v>116263</v>
          </cell>
          <cell r="C18959" t="str">
            <v>Mason Moor Primary School</v>
          </cell>
          <cell r="D18959" t="str">
            <v>Southampton</v>
          </cell>
          <cell r="E18959" t="str">
            <v>Community School</v>
          </cell>
          <cell r="F18959" t="str">
            <v>Primary</v>
          </cell>
        </row>
        <row r="18960">
          <cell r="A18960">
            <v>8887021</v>
          </cell>
          <cell r="B18960">
            <v>119869</v>
          </cell>
          <cell r="C18960" t="str">
            <v>Massey Hall School</v>
          </cell>
          <cell r="D18960" t="str">
            <v>Lancashire</v>
          </cell>
          <cell r="E18960" t="str">
            <v>Community Special School</v>
          </cell>
          <cell r="F18960" t="str">
            <v>Special</v>
          </cell>
        </row>
        <row r="18961">
          <cell r="A18961">
            <v>8852919</v>
          </cell>
          <cell r="B18961">
            <v>132821</v>
          </cell>
          <cell r="C18961" t="str">
            <v>Matchborough First School</v>
          </cell>
          <cell r="D18961" t="str">
            <v>Worcestershire</v>
          </cell>
          <cell r="E18961" t="str">
            <v>Community School</v>
          </cell>
          <cell r="F18961" t="str">
            <v>Primary</v>
          </cell>
        </row>
        <row r="18962">
          <cell r="A18962">
            <v>8813239</v>
          </cell>
          <cell r="B18962">
            <v>115126</v>
          </cell>
          <cell r="C18962" t="str">
            <v>Matching Green Church of England Voluntary Controlled Primary School</v>
          </cell>
          <cell r="D18962" t="str">
            <v>Essex</v>
          </cell>
          <cell r="E18962" t="str">
            <v>Voluntary Controlled School</v>
          </cell>
          <cell r="F18962" t="str">
            <v>Primary</v>
          </cell>
        </row>
        <row r="18963">
          <cell r="A18963">
            <v>3532055</v>
          </cell>
          <cell r="B18963">
            <v>127430</v>
          </cell>
          <cell r="C18963" t="str">
            <v>Mather Street Infant and Nursery School</v>
          </cell>
          <cell r="D18963" t="str">
            <v>Oldham</v>
          </cell>
          <cell r="E18963" t="str">
            <v>Community School</v>
          </cell>
          <cell r="F18963" t="str">
            <v>Primary</v>
          </cell>
        </row>
        <row r="18964">
          <cell r="A18964">
            <v>3532054</v>
          </cell>
          <cell r="B18964">
            <v>105649</v>
          </cell>
          <cell r="C18964" t="str">
            <v>Mather Street Primary School</v>
          </cell>
          <cell r="D18964" t="str">
            <v>Oldham</v>
          </cell>
          <cell r="E18964" t="str">
            <v>Community School</v>
          </cell>
          <cell r="F18964" t="str">
            <v>Primary</v>
          </cell>
        </row>
        <row r="18965">
          <cell r="A18965">
            <v>3025948</v>
          </cell>
          <cell r="B18965">
            <v>101376</v>
          </cell>
          <cell r="C18965" t="str">
            <v>Mathilda Marks-Kennedy Jewish Primary School</v>
          </cell>
          <cell r="D18965" t="str">
            <v>Barnet</v>
          </cell>
          <cell r="E18965" t="str">
            <v>Voluntary Aided School</v>
          </cell>
          <cell r="F18965" t="str">
            <v>Primary</v>
          </cell>
        </row>
        <row r="18966">
          <cell r="A18966">
            <v>6683046</v>
          </cell>
          <cell r="B18966">
            <v>400710</v>
          </cell>
          <cell r="C18966" t="str">
            <v>Mathry V.C.P. School</v>
          </cell>
          <cell r="D18966" t="str">
            <v>Pembrokeshire</v>
          </cell>
          <cell r="E18966" t="str">
            <v>Welsh Establishment</v>
          </cell>
          <cell r="F18966" t="str">
            <v>Primary</v>
          </cell>
        </row>
        <row r="18967">
          <cell r="A18967">
            <v>8742320</v>
          </cell>
          <cell r="B18967">
            <v>110753</v>
          </cell>
          <cell r="C18967" t="str">
            <v>Matley Primary School</v>
          </cell>
          <cell r="D18967" t="str">
            <v>Peterborough</v>
          </cell>
          <cell r="E18967" t="str">
            <v>Community School</v>
          </cell>
          <cell r="F18967" t="str">
            <v>Primary</v>
          </cell>
        </row>
        <row r="18968">
          <cell r="A18968">
            <v>8303067</v>
          </cell>
          <cell r="B18968">
            <v>112838</v>
          </cell>
          <cell r="C18968" t="str">
            <v>Matlock All Saints Infants' School</v>
          </cell>
          <cell r="D18968" t="str">
            <v>Derbyshire</v>
          </cell>
          <cell r="E18968" t="str">
            <v>Voluntary Controlled School</v>
          </cell>
          <cell r="F18968" t="str">
            <v>Primary</v>
          </cell>
        </row>
        <row r="18969">
          <cell r="A18969">
            <v>8303070</v>
          </cell>
          <cell r="B18969">
            <v>112841</v>
          </cell>
          <cell r="C18969" t="str">
            <v>Matlock Bath Holy Trinity CofE Controlled Primary School</v>
          </cell>
          <cell r="D18969" t="str">
            <v>Derbyshire</v>
          </cell>
          <cell r="E18969" t="str">
            <v>Voluntary Controlled School</v>
          </cell>
          <cell r="F18969" t="str">
            <v>Primary</v>
          </cell>
        </row>
        <row r="18970">
          <cell r="A18970">
            <v>8302171</v>
          </cell>
          <cell r="B18970">
            <v>112590</v>
          </cell>
          <cell r="C18970" t="str">
            <v>Matlock Infant and Nursery School</v>
          </cell>
          <cell r="D18970" t="str">
            <v>Derbyshire</v>
          </cell>
          <cell r="E18970" t="str">
            <v>Community School</v>
          </cell>
          <cell r="F18970" t="str">
            <v>Primary</v>
          </cell>
        </row>
        <row r="18971">
          <cell r="A18971">
            <v>8302330</v>
          </cell>
          <cell r="B18971">
            <v>112683</v>
          </cell>
          <cell r="C18971" t="str">
            <v>Matlock Junior School</v>
          </cell>
          <cell r="D18971" t="str">
            <v>Derbyshire</v>
          </cell>
          <cell r="E18971" t="str">
            <v>Community School</v>
          </cell>
          <cell r="F18971" t="str">
            <v>Primary</v>
          </cell>
        </row>
        <row r="18972">
          <cell r="A18972">
            <v>9103328</v>
          </cell>
          <cell r="B18972">
            <v>128631</v>
          </cell>
          <cell r="C18972" t="str">
            <v>Matlock Town CofE Primary School</v>
          </cell>
          <cell r="D18972" t="str">
            <v>Pre LGR (1997) Derbyshire</v>
          </cell>
          <cell r="E18972" t="str">
            <v>Voluntary Aided School</v>
          </cell>
          <cell r="F18972" t="str">
            <v>Primary</v>
          </cell>
        </row>
        <row r="18973">
          <cell r="A18973">
            <v>8655415</v>
          </cell>
          <cell r="B18973">
            <v>126510</v>
          </cell>
          <cell r="C18973" t="str">
            <v>Matravers School</v>
          </cell>
          <cell r="D18973" t="str">
            <v>Wiltshire</v>
          </cell>
          <cell r="E18973" t="str">
            <v>Foundation School</v>
          </cell>
          <cell r="F18973" t="str">
            <v>Secondary</v>
          </cell>
        </row>
        <row r="18974">
          <cell r="A18974">
            <v>8912779</v>
          </cell>
          <cell r="B18974">
            <v>122655</v>
          </cell>
          <cell r="C18974" t="str">
            <v>Mattersey Primary School</v>
          </cell>
          <cell r="D18974" t="str">
            <v>Nottinghamshire</v>
          </cell>
          <cell r="E18974" t="str">
            <v>Community School</v>
          </cell>
          <cell r="F18974" t="str">
            <v>Primary</v>
          </cell>
        </row>
        <row r="18975">
          <cell r="A18975">
            <v>3412100</v>
          </cell>
          <cell r="B18975">
            <v>127269</v>
          </cell>
          <cell r="C18975" t="str">
            <v>Matthew Arnold Infant School</v>
          </cell>
          <cell r="D18975" t="str">
            <v>Liverpool</v>
          </cell>
          <cell r="E18975" t="str">
            <v>Community School</v>
          </cell>
          <cell r="F18975" t="str">
            <v>Primary</v>
          </cell>
        </row>
        <row r="18976">
          <cell r="A18976">
            <v>3412098</v>
          </cell>
          <cell r="B18976">
            <v>104557</v>
          </cell>
          <cell r="C18976" t="str">
            <v>Matthew Arnold Primary School</v>
          </cell>
          <cell r="D18976" t="str">
            <v>Liverpool</v>
          </cell>
          <cell r="E18976" t="str">
            <v>Foundation School</v>
          </cell>
          <cell r="F18976" t="str">
            <v>Primary</v>
          </cell>
        </row>
        <row r="18977">
          <cell r="A18977">
            <v>9314128</v>
          </cell>
          <cell r="B18977">
            <v>123258</v>
          </cell>
          <cell r="C18977" t="str">
            <v>Matthew Arnold School</v>
          </cell>
          <cell r="D18977" t="str">
            <v>Oxfordshire</v>
          </cell>
          <cell r="E18977" t="str">
            <v>Community School</v>
          </cell>
          <cell r="F18977" t="str">
            <v>Secondary</v>
          </cell>
        </row>
        <row r="18978">
          <cell r="A18978">
            <v>3308020</v>
          </cell>
          <cell r="B18978">
            <v>130464</v>
          </cell>
          <cell r="C18978" t="str">
            <v>Matthew Boulton College of Further and Higher Education</v>
          </cell>
          <cell r="D18978" t="str">
            <v>Birmingham</v>
          </cell>
          <cell r="E18978" t="str">
            <v>Further Education</v>
          </cell>
          <cell r="F18978" t="str">
            <v>16 Plus</v>
          </cell>
        </row>
        <row r="18979">
          <cell r="A18979">
            <v>3302031</v>
          </cell>
          <cell r="B18979">
            <v>103173</v>
          </cell>
          <cell r="C18979" t="str">
            <v>Matthew Boulton Community Primary School</v>
          </cell>
          <cell r="D18979" t="str">
            <v>Birmingham</v>
          </cell>
          <cell r="E18979" t="str">
            <v>Community School</v>
          </cell>
          <cell r="F18979" t="str">
            <v>Primary</v>
          </cell>
        </row>
        <row r="18980">
          <cell r="A18980">
            <v>8124503</v>
          </cell>
          <cell r="B18980">
            <v>118113</v>
          </cell>
          <cell r="C18980" t="str">
            <v>Matthew Humberstone Church of England School</v>
          </cell>
          <cell r="D18980" t="str">
            <v>North East Lincolnshire</v>
          </cell>
          <cell r="E18980" t="str">
            <v>Voluntary Controlled School</v>
          </cell>
          <cell r="F18980" t="str">
            <v>Secondary</v>
          </cell>
        </row>
        <row r="18981">
          <cell r="A18981">
            <v>3544088</v>
          </cell>
          <cell r="B18981">
            <v>105839</v>
          </cell>
          <cell r="C18981" t="str">
            <v>Matthew Moss High School</v>
          </cell>
          <cell r="D18981" t="str">
            <v>Rochdale</v>
          </cell>
          <cell r="E18981" t="str">
            <v>Community School</v>
          </cell>
          <cell r="F18981" t="str">
            <v>Secondary</v>
          </cell>
        </row>
        <row r="18982">
          <cell r="A18982">
            <v>3544060</v>
          </cell>
          <cell r="B18982">
            <v>127444</v>
          </cell>
          <cell r="C18982" t="str">
            <v>Matthew Moss Middle School</v>
          </cell>
          <cell r="D18982" t="str">
            <v>Rochdale</v>
          </cell>
          <cell r="E18982" t="str">
            <v>Community School</v>
          </cell>
          <cell r="F18982" t="str">
            <v>Middle Deemed Secondary</v>
          </cell>
        </row>
        <row r="18983">
          <cell r="A18983">
            <v>3834048</v>
          </cell>
          <cell r="B18983">
            <v>108066</v>
          </cell>
          <cell r="C18983" t="str">
            <v>Matthew Murray High School</v>
          </cell>
          <cell r="D18983" t="str">
            <v>Leeds</v>
          </cell>
          <cell r="E18983" t="str">
            <v>Community School</v>
          </cell>
          <cell r="F18983" t="str">
            <v>Secondary</v>
          </cell>
        </row>
        <row r="18984">
          <cell r="A18984">
            <v>3834034</v>
          </cell>
          <cell r="B18984">
            <v>127977</v>
          </cell>
          <cell r="C18984" t="str">
            <v>Matthew Murray High School</v>
          </cell>
          <cell r="D18984" t="str">
            <v>Leeds</v>
          </cell>
          <cell r="E18984" t="str">
            <v>Community School</v>
          </cell>
          <cell r="F18984" t="str">
            <v>Secondary</v>
          </cell>
        </row>
        <row r="18985">
          <cell r="A18985">
            <v>9262110</v>
          </cell>
          <cell r="B18985">
            <v>120833</v>
          </cell>
          <cell r="C18985" t="str">
            <v>Mattishall First School</v>
          </cell>
          <cell r="D18985" t="str">
            <v>Norfolk</v>
          </cell>
          <cell r="E18985" t="str">
            <v>Community School</v>
          </cell>
          <cell r="F18985" t="str">
            <v>Primary</v>
          </cell>
        </row>
        <row r="18986">
          <cell r="A18986">
            <v>9262385</v>
          </cell>
          <cell r="B18986">
            <v>121002</v>
          </cell>
          <cell r="C18986" t="str">
            <v>Mattishall Middle School</v>
          </cell>
          <cell r="D18986" t="str">
            <v>Norfolk</v>
          </cell>
          <cell r="E18986" t="str">
            <v>Community School</v>
          </cell>
          <cell r="F18986" t="str">
            <v>Middle Deemed Primary</v>
          </cell>
        </row>
        <row r="18987">
          <cell r="A18987">
            <v>9262425</v>
          </cell>
          <cell r="B18987">
            <v>132213</v>
          </cell>
          <cell r="C18987" t="str">
            <v>Mattishall Primary School</v>
          </cell>
          <cell r="D18987" t="str">
            <v>Norfolk</v>
          </cell>
          <cell r="E18987" t="str">
            <v>Community School</v>
          </cell>
          <cell r="F18987" t="str">
            <v>Primary</v>
          </cell>
        </row>
        <row r="18988">
          <cell r="A18988">
            <v>8232112</v>
          </cell>
          <cell r="B18988">
            <v>109472</v>
          </cell>
          <cell r="C18988" t="str">
            <v>Maulden Lower School</v>
          </cell>
          <cell r="D18988" t="str">
            <v>Central Bedfordshire</v>
          </cell>
          <cell r="E18988" t="str">
            <v>Community School</v>
          </cell>
          <cell r="F18988" t="str">
            <v>Primary</v>
          </cell>
        </row>
        <row r="18989">
          <cell r="A18989">
            <v>3522161</v>
          </cell>
          <cell r="B18989">
            <v>105426</v>
          </cell>
          <cell r="C18989" t="str">
            <v>Mauldeth Road Primary School</v>
          </cell>
          <cell r="D18989" t="str">
            <v>Manchester</v>
          </cell>
          <cell r="E18989" t="str">
            <v>Community School</v>
          </cell>
          <cell r="F18989" t="str">
            <v>Primary</v>
          </cell>
        </row>
        <row r="18990">
          <cell r="A18990">
            <v>8912802</v>
          </cell>
          <cell r="B18990">
            <v>122667</v>
          </cell>
          <cell r="C18990" t="str">
            <v>Maun Infant and Nursery School</v>
          </cell>
          <cell r="D18990" t="str">
            <v>Nottinghamshire</v>
          </cell>
          <cell r="E18990" t="str">
            <v>Community School</v>
          </cell>
          <cell r="F18990" t="str">
            <v>Primary</v>
          </cell>
        </row>
        <row r="18991">
          <cell r="A18991">
            <v>8872580</v>
          </cell>
          <cell r="B18991">
            <v>118525</v>
          </cell>
          <cell r="C18991" t="str">
            <v>Maundene School</v>
          </cell>
          <cell r="D18991" t="str">
            <v>Medway</v>
          </cell>
          <cell r="E18991" t="str">
            <v>Community School</v>
          </cell>
          <cell r="F18991" t="str">
            <v>Primary</v>
          </cell>
        </row>
        <row r="18992">
          <cell r="A18992">
            <v>8812605</v>
          </cell>
          <cell r="B18992">
            <v>114911</v>
          </cell>
          <cell r="C18992" t="str">
            <v>Maunds Wood Primary School</v>
          </cell>
          <cell r="D18992" t="str">
            <v>Essex</v>
          </cell>
          <cell r="E18992" t="str">
            <v>Community School</v>
          </cell>
          <cell r="F18992" t="str">
            <v>Primary</v>
          </cell>
        </row>
        <row r="18993">
          <cell r="A18993">
            <v>8883412</v>
          </cell>
          <cell r="B18993">
            <v>119477</v>
          </cell>
          <cell r="C18993" t="str">
            <v>Mawdesley St Peter's Church of England Primary School</v>
          </cell>
          <cell r="D18993" t="str">
            <v>Lancashire</v>
          </cell>
          <cell r="E18993" t="str">
            <v>Voluntary Aided School</v>
          </cell>
          <cell r="F18993" t="str">
            <v>Primary</v>
          </cell>
        </row>
        <row r="18994">
          <cell r="A18994">
            <v>9082405</v>
          </cell>
          <cell r="B18994">
            <v>111884</v>
          </cell>
          <cell r="C18994" t="str">
            <v>Mawgan-in-Pydar Community Primary School</v>
          </cell>
          <cell r="D18994" t="str">
            <v>Cornwall</v>
          </cell>
          <cell r="E18994" t="str">
            <v>Community School</v>
          </cell>
          <cell r="F18994" t="str">
            <v>Primary</v>
          </cell>
        </row>
        <row r="18995">
          <cell r="A18995">
            <v>9083385</v>
          </cell>
          <cell r="B18995">
            <v>112002</v>
          </cell>
          <cell r="C18995" t="str">
            <v>Mawnan CofE VA Primary School</v>
          </cell>
          <cell r="D18995" t="str">
            <v>Cornwall</v>
          </cell>
          <cell r="E18995" t="str">
            <v>Voluntary Aided School</v>
          </cell>
          <cell r="F18995" t="str">
            <v>Primary</v>
          </cell>
        </row>
        <row r="18996">
          <cell r="A18996">
            <v>3112052</v>
          </cell>
          <cell r="B18996">
            <v>102298</v>
          </cell>
          <cell r="C18996" t="str">
            <v>Mawney Infants' School</v>
          </cell>
          <cell r="D18996" t="str">
            <v>Havering</v>
          </cell>
          <cell r="E18996" t="str">
            <v>Community School</v>
          </cell>
          <cell r="F18996" t="str">
            <v>Primary</v>
          </cell>
        </row>
        <row r="18997">
          <cell r="A18997">
            <v>3112051</v>
          </cell>
          <cell r="B18997">
            <v>102297</v>
          </cell>
          <cell r="C18997" t="str">
            <v>Mawney Junior School</v>
          </cell>
          <cell r="D18997" t="str">
            <v>Havering</v>
          </cell>
          <cell r="E18997" t="str">
            <v>Community School</v>
          </cell>
          <cell r="F18997" t="str">
            <v>Primary</v>
          </cell>
        </row>
        <row r="18998">
          <cell r="A18998">
            <v>9282029</v>
          </cell>
          <cell r="B18998">
            <v>134211</v>
          </cell>
          <cell r="C18998" t="str">
            <v>Mawsley Primary School</v>
          </cell>
          <cell r="D18998" t="str">
            <v>Northamptonshire</v>
          </cell>
          <cell r="E18998" t="str">
            <v>Community School</v>
          </cell>
          <cell r="F18998" t="str">
            <v>Primary</v>
          </cell>
        </row>
        <row r="18999">
          <cell r="A18999">
            <v>2071054</v>
          </cell>
          <cell r="B18999">
            <v>100475</v>
          </cell>
          <cell r="C18999" t="str">
            <v>Maxilla Nursery School</v>
          </cell>
          <cell r="D18999" t="str">
            <v>Kensington and Chelsea</v>
          </cell>
          <cell r="E18999" t="str">
            <v>LA Nursery School</v>
          </cell>
          <cell r="F18999" t="str">
            <v>Nursery</v>
          </cell>
        </row>
        <row r="19000">
          <cell r="A19000">
            <v>8602256</v>
          </cell>
          <cell r="B19000">
            <v>124115</v>
          </cell>
          <cell r="C19000" t="str">
            <v>May Bank Infants' School</v>
          </cell>
          <cell r="D19000" t="str">
            <v>Staffordshire</v>
          </cell>
          <cell r="E19000" t="str">
            <v>Community School</v>
          </cell>
          <cell r="F19000" t="str">
            <v>Primary</v>
          </cell>
        </row>
        <row r="19001">
          <cell r="A19001">
            <v>8012327</v>
          </cell>
          <cell r="B19001">
            <v>109131</v>
          </cell>
          <cell r="C19001" t="str">
            <v>May Park Primary School</v>
          </cell>
          <cell r="D19001" t="str">
            <v>Bristol City of</v>
          </cell>
          <cell r="E19001" t="str">
            <v>Community School</v>
          </cell>
          <cell r="F19001" t="str">
            <v>Primary</v>
          </cell>
        </row>
        <row r="19002">
          <cell r="A19002">
            <v>6702076</v>
          </cell>
          <cell r="B19002">
            <v>400895</v>
          </cell>
          <cell r="C19002" t="str">
            <v>Mayals Primary School</v>
          </cell>
          <cell r="D19002" t="str">
            <v>Swansea</v>
          </cell>
          <cell r="E19002" t="str">
            <v>Welsh Establishment</v>
          </cell>
          <cell r="F19002" t="str">
            <v>Primary</v>
          </cell>
        </row>
        <row r="19003">
          <cell r="A19003">
            <v>9362275</v>
          </cell>
          <cell r="B19003">
            <v>125001</v>
          </cell>
          <cell r="C19003" t="str">
            <v>Maybury Infant School</v>
          </cell>
          <cell r="D19003" t="str">
            <v>Surrey</v>
          </cell>
          <cell r="E19003" t="str">
            <v>Community School</v>
          </cell>
          <cell r="F19003" t="str">
            <v>Primary</v>
          </cell>
        </row>
        <row r="19004">
          <cell r="A19004">
            <v>9204210</v>
          </cell>
          <cell r="B19004">
            <v>129283</v>
          </cell>
          <cell r="C19004" t="str">
            <v>Maybury Junior High School</v>
          </cell>
          <cell r="D19004" t="str">
            <v>Pre LGR (1996) Humberside</v>
          </cell>
          <cell r="E19004" t="str">
            <v>Community School</v>
          </cell>
          <cell r="F19004" t="str">
            <v>Secondary</v>
          </cell>
        </row>
        <row r="19005">
          <cell r="A19005">
            <v>8102441</v>
          </cell>
          <cell r="B19005">
            <v>117802</v>
          </cell>
          <cell r="C19005" t="str">
            <v>Maybury Primary School</v>
          </cell>
          <cell r="D19005" t="str">
            <v>Kingston upon Hull City of</v>
          </cell>
          <cell r="E19005" t="str">
            <v>Community School</v>
          </cell>
          <cell r="F19005" t="str">
            <v>Primary</v>
          </cell>
        </row>
        <row r="19006">
          <cell r="A19006">
            <v>3562055</v>
          </cell>
          <cell r="B19006">
            <v>127501</v>
          </cell>
          <cell r="C19006" t="str">
            <v>Maycroft Infant School</v>
          </cell>
          <cell r="D19006" t="str">
            <v>Stockport</v>
          </cell>
          <cell r="E19006" t="str">
            <v>Community School</v>
          </cell>
          <cell r="F19006" t="str">
            <v>Primary</v>
          </cell>
        </row>
        <row r="19007">
          <cell r="A19007">
            <v>3562056</v>
          </cell>
          <cell r="B19007">
            <v>127502</v>
          </cell>
          <cell r="C19007" t="str">
            <v>Maycroft Junior School</v>
          </cell>
          <cell r="D19007" t="str">
            <v>Stockport</v>
          </cell>
          <cell r="E19007" t="str">
            <v>Community School</v>
          </cell>
          <cell r="F19007" t="str">
            <v>Primary</v>
          </cell>
        </row>
        <row r="19008">
          <cell r="A19008">
            <v>3562115</v>
          </cell>
          <cell r="B19008">
            <v>106101</v>
          </cell>
          <cell r="C19008" t="str">
            <v>Maycroft Primary School</v>
          </cell>
          <cell r="D19008" t="str">
            <v>Stockport</v>
          </cell>
          <cell r="E19008" t="str">
            <v>Community School</v>
          </cell>
          <cell r="F19008" t="str">
            <v>Primary</v>
          </cell>
        </row>
        <row r="19009">
          <cell r="A19009">
            <v>3014025</v>
          </cell>
          <cell r="B19009">
            <v>126720</v>
          </cell>
          <cell r="C19009" t="str">
            <v>Mayesbrook School</v>
          </cell>
          <cell r="D19009" t="str">
            <v>Barking and Dagenham</v>
          </cell>
          <cell r="E19009" t="str">
            <v>Community School</v>
          </cell>
          <cell r="F19009" t="str">
            <v>Secondary</v>
          </cell>
        </row>
        <row r="19010">
          <cell r="A19010">
            <v>3172071</v>
          </cell>
          <cell r="B19010">
            <v>131304</v>
          </cell>
          <cell r="C19010" t="str">
            <v>Mayespark Primary School</v>
          </cell>
          <cell r="D19010" t="str">
            <v>Redbridge</v>
          </cell>
          <cell r="E19010" t="str">
            <v>Community School</v>
          </cell>
          <cell r="F19010" t="str">
            <v>Primary</v>
          </cell>
        </row>
        <row r="19011">
          <cell r="A19011">
            <v>3521005</v>
          </cell>
          <cell r="B19011">
            <v>105382</v>
          </cell>
          <cell r="C19011" t="str">
            <v>Mayfair Nursery School</v>
          </cell>
          <cell r="D19011" t="str">
            <v>Manchester</v>
          </cell>
          <cell r="E19011" t="str">
            <v>LA Nursery School</v>
          </cell>
          <cell r="F19011" t="str">
            <v>Nursery</v>
          </cell>
        </row>
        <row r="19012">
          <cell r="A19012">
            <v>9137011</v>
          </cell>
          <cell r="B19012">
            <v>128829</v>
          </cell>
          <cell r="C19012" t="str">
            <v>Mayfair School</v>
          </cell>
          <cell r="D19012" t="str">
            <v>Pre LGR (1997) Durham</v>
          </cell>
          <cell r="E19012" t="str">
            <v>Community Special School</v>
          </cell>
          <cell r="F19012" t="str">
            <v>Special</v>
          </cell>
        </row>
        <row r="19013">
          <cell r="A19013">
            <v>8453043</v>
          </cell>
          <cell r="B19013">
            <v>114512</v>
          </cell>
          <cell r="C19013" t="str">
            <v>Mayfield Church of England Primary School</v>
          </cell>
          <cell r="D19013" t="str">
            <v>East Sussex</v>
          </cell>
          <cell r="E19013" t="str">
            <v>Voluntary Controlled School</v>
          </cell>
          <cell r="F19013" t="str">
            <v>Primary</v>
          </cell>
        </row>
        <row r="19014">
          <cell r="A19014">
            <v>9214501</v>
          </cell>
          <cell r="B19014">
            <v>118219</v>
          </cell>
          <cell r="C19014" t="str">
            <v>Mayfield Church of England Voluntary Controlled Middle School</v>
          </cell>
          <cell r="D19014" t="str">
            <v>Isle of Wight</v>
          </cell>
          <cell r="E19014" t="str">
            <v>Voluntary Controlled School</v>
          </cell>
          <cell r="F19014" t="str">
            <v>Middle Deemed Secondary</v>
          </cell>
        </row>
        <row r="19015">
          <cell r="A19015">
            <v>8502528</v>
          </cell>
          <cell r="B19015">
            <v>116153</v>
          </cell>
          <cell r="C19015" t="str">
            <v>Mayfield Community Infant School</v>
          </cell>
          <cell r="D19015" t="str">
            <v>Hampshire</v>
          </cell>
          <cell r="E19015" t="str">
            <v>Community School</v>
          </cell>
          <cell r="F19015" t="str">
            <v>Primary</v>
          </cell>
        </row>
        <row r="19016">
          <cell r="A19016">
            <v>8865467</v>
          </cell>
          <cell r="B19016">
            <v>118787</v>
          </cell>
          <cell r="C19016" t="str">
            <v>Mayfield Grammar School, Gravesend</v>
          </cell>
          <cell r="D19016" t="str">
            <v>Kent</v>
          </cell>
          <cell r="E19016" t="str">
            <v>Foundation School</v>
          </cell>
          <cell r="F19016" t="str">
            <v>Secondary</v>
          </cell>
        </row>
        <row r="19017">
          <cell r="A19017">
            <v>9192245</v>
          </cell>
          <cell r="B19017">
            <v>117232</v>
          </cell>
          <cell r="C19017" t="str">
            <v>Mayfield Infants' School and Nursery</v>
          </cell>
          <cell r="D19017" t="str">
            <v>Hertfordshire</v>
          </cell>
          <cell r="E19017" t="str">
            <v>Community School</v>
          </cell>
          <cell r="F19017" t="str">
            <v>Primary</v>
          </cell>
        </row>
        <row r="19018">
          <cell r="A19018">
            <v>8502527</v>
          </cell>
          <cell r="B19018">
            <v>116152</v>
          </cell>
          <cell r="C19018" t="str">
            <v>Mayfield Junior School</v>
          </cell>
          <cell r="D19018" t="str">
            <v>Hampshire</v>
          </cell>
          <cell r="E19018" t="str">
            <v>Community School</v>
          </cell>
          <cell r="F19018" t="str">
            <v>Primary</v>
          </cell>
        </row>
        <row r="19019">
          <cell r="A19019">
            <v>3356000</v>
          </cell>
          <cell r="B19019">
            <v>104265</v>
          </cell>
          <cell r="C19019" t="str">
            <v>Mayfield Preparatory School</v>
          </cell>
          <cell r="D19019" t="str">
            <v>Walsall</v>
          </cell>
          <cell r="E19019" t="str">
            <v>Other Independent School</v>
          </cell>
          <cell r="F19019" t="str">
            <v>Not applicable</v>
          </cell>
        </row>
        <row r="19020">
          <cell r="A19020">
            <v>3072076</v>
          </cell>
          <cell r="B19020">
            <v>101877</v>
          </cell>
          <cell r="C19020" t="str">
            <v>Mayfield Primary School</v>
          </cell>
          <cell r="D19020" t="str">
            <v>Ealing</v>
          </cell>
          <cell r="E19020" t="str">
            <v>Community School</v>
          </cell>
          <cell r="F19020" t="str">
            <v>Primary</v>
          </cell>
        </row>
        <row r="19021">
          <cell r="A19021">
            <v>3532034</v>
          </cell>
          <cell r="B19021">
            <v>105639</v>
          </cell>
          <cell r="C19021" t="str">
            <v>Mayfield Primary School</v>
          </cell>
          <cell r="D19021" t="str">
            <v>Oldham</v>
          </cell>
          <cell r="E19021" t="str">
            <v>Community School</v>
          </cell>
          <cell r="F19021" t="str">
            <v>Primary</v>
          </cell>
        </row>
        <row r="19022">
          <cell r="A19022">
            <v>8732121</v>
          </cell>
          <cell r="B19022">
            <v>110666</v>
          </cell>
          <cell r="C19022" t="str">
            <v>Mayfield Primary School</v>
          </cell>
          <cell r="D19022" t="str">
            <v>Cambridgeshire</v>
          </cell>
          <cell r="E19022" t="str">
            <v>Community School</v>
          </cell>
          <cell r="F19022" t="str">
            <v>Primary</v>
          </cell>
        </row>
        <row r="19023">
          <cell r="A19023">
            <v>3174035</v>
          </cell>
          <cell r="B19023">
            <v>102858</v>
          </cell>
          <cell r="C19023" t="str">
            <v>Mayfield School</v>
          </cell>
          <cell r="D19023" t="str">
            <v>Redbridge</v>
          </cell>
          <cell r="E19023" t="str">
            <v>Foundation School</v>
          </cell>
          <cell r="F19023" t="str">
            <v>Secondary</v>
          </cell>
        </row>
        <row r="19024">
          <cell r="A19024">
            <v>3307040</v>
          </cell>
          <cell r="B19024">
            <v>103619</v>
          </cell>
          <cell r="C19024" t="str">
            <v>Mayfield School</v>
          </cell>
          <cell r="D19024" t="str">
            <v>Birmingham</v>
          </cell>
          <cell r="E19024" t="str">
            <v>Community Special School</v>
          </cell>
          <cell r="F19024" t="str">
            <v>Special</v>
          </cell>
        </row>
        <row r="19025">
          <cell r="A19025">
            <v>9097002</v>
          </cell>
          <cell r="B19025">
            <v>112464</v>
          </cell>
          <cell r="C19025" t="str">
            <v>Mayfield School</v>
          </cell>
          <cell r="D19025" t="str">
            <v>Cumbria</v>
          </cell>
          <cell r="E19025" t="str">
            <v>Community Special School</v>
          </cell>
          <cell r="F19025" t="str">
            <v>Special</v>
          </cell>
        </row>
        <row r="19026">
          <cell r="A19026">
            <v>8807042</v>
          </cell>
          <cell r="B19026">
            <v>113641</v>
          </cell>
          <cell r="C19026" t="str">
            <v>Mayfield School</v>
          </cell>
          <cell r="D19026" t="str">
            <v>Torbay</v>
          </cell>
          <cell r="E19026" t="str">
            <v>Community Special School</v>
          </cell>
          <cell r="F19026" t="str">
            <v>Special</v>
          </cell>
        </row>
        <row r="19027">
          <cell r="A19027">
            <v>8514303</v>
          </cell>
          <cell r="B19027">
            <v>116463</v>
          </cell>
          <cell r="C19027" t="str">
            <v>Mayfield School</v>
          </cell>
          <cell r="D19027" t="str">
            <v>Portsmouth</v>
          </cell>
          <cell r="E19027" t="str">
            <v>Community School</v>
          </cell>
          <cell r="F19027" t="str">
            <v>Secondary</v>
          </cell>
        </row>
        <row r="19028">
          <cell r="A19028">
            <v>8506051</v>
          </cell>
          <cell r="B19028">
            <v>116512</v>
          </cell>
          <cell r="C19028" t="str">
            <v>Mayfield School</v>
          </cell>
          <cell r="D19028" t="str">
            <v>Hampshire</v>
          </cell>
          <cell r="E19028" t="str">
            <v>Other Independent School</v>
          </cell>
          <cell r="F19028" t="str">
            <v>Not applicable</v>
          </cell>
        </row>
        <row r="19029">
          <cell r="A19029">
            <v>8887089</v>
          </cell>
          <cell r="B19029">
            <v>119889</v>
          </cell>
          <cell r="C19029" t="str">
            <v>Mayfield School</v>
          </cell>
          <cell r="D19029" t="str">
            <v>Lancashire</v>
          </cell>
          <cell r="E19029" t="str">
            <v>Community Special School</v>
          </cell>
          <cell r="F19029" t="str">
            <v>Special</v>
          </cell>
        </row>
        <row r="19030">
          <cell r="A19030">
            <v>8731102</v>
          </cell>
          <cell r="B19030">
            <v>133591</v>
          </cell>
          <cell r="C19030" t="str">
            <v>Mayfield School</v>
          </cell>
          <cell r="D19030" t="str">
            <v>Cambridgeshire</v>
          </cell>
          <cell r="E19030" t="str">
            <v>Pupil Referral Unit</v>
          </cell>
          <cell r="F19030" t="str">
            <v>PRU</v>
          </cell>
        </row>
        <row r="19031">
          <cell r="A19031">
            <v>6786014</v>
          </cell>
          <cell r="B19031">
            <v>402006</v>
          </cell>
          <cell r="C19031" t="str">
            <v>Mayflower Christian School</v>
          </cell>
          <cell r="D19031" t="str">
            <v>Torfaen</v>
          </cell>
          <cell r="E19031" t="str">
            <v>Welsh Establishment</v>
          </cell>
          <cell r="F19031" t="str">
            <v>Not applicable</v>
          </cell>
        </row>
        <row r="19032">
          <cell r="A19032">
            <v>8793776</v>
          </cell>
          <cell r="B19032">
            <v>135852</v>
          </cell>
          <cell r="C19032" t="str">
            <v>Mayflower Community School</v>
          </cell>
          <cell r="D19032" t="str">
            <v>Plymouth</v>
          </cell>
          <cell r="E19032" t="str">
            <v>Community School</v>
          </cell>
          <cell r="F19032" t="str">
            <v>Primary</v>
          </cell>
        </row>
        <row r="19033">
          <cell r="A19033">
            <v>8814471</v>
          </cell>
          <cell r="B19033">
            <v>115232</v>
          </cell>
          <cell r="C19033" t="str">
            <v>Mayflower High School</v>
          </cell>
          <cell r="D19033" t="str">
            <v>Essex</v>
          </cell>
          <cell r="E19033" t="str">
            <v>Foundation School</v>
          </cell>
          <cell r="F19033" t="str">
            <v>Secondary</v>
          </cell>
        </row>
        <row r="19034">
          <cell r="A19034">
            <v>8814471</v>
          </cell>
          <cell r="B19034">
            <v>137048</v>
          </cell>
          <cell r="C19034" t="str">
            <v>Mayflower High School</v>
          </cell>
          <cell r="D19034" t="str">
            <v>Essex</v>
          </cell>
          <cell r="E19034" t="str">
            <v>Academy Converters</v>
          </cell>
          <cell r="F19034" t="str">
            <v>Secondary</v>
          </cell>
        </row>
        <row r="19035">
          <cell r="A19035">
            <v>2036301</v>
          </cell>
          <cell r="B19035">
            <v>134384</v>
          </cell>
          <cell r="C19035" t="str">
            <v>Mayflower Independant School</v>
          </cell>
          <cell r="D19035" t="str">
            <v>Greenwich</v>
          </cell>
          <cell r="E19035" t="str">
            <v>Other Independent School</v>
          </cell>
          <cell r="F19035" t="str">
            <v>Not applicable</v>
          </cell>
        </row>
        <row r="19036">
          <cell r="A19036">
            <v>2112406</v>
          </cell>
          <cell r="B19036">
            <v>100913</v>
          </cell>
          <cell r="C19036" t="str">
            <v>Mayflower Primary School</v>
          </cell>
          <cell r="D19036" t="str">
            <v>Tower Hamlets</v>
          </cell>
          <cell r="E19036" t="str">
            <v>Community School</v>
          </cell>
          <cell r="F19036" t="str">
            <v>Primary</v>
          </cell>
        </row>
        <row r="19037">
          <cell r="A19037">
            <v>8562250</v>
          </cell>
          <cell r="B19037">
            <v>120018</v>
          </cell>
          <cell r="C19037" t="str">
            <v>Mayflower Primary School</v>
          </cell>
          <cell r="D19037" t="str">
            <v>Leicester</v>
          </cell>
          <cell r="E19037" t="str">
            <v>Community School</v>
          </cell>
          <cell r="F19037" t="str">
            <v>Primary</v>
          </cell>
        </row>
        <row r="19038">
          <cell r="A19038">
            <v>8502383</v>
          </cell>
          <cell r="B19038">
            <v>116075</v>
          </cell>
          <cell r="C19038" t="str">
            <v>Mayhill Junior School</v>
          </cell>
          <cell r="D19038" t="str">
            <v>Hampshire</v>
          </cell>
          <cell r="E19038" t="str">
            <v>Community School</v>
          </cell>
          <cell r="F19038" t="str">
            <v>Primary</v>
          </cell>
        </row>
        <row r="19039">
          <cell r="A19039">
            <v>9152610</v>
          </cell>
          <cell r="B19039">
            <v>128891</v>
          </cell>
          <cell r="C19039" t="str">
            <v>Mayland and Althorne County Primary School</v>
          </cell>
          <cell r="D19039" t="str">
            <v>Pre LGR (1998) Essex</v>
          </cell>
          <cell r="E19039" t="str">
            <v>Community School</v>
          </cell>
          <cell r="F19039" t="str">
            <v>Primary</v>
          </cell>
        </row>
        <row r="19040">
          <cell r="A19040">
            <v>8812994</v>
          </cell>
          <cell r="B19040">
            <v>115060</v>
          </cell>
          <cell r="C19040" t="str">
            <v>Maylandsea Primary School</v>
          </cell>
          <cell r="D19040" t="str">
            <v>Essex</v>
          </cell>
          <cell r="E19040" t="str">
            <v>Community School</v>
          </cell>
          <cell r="F19040" t="str">
            <v>Primary</v>
          </cell>
        </row>
        <row r="19041">
          <cell r="A19041">
            <v>8452074</v>
          </cell>
          <cell r="B19041">
            <v>114407</v>
          </cell>
          <cell r="C19041" t="str">
            <v>Maynards Green Community Primary School</v>
          </cell>
          <cell r="D19041" t="str">
            <v>East Sussex</v>
          </cell>
          <cell r="E19041" t="str">
            <v>Community School</v>
          </cell>
          <cell r="F19041" t="str">
            <v>Primary</v>
          </cell>
        </row>
        <row r="19042">
          <cell r="A19042">
            <v>3032026</v>
          </cell>
          <cell r="B19042">
            <v>101417</v>
          </cell>
          <cell r="C19042" t="str">
            <v>Mayplace Primary School</v>
          </cell>
          <cell r="D19042" t="str">
            <v>Bexley</v>
          </cell>
          <cell r="E19042" t="str">
            <v>Community School</v>
          </cell>
          <cell r="F19042" t="str">
            <v>Primary</v>
          </cell>
        </row>
        <row r="19043">
          <cell r="A19043">
            <v>8862066</v>
          </cell>
          <cell r="B19043">
            <v>118246</v>
          </cell>
          <cell r="C19043" t="str">
            <v>Maypole Primary School</v>
          </cell>
          <cell r="D19043" t="str">
            <v>Kent</v>
          </cell>
          <cell r="E19043" t="str">
            <v>Community School</v>
          </cell>
          <cell r="F19043" t="str">
            <v>Primary</v>
          </cell>
        </row>
        <row r="19044">
          <cell r="A19044">
            <v>3176067</v>
          </cell>
          <cell r="B19044">
            <v>131303</v>
          </cell>
          <cell r="C19044" t="str">
            <v>Maytime Preparatory School</v>
          </cell>
          <cell r="D19044" t="str">
            <v>Redbridge</v>
          </cell>
          <cell r="E19044" t="str">
            <v>Other Independent School</v>
          </cell>
          <cell r="F19044" t="str">
            <v>Not applicable</v>
          </cell>
        </row>
        <row r="19045">
          <cell r="A19045">
            <v>3176068</v>
          </cell>
          <cell r="B19045">
            <v>131424</v>
          </cell>
          <cell r="C19045" t="str">
            <v>Maytime Preparatory School 2</v>
          </cell>
          <cell r="D19045" t="str">
            <v>Redbridge</v>
          </cell>
          <cell r="E19045" t="str">
            <v>Other Independent School</v>
          </cell>
          <cell r="F19045" t="str">
            <v>Not applicable</v>
          </cell>
        </row>
        <row r="19046">
          <cell r="A19046">
            <v>8522410</v>
          </cell>
          <cell r="B19046">
            <v>116093</v>
          </cell>
          <cell r="C19046" t="str">
            <v>Maytree Nursery and Infants' School</v>
          </cell>
          <cell r="D19046" t="str">
            <v>Southampton</v>
          </cell>
          <cell r="E19046" t="str">
            <v>Community School</v>
          </cell>
          <cell r="F19046" t="str">
            <v>Primary</v>
          </cell>
        </row>
        <row r="19047">
          <cell r="A19047">
            <v>2081055</v>
          </cell>
          <cell r="B19047">
            <v>100553</v>
          </cell>
          <cell r="C19047" t="str">
            <v>Maytree Nursery School</v>
          </cell>
          <cell r="D19047" t="str">
            <v>Lambeth</v>
          </cell>
          <cell r="E19047" t="str">
            <v>LA Nursery School</v>
          </cell>
          <cell r="F19047" t="str">
            <v>Nursery</v>
          </cell>
        </row>
        <row r="19048">
          <cell r="A19048">
            <v>8516002</v>
          </cell>
          <cell r="B19048">
            <v>116573</v>
          </cell>
          <cell r="C19048" t="str">
            <v>Mayville High School</v>
          </cell>
          <cell r="D19048" t="str">
            <v>Portsmouth</v>
          </cell>
          <cell r="E19048" t="str">
            <v>Other Independent School</v>
          </cell>
          <cell r="F19048" t="str">
            <v>Not applicable</v>
          </cell>
        </row>
        <row r="19049">
          <cell r="A19049">
            <v>3202021</v>
          </cell>
          <cell r="B19049">
            <v>103046</v>
          </cell>
          <cell r="C19049" t="str">
            <v>Mayville Infants' School</v>
          </cell>
          <cell r="D19049" t="str">
            <v>Waltham Forest</v>
          </cell>
          <cell r="E19049" t="str">
            <v>Community School</v>
          </cell>
          <cell r="F19049" t="str">
            <v>Primary</v>
          </cell>
        </row>
        <row r="19050">
          <cell r="A19050">
            <v>3202020</v>
          </cell>
          <cell r="B19050">
            <v>103045</v>
          </cell>
          <cell r="C19050" t="str">
            <v>Mayville Junior School</v>
          </cell>
          <cell r="D19050" t="str">
            <v>Waltham Forest</v>
          </cell>
          <cell r="E19050" t="str">
            <v>Community School</v>
          </cell>
          <cell r="F19050" t="str">
            <v>Primary</v>
          </cell>
        </row>
        <row r="19051">
          <cell r="A19051">
            <v>3202084</v>
          </cell>
          <cell r="B19051">
            <v>133525</v>
          </cell>
          <cell r="C19051" t="str">
            <v>Mayville Primary School</v>
          </cell>
          <cell r="D19051" t="str">
            <v>Waltham Forest</v>
          </cell>
          <cell r="E19051" t="str">
            <v>Community School</v>
          </cell>
          <cell r="F19051" t="str">
            <v>Primary</v>
          </cell>
        </row>
        <row r="19052">
          <cell r="A19052">
            <v>2116391</v>
          </cell>
          <cell r="B19052">
            <v>133307</v>
          </cell>
          <cell r="C19052" t="str">
            <v>Mazahirul Uloom School</v>
          </cell>
          <cell r="D19052" t="str">
            <v>Tower Hamlets</v>
          </cell>
          <cell r="E19052" t="str">
            <v>Other Independent School</v>
          </cell>
          <cell r="F19052" t="str">
            <v>Not applicable</v>
          </cell>
        </row>
        <row r="19053">
          <cell r="A19053">
            <v>2037181</v>
          </cell>
          <cell r="B19053">
            <v>100207</v>
          </cell>
          <cell r="C19053" t="str">
            <v>Maze Hill School</v>
          </cell>
          <cell r="D19053" t="str">
            <v>Greenwich</v>
          </cell>
          <cell r="E19053" t="str">
            <v>Community Special School</v>
          </cell>
          <cell r="F19053" t="str">
            <v>Special</v>
          </cell>
        </row>
        <row r="19054">
          <cell r="A19054">
            <v>2136198</v>
          </cell>
          <cell r="B19054">
            <v>101167</v>
          </cell>
          <cell r="C19054" t="str">
            <v>McCaffrey's School</v>
          </cell>
          <cell r="D19054" t="str">
            <v>Westminster</v>
          </cell>
          <cell r="E19054" t="str">
            <v>Other Independent School</v>
          </cell>
          <cell r="F19054" t="str">
            <v>Not applicable</v>
          </cell>
        </row>
        <row r="19055">
          <cell r="A19055">
            <v>8881117</v>
          </cell>
          <cell r="B19055">
            <v>134367</v>
          </cell>
          <cell r="C19055" t="str">
            <v>McKee Centre</v>
          </cell>
          <cell r="D19055" t="str">
            <v>Lancashire</v>
          </cell>
          <cell r="E19055" t="str">
            <v>Pupil Referral Unit</v>
          </cell>
          <cell r="F19055" t="str">
            <v>PRU</v>
          </cell>
        </row>
        <row r="19056">
          <cell r="A19056">
            <v>3416032</v>
          </cell>
          <cell r="B19056">
            <v>104727</v>
          </cell>
          <cell r="C19056" t="str">
            <v>McKee School</v>
          </cell>
          <cell r="D19056" t="str">
            <v>Liverpool</v>
          </cell>
          <cell r="E19056" t="str">
            <v>Other Independent School</v>
          </cell>
          <cell r="F19056" t="str">
            <v>Not applicable</v>
          </cell>
        </row>
        <row r="19057">
          <cell r="A19057">
            <v>3121000</v>
          </cell>
          <cell r="B19057">
            <v>102365</v>
          </cell>
          <cell r="C19057" t="str">
            <v>McMillan Nursery School</v>
          </cell>
          <cell r="D19057" t="str">
            <v>Hillingdon</v>
          </cell>
          <cell r="E19057" t="str">
            <v>LA Nursery School</v>
          </cell>
          <cell r="F19057" t="str">
            <v>Nursery</v>
          </cell>
        </row>
        <row r="19058">
          <cell r="A19058">
            <v>8101000</v>
          </cell>
          <cell r="B19058">
            <v>117692</v>
          </cell>
          <cell r="C19058" t="str">
            <v>McMillan Nursery School</v>
          </cell>
          <cell r="D19058" t="str">
            <v>Kingston upon Hull City of</v>
          </cell>
          <cell r="E19058" t="str">
            <v>LA Nursery School</v>
          </cell>
          <cell r="F19058" t="str">
            <v>Nursery</v>
          </cell>
        </row>
        <row r="19059">
          <cell r="A19059">
            <v>8881034</v>
          </cell>
          <cell r="B19059">
            <v>119095</v>
          </cell>
          <cell r="C19059" t="str">
            <v>McMillan Nursery School</v>
          </cell>
          <cell r="D19059" t="str">
            <v>Lancashire</v>
          </cell>
          <cell r="E19059" t="str">
            <v>LA Nursery School</v>
          </cell>
          <cell r="F19059" t="str">
            <v>Nursery</v>
          </cell>
        </row>
        <row r="19060">
          <cell r="A19060">
            <v>3807003</v>
          </cell>
          <cell r="B19060">
            <v>127748</v>
          </cell>
          <cell r="C19060" t="str">
            <v>McMillan School</v>
          </cell>
          <cell r="D19060" t="str">
            <v>Bradford</v>
          </cell>
          <cell r="E19060" t="str">
            <v>Community Special School</v>
          </cell>
          <cell r="F19060" t="str">
            <v>Special</v>
          </cell>
        </row>
        <row r="19061">
          <cell r="A19061">
            <v>3112087</v>
          </cell>
          <cell r="B19061">
            <v>102322</v>
          </cell>
          <cell r="C19061" t="str">
            <v>Mead Primary School</v>
          </cell>
          <cell r="D19061" t="str">
            <v>Havering</v>
          </cell>
          <cell r="E19061" t="str">
            <v>Community School</v>
          </cell>
          <cell r="F19061" t="str">
            <v>Primary</v>
          </cell>
        </row>
        <row r="19062">
          <cell r="A19062">
            <v>3052025</v>
          </cell>
          <cell r="B19062">
            <v>101603</v>
          </cell>
          <cell r="C19062" t="str">
            <v>Mead Road Infant School</v>
          </cell>
          <cell r="D19062" t="str">
            <v>Bromley</v>
          </cell>
          <cell r="E19062" t="str">
            <v>Community School</v>
          </cell>
          <cell r="F19062" t="str">
            <v>Primary</v>
          </cell>
        </row>
        <row r="19063">
          <cell r="A19063">
            <v>8022305</v>
          </cell>
          <cell r="B19063">
            <v>109112</v>
          </cell>
          <cell r="C19063" t="str">
            <v>Mead Vale Community Primary School</v>
          </cell>
          <cell r="D19063" t="str">
            <v>North Somerset</v>
          </cell>
          <cell r="E19063" t="str">
            <v>Community School</v>
          </cell>
          <cell r="F19063" t="str">
            <v>Primary</v>
          </cell>
        </row>
        <row r="19064">
          <cell r="A19064">
            <v>3527042</v>
          </cell>
          <cell r="B19064">
            <v>105614</v>
          </cell>
          <cell r="C19064" t="str">
            <v>Meade Hill School</v>
          </cell>
          <cell r="D19064" t="str">
            <v>Manchester</v>
          </cell>
          <cell r="E19064" t="str">
            <v>Community Special School</v>
          </cell>
          <cell r="F19064" t="str">
            <v>Special</v>
          </cell>
        </row>
        <row r="19065">
          <cell r="A19065">
            <v>8262314</v>
          </cell>
          <cell r="B19065">
            <v>110373</v>
          </cell>
          <cell r="C19065" t="str">
            <v>Meadfurlong School</v>
          </cell>
          <cell r="D19065" t="str">
            <v>Milton Keynes</v>
          </cell>
          <cell r="E19065" t="str">
            <v>Community School</v>
          </cell>
          <cell r="F19065" t="str">
            <v>Primary</v>
          </cell>
        </row>
        <row r="19066">
          <cell r="A19066">
            <v>8812889</v>
          </cell>
          <cell r="B19066">
            <v>115032</v>
          </cell>
          <cell r="C19066" t="str">
            <v>Meadgate Primary School</v>
          </cell>
          <cell r="D19066" t="str">
            <v>Essex</v>
          </cell>
          <cell r="E19066" t="str">
            <v>Community School</v>
          </cell>
          <cell r="F19066" t="str">
            <v>Primary</v>
          </cell>
        </row>
        <row r="19067">
          <cell r="A19067">
            <v>8416004</v>
          </cell>
          <cell r="B19067">
            <v>136171</v>
          </cell>
          <cell r="C19067" t="str">
            <v>Meadholme</v>
          </cell>
          <cell r="D19067" t="str">
            <v>Darlington</v>
          </cell>
          <cell r="E19067" t="str">
            <v>Other Independent Special School</v>
          </cell>
          <cell r="F19067" t="str">
            <v>Not applicable</v>
          </cell>
        </row>
        <row r="19068">
          <cell r="A19068">
            <v>3182015</v>
          </cell>
          <cell r="B19068">
            <v>102893</v>
          </cell>
          <cell r="C19068" t="str">
            <v>Meadlands Primary School</v>
          </cell>
          <cell r="D19068" t="str">
            <v>Richmond upon Thames</v>
          </cell>
          <cell r="E19068" t="str">
            <v>Community School</v>
          </cell>
          <cell r="F19068" t="str">
            <v>Primary</v>
          </cell>
        </row>
        <row r="19069">
          <cell r="A19069">
            <v>3417036</v>
          </cell>
          <cell r="B19069">
            <v>104738</v>
          </cell>
          <cell r="C19069" t="str">
            <v>Meadow Bank School</v>
          </cell>
          <cell r="D19069" t="str">
            <v>Liverpool</v>
          </cell>
          <cell r="E19069" t="str">
            <v>Community Special School</v>
          </cell>
          <cell r="F19069" t="str">
            <v>Special</v>
          </cell>
        </row>
        <row r="19070">
          <cell r="A19070">
            <v>8962718</v>
          </cell>
          <cell r="B19070">
            <v>111235</v>
          </cell>
          <cell r="C19070" t="str">
            <v>Meadow Community Primary School</v>
          </cell>
          <cell r="D19070" t="str">
            <v>Cheshire West and Chester</v>
          </cell>
          <cell r="E19070" t="str">
            <v>Community School</v>
          </cell>
          <cell r="F19070" t="str">
            <v>Primary</v>
          </cell>
        </row>
        <row r="19071">
          <cell r="A19071">
            <v>9352143</v>
          </cell>
          <cell r="B19071">
            <v>124636</v>
          </cell>
          <cell r="C19071" t="str">
            <v>Meadow Community Primary School</v>
          </cell>
          <cell r="D19071" t="str">
            <v>Suffolk</v>
          </cell>
          <cell r="E19071" t="str">
            <v>Community School</v>
          </cell>
          <cell r="F19071" t="str">
            <v>Primary</v>
          </cell>
        </row>
        <row r="19072">
          <cell r="A19072">
            <v>8312452</v>
          </cell>
          <cell r="B19072">
            <v>112752</v>
          </cell>
          <cell r="C19072" t="str">
            <v>Meadow Farm Community Primary School</v>
          </cell>
          <cell r="D19072" t="str">
            <v>Derby</v>
          </cell>
          <cell r="E19072" t="str">
            <v>Community School</v>
          </cell>
          <cell r="F19072" t="str">
            <v>Primary</v>
          </cell>
        </row>
        <row r="19073">
          <cell r="A19073">
            <v>3127004</v>
          </cell>
          <cell r="B19073">
            <v>102462</v>
          </cell>
          <cell r="C19073" t="str">
            <v>Meadow High School</v>
          </cell>
          <cell r="D19073" t="str">
            <v>Hillingdon</v>
          </cell>
          <cell r="E19073" t="str">
            <v>Community Special School</v>
          </cell>
          <cell r="F19073" t="str">
            <v>Special</v>
          </cell>
        </row>
        <row r="19074">
          <cell r="A19074">
            <v>8912298</v>
          </cell>
          <cell r="B19074">
            <v>122544</v>
          </cell>
          <cell r="C19074" t="str">
            <v>Meadow Lane Infant School</v>
          </cell>
          <cell r="D19074" t="str">
            <v>Nottinghamshire</v>
          </cell>
          <cell r="E19074" t="str">
            <v>Community School</v>
          </cell>
          <cell r="F19074" t="str">
            <v>Primary</v>
          </cell>
        </row>
        <row r="19075">
          <cell r="A19075">
            <v>8732201</v>
          </cell>
          <cell r="B19075">
            <v>110670</v>
          </cell>
          <cell r="C19075" t="str">
            <v>Meadow Primary School</v>
          </cell>
          <cell r="D19075" t="str">
            <v>Cambridgeshire</v>
          </cell>
          <cell r="E19075" t="str">
            <v>Community School</v>
          </cell>
          <cell r="F19075" t="str">
            <v>Primary</v>
          </cell>
        </row>
        <row r="19076">
          <cell r="A19076">
            <v>9363943</v>
          </cell>
          <cell r="B19076">
            <v>135383</v>
          </cell>
          <cell r="C19076" t="str">
            <v>Meadow Primary School</v>
          </cell>
          <cell r="D19076" t="str">
            <v>Surrey</v>
          </cell>
          <cell r="E19076" t="str">
            <v>Community School</v>
          </cell>
          <cell r="F19076" t="str">
            <v>Primary</v>
          </cell>
        </row>
        <row r="19077">
          <cell r="A19077">
            <v>9032053</v>
          </cell>
          <cell r="B19077">
            <v>128272</v>
          </cell>
          <cell r="C19077" t="str">
            <v>Meadow Vale County Junior School</v>
          </cell>
          <cell r="D19077" t="str">
            <v>Pre LGR (1998) Berkshire</v>
          </cell>
          <cell r="E19077" t="str">
            <v>Community School</v>
          </cell>
          <cell r="F19077" t="str">
            <v>Primary</v>
          </cell>
        </row>
        <row r="19078">
          <cell r="A19078">
            <v>9032054</v>
          </cell>
          <cell r="B19078">
            <v>128273</v>
          </cell>
          <cell r="C19078" t="str">
            <v>Meadow Vale Infant School</v>
          </cell>
          <cell r="D19078" t="str">
            <v>Pre LGR (1998) Berkshire</v>
          </cell>
          <cell r="E19078" t="str">
            <v>Community School</v>
          </cell>
          <cell r="F19078" t="str">
            <v>Primary</v>
          </cell>
        </row>
        <row r="19079">
          <cell r="A19079">
            <v>8672251</v>
          </cell>
          <cell r="B19079">
            <v>109942</v>
          </cell>
          <cell r="C19079" t="str">
            <v>Meadow Vale Primary School</v>
          </cell>
          <cell r="D19079" t="str">
            <v>Bracknell Forest</v>
          </cell>
          <cell r="E19079" t="str">
            <v>Community School</v>
          </cell>
          <cell r="F19079" t="str">
            <v>Primary</v>
          </cell>
        </row>
        <row r="19080">
          <cell r="A19080">
            <v>8556019</v>
          </cell>
          <cell r="B19080">
            <v>136949</v>
          </cell>
          <cell r="C19080" t="str">
            <v>Meadow View Farm School</v>
          </cell>
          <cell r="D19080" t="str">
            <v>Leicestershire</v>
          </cell>
          <cell r="E19080" t="str">
            <v>Other Independent Special School</v>
          </cell>
          <cell r="F19080" t="str">
            <v>Not applicable</v>
          </cell>
        </row>
        <row r="19081">
          <cell r="A19081">
            <v>3352240</v>
          </cell>
          <cell r="B19081">
            <v>104217</v>
          </cell>
          <cell r="C19081" t="str">
            <v>Meadow View JMI School</v>
          </cell>
          <cell r="D19081" t="str">
            <v>Walsall</v>
          </cell>
          <cell r="E19081" t="str">
            <v>Community School</v>
          </cell>
          <cell r="F19081" t="str">
            <v>Primary</v>
          </cell>
        </row>
        <row r="19082">
          <cell r="A19082">
            <v>3722023</v>
          </cell>
          <cell r="B19082">
            <v>106846</v>
          </cell>
          <cell r="C19082" t="str">
            <v>Meadow View Primary School</v>
          </cell>
          <cell r="D19082" t="str">
            <v>Rotherham</v>
          </cell>
          <cell r="E19082" t="str">
            <v>Community School</v>
          </cell>
          <cell r="F19082" t="str">
            <v>Primary</v>
          </cell>
        </row>
        <row r="19083">
          <cell r="A19083">
            <v>9197043</v>
          </cell>
          <cell r="B19083">
            <v>117691</v>
          </cell>
          <cell r="C19083" t="str">
            <v>Meadow Wood School</v>
          </cell>
          <cell r="D19083" t="str">
            <v>Hertfordshire</v>
          </cell>
          <cell r="E19083" t="str">
            <v>Community Special School</v>
          </cell>
          <cell r="F19083" t="str">
            <v>Special</v>
          </cell>
        </row>
        <row r="19084">
          <cell r="A19084">
            <v>8866130</v>
          </cell>
          <cell r="B19084">
            <v>137559</v>
          </cell>
          <cell r="C19084" t="str">
            <v>Meadoway Specialist School</v>
          </cell>
          <cell r="D19084" t="str">
            <v>Kent</v>
          </cell>
          <cell r="E19084" t="str">
            <v>Other Independent School</v>
          </cell>
          <cell r="F19084" t="str">
            <v>Not applicable</v>
          </cell>
        </row>
        <row r="19085">
          <cell r="A19085">
            <v>3563528</v>
          </cell>
          <cell r="B19085">
            <v>135008</v>
          </cell>
          <cell r="C19085" t="str">
            <v>Meadowbank Primary School</v>
          </cell>
          <cell r="D19085" t="str">
            <v>Stockport</v>
          </cell>
          <cell r="E19085" t="str">
            <v>Community School</v>
          </cell>
          <cell r="F19085" t="str">
            <v>Primary</v>
          </cell>
        </row>
        <row r="19086">
          <cell r="A19086">
            <v>3592045</v>
          </cell>
          <cell r="B19086">
            <v>106425</v>
          </cell>
          <cell r="C19086" t="str">
            <v>Meadowbank Primary School &amp; Children's Centre</v>
          </cell>
          <cell r="D19086" t="str">
            <v>Wigan</v>
          </cell>
          <cell r="E19086" t="str">
            <v>Community School</v>
          </cell>
          <cell r="F19086" t="str">
            <v>Primary</v>
          </cell>
        </row>
        <row r="19087">
          <cell r="A19087">
            <v>3417067</v>
          </cell>
          <cell r="B19087">
            <v>134655</v>
          </cell>
          <cell r="C19087" t="str">
            <v>Meadowbank Secondary Special School</v>
          </cell>
          <cell r="D19087" t="str">
            <v>Liverpool</v>
          </cell>
          <cell r="E19087" t="str">
            <v>Community Special School</v>
          </cell>
          <cell r="F19087" t="str">
            <v>Special</v>
          </cell>
        </row>
        <row r="19088">
          <cell r="A19088">
            <v>6817021</v>
          </cell>
          <cell r="B19088">
            <v>401935</v>
          </cell>
          <cell r="C19088" t="str">
            <v>Meadowbank Special School</v>
          </cell>
          <cell r="D19088" t="str">
            <v>Cardiff</v>
          </cell>
          <cell r="E19088" t="str">
            <v>Welsh Establishment</v>
          </cell>
          <cell r="F19088" t="str">
            <v>Not applicable</v>
          </cell>
        </row>
        <row r="19089">
          <cell r="A19089">
            <v>9311106</v>
          </cell>
          <cell r="B19089">
            <v>133776</v>
          </cell>
          <cell r="C19089" t="str">
            <v>Meadowbrook College</v>
          </cell>
          <cell r="D19089" t="str">
            <v>Oxfordshire</v>
          </cell>
          <cell r="E19089" t="str">
            <v>Pupil Referral Unit</v>
          </cell>
          <cell r="F19089" t="str">
            <v>PRU</v>
          </cell>
        </row>
        <row r="19090">
          <cell r="A19090">
            <v>9046150</v>
          </cell>
          <cell r="B19090">
            <v>128354</v>
          </cell>
          <cell r="C19090" t="str">
            <v>Meadowbrook Montessori Farm School</v>
          </cell>
          <cell r="D19090" t="str">
            <v>Pre LGR (1997) Buckinghamshire</v>
          </cell>
          <cell r="E19090" t="str">
            <v>Other Independent School</v>
          </cell>
          <cell r="F19090" t="str">
            <v>Not applicable</v>
          </cell>
        </row>
        <row r="19091">
          <cell r="A19091">
            <v>8676006</v>
          </cell>
          <cell r="B19091">
            <v>110172</v>
          </cell>
          <cell r="C19091" t="str">
            <v>Meadowbrook Montessori School</v>
          </cell>
          <cell r="D19091" t="str">
            <v>Bracknell Forest</v>
          </cell>
          <cell r="E19091" t="str">
            <v>Other Independent School</v>
          </cell>
          <cell r="F19091" t="str">
            <v>Not applicable</v>
          </cell>
        </row>
        <row r="19092">
          <cell r="A19092">
            <v>8032010</v>
          </cell>
          <cell r="B19092">
            <v>133408</v>
          </cell>
          <cell r="C19092" t="str">
            <v>Meadowbrook Primary School</v>
          </cell>
          <cell r="D19092" t="str">
            <v>South Gloucestershire</v>
          </cell>
          <cell r="E19092" t="str">
            <v>Community School</v>
          </cell>
          <cell r="F19092" t="str">
            <v>Primary</v>
          </cell>
        </row>
        <row r="19093">
          <cell r="A19093">
            <v>8866121</v>
          </cell>
          <cell r="B19093">
            <v>135186</v>
          </cell>
          <cell r="C19093" t="str">
            <v>Meadowcroft</v>
          </cell>
          <cell r="D19093" t="str">
            <v>Kent</v>
          </cell>
          <cell r="E19093" t="str">
            <v>Other Independent Special School</v>
          </cell>
          <cell r="F19093" t="str">
            <v>Not applicable</v>
          </cell>
        </row>
        <row r="19094">
          <cell r="A19094">
            <v>9362445</v>
          </cell>
          <cell r="B19094">
            <v>125065</v>
          </cell>
          <cell r="C19094" t="str">
            <v>Meadowcroft Community Infant School</v>
          </cell>
          <cell r="D19094" t="str">
            <v>Surrey</v>
          </cell>
          <cell r="E19094" t="str">
            <v>Community School</v>
          </cell>
          <cell r="F19094" t="str">
            <v>Primary</v>
          </cell>
        </row>
        <row r="19095">
          <cell r="A19095">
            <v>8252202</v>
          </cell>
          <cell r="B19095">
            <v>110302</v>
          </cell>
          <cell r="C19095" t="str">
            <v>Meadowcroft Junior School</v>
          </cell>
          <cell r="D19095" t="str">
            <v>Buckinghamshire</v>
          </cell>
          <cell r="E19095" t="str">
            <v>Community School</v>
          </cell>
          <cell r="F19095" t="str">
            <v>Primary</v>
          </cell>
        </row>
        <row r="19096">
          <cell r="A19096">
            <v>8611009</v>
          </cell>
          <cell r="B19096">
            <v>123955</v>
          </cell>
          <cell r="C19096" t="str">
            <v>Meadowcroft Nursery School</v>
          </cell>
          <cell r="D19096" t="str">
            <v>Stoke-on-Trent</v>
          </cell>
          <cell r="E19096" t="str">
            <v>LA Nursery School</v>
          </cell>
          <cell r="F19096" t="str">
            <v>Nursery</v>
          </cell>
        </row>
        <row r="19097">
          <cell r="A19097">
            <v>3846348</v>
          </cell>
          <cell r="B19097">
            <v>135216</v>
          </cell>
          <cell r="C19097" t="str">
            <v>Meadowcroft School</v>
          </cell>
          <cell r="D19097" t="str">
            <v>Wakefield</v>
          </cell>
          <cell r="E19097" t="str">
            <v>Other Independent Special School</v>
          </cell>
          <cell r="F19097" t="str">
            <v>Not applicable</v>
          </cell>
        </row>
        <row r="19098">
          <cell r="A19098">
            <v>9294168</v>
          </cell>
          <cell r="B19098">
            <v>122338</v>
          </cell>
          <cell r="C19098" t="str">
            <v>Meadowdale Middle School</v>
          </cell>
          <cell r="D19098" t="str">
            <v>Northumberland</v>
          </cell>
          <cell r="E19098" t="str">
            <v>Community School</v>
          </cell>
          <cell r="F19098" t="str">
            <v>Middle Deemed Secondary</v>
          </cell>
        </row>
        <row r="19099">
          <cell r="A19099">
            <v>8552002</v>
          </cell>
          <cell r="B19099">
            <v>132010</v>
          </cell>
          <cell r="C19099" t="str">
            <v>Meadowdale Primary School</v>
          </cell>
          <cell r="D19099" t="str">
            <v>Leicestershire</v>
          </cell>
          <cell r="E19099" t="str">
            <v>Community School</v>
          </cell>
          <cell r="F19099" t="str">
            <v>Primary</v>
          </cell>
        </row>
        <row r="19100">
          <cell r="A19100">
            <v>3833923</v>
          </cell>
          <cell r="B19100">
            <v>134516</v>
          </cell>
          <cell r="C19100" t="str">
            <v>Meadowfield Primary School</v>
          </cell>
          <cell r="D19100" t="str">
            <v>Leeds</v>
          </cell>
          <cell r="E19100" t="str">
            <v>Foundation School</v>
          </cell>
          <cell r="F19100" t="str">
            <v>Primary</v>
          </cell>
        </row>
        <row r="19101">
          <cell r="A19101">
            <v>8867072</v>
          </cell>
          <cell r="B19101">
            <v>134783</v>
          </cell>
          <cell r="C19101" t="str">
            <v>Meadowfield School</v>
          </cell>
          <cell r="D19101" t="str">
            <v>Kent</v>
          </cell>
          <cell r="E19101" t="str">
            <v>Community Special School</v>
          </cell>
          <cell r="F19101" t="str">
            <v>Special</v>
          </cell>
        </row>
        <row r="19102">
          <cell r="A19102">
            <v>2097149</v>
          </cell>
          <cell r="B19102">
            <v>100764</v>
          </cell>
          <cell r="C19102" t="str">
            <v>Meadowgate School</v>
          </cell>
          <cell r="D19102" t="str">
            <v>Lewisham</v>
          </cell>
          <cell r="E19102" t="str">
            <v>Community Special School</v>
          </cell>
          <cell r="F19102" t="str">
            <v>Special</v>
          </cell>
        </row>
        <row r="19103">
          <cell r="A19103">
            <v>8737021</v>
          </cell>
          <cell r="B19103">
            <v>110949</v>
          </cell>
          <cell r="C19103" t="str">
            <v>Meadowgate School</v>
          </cell>
          <cell r="D19103" t="str">
            <v>Cambridgeshire</v>
          </cell>
          <cell r="E19103" t="str">
            <v>Community Special School</v>
          </cell>
          <cell r="F19103" t="str">
            <v>Special</v>
          </cell>
        </row>
        <row r="19104">
          <cell r="A19104">
            <v>8892010</v>
          </cell>
          <cell r="B19104">
            <v>119122</v>
          </cell>
          <cell r="C19104" t="str">
            <v>Meadowhead Infant School</v>
          </cell>
          <cell r="D19104" t="str">
            <v>Blackburn with Darwen</v>
          </cell>
          <cell r="E19104" t="str">
            <v>Community School</v>
          </cell>
          <cell r="F19104" t="str">
            <v>Primary</v>
          </cell>
        </row>
        <row r="19105">
          <cell r="A19105">
            <v>8892009</v>
          </cell>
          <cell r="B19105">
            <v>119121</v>
          </cell>
          <cell r="C19105" t="str">
            <v>Meadowhead Junior School</v>
          </cell>
          <cell r="D19105" t="str">
            <v>Blackburn with Darwen</v>
          </cell>
          <cell r="E19105" t="str">
            <v>Community School</v>
          </cell>
          <cell r="F19105" t="str">
            <v>Primary</v>
          </cell>
        </row>
        <row r="19106">
          <cell r="A19106">
            <v>3734279</v>
          </cell>
          <cell r="B19106">
            <v>107149</v>
          </cell>
          <cell r="C19106" t="str">
            <v>Meadowhead School</v>
          </cell>
          <cell r="D19106" t="str">
            <v>Sheffield</v>
          </cell>
          <cell r="E19106" t="str">
            <v>Foundation School</v>
          </cell>
          <cell r="F19106" t="str">
            <v>Secondary</v>
          </cell>
        </row>
        <row r="19107">
          <cell r="A19107">
            <v>8502275</v>
          </cell>
          <cell r="B19107">
            <v>116008</v>
          </cell>
          <cell r="C19107" t="str">
            <v>Meadowlands Infant School</v>
          </cell>
          <cell r="D19107" t="str">
            <v>Hampshire</v>
          </cell>
          <cell r="E19107" t="str">
            <v>Community School</v>
          </cell>
          <cell r="F19107" t="str">
            <v>Primary</v>
          </cell>
        </row>
        <row r="19108">
          <cell r="A19108">
            <v>8502741</v>
          </cell>
          <cell r="B19108">
            <v>116245</v>
          </cell>
          <cell r="C19108" t="str">
            <v>Meadowlands Junior School</v>
          </cell>
          <cell r="D19108" t="str">
            <v>Hampshire</v>
          </cell>
          <cell r="E19108" t="str">
            <v>Community School</v>
          </cell>
          <cell r="F19108" t="str">
            <v>Primary</v>
          </cell>
        </row>
        <row r="19109">
          <cell r="A19109">
            <v>9172251</v>
          </cell>
          <cell r="B19109">
            <v>128986</v>
          </cell>
          <cell r="C19109" t="str">
            <v>Meadowlands Middle School</v>
          </cell>
          <cell r="D19109" t="str">
            <v>Pre LGR (1997) Hampshire</v>
          </cell>
          <cell r="E19109" t="str">
            <v>Community School</v>
          </cell>
          <cell r="F19109" t="str">
            <v>Middle Deemed Primary</v>
          </cell>
        </row>
        <row r="19110">
          <cell r="A19110">
            <v>6812179</v>
          </cell>
          <cell r="B19110">
            <v>401633</v>
          </cell>
          <cell r="C19110" t="str">
            <v>Meadowlane Primary School</v>
          </cell>
          <cell r="D19110" t="str">
            <v>Cardiff</v>
          </cell>
          <cell r="E19110" t="str">
            <v>Welsh Establishment</v>
          </cell>
          <cell r="F19110" t="str">
            <v>Primary</v>
          </cell>
        </row>
        <row r="19111">
          <cell r="A19111">
            <v>8656027</v>
          </cell>
          <cell r="B19111">
            <v>130321</v>
          </cell>
          <cell r="C19111" t="str">
            <v>Meadowpark School and Nursery</v>
          </cell>
          <cell r="D19111" t="str">
            <v>Wiltshire</v>
          </cell>
          <cell r="E19111" t="str">
            <v>Other Independent School</v>
          </cell>
          <cell r="F19111" t="str">
            <v>Not applicable</v>
          </cell>
        </row>
        <row r="19112">
          <cell r="A19112">
            <v>3546063</v>
          </cell>
          <cell r="B19112">
            <v>128189</v>
          </cell>
          <cell r="C19112" t="str">
            <v>Meadows - Green Corns</v>
          </cell>
          <cell r="D19112" t="str">
            <v>Rochdale</v>
          </cell>
          <cell r="E19112" t="str">
            <v>Other Independent Special School</v>
          </cell>
          <cell r="F19112" t="str">
            <v>Not applicable</v>
          </cell>
        </row>
        <row r="19113">
          <cell r="A19113">
            <v>8852019</v>
          </cell>
          <cell r="B19113">
            <v>116662</v>
          </cell>
          <cell r="C19113" t="str">
            <v>Meadows First School</v>
          </cell>
          <cell r="D19113" t="str">
            <v>Worcestershire</v>
          </cell>
          <cell r="E19113" t="str">
            <v>Community School</v>
          </cell>
          <cell r="F19113" t="str">
            <v>Primary</v>
          </cell>
        </row>
        <row r="19114">
          <cell r="A19114">
            <v>8922156</v>
          </cell>
          <cell r="B19114">
            <v>122479</v>
          </cell>
          <cell r="C19114" t="str">
            <v>Meadows Primary School</v>
          </cell>
          <cell r="D19114" t="str">
            <v>Nottingham</v>
          </cell>
          <cell r="E19114" t="str">
            <v>Community School</v>
          </cell>
          <cell r="F19114" t="str">
            <v>Primary</v>
          </cell>
        </row>
        <row r="19115">
          <cell r="A19115">
            <v>8602236</v>
          </cell>
          <cell r="B19115">
            <v>124102</v>
          </cell>
          <cell r="C19115" t="str">
            <v>Meadows Primary School</v>
          </cell>
          <cell r="D19115" t="str">
            <v>Staffordshire</v>
          </cell>
          <cell r="E19115" t="str">
            <v>Community School</v>
          </cell>
          <cell r="F19115" t="str">
            <v>Primary</v>
          </cell>
        </row>
        <row r="19116">
          <cell r="A19116">
            <v>8943362</v>
          </cell>
          <cell r="B19116">
            <v>134999</v>
          </cell>
          <cell r="C19116" t="str">
            <v>Meadows Primary School and Nursery</v>
          </cell>
          <cell r="D19116" t="str">
            <v>Telford and Wrekin</v>
          </cell>
          <cell r="E19116" t="str">
            <v>Community School</v>
          </cell>
          <cell r="F19116" t="str">
            <v>Primary</v>
          </cell>
        </row>
        <row r="19117">
          <cell r="A19117">
            <v>8867011</v>
          </cell>
          <cell r="B19117">
            <v>119029</v>
          </cell>
          <cell r="C19117" t="str">
            <v>Meadows School</v>
          </cell>
          <cell r="D19117" t="str">
            <v>Kent</v>
          </cell>
          <cell r="E19117" t="str">
            <v>Non-Maintained Special School</v>
          </cell>
          <cell r="F19117" t="str">
            <v>Special</v>
          </cell>
        </row>
        <row r="19118">
          <cell r="A19118">
            <v>8772016</v>
          </cell>
          <cell r="B19118">
            <v>110973</v>
          </cell>
          <cell r="C19118" t="str">
            <v>Meadowside Community Primary and Nursery School</v>
          </cell>
          <cell r="D19118" t="str">
            <v>Warrington</v>
          </cell>
          <cell r="E19118" t="str">
            <v>Community School</v>
          </cell>
          <cell r="F19118" t="str">
            <v>Primary</v>
          </cell>
        </row>
        <row r="19119">
          <cell r="A19119">
            <v>9282009</v>
          </cell>
          <cell r="B19119">
            <v>121801</v>
          </cell>
          <cell r="C19119" t="str">
            <v>Meadowside Junior School</v>
          </cell>
          <cell r="D19119" t="str">
            <v>Northamptonshire</v>
          </cell>
          <cell r="E19119" t="str">
            <v>Community School</v>
          </cell>
          <cell r="F19119" t="str">
            <v>Primary</v>
          </cell>
        </row>
        <row r="19120">
          <cell r="A19120">
            <v>9282144</v>
          </cell>
          <cell r="B19120">
            <v>121901</v>
          </cell>
          <cell r="C19120" t="str">
            <v>Meadowside Primary School</v>
          </cell>
          <cell r="D19120" t="str">
            <v>Northamptonshire</v>
          </cell>
          <cell r="E19120" t="str">
            <v>Community School</v>
          </cell>
          <cell r="F19120" t="str">
            <v>Primary</v>
          </cell>
        </row>
        <row r="19121">
          <cell r="A19121">
            <v>9162179</v>
          </cell>
          <cell r="B19121">
            <v>131782</v>
          </cell>
          <cell r="C19121" t="str">
            <v>Meadowside Primary School</v>
          </cell>
          <cell r="D19121" t="str">
            <v>Gloucestershire</v>
          </cell>
          <cell r="E19121" t="str">
            <v>Community School</v>
          </cell>
          <cell r="F19121" t="str">
            <v>Primary</v>
          </cell>
        </row>
        <row r="19122">
          <cell r="A19122">
            <v>3447007</v>
          </cell>
          <cell r="B19122">
            <v>105133</v>
          </cell>
          <cell r="C19122" t="str">
            <v>Meadowside School</v>
          </cell>
          <cell r="D19122" t="str">
            <v>Wirral</v>
          </cell>
          <cell r="E19122" t="str">
            <v>Community Special School</v>
          </cell>
          <cell r="F19122" t="str">
            <v>Special</v>
          </cell>
        </row>
        <row r="19123">
          <cell r="A19123">
            <v>8704021</v>
          </cell>
          <cell r="B19123">
            <v>110045</v>
          </cell>
          <cell r="C19123" t="str">
            <v>Meadway School</v>
          </cell>
          <cell r="D19123" t="str">
            <v>Reading</v>
          </cell>
          <cell r="E19123" t="str">
            <v>Community School</v>
          </cell>
          <cell r="F19123" t="str">
            <v>Secondary</v>
          </cell>
        </row>
        <row r="19124">
          <cell r="A19124">
            <v>2127138</v>
          </cell>
          <cell r="B19124">
            <v>126703</v>
          </cell>
          <cell r="C19124" t="str">
            <v>Meadway School</v>
          </cell>
          <cell r="D19124" t="str">
            <v>Wandsworth</v>
          </cell>
          <cell r="E19124" t="str">
            <v>Community Special School</v>
          </cell>
          <cell r="F19124" t="str">
            <v>Special</v>
          </cell>
        </row>
        <row r="19125">
          <cell r="A19125">
            <v>3833907</v>
          </cell>
          <cell r="B19125">
            <v>108046</v>
          </cell>
          <cell r="C19125" t="str">
            <v>Meanwood Church of England Primary School</v>
          </cell>
          <cell r="D19125" t="str">
            <v>Leeds</v>
          </cell>
          <cell r="E19125" t="str">
            <v>Voluntary Aided School</v>
          </cell>
          <cell r="F19125" t="str">
            <v>Primary</v>
          </cell>
        </row>
        <row r="19126">
          <cell r="A19126">
            <v>3833327</v>
          </cell>
          <cell r="B19126">
            <v>127926</v>
          </cell>
          <cell r="C19126" t="str">
            <v>Meanwood CofE First School</v>
          </cell>
          <cell r="D19126" t="str">
            <v>Leeds</v>
          </cell>
          <cell r="E19126" t="str">
            <v>Voluntary Aided School</v>
          </cell>
          <cell r="F19126" t="str">
            <v>Primary</v>
          </cell>
        </row>
        <row r="19127">
          <cell r="A19127">
            <v>3542015</v>
          </cell>
          <cell r="B19127">
            <v>105773</v>
          </cell>
          <cell r="C19127" t="str">
            <v>Meanwood Community Nursery and Primary School</v>
          </cell>
          <cell r="D19127" t="str">
            <v>Rochdale</v>
          </cell>
          <cell r="E19127" t="str">
            <v>Community School</v>
          </cell>
          <cell r="F19127" t="str">
            <v>Primary</v>
          </cell>
        </row>
        <row r="19128">
          <cell r="A19128">
            <v>9332045</v>
          </cell>
          <cell r="B19128">
            <v>123653</v>
          </cell>
          <cell r="C19128" t="str">
            <v>Meare Village Primary School</v>
          </cell>
          <cell r="D19128" t="str">
            <v>Somerset</v>
          </cell>
          <cell r="E19128" t="str">
            <v>Community School</v>
          </cell>
          <cell r="F19128" t="str">
            <v>Primary</v>
          </cell>
        </row>
        <row r="19129">
          <cell r="A19129">
            <v>9283329</v>
          </cell>
          <cell r="B19129">
            <v>122026</v>
          </cell>
          <cell r="C19129" t="str">
            <v>Mears Ashby Church of England Endowed School</v>
          </cell>
          <cell r="D19129" t="str">
            <v>Northamptonshire</v>
          </cell>
          <cell r="E19129" t="str">
            <v>Voluntary Aided School</v>
          </cell>
          <cell r="F19129" t="str">
            <v>Primary</v>
          </cell>
        </row>
        <row r="19130">
          <cell r="A19130">
            <v>8553060</v>
          </cell>
          <cell r="B19130">
            <v>120146</v>
          </cell>
          <cell r="C19130" t="str">
            <v>Measham Church of England Primary School</v>
          </cell>
          <cell r="D19130" t="str">
            <v>Leicestershire</v>
          </cell>
          <cell r="E19130" t="str">
            <v>Voluntary Controlled School</v>
          </cell>
          <cell r="F19130" t="str">
            <v>Primary</v>
          </cell>
        </row>
        <row r="19131">
          <cell r="A19131">
            <v>9362493</v>
          </cell>
          <cell r="B19131">
            <v>125083</v>
          </cell>
          <cell r="C19131" t="str">
            <v>Meath Green Infant School</v>
          </cell>
          <cell r="D19131" t="str">
            <v>Surrey</v>
          </cell>
          <cell r="E19131" t="str">
            <v>Community School</v>
          </cell>
          <cell r="F19131" t="str">
            <v>Primary</v>
          </cell>
        </row>
        <row r="19132">
          <cell r="A19132">
            <v>9362311</v>
          </cell>
          <cell r="B19132">
            <v>125012</v>
          </cell>
          <cell r="C19132" t="str">
            <v>Meath Green Junior School</v>
          </cell>
          <cell r="D19132" t="str">
            <v>Surrey</v>
          </cell>
          <cell r="E19132" t="str">
            <v>Community School</v>
          </cell>
          <cell r="F19132" t="str">
            <v>Primary</v>
          </cell>
        </row>
        <row r="19133">
          <cell r="A19133">
            <v>9367063</v>
          </cell>
          <cell r="B19133">
            <v>125478</v>
          </cell>
          <cell r="C19133" t="str">
            <v>Meath School</v>
          </cell>
          <cell r="D19133" t="str">
            <v>Surrey</v>
          </cell>
          <cell r="E19133" t="str">
            <v>Non-Maintained Special School</v>
          </cell>
          <cell r="F19133" t="str">
            <v>Special</v>
          </cell>
        </row>
        <row r="19134">
          <cell r="A19134">
            <v>8783753</v>
          </cell>
          <cell r="B19134">
            <v>113480</v>
          </cell>
          <cell r="C19134" t="str">
            <v>Meavy Church of England Primary School</v>
          </cell>
          <cell r="D19134" t="str">
            <v>Devon</v>
          </cell>
          <cell r="E19134" t="str">
            <v>Voluntary Aided School</v>
          </cell>
          <cell r="F19134" t="str">
            <v>Primary</v>
          </cell>
        </row>
        <row r="19135">
          <cell r="A19135">
            <v>2046384</v>
          </cell>
          <cell r="B19135">
            <v>100297</v>
          </cell>
          <cell r="C19135" t="str">
            <v>Mechinah Liyeshivah Zichron Moshe</v>
          </cell>
          <cell r="D19135" t="str">
            <v>Hackney</v>
          </cell>
          <cell r="E19135" t="str">
            <v>Other Independent School</v>
          </cell>
          <cell r="F19135" t="str">
            <v>Not applicable</v>
          </cell>
        </row>
        <row r="19136">
          <cell r="A19136">
            <v>3556020</v>
          </cell>
          <cell r="B19136">
            <v>105999</v>
          </cell>
          <cell r="C19136" t="str">
            <v>Mechinoh School</v>
          </cell>
          <cell r="D19136" t="str">
            <v>Salford</v>
          </cell>
          <cell r="E19136" t="str">
            <v>Other Independent School</v>
          </cell>
          <cell r="F19136" t="str">
            <v>Not applicable</v>
          </cell>
        </row>
        <row r="19137">
          <cell r="A19137">
            <v>3141100</v>
          </cell>
          <cell r="B19137">
            <v>102561</v>
          </cell>
          <cell r="C19137" t="str">
            <v>Mecklenburg Pupil Referral Unit</v>
          </cell>
          <cell r="D19137" t="str">
            <v>Kingston upon Thames</v>
          </cell>
          <cell r="E19137" t="str">
            <v>Pupil Referral Unit</v>
          </cell>
          <cell r="F19137" t="str">
            <v>PRU</v>
          </cell>
        </row>
        <row r="19138">
          <cell r="A19138">
            <v>8507751</v>
          </cell>
          <cell r="B19138">
            <v>116644</v>
          </cell>
          <cell r="C19138" t="str">
            <v>Medecroft Opportunity Centre</v>
          </cell>
          <cell r="D19138" t="str">
            <v>Hampshire</v>
          </cell>
          <cell r="E19138" t="str">
            <v>Community Special School</v>
          </cell>
          <cell r="F19138" t="str">
            <v>Special</v>
          </cell>
        </row>
        <row r="19139">
          <cell r="A19139">
            <v>8746001</v>
          </cell>
          <cell r="B19139">
            <v>134510</v>
          </cell>
          <cell r="C19139" t="str">
            <v>Medeshamstede School</v>
          </cell>
          <cell r="D19139" t="str">
            <v>Peterborough</v>
          </cell>
          <cell r="E19139" t="str">
            <v>Other Independent School</v>
          </cell>
          <cell r="F19139" t="str">
            <v>Not applicable</v>
          </cell>
        </row>
        <row r="19140">
          <cell r="A19140">
            <v>8611111</v>
          </cell>
          <cell r="B19140">
            <v>134159</v>
          </cell>
          <cell r="C19140" t="str">
            <v>Medical PRU</v>
          </cell>
          <cell r="D19140" t="str">
            <v>Stoke-on-Trent</v>
          </cell>
          <cell r="E19140" t="str">
            <v>Pupil Referral Unit</v>
          </cell>
          <cell r="F19140" t="str">
            <v>PRU</v>
          </cell>
        </row>
        <row r="19141">
          <cell r="A19141">
            <v>9214030</v>
          </cell>
          <cell r="B19141">
            <v>136010</v>
          </cell>
          <cell r="C19141" t="str">
            <v>Medina College</v>
          </cell>
          <cell r="D19141" t="str">
            <v>Isle of Wight</v>
          </cell>
          <cell r="E19141" t="str">
            <v>Foundation School</v>
          </cell>
          <cell r="F19141" t="str">
            <v>Secondary</v>
          </cell>
        </row>
        <row r="19142">
          <cell r="A19142">
            <v>9214028</v>
          </cell>
          <cell r="B19142">
            <v>118217</v>
          </cell>
          <cell r="C19142" t="str">
            <v>Medina High School</v>
          </cell>
          <cell r="D19142" t="str">
            <v>Isle of Wight</v>
          </cell>
          <cell r="E19142" t="str">
            <v>Foundation School</v>
          </cell>
          <cell r="F19142" t="str">
            <v>Secondary</v>
          </cell>
        </row>
        <row r="19143">
          <cell r="A19143">
            <v>9217003</v>
          </cell>
          <cell r="B19143">
            <v>118228</v>
          </cell>
          <cell r="C19143" t="str">
            <v>Medina House School</v>
          </cell>
          <cell r="D19143" t="str">
            <v>Isle of Wight</v>
          </cell>
          <cell r="E19143" t="str">
            <v>Community Special School</v>
          </cell>
          <cell r="F19143" t="str">
            <v>Special</v>
          </cell>
        </row>
        <row r="19144">
          <cell r="A19144">
            <v>8512673</v>
          </cell>
          <cell r="B19144">
            <v>116195</v>
          </cell>
          <cell r="C19144" t="str">
            <v>Medina Primary School</v>
          </cell>
          <cell r="D19144" t="str">
            <v>Portsmouth</v>
          </cell>
          <cell r="E19144" t="str">
            <v>Community School</v>
          </cell>
          <cell r="F19144" t="str">
            <v>Primary</v>
          </cell>
        </row>
        <row r="19145">
          <cell r="A19145">
            <v>8883565</v>
          </cell>
          <cell r="B19145">
            <v>119553</v>
          </cell>
          <cell r="C19145" t="str">
            <v>Medlar-with-Wesham Church of England Primary School</v>
          </cell>
          <cell r="D19145" t="str">
            <v>Lancashire</v>
          </cell>
          <cell r="E19145" t="str">
            <v>Voluntary Aided School</v>
          </cell>
          <cell r="F19145" t="str">
            <v>Primary</v>
          </cell>
        </row>
        <row r="19146">
          <cell r="A19146">
            <v>3522324</v>
          </cell>
          <cell r="B19146">
            <v>105483</v>
          </cell>
          <cell r="C19146" t="str">
            <v>Medlock Primary School</v>
          </cell>
          <cell r="D19146" t="str">
            <v>Manchester</v>
          </cell>
          <cell r="E19146" t="str">
            <v>Community School</v>
          </cell>
          <cell r="F19146" t="str">
            <v>Primary</v>
          </cell>
        </row>
        <row r="19147">
          <cell r="A19147">
            <v>3532111</v>
          </cell>
          <cell r="B19147">
            <v>133710</v>
          </cell>
          <cell r="C19147" t="str">
            <v>Medlock Valley Community School</v>
          </cell>
          <cell r="D19147" t="str">
            <v>Oldham</v>
          </cell>
          <cell r="E19147" t="str">
            <v>Community School</v>
          </cell>
          <cell r="F19147" t="str">
            <v>Primary</v>
          </cell>
        </row>
        <row r="19148">
          <cell r="A19148">
            <v>3527059</v>
          </cell>
          <cell r="B19148">
            <v>132044</v>
          </cell>
          <cell r="C19148" t="str">
            <v>Medlock Valley High School</v>
          </cell>
          <cell r="D19148" t="str">
            <v>Manchester</v>
          </cell>
          <cell r="E19148" t="str">
            <v>Community Special School</v>
          </cell>
          <cell r="F19148" t="str">
            <v>Special</v>
          </cell>
        </row>
        <row r="19149">
          <cell r="A19149">
            <v>9382194</v>
          </cell>
          <cell r="B19149">
            <v>125926</v>
          </cell>
          <cell r="C19149" t="str">
            <v>Medmerry Primary School</v>
          </cell>
          <cell r="D19149" t="str">
            <v>West Sussex</v>
          </cell>
          <cell r="E19149" t="str">
            <v>Community School</v>
          </cell>
          <cell r="F19149" t="str">
            <v>Primary</v>
          </cell>
        </row>
        <row r="19150">
          <cell r="A19150">
            <v>9382194</v>
          </cell>
          <cell r="B19150">
            <v>137370</v>
          </cell>
          <cell r="C19150" t="str">
            <v>Medmerry Primary School</v>
          </cell>
          <cell r="D19150" t="str">
            <v>West Sussex</v>
          </cell>
          <cell r="E19150" t="str">
            <v>Academy Converters</v>
          </cell>
          <cell r="F19150" t="str">
            <v>Primary</v>
          </cell>
        </row>
        <row r="19151">
          <cell r="A19151">
            <v>8503101</v>
          </cell>
          <cell r="B19151">
            <v>116300</v>
          </cell>
          <cell r="C19151" t="str">
            <v>Medstead Church of England Primary School</v>
          </cell>
          <cell r="D19151" t="str">
            <v>Hampshire</v>
          </cell>
          <cell r="E19151" t="str">
            <v>Voluntary Controlled School</v>
          </cell>
          <cell r="F19151" t="str">
            <v>Primary</v>
          </cell>
        </row>
        <row r="19152">
          <cell r="A19152">
            <v>8874248</v>
          </cell>
          <cell r="B19152">
            <v>118834</v>
          </cell>
          <cell r="C19152" t="str">
            <v>Medway Community College</v>
          </cell>
          <cell r="D19152" t="str">
            <v>Medway</v>
          </cell>
          <cell r="E19152" t="str">
            <v>Community School</v>
          </cell>
          <cell r="F19152" t="str">
            <v>Secondary</v>
          </cell>
        </row>
        <row r="19153">
          <cell r="A19153">
            <v>9242252</v>
          </cell>
          <cell r="B19153">
            <v>129525</v>
          </cell>
          <cell r="C19153" t="str">
            <v>Medway Community Junior School</v>
          </cell>
          <cell r="D19153" t="str">
            <v>Pre LGR (1997) Leicestershire</v>
          </cell>
          <cell r="E19153" t="str">
            <v>Community School</v>
          </cell>
          <cell r="F19153" t="str">
            <v>Primary</v>
          </cell>
        </row>
        <row r="19154">
          <cell r="A19154">
            <v>8562386</v>
          </cell>
          <cell r="B19154">
            <v>120108</v>
          </cell>
          <cell r="C19154" t="str">
            <v>Medway Community Primary School</v>
          </cell>
          <cell r="D19154" t="str">
            <v>Leicester</v>
          </cell>
          <cell r="E19154" t="str">
            <v>Community School</v>
          </cell>
          <cell r="F19154" t="str">
            <v>Primary</v>
          </cell>
        </row>
        <row r="19155">
          <cell r="A19155">
            <v>8879901</v>
          </cell>
          <cell r="B19155">
            <v>133981</v>
          </cell>
          <cell r="C19155" t="str">
            <v>Medway Education Trust</v>
          </cell>
          <cell r="D19155" t="str">
            <v>Medway</v>
          </cell>
          <cell r="E19155" t="str">
            <v>Miscellaneous</v>
          </cell>
          <cell r="F19155" t="str">
            <v>Not applicable</v>
          </cell>
        </row>
        <row r="19156">
          <cell r="A19156">
            <v>9242251</v>
          </cell>
          <cell r="B19156">
            <v>129524</v>
          </cell>
          <cell r="C19156" t="str">
            <v>Medway Infant School</v>
          </cell>
          <cell r="D19156" t="str">
            <v>Pre LGR (1997) Leicestershire</v>
          </cell>
          <cell r="E19156" t="str">
            <v>Community School</v>
          </cell>
          <cell r="F19156" t="str">
            <v>Primary</v>
          </cell>
        </row>
        <row r="19157">
          <cell r="A19157">
            <v>886611</v>
          </cell>
          <cell r="B19157">
            <v>128932</v>
          </cell>
          <cell r="C19157" t="str">
            <v>Medway Secure Training Centre</v>
          </cell>
          <cell r="D19157" t="str">
            <v>Kent</v>
          </cell>
          <cell r="E19157" t="str">
            <v>Secure Units</v>
          </cell>
          <cell r="F19157" t="str">
            <v>Not applicable</v>
          </cell>
        </row>
        <row r="19158">
          <cell r="A19158">
            <v>8452111</v>
          </cell>
          <cell r="B19158">
            <v>114440</v>
          </cell>
          <cell r="C19158" t="str">
            <v>Meeching Valley Primary School</v>
          </cell>
          <cell r="D19158" t="str">
            <v>East Sussex</v>
          </cell>
          <cell r="E19158" t="str">
            <v>Community School</v>
          </cell>
          <cell r="F19158" t="str">
            <v>Primary</v>
          </cell>
        </row>
        <row r="19159">
          <cell r="A19159">
            <v>3732081</v>
          </cell>
          <cell r="B19159">
            <v>107002</v>
          </cell>
          <cell r="C19159" t="str">
            <v>Meersbrook Bank Primary School</v>
          </cell>
          <cell r="D19159" t="str">
            <v>Sheffield</v>
          </cell>
          <cell r="E19159" t="str">
            <v>Community School</v>
          </cell>
          <cell r="F19159" t="str">
            <v>Primary</v>
          </cell>
        </row>
        <row r="19160">
          <cell r="A19160">
            <v>7026509</v>
          </cell>
          <cell r="B19160">
            <v>134624</v>
          </cell>
          <cell r="C19160" t="str">
            <v>MEF International School</v>
          </cell>
          <cell r="D19160" t="str">
            <v>BFPO Overseas Establishments</v>
          </cell>
          <cell r="E19160" t="str">
            <v>Service Childrens Education</v>
          </cell>
          <cell r="F19160" t="str">
            <v>Not applicable</v>
          </cell>
        </row>
        <row r="19161">
          <cell r="A19161">
            <v>8216010</v>
          </cell>
          <cell r="B19161">
            <v>134289</v>
          </cell>
          <cell r="C19161" t="str">
            <v>Mehria School</v>
          </cell>
          <cell r="D19161" t="str">
            <v>Luton</v>
          </cell>
          <cell r="E19161" t="str">
            <v>Other Independent School</v>
          </cell>
          <cell r="F19161" t="str">
            <v>Not applicable</v>
          </cell>
        </row>
        <row r="19162">
          <cell r="A19162">
            <v>6692037</v>
          </cell>
          <cell r="B19162">
            <v>400746</v>
          </cell>
          <cell r="C19162" t="str">
            <v>Meidrim C.P. School</v>
          </cell>
          <cell r="D19162" t="str">
            <v>Carmarthenshire</v>
          </cell>
          <cell r="E19162" t="str">
            <v>Welsh Establishment</v>
          </cell>
          <cell r="F19162" t="str">
            <v>Primary</v>
          </cell>
        </row>
        <row r="19163">
          <cell r="A19163">
            <v>8602320</v>
          </cell>
          <cell r="B19163">
            <v>124145</v>
          </cell>
          <cell r="C19163" t="str">
            <v>Meir Heath Primary School</v>
          </cell>
          <cell r="D19163" t="str">
            <v>Staffordshire</v>
          </cell>
          <cell r="E19163" t="str">
            <v>Community School</v>
          </cell>
          <cell r="F19163" t="str">
            <v>Primary</v>
          </cell>
        </row>
        <row r="19164">
          <cell r="A19164">
            <v>8611006</v>
          </cell>
          <cell r="B19164">
            <v>123952</v>
          </cell>
          <cell r="C19164" t="str">
            <v>Meir Nursery School</v>
          </cell>
          <cell r="D19164" t="str">
            <v>Stoke-on-Trent</v>
          </cell>
          <cell r="E19164" t="str">
            <v>LA Nursery School</v>
          </cell>
          <cell r="F19164" t="str">
            <v>Nursery</v>
          </cell>
        </row>
        <row r="19165">
          <cell r="A19165">
            <v>8612078</v>
          </cell>
          <cell r="B19165">
            <v>124009</v>
          </cell>
          <cell r="C19165" t="str">
            <v>Meir Primary School</v>
          </cell>
          <cell r="D19165" t="str">
            <v>Stoke-on-Trent</v>
          </cell>
          <cell r="E19165" t="str">
            <v>Community School</v>
          </cell>
          <cell r="F19165" t="str">
            <v>Primary</v>
          </cell>
        </row>
        <row r="19166">
          <cell r="A19166">
            <v>8732028</v>
          </cell>
          <cell r="B19166">
            <v>110614</v>
          </cell>
          <cell r="C19166" t="str">
            <v>Melbourn Primary School</v>
          </cell>
          <cell r="D19166" t="str">
            <v>Cambridgeshire</v>
          </cell>
          <cell r="E19166" t="str">
            <v>Community School</v>
          </cell>
          <cell r="F19166" t="str">
            <v>Primary</v>
          </cell>
        </row>
        <row r="19167">
          <cell r="A19167">
            <v>8734040</v>
          </cell>
          <cell r="B19167">
            <v>110868</v>
          </cell>
          <cell r="C19167" t="str">
            <v>Melbourn Village College</v>
          </cell>
          <cell r="D19167" t="str">
            <v>Cambridgeshire</v>
          </cell>
          <cell r="E19167" t="str">
            <v>Community School</v>
          </cell>
          <cell r="F19167" t="str">
            <v>Secondary</v>
          </cell>
        </row>
        <row r="19168">
          <cell r="A19168">
            <v>8734040</v>
          </cell>
          <cell r="B19168">
            <v>137527</v>
          </cell>
          <cell r="C19168" t="str">
            <v>Melbourn Village College</v>
          </cell>
          <cell r="D19168" t="str">
            <v>Cambridgeshire</v>
          </cell>
          <cell r="E19168" t="str">
            <v>Academy Converters</v>
          </cell>
          <cell r="F19168" t="str">
            <v>Secondary</v>
          </cell>
        </row>
        <row r="19169">
          <cell r="A19169">
            <v>8112755</v>
          </cell>
          <cell r="B19169">
            <v>117873</v>
          </cell>
          <cell r="C19169" t="str">
            <v>Melbourne Community Primary School</v>
          </cell>
          <cell r="D19169" t="str">
            <v>East Riding of Yorkshire</v>
          </cell>
          <cell r="E19169" t="str">
            <v>Community School</v>
          </cell>
          <cell r="F19169" t="str">
            <v>Primary</v>
          </cell>
        </row>
        <row r="19170">
          <cell r="A19170">
            <v>8862418</v>
          </cell>
          <cell r="B19170">
            <v>118433</v>
          </cell>
          <cell r="C19170" t="str">
            <v>Melbourne Community Primary School</v>
          </cell>
          <cell r="D19170" t="str">
            <v>Kent</v>
          </cell>
          <cell r="E19170" t="str">
            <v>Community School</v>
          </cell>
          <cell r="F19170" t="str">
            <v>Primary</v>
          </cell>
        </row>
        <row r="19171">
          <cell r="A19171">
            <v>8302175</v>
          </cell>
          <cell r="B19171">
            <v>112594</v>
          </cell>
          <cell r="C19171" t="str">
            <v>Melbourne Infant School</v>
          </cell>
          <cell r="D19171" t="str">
            <v>Derbyshire</v>
          </cell>
          <cell r="E19171" t="str">
            <v>Community School</v>
          </cell>
          <cell r="F19171" t="str">
            <v>Primary</v>
          </cell>
        </row>
        <row r="19172">
          <cell r="A19172">
            <v>8302174</v>
          </cell>
          <cell r="B19172">
            <v>112593</v>
          </cell>
          <cell r="C19172" t="str">
            <v>Melbourne Junior School</v>
          </cell>
          <cell r="D19172" t="str">
            <v>Derbyshire</v>
          </cell>
          <cell r="E19172" t="str">
            <v>Community School</v>
          </cell>
          <cell r="F19172" t="str">
            <v>Primary</v>
          </cell>
        </row>
        <row r="19173">
          <cell r="A19173">
            <v>8812869</v>
          </cell>
          <cell r="B19173">
            <v>115024</v>
          </cell>
          <cell r="C19173" t="str">
            <v>Melbourne Park Primary and Nursery School</v>
          </cell>
          <cell r="D19173" t="str">
            <v>Essex</v>
          </cell>
          <cell r="E19173" t="str">
            <v>Community School</v>
          </cell>
          <cell r="F19173" t="str">
            <v>Primary</v>
          </cell>
        </row>
        <row r="19174">
          <cell r="A19174">
            <v>8922079</v>
          </cell>
          <cell r="B19174">
            <v>122426</v>
          </cell>
          <cell r="C19174" t="str">
            <v>Melbury Primary School</v>
          </cell>
          <cell r="D19174" t="str">
            <v>Nottingham</v>
          </cell>
          <cell r="E19174" t="str">
            <v>Community School</v>
          </cell>
          <cell r="F19174" t="str">
            <v>Primary</v>
          </cell>
        </row>
        <row r="19175">
          <cell r="A19175">
            <v>2052408</v>
          </cell>
          <cell r="B19175">
            <v>100334</v>
          </cell>
          <cell r="C19175" t="str">
            <v>Melcombe Primary School</v>
          </cell>
          <cell r="D19175" t="str">
            <v>Hammersmith and Fulham</v>
          </cell>
          <cell r="E19175" t="str">
            <v>Community School</v>
          </cell>
          <cell r="F19175" t="str">
            <v>Primary</v>
          </cell>
        </row>
        <row r="19176">
          <cell r="A19176">
            <v>8736008</v>
          </cell>
          <cell r="B19176">
            <v>110920</v>
          </cell>
          <cell r="C19176" t="str">
            <v>Meldreth Manor School - A Scope School</v>
          </cell>
          <cell r="D19176" t="str">
            <v>Cambridgeshire</v>
          </cell>
          <cell r="E19176" t="str">
            <v>Other Independent Special School</v>
          </cell>
          <cell r="F19176" t="str">
            <v>Not applicable</v>
          </cell>
        </row>
        <row r="19177">
          <cell r="A19177">
            <v>8732029</v>
          </cell>
          <cell r="B19177">
            <v>110615</v>
          </cell>
          <cell r="C19177" t="str">
            <v>Meldreth Primary School</v>
          </cell>
          <cell r="D19177" t="str">
            <v>Cambridgeshire</v>
          </cell>
          <cell r="E19177" t="str">
            <v>Community School</v>
          </cell>
          <cell r="F19177" t="str">
            <v>Primary</v>
          </cell>
        </row>
        <row r="19178">
          <cell r="A19178">
            <v>6712228</v>
          </cell>
          <cell r="B19178">
            <v>401014</v>
          </cell>
          <cell r="C19178" t="str">
            <v>Melin Infant School</v>
          </cell>
          <cell r="D19178" t="str">
            <v>Neath Port Talbot</v>
          </cell>
          <cell r="E19178" t="str">
            <v>Welsh Establishment</v>
          </cell>
          <cell r="F19178" t="str">
            <v>Primary</v>
          </cell>
        </row>
        <row r="19179">
          <cell r="A19179">
            <v>6712160</v>
          </cell>
          <cell r="B19179">
            <v>400986</v>
          </cell>
          <cell r="C19179" t="str">
            <v>Melin Junior School</v>
          </cell>
          <cell r="D19179" t="str">
            <v>Neath Port Talbot</v>
          </cell>
          <cell r="E19179" t="str">
            <v>Welsh Establishment</v>
          </cell>
          <cell r="F19179" t="str">
            <v>Primary</v>
          </cell>
        </row>
        <row r="19180">
          <cell r="A19180">
            <v>8134701</v>
          </cell>
          <cell r="B19180">
            <v>135134</v>
          </cell>
          <cell r="C19180" t="str">
            <v>Melior Community College for Business, Enterprise and the Arts</v>
          </cell>
          <cell r="D19180" t="str">
            <v>North Lincolnshire</v>
          </cell>
          <cell r="E19180" t="str">
            <v>Community School</v>
          </cell>
          <cell r="F19180" t="str">
            <v>Secondary</v>
          </cell>
        </row>
        <row r="19181">
          <cell r="A19181">
            <v>8654013</v>
          </cell>
          <cell r="B19181">
            <v>126448</v>
          </cell>
          <cell r="C19181" t="str">
            <v>Melksham Oak Community School</v>
          </cell>
          <cell r="D19181" t="str">
            <v>Wiltshire</v>
          </cell>
          <cell r="E19181" t="str">
            <v>Community School</v>
          </cell>
          <cell r="F19181" t="str">
            <v>Secondary</v>
          </cell>
        </row>
        <row r="19182">
          <cell r="A19182">
            <v>3527043</v>
          </cell>
          <cell r="B19182">
            <v>105615</v>
          </cell>
          <cell r="C19182" t="str">
            <v>Melland High School</v>
          </cell>
          <cell r="D19182" t="str">
            <v>Manchester</v>
          </cell>
          <cell r="E19182" t="str">
            <v>Community Special School</v>
          </cell>
          <cell r="F19182" t="str">
            <v>Special</v>
          </cell>
        </row>
        <row r="19183">
          <cell r="A19183">
            <v>8922158</v>
          </cell>
          <cell r="B19183">
            <v>122481</v>
          </cell>
          <cell r="C19183" t="str">
            <v>Mellers Primary and Nursery School</v>
          </cell>
          <cell r="D19183" t="str">
            <v>Nottingham</v>
          </cell>
          <cell r="E19183" t="str">
            <v>Community School</v>
          </cell>
          <cell r="F19183" t="str">
            <v>Primary</v>
          </cell>
        </row>
        <row r="19184">
          <cell r="A19184">
            <v>3432090</v>
          </cell>
          <cell r="B19184">
            <v>104889</v>
          </cell>
          <cell r="C19184" t="str">
            <v>Melling Primary School</v>
          </cell>
          <cell r="D19184" t="str">
            <v>Sefton</v>
          </cell>
          <cell r="E19184" t="str">
            <v>Community School</v>
          </cell>
          <cell r="F19184" t="str">
            <v>Primary</v>
          </cell>
        </row>
        <row r="19185">
          <cell r="A19185">
            <v>8883535</v>
          </cell>
          <cell r="B19185">
            <v>119536</v>
          </cell>
          <cell r="C19185" t="str">
            <v>Melling St Wilfrid Church of England Primary School</v>
          </cell>
          <cell r="D19185" t="str">
            <v>Lancashire</v>
          </cell>
          <cell r="E19185" t="str">
            <v>Voluntary Aided School</v>
          </cell>
          <cell r="F19185" t="str">
            <v>Primary</v>
          </cell>
        </row>
        <row r="19186">
          <cell r="A19186">
            <v>9353096</v>
          </cell>
          <cell r="B19186">
            <v>124737</v>
          </cell>
          <cell r="C19186" t="str">
            <v>Mellis Church of England Voluntary Controlled Primary School</v>
          </cell>
          <cell r="D19186" t="str">
            <v>Suffolk</v>
          </cell>
          <cell r="E19186" t="str">
            <v>Voluntary Controlled School</v>
          </cell>
          <cell r="F19186" t="str">
            <v>Primary</v>
          </cell>
        </row>
        <row r="19187">
          <cell r="A19187">
            <v>8562348</v>
          </cell>
          <cell r="B19187">
            <v>120073</v>
          </cell>
          <cell r="C19187" t="str">
            <v>Mellor Community Primary School</v>
          </cell>
          <cell r="D19187" t="str">
            <v>Leicester</v>
          </cell>
          <cell r="E19187" t="str">
            <v>Community School</v>
          </cell>
          <cell r="F19187" t="str">
            <v>Primary</v>
          </cell>
        </row>
        <row r="19188">
          <cell r="A19188">
            <v>3562057</v>
          </cell>
          <cell r="B19188">
            <v>106058</v>
          </cell>
          <cell r="C19188" t="str">
            <v>Mellor Primary School</v>
          </cell>
          <cell r="D19188" t="str">
            <v>Stockport</v>
          </cell>
          <cell r="E19188" t="str">
            <v>Community School</v>
          </cell>
          <cell r="F19188" t="str">
            <v>Primary</v>
          </cell>
        </row>
        <row r="19189">
          <cell r="A19189">
            <v>3562057</v>
          </cell>
          <cell r="B19189">
            <v>137542</v>
          </cell>
          <cell r="C19189" t="str">
            <v>Mellor Primary School</v>
          </cell>
          <cell r="D19189" t="str">
            <v>Stockport</v>
          </cell>
          <cell r="E19189" t="str">
            <v>Academy Converters</v>
          </cell>
          <cell r="F19189" t="str">
            <v>Primary</v>
          </cell>
        </row>
        <row r="19190">
          <cell r="A19190">
            <v>8883312</v>
          </cell>
          <cell r="B19190">
            <v>119424</v>
          </cell>
          <cell r="C19190" t="str">
            <v>Mellor St Mary Church of England Primary School</v>
          </cell>
          <cell r="D19190" t="str">
            <v>Lancashire</v>
          </cell>
          <cell r="E19190" t="str">
            <v>Voluntary Aided School</v>
          </cell>
          <cell r="F19190" t="str">
            <v>Primary</v>
          </cell>
        </row>
        <row r="19191">
          <cell r="A19191">
            <v>3125407</v>
          </cell>
          <cell r="B19191">
            <v>102447</v>
          </cell>
          <cell r="C19191" t="str">
            <v>Mellow Lane School</v>
          </cell>
          <cell r="D19191" t="str">
            <v>Hillingdon</v>
          </cell>
          <cell r="E19191" t="str">
            <v>Foundation School</v>
          </cell>
          <cell r="F19191" t="str">
            <v>Secondary</v>
          </cell>
        </row>
        <row r="19192">
          <cell r="A19192">
            <v>3125407</v>
          </cell>
          <cell r="B19192">
            <v>137078</v>
          </cell>
          <cell r="C19192" t="str">
            <v>Mellow Lane School</v>
          </cell>
          <cell r="D19192" t="str">
            <v>Hillingdon</v>
          </cell>
          <cell r="E19192" t="str">
            <v>Academy Converters</v>
          </cell>
          <cell r="F19192" t="str">
            <v>Secondary</v>
          </cell>
        </row>
        <row r="19193">
          <cell r="A19193">
            <v>3436023</v>
          </cell>
          <cell r="B19193">
            <v>127377</v>
          </cell>
          <cell r="C19193" t="str">
            <v>Mellowfield School</v>
          </cell>
          <cell r="D19193" t="str">
            <v>Sefton</v>
          </cell>
          <cell r="E19193" t="str">
            <v>Other Independent School</v>
          </cell>
          <cell r="F19193" t="str">
            <v>Not applicable</v>
          </cell>
        </row>
        <row r="19194">
          <cell r="A19194">
            <v>9333078</v>
          </cell>
          <cell r="B19194">
            <v>123767</v>
          </cell>
          <cell r="C19194" t="str">
            <v>Mells Church of England First School</v>
          </cell>
          <cell r="D19194" t="str">
            <v>Somerset</v>
          </cell>
          <cell r="E19194" t="str">
            <v>Voluntary Controlled School</v>
          </cell>
          <cell r="F19194" t="str">
            <v>Primary</v>
          </cell>
        </row>
        <row r="19195">
          <cell r="A19195">
            <v>3157003</v>
          </cell>
          <cell r="B19195">
            <v>102697</v>
          </cell>
          <cell r="C19195" t="str">
            <v>Melrose School</v>
          </cell>
          <cell r="D19195" t="str">
            <v>Merton</v>
          </cell>
          <cell r="E19195" t="str">
            <v>Community Special School</v>
          </cell>
          <cell r="F19195" t="str">
            <v>Special</v>
          </cell>
        </row>
        <row r="19196">
          <cell r="A19196">
            <v>8846015</v>
          </cell>
          <cell r="B19196">
            <v>135022</v>
          </cell>
          <cell r="C19196" t="str">
            <v>Melrose School</v>
          </cell>
          <cell r="D19196" t="str">
            <v>Herefordshire</v>
          </cell>
          <cell r="E19196" t="str">
            <v>Other Independent Special School</v>
          </cell>
          <cell r="F19196" t="str">
            <v>Not applicable</v>
          </cell>
        </row>
        <row r="19197">
          <cell r="A19197">
            <v>8153208</v>
          </cell>
          <cell r="B19197">
            <v>121543</v>
          </cell>
          <cell r="C19197" t="str">
            <v>Melsonby Methodist Primary School</v>
          </cell>
          <cell r="D19197" t="str">
            <v>North Yorkshire</v>
          </cell>
          <cell r="E19197" t="str">
            <v>Voluntary Controlled School</v>
          </cell>
          <cell r="F19197" t="str">
            <v>Primary</v>
          </cell>
        </row>
        <row r="19198">
          <cell r="A19198">
            <v>3823028</v>
          </cell>
          <cell r="B19198">
            <v>107718</v>
          </cell>
          <cell r="C19198" t="str">
            <v>Meltham CofE (VC) Primary School</v>
          </cell>
          <cell r="D19198" t="str">
            <v>Kirklees</v>
          </cell>
          <cell r="E19198" t="str">
            <v>Voluntary Controlled School</v>
          </cell>
          <cell r="F19198" t="str">
            <v>Primary</v>
          </cell>
        </row>
        <row r="19199">
          <cell r="A19199">
            <v>3822126</v>
          </cell>
          <cell r="B19199">
            <v>107681</v>
          </cell>
          <cell r="C19199" t="str">
            <v>Meltham Moor Primary School</v>
          </cell>
          <cell r="D19199" t="str">
            <v>Kirklees</v>
          </cell>
          <cell r="E19199" t="str">
            <v>Community School</v>
          </cell>
          <cell r="F19199" t="str">
            <v>Primary</v>
          </cell>
        </row>
        <row r="19200">
          <cell r="A19200">
            <v>8558003</v>
          </cell>
          <cell r="B19200">
            <v>130749</v>
          </cell>
          <cell r="C19200" t="str">
            <v>Melton Mowbray College</v>
          </cell>
          <cell r="D19200" t="str">
            <v>Leicestershire</v>
          </cell>
          <cell r="E19200" t="str">
            <v>Further Education</v>
          </cell>
          <cell r="F19200" t="str">
            <v>16 Plus</v>
          </cell>
        </row>
        <row r="19201">
          <cell r="A19201">
            <v>9356028</v>
          </cell>
          <cell r="B19201">
            <v>129996</v>
          </cell>
          <cell r="C19201" t="str">
            <v>Melton Parish Room School</v>
          </cell>
          <cell r="D19201" t="str">
            <v>Suffolk</v>
          </cell>
          <cell r="E19201" t="str">
            <v>Other Independent School</v>
          </cell>
          <cell r="F19201" t="str">
            <v>Not applicable</v>
          </cell>
        </row>
        <row r="19202">
          <cell r="A19202">
            <v>9352095</v>
          </cell>
          <cell r="B19202">
            <v>124597</v>
          </cell>
          <cell r="C19202" t="str">
            <v>Melton Primary School</v>
          </cell>
          <cell r="D19202" t="str">
            <v>Suffolk</v>
          </cell>
          <cell r="E19202" t="str">
            <v>Community School</v>
          </cell>
          <cell r="F19202" t="str">
            <v>Primary</v>
          </cell>
        </row>
        <row r="19203">
          <cell r="A19203">
            <v>8782052</v>
          </cell>
          <cell r="B19203">
            <v>113101</v>
          </cell>
          <cell r="C19203" t="str">
            <v>Membury Primary School</v>
          </cell>
          <cell r="D19203" t="str">
            <v>Devon</v>
          </cell>
          <cell r="E19203" t="str">
            <v>Community School</v>
          </cell>
          <cell r="F19203" t="str">
            <v>Primary</v>
          </cell>
        </row>
        <row r="19204">
          <cell r="A19204">
            <v>3442214</v>
          </cell>
          <cell r="B19204">
            <v>105017</v>
          </cell>
          <cell r="C19204" t="str">
            <v>Mendell Primary School</v>
          </cell>
          <cell r="D19204" t="str">
            <v>Wirral</v>
          </cell>
          <cell r="E19204" t="str">
            <v>Community School</v>
          </cell>
          <cell r="F19204" t="str">
            <v>Primary</v>
          </cell>
        </row>
        <row r="19205">
          <cell r="A19205">
            <v>9352096</v>
          </cell>
          <cell r="B19205">
            <v>124598</v>
          </cell>
          <cell r="C19205" t="str">
            <v>Mendham Primary School</v>
          </cell>
          <cell r="D19205" t="str">
            <v>Suffolk</v>
          </cell>
          <cell r="E19205" t="str">
            <v>Community School</v>
          </cell>
          <cell r="F19205" t="str">
            <v>Primary</v>
          </cell>
        </row>
        <row r="19206">
          <cell r="A19206">
            <v>9331101</v>
          </cell>
          <cell r="B19206">
            <v>123637</v>
          </cell>
          <cell r="C19206" t="str">
            <v>Mendip Centre</v>
          </cell>
          <cell r="D19206" t="str">
            <v>Somerset</v>
          </cell>
          <cell r="E19206" t="str">
            <v>Pupil Referral Unit</v>
          </cell>
          <cell r="F19206" t="str">
            <v>PRU</v>
          </cell>
        </row>
        <row r="19207">
          <cell r="A19207">
            <v>8022285</v>
          </cell>
          <cell r="B19207">
            <v>109102</v>
          </cell>
          <cell r="C19207" t="str">
            <v>Mendip Green First School</v>
          </cell>
          <cell r="D19207" t="str">
            <v>North Somerset</v>
          </cell>
          <cell r="E19207" t="str">
            <v>Community School</v>
          </cell>
          <cell r="F19207" t="str">
            <v>Primary</v>
          </cell>
        </row>
        <row r="19208">
          <cell r="A19208">
            <v>9352097</v>
          </cell>
          <cell r="B19208">
            <v>124599</v>
          </cell>
          <cell r="C19208" t="str">
            <v>Mendlesham Community Primary School</v>
          </cell>
          <cell r="D19208" t="str">
            <v>Suffolk</v>
          </cell>
          <cell r="E19208" t="str">
            <v>Community School</v>
          </cell>
          <cell r="F19208" t="str">
            <v>Primary</v>
          </cell>
        </row>
        <row r="19209">
          <cell r="A19209">
            <v>8502246</v>
          </cell>
          <cell r="B19209">
            <v>115986</v>
          </cell>
          <cell r="C19209" t="str">
            <v>Mengham Infant School</v>
          </cell>
          <cell r="D19209" t="str">
            <v>Hampshire</v>
          </cell>
          <cell r="E19209" t="str">
            <v>Community School</v>
          </cell>
          <cell r="F19209" t="str">
            <v>Primary</v>
          </cell>
        </row>
        <row r="19210">
          <cell r="A19210">
            <v>8502335</v>
          </cell>
          <cell r="B19210">
            <v>116052</v>
          </cell>
          <cell r="C19210" t="str">
            <v>Mengham Junior School</v>
          </cell>
          <cell r="D19210" t="str">
            <v>Hampshire</v>
          </cell>
          <cell r="E19210" t="str">
            <v>Community School</v>
          </cell>
          <cell r="F19210" t="str">
            <v>Primary</v>
          </cell>
        </row>
        <row r="19211">
          <cell r="A19211">
            <v>9082736</v>
          </cell>
          <cell r="B19211">
            <v>111975</v>
          </cell>
          <cell r="C19211" t="str">
            <v>Menheniot Primary School</v>
          </cell>
          <cell r="D19211" t="str">
            <v>Cornwall</v>
          </cell>
          <cell r="E19211" t="str">
            <v>Community School</v>
          </cell>
          <cell r="F19211" t="str">
            <v>Primary</v>
          </cell>
        </row>
        <row r="19212">
          <cell r="A19212">
            <v>3026097</v>
          </cell>
          <cell r="B19212">
            <v>101390</v>
          </cell>
          <cell r="C19212" t="str">
            <v>Menorah Foundation School</v>
          </cell>
          <cell r="D19212" t="str">
            <v>Barnet</v>
          </cell>
          <cell r="E19212" t="str">
            <v>Other Independent School</v>
          </cell>
          <cell r="F19212" t="str">
            <v>Not applicable</v>
          </cell>
        </row>
        <row r="19213">
          <cell r="A19213">
            <v>3025949</v>
          </cell>
          <cell r="B19213">
            <v>131359</v>
          </cell>
          <cell r="C19213" t="str">
            <v>Menorah Foundation School</v>
          </cell>
          <cell r="D19213" t="str">
            <v>Barnet</v>
          </cell>
          <cell r="E19213" t="str">
            <v>Voluntary Aided School</v>
          </cell>
          <cell r="F19213" t="str">
            <v>Primary</v>
          </cell>
        </row>
        <row r="19214">
          <cell r="A19214">
            <v>3026089</v>
          </cell>
          <cell r="B19214">
            <v>101387</v>
          </cell>
          <cell r="C19214" t="str">
            <v>Menorah Grammar School</v>
          </cell>
          <cell r="D19214" t="str">
            <v>Barnet</v>
          </cell>
          <cell r="E19214" t="str">
            <v>Other Independent School</v>
          </cell>
          <cell r="F19214" t="str">
            <v>Not applicable</v>
          </cell>
        </row>
        <row r="19215">
          <cell r="A19215">
            <v>3046080</v>
          </cell>
          <cell r="B19215">
            <v>133448</v>
          </cell>
          <cell r="C19215" t="str">
            <v>Menorah High School</v>
          </cell>
          <cell r="D19215" t="str">
            <v>Brent</v>
          </cell>
          <cell r="E19215" t="str">
            <v>Other Independent School</v>
          </cell>
          <cell r="F19215" t="str">
            <v>Not applicable</v>
          </cell>
        </row>
        <row r="19216">
          <cell r="A19216">
            <v>3023513</v>
          </cell>
          <cell r="B19216">
            <v>101341</v>
          </cell>
          <cell r="C19216" t="str">
            <v>Menorah Primary School</v>
          </cell>
          <cell r="D19216" t="str">
            <v>Barnet</v>
          </cell>
          <cell r="E19216" t="str">
            <v>Voluntary Aided School</v>
          </cell>
          <cell r="F19216" t="str">
            <v>Primary</v>
          </cell>
        </row>
        <row r="19217">
          <cell r="A19217">
            <v>3802158</v>
          </cell>
          <cell r="B19217">
            <v>127736</v>
          </cell>
          <cell r="C19217" t="str">
            <v>Menston Infant School</v>
          </cell>
          <cell r="D19217" t="str">
            <v>Bradford</v>
          </cell>
          <cell r="E19217" t="str">
            <v>Community School</v>
          </cell>
          <cell r="F19217" t="str">
            <v>Primary</v>
          </cell>
        </row>
        <row r="19218">
          <cell r="A19218">
            <v>3802119</v>
          </cell>
          <cell r="B19218">
            <v>127735</v>
          </cell>
          <cell r="C19218" t="str">
            <v>Menston Junior School</v>
          </cell>
          <cell r="D19218" t="str">
            <v>Bradford</v>
          </cell>
          <cell r="E19218" t="str">
            <v>Community School</v>
          </cell>
          <cell r="F19218" t="str">
            <v>Primary</v>
          </cell>
        </row>
        <row r="19219">
          <cell r="A19219">
            <v>3802192</v>
          </cell>
          <cell r="B19219">
            <v>107299</v>
          </cell>
          <cell r="C19219" t="str">
            <v>Menston Primary School</v>
          </cell>
          <cell r="D19219" t="str">
            <v>Bradford</v>
          </cell>
          <cell r="E19219" t="str">
            <v>Community School</v>
          </cell>
          <cell r="F19219" t="str">
            <v>Primary</v>
          </cell>
        </row>
        <row r="19220">
          <cell r="A19220">
            <v>3334010</v>
          </cell>
          <cell r="B19220">
            <v>104003</v>
          </cell>
          <cell r="C19220" t="str">
            <v>Menzies High School Science College</v>
          </cell>
          <cell r="D19220" t="str">
            <v>Sandwell</v>
          </cell>
          <cell r="E19220" t="str">
            <v>Community School</v>
          </cell>
          <cell r="F19220" t="str">
            <v>Secondary</v>
          </cell>
        </row>
        <row r="19221">
          <cell r="A19221">
            <v>8935206</v>
          </cell>
          <cell r="B19221">
            <v>135789</v>
          </cell>
          <cell r="C19221" t="str">
            <v>Meole Brace Church of England Primary and Nursery</v>
          </cell>
          <cell r="D19221" t="str">
            <v>Shropshire</v>
          </cell>
          <cell r="E19221" t="str">
            <v>Voluntary Controlled School</v>
          </cell>
          <cell r="F19221" t="str">
            <v>Primary</v>
          </cell>
        </row>
        <row r="19222">
          <cell r="A19222">
            <v>8933102</v>
          </cell>
          <cell r="B19222">
            <v>123501</v>
          </cell>
          <cell r="C19222" t="str">
            <v>Meole Brace CofE Infant School</v>
          </cell>
          <cell r="D19222" t="str">
            <v>Shropshire</v>
          </cell>
          <cell r="E19222" t="str">
            <v>Voluntary Controlled School</v>
          </cell>
          <cell r="F19222" t="str">
            <v>Primary</v>
          </cell>
        </row>
        <row r="19223">
          <cell r="A19223">
            <v>8932119</v>
          </cell>
          <cell r="B19223">
            <v>123409</v>
          </cell>
          <cell r="C19223" t="str">
            <v>Meole Brace Junior School</v>
          </cell>
          <cell r="D19223" t="str">
            <v>Shropshire</v>
          </cell>
          <cell r="E19223" t="str">
            <v>Community School</v>
          </cell>
          <cell r="F19223" t="str">
            <v>Primary</v>
          </cell>
        </row>
        <row r="19224">
          <cell r="A19224">
            <v>8934403</v>
          </cell>
          <cell r="B19224">
            <v>123573</v>
          </cell>
          <cell r="C19224" t="str">
            <v>Meole Brace School Science College</v>
          </cell>
          <cell r="D19224" t="str">
            <v>Shropshire</v>
          </cell>
          <cell r="E19224" t="str">
            <v>Community School</v>
          </cell>
          <cell r="F19224" t="str">
            <v>Secondary</v>
          </cell>
        </row>
        <row r="19225">
          <cell r="A19225">
            <v>3434110</v>
          </cell>
          <cell r="B19225">
            <v>104956</v>
          </cell>
          <cell r="C19225" t="str">
            <v>Meols Cop High School</v>
          </cell>
          <cell r="D19225" t="str">
            <v>Sefton</v>
          </cell>
          <cell r="E19225" t="str">
            <v>Community School</v>
          </cell>
          <cell r="F19225" t="str">
            <v>Secondary</v>
          </cell>
        </row>
        <row r="19226">
          <cell r="A19226">
            <v>8512654</v>
          </cell>
          <cell r="B19226">
            <v>116189</v>
          </cell>
          <cell r="C19226" t="str">
            <v>Meon Infant School</v>
          </cell>
          <cell r="D19226" t="str">
            <v>Portsmouth</v>
          </cell>
          <cell r="E19226" t="str">
            <v>Community School</v>
          </cell>
          <cell r="F19226" t="str">
            <v>Primary</v>
          </cell>
        </row>
        <row r="19227">
          <cell r="A19227">
            <v>8512715</v>
          </cell>
          <cell r="B19227">
            <v>116222</v>
          </cell>
          <cell r="C19227" t="str">
            <v>Meon Junior School</v>
          </cell>
          <cell r="D19227" t="str">
            <v>Portsmouth</v>
          </cell>
          <cell r="E19227" t="str">
            <v>Community School</v>
          </cell>
          <cell r="F19227" t="str">
            <v>Primary</v>
          </cell>
        </row>
        <row r="19228">
          <cell r="A19228">
            <v>8506026</v>
          </cell>
          <cell r="B19228">
            <v>116563</v>
          </cell>
          <cell r="C19228" t="str">
            <v>Meoncross School</v>
          </cell>
          <cell r="D19228" t="str">
            <v>Hampshire</v>
          </cell>
          <cell r="E19228" t="str">
            <v>Other Independent School</v>
          </cell>
          <cell r="F19228" t="str">
            <v>Not applicable</v>
          </cell>
        </row>
        <row r="19229">
          <cell r="A19229">
            <v>8503102</v>
          </cell>
          <cell r="B19229">
            <v>116301</v>
          </cell>
          <cell r="C19229" t="str">
            <v>Meonstoke Church of England Infant School</v>
          </cell>
          <cell r="D19229" t="str">
            <v>Hampshire</v>
          </cell>
          <cell r="E19229" t="str">
            <v>Voluntary Controlled School</v>
          </cell>
          <cell r="F19229" t="str">
            <v>Primary</v>
          </cell>
        </row>
        <row r="19230">
          <cell r="A19230">
            <v>8862656</v>
          </cell>
          <cell r="B19230">
            <v>136351</v>
          </cell>
          <cell r="C19230" t="str">
            <v>Meopham Community Academy</v>
          </cell>
          <cell r="D19230" t="str">
            <v>Kent</v>
          </cell>
          <cell r="E19230" t="str">
            <v>Academy Converters</v>
          </cell>
          <cell r="F19230" t="str">
            <v>Primary</v>
          </cell>
        </row>
        <row r="19231">
          <cell r="A19231">
            <v>8862656</v>
          </cell>
          <cell r="B19231">
            <v>118570</v>
          </cell>
          <cell r="C19231" t="str">
            <v>Meopham Community Primary School</v>
          </cell>
          <cell r="D19231" t="str">
            <v>Kent</v>
          </cell>
          <cell r="E19231" t="str">
            <v>Community School</v>
          </cell>
          <cell r="F19231" t="str">
            <v>Primary</v>
          </cell>
        </row>
        <row r="19232">
          <cell r="A19232">
            <v>9222564</v>
          </cell>
          <cell r="B19232">
            <v>129392</v>
          </cell>
          <cell r="C19232" t="str">
            <v>Meopham County Infant School</v>
          </cell>
          <cell r="D19232" t="str">
            <v>Pre LGR (1998) Kent</v>
          </cell>
          <cell r="E19232" t="str">
            <v>Community School</v>
          </cell>
          <cell r="F19232" t="str">
            <v>Primary</v>
          </cell>
        </row>
        <row r="19233">
          <cell r="A19233">
            <v>9222111</v>
          </cell>
          <cell r="B19233">
            <v>129352</v>
          </cell>
          <cell r="C19233" t="str">
            <v>Meopham County Junior School</v>
          </cell>
          <cell r="D19233" t="str">
            <v>Pre LGR (1998) Kent</v>
          </cell>
          <cell r="E19233" t="str">
            <v>Community School</v>
          </cell>
          <cell r="F19233" t="str">
            <v>Primary</v>
          </cell>
        </row>
        <row r="19234">
          <cell r="A19234">
            <v>8865424</v>
          </cell>
          <cell r="B19234">
            <v>118896</v>
          </cell>
          <cell r="C19234" t="str">
            <v>Meopham School</v>
          </cell>
          <cell r="D19234" t="str">
            <v>Kent</v>
          </cell>
          <cell r="E19234" t="str">
            <v>Foundation School</v>
          </cell>
          <cell r="F19234" t="str">
            <v>Secondary</v>
          </cell>
        </row>
        <row r="19235">
          <cell r="A19235">
            <v>8733060</v>
          </cell>
          <cell r="B19235">
            <v>110808</v>
          </cell>
          <cell r="C19235" t="str">
            <v>Mepal and Witcham CofE VC Primary School</v>
          </cell>
          <cell r="D19235" t="str">
            <v>Cambridgeshire</v>
          </cell>
          <cell r="E19235" t="str">
            <v>Voluntary Controlled School</v>
          </cell>
          <cell r="F19235" t="str">
            <v>Primary</v>
          </cell>
        </row>
        <row r="19236">
          <cell r="A19236">
            <v>8233320</v>
          </cell>
          <cell r="B19236">
            <v>109620</v>
          </cell>
          <cell r="C19236" t="str">
            <v>Meppershall CofE VA Lower School</v>
          </cell>
          <cell r="D19236" t="str">
            <v>Central Bedfordshire</v>
          </cell>
          <cell r="E19236" t="str">
            <v>Voluntary Aided School</v>
          </cell>
          <cell r="F19236" t="str">
            <v>Primary</v>
          </cell>
        </row>
        <row r="19237">
          <cell r="A19237">
            <v>8552069</v>
          </cell>
          <cell r="B19237">
            <v>119937</v>
          </cell>
          <cell r="C19237" t="str">
            <v>Mercenfeld Primary School</v>
          </cell>
          <cell r="D19237" t="str">
            <v>Leicestershire</v>
          </cell>
          <cell r="E19237" t="str">
            <v>Community School</v>
          </cell>
          <cell r="F19237" t="str">
            <v>Primary</v>
          </cell>
        </row>
        <row r="19238">
          <cell r="A19238">
            <v>3436129</v>
          </cell>
          <cell r="B19238">
            <v>104973</v>
          </cell>
          <cell r="C19238" t="str">
            <v>Merchant Taylors' Boys' School</v>
          </cell>
          <cell r="D19238" t="str">
            <v>Sefton</v>
          </cell>
          <cell r="E19238" t="str">
            <v>Other Independent School</v>
          </cell>
          <cell r="F19238" t="str">
            <v>Not applicable</v>
          </cell>
        </row>
        <row r="19239">
          <cell r="A19239">
            <v>3436130</v>
          </cell>
          <cell r="B19239">
            <v>104974</v>
          </cell>
          <cell r="C19239" t="str">
            <v>Merchant Taylors Girls School</v>
          </cell>
          <cell r="D19239" t="str">
            <v>Sefton</v>
          </cell>
          <cell r="E19239" t="str">
            <v>Other Independent School</v>
          </cell>
          <cell r="F19239" t="str">
            <v>Not applicable</v>
          </cell>
        </row>
        <row r="19240">
          <cell r="A19240">
            <v>9196036</v>
          </cell>
          <cell r="B19240">
            <v>117616</v>
          </cell>
          <cell r="C19240" t="str">
            <v>Merchant Taylors' School</v>
          </cell>
          <cell r="D19240" t="str">
            <v>Hertfordshire</v>
          </cell>
          <cell r="E19240" t="str">
            <v>Other Independent School</v>
          </cell>
          <cell r="F19240" t="str">
            <v>Not applicable</v>
          </cell>
        </row>
        <row r="19241">
          <cell r="A19241">
            <v>8016910</v>
          </cell>
          <cell r="B19241">
            <v>135597</v>
          </cell>
          <cell r="C19241" t="str">
            <v>Merchants' Academy</v>
          </cell>
          <cell r="D19241" t="str">
            <v>Bristol City of</v>
          </cell>
          <cell r="E19241" t="str">
            <v>Academy Sponsor Led</v>
          </cell>
          <cell r="F19241" t="str">
            <v>Secondary</v>
          </cell>
        </row>
        <row r="19242">
          <cell r="A19242">
            <v>7016005</v>
          </cell>
          <cell r="B19242">
            <v>132447</v>
          </cell>
          <cell r="C19242" t="str">
            <v>Merchiston Castle School</v>
          </cell>
          <cell r="D19242" t="str">
            <v>Scotland Offshore Establishments</v>
          </cell>
          <cell r="E19242" t="str">
            <v>Offshore Schools</v>
          </cell>
          <cell r="F19242" t="str">
            <v>Not applicable</v>
          </cell>
        </row>
        <row r="19243">
          <cell r="A19243">
            <v>8502034</v>
          </cell>
          <cell r="B19243">
            <v>115873</v>
          </cell>
          <cell r="C19243" t="str">
            <v>Merdon Junior School</v>
          </cell>
          <cell r="D19243" t="str">
            <v>Hampshire</v>
          </cell>
          <cell r="E19243" t="str">
            <v>Community School</v>
          </cell>
          <cell r="F19243" t="str">
            <v>Primary</v>
          </cell>
        </row>
        <row r="19244">
          <cell r="A19244">
            <v>3302463</v>
          </cell>
          <cell r="B19244">
            <v>103389</v>
          </cell>
          <cell r="C19244" t="str">
            <v>Mere Green Combined School</v>
          </cell>
          <cell r="D19244" t="str">
            <v>Birmingham</v>
          </cell>
          <cell r="E19244" t="str">
            <v>Community School</v>
          </cell>
          <cell r="F19244" t="str">
            <v>Primary</v>
          </cell>
        </row>
        <row r="19245">
          <cell r="A19245">
            <v>3597008</v>
          </cell>
          <cell r="B19245">
            <v>106546</v>
          </cell>
          <cell r="C19245" t="str">
            <v>Mere Oaks School</v>
          </cell>
          <cell r="D19245" t="str">
            <v>Wigan</v>
          </cell>
          <cell r="E19245" t="str">
            <v>Community Special School</v>
          </cell>
          <cell r="F19245" t="str">
            <v>Special</v>
          </cell>
        </row>
        <row r="19246">
          <cell r="A19246">
            <v>8652185</v>
          </cell>
          <cell r="B19246">
            <v>126263</v>
          </cell>
          <cell r="C19246" t="str">
            <v>Mere School</v>
          </cell>
          <cell r="D19246" t="str">
            <v>Wiltshire</v>
          </cell>
          <cell r="E19246" t="str">
            <v>Community School</v>
          </cell>
          <cell r="F19246" t="str">
            <v>Primary</v>
          </cell>
        </row>
        <row r="19247">
          <cell r="A19247">
            <v>8262001</v>
          </cell>
          <cell r="B19247">
            <v>131670</v>
          </cell>
          <cell r="C19247" t="str">
            <v>Merebrook Infant School</v>
          </cell>
          <cell r="D19247" t="str">
            <v>Milton Keynes</v>
          </cell>
          <cell r="E19247" t="str">
            <v>Community School</v>
          </cell>
          <cell r="F19247" t="str">
            <v>Primary</v>
          </cell>
        </row>
        <row r="19248">
          <cell r="A19248">
            <v>8876007</v>
          </cell>
          <cell r="B19248">
            <v>134858</v>
          </cell>
          <cell r="C19248" t="str">
            <v>Meredale Independent Primary School</v>
          </cell>
          <cell r="D19248" t="str">
            <v>Medway</v>
          </cell>
          <cell r="E19248" t="str">
            <v>Other Independent School</v>
          </cell>
          <cell r="F19248" t="str">
            <v>Not applicable</v>
          </cell>
        </row>
        <row r="19249">
          <cell r="A19249">
            <v>8872405</v>
          </cell>
          <cell r="B19249">
            <v>118424</v>
          </cell>
          <cell r="C19249" t="str">
            <v>Meredale Infant School</v>
          </cell>
          <cell r="D19249" t="str">
            <v>Medway</v>
          </cell>
          <cell r="E19249" t="str">
            <v>Community School</v>
          </cell>
          <cell r="F19249" t="str">
            <v>Primary</v>
          </cell>
        </row>
        <row r="19250">
          <cell r="A19250">
            <v>8512645</v>
          </cell>
          <cell r="B19250">
            <v>116186</v>
          </cell>
          <cell r="C19250" t="str">
            <v>Meredith Infant School</v>
          </cell>
          <cell r="D19250" t="str">
            <v>Portsmouth</v>
          </cell>
          <cell r="E19250" t="str">
            <v>Community School</v>
          </cell>
          <cell r="F19250" t="str">
            <v>Primary</v>
          </cell>
        </row>
        <row r="19251">
          <cell r="A19251">
            <v>3437006</v>
          </cell>
          <cell r="B19251">
            <v>104979</v>
          </cell>
          <cell r="C19251" t="str">
            <v>Merefield School</v>
          </cell>
          <cell r="D19251" t="str">
            <v>Sefton</v>
          </cell>
          <cell r="E19251" t="str">
            <v>Community Special School</v>
          </cell>
          <cell r="F19251" t="str">
            <v>Special</v>
          </cell>
        </row>
        <row r="19252">
          <cell r="A19252">
            <v>8935205</v>
          </cell>
          <cell r="B19252">
            <v>135788</v>
          </cell>
          <cell r="C19252" t="str">
            <v>Mereside Church of England Primary School</v>
          </cell>
          <cell r="D19252" t="str">
            <v>Shropshire</v>
          </cell>
          <cell r="E19252" t="str">
            <v>Voluntary Controlled School</v>
          </cell>
          <cell r="F19252" t="str">
            <v>Primary</v>
          </cell>
        </row>
        <row r="19253">
          <cell r="A19253">
            <v>3589900</v>
          </cell>
          <cell r="B19253">
            <v>132979</v>
          </cell>
          <cell r="C19253" t="str">
            <v>Mereside Education Trust</v>
          </cell>
          <cell r="D19253" t="str">
            <v>Trafford</v>
          </cell>
          <cell r="E19253" t="str">
            <v>Miscellaneous</v>
          </cell>
          <cell r="F19253" t="str">
            <v>Not applicable</v>
          </cell>
        </row>
        <row r="19254">
          <cell r="A19254">
            <v>8902824</v>
          </cell>
          <cell r="B19254">
            <v>119345</v>
          </cell>
          <cell r="C19254" t="str">
            <v>Mereside Primary School</v>
          </cell>
          <cell r="D19254" t="str">
            <v>Blackpool</v>
          </cell>
          <cell r="E19254" t="str">
            <v>Community School</v>
          </cell>
          <cell r="F19254" t="str">
            <v>Primary</v>
          </cell>
        </row>
        <row r="19255">
          <cell r="A19255">
            <v>9284099</v>
          </cell>
          <cell r="B19255">
            <v>122093</v>
          </cell>
          <cell r="C19255" t="str">
            <v>Mereway Middle School</v>
          </cell>
          <cell r="D19255" t="str">
            <v>Northamptonshire</v>
          </cell>
          <cell r="E19255" t="str">
            <v>Community School</v>
          </cell>
          <cell r="F19255" t="str">
            <v>Middle Deemed Secondary</v>
          </cell>
        </row>
        <row r="19256">
          <cell r="A19256">
            <v>8862185</v>
          </cell>
          <cell r="B19256">
            <v>118307</v>
          </cell>
          <cell r="C19256" t="str">
            <v>Mereworth Community Primary School</v>
          </cell>
          <cell r="D19256" t="str">
            <v>Kent</v>
          </cell>
          <cell r="E19256" t="str">
            <v>Community School</v>
          </cell>
          <cell r="F19256" t="str">
            <v>Primary</v>
          </cell>
        </row>
        <row r="19257">
          <cell r="A19257">
            <v>3343010</v>
          </cell>
          <cell r="B19257">
            <v>104087</v>
          </cell>
          <cell r="C19257" t="str">
            <v>Meriden Church of England Primary School</v>
          </cell>
          <cell r="D19257" t="str">
            <v>Solihull</v>
          </cell>
          <cell r="E19257" t="str">
            <v>Voluntary Controlled School</v>
          </cell>
          <cell r="F19257" t="str">
            <v>Primary</v>
          </cell>
        </row>
        <row r="19258">
          <cell r="A19258">
            <v>9192295</v>
          </cell>
          <cell r="B19258">
            <v>129128</v>
          </cell>
          <cell r="C19258" t="str">
            <v>Meriden Infant School</v>
          </cell>
          <cell r="D19258" t="str">
            <v>Hertfordshire</v>
          </cell>
          <cell r="E19258" t="str">
            <v>Community School</v>
          </cell>
          <cell r="F19258" t="str">
            <v>Primary</v>
          </cell>
        </row>
        <row r="19259">
          <cell r="A19259">
            <v>9192276</v>
          </cell>
          <cell r="B19259">
            <v>129123</v>
          </cell>
          <cell r="C19259" t="str">
            <v>Meriden Junior School</v>
          </cell>
          <cell r="D19259" t="str">
            <v>Hertfordshire</v>
          </cell>
          <cell r="E19259" t="str">
            <v>Community School</v>
          </cell>
          <cell r="F19259" t="str">
            <v>Primary</v>
          </cell>
        </row>
        <row r="19260">
          <cell r="A19260">
            <v>9192460</v>
          </cell>
          <cell r="B19260">
            <v>117360</v>
          </cell>
          <cell r="C19260" t="str">
            <v>Meriden Primary School</v>
          </cell>
          <cell r="D19260" t="str">
            <v>Hertfordshire</v>
          </cell>
          <cell r="E19260" t="str">
            <v>Community School</v>
          </cell>
          <cell r="F19260" t="str">
            <v>Primary</v>
          </cell>
        </row>
        <row r="19261">
          <cell r="A19261">
            <v>8452153</v>
          </cell>
          <cell r="B19261">
            <v>114475</v>
          </cell>
          <cell r="C19261" t="str">
            <v>Meridian Community Primary School</v>
          </cell>
          <cell r="D19261" t="str">
            <v>East Sussex</v>
          </cell>
          <cell r="E19261" t="str">
            <v>Community School</v>
          </cell>
          <cell r="F19261" t="str">
            <v>Primary</v>
          </cell>
        </row>
        <row r="19262">
          <cell r="A19262">
            <v>3526069</v>
          </cell>
          <cell r="B19262">
            <v>136176</v>
          </cell>
          <cell r="C19262" t="str">
            <v>Meridian Education</v>
          </cell>
          <cell r="D19262" t="str">
            <v>Manchester</v>
          </cell>
          <cell r="E19262" t="str">
            <v>Other Independent School</v>
          </cell>
          <cell r="F19262" t="str">
            <v>Not applicable</v>
          </cell>
        </row>
        <row r="19263">
          <cell r="A19263">
            <v>2032410</v>
          </cell>
          <cell r="B19263">
            <v>100137</v>
          </cell>
          <cell r="C19263" t="str">
            <v>Meridian Primary School</v>
          </cell>
          <cell r="D19263" t="str">
            <v>Greenwich</v>
          </cell>
          <cell r="E19263" t="str">
            <v>Community School</v>
          </cell>
          <cell r="F19263" t="str">
            <v>Primary</v>
          </cell>
        </row>
        <row r="19264">
          <cell r="A19264">
            <v>8732059</v>
          </cell>
          <cell r="B19264">
            <v>110626</v>
          </cell>
          <cell r="C19264" t="str">
            <v>Meridian Primary School</v>
          </cell>
          <cell r="D19264" t="str">
            <v>Cambridgeshire</v>
          </cell>
          <cell r="E19264" t="str">
            <v>Community School</v>
          </cell>
          <cell r="F19264" t="str">
            <v>Primary</v>
          </cell>
        </row>
        <row r="19265">
          <cell r="A19265">
            <v>9194140</v>
          </cell>
          <cell r="B19265">
            <v>117539</v>
          </cell>
          <cell r="C19265" t="str">
            <v>Meridian School</v>
          </cell>
          <cell r="D19265" t="str">
            <v>Hertfordshire</v>
          </cell>
          <cell r="E19265" t="str">
            <v>Community School</v>
          </cell>
          <cell r="F19265" t="str">
            <v>Secondary</v>
          </cell>
        </row>
        <row r="19266">
          <cell r="A19266">
            <v>9194140</v>
          </cell>
          <cell r="B19266">
            <v>137656</v>
          </cell>
          <cell r="C19266" t="str">
            <v>Meridian School</v>
          </cell>
          <cell r="D19266" t="str">
            <v>Hertfordshire</v>
          </cell>
          <cell r="E19266" t="str">
            <v>Academy Converters</v>
          </cell>
          <cell r="F19266" t="str">
            <v>Secondary</v>
          </cell>
        </row>
        <row r="19267">
          <cell r="A19267">
            <v>9362319</v>
          </cell>
          <cell r="B19267">
            <v>130039</v>
          </cell>
          <cell r="C19267" t="str">
            <v>Merland Rise First School</v>
          </cell>
          <cell r="D19267" t="str">
            <v>Surrey</v>
          </cell>
          <cell r="E19267" t="str">
            <v>Community School</v>
          </cell>
          <cell r="F19267" t="str">
            <v>Primary</v>
          </cell>
        </row>
        <row r="19268">
          <cell r="A19268">
            <v>9362009</v>
          </cell>
          <cell r="B19268">
            <v>130012</v>
          </cell>
          <cell r="C19268" t="str">
            <v>Merland Rise Middle School</v>
          </cell>
          <cell r="D19268" t="str">
            <v>Surrey</v>
          </cell>
          <cell r="E19268" t="str">
            <v>Community School</v>
          </cell>
          <cell r="F19268" t="str">
            <v>Middle Deemed Primary</v>
          </cell>
        </row>
        <row r="19269">
          <cell r="A19269">
            <v>9362205</v>
          </cell>
          <cell r="B19269">
            <v>130030</v>
          </cell>
          <cell r="C19269" t="str">
            <v>Merle Common First School</v>
          </cell>
          <cell r="D19269" t="str">
            <v>Surrey</v>
          </cell>
          <cell r="E19269" t="str">
            <v>Community School</v>
          </cell>
          <cell r="F19269" t="str">
            <v>Primary</v>
          </cell>
        </row>
        <row r="19270">
          <cell r="A19270">
            <v>8362180</v>
          </cell>
          <cell r="B19270">
            <v>113707</v>
          </cell>
          <cell r="C19270" t="str">
            <v>Merley First School</v>
          </cell>
          <cell r="D19270" t="str">
            <v>Poole</v>
          </cell>
          <cell r="E19270" t="str">
            <v>Community School</v>
          </cell>
          <cell r="F19270" t="str">
            <v>Primary</v>
          </cell>
        </row>
        <row r="19271">
          <cell r="A19271">
            <v>3736025</v>
          </cell>
          <cell r="B19271">
            <v>127727</v>
          </cell>
          <cell r="C19271" t="str">
            <v>Merlin Kindergarten</v>
          </cell>
          <cell r="D19271" t="str">
            <v>Sheffield</v>
          </cell>
          <cell r="E19271" t="str">
            <v>Other Independent School</v>
          </cell>
          <cell r="F19271" t="str">
            <v>Not applicable</v>
          </cell>
        </row>
        <row r="19272">
          <cell r="A19272">
            <v>2092463</v>
          </cell>
          <cell r="B19272">
            <v>100698</v>
          </cell>
          <cell r="C19272" t="str">
            <v>Merlin Primary School</v>
          </cell>
          <cell r="D19272" t="str">
            <v>Lewisham</v>
          </cell>
          <cell r="E19272" t="str">
            <v>Community School</v>
          </cell>
          <cell r="F19272" t="str">
            <v>Primary</v>
          </cell>
        </row>
        <row r="19273">
          <cell r="A19273">
            <v>2126144</v>
          </cell>
          <cell r="B19273">
            <v>101065</v>
          </cell>
          <cell r="C19273" t="str">
            <v>Merlin School</v>
          </cell>
          <cell r="D19273" t="str">
            <v>Wandsworth</v>
          </cell>
          <cell r="E19273" t="str">
            <v>Other Independent School</v>
          </cell>
          <cell r="F19273" t="str">
            <v>Not applicable</v>
          </cell>
        </row>
        <row r="19274">
          <cell r="A19274">
            <v>3802154</v>
          </cell>
          <cell r="B19274">
            <v>107279</v>
          </cell>
          <cell r="C19274" t="str">
            <v>Merlin Top Primary School</v>
          </cell>
          <cell r="D19274" t="str">
            <v>Bradford</v>
          </cell>
          <cell r="E19274" t="str">
            <v>Community School</v>
          </cell>
          <cell r="F19274" t="str">
            <v>Primary</v>
          </cell>
        </row>
        <row r="19275">
          <cell r="A19275">
            <v>6642003</v>
          </cell>
          <cell r="B19275">
            <v>400316</v>
          </cell>
          <cell r="C19275" t="str">
            <v>Merllyn C.P. School</v>
          </cell>
          <cell r="D19275" t="str">
            <v>Flintshire</v>
          </cell>
          <cell r="E19275" t="str">
            <v>Welsh Establishment</v>
          </cell>
          <cell r="F19275" t="str">
            <v>Primary</v>
          </cell>
        </row>
        <row r="19276">
          <cell r="A19276">
            <v>3362089</v>
          </cell>
          <cell r="B19276">
            <v>104334</v>
          </cell>
          <cell r="C19276" t="str">
            <v>Merridale Primary School</v>
          </cell>
          <cell r="D19276" t="str">
            <v>Wolverhampton</v>
          </cell>
          <cell r="E19276" t="str">
            <v>Community School</v>
          </cell>
          <cell r="F19276" t="str">
            <v>Primary</v>
          </cell>
        </row>
        <row r="19277">
          <cell r="A19277">
            <v>8315403</v>
          </cell>
          <cell r="B19277">
            <v>112988</v>
          </cell>
          <cell r="C19277" t="str">
            <v>Merrill College</v>
          </cell>
          <cell r="D19277" t="str">
            <v>Derby</v>
          </cell>
          <cell r="E19277" t="str">
            <v>Foundation School</v>
          </cell>
          <cell r="F19277" t="str">
            <v>Secondary</v>
          </cell>
        </row>
        <row r="19278">
          <cell r="A19278">
            <v>8314609</v>
          </cell>
          <cell r="B19278">
            <v>136209</v>
          </cell>
          <cell r="C19278" t="str">
            <v>Merrill College</v>
          </cell>
          <cell r="D19278" t="str">
            <v>Derby</v>
          </cell>
          <cell r="E19278" t="str">
            <v>Foundation School</v>
          </cell>
          <cell r="F19278" t="str">
            <v>Secondary</v>
          </cell>
        </row>
        <row r="19279">
          <cell r="A19279">
            <v>8258221</v>
          </cell>
          <cell r="B19279">
            <v>132804</v>
          </cell>
          <cell r="C19279" t="str">
            <v>Merrion House Centre for English Studies</v>
          </cell>
          <cell r="D19279" t="str">
            <v>Buckinghamshire</v>
          </cell>
          <cell r="E19279" t="str">
            <v>Further Education</v>
          </cell>
          <cell r="F19279" t="str">
            <v>16 Plus</v>
          </cell>
        </row>
        <row r="19280">
          <cell r="A19280">
            <v>9332046</v>
          </cell>
          <cell r="B19280">
            <v>123654</v>
          </cell>
          <cell r="C19280" t="str">
            <v>Merriott First School</v>
          </cell>
          <cell r="D19280" t="str">
            <v>Somerset</v>
          </cell>
          <cell r="E19280" t="str">
            <v>Community School</v>
          </cell>
          <cell r="F19280" t="str">
            <v>Primary</v>
          </cell>
        </row>
        <row r="19281">
          <cell r="A19281">
            <v>9368300</v>
          </cell>
          <cell r="B19281">
            <v>130827</v>
          </cell>
          <cell r="C19281" t="str">
            <v>Merrist Wood College</v>
          </cell>
          <cell r="D19281" t="str">
            <v>Surrey</v>
          </cell>
          <cell r="E19281" t="str">
            <v>Further Education</v>
          </cell>
          <cell r="F19281" t="str">
            <v>16 Plus</v>
          </cell>
        </row>
        <row r="19282">
          <cell r="A19282">
            <v>8921008</v>
          </cell>
          <cell r="B19282">
            <v>122393</v>
          </cell>
          <cell r="C19282" t="str">
            <v>Merrivale Nursery School</v>
          </cell>
          <cell r="D19282" t="str">
            <v>Nottingham</v>
          </cell>
          <cell r="E19282" t="str">
            <v>LA Nursery School</v>
          </cell>
          <cell r="F19282" t="str">
            <v>Nursery</v>
          </cell>
        </row>
        <row r="19283">
          <cell r="A19283">
            <v>9363061</v>
          </cell>
          <cell r="B19283">
            <v>125160</v>
          </cell>
          <cell r="C19283" t="str">
            <v>Merrow CofE Controlled Infant School</v>
          </cell>
          <cell r="D19283" t="str">
            <v>Surrey</v>
          </cell>
          <cell r="E19283" t="str">
            <v>Voluntary Controlled School</v>
          </cell>
          <cell r="F19283" t="str">
            <v>Primary</v>
          </cell>
        </row>
        <row r="19284">
          <cell r="A19284">
            <v>3332157</v>
          </cell>
          <cell r="B19284">
            <v>103965</v>
          </cell>
          <cell r="C19284" t="str">
            <v>Merry Hill Infant School</v>
          </cell>
          <cell r="D19284" t="str">
            <v>Sandwell</v>
          </cell>
          <cell r="E19284" t="str">
            <v>Community School</v>
          </cell>
          <cell r="F19284" t="str">
            <v>Primary</v>
          </cell>
        </row>
        <row r="19285">
          <cell r="A19285">
            <v>9192014</v>
          </cell>
          <cell r="B19285">
            <v>117090</v>
          </cell>
          <cell r="C19285" t="str">
            <v>Merry Hill Infant School and Nursery</v>
          </cell>
          <cell r="D19285" t="str">
            <v>Hertfordshire</v>
          </cell>
          <cell r="E19285" t="str">
            <v>Community School</v>
          </cell>
          <cell r="F19285" t="str">
            <v>Primary</v>
          </cell>
        </row>
        <row r="19286">
          <cell r="A19286">
            <v>8562264</v>
          </cell>
          <cell r="B19286">
            <v>120023</v>
          </cell>
          <cell r="C19286" t="str">
            <v>Merrydale Infant School</v>
          </cell>
          <cell r="D19286" t="str">
            <v>Leicester</v>
          </cell>
          <cell r="E19286" t="str">
            <v>Community School</v>
          </cell>
          <cell r="F19286" t="str">
            <v>Primary</v>
          </cell>
        </row>
        <row r="19287">
          <cell r="A19287">
            <v>8562265</v>
          </cell>
          <cell r="B19287">
            <v>120024</v>
          </cell>
          <cell r="C19287" t="str">
            <v>Merrydale Junior School</v>
          </cell>
          <cell r="D19287" t="str">
            <v>Leicester</v>
          </cell>
          <cell r="E19287" t="str">
            <v>Community School</v>
          </cell>
          <cell r="F19287" t="str">
            <v>Primary</v>
          </cell>
        </row>
        <row r="19288">
          <cell r="A19288">
            <v>8607038</v>
          </cell>
          <cell r="B19288">
            <v>124519</v>
          </cell>
          <cell r="C19288" t="str">
            <v>Merryfields School</v>
          </cell>
          <cell r="D19288" t="str">
            <v>Staffordshire</v>
          </cell>
          <cell r="E19288" t="str">
            <v>Community Special School</v>
          </cell>
          <cell r="F19288" t="str">
            <v>Special</v>
          </cell>
        </row>
        <row r="19289">
          <cell r="A19289">
            <v>3082048</v>
          </cell>
          <cell r="B19289">
            <v>101999</v>
          </cell>
          <cell r="C19289" t="str">
            <v>Merryhills Primary School</v>
          </cell>
          <cell r="D19289" t="str">
            <v>Enfield</v>
          </cell>
          <cell r="E19289" t="str">
            <v>Community School</v>
          </cell>
          <cell r="F19289" t="str">
            <v>Primary</v>
          </cell>
        </row>
        <row r="19290">
          <cell r="A19290">
            <v>8812636</v>
          </cell>
          <cell r="B19290">
            <v>114928</v>
          </cell>
          <cell r="C19290" t="str">
            <v>Merrylands Infant School</v>
          </cell>
          <cell r="D19290" t="str">
            <v>Essex</v>
          </cell>
          <cell r="E19290" t="str">
            <v>Community School</v>
          </cell>
          <cell r="F19290" t="str">
            <v>Primary</v>
          </cell>
        </row>
        <row r="19291">
          <cell r="A19291">
            <v>8812626</v>
          </cell>
          <cell r="B19291">
            <v>114923</v>
          </cell>
          <cell r="C19291" t="str">
            <v>Merrylands Junior School</v>
          </cell>
          <cell r="D19291" t="str">
            <v>Essex</v>
          </cell>
          <cell r="E19291" t="str">
            <v>Community School</v>
          </cell>
          <cell r="F19291" t="str">
            <v>Primary</v>
          </cell>
        </row>
        <row r="19292">
          <cell r="A19292">
            <v>8813252</v>
          </cell>
          <cell r="B19292">
            <v>132262</v>
          </cell>
          <cell r="C19292" t="str">
            <v>Merrylands Primary School</v>
          </cell>
          <cell r="D19292" t="str">
            <v>Essex</v>
          </cell>
          <cell r="E19292" t="str">
            <v>Community School</v>
          </cell>
          <cell r="F19292" t="str">
            <v>Primary</v>
          </cell>
        </row>
        <row r="19293">
          <cell r="A19293">
            <v>9014102</v>
          </cell>
          <cell r="B19293">
            <v>128235</v>
          </cell>
          <cell r="C19293" t="str">
            <v>Merrywood Boys' School</v>
          </cell>
          <cell r="D19293" t="str">
            <v>Pre LGR (1996) Avon</v>
          </cell>
          <cell r="E19293" t="str">
            <v>Community School</v>
          </cell>
          <cell r="F19293" t="str">
            <v>Secondary</v>
          </cell>
        </row>
        <row r="19294">
          <cell r="A19294">
            <v>9014103</v>
          </cell>
          <cell r="B19294">
            <v>128236</v>
          </cell>
          <cell r="C19294" t="str">
            <v>Merrywood Girls' School</v>
          </cell>
          <cell r="D19294" t="str">
            <v>Pre LGR (1996) Avon</v>
          </cell>
          <cell r="E19294" t="str">
            <v>Community School</v>
          </cell>
          <cell r="F19294" t="str">
            <v>Secondary</v>
          </cell>
        </row>
        <row r="19295">
          <cell r="A19295">
            <v>8014151</v>
          </cell>
          <cell r="B19295">
            <v>109323</v>
          </cell>
          <cell r="C19295" t="str">
            <v>Merrywood School</v>
          </cell>
          <cell r="D19295" t="str">
            <v>Bristol City of</v>
          </cell>
          <cell r="E19295" t="str">
            <v>Community School</v>
          </cell>
          <cell r="F19295" t="str">
            <v>Secondary</v>
          </cell>
        </row>
        <row r="19296">
          <cell r="A19296">
            <v>8815271</v>
          </cell>
          <cell r="B19296">
            <v>115311</v>
          </cell>
          <cell r="C19296" t="str">
            <v>Mersea Island School</v>
          </cell>
          <cell r="D19296" t="str">
            <v>Essex</v>
          </cell>
          <cell r="E19296" t="str">
            <v>Foundation School</v>
          </cell>
          <cell r="F19296" t="str">
            <v>Primary</v>
          </cell>
        </row>
        <row r="19297">
          <cell r="A19297">
            <v>9202443</v>
          </cell>
          <cell r="B19297">
            <v>129237</v>
          </cell>
          <cell r="C19297" t="str">
            <v>Mersery Primary School</v>
          </cell>
          <cell r="D19297" t="str">
            <v>Pre LGR (1996) Humberside</v>
          </cell>
          <cell r="E19297" t="str">
            <v>Community School</v>
          </cell>
          <cell r="F19297" t="str">
            <v>Primary</v>
          </cell>
        </row>
        <row r="19298">
          <cell r="A19298">
            <v>3512029</v>
          </cell>
          <cell r="B19298">
            <v>105299</v>
          </cell>
          <cell r="C19298" t="str">
            <v>Mersey Drive Community Primary School</v>
          </cell>
          <cell r="D19298" t="str">
            <v>Bury</v>
          </cell>
          <cell r="E19298" t="str">
            <v>Community School</v>
          </cell>
          <cell r="F19298" t="str">
            <v>Primary</v>
          </cell>
        </row>
        <row r="19299">
          <cell r="A19299">
            <v>9204211</v>
          </cell>
          <cell r="B19299">
            <v>129284</v>
          </cell>
          <cell r="C19299" t="str">
            <v>Mersey Junior High School</v>
          </cell>
          <cell r="D19299" t="str">
            <v>Pre LGR (1996) Humberside</v>
          </cell>
          <cell r="E19299" t="str">
            <v>Community School</v>
          </cell>
          <cell r="F19299" t="str">
            <v>Secondary</v>
          </cell>
        </row>
        <row r="19300">
          <cell r="A19300">
            <v>3442255</v>
          </cell>
          <cell r="B19300">
            <v>105042</v>
          </cell>
          <cell r="C19300" t="str">
            <v>Mersey Park Primary School</v>
          </cell>
          <cell r="D19300" t="str">
            <v>Wirral</v>
          </cell>
          <cell r="E19300" t="str">
            <v>Community School</v>
          </cell>
          <cell r="F19300" t="str">
            <v>Primary</v>
          </cell>
        </row>
        <row r="19301">
          <cell r="A19301">
            <v>8102916</v>
          </cell>
          <cell r="B19301">
            <v>117943</v>
          </cell>
          <cell r="C19301" t="str">
            <v>Mersey Primary School</v>
          </cell>
          <cell r="D19301" t="str">
            <v>Kingston upon Hull City of</v>
          </cell>
          <cell r="E19301" t="str">
            <v>Community School</v>
          </cell>
          <cell r="F19301" t="str">
            <v>Primary</v>
          </cell>
        </row>
        <row r="19302">
          <cell r="A19302">
            <v>3562058</v>
          </cell>
          <cell r="B19302">
            <v>106059</v>
          </cell>
          <cell r="C19302" t="str">
            <v>Mersey Vale Primary School</v>
          </cell>
          <cell r="D19302" t="str">
            <v>Stockport</v>
          </cell>
          <cell r="E19302" t="str">
            <v>Community School</v>
          </cell>
          <cell r="F19302" t="str">
            <v>Primary</v>
          </cell>
        </row>
        <row r="19303">
          <cell r="A19303">
            <v>3417057</v>
          </cell>
          <cell r="B19303">
            <v>104753</v>
          </cell>
          <cell r="C19303" t="str">
            <v>Mersey View School</v>
          </cell>
          <cell r="D19303" t="str">
            <v>Liverpool</v>
          </cell>
          <cell r="E19303" t="str">
            <v>Community Special School</v>
          </cell>
          <cell r="F19303" t="str">
            <v>Special</v>
          </cell>
        </row>
        <row r="19304">
          <cell r="A19304">
            <v>3417068</v>
          </cell>
          <cell r="B19304">
            <v>134656</v>
          </cell>
          <cell r="C19304" t="str">
            <v>Mersey View Secondary Special School</v>
          </cell>
          <cell r="D19304" t="str">
            <v>Liverpool</v>
          </cell>
          <cell r="E19304" t="str">
            <v>Community Special School</v>
          </cell>
          <cell r="F19304" t="str">
            <v>Special</v>
          </cell>
        </row>
        <row r="19305">
          <cell r="A19305">
            <v>8862285</v>
          </cell>
          <cell r="B19305">
            <v>118377</v>
          </cell>
          <cell r="C19305" t="str">
            <v>Mersham Primary School</v>
          </cell>
          <cell r="D19305" t="str">
            <v>Kent</v>
          </cell>
          <cell r="E19305" t="str">
            <v>Community School</v>
          </cell>
          <cell r="F19305" t="str">
            <v>Primary</v>
          </cell>
        </row>
        <row r="19306">
          <cell r="A19306">
            <v>9362211</v>
          </cell>
          <cell r="B19306">
            <v>124989</v>
          </cell>
          <cell r="C19306" t="str">
            <v>Merstham Primary School</v>
          </cell>
          <cell r="D19306" t="str">
            <v>Surrey</v>
          </cell>
          <cell r="E19306" t="str">
            <v>Community School</v>
          </cell>
          <cell r="F19306" t="str">
            <v>Primary</v>
          </cell>
        </row>
        <row r="19307">
          <cell r="A19307">
            <v>3347007</v>
          </cell>
          <cell r="B19307">
            <v>104133</v>
          </cell>
          <cell r="C19307" t="str">
            <v>Merstone School</v>
          </cell>
          <cell r="D19307" t="str">
            <v>Solihull</v>
          </cell>
          <cell r="E19307" t="str">
            <v>Community Special School</v>
          </cell>
          <cell r="F19307" t="str">
            <v>Special</v>
          </cell>
        </row>
        <row r="19308">
          <cell r="A19308">
            <v>6751101</v>
          </cell>
          <cell r="B19308">
            <v>401962</v>
          </cell>
          <cell r="C19308" t="str">
            <v>Merthyr Tydfil Pupil Referral Unit</v>
          </cell>
          <cell r="D19308" t="str">
            <v>Merthyr Tydfil</v>
          </cell>
          <cell r="E19308" t="str">
            <v>Welsh Establishment</v>
          </cell>
          <cell r="F19308" t="str">
            <v>Not applicable</v>
          </cell>
        </row>
        <row r="19309">
          <cell r="A19309">
            <v>3152066</v>
          </cell>
          <cell r="B19309">
            <v>102638</v>
          </cell>
          <cell r="C19309" t="str">
            <v>Merton Abbey Primary School</v>
          </cell>
          <cell r="D19309" t="str">
            <v>Merton</v>
          </cell>
          <cell r="E19309" t="str">
            <v>Community School</v>
          </cell>
          <cell r="F19309" t="str">
            <v>Primary</v>
          </cell>
        </row>
        <row r="19310">
          <cell r="A19310">
            <v>3422005</v>
          </cell>
          <cell r="B19310">
            <v>127333</v>
          </cell>
          <cell r="C19310" t="str">
            <v>Merton Bank Infant School</v>
          </cell>
          <cell r="D19310" t="str">
            <v>St. Helens</v>
          </cell>
          <cell r="E19310" t="str">
            <v>Community School</v>
          </cell>
          <cell r="F19310" t="str">
            <v>Primary</v>
          </cell>
        </row>
        <row r="19311">
          <cell r="A19311">
            <v>3422004</v>
          </cell>
          <cell r="B19311">
            <v>127332</v>
          </cell>
          <cell r="C19311" t="str">
            <v>Merton Bank Junior School</v>
          </cell>
          <cell r="D19311" t="str">
            <v>St. Helens</v>
          </cell>
          <cell r="E19311" t="str">
            <v>Community School</v>
          </cell>
          <cell r="F19311" t="str">
            <v>Primary</v>
          </cell>
        </row>
        <row r="19312">
          <cell r="A19312">
            <v>3422068</v>
          </cell>
          <cell r="B19312">
            <v>104784</v>
          </cell>
          <cell r="C19312" t="str">
            <v>Merton Bank Primary School</v>
          </cell>
          <cell r="D19312" t="str">
            <v>St. Helens</v>
          </cell>
          <cell r="E19312" t="str">
            <v>Community School</v>
          </cell>
          <cell r="F19312" t="str">
            <v>Primary</v>
          </cell>
        </row>
        <row r="19313">
          <cell r="A19313">
            <v>3158000</v>
          </cell>
          <cell r="B19313">
            <v>130449</v>
          </cell>
          <cell r="C19313" t="str">
            <v>Merton College</v>
          </cell>
          <cell r="D19313" t="str">
            <v>Merton</v>
          </cell>
          <cell r="E19313" t="str">
            <v>Further Education</v>
          </cell>
          <cell r="F19313" t="str">
            <v>16 Plus</v>
          </cell>
        </row>
        <row r="19314">
          <cell r="A19314">
            <v>3036053</v>
          </cell>
          <cell r="B19314">
            <v>101482</v>
          </cell>
          <cell r="C19314" t="str">
            <v>Merton Court School</v>
          </cell>
          <cell r="D19314" t="str">
            <v>Bexley</v>
          </cell>
          <cell r="E19314" t="str">
            <v>Other Independent School</v>
          </cell>
          <cell r="F19314" t="str">
            <v>Not applicable</v>
          </cell>
        </row>
        <row r="19315">
          <cell r="A19315">
            <v>8966003</v>
          </cell>
          <cell r="B19315">
            <v>111469</v>
          </cell>
          <cell r="C19315" t="str">
            <v>Merton House School</v>
          </cell>
          <cell r="D19315" t="str">
            <v>Cheshire West and Chester</v>
          </cell>
          <cell r="E19315" t="str">
            <v>Other Independent School</v>
          </cell>
          <cell r="F19315" t="str">
            <v>Not applicable</v>
          </cell>
        </row>
        <row r="19316">
          <cell r="A19316">
            <v>8502271</v>
          </cell>
          <cell r="B19316">
            <v>116004</v>
          </cell>
          <cell r="C19316" t="str">
            <v>Merton Infant School</v>
          </cell>
          <cell r="D19316" t="str">
            <v>Hampshire</v>
          </cell>
          <cell r="E19316" t="str">
            <v>Community School</v>
          </cell>
          <cell r="F19316" t="str">
            <v>Primary</v>
          </cell>
        </row>
        <row r="19317">
          <cell r="A19317">
            <v>8502268</v>
          </cell>
          <cell r="B19317">
            <v>116001</v>
          </cell>
          <cell r="C19317" t="str">
            <v>Merton Junior School</v>
          </cell>
          <cell r="D19317" t="str">
            <v>Hampshire</v>
          </cell>
          <cell r="E19317" t="str">
            <v>Community School</v>
          </cell>
          <cell r="F19317" t="str">
            <v>Primary</v>
          </cell>
        </row>
        <row r="19318">
          <cell r="A19318">
            <v>3152067</v>
          </cell>
          <cell r="B19318">
            <v>102639</v>
          </cell>
          <cell r="C19318" t="str">
            <v>Merton Park Primary School</v>
          </cell>
          <cell r="D19318" t="str">
            <v>Merton</v>
          </cell>
          <cell r="E19318" t="str">
            <v>Community School</v>
          </cell>
          <cell r="F19318" t="str">
            <v>Primary</v>
          </cell>
        </row>
        <row r="19319">
          <cell r="A19319">
            <v>3154060</v>
          </cell>
          <cell r="B19319">
            <v>126967</v>
          </cell>
          <cell r="C19319" t="str">
            <v>Merton Sixth Form College</v>
          </cell>
          <cell r="D19319" t="str">
            <v>Merton</v>
          </cell>
          <cell r="E19319" t="str">
            <v>Community School</v>
          </cell>
          <cell r="F19319" t="str">
            <v>Secondary</v>
          </cell>
        </row>
        <row r="19320">
          <cell r="A19320">
            <v>9192156</v>
          </cell>
          <cell r="B19320">
            <v>117184</v>
          </cell>
          <cell r="C19320" t="str">
            <v>Meryfield Primary School</v>
          </cell>
          <cell r="D19320" t="str">
            <v>Hertfordshire</v>
          </cell>
          <cell r="E19320" t="str">
            <v>Community School</v>
          </cell>
          <cell r="F19320" t="str">
            <v>Primary</v>
          </cell>
        </row>
        <row r="19321">
          <cell r="A19321">
            <v>2046390</v>
          </cell>
          <cell r="B19321">
            <v>100302</v>
          </cell>
          <cell r="C19321" t="str">
            <v>Mesifta Talmudical College</v>
          </cell>
          <cell r="D19321" t="str">
            <v>Hackney</v>
          </cell>
          <cell r="E19321" t="str">
            <v>Other Independent School</v>
          </cell>
          <cell r="F19321" t="str">
            <v>Not applicable</v>
          </cell>
        </row>
        <row r="19322">
          <cell r="A19322">
            <v>3552072</v>
          </cell>
          <cell r="B19322">
            <v>105911</v>
          </cell>
          <cell r="C19322" t="str">
            <v>Mesne Lea Primary School</v>
          </cell>
          <cell r="D19322" t="str">
            <v>Salford</v>
          </cell>
          <cell r="E19322" t="str">
            <v>Community School</v>
          </cell>
          <cell r="F19322" t="str">
            <v>Primary</v>
          </cell>
        </row>
        <row r="19323">
          <cell r="A19323">
            <v>3594004</v>
          </cell>
          <cell r="B19323">
            <v>127557</v>
          </cell>
          <cell r="C19323" t="str">
            <v>Mesnes High School</v>
          </cell>
          <cell r="D19323" t="str">
            <v>Wigan</v>
          </cell>
          <cell r="E19323" t="str">
            <v>Community School</v>
          </cell>
          <cell r="F19323" t="str">
            <v>Secondary</v>
          </cell>
        </row>
        <row r="19324">
          <cell r="A19324">
            <v>8812040</v>
          </cell>
          <cell r="B19324">
            <v>114731</v>
          </cell>
          <cell r="C19324" t="str">
            <v>Messing-Cum-Inworth Primary School</v>
          </cell>
          <cell r="D19324" t="str">
            <v>Essex</v>
          </cell>
          <cell r="E19324" t="str">
            <v>Community School</v>
          </cell>
          <cell r="F19324" t="str">
            <v>Primary</v>
          </cell>
        </row>
        <row r="19325">
          <cell r="A19325">
            <v>8132123</v>
          </cell>
          <cell r="B19325">
            <v>117741</v>
          </cell>
          <cell r="C19325" t="str">
            <v>Messingham Primary School</v>
          </cell>
          <cell r="D19325" t="str">
            <v>North Lincolnshire</v>
          </cell>
          <cell r="E19325" t="str">
            <v>Community School</v>
          </cell>
          <cell r="F19325" t="str">
            <v>Primary</v>
          </cell>
        </row>
        <row r="19326">
          <cell r="A19326">
            <v>3332045</v>
          </cell>
          <cell r="B19326">
            <v>103907</v>
          </cell>
          <cell r="C19326" t="str">
            <v>Mesty Croft Primary School</v>
          </cell>
          <cell r="D19326" t="str">
            <v>Sandwell</v>
          </cell>
          <cell r="E19326" t="str">
            <v>Community School</v>
          </cell>
          <cell r="F19326" t="str">
            <v>Primary</v>
          </cell>
        </row>
        <row r="19327">
          <cell r="A19327">
            <v>3832323</v>
          </cell>
          <cell r="B19327">
            <v>107839</v>
          </cell>
          <cell r="C19327" t="str">
            <v>Methley Infant and Nursery School</v>
          </cell>
          <cell r="D19327" t="str">
            <v>Leeds</v>
          </cell>
          <cell r="E19327" t="str">
            <v>Community School</v>
          </cell>
          <cell r="F19327" t="str">
            <v>Primary</v>
          </cell>
        </row>
        <row r="19328">
          <cell r="A19328">
            <v>3832317</v>
          </cell>
          <cell r="B19328">
            <v>107835</v>
          </cell>
          <cell r="C19328" t="str">
            <v>Methley Junior School</v>
          </cell>
          <cell r="D19328" t="str">
            <v>Leeds</v>
          </cell>
          <cell r="E19328" t="str">
            <v>Community School</v>
          </cell>
          <cell r="F19328" t="str">
            <v>Primary</v>
          </cell>
        </row>
        <row r="19329">
          <cell r="A19329">
            <v>3833916</v>
          </cell>
          <cell r="B19329">
            <v>134319</v>
          </cell>
          <cell r="C19329" t="str">
            <v>Methley Primary School</v>
          </cell>
          <cell r="D19329" t="str">
            <v>Leeds</v>
          </cell>
          <cell r="E19329" t="str">
            <v>Community School</v>
          </cell>
          <cell r="F19329" t="str">
            <v>Primary</v>
          </cell>
        </row>
        <row r="19330">
          <cell r="A19330">
            <v>3843021</v>
          </cell>
          <cell r="B19330">
            <v>108252</v>
          </cell>
          <cell r="C19330" t="str">
            <v>Methodist Voluntary Controlled Junior and Infant School: With Communication Resource</v>
          </cell>
          <cell r="D19330" t="str">
            <v>Wakefield</v>
          </cell>
          <cell r="E19330" t="str">
            <v>Voluntary Controlled School</v>
          </cell>
          <cell r="F19330" t="str">
            <v>Primary</v>
          </cell>
        </row>
        <row r="19331">
          <cell r="A19331">
            <v>9082420</v>
          </cell>
          <cell r="B19331">
            <v>111890</v>
          </cell>
          <cell r="C19331" t="str">
            <v>Mevagissey Community Primary School</v>
          </cell>
          <cell r="D19331" t="str">
            <v>Cornwall</v>
          </cell>
          <cell r="E19331" t="str">
            <v>Community School</v>
          </cell>
          <cell r="F19331" t="str">
            <v>Primary</v>
          </cell>
        </row>
        <row r="19332">
          <cell r="A19332">
            <v>3712082</v>
          </cell>
          <cell r="B19332">
            <v>106682</v>
          </cell>
          <cell r="C19332" t="str">
            <v>Mexborough Doncaster Road Junior School</v>
          </cell>
          <cell r="D19332" t="str">
            <v>Doncaster</v>
          </cell>
          <cell r="E19332" t="str">
            <v>Community School</v>
          </cell>
          <cell r="F19332" t="str">
            <v>Primary</v>
          </cell>
        </row>
        <row r="19333">
          <cell r="A19333">
            <v>3712186</v>
          </cell>
          <cell r="B19333">
            <v>106748</v>
          </cell>
          <cell r="C19333" t="str">
            <v>Mexborough Highwoods Primary School</v>
          </cell>
          <cell r="D19333" t="str">
            <v>Doncaster</v>
          </cell>
          <cell r="E19333" t="str">
            <v>Community School</v>
          </cell>
          <cell r="F19333" t="str">
            <v>Primary</v>
          </cell>
        </row>
        <row r="19334">
          <cell r="A19334">
            <v>3712085</v>
          </cell>
          <cell r="B19334">
            <v>106684</v>
          </cell>
          <cell r="C19334" t="str">
            <v>Mexborough Park Road Infant School</v>
          </cell>
          <cell r="D19334" t="str">
            <v>Doncaster</v>
          </cell>
          <cell r="E19334" t="str">
            <v>Community School</v>
          </cell>
          <cell r="F19334" t="str">
            <v>Primary</v>
          </cell>
        </row>
        <row r="19335">
          <cell r="A19335">
            <v>3712083</v>
          </cell>
          <cell r="B19335">
            <v>106683</v>
          </cell>
          <cell r="C19335" t="str">
            <v>Mexborough Pitt Street Infant School</v>
          </cell>
          <cell r="D19335" t="str">
            <v>Doncaster</v>
          </cell>
          <cell r="E19335" t="str">
            <v>Community School</v>
          </cell>
          <cell r="F19335" t="str">
            <v>Primary</v>
          </cell>
        </row>
        <row r="19336">
          <cell r="A19336">
            <v>3714032</v>
          </cell>
          <cell r="B19336">
            <v>106788</v>
          </cell>
          <cell r="C19336" t="str">
            <v>Mexborough School</v>
          </cell>
          <cell r="D19336" t="str">
            <v>Doncaster</v>
          </cell>
          <cell r="E19336" t="str">
            <v>Community School</v>
          </cell>
          <cell r="F19336" t="str">
            <v>Secondary</v>
          </cell>
        </row>
        <row r="19337">
          <cell r="A19337">
            <v>3713308</v>
          </cell>
          <cell r="B19337">
            <v>106764</v>
          </cell>
          <cell r="C19337" t="str">
            <v>Mexborough St John the Baptist CofE Primary School</v>
          </cell>
          <cell r="D19337" t="str">
            <v>Doncaster</v>
          </cell>
          <cell r="E19337" t="str">
            <v>Voluntary Aided School</v>
          </cell>
          <cell r="F19337" t="str">
            <v>Primary</v>
          </cell>
        </row>
        <row r="19338">
          <cell r="A19338">
            <v>3732083</v>
          </cell>
          <cell r="B19338">
            <v>107003</v>
          </cell>
          <cell r="C19338" t="str">
            <v>Meynell Community Primary School</v>
          </cell>
          <cell r="D19338" t="str">
            <v>Sheffield</v>
          </cell>
          <cell r="E19338" t="str">
            <v>Community School</v>
          </cell>
          <cell r="F19338" t="str">
            <v>Primary</v>
          </cell>
        </row>
        <row r="19339">
          <cell r="A19339">
            <v>9163050</v>
          </cell>
          <cell r="B19339">
            <v>115636</v>
          </cell>
          <cell r="C19339" t="str">
            <v>Meysey Hampton Church of England Primary School</v>
          </cell>
          <cell r="D19339" t="str">
            <v>Gloucestershire</v>
          </cell>
          <cell r="E19339" t="str">
            <v>Voluntary Controlled School</v>
          </cell>
          <cell r="F19339" t="str">
            <v>Primary</v>
          </cell>
        </row>
        <row r="19340">
          <cell r="A19340">
            <v>3416050</v>
          </cell>
          <cell r="B19340">
            <v>134396</v>
          </cell>
          <cell r="C19340" t="str">
            <v>MGL Academy</v>
          </cell>
          <cell r="D19340" t="str">
            <v>Liverpool</v>
          </cell>
          <cell r="E19340" t="str">
            <v>Other Independent School</v>
          </cell>
          <cell r="F19340" t="str">
            <v>Not applicable</v>
          </cell>
        </row>
        <row r="19341">
          <cell r="A19341">
            <v>9382099</v>
          </cell>
          <cell r="B19341">
            <v>125871</v>
          </cell>
          <cell r="C19341" t="str">
            <v>Michael Ayres Junior School</v>
          </cell>
          <cell r="D19341" t="str">
            <v>West Sussex</v>
          </cell>
          <cell r="E19341" t="str">
            <v>Community School</v>
          </cell>
          <cell r="F19341" t="str">
            <v>Primary</v>
          </cell>
        </row>
        <row r="19342">
          <cell r="A19342">
            <v>9372028</v>
          </cell>
          <cell r="B19342">
            <v>125512</v>
          </cell>
          <cell r="C19342" t="str">
            <v>Michael Drayton Junior School</v>
          </cell>
          <cell r="D19342" t="str">
            <v>Warwickshire</v>
          </cell>
          <cell r="E19342" t="str">
            <v>Community School</v>
          </cell>
          <cell r="F19342" t="str">
            <v>Primary</v>
          </cell>
        </row>
        <row r="19343">
          <cell r="A19343">
            <v>2102411</v>
          </cell>
          <cell r="B19343">
            <v>100803</v>
          </cell>
          <cell r="C19343" t="str">
            <v>Michael Faraday School</v>
          </cell>
          <cell r="D19343" t="str">
            <v>Southwark</v>
          </cell>
          <cell r="E19343" t="str">
            <v>Community School</v>
          </cell>
          <cell r="F19343" t="str">
            <v>Primary</v>
          </cell>
        </row>
        <row r="19344">
          <cell r="A19344">
            <v>8456037</v>
          </cell>
          <cell r="B19344">
            <v>114625</v>
          </cell>
          <cell r="C19344" t="str">
            <v>Michael Hall School</v>
          </cell>
          <cell r="D19344" t="str">
            <v>East Sussex</v>
          </cell>
          <cell r="E19344" t="str">
            <v>Other Independent School</v>
          </cell>
          <cell r="F19344" t="str">
            <v>Not applicable</v>
          </cell>
        </row>
        <row r="19345">
          <cell r="A19345">
            <v>8306010</v>
          </cell>
          <cell r="B19345">
            <v>113014</v>
          </cell>
          <cell r="C19345" t="str">
            <v>Michael House School</v>
          </cell>
          <cell r="D19345" t="str">
            <v>Derbyshire</v>
          </cell>
          <cell r="E19345" t="str">
            <v>Other Independent School</v>
          </cell>
          <cell r="F19345" t="str">
            <v>Not applicable</v>
          </cell>
        </row>
        <row r="19346">
          <cell r="A19346">
            <v>7052027</v>
          </cell>
          <cell r="B19346">
            <v>132542</v>
          </cell>
          <cell r="C19346" t="str">
            <v>Michael School</v>
          </cell>
          <cell r="D19346" t="str">
            <v>Isle of Man Offshore Establishments</v>
          </cell>
          <cell r="E19346" t="str">
            <v>Offshore Schools</v>
          </cell>
          <cell r="F19346" t="str">
            <v>Not applicable</v>
          </cell>
        </row>
        <row r="19347">
          <cell r="A19347">
            <v>3043601</v>
          </cell>
          <cell r="B19347">
            <v>101549</v>
          </cell>
          <cell r="C19347" t="str">
            <v>Michael Sobell Sinai School</v>
          </cell>
          <cell r="D19347" t="str">
            <v>Brent</v>
          </cell>
          <cell r="E19347" t="str">
            <v>Voluntary Aided School</v>
          </cell>
          <cell r="F19347" t="str">
            <v>Primary</v>
          </cell>
        </row>
        <row r="19348">
          <cell r="A19348">
            <v>8153307</v>
          </cell>
          <cell r="B19348">
            <v>121609</v>
          </cell>
          <cell r="C19348" t="str">
            <v>Michael Syddall Church of England Aided Primary School</v>
          </cell>
          <cell r="D19348" t="str">
            <v>North Yorkshire</v>
          </cell>
          <cell r="E19348" t="str">
            <v>Voluntary Aided School</v>
          </cell>
          <cell r="F19348" t="str">
            <v>Primary</v>
          </cell>
        </row>
        <row r="19349">
          <cell r="A19349">
            <v>8842116</v>
          </cell>
          <cell r="B19349">
            <v>116714</v>
          </cell>
          <cell r="C19349" t="str">
            <v>Michaelchurch Escley Primary School</v>
          </cell>
          <cell r="D19349" t="str">
            <v>Herefordshire</v>
          </cell>
          <cell r="E19349" t="str">
            <v>Community School</v>
          </cell>
          <cell r="F19349" t="str">
            <v>Primary</v>
          </cell>
        </row>
        <row r="19350">
          <cell r="A19350">
            <v>6814073</v>
          </cell>
          <cell r="B19350">
            <v>402048</v>
          </cell>
          <cell r="C19350" t="str">
            <v>Michaelston Community College</v>
          </cell>
          <cell r="D19350" t="str">
            <v>Cardiff</v>
          </cell>
          <cell r="E19350" t="str">
            <v>Welsh Establishment</v>
          </cell>
          <cell r="F19350" t="str">
            <v>Secondary</v>
          </cell>
        </row>
        <row r="19351">
          <cell r="A19351">
            <v>8502017</v>
          </cell>
          <cell r="B19351">
            <v>133292</v>
          </cell>
          <cell r="C19351" t="str">
            <v>Micheldever CofE Primary School</v>
          </cell>
          <cell r="D19351" t="str">
            <v>Hampshire</v>
          </cell>
          <cell r="E19351" t="str">
            <v>Voluntary Controlled School</v>
          </cell>
          <cell r="F19351" t="str">
            <v>Primary</v>
          </cell>
        </row>
        <row r="19352">
          <cell r="A19352">
            <v>8502135</v>
          </cell>
          <cell r="B19352">
            <v>115927</v>
          </cell>
          <cell r="C19352" t="str">
            <v>Micheldever Primary School</v>
          </cell>
          <cell r="D19352" t="str">
            <v>Hampshire</v>
          </cell>
          <cell r="E19352" t="str">
            <v>Community School</v>
          </cell>
          <cell r="F19352" t="str">
            <v>Primary</v>
          </cell>
        </row>
        <row r="19353">
          <cell r="A19353">
            <v>8702234</v>
          </cell>
          <cell r="B19353">
            <v>109926</v>
          </cell>
          <cell r="C19353" t="str">
            <v>Micklands Primary School</v>
          </cell>
          <cell r="D19353" t="str">
            <v>Reading</v>
          </cell>
          <cell r="E19353" t="str">
            <v>Community School</v>
          </cell>
          <cell r="F19353" t="str">
            <v>Primary</v>
          </cell>
        </row>
        <row r="19354">
          <cell r="A19354">
            <v>8962233</v>
          </cell>
          <cell r="B19354">
            <v>111082</v>
          </cell>
          <cell r="C19354" t="str">
            <v>Mickle Trafford Village School</v>
          </cell>
          <cell r="D19354" t="str">
            <v>Cheshire West and Chester</v>
          </cell>
          <cell r="E19354" t="str">
            <v>Community School</v>
          </cell>
          <cell r="F19354" t="str">
            <v>Primary</v>
          </cell>
        </row>
        <row r="19355">
          <cell r="A19355">
            <v>3833040</v>
          </cell>
          <cell r="B19355">
            <v>107992</v>
          </cell>
          <cell r="C19355" t="str">
            <v>Micklefield Church of England Voluntary Controlled Primary School</v>
          </cell>
          <cell r="D19355" t="str">
            <v>Leeds</v>
          </cell>
          <cell r="E19355" t="str">
            <v>Voluntary Controlled School</v>
          </cell>
          <cell r="F19355" t="str">
            <v>Primary</v>
          </cell>
        </row>
        <row r="19356">
          <cell r="A19356">
            <v>9366080</v>
          </cell>
          <cell r="B19356">
            <v>125357</v>
          </cell>
          <cell r="C19356" t="str">
            <v>Micklefield School</v>
          </cell>
          <cell r="D19356" t="str">
            <v>Surrey</v>
          </cell>
          <cell r="E19356" t="str">
            <v>Other Independent School</v>
          </cell>
          <cell r="F19356" t="str">
            <v>Not applicable</v>
          </cell>
        </row>
        <row r="19357">
          <cell r="A19357">
            <v>9146063</v>
          </cell>
          <cell r="B19357">
            <v>128852</v>
          </cell>
          <cell r="C19357" t="str">
            <v>Micklefield School</v>
          </cell>
          <cell r="D19357" t="str">
            <v>Pre LGR (1997) East Sussex</v>
          </cell>
          <cell r="E19357" t="str">
            <v>Other Independent School</v>
          </cell>
          <cell r="F19357" t="str">
            <v>Not applicable</v>
          </cell>
        </row>
        <row r="19358">
          <cell r="A19358">
            <v>3573027</v>
          </cell>
          <cell r="B19358">
            <v>106235</v>
          </cell>
          <cell r="C19358" t="str">
            <v>Micklehurst All Saints CofE Primary School</v>
          </cell>
          <cell r="D19358" t="str">
            <v>Tameside</v>
          </cell>
          <cell r="E19358" t="str">
            <v>Voluntary Controlled School</v>
          </cell>
          <cell r="F19358" t="str">
            <v>Primary</v>
          </cell>
        </row>
        <row r="19359">
          <cell r="A19359">
            <v>3572057</v>
          </cell>
          <cell r="B19359">
            <v>127530</v>
          </cell>
          <cell r="C19359" t="str">
            <v>Micklehurst Community Junior School</v>
          </cell>
          <cell r="D19359" t="str">
            <v>Tameside</v>
          </cell>
          <cell r="E19359" t="str">
            <v>Community School</v>
          </cell>
          <cell r="F19359" t="str">
            <v>Primary</v>
          </cell>
        </row>
        <row r="19360">
          <cell r="A19360">
            <v>9192243</v>
          </cell>
          <cell r="B19360">
            <v>117231</v>
          </cell>
          <cell r="C19360" t="str">
            <v>Micklem Primary School</v>
          </cell>
          <cell r="D19360" t="str">
            <v>Hertfordshire</v>
          </cell>
          <cell r="E19360" t="str">
            <v>Community School</v>
          </cell>
          <cell r="F19360" t="str">
            <v>Primary</v>
          </cell>
        </row>
        <row r="19361">
          <cell r="A19361">
            <v>8312627</v>
          </cell>
          <cell r="B19361">
            <v>112790</v>
          </cell>
          <cell r="C19361" t="str">
            <v>Mickleover Primary School</v>
          </cell>
          <cell r="D19361" t="str">
            <v>Derby</v>
          </cell>
          <cell r="E19361" t="str">
            <v>Community School</v>
          </cell>
          <cell r="F19361" t="str">
            <v>Primary</v>
          </cell>
        </row>
        <row r="19362">
          <cell r="A19362">
            <v>9104160</v>
          </cell>
          <cell r="B19362">
            <v>128661</v>
          </cell>
          <cell r="C19362" t="str">
            <v>Mickleover School</v>
          </cell>
          <cell r="D19362" t="str">
            <v>Pre LGR (1997) Derbyshire</v>
          </cell>
          <cell r="E19362" t="str">
            <v>Community School</v>
          </cell>
          <cell r="F19362" t="str">
            <v>Secondary</v>
          </cell>
        </row>
        <row r="19363">
          <cell r="A19363">
            <v>9162081</v>
          </cell>
          <cell r="B19363">
            <v>115533</v>
          </cell>
          <cell r="C19363" t="str">
            <v>Mickleton Primary School</v>
          </cell>
          <cell r="D19363" t="str">
            <v>Gloucestershire</v>
          </cell>
          <cell r="E19363" t="str">
            <v>Community School</v>
          </cell>
          <cell r="F19363" t="str">
            <v>Primary</v>
          </cell>
        </row>
        <row r="19364">
          <cell r="A19364">
            <v>9292219</v>
          </cell>
          <cell r="B19364">
            <v>122219</v>
          </cell>
          <cell r="C19364" t="str">
            <v>Mickley First School</v>
          </cell>
          <cell r="D19364" t="str">
            <v>Northumberland</v>
          </cell>
          <cell r="E19364" t="str">
            <v>Community School</v>
          </cell>
          <cell r="F19364" t="str">
            <v>Primary</v>
          </cell>
        </row>
        <row r="19365">
          <cell r="A19365">
            <v>8302314</v>
          </cell>
          <cell r="B19365">
            <v>112676</v>
          </cell>
          <cell r="C19365" t="str">
            <v>Mickley Infant School</v>
          </cell>
          <cell r="D19365" t="str">
            <v>Derbyshire</v>
          </cell>
          <cell r="E19365" t="str">
            <v>Community School</v>
          </cell>
          <cell r="F19365" t="str">
            <v>Primary</v>
          </cell>
        </row>
        <row r="19366">
          <cell r="A19366">
            <v>9088002</v>
          </cell>
          <cell r="B19366">
            <v>132876</v>
          </cell>
          <cell r="C19366" t="str">
            <v>Mid Cornwall College</v>
          </cell>
          <cell r="D19366" t="str">
            <v>Cornwall</v>
          </cell>
          <cell r="E19366" t="str">
            <v>Further Education</v>
          </cell>
          <cell r="F19366" t="str">
            <v>16 Plus</v>
          </cell>
        </row>
        <row r="19367">
          <cell r="A19367">
            <v>8968011</v>
          </cell>
          <cell r="B19367">
            <v>130620</v>
          </cell>
          <cell r="C19367" t="str">
            <v>Mid-Cheshire College of Further Education</v>
          </cell>
          <cell r="D19367" t="str">
            <v>Cheshire West and Chester</v>
          </cell>
          <cell r="E19367" t="str">
            <v>Further Education</v>
          </cell>
          <cell r="F19367" t="str">
            <v>16 Plus</v>
          </cell>
        </row>
        <row r="19368">
          <cell r="A19368">
            <v>9312151</v>
          </cell>
          <cell r="B19368">
            <v>123005</v>
          </cell>
          <cell r="C19368" t="str">
            <v>Middle Barton School</v>
          </cell>
          <cell r="D19368" t="str">
            <v>Oxfordshire</v>
          </cell>
          <cell r="E19368" t="str">
            <v>Community School</v>
          </cell>
          <cell r="F19368" t="str">
            <v>Primary</v>
          </cell>
        </row>
        <row r="19369">
          <cell r="A19369">
            <v>2032415</v>
          </cell>
          <cell r="B19369">
            <v>100139</v>
          </cell>
          <cell r="C19369" t="str">
            <v>Middle Park Infant School</v>
          </cell>
          <cell r="D19369" t="str">
            <v>Greenwich</v>
          </cell>
          <cell r="E19369" t="str">
            <v>Community School</v>
          </cell>
          <cell r="F19369" t="str">
            <v>Primary</v>
          </cell>
        </row>
        <row r="19370">
          <cell r="A19370">
            <v>2032413</v>
          </cell>
          <cell r="B19370">
            <v>100138</v>
          </cell>
          <cell r="C19370" t="str">
            <v>Middle Park Junior School</v>
          </cell>
          <cell r="D19370" t="str">
            <v>Greenwich</v>
          </cell>
          <cell r="E19370" t="str">
            <v>Community School</v>
          </cell>
          <cell r="F19370" t="str">
            <v>Primary</v>
          </cell>
        </row>
        <row r="19371">
          <cell r="A19371">
            <v>2032918</v>
          </cell>
          <cell r="B19371">
            <v>130921</v>
          </cell>
          <cell r="C19371" t="str">
            <v>Middle Park Primary School</v>
          </cell>
          <cell r="D19371" t="str">
            <v>Greenwich</v>
          </cell>
          <cell r="E19371" t="str">
            <v>Community School</v>
          </cell>
          <cell r="F19371" t="str">
            <v>Primary</v>
          </cell>
        </row>
        <row r="19372">
          <cell r="A19372">
            <v>2072416</v>
          </cell>
          <cell r="B19372">
            <v>100484</v>
          </cell>
          <cell r="C19372" t="str">
            <v>Middle Row Primary School</v>
          </cell>
          <cell r="D19372" t="str">
            <v>Kensington and Chelsea</v>
          </cell>
          <cell r="E19372" t="str">
            <v>Community School</v>
          </cell>
          <cell r="F19372" t="str">
            <v>Primary</v>
          </cell>
        </row>
        <row r="19373">
          <cell r="A19373">
            <v>9041110</v>
          </cell>
          <cell r="B19373">
            <v>128313</v>
          </cell>
          <cell r="C19373" t="str">
            <v>Middle School Centre</v>
          </cell>
          <cell r="D19373" t="str">
            <v>Pre LGR (1997) Buckinghamshire</v>
          </cell>
          <cell r="E19373" t="str">
            <v>Pupil Referral Unit</v>
          </cell>
          <cell r="F19373" t="str">
            <v>PRU</v>
          </cell>
        </row>
        <row r="19374">
          <cell r="A19374">
            <v>8462018</v>
          </cell>
          <cell r="B19374">
            <v>114369</v>
          </cell>
          <cell r="C19374" t="str">
            <v>Middle Street Primary School</v>
          </cell>
          <cell r="D19374" t="str">
            <v>Brighton and Hove</v>
          </cell>
          <cell r="E19374" t="str">
            <v>Community School</v>
          </cell>
          <cell r="F19374" t="str">
            <v>Primary</v>
          </cell>
        </row>
        <row r="19375">
          <cell r="A19375">
            <v>9254028</v>
          </cell>
          <cell r="B19375">
            <v>120643</v>
          </cell>
          <cell r="C19375" t="str">
            <v>Middlecott School</v>
          </cell>
          <cell r="D19375" t="str">
            <v>Lincolnshire</v>
          </cell>
          <cell r="E19375" t="str">
            <v>Community School</v>
          </cell>
          <cell r="F19375" t="str">
            <v>Secondary</v>
          </cell>
        </row>
        <row r="19376">
          <cell r="A19376">
            <v>9104165</v>
          </cell>
          <cell r="B19376">
            <v>128665</v>
          </cell>
          <cell r="C19376" t="str">
            <v>Middlecroft School</v>
          </cell>
          <cell r="D19376" t="str">
            <v>Pre LGR (1997) Derbyshire</v>
          </cell>
          <cell r="E19376" t="str">
            <v>Community School</v>
          </cell>
          <cell r="F19376" t="str">
            <v>Middle Deemed Secondary</v>
          </cell>
        </row>
        <row r="19377">
          <cell r="A19377">
            <v>3412170</v>
          </cell>
          <cell r="B19377">
            <v>104591</v>
          </cell>
          <cell r="C19377" t="str">
            <v>Middlefield Community Primary School</v>
          </cell>
          <cell r="D19377" t="str">
            <v>Liverpool</v>
          </cell>
          <cell r="E19377" t="str">
            <v>Community School</v>
          </cell>
          <cell r="F19377" t="str">
            <v>Primary</v>
          </cell>
        </row>
        <row r="19378">
          <cell r="A19378">
            <v>8732257</v>
          </cell>
          <cell r="B19378">
            <v>110716</v>
          </cell>
          <cell r="C19378" t="str">
            <v>Middlefield Community Primary School</v>
          </cell>
          <cell r="D19378" t="str">
            <v>Cambridgeshire</v>
          </cell>
          <cell r="E19378" t="str">
            <v>Community School</v>
          </cell>
          <cell r="F19378" t="str">
            <v>Primary</v>
          </cell>
        </row>
        <row r="19379">
          <cell r="A19379">
            <v>9254063</v>
          </cell>
          <cell r="B19379">
            <v>129596</v>
          </cell>
          <cell r="C19379" t="str">
            <v>Middlefield School</v>
          </cell>
          <cell r="D19379" t="str">
            <v>Lincolnshire</v>
          </cell>
          <cell r="E19379" t="str">
            <v>Community School</v>
          </cell>
          <cell r="F19379" t="str">
            <v>Middle Deemed Secondary</v>
          </cell>
        </row>
        <row r="19380">
          <cell r="A19380">
            <v>9254069</v>
          </cell>
          <cell r="B19380">
            <v>120658</v>
          </cell>
          <cell r="C19380" t="str">
            <v>Middlefield School of Technology</v>
          </cell>
          <cell r="D19380" t="str">
            <v>Lincolnshire</v>
          </cell>
          <cell r="E19380" t="str">
            <v>Community School</v>
          </cell>
          <cell r="F19380" t="str">
            <v>Secondary</v>
          </cell>
        </row>
        <row r="19381">
          <cell r="A19381">
            <v>8153320</v>
          </cell>
          <cell r="B19381">
            <v>121614</v>
          </cell>
          <cell r="C19381" t="str">
            <v>Middleham Church of England Aided School</v>
          </cell>
          <cell r="D19381" t="str">
            <v>North Yorkshire</v>
          </cell>
          <cell r="E19381" t="str">
            <v>Voluntary Aided School</v>
          </cell>
          <cell r="F19381" t="str">
            <v>Primary</v>
          </cell>
        </row>
        <row r="19382">
          <cell r="A19382">
            <v>8916025</v>
          </cell>
          <cell r="B19382">
            <v>131286</v>
          </cell>
          <cell r="C19382" t="str">
            <v>Middlehey</v>
          </cell>
          <cell r="D19382" t="str">
            <v>Nottinghamshire</v>
          </cell>
          <cell r="E19382" t="str">
            <v>Other Independent Special School</v>
          </cell>
          <cell r="F19382" t="str">
            <v>Not applicable</v>
          </cell>
        </row>
        <row r="19383">
          <cell r="A19383">
            <v>8617008</v>
          </cell>
          <cell r="B19383">
            <v>124501</v>
          </cell>
          <cell r="C19383" t="str">
            <v>Middlehurst Special School</v>
          </cell>
          <cell r="D19383" t="str">
            <v>Stoke-on-Trent</v>
          </cell>
          <cell r="E19383" t="str">
            <v>Community Special School</v>
          </cell>
          <cell r="F19383" t="str">
            <v>Special</v>
          </cell>
        </row>
        <row r="19384">
          <cell r="A19384">
            <v>9375202</v>
          </cell>
          <cell r="B19384">
            <v>125761</v>
          </cell>
          <cell r="C19384" t="str">
            <v>Middlemarch School</v>
          </cell>
          <cell r="D19384" t="str">
            <v>Warwickshire</v>
          </cell>
          <cell r="E19384" t="str">
            <v>Foundation School</v>
          </cell>
          <cell r="F19384" t="str">
            <v>Primary</v>
          </cell>
        </row>
        <row r="19385">
          <cell r="A19385">
            <v>8612023</v>
          </cell>
          <cell r="B19385">
            <v>123983</v>
          </cell>
          <cell r="C19385" t="str">
            <v>Middleport Infant School</v>
          </cell>
          <cell r="D19385" t="str">
            <v>Stoke-on-Trent</v>
          </cell>
          <cell r="E19385" t="str">
            <v>Community School</v>
          </cell>
          <cell r="F19385" t="str">
            <v>Primary</v>
          </cell>
        </row>
        <row r="19386">
          <cell r="A19386">
            <v>8068007</v>
          </cell>
          <cell r="B19386">
            <v>130570</v>
          </cell>
          <cell r="C19386" t="str">
            <v>Middlesbrough College</v>
          </cell>
          <cell r="D19386" t="str">
            <v>Middlesbrough</v>
          </cell>
          <cell r="E19386" t="str">
            <v>Further Education</v>
          </cell>
          <cell r="F19386" t="str">
            <v>16 Plus</v>
          </cell>
        </row>
        <row r="19387">
          <cell r="A19387">
            <v>806940</v>
          </cell>
          <cell r="B19387">
            <v>132717</v>
          </cell>
          <cell r="C19387" t="str">
            <v>Middlesbrough Study Support Centre</v>
          </cell>
          <cell r="D19387" t="str">
            <v>Middlesbrough</v>
          </cell>
          <cell r="E19387" t="str">
            <v>Playing for Success Centres</v>
          </cell>
          <cell r="F19387" t="str">
            <v>Not applicable</v>
          </cell>
        </row>
        <row r="19388">
          <cell r="A19388">
            <v>308</v>
          </cell>
          <cell r="B19388">
            <v>133850</v>
          </cell>
          <cell r="C19388" t="str">
            <v>Middlesex University</v>
          </cell>
          <cell r="D19388" t="str">
            <v>Enfield</v>
          </cell>
          <cell r="E19388" t="str">
            <v>Higher Education Institutions</v>
          </cell>
          <cell r="F19388" t="str">
            <v>Not applicable</v>
          </cell>
        </row>
        <row r="19389">
          <cell r="A19389">
            <v>8402378</v>
          </cell>
          <cell r="B19389">
            <v>114082</v>
          </cell>
          <cell r="C19389" t="str">
            <v>Middlestone Moor Junior School</v>
          </cell>
          <cell r="D19389" t="str">
            <v>Durham</v>
          </cell>
          <cell r="E19389" t="str">
            <v>Community School</v>
          </cell>
          <cell r="F19389" t="str">
            <v>Primary</v>
          </cell>
        </row>
        <row r="19390">
          <cell r="A19390">
            <v>8402001</v>
          </cell>
          <cell r="B19390">
            <v>131886</v>
          </cell>
          <cell r="C19390" t="str">
            <v>Middlestone Moor Primary School</v>
          </cell>
          <cell r="D19390" t="str">
            <v>Durham</v>
          </cell>
          <cell r="E19390" t="str">
            <v>Community School</v>
          </cell>
          <cell r="F19390" t="str">
            <v>Primary</v>
          </cell>
        </row>
        <row r="19391">
          <cell r="A19391">
            <v>3834003</v>
          </cell>
          <cell r="B19391">
            <v>127950</v>
          </cell>
          <cell r="C19391" t="str">
            <v>Middlethorne Middle School</v>
          </cell>
          <cell r="D19391" t="str">
            <v>Leeds</v>
          </cell>
          <cell r="E19391" t="str">
            <v>Community School</v>
          </cell>
          <cell r="F19391" t="str">
            <v>Middle Deemed Secondary</v>
          </cell>
        </row>
        <row r="19392">
          <cell r="A19392">
            <v>8122182</v>
          </cell>
          <cell r="B19392">
            <v>117789</v>
          </cell>
          <cell r="C19392" t="str">
            <v>Middlethorpe Primary School</v>
          </cell>
          <cell r="D19392" t="str">
            <v>North East Lincolnshire</v>
          </cell>
          <cell r="E19392" t="str">
            <v>Community School</v>
          </cell>
          <cell r="F19392" t="str">
            <v>Primary</v>
          </cell>
        </row>
        <row r="19393">
          <cell r="A19393">
            <v>9282070</v>
          </cell>
          <cell r="B19393">
            <v>121846</v>
          </cell>
          <cell r="C19393" t="str">
            <v>Middleton Cheney Community Primary School</v>
          </cell>
          <cell r="D19393" t="str">
            <v>Northamptonshire</v>
          </cell>
          <cell r="E19393" t="str">
            <v>Community School</v>
          </cell>
          <cell r="F19393" t="str">
            <v>Primary</v>
          </cell>
        </row>
        <row r="19394">
          <cell r="A19394">
            <v>8302277</v>
          </cell>
          <cell r="B19394">
            <v>112654</v>
          </cell>
          <cell r="C19394" t="str">
            <v>Middleton Community Primary School</v>
          </cell>
          <cell r="D19394" t="str">
            <v>Derbyshire</v>
          </cell>
          <cell r="E19394" t="str">
            <v>Community School</v>
          </cell>
          <cell r="F19394" t="str">
            <v>Primary</v>
          </cell>
        </row>
        <row r="19395">
          <cell r="A19395">
            <v>9352098</v>
          </cell>
          <cell r="B19395">
            <v>124600</v>
          </cell>
          <cell r="C19395" t="str">
            <v>Middleton Community Primary School</v>
          </cell>
          <cell r="D19395" t="str">
            <v>Suffolk</v>
          </cell>
          <cell r="E19395" t="str">
            <v>Community School</v>
          </cell>
          <cell r="F19395" t="str">
            <v>Primary</v>
          </cell>
        </row>
        <row r="19396">
          <cell r="A19396">
            <v>8742306</v>
          </cell>
          <cell r="B19396">
            <v>110742</v>
          </cell>
          <cell r="C19396" t="str">
            <v>Middleton County Infant School</v>
          </cell>
          <cell r="D19396" t="str">
            <v>Peterborough</v>
          </cell>
          <cell r="E19396" t="str">
            <v>Community School</v>
          </cell>
          <cell r="F19396" t="str">
            <v>Primary</v>
          </cell>
        </row>
        <row r="19397">
          <cell r="A19397">
            <v>3832135</v>
          </cell>
          <cell r="B19397">
            <v>127840</v>
          </cell>
          <cell r="C19397" t="str">
            <v>Middleton First School</v>
          </cell>
          <cell r="D19397" t="str">
            <v>Leeds</v>
          </cell>
          <cell r="E19397" t="str">
            <v>Community School</v>
          </cell>
          <cell r="F19397" t="str">
            <v>Middle Deemed Primary</v>
          </cell>
        </row>
        <row r="19398">
          <cell r="A19398">
            <v>9372503</v>
          </cell>
          <cell r="B19398">
            <v>130150</v>
          </cell>
          <cell r="C19398" t="str">
            <v>Middleton First School</v>
          </cell>
          <cell r="D19398" t="str">
            <v>Warwickshire</v>
          </cell>
          <cell r="E19398" t="str">
            <v>Community School</v>
          </cell>
          <cell r="F19398" t="str">
            <v>Middle Deemed Primary</v>
          </cell>
        </row>
        <row r="19399">
          <cell r="A19399">
            <v>9116143</v>
          </cell>
          <cell r="B19399">
            <v>128758</v>
          </cell>
          <cell r="C19399" t="str">
            <v>Middleton Hall</v>
          </cell>
          <cell r="D19399" t="str">
            <v>Pre LGR (1998) Devon</v>
          </cell>
          <cell r="E19399" t="str">
            <v>Other Independent School</v>
          </cell>
          <cell r="F19399" t="str">
            <v>Not applicable</v>
          </cell>
        </row>
        <row r="19400">
          <cell r="A19400">
            <v>8742305</v>
          </cell>
          <cell r="B19400">
            <v>110741</v>
          </cell>
          <cell r="C19400" t="str">
            <v>Middleton Junior School</v>
          </cell>
          <cell r="D19400" t="str">
            <v>Peterborough</v>
          </cell>
          <cell r="E19400" t="str">
            <v>Community School</v>
          </cell>
          <cell r="F19400" t="str">
            <v>Primary</v>
          </cell>
        </row>
        <row r="19401">
          <cell r="A19401">
            <v>8766001</v>
          </cell>
          <cell r="B19401">
            <v>131476</v>
          </cell>
          <cell r="C19401" t="str">
            <v>Middleton Lodge</v>
          </cell>
          <cell r="D19401" t="str">
            <v>Halton</v>
          </cell>
          <cell r="E19401" t="str">
            <v>Other Independent Special School</v>
          </cell>
          <cell r="F19401" t="str">
            <v>Not applicable</v>
          </cell>
        </row>
        <row r="19402">
          <cell r="A19402">
            <v>3543321</v>
          </cell>
          <cell r="B19402">
            <v>105821</v>
          </cell>
          <cell r="C19402" t="str">
            <v>Middleton Parish Church School</v>
          </cell>
          <cell r="D19402" t="str">
            <v>Rochdale</v>
          </cell>
          <cell r="E19402" t="str">
            <v>Voluntary Aided School</v>
          </cell>
          <cell r="F19402" t="str">
            <v>Primary</v>
          </cell>
        </row>
        <row r="19403">
          <cell r="A19403">
            <v>3834049</v>
          </cell>
          <cell r="B19403">
            <v>108067</v>
          </cell>
          <cell r="C19403" t="str">
            <v>Middleton Park High School</v>
          </cell>
          <cell r="D19403" t="str">
            <v>Leeds</v>
          </cell>
          <cell r="E19403" t="str">
            <v>Community School</v>
          </cell>
          <cell r="F19403" t="str">
            <v>Secondary</v>
          </cell>
        </row>
        <row r="19404">
          <cell r="A19404">
            <v>3834142</v>
          </cell>
          <cell r="B19404">
            <v>127988</v>
          </cell>
          <cell r="C19404" t="str">
            <v>Middleton Park High School</v>
          </cell>
          <cell r="D19404" t="str">
            <v>Leeds</v>
          </cell>
          <cell r="E19404" t="str">
            <v>Community School</v>
          </cell>
          <cell r="F19404" t="str">
            <v>Middle Deemed Secondary</v>
          </cell>
        </row>
        <row r="19405">
          <cell r="A19405">
            <v>8922080</v>
          </cell>
          <cell r="B19405">
            <v>122427</v>
          </cell>
          <cell r="C19405" t="str">
            <v>Middleton Primary and Nursery School</v>
          </cell>
          <cell r="D19405" t="str">
            <v>Nottingham</v>
          </cell>
          <cell r="E19405" t="str">
            <v>Community School</v>
          </cell>
          <cell r="F19405" t="str">
            <v>Primary</v>
          </cell>
        </row>
        <row r="19406">
          <cell r="A19406">
            <v>3832477</v>
          </cell>
          <cell r="B19406">
            <v>107953</v>
          </cell>
          <cell r="C19406" t="str">
            <v>Middleton Primary School</v>
          </cell>
          <cell r="D19406" t="str">
            <v>Leeds</v>
          </cell>
          <cell r="E19406" t="str">
            <v>Foundation School</v>
          </cell>
          <cell r="F19406" t="str">
            <v>Primary</v>
          </cell>
        </row>
        <row r="19407">
          <cell r="A19407">
            <v>8742455</v>
          </cell>
          <cell r="B19407">
            <v>131719</v>
          </cell>
          <cell r="C19407" t="str">
            <v>Middleton Primary School</v>
          </cell>
          <cell r="D19407" t="str">
            <v>Peterborough</v>
          </cell>
          <cell r="E19407" t="str">
            <v>Community School</v>
          </cell>
          <cell r="F19407" t="str">
            <v>Primary</v>
          </cell>
        </row>
        <row r="19408">
          <cell r="A19408">
            <v>8262016</v>
          </cell>
          <cell r="B19408">
            <v>134071</v>
          </cell>
          <cell r="C19408" t="str">
            <v>Middleton Primary School</v>
          </cell>
          <cell r="D19408" t="str">
            <v>Milton Keynes</v>
          </cell>
          <cell r="E19408" t="str">
            <v>Community School</v>
          </cell>
          <cell r="F19408" t="str">
            <v>Primary</v>
          </cell>
        </row>
        <row r="19409">
          <cell r="A19409">
            <v>9197019</v>
          </cell>
          <cell r="B19409">
            <v>117676</v>
          </cell>
          <cell r="C19409" t="str">
            <v>Middleton School</v>
          </cell>
          <cell r="D19409" t="str">
            <v>Hertfordshire</v>
          </cell>
          <cell r="E19409" t="str">
            <v>Community Special School</v>
          </cell>
          <cell r="F19409" t="str">
            <v>Special</v>
          </cell>
        </row>
        <row r="19410">
          <cell r="A19410">
            <v>8412570</v>
          </cell>
          <cell r="B19410">
            <v>114160</v>
          </cell>
          <cell r="C19410" t="str">
            <v>Middleton St George CofE (Aided) Primary School</v>
          </cell>
          <cell r="D19410" t="str">
            <v>Darlington</v>
          </cell>
          <cell r="E19410" t="str">
            <v>Community School</v>
          </cell>
          <cell r="F19410" t="str">
            <v>Primary</v>
          </cell>
        </row>
        <row r="19411">
          <cell r="A19411">
            <v>3833053</v>
          </cell>
          <cell r="B19411">
            <v>108002</v>
          </cell>
          <cell r="C19411" t="str">
            <v>Middleton St Mary's Church of England Voluntary Controlled Primary School</v>
          </cell>
          <cell r="D19411" t="str">
            <v>Leeds</v>
          </cell>
          <cell r="E19411" t="str">
            <v>Voluntary Controlled School</v>
          </cell>
          <cell r="F19411" t="str">
            <v>Primary</v>
          </cell>
        </row>
        <row r="19412">
          <cell r="A19412">
            <v>3544091</v>
          </cell>
          <cell r="B19412">
            <v>105842</v>
          </cell>
          <cell r="C19412" t="str">
            <v>Middleton Technology School</v>
          </cell>
          <cell r="D19412" t="str">
            <v>Rochdale</v>
          </cell>
          <cell r="E19412" t="str">
            <v>Community School</v>
          </cell>
          <cell r="F19412" t="str">
            <v>Secondary</v>
          </cell>
        </row>
        <row r="19413">
          <cell r="A19413">
            <v>8153079</v>
          </cell>
          <cell r="B19413">
            <v>121509</v>
          </cell>
          <cell r="C19413" t="str">
            <v>Middleton Tyas Church of England Primary School</v>
          </cell>
          <cell r="D19413" t="str">
            <v>North Yorkshire</v>
          </cell>
          <cell r="E19413" t="str">
            <v>Voluntary Controlled School</v>
          </cell>
          <cell r="F19413" t="str">
            <v>Primary</v>
          </cell>
        </row>
        <row r="19414">
          <cell r="A19414">
            <v>9263109</v>
          </cell>
          <cell r="B19414">
            <v>121074</v>
          </cell>
          <cell r="C19414" t="str">
            <v>Middleton Voluntary Controlled Primary School</v>
          </cell>
          <cell r="D19414" t="str">
            <v>Norfolk</v>
          </cell>
          <cell r="E19414" t="str">
            <v>Voluntary Controlled School</v>
          </cell>
          <cell r="F19414" t="str">
            <v>Primary</v>
          </cell>
        </row>
        <row r="19415">
          <cell r="A19415">
            <v>8402430</v>
          </cell>
          <cell r="B19415">
            <v>114109</v>
          </cell>
          <cell r="C19415" t="str">
            <v>Middleton-in-Teesdale Nursery and Primary School</v>
          </cell>
          <cell r="D19415" t="str">
            <v>Durham</v>
          </cell>
          <cell r="E19415" t="str">
            <v>Community School</v>
          </cell>
          <cell r="F19415" t="str">
            <v>Primary</v>
          </cell>
        </row>
        <row r="19416">
          <cell r="A19416">
            <v>8113030</v>
          </cell>
          <cell r="B19416">
            <v>117983</v>
          </cell>
          <cell r="C19416" t="str">
            <v>Middleton-on-the-Wolds Church of England Voluntary Controlled Primary School</v>
          </cell>
          <cell r="D19416" t="str">
            <v>East Riding of Yorkshire</v>
          </cell>
          <cell r="E19416" t="str">
            <v>Voluntary Controlled School</v>
          </cell>
          <cell r="F19416" t="str">
            <v>Primary</v>
          </cell>
        </row>
        <row r="19417">
          <cell r="A19417">
            <v>8752333</v>
          </cell>
          <cell r="B19417">
            <v>111148</v>
          </cell>
          <cell r="C19417" t="str">
            <v>Middlewich County Infant School</v>
          </cell>
          <cell r="D19417" t="str">
            <v>Pre LGR (2009) Cheshire</v>
          </cell>
          <cell r="E19417" t="str">
            <v>Community School</v>
          </cell>
          <cell r="F19417" t="str">
            <v>Primary</v>
          </cell>
        </row>
        <row r="19418">
          <cell r="A19418">
            <v>8752197</v>
          </cell>
          <cell r="B19418">
            <v>111060</v>
          </cell>
          <cell r="C19418" t="str">
            <v>Middlewich County Junior School</v>
          </cell>
          <cell r="D19418" t="str">
            <v>Pre LGR (2009) Cheshire</v>
          </cell>
          <cell r="E19418" t="str">
            <v>Community School</v>
          </cell>
          <cell r="F19418" t="str">
            <v>Primary</v>
          </cell>
        </row>
        <row r="19419">
          <cell r="A19419">
            <v>8954127</v>
          </cell>
          <cell r="B19419">
            <v>111410</v>
          </cell>
          <cell r="C19419" t="str">
            <v>Middlewich High School</v>
          </cell>
          <cell r="D19419" t="str">
            <v>Cheshire East</v>
          </cell>
          <cell r="E19419" t="str">
            <v>Community School</v>
          </cell>
          <cell r="F19419" t="str">
            <v>Secondary</v>
          </cell>
        </row>
        <row r="19420">
          <cell r="A19420">
            <v>8952731</v>
          </cell>
          <cell r="B19420">
            <v>131727</v>
          </cell>
          <cell r="C19420" t="str">
            <v>Middlewich Primary School</v>
          </cell>
          <cell r="D19420" t="str">
            <v>Cheshire East</v>
          </cell>
          <cell r="E19420" t="str">
            <v>Community School</v>
          </cell>
          <cell r="F19420" t="str">
            <v>Primary</v>
          </cell>
        </row>
        <row r="19421">
          <cell r="A19421">
            <v>9332172</v>
          </cell>
          <cell r="B19421">
            <v>123687</v>
          </cell>
          <cell r="C19421" t="str">
            <v>Middlezoy Primary School</v>
          </cell>
          <cell r="D19421" t="str">
            <v>Somerset</v>
          </cell>
          <cell r="E19421" t="str">
            <v>Foundation School</v>
          </cell>
          <cell r="F19421" t="str">
            <v>Primary</v>
          </cell>
        </row>
        <row r="19422">
          <cell r="A19422">
            <v>3052066</v>
          </cell>
          <cell r="B19422">
            <v>101634</v>
          </cell>
          <cell r="C19422" t="str">
            <v>Midfield Primary School</v>
          </cell>
          <cell r="D19422" t="str">
            <v>Bromley</v>
          </cell>
          <cell r="E19422" t="str">
            <v>Community School</v>
          </cell>
          <cell r="F19422" t="str">
            <v>Primary</v>
          </cell>
        </row>
        <row r="19423">
          <cell r="A19423">
            <v>3812065</v>
          </cell>
          <cell r="B19423">
            <v>107517</v>
          </cell>
          <cell r="C19423" t="str">
            <v>Midgley School</v>
          </cell>
          <cell r="D19423" t="str">
            <v>Calderdale</v>
          </cell>
          <cell r="E19423" t="str">
            <v>Community School</v>
          </cell>
          <cell r="F19423" t="str">
            <v>Primary</v>
          </cell>
        </row>
        <row r="19424">
          <cell r="A19424">
            <v>9383023</v>
          </cell>
          <cell r="B19424">
            <v>125988</v>
          </cell>
          <cell r="C19424" t="str">
            <v>Midhurst CofE Primary School</v>
          </cell>
          <cell r="D19424" t="str">
            <v>West Sussex</v>
          </cell>
          <cell r="E19424" t="str">
            <v>Voluntary Controlled School</v>
          </cell>
          <cell r="F19424" t="str">
            <v>Primary</v>
          </cell>
        </row>
        <row r="19425">
          <cell r="A19425">
            <v>9384500</v>
          </cell>
          <cell r="B19425">
            <v>126091</v>
          </cell>
          <cell r="C19425" t="str">
            <v>Midhurst Grammar School</v>
          </cell>
          <cell r="D19425" t="str">
            <v>West Sussex</v>
          </cell>
          <cell r="E19425" t="str">
            <v>Voluntary Controlled School</v>
          </cell>
          <cell r="F19425" t="str">
            <v>Secondary</v>
          </cell>
        </row>
        <row r="19426">
          <cell r="A19426">
            <v>9384052</v>
          </cell>
          <cell r="B19426">
            <v>126077</v>
          </cell>
          <cell r="C19426" t="str">
            <v>Midhurst Intermediate School</v>
          </cell>
          <cell r="D19426" t="str">
            <v>West Sussex</v>
          </cell>
          <cell r="E19426" t="str">
            <v>Community School</v>
          </cell>
          <cell r="F19426" t="str">
            <v>Middle Deemed Secondary</v>
          </cell>
        </row>
        <row r="19427">
          <cell r="A19427">
            <v>9386913</v>
          </cell>
          <cell r="B19427">
            <v>135760</v>
          </cell>
          <cell r="C19427" t="str">
            <v>Midhurst Rother College</v>
          </cell>
          <cell r="D19427" t="str">
            <v>West Sussex</v>
          </cell>
          <cell r="E19427" t="str">
            <v>Academy Sponsor Led</v>
          </cell>
          <cell r="F19427" t="str">
            <v>Secondary</v>
          </cell>
        </row>
        <row r="19428">
          <cell r="A19428">
            <v>8861108</v>
          </cell>
          <cell r="B19428">
            <v>118238</v>
          </cell>
          <cell r="C19428" t="str">
            <v>Mid-Kent Behaviour Service &amp; Education Office</v>
          </cell>
          <cell r="D19428" t="str">
            <v>Kent</v>
          </cell>
          <cell r="E19428" t="str">
            <v>Pupil Referral Unit</v>
          </cell>
          <cell r="F19428" t="str">
            <v>PRU</v>
          </cell>
        </row>
        <row r="19429">
          <cell r="A19429">
            <v>8878014</v>
          </cell>
          <cell r="B19429">
            <v>130726</v>
          </cell>
          <cell r="C19429" t="str">
            <v>Mid-Kent College of Higher and Further Education</v>
          </cell>
          <cell r="D19429" t="str">
            <v>Medway</v>
          </cell>
          <cell r="E19429" t="str">
            <v>Further Education</v>
          </cell>
          <cell r="F19429" t="str">
            <v>16 Plus</v>
          </cell>
        </row>
        <row r="19430">
          <cell r="A19430">
            <v>8864184</v>
          </cell>
          <cell r="B19430">
            <v>118818</v>
          </cell>
          <cell r="C19430" t="str">
            <v>Mid-Kent School for Girls</v>
          </cell>
          <cell r="D19430" t="str">
            <v>Kent</v>
          </cell>
          <cell r="E19430" t="str">
            <v>Community School</v>
          </cell>
          <cell r="F19430" t="str">
            <v>Secondary</v>
          </cell>
        </row>
        <row r="19431">
          <cell r="A19431">
            <v>3336002</v>
          </cell>
          <cell r="B19431">
            <v>131003</v>
          </cell>
          <cell r="C19431" t="str">
            <v>Midland Oak School</v>
          </cell>
          <cell r="D19431" t="str">
            <v>Sandwell</v>
          </cell>
          <cell r="E19431" t="str">
            <v>Other Independent School</v>
          </cell>
          <cell r="F19431" t="str">
            <v>Not applicable</v>
          </cell>
        </row>
        <row r="19432">
          <cell r="A19432">
            <v>3801009</v>
          </cell>
          <cell r="B19432">
            <v>107189</v>
          </cell>
          <cell r="C19432" t="str">
            <v>Midland Road Nursery School</v>
          </cell>
          <cell r="D19432" t="str">
            <v>Bradford</v>
          </cell>
          <cell r="E19432" t="str">
            <v>LA Nursery School</v>
          </cell>
          <cell r="F19432" t="str">
            <v>Nursery</v>
          </cell>
        </row>
        <row r="19433">
          <cell r="A19433">
            <v>8102875</v>
          </cell>
          <cell r="B19433">
            <v>117906</v>
          </cell>
          <cell r="C19433" t="str">
            <v>Midmere Primary School</v>
          </cell>
          <cell r="D19433" t="str">
            <v>Kingston upon Hull City of</v>
          </cell>
          <cell r="E19433" t="str">
            <v>Community School</v>
          </cell>
          <cell r="F19433" t="str">
            <v>Primary</v>
          </cell>
        </row>
        <row r="19434">
          <cell r="A19434">
            <v>3361103</v>
          </cell>
          <cell r="B19434">
            <v>134256</v>
          </cell>
          <cell r="C19434" t="str">
            <v>Midpoint Centre (Key Stage 4 PRU)</v>
          </cell>
          <cell r="D19434" t="str">
            <v>Wolverhampton</v>
          </cell>
          <cell r="E19434" t="str">
            <v>Pupil Referral Unit</v>
          </cell>
          <cell r="F19434" t="str">
            <v>PRU</v>
          </cell>
        </row>
        <row r="19435">
          <cell r="A19435">
            <v>8002259</v>
          </cell>
          <cell r="B19435">
            <v>109080</v>
          </cell>
          <cell r="C19435" t="str">
            <v>Midsomer Norton Primary School</v>
          </cell>
          <cell r="D19435" t="str">
            <v>Bath and North East Somerset</v>
          </cell>
          <cell r="E19435" t="str">
            <v>Community School</v>
          </cell>
          <cell r="F19435" t="str">
            <v>Primary</v>
          </cell>
        </row>
        <row r="19436">
          <cell r="A19436">
            <v>9381101</v>
          </cell>
          <cell r="B19436">
            <v>125811</v>
          </cell>
          <cell r="C19436" t="str">
            <v>Mid-Sussex Area Pupil Referral Unit</v>
          </cell>
          <cell r="D19436" t="str">
            <v>West Sussex</v>
          </cell>
          <cell r="E19436" t="str">
            <v>Pupil Referral Unit</v>
          </cell>
          <cell r="F19436" t="str">
            <v>PRU</v>
          </cell>
        </row>
        <row r="19437">
          <cell r="A19437">
            <v>8872623</v>
          </cell>
          <cell r="B19437">
            <v>118545</v>
          </cell>
          <cell r="C19437" t="str">
            <v>Miers Court Primary School</v>
          </cell>
          <cell r="D19437" t="str">
            <v>Medway</v>
          </cell>
          <cell r="E19437" t="str">
            <v>Community School</v>
          </cell>
          <cell r="F19437" t="str">
            <v>Primary</v>
          </cell>
        </row>
        <row r="19438">
          <cell r="A19438">
            <v>8782465</v>
          </cell>
          <cell r="B19438">
            <v>113237</v>
          </cell>
          <cell r="C19438" t="str">
            <v>Milber Community Infant School and Nursery</v>
          </cell>
          <cell r="D19438" t="str">
            <v>Devon</v>
          </cell>
          <cell r="E19438" t="str">
            <v>Community School</v>
          </cell>
          <cell r="F19438" t="str">
            <v>Primary</v>
          </cell>
        </row>
        <row r="19439">
          <cell r="A19439">
            <v>8782433</v>
          </cell>
          <cell r="B19439">
            <v>113211</v>
          </cell>
          <cell r="C19439" t="str">
            <v>Milber Community Junior School</v>
          </cell>
          <cell r="D19439" t="str">
            <v>Devon</v>
          </cell>
          <cell r="E19439" t="str">
            <v>Community School</v>
          </cell>
          <cell r="F19439" t="str">
            <v>Primary</v>
          </cell>
        </row>
        <row r="19440">
          <cell r="A19440">
            <v>9332047</v>
          </cell>
          <cell r="B19440">
            <v>123655</v>
          </cell>
          <cell r="C19440" t="str">
            <v>Milborne Port Primary School</v>
          </cell>
          <cell r="D19440" t="str">
            <v>Somerset</v>
          </cell>
          <cell r="E19440" t="str">
            <v>Community School</v>
          </cell>
          <cell r="F19440" t="str">
            <v>Primary</v>
          </cell>
        </row>
        <row r="19441">
          <cell r="A19441">
            <v>8352027</v>
          </cell>
          <cell r="B19441">
            <v>113672</v>
          </cell>
          <cell r="C19441" t="str">
            <v>Milborne St Andrew First School</v>
          </cell>
          <cell r="D19441" t="str">
            <v>Dorset</v>
          </cell>
          <cell r="E19441" t="str">
            <v>Community School</v>
          </cell>
          <cell r="F19441" t="str">
            <v>Primary</v>
          </cell>
        </row>
        <row r="19442">
          <cell r="A19442">
            <v>9366034</v>
          </cell>
          <cell r="B19442">
            <v>125335</v>
          </cell>
          <cell r="C19442" t="str">
            <v>Milbourne Lodge Senior School</v>
          </cell>
          <cell r="D19442" t="str">
            <v>Surrey</v>
          </cell>
          <cell r="E19442" t="str">
            <v>Other Independent School</v>
          </cell>
          <cell r="F19442" t="str">
            <v>Not applicable</v>
          </cell>
        </row>
        <row r="19443">
          <cell r="A19443">
            <v>9292383</v>
          </cell>
          <cell r="B19443">
            <v>122251</v>
          </cell>
          <cell r="C19443" t="str">
            <v>Milburn First School</v>
          </cell>
          <cell r="D19443" t="str">
            <v>Northumberland</v>
          </cell>
          <cell r="E19443" t="str">
            <v>Community School</v>
          </cell>
          <cell r="F19443" t="str">
            <v>Primary</v>
          </cell>
        </row>
        <row r="19444">
          <cell r="A19444">
            <v>9092314</v>
          </cell>
          <cell r="B19444">
            <v>112183</v>
          </cell>
          <cell r="C19444" t="str">
            <v>Milburn School</v>
          </cell>
          <cell r="D19444" t="str">
            <v>Cumbria</v>
          </cell>
          <cell r="E19444" t="str">
            <v>Community School</v>
          </cell>
          <cell r="F19444" t="str">
            <v>Primary</v>
          </cell>
        </row>
        <row r="19445">
          <cell r="A19445">
            <v>9372110</v>
          </cell>
          <cell r="B19445">
            <v>125541</v>
          </cell>
          <cell r="C19445" t="str">
            <v>Milby First School</v>
          </cell>
          <cell r="D19445" t="str">
            <v>Warwickshire</v>
          </cell>
          <cell r="E19445" t="str">
            <v>Community School</v>
          </cell>
          <cell r="F19445" t="str">
            <v>Primary</v>
          </cell>
        </row>
        <row r="19446">
          <cell r="A19446">
            <v>9372109</v>
          </cell>
          <cell r="B19446">
            <v>125540</v>
          </cell>
          <cell r="C19446" t="str">
            <v>Milby Middle School</v>
          </cell>
          <cell r="D19446" t="str">
            <v>Warwickshire</v>
          </cell>
          <cell r="E19446" t="str">
            <v>Community School</v>
          </cell>
          <cell r="F19446" t="str">
            <v>Middle Deemed Primary</v>
          </cell>
        </row>
        <row r="19447">
          <cell r="A19447">
            <v>9372631</v>
          </cell>
          <cell r="B19447">
            <v>130894</v>
          </cell>
          <cell r="C19447" t="str">
            <v>Milby Primary School</v>
          </cell>
          <cell r="D19447" t="str">
            <v>Warwickshire</v>
          </cell>
          <cell r="E19447" t="str">
            <v>Community School</v>
          </cell>
          <cell r="F19447" t="str">
            <v>Primary</v>
          </cell>
        </row>
        <row r="19448">
          <cell r="A19448">
            <v>9354033</v>
          </cell>
          <cell r="B19448">
            <v>124809</v>
          </cell>
          <cell r="C19448" t="str">
            <v>Mildenhall College of Technology</v>
          </cell>
          <cell r="D19448" t="str">
            <v>Suffolk</v>
          </cell>
          <cell r="E19448" t="str">
            <v>Community School</v>
          </cell>
          <cell r="F19448" t="str">
            <v>Secondary</v>
          </cell>
        </row>
        <row r="19449">
          <cell r="A19449">
            <v>8812569</v>
          </cell>
          <cell r="B19449">
            <v>114895</v>
          </cell>
          <cell r="C19449" t="str">
            <v>Mildmay Infant and Nursery School</v>
          </cell>
          <cell r="D19449" t="str">
            <v>Essex</v>
          </cell>
          <cell r="E19449" t="str">
            <v>Community School</v>
          </cell>
          <cell r="F19449" t="str">
            <v>Primary</v>
          </cell>
        </row>
        <row r="19450">
          <cell r="A19450">
            <v>8812559</v>
          </cell>
          <cell r="B19450">
            <v>114892</v>
          </cell>
          <cell r="C19450" t="str">
            <v>Mildmay Junior School</v>
          </cell>
          <cell r="D19450" t="str">
            <v>Essex</v>
          </cell>
          <cell r="E19450" t="str">
            <v>Community School</v>
          </cell>
          <cell r="F19450" t="str">
            <v>Primary</v>
          </cell>
        </row>
        <row r="19451">
          <cell r="A19451">
            <v>9262302</v>
          </cell>
          <cell r="B19451">
            <v>120939</v>
          </cell>
          <cell r="C19451" t="str">
            <v>Mile Cross Middle School</v>
          </cell>
          <cell r="D19451" t="str">
            <v>Norfolk</v>
          </cell>
          <cell r="E19451" t="str">
            <v>Community School</v>
          </cell>
          <cell r="F19451" t="str">
            <v>Middle Deemed Primary</v>
          </cell>
        </row>
        <row r="19452">
          <cell r="A19452">
            <v>9263424</v>
          </cell>
          <cell r="B19452">
            <v>134958</v>
          </cell>
          <cell r="C19452" t="str">
            <v>Mile Cross Primary School</v>
          </cell>
          <cell r="D19452" t="str">
            <v>Norfolk</v>
          </cell>
          <cell r="E19452" t="str">
            <v>Community School</v>
          </cell>
          <cell r="F19452" t="str">
            <v>Primary</v>
          </cell>
        </row>
        <row r="19453">
          <cell r="A19453">
            <v>8462100</v>
          </cell>
          <cell r="B19453">
            <v>114430</v>
          </cell>
          <cell r="C19453" t="str">
            <v>Mile Oak Primary School</v>
          </cell>
          <cell r="D19453" t="str">
            <v>Brighton and Hove</v>
          </cell>
          <cell r="E19453" t="str">
            <v>Community School</v>
          </cell>
          <cell r="F19453" t="str">
            <v>Primary</v>
          </cell>
        </row>
        <row r="19454">
          <cell r="A19454">
            <v>3912017</v>
          </cell>
          <cell r="B19454">
            <v>108451</v>
          </cell>
          <cell r="C19454" t="str">
            <v>Milecastle Primary School</v>
          </cell>
          <cell r="D19454" t="str">
            <v>Newcastle upon Tyne</v>
          </cell>
          <cell r="E19454" t="str">
            <v>Community School</v>
          </cell>
          <cell r="F19454" t="str">
            <v>Primary</v>
          </cell>
        </row>
        <row r="19455">
          <cell r="A19455">
            <v>3704031</v>
          </cell>
          <cell r="B19455">
            <v>127597</v>
          </cell>
          <cell r="C19455" t="str">
            <v>Milefield Middle School</v>
          </cell>
          <cell r="D19455" t="str">
            <v>Barnsley</v>
          </cell>
          <cell r="E19455" t="str">
            <v>Community School</v>
          </cell>
          <cell r="F19455" t="str">
            <v>Middle Deemed Secondary</v>
          </cell>
        </row>
        <row r="19456">
          <cell r="A19456">
            <v>3702129</v>
          </cell>
          <cell r="B19456">
            <v>106617</v>
          </cell>
          <cell r="C19456" t="str">
            <v>Milefield Primary School</v>
          </cell>
          <cell r="D19456" t="str">
            <v>Barnsley</v>
          </cell>
          <cell r="E19456" t="str">
            <v>Community School</v>
          </cell>
          <cell r="F19456" t="str">
            <v>Primary</v>
          </cell>
        </row>
        <row r="19457">
          <cell r="A19457">
            <v>9262113</v>
          </cell>
          <cell r="B19457">
            <v>120834</v>
          </cell>
          <cell r="C19457" t="str">
            <v>Mileham Primary School</v>
          </cell>
          <cell r="D19457" t="str">
            <v>Norfolk</v>
          </cell>
          <cell r="E19457" t="str">
            <v>Community School</v>
          </cell>
          <cell r="F19457" t="str">
            <v>Primary</v>
          </cell>
        </row>
        <row r="19458">
          <cell r="A19458">
            <v>2052134</v>
          </cell>
          <cell r="B19458">
            <v>100326</v>
          </cell>
          <cell r="C19458" t="str">
            <v>Miles Coverdale Primary School</v>
          </cell>
          <cell r="D19458" t="str">
            <v>Hammersmith and Fulham</v>
          </cell>
          <cell r="E19458" t="str">
            <v>Community School</v>
          </cell>
          <cell r="F19458" t="str">
            <v>Primary</v>
          </cell>
        </row>
        <row r="19459">
          <cell r="A19459">
            <v>3832230</v>
          </cell>
          <cell r="B19459">
            <v>127866</v>
          </cell>
          <cell r="C19459" t="str">
            <v>Miles Hill First School</v>
          </cell>
          <cell r="D19459" t="str">
            <v>Leeds</v>
          </cell>
          <cell r="E19459" t="str">
            <v>Community School</v>
          </cell>
          <cell r="F19459" t="str">
            <v>Primary</v>
          </cell>
        </row>
        <row r="19460">
          <cell r="A19460">
            <v>3832430</v>
          </cell>
          <cell r="B19460">
            <v>107906</v>
          </cell>
          <cell r="C19460" t="str">
            <v>Miles Hill Primary School</v>
          </cell>
          <cell r="D19460" t="str">
            <v>Leeds</v>
          </cell>
          <cell r="E19460" t="str">
            <v>Community School</v>
          </cell>
          <cell r="F19460" t="str">
            <v>Primary</v>
          </cell>
        </row>
        <row r="19461">
          <cell r="A19461">
            <v>3522318</v>
          </cell>
          <cell r="B19461">
            <v>105478</v>
          </cell>
          <cell r="C19461" t="str">
            <v>Miles Platting Primary School</v>
          </cell>
          <cell r="D19461" t="str">
            <v>Manchester</v>
          </cell>
          <cell r="E19461" t="str">
            <v>Community School</v>
          </cell>
          <cell r="F19461" t="str">
            <v>Primary</v>
          </cell>
        </row>
        <row r="19462">
          <cell r="A19462">
            <v>2076320</v>
          </cell>
          <cell r="B19462">
            <v>126644</v>
          </cell>
          <cell r="C19462" t="str">
            <v>Milestone College</v>
          </cell>
          <cell r="D19462" t="str">
            <v>Kensington and Chelsea</v>
          </cell>
          <cell r="E19462" t="str">
            <v>Other Independent School</v>
          </cell>
          <cell r="F19462" t="str">
            <v>Not applicable</v>
          </cell>
        </row>
        <row r="19463">
          <cell r="A19463">
            <v>3837069</v>
          </cell>
          <cell r="B19463">
            <v>108130</v>
          </cell>
          <cell r="C19463" t="str">
            <v>Milestone School</v>
          </cell>
          <cell r="D19463" t="str">
            <v>Leeds</v>
          </cell>
          <cell r="E19463" t="str">
            <v>Community Special School</v>
          </cell>
          <cell r="F19463" t="str">
            <v>Special</v>
          </cell>
        </row>
        <row r="19464">
          <cell r="A19464">
            <v>8867066</v>
          </cell>
          <cell r="B19464">
            <v>119061</v>
          </cell>
          <cell r="C19464" t="str">
            <v>Milestone School</v>
          </cell>
          <cell r="D19464" t="str">
            <v>Kent</v>
          </cell>
          <cell r="E19464" t="str">
            <v>Community Special School</v>
          </cell>
          <cell r="F19464" t="str">
            <v>Special</v>
          </cell>
        </row>
        <row r="19465">
          <cell r="A19465">
            <v>9292183</v>
          </cell>
          <cell r="B19465">
            <v>122209</v>
          </cell>
          <cell r="C19465" t="str">
            <v>Milfield Community First School</v>
          </cell>
          <cell r="D19465" t="str">
            <v>Northumberland</v>
          </cell>
          <cell r="E19465" t="str">
            <v>Community School</v>
          </cell>
          <cell r="F19465" t="str">
            <v>Primary</v>
          </cell>
        </row>
        <row r="19466">
          <cell r="A19466">
            <v>6682237</v>
          </cell>
          <cell r="B19466">
            <v>400670</v>
          </cell>
          <cell r="C19466" t="str">
            <v>Milford Haven Junior School</v>
          </cell>
          <cell r="D19466" t="str">
            <v>Pembrokeshire</v>
          </cell>
          <cell r="E19466" t="str">
            <v>Welsh Establishment</v>
          </cell>
          <cell r="F19466" t="str">
            <v>Primary</v>
          </cell>
        </row>
        <row r="19467">
          <cell r="A19467">
            <v>6684063</v>
          </cell>
          <cell r="B19467">
            <v>401746</v>
          </cell>
          <cell r="C19467" t="str">
            <v>Milford Haven School</v>
          </cell>
          <cell r="D19467" t="str">
            <v>Pembrokeshire</v>
          </cell>
          <cell r="E19467" t="str">
            <v>Welsh Establishment</v>
          </cell>
          <cell r="F19467" t="str">
            <v>Secondary</v>
          </cell>
        </row>
        <row r="19468">
          <cell r="A19468">
            <v>9332311</v>
          </cell>
          <cell r="B19468">
            <v>123724</v>
          </cell>
          <cell r="C19468" t="str">
            <v>Milford Infants' School</v>
          </cell>
          <cell r="D19468" t="str">
            <v>Somerset</v>
          </cell>
          <cell r="E19468" t="str">
            <v>Community School</v>
          </cell>
          <cell r="F19468" t="str">
            <v>Primary</v>
          </cell>
        </row>
        <row r="19469">
          <cell r="A19469">
            <v>9332310</v>
          </cell>
          <cell r="B19469">
            <v>123723</v>
          </cell>
          <cell r="C19469" t="str">
            <v>Milford Junior School</v>
          </cell>
          <cell r="D19469" t="str">
            <v>Somerset</v>
          </cell>
          <cell r="E19469" t="str">
            <v>Community School</v>
          </cell>
          <cell r="F19469" t="str">
            <v>Primary</v>
          </cell>
        </row>
        <row r="19470">
          <cell r="A19470">
            <v>8656331</v>
          </cell>
          <cell r="B19470">
            <v>135701</v>
          </cell>
          <cell r="C19470" t="str">
            <v>Milford Park School</v>
          </cell>
          <cell r="D19470" t="str">
            <v>Wiltshire</v>
          </cell>
          <cell r="E19470" t="str">
            <v>Other Independent School</v>
          </cell>
          <cell r="F19470" t="str">
            <v>Not applicable</v>
          </cell>
        </row>
        <row r="19471">
          <cell r="A19471">
            <v>8302625</v>
          </cell>
          <cell r="B19471">
            <v>112788</v>
          </cell>
          <cell r="C19471" t="str">
            <v>Milford Primary School</v>
          </cell>
          <cell r="D19471" t="str">
            <v>Derbyshire</v>
          </cell>
          <cell r="E19471" t="str">
            <v>Community School</v>
          </cell>
          <cell r="F19471" t="str">
            <v>Primary</v>
          </cell>
        </row>
        <row r="19472">
          <cell r="A19472">
            <v>8922906</v>
          </cell>
          <cell r="B19472">
            <v>122711</v>
          </cell>
          <cell r="C19472" t="str">
            <v>Milford Primary School</v>
          </cell>
          <cell r="D19472" t="str">
            <v>Nottingham</v>
          </cell>
          <cell r="E19472" t="str">
            <v>Community School</v>
          </cell>
          <cell r="F19472" t="str">
            <v>Primary</v>
          </cell>
        </row>
        <row r="19473">
          <cell r="A19473">
            <v>9362315</v>
          </cell>
          <cell r="B19473">
            <v>125014</v>
          </cell>
          <cell r="C19473" t="str">
            <v>Milford School</v>
          </cell>
          <cell r="D19473" t="str">
            <v>Surrey</v>
          </cell>
          <cell r="E19473" t="str">
            <v>Community School</v>
          </cell>
          <cell r="F19473" t="str">
            <v>Primary</v>
          </cell>
        </row>
        <row r="19474">
          <cell r="A19474">
            <v>8503365</v>
          </cell>
          <cell r="B19474">
            <v>116367</v>
          </cell>
          <cell r="C19474" t="str">
            <v>Milford-on-Sea Church of England Primary School</v>
          </cell>
          <cell r="D19474" t="str">
            <v>Hampshire</v>
          </cell>
          <cell r="E19474" t="str">
            <v>Voluntary Aided School</v>
          </cell>
          <cell r="F19474" t="str">
            <v>Primary</v>
          </cell>
        </row>
        <row r="19475">
          <cell r="A19475">
            <v>9314105</v>
          </cell>
          <cell r="B19475">
            <v>123249</v>
          </cell>
          <cell r="C19475" t="str">
            <v>Milham Ford Girls' School</v>
          </cell>
          <cell r="D19475" t="str">
            <v>Oxfordshire</v>
          </cell>
          <cell r="E19475" t="str">
            <v>Community School</v>
          </cell>
          <cell r="F19475" t="str">
            <v>Secondary</v>
          </cell>
        </row>
        <row r="19476">
          <cell r="A19476">
            <v>3322160</v>
          </cell>
          <cell r="B19476">
            <v>103834</v>
          </cell>
          <cell r="C19476" t="str">
            <v>Milking Bank Primary School</v>
          </cell>
          <cell r="D19476" t="str">
            <v>Dudley</v>
          </cell>
          <cell r="E19476" t="str">
            <v>Community School</v>
          </cell>
          <cell r="F19476" t="str">
            <v>Primary</v>
          </cell>
        </row>
        <row r="19477">
          <cell r="A19477">
            <v>8504139</v>
          </cell>
          <cell r="B19477">
            <v>116420</v>
          </cell>
          <cell r="C19477" t="str">
            <v>Mill Chase Community Technology College</v>
          </cell>
          <cell r="D19477" t="str">
            <v>Hampshire</v>
          </cell>
          <cell r="E19477" t="str">
            <v>Community School</v>
          </cell>
          <cell r="F19477" t="str">
            <v>Secondary</v>
          </cell>
        </row>
        <row r="19478">
          <cell r="A19478">
            <v>3816012</v>
          </cell>
          <cell r="B19478">
            <v>131158</v>
          </cell>
          <cell r="C19478" t="str">
            <v>Mill Cottage Montessori School</v>
          </cell>
          <cell r="D19478" t="str">
            <v>Calderdale</v>
          </cell>
          <cell r="E19478" t="str">
            <v>Other Independent School</v>
          </cell>
          <cell r="F19478" t="str">
            <v>Not applicable</v>
          </cell>
        </row>
        <row r="19479">
          <cell r="A19479">
            <v>3842145</v>
          </cell>
          <cell r="B19479">
            <v>108203</v>
          </cell>
          <cell r="C19479" t="str">
            <v>Mill Dam First School</v>
          </cell>
          <cell r="D19479" t="str">
            <v>Wakefield</v>
          </cell>
          <cell r="E19479" t="str">
            <v>Community School</v>
          </cell>
          <cell r="F19479" t="str">
            <v>Primary</v>
          </cell>
        </row>
        <row r="19480">
          <cell r="A19480">
            <v>3833930</v>
          </cell>
          <cell r="B19480">
            <v>135162</v>
          </cell>
          <cell r="C19480" t="str">
            <v>Mill Field Primary School</v>
          </cell>
          <cell r="D19480" t="str">
            <v>Leeds</v>
          </cell>
          <cell r="E19480" t="str">
            <v>Community School</v>
          </cell>
          <cell r="F19480" t="str">
            <v>Primary</v>
          </cell>
        </row>
        <row r="19481">
          <cell r="A19481">
            <v>8797069</v>
          </cell>
          <cell r="B19481">
            <v>113651</v>
          </cell>
          <cell r="C19481" t="str">
            <v>Mill Ford School</v>
          </cell>
          <cell r="D19481" t="str">
            <v>Plymouth</v>
          </cell>
          <cell r="E19481" t="str">
            <v>Community Special School</v>
          </cell>
          <cell r="F19481" t="str">
            <v>Special</v>
          </cell>
        </row>
        <row r="19482">
          <cell r="A19482">
            <v>3427007</v>
          </cell>
          <cell r="B19482">
            <v>131022</v>
          </cell>
          <cell r="C19482" t="str">
            <v>Mill Green School</v>
          </cell>
          <cell r="D19482" t="str">
            <v>St. Helens</v>
          </cell>
          <cell r="E19482" t="str">
            <v>Community Special School</v>
          </cell>
          <cell r="F19482" t="str">
            <v>Special</v>
          </cell>
        </row>
        <row r="19483">
          <cell r="A19483">
            <v>9386210</v>
          </cell>
          <cell r="B19483">
            <v>126138</v>
          </cell>
          <cell r="C19483" t="str">
            <v>Mill Hall School for Deaf Children</v>
          </cell>
          <cell r="D19483" t="str">
            <v>West Sussex</v>
          </cell>
          <cell r="E19483" t="str">
            <v>Other Independent School</v>
          </cell>
          <cell r="F19483" t="str">
            <v>Not applicable</v>
          </cell>
        </row>
        <row r="19484">
          <cell r="A19484">
            <v>8152163</v>
          </cell>
          <cell r="B19484">
            <v>121330</v>
          </cell>
          <cell r="C19484" t="str">
            <v>Mill Hill Community Primary School</v>
          </cell>
          <cell r="D19484" t="str">
            <v>North Yorkshire</v>
          </cell>
          <cell r="E19484" t="str">
            <v>Community School</v>
          </cell>
          <cell r="F19484" t="str">
            <v>Primary</v>
          </cell>
        </row>
        <row r="19485">
          <cell r="A19485">
            <v>3025402</v>
          </cell>
          <cell r="B19485">
            <v>101359</v>
          </cell>
          <cell r="C19485" t="str">
            <v>Mill Hill County High School</v>
          </cell>
          <cell r="D19485" t="str">
            <v>Barnet</v>
          </cell>
          <cell r="E19485" t="str">
            <v>Foundation School</v>
          </cell>
          <cell r="F19485" t="str">
            <v>Secondary</v>
          </cell>
        </row>
        <row r="19486">
          <cell r="A19486">
            <v>3025402</v>
          </cell>
          <cell r="B19486">
            <v>137386</v>
          </cell>
          <cell r="C19486" t="str">
            <v>Mill Hill County High School</v>
          </cell>
          <cell r="D19486" t="str">
            <v>Barnet</v>
          </cell>
          <cell r="E19486" t="str">
            <v>Academy Converters</v>
          </cell>
          <cell r="F19486" t="str">
            <v>Secondary</v>
          </cell>
        </row>
        <row r="19487">
          <cell r="A19487">
            <v>3941011</v>
          </cell>
          <cell r="B19487">
            <v>108752</v>
          </cell>
          <cell r="C19487" t="str">
            <v>Mill Hill Nursery School</v>
          </cell>
          <cell r="D19487" t="str">
            <v>Sunderland</v>
          </cell>
          <cell r="E19487" t="str">
            <v>LA Nursery School</v>
          </cell>
          <cell r="F19487" t="str">
            <v>Nursery</v>
          </cell>
        </row>
        <row r="19488">
          <cell r="A19488">
            <v>3026108</v>
          </cell>
          <cell r="B19488">
            <v>131269</v>
          </cell>
          <cell r="C19488" t="str">
            <v>Mill Hill Pre-Preparatory School</v>
          </cell>
          <cell r="D19488" t="str">
            <v>Barnet</v>
          </cell>
          <cell r="E19488" t="str">
            <v>Other Independent School</v>
          </cell>
          <cell r="F19488" t="str">
            <v>Not applicable</v>
          </cell>
        </row>
        <row r="19489">
          <cell r="A19489">
            <v>3942089</v>
          </cell>
          <cell r="B19489">
            <v>108784</v>
          </cell>
          <cell r="C19489" t="str">
            <v>Mill Hill Primary School</v>
          </cell>
          <cell r="D19489" t="str">
            <v>Sunderland</v>
          </cell>
          <cell r="E19489" t="str">
            <v>Community School</v>
          </cell>
          <cell r="F19489" t="str">
            <v>Primary</v>
          </cell>
        </row>
        <row r="19490">
          <cell r="A19490">
            <v>8612088</v>
          </cell>
          <cell r="B19490">
            <v>124015</v>
          </cell>
          <cell r="C19490" t="str">
            <v>Mill Hill Primary School</v>
          </cell>
          <cell r="D19490" t="str">
            <v>Stoke-on-Trent</v>
          </cell>
          <cell r="E19490" t="str">
            <v>Community School</v>
          </cell>
          <cell r="F19490" t="str">
            <v>Primary</v>
          </cell>
        </row>
        <row r="19491">
          <cell r="A19491">
            <v>8502775</v>
          </cell>
          <cell r="B19491">
            <v>130325</v>
          </cell>
          <cell r="C19491" t="str">
            <v>Mill Hill Primary School</v>
          </cell>
          <cell r="D19491" t="str">
            <v>Hampshire</v>
          </cell>
          <cell r="E19491" t="str">
            <v>Community School</v>
          </cell>
          <cell r="F19491" t="str">
            <v>Primary</v>
          </cell>
        </row>
        <row r="19492">
          <cell r="A19492">
            <v>3026009</v>
          </cell>
          <cell r="B19492">
            <v>101371</v>
          </cell>
          <cell r="C19492" t="str">
            <v>Mill Hill School</v>
          </cell>
          <cell r="D19492" t="str">
            <v>Barnet</v>
          </cell>
          <cell r="E19492" t="str">
            <v>Other Independent School</v>
          </cell>
          <cell r="F19492" t="str">
            <v>Not applicable</v>
          </cell>
        </row>
        <row r="19493">
          <cell r="A19493">
            <v>8066000</v>
          </cell>
          <cell r="B19493">
            <v>111766</v>
          </cell>
          <cell r="C19493" t="str">
            <v>Mill Hill School</v>
          </cell>
          <cell r="D19493" t="str">
            <v>Middlesbrough</v>
          </cell>
          <cell r="E19493" t="str">
            <v>Other Independent School</v>
          </cell>
          <cell r="F19493" t="str">
            <v>Not applicable</v>
          </cell>
        </row>
        <row r="19494">
          <cell r="A19494">
            <v>8305416</v>
          </cell>
          <cell r="B19494">
            <v>113001</v>
          </cell>
          <cell r="C19494" t="str">
            <v>Mill Hill School</v>
          </cell>
          <cell r="D19494" t="str">
            <v>Derbyshire</v>
          </cell>
          <cell r="E19494" t="str">
            <v>Foundation School</v>
          </cell>
          <cell r="F19494" t="str">
            <v>Secondary</v>
          </cell>
        </row>
        <row r="19495">
          <cell r="A19495">
            <v>3026000</v>
          </cell>
          <cell r="B19495">
            <v>101367</v>
          </cell>
          <cell r="C19495" t="str">
            <v>Mill Hill School Foundation</v>
          </cell>
          <cell r="D19495" t="str">
            <v>Barnet</v>
          </cell>
          <cell r="E19495" t="str">
            <v>Other Independent School</v>
          </cell>
          <cell r="F19495" t="str">
            <v>Not applicable</v>
          </cell>
        </row>
        <row r="19496">
          <cell r="A19496">
            <v>3427006</v>
          </cell>
          <cell r="B19496">
            <v>104844</v>
          </cell>
          <cell r="C19496" t="str">
            <v>Mill House School</v>
          </cell>
          <cell r="D19496" t="str">
            <v>St. Helens</v>
          </cell>
          <cell r="E19496" t="str">
            <v>Community Special School</v>
          </cell>
          <cell r="F19496" t="str">
            <v>Special</v>
          </cell>
        </row>
        <row r="19497">
          <cell r="A19497">
            <v>3527020</v>
          </cell>
          <cell r="B19497">
            <v>105605</v>
          </cell>
          <cell r="C19497" t="str">
            <v>Mill House School</v>
          </cell>
          <cell r="D19497" t="str">
            <v>Manchester</v>
          </cell>
          <cell r="E19497" t="str">
            <v>Community Special School</v>
          </cell>
          <cell r="F19497" t="str">
            <v>Special</v>
          </cell>
        </row>
        <row r="19498">
          <cell r="A19498">
            <v>8886091</v>
          </cell>
          <cell r="B19498">
            <v>130246</v>
          </cell>
          <cell r="C19498" t="str">
            <v>Mill House School</v>
          </cell>
          <cell r="D19498" t="str">
            <v>Lancashire</v>
          </cell>
          <cell r="E19498" t="str">
            <v>Other Independent Special School</v>
          </cell>
          <cell r="F19498" t="str">
            <v>Not applicable</v>
          </cell>
        </row>
        <row r="19499">
          <cell r="A19499">
            <v>9312465</v>
          </cell>
          <cell r="B19499">
            <v>123036</v>
          </cell>
          <cell r="C19499" t="str">
            <v>Mill Lane Community Primary School</v>
          </cell>
          <cell r="D19499" t="str">
            <v>Oxfordshire</v>
          </cell>
          <cell r="E19499" t="str">
            <v>Community School</v>
          </cell>
          <cell r="F19499" t="str">
            <v>Primary</v>
          </cell>
        </row>
        <row r="19500">
          <cell r="A19500">
            <v>3822065</v>
          </cell>
          <cell r="B19500">
            <v>107639</v>
          </cell>
          <cell r="C19500" t="str">
            <v>Mill Lane Junior Infant and Early Years School</v>
          </cell>
          <cell r="D19500" t="str">
            <v>Kirklees</v>
          </cell>
          <cell r="E19500" t="str">
            <v>Community School</v>
          </cell>
          <cell r="F19500" t="str">
            <v>Primary</v>
          </cell>
        </row>
        <row r="19501">
          <cell r="A19501">
            <v>8082030</v>
          </cell>
          <cell r="B19501">
            <v>111539</v>
          </cell>
          <cell r="C19501" t="str">
            <v>Mill Lane Primary School</v>
          </cell>
          <cell r="D19501" t="str">
            <v>Stockton-on-Tees</v>
          </cell>
          <cell r="E19501" t="str">
            <v>Community School</v>
          </cell>
          <cell r="F19501" t="str">
            <v>Primary</v>
          </cell>
        </row>
        <row r="19502">
          <cell r="A19502">
            <v>3342031</v>
          </cell>
          <cell r="B19502">
            <v>104057</v>
          </cell>
          <cell r="C19502" t="str">
            <v>Mill Lodge Primary School</v>
          </cell>
          <cell r="D19502" t="str">
            <v>Solihull</v>
          </cell>
          <cell r="E19502" t="str">
            <v>Community School</v>
          </cell>
          <cell r="F19502" t="str">
            <v>Primary</v>
          </cell>
        </row>
        <row r="19503">
          <cell r="A19503">
            <v>9192362</v>
          </cell>
          <cell r="B19503">
            <v>117297</v>
          </cell>
          <cell r="C19503" t="str">
            <v>Mill Mead Primary School</v>
          </cell>
          <cell r="D19503" t="str">
            <v>Hertfordshire</v>
          </cell>
          <cell r="E19503" t="str">
            <v>Community School</v>
          </cell>
          <cell r="F19503" t="str">
            <v>Primary</v>
          </cell>
        </row>
        <row r="19504">
          <cell r="A19504">
            <v>9351112</v>
          </cell>
          <cell r="B19504">
            <v>130880</v>
          </cell>
          <cell r="C19504" t="str">
            <v>Mill Meadow</v>
          </cell>
          <cell r="D19504" t="str">
            <v>Suffolk</v>
          </cell>
          <cell r="E19504" t="str">
            <v>Pupil Referral Unit</v>
          </cell>
          <cell r="F19504" t="str">
            <v>PRU</v>
          </cell>
        </row>
        <row r="19505">
          <cell r="A19505">
            <v>3442216</v>
          </cell>
          <cell r="B19505">
            <v>105019</v>
          </cell>
          <cell r="C19505" t="str">
            <v>Mill Park Infant School</v>
          </cell>
          <cell r="D19505" t="str">
            <v>Wirral</v>
          </cell>
          <cell r="E19505" t="str">
            <v>Community School</v>
          </cell>
          <cell r="F19505" t="str">
            <v>Primary</v>
          </cell>
        </row>
        <row r="19506">
          <cell r="A19506">
            <v>3442213</v>
          </cell>
          <cell r="B19506">
            <v>105016</v>
          </cell>
          <cell r="C19506" t="str">
            <v>Mill Park Junior School</v>
          </cell>
          <cell r="D19506" t="str">
            <v>Wirral</v>
          </cell>
          <cell r="E19506" t="str">
            <v>Community School</v>
          </cell>
          <cell r="F19506" t="str">
            <v>Primary</v>
          </cell>
        </row>
        <row r="19507">
          <cell r="A19507">
            <v>3411106</v>
          </cell>
          <cell r="B19507">
            <v>134298</v>
          </cell>
          <cell r="C19507" t="str">
            <v>Mill Road Pupil Referral Unit, Ipors Centre</v>
          </cell>
          <cell r="D19507" t="str">
            <v>Liverpool</v>
          </cell>
          <cell r="E19507" t="str">
            <v>Pupil Referral Unit</v>
          </cell>
          <cell r="F19507" t="str">
            <v>PRU</v>
          </cell>
        </row>
        <row r="19508">
          <cell r="A19508">
            <v>8505210</v>
          </cell>
          <cell r="B19508">
            <v>116490</v>
          </cell>
          <cell r="C19508" t="str">
            <v>Mill Rythe Infant School</v>
          </cell>
          <cell r="D19508" t="str">
            <v>Hampshire</v>
          </cell>
          <cell r="E19508" t="str">
            <v>Foundation School</v>
          </cell>
          <cell r="F19508" t="str">
            <v>Primary</v>
          </cell>
        </row>
        <row r="19509">
          <cell r="A19509">
            <v>8502106</v>
          </cell>
          <cell r="B19509">
            <v>115914</v>
          </cell>
          <cell r="C19509" t="str">
            <v>Mill Rythe Junior School</v>
          </cell>
          <cell r="D19509" t="str">
            <v>Hampshire</v>
          </cell>
          <cell r="E19509" t="str">
            <v>Community School</v>
          </cell>
          <cell r="F19509" t="str">
            <v>Primary</v>
          </cell>
        </row>
        <row r="19510">
          <cell r="A19510">
            <v>8862455</v>
          </cell>
          <cell r="B19510">
            <v>118450</v>
          </cell>
          <cell r="C19510" t="str">
            <v>Mill Stream Junior School</v>
          </cell>
          <cell r="D19510" t="str">
            <v>Kent</v>
          </cell>
          <cell r="E19510" t="str">
            <v>Community School</v>
          </cell>
          <cell r="F19510" t="str">
            <v>Primary</v>
          </cell>
        </row>
        <row r="19511">
          <cell r="A19511">
            <v>8234056</v>
          </cell>
          <cell r="B19511">
            <v>109663</v>
          </cell>
          <cell r="C19511" t="str">
            <v>Mill Vale School</v>
          </cell>
          <cell r="D19511" t="str">
            <v>Central Bedfordshire</v>
          </cell>
          <cell r="E19511" t="str">
            <v>Community School</v>
          </cell>
          <cell r="F19511" t="str">
            <v>Middle Deemed Secondary</v>
          </cell>
        </row>
        <row r="19512">
          <cell r="A19512">
            <v>9262299</v>
          </cell>
          <cell r="B19512">
            <v>120936</v>
          </cell>
          <cell r="C19512" t="str">
            <v>Mill View Middle School, Norwich</v>
          </cell>
          <cell r="D19512" t="str">
            <v>Norfolk</v>
          </cell>
          <cell r="E19512" t="str">
            <v>Community School</v>
          </cell>
          <cell r="F19512" t="str">
            <v>Middle Deemed Primary</v>
          </cell>
        </row>
        <row r="19513">
          <cell r="A19513">
            <v>8962292</v>
          </cell>
          <cell r="B19513">
            <v>111123</v>
          </cell>
          <cell r="C19513" t="str">
            <v>Mill View Primary School</v>
          </cell>
          <cell r="D19513" t="str">
            <v>Cheshire West and Chester</v>
          </cell>
          <cell r="E19513" t="str">
            <v>Community School</v>
          </cell>
          <cell r="F19513" t="str">
            <v>Primary</v>
          </cell>
        </row>
        <row r="19514">
          <cell r="A19514">
            <v>8787006</v>
          </cell>
          <cell r="B19514">
            <v>113635</v>
          </cell>
          <cell r="C19514" t="str">
            <v>Mill Water School</v>
          </cell>
          <cell r="D19514" t="str">
            <v>Devon</v>
          </cell>
          <cell r="E19514" t="str">
            <v>Community Special School</v>
          </cell>
          <cell r="F19514" t="str">
            <v>Special</v>
          </cell>
        </row>
        <row r="19515">
          <cell r="A19515">
            <v>9384010</v>
          </cell>
          <cell r="B19515">
            <v>126066</v>
          </cell>
          <cell r="C19515" t="str">
            <v>Millais School</v>
          </cell>
          <cell r="D19515" t="str">
            <v>West Sussex</v>
          </cell>
          <cell r="E19515" t="str">
            <v>Community School</v>
          </cell>
          <cell r="F19515" t="str">
            <v>Secondary</v>
          </cell>
        </row>
        <row r="19516">
          <cell r="A19516">
            <v>3582031</v>
          </cell>
          <cell r="B19516">
            <v>106306</v>
          </cell>
          <cell r="C19516" t="str">
            <v>Millbank Junior School</v>
          </cell>
          <cell r="D19516" t="str">
            <v>Trafford</v>
          </cell>
          <cell r="E19516" t="str">
            <v>Community School</v>
          </cell>
          <cell r="F19516" t="str">
            <v>Primary</v>
          </cell>
        </row>
        <row r="19517">
          <cell r="A19517">
            <v>2132418</v>
          </cell>
          <cell r="B19517">
            <v>101113</v>
          </cell>
          <cell r="C19517" t="str">
            <v>Millbank Primary School</v>
          </cell>
          <cell r="D19517" t="str">
            <v>Westminster</v>
          </cell>
          <cell r="E19517" t="str">
            <v>Community School</v>
          </cell>
          <cell r="F19517" t="str">
            <v>Primary</v>
          </cell>
        </row>
        <row r="19518">
          <cell r="A19518">
            <v>6812001</v>
          </cell>
          <cell r="B19518">
            <v>401558</v>
          </cell>
          <cell r="C19518" t="str">
            <v>Millbank Primary School</v>
          </cell>
          <cell r="D19518" t="str">
            <v>Cardiff</v>
          </cell>
          <cell r="E19518" t="str">
            <v>Welsh Establishment</v>
          </cell>
          <cell r="F19518" t="str">
            <v>Primary</v>
          </cell>
        </row>
        <row r="19519">
          <cell r="A19519">
            <v>3822149</v>
          </cell>
          <cell r="B19519">
            <v>107694</v>
          </cell>
          <cell r="C19519" t="str">
            <v>Millbridge Junior Infant and Nursery School</v>
          </cell>
          <cell r="D19519" t="str">
            <v>Kirklees</v>
          </cell>
          <cell r="E19519" t="str">
            <v>Community School</v>
          </cell>
          <cell r="F19519" t="str">
            <v>Primary</v>
          </cell>
        </row>
        <row r="19520">
          <cell r="A19520">
            <v>3407007</v>
          </cell>
          <cell r="B19520">
            <v>127251</v>
          </cell>
          <cell r="C19520" t="str">
            <v>Millbridge School</v>
          </cell>
          <cell r="D19520" t="str">
            <v>Knowsley</v>
          </cell>
          <cell r="E19520" t="str">
            <v>Community Special School</v>
          </cell>
          <cell r="F19520" t="str">
            <v>Special</v>
          </cell>
        </row>
        <row r="19521">
          <cell r="A19521">
            <v>9164003</v>
          </cell>
          <cell r="B19521">
            <v>137690</v>
          </cell>
          <cell r="C19521" t="str">
            <v>Millbrook Academy</v>
          </cell>
          <cell r="D19521" t="str">
            <v>Gloucestershire</v>
          </cell>
          <cell r="E19521" t="str">
            <v>Academy Sponsor Led</v>
          </cell>
          <cell r="F19521" t="str">
            <v>Secondary</v>
          </cell>
        </row>
        <row r="19522">
          <cell r="A19522">
            <v>9083879</v>
          </cell>
          <cell r="B19522">
            <v>112027</v>
          </cell>
          <cell r="C19522" t="str">
            <v>Millbrook CofE VA Primary School</v>
          </cell>
          <cell r="D19522" t="str">
            <v>Cornwall</v>
          </cell>
          <cell r="E19522" t="str">
            <v>Voluntary Aided School</v>
          </cell>
          <cell r="F19522" t="str">
            <v>Primary</v>
          </cell>
        </row>
        <row r="19523">
          <cell r="A19523">
            <v>3418000</v>
          </cell>
          <cell r="B19523">
            <v>133190</v>
          </cell>
          <cell r="C19523" t="str">
            <v>Millbrook College</v>
          </cell>
          <cell r="D19523" t="str">
            <v>Liverpool</v>
          </cell>
          <cell r="E19523" t="str">
            <v>Miscellaneous</v>
          </cell>
          <cell r="F19523" t="str">
            <v>Not applicable</v>
          </cell>
        </row>
        <row r="19524">
          <cell r="A19524">
            <v>8252006</v>
          </cell>
          <cell r="B19524">
            <v>131815</v>
          </cell>
          <cell r="C19524" t="str">
            <v>Millbrook Combined School</v>
          </cell>
          <cell r="D19524" t="str">
            <v>Buckinghamshire</v>
          </cell>
          <cell r="E19524" t="str">
            <v>Community School</v>
          </cell>
          <cell r="F19524" t="str">
            <v>Primary</v>
          </cell>
        </row>
        <row r="19525">
          <cell r="A19525">
            <v>3402018</v>
          </cell>
          <cell r="B19525">
            <v>104432</v>
          </cell>
          <cell r="C19525" t="str">
            <v>Millbrook Community Primary School</v>
          </cell>
          <cell r="D19525" t="str">
            <v>Knowsley</v>
          </cell>
          <cell r="E19525" t="str">
            <v>Community School</v>
          </cell>
          <cell r="F19525" t="str">
            <v>Primary</v>
          </cell>
        </row>
        <row r="19526">
          <cell r="A19526">
            <v>8524274</v>
          </cell>
          <cell r="B19526">
            <v>116456</v>
          </cell>
          <cell r="C19526" t="str">
            <v>Millbrook Community School</v>
          </cell>
          <cell r="D19526" t="str">
            <v>Southampton</v>
          </cell>
          <cell r="E19526" t="str">
            <v>Community School</v>
          </cell>
          <cell r="F19526" t="str">
            <v>Secondary</v>
          </cell>
        </row>
        <row r="19527">
          <cell r="A19527">
            <v>9312575</v>
          </cell>
          <cell r="B19527">
            <v>129754</v>
          </cell>
          <cell r="C19527" t="str">
            <v>Millbrook County Infant School</v>
          </cell>
          <cell r="D19527" t="str">
            <v>Oxfordshire</v>
          </cell>
          <cell r="E19527" t="str">
            <v>Community School</v>
          </cell>
          <cell r="F19527" t="str">
            <v>Primary</v>
          </cell>
        </row>
        <row r="19528">
          <cell r="A19528">
            <v>9377018</v>
          </cell>
          <cell r="B19528">
            <v>130174</v>
          </cell>
          <cell r="C19528" t="str">
            <v>Millbrook Grange Day Provision School</v>
          </cell>
          <cell r="D19528" t="str">
            <v>Warwickshire</v>
          </cell>
          <cell r="E19528" t="str">
            <v>Community Special School</v>
          </cell>
          <cell r="F19528" t="str">
            <v>Special</v>
          </cell>
        </row>
        <row r="19529">
          <cell r="A19529">
            <v>9316086</v>
          </cell>
          <cell r="B19529">
            <v>123305</v>
          </cell>
          <cell r="C19529" t="str">
            <v>Millbrook House School</v>
          </cell>
          <cell r="D19529" t="str">
            <v>Oxfordshire</v>
          </cell>
          <cell r="E19529" t="str">
            <v>Other Independent School</v>
          </cell>
          <cell r="F19529" t="str">
            <v>Not applicable</v>
          </cell>
        </row>
        <row r="19530">
          <cell r="A19530">
            <v>9285206</v>
          </cell>
          <cell r="B19530">
            <v>122108</v>
          </cell>
          <cell r="C19530" t="str">
            <v>Millbrook Infant School</v>
          </cell>
          <cell r="D19530" t="str">
            <v>Northamptonshire</v>
          </cell>
          <cell r="E19530" t="str">
            <v>Foundation School</v>
          </cell>
          <cell r="F19530" t="str">
            <v>Primary</v>
          </cell>
        </row>
        <row r="19531">
          <cell r="A19531">
            <v>6802047</v>
          </cell>
          <cell r="B19531">
            <v>401531</v>
          </cell>
          <cell r="C19531" t="str">
            <v>Millbrook Infant School</v>
          </cell>
          <cell r="D19531" t="str">
            <v>Newport</v>
          </cell>
          <cell r="E19531" t="str">
            <v>Welsh Establishment</v>
          </cell>
          <cell r="F19531" t="str">
            <v>Primary</v>
          </cell>
        </row>
        <row r="19532">
          <cell r="A19532">
            <v>9285207</v>
          </cell>
          <cell r="B19532">
            <v>122109</v>
          </cell>
          <cell r="C19532" t="str">
            <v>Millbrook Junior School</v>
          </cell>
          <cell r="D19532" t="str">
            <v>Northamptonshire</v>
          </cell>
          <cell r="E19532" t="str">
            <v>Foundation School</v>
          </cell>
          <cell r="F19532" t="str">
            <v>Primary</v>
          </cell>
        </row>
        <row r="19533">
          <cell r="A19533">
            <v>9312582</v>
          </cell>
          <cell r="B19533">
            <v>129756</v>
          </cell>
          <cell r="C19533" t="str">
            <v>Millbrook Junior School</v>
          </cell>
          <cell r="D19533" t="str">
            <v>Oxfordshire</v>
          </cell>
          <cell r="E19533" t="str">
            <v>Community School</v>
          </cell>
          <cell r="F19533" t="str">
            <v>Primary</v>
          </cell>
        </row>
        <row r="19534">
          <cell r="A19534">
            <v>6802044</v>
          </cell>
          <cell r="B19534">
            <v>401529</v>
          </cell>
          <cell r="C19534" t="str">
            <v>Millbrook Junior School</v>
          </cell>
          <cell r="D19534" t="str">
            <v>Newport</v>
          </cell>
          <cell r="E19534" t="str">
            <v>Welsh Establishment</v>
          </cell>
          <cell r="F19534" t="str">
            <v>Primary</v>
          </cell>
        </row>
        <row r="19535">
          <cell r="A19535">
            <v>3572027</v>
          </cell>
          <cell r="B19535">
            <v>106195</v>
          </cell>
          <cell r="C19535" t="str">
            <v>Millbrook Primary School</v>
          </cell>
          <cell r="D19535" t="str">
            <v>Tameside</v>
          </cell>
          <cell r="E19535" t="str">
            <v>Community School</v>
          </cell>
          <cell r="F19535" t="str">
            <v>Primary</v>
          </cell>
        </row>
        <row r="19536">
          <cell r="A19536">
            <v>3592062</v>
          </cell>
          <cell r="B19536">
            <v>106436</v>
          </cell>
          <cell r="C19536" t="str">
            <v>Millbrook Primary School</v>
          </cell>
          <cell r="D19536" t="str">
            <v>Wigan</v>
          </cell>
          <cell r="E19536" t="str">
            <v>Community School</v>
          </cell>
          <cell r="F19536" t="str">
            <v>Primary</v>
          </cell>
        </row>
        <row r="19537">
          <cell r="A19537">
            <v>8663464</v>
          </cell>
          <cell r="B19537">
            <v>133582</v>
          </cell>
          <cell r="C19537" t="str">
            <v>Millbrook Primary School</v>
          </cell>
          <cell r="D19537" t="str">
            <v>Swindon</v>
          </cell>
          <cell r="E19537" t="str">
            <v>Community School</v>
          </cell>
          <cell r="F19537" t="str">
            <v>Primary</v>
          </cell>
        </row>
        <row r="19538">
          <cell r="A19538">
            <v>8943361</v>
          </cell>
          <cell r="B19538">
            <v>134852</v>
          </cell>
          <cell r="C19538" t="str">
            <v>Millbrook Primary School</v>
          </cell>
          <cell r="D19538" t="str">
            <v>Telford and Wrekin</v>
          </cell>
          <cell r="E19538" t="str">
            <v>Community School</v>
          </cell>
          <cell r="F19538" t="str">
            <v>Primary</v>
          </cell>
        </row>
        <row r="19539">
          <cell r="A19539">
            <v>6802317</v>
          </cell>
          <cell r="B19539">
            <v>402140</v>
          </cell>
          <cell r="C19539" t="str">
            <v>Millbrook Primary School</v>
          </cell>
          <cell r="D19539" t="str">
            <v>Newport</v>
          </cell>
          <cell r="E19539" t="str">
            <v>Welsh Establishment</v>
          </cell>
          <cell r="F19539" t="str">
            <v>Primary</v>
          </cell>
        </row>
        <row r="19540">
          <cell r="A19540">
            <v>9192997</v>
          </cell>
          <cell r="B19540">
            <v>117379</v>
          </cell>
          <cell r="C19540" t="str">
            <v>Millbrook School</v>
          </cell>
          <cell r="D19540" t="str">
            <v>Hertfordshire</v>
          </cell>
          <cell r="E19540" t="str">
            <v>Community School</v>
          </cell>
          <cell r="F19540" t="str">
            <v>Primary</v>
          </cell>
        </row>
        <row r="19541">
          <cell r="A19541">
            <v>9312603</v>
          </cell>
          <cell r="B19541">
            <v>123086</v>
          </cell>
          <cell r="C19541" t="str">
            <v>Millbrook School</v>
          </cell>
          <cell r="D19541" t="str">
            <v>Oxfordshire</v>
          </cell>
          <cell r="E19541" t="str">
            <v>Community School</v>
          </cell>
          <cell r="F19541" t="str">
            <v>Primary</v>
          </cell>
        </row>
        <row r="19542">
          <cell r="A19542">
            <v>8812074</v>
          </cell>
          <cell r="B19542">
            <v>114760</v>
          </cell>
          <cell r="C19542" t="str">
            <v>Milldene Primary School</v>
          </cell>
          <cell r="D19542" t="str">
            <v>Essex</v>
          </cell>
          <cell r="E19542" t="str">
            <v>Community School</v>
          </cell>
          <cell r="F19542" t="str">
            <v>Primary</v>
          </cell>
        </row>
        <row r="19543">
          <cell r="A19543">
            <v>8354509</v>
          </cell>
          <cell r="B19543">
            <v>113887</v>
          </cell>
          <cell r="C19543" t="str">
            <v>Milldown Church of England Middle School</v>
          </cell>
          <cell r="D19543" t="str">
            <v>Dorset</v>
          </cell>
          <cell r="E19543" t="str">
            <v>Voluntary Controlled School</v>
          </cell>
          <cell r="F19543" t="str">
            <v>Middle Deemed Secondary</v>
          </cell>
        </row>
        <row r="19544">
          <cell r="A19544">
            <v>8353004</v>
          </cell>
          <cell r="B19544">
            <v>113755</v>
          </cell>
          <cell r="C19544" t="str">
            <v>Milldown Church of England Voluntary Controlled Primary School</v>
          </cell>
          <cell r="D19544" t="str">
            <v>Dorset</v>
          </cell>
          <cell r="E19544" t="str">
            <v>Voluntary Controlled School</v>
          </cell>
          <cell r="F19544" t="str">
            <v>Primary</v>
          </cell>
        </row>
        <row r="19545">
          <cell r="A19545">
            <v>2032018</v>
          </cell>
          <cell r="B19545">
            <v>100111</v>
          </cell>
          <cell r="C19545" t="str">
            <v>Millennium Primary School</v>
          </cell>
          <cell r="D19545" t="str">
            <v>Greenwich</v>
          </cell>
          <cell r="E19545" t="str">
            <v>Community School</v>
          </cell>
          <cell r="F19545" t="str">
            <v>Primary</v>
          </cell>
        </row>
        <row r="19546">
          <cell r="A19546">
            <v>9252075</v>
          </cell>
          <cell r="B19546">
            <v>120404</v>
          </cell>
          <cell r="C19546" t="str">
            <v>Millfield Community Primary School</v>
          </cell>
          <cell r="D19546" t="str">
            <v>Lincolnshire</v>
          </cell>
          <cell r="E19546" t="str">
            <v>Community School</v>
          </cell>
          <cell r="F19546" t="str">
            <v>Primary</v>
          </cell>
        </row>
        <row r="19547">
          <cell r="A19547">
            <v>9252075</v>
          </cell>
          <cell r="B19547">
            <v>137201</v>
          </cell>
          <cell r="C19547" t="str">
            <v>Millfield Community Primary School</v>
          </cell>
          <cell r="D19547" t="str">
            <v>Lincolnshire</v>
          </cell>
          <cell r="E19547" t="str">
            <v>Academy Converters</v>
          </cell>
          <cell r="F19547" t="str">
            <v>Primary</v>
          </cell>
        </row>
        <row r="19548">
          <cell r="A19548">
            <v>8552133</v>
          </cell>
          <cell r="B19548">
            <v>119960</v>
          </cell>
          <cell r="C19548" t="str">
            <v>Millfield Community School and Centre</v>
          </cell>
          <cell r="D19548" t="str">
            <v>Leicestershire</v>
          </cell>
          <cell r="E19548" t="str">
            <v>Community School</v>
          </cell>
          <cell r="F19548" t="str">
            <v>Primary</v>
          </cell>
        </row>
        <row r="19549">
          <cell r="A19549">
            <v>9192386</v>
          </cell>
          <cell r="B19549">
            <v>117309</v>
          </cell>
          <cell r="C19549" t="str">
            <v>Millfield First and Nursery School</v>
          </cell>
          <cell r="D19549" t="str">
            <v>Hertfordshire</v>
          </cell>
          <cell r="E19549" t="str">
            <v>Community School</v>
          </cell>
          <cell r="F19549" t="str">
            <v>Primary</v>
          </cell>
        </row>
        <row r="19550">
          <cell r="A19550">
            <v>3941002</v>
          </cell>
          <cell r="B19550">
            <v>108745</v>
          </cell>
          <cell r="C19550" t="str">
            <v>Millfield Nursery School</v>
          </cell>
          <cell r="D19550" t="str">
            <v>Sunderland</v>
          </cell>
          <cell r="E19550" t="str">
            <v>LA Nursery School</v>
          </cell>
          <cell r="F19550" t="str">
            <v>Nursery</v>
          </cell>
        </row>
        <row r="19551">
          <cell r="A19551">
            <v>9336115</v>
          </cell>
          <cell r="B19551">
            <v>123921</v>
          </cell>
          <cell r="C19551" t="str">
            <v>Millfield Preparatory School</v>
          </cell>
          <cell r="D19551" t="str">
            <v>Somerset</v>
          </cell>
          <cell r="E19551" t="str">
            <v>Other Independent School</v>
          </cell>
          <cell r="F19551" t="str">
            <v>Not applicable</v>
          </cell>
        </row>
        <row r="19552">
          <cell r="A19552">
            <v>9336184</v>
          </cell>
          <cell r="B19552">
            <v>123932</v>
          </cell>
          <cell r="C19552" t="str">
            <v>Millfield Pre-Preparatory School</v>
          </cell>
          <cell r="D19552" t="str">
            <v>Somerset</v>
          </cell>
          <cell r="E19552" t="str">
            <v>Other Independent School</v>
          </cell>
          <cell r="F19552" t="str">
            <v>Not applicable</v>
          </cell>
        </row>
        <row r="19553">
          <cell r="A19553">
            <v>3352220</v>
          </cell>
          <cell r="B19553">
            <v>104203</v>
          </cell>
          <cell r="C19553" t="str">
            <v>Millfield Primary School</v>
          </cell>
          <cell r="D19553" t="str">
            <v>Walsall</v>
          </cell>
          <cell r="E19553" t="str">
            <v>Community School</v>
          </cell>
          <cell r="F19553" t="str">
            <v>Primary</v>
          </cell>
        </row>
        <row r="19554">
          <cell r="A19554">
            <v>8732447</v>
          </cell>
          <cell r="B19554">
            <v>110776</v>
          </cell>
          <cell r="C19554" t="str">
            <v>Millfield Primary School</v>
          </cell>
          <cell r="D19554" t="str">
            <v>Cambridgeshire</v>
          </cell>
          <cell r="E19554" t="str">
            <v>Community School</v>
          </cell>
          <cell r="F19554" t="str">
            <v>Primary</v>
          </cell>
        </row>
        <row r="19555">
          <cell r="A19555">
            <v>9262121</v>
          </cell>
          <cell r="B19555">
            <v>120838</v>
          </cell>
          <cell r="C19555" t="str">
            <v>Millfield Primary School</v>
          </cell>
          <cell r="D19555" t="str">
            <v>Norfolk</v>
          </cell>
          <cell r="E19555" t="str">
            <v>Community School</v>
          </cell>
          <cell r="F19555" t="str">
            <v>Primary</v>
          </cell>
        </row>
        <row r="19556">
          <cell r="A19556">
            <v>8602203</v>
          </cell>
          <cell r="B19556">
            <v>124081</v>
          </cell>
          <cell r="C19556" t="str">
            <v>Millfield Primary School</v>
          </cell>
          <cell r="D19556" t="str">
            <v>Staffordshire</v>
          </cell>
          <cell r="E19556" t="str">
            <v>Community School</v>
          </cell>
          <cell r="F19556" t="str">
            <v>Primary</v>
          </cell>
        </row>
        <row r="19557">
          <cell r="A19557">
            <v>3337002</v>
          </cell>
          <cell r="B19557">
            <v>104025</v>
          </cell>
          <cell r="C19557" t="str">
            <v>Millfield School</v>
          </cell>
          <cell r="D19557" t="str">
            <v>Sandwell</v>
          </cell>
          <cell r="E19557" t="str">
            <v>Community Special School</v>
          </cell>
          <cell r="F19557" t="str">
            <v>Special</v>
          </cell>
        </row>
        <row r="19558">
          <cell r="A19558">
            <v>9336022</v>
          </cell>
          <cell r="B19558">
            <v>123911</v>
          </cell>
          <cell r="C19558" t="str">
            <v>Millfield School</v>
          </cell>
          <cell r="D19558" t="str">
            <v>Somerset</v>
          </cell>
          <cell r="E19558" t="str">
            <v>Other Independent School</v>
          </cell>
          <cell r="F19558" t="str">
            <v>Not applicable</v>
          </cell>
        </row>
        <row r="19559">
          <cell r="A19559">
            <v>8884011</v>
          </cell>
          <cell r="B19559">
            <v>119714</v>
          </cell>
          <cell r="C19559" t="str">
            <v>Millfield Science &amp; Performing Arts College</v>
          </cell>
          <cell r="D19559" t="str">
            <v>Lancashire</v>
          </cell>
          <cell r="E19559" t="str">
            <v>Community School</v>
          </cell>
          <cell r="F19559" t="str">
            <v>Secondary</v>
          </cell>
        </row>
        <row r="19560">
          <cell r="A19560">
            <v>3443375</v>
          </cell>
          <cell r="B19560">
            <v>136056</v>
          </cell>
          <cell r="C19560" t="str">
            <v>Millfields Church of England (Controlled) Primary School</v>
          </cell>
          <cell r="D19560" t="str">
            <v>Wirral</v>
          </cell>
          <cell r="E19560" t="str">
            <v>Voluntary Controlled School</v>
          </cell>
          <cell r="F19560" t="str">
            <v>Primary</v>
          </cell>
        </row>
        <row r="19561">
          <cell r="A19561">
            <v>2042421</v>
          </cell>
          <cell r="B19561">
            <v>100231</v>
          </cell>
          <cell r="C19561" t="str">
            <v>Millfields Community School</v>
          </cell>
          <cell r="D19561" t="str">
            <v>Hackney</v>
          </cell>
          <cell r="E19561" t="str">
            <v>Community School</v>
          </cell>
          <cell r="F19561" t="str">
            <v>Primary</v>
          </cell>
        </row>
        <row r="19562">
          <cell r="A19562">
            <v>8852020</v>
          </cell>
          <cell r="B19562">
            <v>116663</v>
          </cell>
          <cell r="C19562" t="str">
            <v>Millfields First School</v>
          </cell>
          <cell r="D19562" t="str">
            <v>Worcestershire</v>
          </cell>
          <cell r="E19562" t="str">
            <v>Community School</v>
          </cell>
          <cell r="F19562" t="str">
            <v>Primary</v>
          </cell>
        </row>
        <row r="19563">
          <cell r="A19563">
            <v>2042420</v>
          </cell>
          <cell r="B19563">
            <v>126599</v>
          </cell>
          <cell r="C19563" t="str">
            <v>Millfields Infant School</v>
          </cell>
          <cell r="D19563" t="str">
            <v>Hackney</v>
          </cell>
          <cell r="E19563" t="str">
            <v>Community School</v>
          </cell>
          <cell r="F19563" t="str">
            <v>Primary</v>
          </cell>
        </row>
        <row r="19564">
          <cell r="A19564">
            <v>2042419</v>
          </cell>
          <cell r="B19564">
            <v>126598</v>
          </cell>
          <cell r="C19564" t="str">
            <v>Millfields Junior School</v>
          </cell>
          <cell r="D19564" t="str">
            <v>Hackney</v>
          </cell>
          <cell r="E19564" t="str">
            <v>Community School</v>
          </cell>
          <cell r="F19564" t="str">
            <v>Primary</v>
          </cell>
        </row>
        <row r="19565">
          <cell r="A19565">
            <v>3351006</v>
          </cell>
          <cell r="B19565">
            <v>104138</v>
          </cell>
          <cell r="C19565" t="str">
            <v>Millfields Nursery School</v>
          </cell>
          <cell r="D19565" t="str">
            <v>Walsall</v>
          </cell>
          <cell r="E19565" t="str">
            <v>LA Nursery School</v>
          </cell>
          <cell r="F19565" t="str">
            <v>Nursery</v>
          </cell>
        </row>
        <row r="19566">
          <cell r="A19566">
            <v>8815221</v>
          </cell>
          <cell r="B19566">
            <v>115261</v>
          </cell>
          <cell r="C19566" t="str">
            <v>Millfields Primary School</v>
          </cell>
          <cell r="D19566" t="str">
            <v>Essex</v>
          </cell>
          <cell r="E19566" t="str">
            <v>Foundation School</v>
          </cell>
          <cell r="F19566" t="str">
            <v>Primary</v>
          </cell>
        </row>
        <row r="19567">
          <cell r="A19567">
            <v>3442276</v>
          </cell>
          <cell r="B19567">
            <v>130272</v>
          </cell>
          <cell r="C19567" t="str">
            <v>Millfields Primary School</v>
          </cell>
          <cell r="D19567" t="str">
            <v>Wirral</v>
          </cell>
          <cell r="E19567" t="str">
            <v>Community School</v>
          </cell>
          <cell r="F19567" t="str">
            <v>Primary</v>
          </cell>
        </row>
        <row r="19568">
          <cell r="A19568">
            <v>8952227</v>
          </cell>
          <cell r="B19568">
            <v>111079</v>
          </cell>
          <cell r="C19568" t="str">
            <v>Millfields Primary School and Nursery</v>
          </cell>
          <cell r="D19568" t="str">
            <v>Cheshire East</v>
          </cell>
          <cell r="E19568" t="str">
            <v>Community School</v>
          </cell>
          <cell r="F19568" t="str">
            <v>Primary</v>
          </cell>
        </row>
        <row r="19569">
          <cell r="A19569">
            <v>8567215</v>
          </cell>
          <cell r="B19569">
            <v>120362</v>
          </cell>
          <cell r="C19569" t="str">
            <v>Millgate School</v>
          </cell>
          <cell r="D19569" t="str">
            <v>Leicester</v>
          </cell>
          <cell r="E19569" t="str">
            <v>Community Special School</v>
          </cell>
          <cell r="F19569" t="str">
            <v>Special</v>
          </cell>
        </row>
        <row r="19570">
          <cell r="A19570">
            <v>9077013</v>
          </cell>
          <cell r="B19570">
            <v>128530</v>
          </cell>
          <cell r="C19570" t="str">
            <v>Millholme School</v>
          </cell>
          <cell r="D19570" t="str">
            <v>Pre LGR (1996) Cleveland</v>
          </cell>
          <cell r="E19570" t="str">
            <v>Community Special School</v>
          </cell>
          <cell r="F19570" t="str">
            <v>Special</v>
          </cell>
        </row>
        <row r="19571">
          <cell r="A19571">
            <v>8812616</v>
          </cell>
          <cell r="B19571">
            <v>114915</v>
          </cell>
          <cell r="C19571" t="str">
            <v>Millhouse Infant School and Nursery</v>
          </cell>
          <cell r="D19571" t="str">
            <v>Essex</v>
          </cell>
          <cell r="E19571" t="str">
            <v>Community School</v>
          </cell>
          <cell r="F19571" t="str">
            <v>Primary</v>
          </cell>
        </row>
        <row r="19572">
          <cell r="A19572">
            <v>8812606</v>
          </cell>
          <cell r="B19572">
            <v>114912</v>
          </cell>
          <cell r="C19572" t="str">
            <v>Millhouse Junior School</v>
          </cell>
          <cell r="D19572" t="str">
            <v>Essex</v>
          </cell>
          <cell r="E19572" t="str">
            <v>Community School</v>
          </cell>
          <cell r="F19572" t="str">
            <v>Primary</v>
          </cell>
        </row>
        <row r="19573">
          <cell r="A19573">
            <v>3702077</v>
          </cell>
          <cell r="B19573">
            <v>106586</v>
          </cell>
          <cell r="C19573" t="str">
            <v>Millhouse Primary School</v>
          </cell>
          <cell r="D19573" t="str">
            <v>Barnsley</v>
          </cell>
          <cell r="E19573" t="str">
            <v>Community School</v>
          </cell>
          <cell r="F19573" t="str">
            <v>Primary</v>
          </cell>
        </row>
        <row r="19574">
          <cell r="A19574">
            <v>9092219</v>
          </cell>
          <cell r="B19574">
            <v>112159</v>
          </cell>
          <cell r="C19574" t="str">
            <v>Millom Infants' School</v>
          </cell>
          <cell r="D19574" t="str">
            <v>Cumbria</v>
          </cell>
          <cell r="E19574" t="str">
            <v>Community School</v>
          </cell>
          <cell r="F19574" t="str">
            <v>Primary</v>
          </cell>
        </row>
        <row r="19575">
          <cell r="A19575">
            <v>9094204</v>
          </cell>
          <cell r="B19575">
            <v>112388</v>
          </cell>
          <cell r="C19575" t="str">
            <v>Millom School</v>
          </cell>
          <cell r="D19575" t="str">
            <v>Cumbria</v>
          </cell>
          <cell r="E19575" t="str">
            <v>Community School</v>
          </cell>
          <cell r="F19575" t="str">
            <v>Secondary</v>
          </cell>
        </row>
        <row r="19576">
          <cell r="A19576">
            <v>8012336</v>
          </cell>
          <cell r="B19576">
            <v>109137</v>
          </cell>
          <cell r="C19576" t="str">
            <v>Millpond Primary School</v>
          </cell>
          <cell r="D19576" t="str">
            <v>Bristol City of</v>
          </cell>
          <cell r="E19576" t="str">
            <v>Community School</v>
          </cell>
          <cell r="F19576" t="str">
            <v>Primary</v>
          </cell>
        </row>
        <row r="19577">
          <cell r="A19577">
            <v>3532052</v>
          </cell>
          <cell r="B19577">
            <v>105648</v>
          </cell>
          <cell r="C19577" t="str">
            <v>Mills Hill Primary School</v>
          </cell>
          <cell r="D19577" t="str">
            <v>Oldham</v>
          </cell>
          <cell r="E19577" t="str">
            <v>Community School</v>
          </cell>
          <cell r="F19577" t="str">
            <v>Primary</v>
          </cell>
        </row>
        <row r="19578">
          <cell r="A19578">
            <v>3417054</v>
          </cell>
          <cell r="B19578">
            <v>104751</v>
          </cell>
          <cell r="C19578" t="str">
            <v>Millstead School</v>
          </cell>
          <cell r="D19578" t="str">
            <v>Liverpool</v>
          </cell>
          <cell r="E19578" t="str">
            <v>Community Special School</v>
          </cell>
          <cell r="F19578" t="str">
            <v>Special</v>
          </cell>
        </row>
        <row r="19579">
          <cell r="A19579">
            <v>8164229</v>
          </cell>
          <cell r="B19579">
            <v>121706</v>
          </cell>
          <cell r="C19579" t="str">
            <v>Millthorpe School</v>
          </cell>
          <cell r="D19579" t="str">
            <v>York</v>
          </cell>
          <cell r="E19579" t="str">
            <v>Community School</v>
          </cell>
          <cell r="F19579" t="str">
            <v>Secondary</v>
          </cell>
        </row>
        <row r="19580">
          <cell r="A19580">
            <v>209940</v>
          </cell>
          <cell r="B19580">
            <v>134004</v>
          </cell>
          <cell r="C19580" t="str">
            <v>Millwall Study Support Centre</v>
          </cell>
          <cell r="D19580" t="str">
            <v>Lewisham</v>
          </cell>
          <cell r="E19580" t="str">
            <v>Playing for Success Centres</v>
          </cell>
          <cell r="F19580" t="str">
            <v>Not applicable</v>
          </cell>
        </row>
        <row r="19581">
          <cell r="A19581">
            <v>9192290</v>
          </cell>
          <cell r="B19581">
            <v>129125</v>
          </cell>
          <cell r="C19581" t="str">
            <v>Millwards Junior Mixed School</v>
          </cell>
          <cell r="D19581" t="str">
            <v>Hertfordshire</v>
          </cell>
          <cell r="E19581" t="str">
            <v>Community School</v>
          </cell>
          <cell r="F19581" t="str">
            <v>Primary</v>
          </cell>
        </row>
        <row r="19582">
          <cell r="A19582">
            <v>9282016</v>
          </cell>
          <cell r="B19582">
            <v>122086</v>
          </cell>
          <cell r="C19582" t="str">
            <v>Millway Primary School</v>
          </cell>
          <cell r="D19582" t="str">
            <v>Northamptonshire</v>
          </cell>
          <cell r="E19582" t="str">
            <v>Community School</v>
          </cell>
          <cell r="F19582" t="str">
            <v>Primary</v>
          </cell>
        </row>
        <row r="19583">
          <cell r="A19583">
            <v>3412194</v>
          </cell>
          <cell r="B19583">
            <v>127280</v>
          </cell>
          <cell r="C19583" t="str">
            <v>Millwood County Infant School</v>
          </cell>
          <cell r="D19583" t="str">
            <v>Liverpool</v>
          </cell>
          <cell r="E19583" t="str">
            <v>Community School</v>
          </cell>
          <cell r="F19583" t="str">
            <v>Primary</v>
          </cell>
        </row>
        <row r="19584">
          <cell r="A19584">
            <v>3517010</v>
          </cell>
          <cell r="B19584">
            <v>105377</v>
          </cell>
          <cell r="C19584" t="str">
            <v>Millwood Primary Special School</v>
          </cell>
          <cell r="D19584" t="str">
            <v>Bury</v>
          </cell>
          <cell r="E19584" t="str">
            <v>Community Special School</v>
          </cell>
          <cell r="F19584" t="str">
            <v>Special</v>
          </cell>
        </row>
        <row r="19585">
          <cell r="A19585">
            <v>3543323</v>
          </cell>
          <cell r="B19585">
            <v>105823</v>
          </cell>
          <cell r="C19585" t="str">
            <v>Milnrow Parish Church of England Primary School</v>
          </cell>
          <cell r="D19585" t="str">
            <v>Rochdale</v>
          </cell>
          <cell r="E19585" t="str">
            <v>Voluntary Aided School</v>
          </cell>
          <cell r="F19585" t="str">
            <v>Primary</v>
          </cell>
        </row>
        <row r="19586">
          <cell r="A19586">
            <v>9092315</v>
          </cell>
          <cell r="B19586">
            <v>112184</v>
          </cell>
          <cell r="C19586" t="str">
            <v>Milnthorpe Primary School</v>
          </cell>
          <cell r="D19586" t="str">
            <v>Cumbria</v>
          </cell>
          <cell r="E19586" t="str">
            <v>Community School</v>
          </cell>
          <cell r="F19586" t="str">
            <v>Primary</v>
          </cell>
        </row>
        <row r="19587">
          <cell r="A19587">
            <v>8863110</v>
          </cell>
          <cell r="B19587">
            <v>118648</v>
          </cell>
          <cell r="C19587" t="str">
            <v>Milstead and Frinsted Church of England Primary School</v>
          </cell>
          <cell r="D19587" t="str">
            <v>Kent</v>
          </cell>
          <cell r="E19587" t="str">
            <v>Voluntary Controlled School</v>
          </cell>
          <cell r="F19587" t="str">
            <v>Primary</v>
          </cell>
        </row>
        <row r="19588">
          <cell r="A19588">
            <v>8863110</v>
          </cell>
          <cell r="B19588">
            <v>137483</v>
          </cell>
          <cell r="C19588" t="str">
            <v>Milstead and Frinsted Church of England Primary School</v>
          </cell>
          <cell r="D19588" t="str">
            <v>Kent</v>
          </cell>
          <cell r="E19588" t="str">
            <v>Academy Converters</v>
          </cell>
          <cell r="F19588" t="str">
            <v>Primary</v>
          </cell>
        </row>
        <row r="19589">
          <cell r="A19589">
            <v>9123022</v>
          </cell>
          <cell r="B19589">
            <v>128779</v>
          </cell>
          <cell r="C19589" t="str">
            <v>Milton Abbas First School</v>
          </cell>
          <cell r="D19589" t="str">
            <v>Pre LGR (1997) Dorset</v>
          </cell>
          <cell r="E19589" t="str">
            <v>Voluntary Controlled School</v>
          </cell>
          <cell r="F19589" t="str">
            <v>Primary</v>
          </cell>
        </row>
        <row r="19590">
          <cell r="A19590">
            <v>8356015</v>
          </cell>
          <cell r="B19590">
            <v>113932</v>
          </cell>
          <cell r="C19590" t="str">
            <v>Milton Abbey School</v>
          </cell>
          <cell r="D19590" t="str">
            <v>Dorset</v>
          </cell>
          <cell r="E19590" t="str">
            <v>Other Independent School</v>
          </cell>
          <cell r="F19590" t="str">
            <v>Not applicable</v>
          </cell>
        </row>
        <row r="19591">
          <cell r="A19591">
            <v>8782614</v>
          </cell>
          <cell r="B19591">
            <v>113258</v>
          </cell>
          <cell r="C19591" t="str">
            <v>Milton Abbot School</v>
          </cell>
          <cell r="D19591" t="str">
            <v>Devon</v>
          </cell>
          <cell r="E19591" t="str">
            <v>Community School</v>
          </cell>
          <cell r="F19591" t="str">
            <v>Primary</v>
          </cell>
        </row>
        <row r="19592">
          <cell r="A19592">
            <v>8733026</v>
          </cell>
          <cell r="B19592">
            <v>110792</v>
          </cell>
          <cell r="C19592" t="str">
            <v>Milton CofE VC Primary School</v>
          </cell>
          <cell r="D19592" t="str">
            <v>Cambridgeshire</v>
          </cell>
          <cell r="E19592" t="str">
            <v>Voluntary Controlled School</v>
          </cell>
          <cell r="F19592" t="str">
            <v>Primary</v>
          </cell>
        </row>
        <row r="19593">
          <cell r="A19593">
            <v>8862251</v>
          </cell>
          <cell r="B19593">
            <v>118352</v>
          </cell>
          <cell r="C19593" t="str">
            <v>Milton Court Primary School</v>
          </cell>
          <cell r="D19593" t="str">
            <v>Kent</v>
          </cell>
          <cell r="E19593" t="str">
            <v>Community School</v>
          </cell>
          <cell r="F19593" t="str">
            <v>Primary</v>
          </cell>
        </row>
        <row r="19594">
          <cell r="A19594">
            <v>8223023</v>
          </cell>
          <cell r="B19594">
            <v>109613</v>
          </cell>
          <cell r="C19594" t="str">
            <v>Milton Ernest VC Lower School</v>
          </cell>
          <cell r="D19594" t="str">
            <v>Bedford</v>
          </cell>
          <cell r="E19594" t="str">
            <v>Voluntary Controlled School</v>
          </cell>
          <cell r="F19594" t="str">
            <v>Primary</v>
          </cell>
        </row>
        <row r="19595">
          <cell r="A19595">
            <v>9177049</v>
          </cell>
          <cell r="B19595">
            <v>116631</v>
          </cell>
          <cell r="C19595" t="str">
            <v>Milton Ford Hospital Special School</v>
          </cell>
          <cell r="D19595" t="str">
            <v>Pre LGR (1997) Hampshire</v>
          </cell>
          <cell r="E19595" t="str">
            <v>Community Special School</v>
          </cell>
          <cell r="F19595" t="str">
            <v>Special</v>
          </cell>
        </row>
        <row r="19596">
          <cell r="A19596">
            <v>8825273</v>
          </cell>
          <cell r="B19596">
            <v>115313</v>
          </cell>
          <cell r="C19596" t="str">
            <v>Milton Hall Primary School and Nursery</v>
          </cell>
          <cell r="D19596" t="str">
            <v>Southend-on-Sea</v>
          </cell>
          <cell r="E19596" t="str">
            <v>Foundation School</v>
          </cell>
          <cell r="F19596" t="str">
            <v>Primary</v>
          </cell>
        </row>
        <row r="19597">
          <cell r="A19597">
            <v>3947007</v>
          </cell>
          <cell r="B19597">
            <v>128210</v>
          </cell>
          <cell r="C19597" t="str">
            <v>Milton Hall School</v>
          </cell>
          <cell r="D19597" t="str">
            <v>Sunderland</v>
          </cell>
          <cell r="E19597" t="str">
            <v>Community Special School</v>
          </cell>
          <cell r="F19597" t="str">
            <v>Special</v>
          </cell>
        </row>
        <row r="19598">
          <cell r="A19598">
            <v>9312564</v>
          </cell>
          <cell r="B19598">
            <v>129752</v>
          </cell>
          <cell r="C19598" t="str">
            <v>Milton Heights School</v>
          </cell>
          <cell r="D19598" t="str">
            <v>Oxfordshire</v>
          </cell>
          <cell r="E19598" t="str">
            <v>Community School</v>
          </cell>
          <cell r="F19598" t="str">
            <v>Primary</v>
          </cell>
        </row>
        <row r="19599">
          <cell r="A19599">
            <v>8022275</v>
          </cell>
          <cell r="B19599">
            <v>109094</v>
          </cell>
          <cell r="C19599" t="str">
            <v>Milton Infant School</v>
          </cell>
          <cell r="D19599" t="str">
            <v>North Somerset</v>
          </cell>
          <cell r="E19599" t="str">
            <v>Community School</v>
          </cell>
          <cell r="F19599" t="str">
            <v>Primary</v>
          </cell>
        </row>
        <row r="19600">
          <cell r="A19600">
            <v>6802040</v>
          </cell>
          <cell r="B19600">
            <v>401525</v>
          </cell>
          <cell r="C19600" t="str">
            <v>Milton Infants School</v>
          </cell>
          <cell r="D19600" t="str">
            <v>Newport</v>
          </cell>
          <cell r="E19600" t="str">
            <v>Welsh Establishment</v>
          </cell>
          <cell r="F19600" t="str">
            <v>Primary</v>
          </cell>
        </row>
        <row r="19601">
          <cell r="A19601">
            <v>8022274</v>
          </cell>
          <cell r="B19601">
            <v>109093</v>
          </cell>
          <cell r="C19601" t="str">
            <v>Milton Junior School</v>
          </cell>
          <cell r="D19601" t="str">
            <v>North Somerset</v>
          </cell>
          <cell r="E19601" t="str">
            <v>Community School</v>
          </cell>
          <cell r="F19601" t="str">
            <v>Primary</v>
          </cell>
        </row>
        <row r="19602">
          <cell r="A19602">
            <v>6802041</v>
          </cell>
          <cell r="B19602">
            <v>401526</v>
          </cell>
          <cell r="C19602" t="str">
            <v>Milton Junior School</v>
          </cell>
          <cell r="D19602" t="str">
            <v>Newport</v>
          </cell>
          <cell r="E19602" t="str">
            <v>Welsh Establishment</v>
          </cell>
          <cell r="F19602" t="str">
            <v>Primary</v>
          </cell>
        </row>
        <row r="19603">
          <cell r="A19603">
            <v>8268004</v>
          </cell>
          <cell r="B19603">
            <v>130609</v>
          </cell>
          <cell r="C19603" t="str">
            <v>Milton Keynes College</v>
          </cell>
          <cell r="D19603" t="str">
            <v>Milton Keynes</v>
          </cell>
          <cell r="E19603" t="str">
            <v>Further Education</v>
          </cell>
          <cell r="F19603" t="str">
            <v>16 Plus</v>
          </cell>
        </row>
        <row r="19604">
          <cell r="A19604">
            <v>8266005</v>
          </cell>
          <cell r="B19604">
            <v>132081</v>
          </cell>
          <cell r="C19604" t="str">
            <v>Milton Keynes Islamia School</v>
          </cell>
          <cell r="D19604" t="str">
            <v>Milton Keynes</v>
          </cell>
          <cell r="E19604" t="str">
            <v>Other Independent School</v>
          </cell>
          <cell r="F19604" t="str">
            <v>Not applicable</v>
          </cell>
        </row>
        <row r="19605">
          <cell r="A19605">
            <v>8266004</v>
          </cell>
          <cell r="B19605">
            <v>110565</v>
          </cell>
          <cell r="C19605" t="str">
            <v>Milton Keynes Preparatory School</v>
          </cell>
          <cell r="D19605" t="str">
            <v>Milton Keynes</v>
          </cell>
          <cell r="E19605" t="str">
            <v>Other Independent School</v>
          </cell>
          <cell r="F19605" t="str">
            <v>Not applicable</v>
          </cell>
        </row>
        <row r="19606">
          <cell r="A19606">
            <v>8261107</v>
          </cell>
          <cell r="B19606">
            <v>134310</v>
          </cell>
          <cell r="C19606" t="str">
            <v>Milton Keynes Primary Pupil Referral Unit</v>
          </cell>
          <cell r="D19606" t="str">
            <v>Milton Keynes</v>
          </cell>
          <cell r="E19606" t="str">
            <v>Pupil Referral Unit</v>
          </cell>
          <cell r="F19606" t="str">
            <v>PRU</v>
          </cell>
        </row>
        <row r="19607">
          <cell r="A19607">
            <v>8269901</v>
          </cell>
          <cell r="B19607">
            <v>134607</v>
          </cell>
          <cell r="C19607" t="str">
            <v>Milton Keynes Secure Training Centre</v>
          </cell>
          <cell r="D19607" t="str">
            <v>Milton Keynes</v>
          </cell>
          <cell r="E19607" t="str">
            <v>Secure Units</v>
          </cell>
          <cell r="F19607" t="str">
            <v>Not applicable</v>
          </cell>
        </row>
        <row r="19608">
          <cell r="A19608">
            <v>8266006</v>
          </cell>
          <cell r="B19608">
            <v>134300</v>
          </cell>
          <cell r="C19608" t="str">
            <v>Milton Keynes Wheelright Motor Project</v>
          </cell>
          <cell r="D19608" t="str">
            <v>Milton Keynes</v>
          </cell>
          <cell r="E19608" t="str">
            <v>Other Independent School</v>
          </cell>
          <cell r="F19608" t="str">
            <v>Not applicable</v>
          </cell>
        </row>
        <row r="19609">
          <cell r="A19609">
            <v>9382176</v>
          </cell>
          <cell r="B19609">
            <v>125916</v>
          </cell>
          <cell r="C19609" t="str">
            <v>Milton Mount Primary School</v>
          </cell>
          <cell r="D19609" t="str">
            <v>West Sussex</v>
          </cell>
          <cell r="E19609" t="str">
            <v>Community School</v>
          </cell>
          <cell r="F19609" t="str">
            <v>Primary</v>
          </cell>
        </row>
        <row r="19610">
          <cell r="A19610">
            <v>8512702</v>
          </cell>
          <cell r="B19610">
            <v>116215</v>
          </cell>
          <cell r="C19610" t="str">
            <v>Milton Park Federated Primary School</v>
          </cell>
          <cell r="D19610" t="str">
            <v>Portsmouth</v>
          </cell>
          <cell r="E19610" t="str">
            <v>Community School</v>
          </cell>
          <cell r="F19610" t="str">
            <v>Primary</v>
          </cell>
        </row>
        <row r="19611">
          <cell r="A19611">
            <v>8512696</v>
          </cell>
          <cell r="B19611">
            <v>116209</v>
          </cell>
          <cell r="C19611" t="str">
            <v>Milton Park Infant School</v>
          </cell>
          <cell r="D19611" t="str">
            <v>Portsmouth</v>
          </cell>
          <cell r="E19611" t="str">
            <v>Community School</v>
          </cell>
          <cell r="F19611" t="str">
            <v>Primary</v>
          </cell>
        </row>
        <row r="19612">
          <cell r="A19612">
            <v>8023454</v>
          </cell>
          <cell r="B19612">
            <v>135189</v>
          </cell>
          <cell r="C19612" t="str">
            <v>Milton Park Primary School</v>
          </cell>
          <cell r="D19612" t="str">
            <v>North Somerset</v>
          </cell>
          <cell r="E19612" t="str">
            <v>Community School</v>
          </cell>
          <cell r="F19612" t="str">
            <v>Primary</v>
          </cell>
        </row>
        <row r="19613">
          <cell r="A19613">
            <v>9283045</v>
          </cell>
          <cell r="B19613">
            <v>121982</v>
          </cell>
          <cell r="C19613" t="str">
            <v>Milton Parochial Primary School</v>
          </cell>
          <cell r="D19613" t="str">
            <v>Northamptonshire</v>
          </cell>
          <cell r="E19613" t="str">
            <v>Voluntary Controlled School</v>
          </cell>
          <cell r="F19613" t="str">
            <v>Primary</v>
          </cell>
        </row>
        <row r="19614">
          <cell r="A19614">
            <v>8612024</v>
          </cell>
          <cell r="B19614">
            <v>123984</v>
          </cell>
          <cell r="C19614" t="str">
            <v>Milton Primary School</v>
          </cell>
          <cell r="D19614" t="str">
            <v>Stoke-on-Trent</v>
          </cell>
          <cell r="E19614" t="str">
            <v>Community School</v>
          </cell>
          <cell r="F19614" t="str">
            <v>Primary</v>
          </cell>
        </row>
        <row r="19615">
          <cell r="A19615">
            <v>8732106</v>
          </cell>
          <cell r="B19615">
            <v>110656</v>
          </cell>
          <cell r="C19615" t="str">
            <v>Milton Road Infant School</v>
          </cell>
          <cell r="D19615" t="str">
            <v>Cambridgeshire</v>
          </cell>
          <cell r="E19615" t="str">
            <v>Community School</v>
          </cell>
          <cell r="F19615" t="str">
            <v>Primary</v>
          </cell>
        </row>
        <row r="19616">
          <cell r="A19616">
            <v>8732105</v>
          </cell>
          <cell r="B19616">
            <v>110655</v>
          </cell>
          <cell r="C19616" t="str">
            <v>Milton Road Junior School</v>
          </cell>
          <cell r="D19616" t="str">
            <v>Cambridgeshire</v>
          </cell>
          <cell r="E19616" t="str">
            <v>Community School</v>
          </cell>
          <cell r="F19616" t="str">
            <v>Primary</v>
          </cell>
        </row>
        <row r="19617">
          <cell r="A19617">
            <v>8733386</v>
          </cell>
          <cell r="B19617">
            <v>133930</v>
          </cell>
          <cell r="C19617" t="str">
            <v>Milton Road Primary School</v>
          </cell>
          <cell r="D19617" t="str">
            <v>Cambridgeshire</v>
          </cell>
          <cell r="E19617" t="str">
            <v>Community School</v>
          </cell>
          <cell r="F19617" t="str">
            <v>Primary</v>
          </cell>
        </row>
        <row r="19618">
          <cell r="A19618">
            <v>3727006</v>
          </cell>
          <cell r="B19618">
            <v>106969</v>
          </cell>
          <cell r="C19618" t="str">
            <v>Milton School</v>
          </cell>
          <cell r="D19618" t="str">
            <v>Rotherham</v>
          </cell>
          <cell r="E19618" t="str">
            <v>Community Special School</v>
          </cell>
          <cell r="F19618" t="str">
            <v>Special</v>
          </cell>
        </row>
        <row r="19619">
          <cell r="A19619">
            <v>3573026</v>
          </cell>
          <cell r="B19619">
            <v>106234</v>
          </cell>
          <cell r="C19619" t="str">
            <v>Milton St John's CofE Primary School</v>
          </cell>
          <cell r="D19619" t="str">
            <v>Tameside</v>
          </cell>
          <cell r="E19619" t="str">
            <v>Voluntary Controlled School</v>
          </cell>
          <cell r="F19619" t="str">
            <v>Primary</v>
          </cell>
        </row>
        <row r="19620">
          <cell r="A19620">
            <v>8514000</v>
          </cell>
          <cell r="B19620">
            <v>131951</v>
          </cell>
          <cell r="C19620" t="str">
            <v>Miltoncross School</v>
          </cell>
          <cell r="D19620" t="str">
            <v>Portsmouth</v>
          </cell>
          <cell r="E19620" t="str">
            <v>Community School</v>
          </cell>
          <cell r="F19620" t="str">
            <v>Secondary</v>
          </cell>
        </row>
        <row r="19621">
          <cell r="A19621">
            <v>8353323</v>
          </cell>
          <cell r="B19621">
            <v>113801</v>
          </cell>
          <cell r="C19621" t="str">
            <v>Milton-on-Stour Church of England Primary School</v>
          </cell>
          <cell r="D19621" t="str">
            <v>Dorset</v>
          </cell>
          <cell r="E19621" t="str">
            <v>Voluntary Aided School</v>
          </cell>
          <cell r="F19621" t="str">
            <v>Primary</v>
          </cell>
        </row>
        <row r="19622">
          <cell r="A19622">
            <v>9332206</v>
          </cell>
          <cell r="B19622">
            <v>123703</v>
          </cell>
          <cell r="C19622" t="str">
            <v>Milverton Community Primary School</v>
          </cell>
          <cell r="D19622" t="str">
            <v>Somerset</v>
          </cell>
          <cell r="E19622" t="str">
            <v>Community School</v>
          </cell>
          <cell r="F19622" t="str">
            <v>Primary</v>
          </cell>
        </row>
        <row r="19623">
          <cell r="A19623">
            <v>9326084</v>
          </cell>
          <cell r="B19623">
            <v>129822</v>
          </cell>
          <cell r="C19623" t="str">
            <v>Milverton Court School</v>
          </cell>
          <cell r="D19623" t="str">
            <v>Pre LGR (1998) Shropshire</v>
          </cell>
          <cell r="E19623" t="str">
            <v>Other Independent School</v>
          </cell>
          <cell r="F19623" t="str">
            <v>Not applicable</v>
          </cell>
        </row>
        <row r="19624">
          <cell r="A19624">
            <v>9376091</v>
          </cell>
          <cell r="B19624">
            <v>125789</v>
          </cell>
          <cell r="C19624" t="str">
            <v>Milverton House School</v>
          </cell>
          <cell r="D19624" t="str">
            <v>Warwickshire</v>
          </cell>
          <cell r="E19624" t="str">
            <v>Other Independent School</v>
          </cell>
          <cell r="F19624" t="str">
            <v>Not applicable</v>
          </cell>
        </row>
        <row r="19625">
          <cell r="A19625">
            <v>9372606</v>
          </cell>
          <cell r="B19625">
            <v>125610</v>
          </cell>
          <cell r="C19625" t="str">
            <v>Milverton Primary School</v>
          </cell>
          <cell r="D19625" t="str">
            <v>Warwickshire</v>
          </cell>
          <cell r="E19625" t="str">
            <v>Community School</v>
          </cell>
          <cell r="F19625" t="str">
            <v>Primary</v>
          </cell>
        </row>
        <row r="19626">
          <cell r="A19626">
            <v>8812625</v>
          </cell>
          <cell r="B19626">
            <v>114922</v>
          </cell>
          <cell r="C19626" t="str">
            <v>Milwards Primary School and Nursery</v>
          </cell>
          <cell r="D19626" t="str">
            <v>Essex</v>
          </cell>
          <cell r="E19626" t="str">
            <v>Foundation School</v>
          </cell>
          <cell r="F19626" t="str">
            <v>Primary</v>
          </cell>
        </row>
        <row r="19627">
          <cell r="A19627">
            <v>9165217</v>
          </cell>
          <cell r="B19627">
            <v>115747</v>
          </cell>
          <cell r="C19627" t="str">
            <v>Minchinhampton School</v>
          </cell>
          <cell r="D19627" t="str">
            <v>Gloucestershire</v>
          </cell>
          <cell r="E19627" t="str">
            <v>Foundation School</v>
          </cell>
          <cell r="F19627" t="str">
            <v>Primary</v>
          </cell>
        </row>
        <row r="19628">
          <cell r="A19628">
            <v>9332048</v>
          </cell>
          <cell r="B19628">
            <v>123656</v>
          </cell>
          <cell r="C19628" t="str">
            <v>Minehead First School</v>
          </cell>
          <cell r="D19628" t="str">
            <v>Somerset</v>
          </cell>
          <cell r="E19628" t="str">
            <v>Community School</v>
          </cell>
          <cell r="F19628" t="str">
            <v>Primary</v>
          </cell>
        </row>
        <row r="19629">
          <cell r="A19629">
            <v>9334290</v>
          </cell>
          <cell r="B19629">
            <v>123876</v>
          </cell>
          <cell r="C19629" t="str">
            <v>Minehead Middle School</v>
          </cell>
          <cell r="D19629" t="str">
            <v>Somerset</v>
          </cell>
          <cell r="E19629" t="str">
            <v>Community School</v>
          </cell>
          <cell r="F19629" t="str">
            <v>Middle Deemed Secondary</v>
          </cell>
        </row>
        <row r="19630">
          <cell r="A19630">
            <v>9334290</v>
          </cell>
          <cell r="B19630">
            <v>136774</v>
          </cell>
          <cell r="C19630" t="str">
            <v>Minehead Middle School</v>
          </cell>
          <cell r="D19630" t="str">
            <v>Somerset</v>
          </cell>
          <cell r="E19630" t="str">
            <v>Academy Converters</v>
          </cell>
          <cell r="F19630" t="str">
            <v>Middle Deemed Secondary</v>
          </cell>
        </row>
        <row r="19631">
          <cell r="A19631">
            <v>6653337</v>
          </cell>
          <cell r="B19631">
            <v>400457</v>
          </cell>
          <cell r="C19631" t="str">
            <v>Minera Aided Primary School</v>
          </cell>
          <cell r="D19631" t="str">
            <v>Wrexham</v>
          </cell>
          <cell r="E19631" t="str">
            <v>Welsh Establishment</v>
          </cell>
          <cell r="F19631" t="str">
            <v>Primary</v>
          </cell>
        </row>
        <row r="19632">
          <cell r="A19632">
            <v>3122036</v>
          </cell>
          <cell r="B19632">
            <v>102391</v>
          </cell>
          <cell r="C19632" t="str">
            <v>Minet Junior School</v>
          </cell>
          <cell r="D19632" t="str">
            <v>Hillingdon</v>
          </cell>
          <cell r="E19632" t="str">
            <v>Community School</v>
          </cell>
          <cell r="F19632" t="str">
            <v>Primary</v>
          </cell>
        </row>
        <row r="19633">
          <cell r="A19633">
            <v>3122037</v>
          </cell>
          <cell r="B19633">
            <v>102392</v>
          </cell>
          <cell r="C19633" t="str">
            <v>Minet Nursery and Infant School</v>
          </cell>
          <cell r="D19633" t="str">
            <v>Hillingdon</v>
          </cell>
          <cell r="E19633" t="str">
            <v>Community School</v>
          </cell>
          <cell r="F19633" t="str">
            <v>Primary</v>
          </cell>
        </row>
        <row r="19634">
          <cell r="A19634">
            <v>8653220</v>
          </cell>
          <cell r="B19634">
            <v>126379</v>
          </cell>
          <cell r="C19634" t="str">
            <v>Minety Church of England Primary School</v>
          </cell>
          <cell r="D19634" t="str">
            <v>Wiltshire</v>
          </cell>
          <cell r="E19634" t="str">
            <v>Voluntary Controlled School</v>
          </cell>
          <cell r="F19634" t="str">
            <v>Primary</v>
          </cell>
        </row>
        <row r="19635">
          <cell r="A19635">
            <v>8507904</v>
          </cell>
          <cell r="B19635">
            <v>131922</v>
          </cell>
          <cell r="C19635" t="str">
            <v>Minstead Training Project</v>
          </cell>
          <cell r="D19635" t="str">
            <v>Hampshire</v>
          </cell>
          <cell r="E19635" t="str">
            <v>Special College</v>
          </cell>
          <cell r="F19635" t="str">
            <v>16 Plus</v>
          </cell>
        </row>
        <row r="19636">
          <cell r="A19636">
            <v>8863182</v>
          </cell>
          <cell r="B19636">
            <v>118696</v>
          </cell>
          <cell r="C19636" t="str">
            <v>Minster Church of England Primary School</v>
          </cell>
          <cell r="D19636" t="str">
            <v>Kent</v>
          </cell>
          <cell r="E19636" t="str">
            <v>Voluntary Controlled School</v>
          </cell>
          <cell r="F19636" t="str">
            <v>Primary</v>
          </cell>
        </row>
        <row r="19637">
          <cell r="A19637">
            <v>8865417</v>
          </cell>
          <cell r="B19637">
            <v>118889</v>
          </cell>
          <cell r="C19637" t="str">
            <v>Minster College</v>
          </cell>
          <cell r="D19637" t="str">
            <v>Kent</v>
          </cell>
          <cell r="E19637" t="str">
            <v>Foundation School</v>
          </cell>
          <cell r="F19637" t="str">
            <v>Secondary</v>
          </cell>
        </row>
        <row r="19638">
          <cell r="A19638">
            <v>8862235</v>
          </cell>
          <cell r="B19638">
            <v>118344</v>
          </cell>
          <cell r="C19638" t="str">
            <v>Minster in Sheppey Primary School</v>
          </cell>
          <cell r="D19638" t="str">
            <v>Kent</v>
          </cell>
          <cell r="E19638" t="str">
            <v>Community School</v>
          </cell>
          <cell r="F19638" t="str">
            <v>Primary</v>
          </cell>
        </row>
        <row r="19639">
          <cell r="A19639">
            <v>8881110</v>
          </cell>
          <cell r="B19639">
            <v>119113</v>
          </cell>
          <cell r="C19639" t="str">
            <v>Minster Lodge School</v>
          </cell>
          <cell r="D19639" t="str">
            <v>Lancashire</v>
          </cell>
          <cell r="E19639" t="str">
            <v>Pupil Referral Unit</v>
          </cell>
          <cell r="F19639" t="str">
            <v>PRU</v>
          </cell>
        </row>
        <row r="19640">
          <cell r="A19640">
            <v>8914669</v>
          </cell>
          <cell r="B19640">
            <v>122898</v>
          </cell>
          <cell r="C19640" t="str">
            <v>Minster School</v>
          </cell>
          <cell r="D19640" t="str">
            <v>Nottinghamshire</v>
          </cell>
          <cell r="E19640" t="str">
            <v>Voluntary Aided School</v>
          </cell>
          <cell r="F19640" t="str">
            <v>Middle Deemed Secondary</v>
          </cell>
        </row>
        <row r="19641">
          <cell r="A19641">
            <v>8932072</v>
          </cell>
          <cell r="B19641">
            <v>123383</v>
          </cell>
          <cell r="C19641" t="str">
            <v>Minsterley Primary School</v>
          </cell>
          <cell r="D19641" t="str">
            <v>Shropshire</v>
          </cell>
          <cell r="E19641" t="str">
            <v>Community School</v>
          </cell>
          <cell r="F19641" t="str">
            <v>Primary</v>
          </cell>
        </row>
        <row r="19642">
          <cell r="A19642">
            <v>9163336</v>
          </cell>
          <cell r="B19642">
            <v>115691</v>
          </cell>
          <cell r="C19642" t="str">
            <v>Minsterworth Church of England Primary School</v>
          </cell>
          <cell r="D19642" t="str">
            <v>Gloucestershire</v>
          </cell>
          <cell r="E19642" t="str">
            <v>Voluntary Aided School</v>
          </cell>
          <cell r="F19642" t="str">
            <v>Primary</v>
          </cell>
        </row>
        <row r="19643">
          <cell r="A19643">
            <v>3844030</v>
          </cell>
          <cell r="B19643">
            <v>108282</v>
          </cell>
          <cell r="C19643" t="str">
            <v>Minsthorpe Community College, A Specialist Science College</v>
          </cell>
          <cell r="D19643" t="str">
            <v>Wakefield</v>
          </cell>
          <cell r="E19643" t="str">
            <v>Community School</v>
          </cell>
          <cell r="F19643" t="str">
            <v>Secondary</v>
          </cell>
        </row>
        <row r="19644">
          <cell r="A19644">
            <v>3844030</v>
          </cell>
          <cell r="B19644">
            <v>137011</v>
          </cell>
          <cell r="C19644" t="str">
            <v>Minsthorpe Community College, A Specialist Science College</v>
          </cell>
          <cell r="D19644" t="str">
            <v>Wakefield</v>
          </cell>
          <cell r="E19644" t="str">
            <v>Academy Converters</v>
          </cell>
          <cell r="F19644" t="str">
            <v>Secondary</v>
          </cell>
        </row>
        <row r="19645">
          <cell r="A19645">
            <v>8862463</v>
          </cell>
          <cell r="B19645">
            <v>118455</v>
          </cell>
          <cell r="C19645" t="str">
            <v>Minterne Community Junior School</v>
          </cell>
          <cell r="D19645" t="str">
            <v>Kent</v>
          </cell>
          <cell r="E19645" t="str">
            <v>Community School</v>
          </cell>
          <cell r="F19645" t="str">
            <v>Primary</v>
          </cell>
        </row>
        <row r="19646">
          <cell r="A19646">
            <v>3302406</v>
          </cell>
          <cell r="B19646">
            <v>103345</v>
          </cell>
          <cell r="C19646" t="str">
            <v>Minworth Junior and Infant School</v>
          </cell>
          <cell r="D19646" t="str">
            <v>Birmingham</v>
          </cell>
          <cell r="E19646" t="str">
            <v>Community School</v>
          </cell>
          <cell r="F19646" t="str">
            <v>Primary</v>
          </cell>
        </row>
        <row r="19647">
          <cell r="A19647">
            <v>3802185</v>
          </cell>
          <cell r="B19647">
            <v>107296</v>
          </cell>
          <cell r="C19647" t="str">
            <v>Miriam Lord Community Primary School</v>
          </cell>
          <cell r="D19647" t="str">
            <v>Bradford</v>
          </cell>
          <cell r="E19647" t="str">
            <v>Community School</v>
          </cell>
          <cell r="F19647" t="str">
            <v>Primary</v>
          </cell>
        </row>
        <row r="19648">
          <cell r="A19648">
            <v>9163337</v>
          </cell>
          <cell r="B19648">
            <v>115692</v>
          </cell>
          <cell r="C19648" t="str">
            <v>Miserden Church of England Primary School</v>
          </cell>
          <cell r="D19648" t="str">
            <v>Gloucestershire</v>
          </cell>
          <cell r="E19648" t="str">
            <v>Voluntary Aided School</v>
          </cell>
          <cell r="F19648" t="str">
            <v>Primary</v>
          </cell>
        </row>
        <row r="19649">
          <cell r="A19649">
            <v>6742367</v>
          </cell>
          <cell r="B19649">
            <v>401261</v>
          </cell>
          <cell r="C19649" t="str">
            <v>Miskin Primary School</v>
          </cell>
          <cell r="D19649" t="str">
            <v>Rhondda, Cynon, Taff</v>
          </cell>
          <cell r="E19649" t="str">
            <v>Welsh Establishment</v>
          </cell>
          <cell r="F19649" t="str">
            <v>Primary</v>
          </cell>
        </row>
        <row r="19650">
          <cell r="A19650">
            <v>8258290</v>
          </cell>
          <cell r="B19650">
            <v>132803</v>
          </cell>
          <cell r="C19650" t="str">
            <v>Missenden Abbey Adult Education College</v>
          </cell>
          <cell r="D19650" t="str">
            <v>Buckinghamshire</v>
          </cell>
          <cell r="E19650" t="str">
            <v>Further Education</v>
          </cell>
          <cell r="F19650" t="str">
            <v>16 Plus</v>
          </cell>
        </row>
        <row r="19651">
          <cell r="A19651">
            <v>3202074</v>
          </cell>
          <cell r="B19651">
            <v>103077</v>
          </cell>
          <cell r="C19651" t="str">
            <v>Mission Grove Primary School</v>
          </cell>
          <cell r="D19651" t="str">
            <v>Waltham Forest</v>
          </cell>
          <cell r="E19651" t="str">
            <v>Community School</v>
          </cell>
          <cell r="F19651" t="str">
            <v>Primary</v>
          </cell>
        </row>
        <row r="19652">
          <cell r="A19652">
            <v>8912781</v>
          </cell>
          <cell r="B19652">
            <v>122656</v>
          </cell>
          <cell r="C19652" t="str">
            <v>Misson Primary School</v>
          </cell>
          <cell r="D19652" t="str">
            <v>Nottinghamshire</v>
          </cell>
          <cell r="E19652" t="str">
            <v>Community School</v>
          </cell>
          <cell r="F19652" t="str">
            <v>Primary</v>
          </cell>
        </row>
        <row r="19653">
          <cell r="A19653">
            <v>9333080</v>
          </cell>
          <cell r="B19653">
            <v>123769</v>
          </cell>
          <cell r="C19653" t="str">
            <v>Misterton Church of England First School</v>
          </cell>
          <cell r="D19653" t="str">
            <v>Somerset</v>
          </cell>
          <cell r="E19653" t="str">
            <v>Voluntary Controlled School</v>
          </cell>
          <cell r="F19653" t="str">
            <v>Primary</v>
          </cell>
        </row>
        <row r="19654">
          <cell r="A19654">
            <v>8912784</v>
          </cell>
          <cell r="B19654">
            <v>122657</v>
          </cell>
          <cell r="C19654" t="str">
            <v>Misterton Primary and Nursery School</v>
          </cell>
          <cell r="D19654" t="str">
            <v>Nottinghamshire</v>
          </cell>
          <cell r="E19654" t="str">
            <v>Community School</v>
          </cell>
          <cell r="F19654" t="str">
            <v>Primary</v>
          </cell>
        </row>
        <row r="19655">
          <cell r="A19655">
            <v>8813037</v>
          </cell>
          <cell r="B19655">
            <v>115087</v>
          </cell>
          <cell r="C19655" t="str">
            <v>Mistley Norman Church of England Voluntary Controlled Primary School</v>
          </cell>
          <cell r="D19655" t="str">
            <v>Essex</v>
          </cell>
          <cell r="E19655" t="str">
            <v>Voluntary Controlled School</v>
          </cell>
          <cell r="F19655" t="str">
            <v>Primary</v>
          </cell>
        </row>
        <row r="19656">
          <cell r="A19656">
            <v>3154062</v>
          </cell>
          <cell r="B19656">
            <v>132166</v>
          </cell>
          <cell r="C19656" t="str">
            <v>Mitcham Vale School</v>
          </cell>
          <cell r="D19656" t="str">
            <v>Merton</v>
          </cell>
          <cell r="E19656" t="str">
            <v>Community School</v>
          </cell>
          <cell r="F19656" t="str">
            <v>Secondary</v>
          </cell>
        </row>
        <row r="19657">
          <cell r="A19657">
            <v>9163338</v>
          </cell>
          <cell r="B19657">
            <v>115693</v>
          </cell>
          <cell r="C19657" t="str">
            <v>Mitcheldean Endowed Primary School</v>
          </cell>
          <cell r="D19657" t="str">
            <v>Gloucestershire</v>
          </cell>
          <cell r="E19657" t="str">
            <v>Voluntary Aided School</v>
          </cell>
          <cell r="F19657" t="str">
            <v>Primary</v>
          </cell>
        </row>
        <row r="19658">
          <cell r="A19658">
            <v>3042066</v>
          </cell>
          <cell r="B19658">
            <v>101524</v>
          </cell>
          <cell r="C19658" t="str">
            <v>Mitchell Brook Primary School</v>
          </cell>
          <cell r="D19658" t="str">
            <v>Brent</v>
          </cell>
          <cell r="E19658" t="str">
            <v>Community School</v>
          </cell>
          <cell r="F19658" t="str">
            <v>Primary</v>
          </cell>
        </row>
        <row r="19659">
          <cell r="A19659">
            <v>8614185</v>
          </cell>
          <cell r="B19659">
            <v>124448</v>
          </cell>
          <cell r="C19659" t="str">
            <v>Mitchell High School Business &amp; Enterprise College</v>
          </cell>
          <cell r="D19659" t="str">
            <v>Stoke-on-Trent</v>
          </cell>
          <cell r="E19659" t="str">
            <v>Community School</v>
          </cell>
          <cell r="F19659" t="str">
            <v>Secondary</v>
          </cell>
        </row>
        <row r="19660">
          <cell r="A19660">
            <v>3112079</v>
          </cell>
          <cell r="B19660">
            <v>102315</v>
          </cell>
          <cell r="C19660" t="str">
            <v>Mitchell Infants' School</v>
          </cell>
          <cell r="D19660" t="str">
            <v>Havering</v>
          </cell>
          <cell r="E19660" t="str">
            <v>Community School</v>
          </cell>
          <cell r="F19660" t="str">
            <v>Primary</v>
          </cell>
        </row>
        <row r="19661">
          <cell r="A19661">
            <v>3112071</v>
          </cell>
          <cell r="B19661">
            <v>102310</v>
          </cell>
          <cell r="C19661" t="str">
            <v>Mitchell Junior School</v>
          </cell>
          <cell r="D19661" t="str">
            <v>Havering</v>
          </cell>
          <cell r="E19661" t="str">
            <v>Community School</v>
          </cell>
          <cell r="F19661" t="str">
            <v>Primary</v>
          </cell>
        </row>
        <row r="19662">
          <cell r="A19662">
            <v>9082312</v>
          </cell>
          <cell r="B19662">
            <v>111867</v>
          </cell>
          <cell r="C19662" t="str">
            <v>Mithian School</v>
          </cell>
          <cell r="D19662" t="str">
            <v>Cornwall</v>
          </cell>
          <cell r="E19662" t="str">
            <v>Community School</v>
          </cell>
          <cell r="F19662" t="str">
            <v>Primary</v>
          </cell>
        </row>
        <row r="19663">
          <cell r="A19663">
            <v>9162125</v>
          </cell>
          <cell r="B19663">
            <v>115566</v>
          </cell>
          <cell r="C19663" t="str">
            <v>Mitton Manor Primary School</v>
          </cell>
          <cell r="D19663" t="str">
            <v>Gloucestershire</v>
          </cell>
          <cell r="E19663" t="str">
            <v>Community School</v>
          </cell>
          <cell r="F19663" t="str">
            <v>Primary</v>
          </cell>
        </row>
        <row r="19664">
          <cell r="A19664">
            <v>3812012</v>
          </cell>
          <cell r="B19664">
            <v>126561</v>
          </cell>
          <cell r="C19664" t="str">
            <v>Mixenden Community Primary School</v>
          </cell>
          <cell r="D19664" t="str">
            <v>Calderdale</v>
          </cell>
          <cell r="E19664" t="str">
            <v>Community School</v>
          </cell>
          <cell r="F19664" t="str">
            <v>Primary</v>
          </cell>
        </row>
        <row r="19665">
          <cell r="A19665">
            <v>8564267</v>
          </cell>
          <cell r="B19665">
            <v>120292</v>
          </cell>
          <cell r="C19665" t="str">
            <v>Moat Community College</v>
          </cell>
          <cell r="D19665" t="str">
            <v>Leicester</v>
          </cell>
          <cell r="E19665" t="str">
            <v>Community School</v>
          </cell>
          <cell r="F19665" t="str">
            <v>Secondary</v>
          </cell>
        </row>
        <row r="19666">
          <cell r="A19666">
            <v>3332135</v>
          </cell>
          <cell r="B19666">
            <v>103949</v>
          </cell>
          <cell r="C19666" t="str">
            <v>Moat Farm Infant School</v>
          </cell>
          <cell r="D19666" t="str">
            <v>Sandwell</v>
          </cell>
          <cell r="E19666" t="str">
            <v>Community School</v>
          </cell>
          <cell r="F19666" t="str">
            <v>Primary</v>
          </cell>
        </row>
        <row r="19667">
          <cell r="A19667">
            <v>3332134</v>
          </cell>
          <cell r="B19667">
            <v>103948</v>
          </cell>
          <cell r="C19667" t="str">
            <v>Moat Farm Junior School</v>
          </cell>
          <cell r="D19667" t="str">
            <v>Sandwell</v>
          </cell>
          <cell r="E19667" t="str">
            <v>Foundation School</v>
          </cell>
          <cell r="F19667" t="str">
            <v>Primary</v>
          </cell>
        </row>
        <row r="19668">
          <cell r="A19668">
            <v>8602395</v>
          </cell>
          <cell r="B19668">
            <v>124191</v>
          </cell>
          <cell r="C19668" t="str">
            <v>Moat Hall Primary School</v>
          </cell>
          <cell r="D19668" t="str">
            <v>Staffordshire</v>
          </cell>
          <cell r="E19668" t="str">
            <v>Community School</v>
          </cell>
          <cell r="F19668" t="str">
            <v>Primary</v>
          </cell>
        </row>
        <row r="19669">
          <cell r="A19669">
            <v>3561101</v>
          </cell>
          <cell r="B19669">
            <v>106023</v>
          </cell>
          <cell r="C19669" t="str">
            <v>Moat House</v>
          </cell>
          <cell r="D19669" t="str">
            <v>Stockport</v>
          </cell>
          <cell r="E19669" t="str">
            <v>Pupil Referral Unit</v>
          </cell>
          <cell r="F19669" t="str">
            <v>PRU</v>
          </cell>
        </row>
        <row r="19670">
          <cell r="A19670">
            <v>3362059</v>
          </cell>
          <cell r="B19670">
            <v>104321</v>
          </cell>
          <cell r="C19670" t="str">
            <v>Moat House Primary School</v>
          </cell>
          <cell r="D19670" t="str">
            <v>Wolverhampton</v>
          </cell>
          <cell r="E19670" t="str">
            <v>Community School</v>
          </cell>
          <cell r="F19670" t="str">
            <v>Primary</v>
          </cell>
        </row>
        <row r="19671">
          <cell r="A19671">
            <v>3312158</v>
          </cell>
          <cell r="B19671">
            <v>133474</v>
          </cell>
          <cell r="C19671" t="str">
            <v>Moat House Primary School</v>
          </cell>
          <cell r="D19671" t="str">
            <v>Coventry</v>
          </cell>
          <cell r="E19671" t="str">
            <v>Community School</v>
          </cell>
          <cell r="F19671" t="str">
            <v>Primary</v>
          </cell>
        </row>
        <row r="19672">
          <cell r="A19672">
            <v>8817029</v>
          </cell>
          <cell r="B19672">
            <v>115452</v>
          </cell>
          <cell r="C19672" t="str">
            <v>Moat House School</v>
          </cell>
          <cell r="D19672" t="str">
            <v>Essex</v>
          </cell>
          <cell r="E19672" t="str">
            <v>Community Special School</v>
          </cell>
          <cell r="F19672" t="str">
            <v>Special</v>
          </cell>
        </row>
        <row r="19673">
          <cell r="A19673">
            <v>9162024</v>
          </cell>
          <cell r="B19673">
            <v>115490</v>
          </cell>
          <cell r="C19673" t="str">
            <v>Moat Infant School</v>
          </cell>
          <cell r="D19673" t="str">
            <v>Gloucestershire</v>
          </cell>
          <cell r="E19673" t="str">
            <v>Community School</v>
          </cell>
          <cell r="F19673" t="str">
            <v>Primary</v>
          </cell>
        </row>
        <row r="19674">
          <cell r="A19674">
            <v>9165218</v>
          </cell>
          <cell r="B19674">
            <v>115748</v>
          </cell>
          <cell r="C19674" t="str">
            <v>Moat Junior School</v>
          </cell>
          <cell r="D19674" t="str">
            <v>Gloucestershire</v>
          </cell>
          <cell r="E19674" t="str">
            <v>Foundation School</v>
          </cell>
          <cell r="F19674" t="str">
            <v>Primary</v>
          </cell>
        </row>
        <row r="19675">
          <cell r="A19675">
            <v>9162183</v>
          </cell>
          <cell r="B19675">
            <v>133253</v>
          </cell>
          <cell r="C19675" t="str">
            <v>Moat Primary School</v>
          </cell>
          <cell r="D19675" t="str">
            <v>Gloucestershire</v>
          </cell>
          <cell r="E19675" t="str">
            <v>Community School</v>
          </cell>
          <cell r="F19675" t="str">
            <v>Primary</v>
          </cell>
        </row>
        <row r="19676">
          <cell r="A19676">
            <v>2037118</v>
          </cell>
          <cell r="B19676">
            <v>100204</v>
          </cell>
          <cell r="C19676" t="str">
            <v>Moatbridge School</v>
          </cell>
          <cell r="D19676" t="str">
            <v>Greenwich</v>
          </cell>
          <cell r="E19676" t="str">
            <v>Community Special School</v>
          </cell>
          <cell r="F19676" t="str">
            <v>Special</v>
          </cell>
        </row>
        <row r="19677">
          <cell r="A19677">
            <v>9356067</v>
          </cell>
          <cell r="B19677">
            <v>124895</v>
          </cell>
          <cell r="C19677" t="str">
            <v>Moats Tye School</v>
          </cell>
          <cell r="D19677" t="str">
            <v>Suffolk</v>
          </cell>
          <cell r="E19677" t="str">
            <v>Other Independent Special School</v>
          </cell>
          <cell r="F19677" t="str">
            <v>Not applicable</v>
          </cell>
        </row>
        <row r="19678">
          <cell r="A19678">
            <v>8953157</v>
          </cell>
          <cell r="B19678">
            <v>111277</v>
          </cell>
          <cell r="C19678" t="str">
            <v>Mobberley CofE Primary School</v>
          </cell>
          <cell r="D19678" t="str">
            <v>Cheshire East</v>
          </cell>
          <cell r="E19678" t="str">
            <v>Voluntary Controlled School</v>
          </cell>
          <cell r="F19678" t="str">
            <v>Primary</v>
          </cell>
        </row>
        <row r="19679">
          <cell r="A19679">
            <v>6622106</v>
          </cell>
          <cell r="B19679">
            <v>400215</v>
          </cell>
          <cell r="C19679" t="str">
            <v>Mochdre Infants C.P. School</v>
          </cell>
          <cell r="D19679" t="str">
            <v>Conwy</v>
          </cell>
          <cell r="E19679" t="str">
            <v>Welsh Establishment</v>
          </cell>
          <cell r="F19679" t="str">
            <v>Primary</v>
          </cell>
        </row>
        <row r="19680">
          <cell r="A19680">
            <v>9112429</v>
          </cell>
          <cell r="B19680">
            <v>128698</v>
          </cell>
          <cell r="C19680" t="str">
            <v>Modbury County Primary School</v>
          </cell>
          <cell r="D19680" t="str">
            <v>Pre LGR (1998) Devon</v>
          </cell>
          <cell r="E19680" t="str">
            <v>Community School</v>
          </cell>
          <cell r="F19680" t="str">
            <v>Primary</v>
          </cell>
        </row>
        <row r="19681">
          <cell r="A19681">
            <v>8782715</v>
          </cell>
          <cell r="B19681">
            <v>113335</v>
          </cell>
          <cell r="C19681" t="str">
            <v>Modbury Primary School</v>
          </cell>
          <cell r="D19681" t="str">
            <v>Devon</v>
          </cell>
          <cell r="E19681" t="str">
            <v>Community School</v>
          </cell>
          <cell r="F19681" t="str">
            <v>Primary</v>
          </cell>
        </row>
        <row r="19682">
          <cell r="A19682">
            <v>6693322</v>
          </cell>
          <cell r="B19682">
            <v>400859</v>
          </cell>
          <cell r="C19682" t="str">
            <v>Model C.I.W. School</v>
          </cell>
          <cell r="D19682" t="str">
            <v>Carmarthenshire</v>
          </cell>
          <cell r="E19682" t="str">
            <v>Welsh Establishment</v>
          </cell>
          <cell r="F19682" t="str">
            <v>Primary</v>
          </cell>
        </row>
        <row r="19683">
          <cell r="A19683">
            <v>8302621</v>
          </cell>
          <cell r="B19683">
            <v>112784</v>
          </cell>
          <cell r="C19683" t="str">
            <v>Model Village Primary School</v>
          </cell>
          <cell r="D19683" t="str">
            <v>Derbyshire</v>
          </cell>
          <cell r="E19683" t="str">
            <v>Community School</v>
          </cell>
          <cell r="F19683" t="str">
            <v>Primary</v>
          </cell>
        </row>
        <row r="19684">
          <cell r="A19684">
            <v>8551100</v>
          </cell>
          <cell r="B19684">
            <v>134090</v>
          </cell>
          <cell r="C19684" t="str">
            <v>Moel Llys Centre</v>
          </cell>
          <cell r="D19684" t="str">
            <v>Leicestershire</v>
          </cell>
          <cell r="E19684" t="str">
            <v>Pupil Referral Unit</v>
          </cell>
          <cell r="F19684" t="str">
            <v>PRU</v>
          </cell>
        </row>
        <row r="19685">
          <cell r="A19685">
            <v>8551105</v>
          </cell>
          <cell r="B19685">
            <v>134348</v>
          </cell>
          <cell r="C19685" t="str">
            <v>Moel Llys Short Stay School</v>
          </cell>
          <cell r="D19685" t="str">
            <v>Leicestershire</v>
          </cell>
          <cell r="E19685" t="str">
            <v>Pupil Referral Unit</v>
          </cell>
          <cell r="F19685" t="str">
            <v>PRU</v>
          </cell>
        </row>
        <row r="19686">
          <cell r="A19686">
            <v>8936002</v>
          </cell>
          <cell r="B19686">
            <v>123601</v>
          </cell>
          <cell r="C19686" t="str">
            <v>Moffats School</v>
          </cell>
          <cell r="D19686" t="str">
            <v>Shropshire</v>
          </cell>
          <cell r="E19686" t="str">
            <v>Other Independent School</v>
          </cell>
          <cell r="F19686" t="str">
            <v>Not applicable</v>
          </cell>
        </row>
        <row r="19687">
          <cell r="A19687">
            <v>8235204</v>
          </cell>
          <cell r="B19687">
            <v>109473</v>
          </cell>
          <cell r="C19687" t="str">
            <v>Moggerhanger Lower School</v>
          </cell>
          <cell r="D19687" t="str">
            <v>Central Bedfordshire</v>
          </cell>
          <cell r="E19687" t="str">
            <v>Foundation School</v>
          </cell>
          <cell r="F19687" t="str">
            <v>Primary</v>
          </cell>
        </row>
        <row r="19688">
          <cell r="A19688">
            <v>8456015</v>
          </cell>
          <cell r="B19688">
            <v>114651</v>
          </cell>
          <cell r="C19688" t="str">
            <v>Moira House Girls' School</v>
          </cell>
          <cell r="D19688" t="str">
            <v>East Sussex</v>
          </cell>
          <cell r="E19688" t="str">
            <v>Other Independent School</v>
          </cell>
          <cell r="F19688" t="str">
            <v>Not applicable</v>
          </cell>
        </row>
        <row r="19689">
          <cell r="A19689">
            <v>8552007</v>
          </cell>
          <cell r="B19689">
            <v>119906</v>
          </cell>
          <cell r="C19689" t="str">
            <v>Moira Infant School</v>
          </cell>
          <cell r="D19689" t="str">
            <v>Leicestershire</v>
          </cell>
          <cell r="E19689" t="str">
            <v>Community School</v>
          </cell>
          <cell r="F19689" t="str">
            <v>Primary</v>
          </cell>
        </row>
        <row r="19690">
          <cell r="A19690">
            <v>6644006</v>
          </cell>
          <cell r="B19690">
            <v>401700</v>
          </cell>
          <cell r="C19690" t="str">
            <v>Mold Alun School</v>
          </cell>
          <cell r="D19690" t="str">
            <v>Flintshire</v>
          </cell>
          <cell r="E19690" t="str">
            <v>Welsh Establishment</v>
          </cell>
          <cell r="F19690" t="str">
            <v>Secondary</v>
          </cell>
        </row>
        <row r="19691">
          <cell r="A19691">
            <v>3822145</v>
          </cell>
          <cell r="B19691">
            <v>107691</v>
          </cell>
          <cell r="C19691" t="str">
            <v>Moldgreen Community Primary School</v>
          </cell>
          <cell r="D19691" t="str">
            <v>Kirklees</v>
          </cell>
          <cell r="E19691" t="str">
            <v>Community School</v>
          </cell>
          <cell r="F19691" t="str">
            <v>Primary</v>
          </cell>
        </row>
        <row r="19692">
          <cell r="A19692">
            <v>8862174</v>
          </cell>
          <cell r="B19692">
            <v>118300</v>
          </cell>
          <cell r="C19692" t="str">
            <v>Molehill Copse Primary School</v>
          </cell>
          <cell r="D19692" t="str">
            <v>Kent</v>
          </cell>
          <cell r="E19692" t="str">
            <v>Community School</v>
          </cell>
          <cell r="F19692" t="str">
            <v>Primary</v>
          </cell>
        </row>
        <row r="19693">
          <cell r="A19693">
            <v>8112778</v>
          </cell>
          <cell r="B19693">
            <v>117889</v>
          </cell>
          <cell r="C19693" t="str">
            <v>Molescroft Primary School</v>
          </cell>
          <cell r="D19693" t="str">
            <v>East Riding of Yorkshire</v>
          </cell>
          <cell r="E19693" t="str">
            <v>Community School</v>
          </cell>
          <cell r="F19693" t="str">
            <v>Primary</v>
          </cell>
        </row>
        <row r="19694">
          <cell r="A19694">
            <v>9063161</v>
          </cell>
          <cell r="B19694">
            <v>111279</v>
          </cell>
          <cell r="C19694" t="str">
            <v>Mollington CofE (Controlled) Primary School</v>
          </cell>
          <cell r="D19694" t="str">
            <v>Pre LGR (1998) Cheshire</v>
          </cell>
          <cell r="E19694" t="str">
            <v>Voluntary Controlled School</v>
          </cell>
          <cell r="F19694" t="str">
            <v>Primary</v>
          </cell>
        </row>
        <row r="19695">
          <cell r="A19695">
            <v>9313006</v>
          </cell>
          <cell r="B19695">
            <v>123093</v>
          </cell>
          <cell r="C19695" t="str">
            <v>Mollington CofE School</v>
          </cell>
          <cell r="D19695" t="str">
            <v>Oxfordshire</v>
          </cell>
          <cell r="E19695" t="str">
            <v>Voluntary Controlled School</v>
          </cell>
          <cell r="F19695" t="str">
            <v>Primary</v>
          </cell>
        </row>
        <row r="19696">
          <cell r="A19696">
            <v>3162041</v>
          </cell>
          <cell r="B19696">
            <v>102731</v>
          </cell>
          <cell r="C19696" t="str">
            <v>Monega Primary School</v>
          </cell>
          <cell r="D19696" t="str">
            <v>Newham</v>
          </cell>
          <cell r="E19696" t="str">
            <v>Community School</v>
          </cell>
          <cell r="F19696" t="str">
            <v>Primary</v>
          </cell>
        </row>
        <row r="19697">
          <cell r="A19697">
            <v>8862303</v>
          </cell>
          <cell r="B19697">
            <v>118388</v>
          </cell>
          <cell r="C19697" t="str">
            <v>Mongeham Primary School</v>
          </cell>
          <cell r="D19697" t="str">
            <v>Kent</v>
          </cell>
          <cell r="E19697" t="str">
            <v>Community School</v>
          </cell>
          <cell r="F19697" t="str">
            <v>Primary</v>
          </cell>
        </row>
        <row r="19698">
          <cell r="A19698">
            <v>8153257</v>
          </cell>
          <cell r="B19698">
            <v>121577</v>
          </cell>
          <cell r="C19698" t="str">
            <v>Monk Fryston Church of England Voluntary Controlled Primary School</v>
          </cell>
          <cell r="D19698" t="str">
            <v>North Yorkshire</v>
          </cell>
          <cell r="E19698" t="str">
            <v>Voluntary Controlled School</v>
          </cell>
          <cell r="F19698" t="str">
            <v>Primary</v>
          </cell>
        </row>
        <row r="19699">
          <cell r="A19699">
            <v>3911005</v>
          </cell>
          <cell r="B19699">
            <v>108431</v>
          </cell>
          <cell r="C19699" t="str">
            <v>Monkchester Road Nursery School</v>
          </cell>
          <cell r="D19699" t="str">
            <v>Newcastle upon Tyne</v>
          </cell>
          <cell r="E19699" t="str">
            <v>LA Nursery School</v>
          </cell>
          <cell r="F19699" t="str">
            <v>Nursery</v>
          </cell>
        </row>
        <row r="19700">
          <cell r="A19700">
            <v>3023305</v>
          </cell>
          <cell r="B19700">
            <v>101318</v>
          </cell>
          <cell r="C19700" t="str">
            <v>Monken Hadley CofE Primary School</v>
          </cell>
          <cell r="D19700" t="str">
            <v>Barnet</v>
          </cell>
          <cell r="E19700" t="str">
            <v>Voluntary Aided School</v>
          </cell>
          <cell r="F19700" t="str">
            <v>Primary</v>
          </cell>
        </row>
        <row r="19701">
          <cell r="A19701">
            <v>8732449</v>
          </cell>
          <cell r="B19701">
            <v>131996</v>
          </cell>
          <cell r="C19701" t="str">
            <v>Monkfield Park Primary School</v>
          </cell>
          <cell r="D19701" t="str">
            <v>Cambridgeshire</v>
          </cell>
          <cell r="E19701" t="str">
            <v>Community School</v>
          </cell>
          <cell r="F19701" t="str">
            <v>Primary</v>
          </cell>
        </row>
        <row r="19702">
          <cell r="A19702">
            <v>3022042</v>
          </cell>
          <cell r="B19702">
            <v>101293</v>
          </cell>
          <cell r="C19702" t="str">
            <v>Monkfrith Primary School</v>
          </cell>
          <cell r="D19702" t="str">
            <v>Barnet</v>
          </cell>
          <cell r="E19702" t="str">
            <v>Community School</v>
          </cell>
          <cell r="F19702" t="str">
            <v>Primary</v>
          </cell>
        </row>
        <row r="19703">
          <cell r="A19703">
            <v>3922022</v>
          </cell>
          <cell r="B19703">
            <v>108576</v>
          </cell>
          <cell r="C19703" t="str">
            <v>Monkhouse Primary School</v>
          </cell>
          <cell r="D19703" t="str">
            <v>North Tyneside</v>
          </cell>
          <cell r="E19703" t="str">
            <v>Community School</v>
          </cell>
          <cell r="F19703" t="str">
            <v>Primary</v>
          </cell>
        </row>
        <row r="19704">
          <cell r="A19704">
            <v>8782239</v>
          </cell>
          <cell r="B19704">
            <v>113162</v>
          </cell>
          <cell r="C19704" t="str">
            <v>Monkleigh Primary School</v>
          </cell>
          <cell r="D19704" t="str">
            <v>Devon</v>
          </cell>
          <cell r="E19704" t="str">
            <v>Community School</v>
          </cell>
          <cell r="F19704" t="str">
            <v>Primary</v>
          </cell>
        </row>
        <row r="19705">
          <cell r="A19705">
            <v>8952205</v>
          </cell>
          <cell r="B19705">
            <v>111064</v>
          </cell>
          <cell r="C19705" t="str">
            <v>Monks Coppenhall Primary School</v>
          </cell>
          <cell r="D19705" t="str">
            <v>Cheshire East</v>
          </cell>
          <cell r="E19705" t="str">
            <v>Community School</v>
          </cell>
          <cell r="F19705" t="str">
            <v>Primary</v>
          </cell>
        </row>
        <row r="19706">
          <cell r="A19706">
            <v>9255417</v>
          </cell>
          <cell r="B19706">
            <v>120713</v>
          </cell>
          <cell r="C19706" t="str">
            <v>Monks' Dyke Technology College</v>
          </cell>
          <cell r="D19706" t="str">
            <v>Lincolnshire</v>
          </cell>
          <cell r="E19706" t="str">
            <v>Foundation School</v>
          </cell>
          <cell r="F19706" t="str">
            <v>Secondary</v>
          </cell>
        </row>
        <row r="19707">
          <cell r="A19707">
            <v>9353047</v>
          </cell>
          <cell r="B19707">
            <v>124708</v>
          </cell>
          <cell r="C19707" t="str">
            <v>Monks Eleigh Church of England Voluntary Controlled Primary School</v>
          </cell>
          <cell r="D19707" t="str">
            <v>Suffolk</v>
          </cell>
          <cell r="E19707" t="str">
            <v>Voluntary Controlled School</v>
          </cell>
          <cell r="F19707" t="str">
            <v>Primary</v>
          </cell>
        </row>
        <row r="19708">
          <cell r="A19708">
            <v>3062025</v>
          </cell>
          <cell r="B19708">
            <v>101730</v>
          </cell>
          <cell r="C19708" t="str">
            <v>Monks Orchard School</v>
          </cell>
          <cell r="D19708" t="str">
            <v>Croydon</v>
          </cell>
          <cell r="E19708" t="str">
            <v>Community School</v>
          </cell>
          <cell r="F19708" t="str">
            <v>Primary</v>
          </cell>
        </row>
        <row r="19709">
          <cell r="A19709">
            <v>8253046</v>
          </cell>
          <cell r="B19709">
            <v>110434</v>
          </cell>
          <cell r="C19709" t="str">
            <v>Monks Risborough CofE Primary School</v>
          </cell>
          <cell r="D19709" t="str">
            <v>Buckinghamshire</v>
          </cell>
          <cell r="E19709" t="str">
            <v>Voluntary Controlled School</v>
          </cell>
          <cell r="F19709" t="str">
            <v>Primary</v>
          </cell>
        </row>
        <row r="19710">
          <cell r="A19710">
            <v>9172138</v>
          </cell>
          <cell r="B19710">
            <v>130238</v>
          </cell>
          <cell r="C19710" t="str">
            <v>Monks Sherborne County Primary School</v>
          </cell>
          <cell r="D19710" t="str">
            <v>Pre LGR (1997) Hampshire</v>
          </cell>
          <cell r="E19710" t="str">
            <v>Community School</v>
          </cell>
          <cell r="F19710" t="str">
            <v>Primary</v>
          </cell>
        </row>
        <row r="19711">
          <cell r="A19711">
            <v>9194118</v>
          </cell>
          <cell r="B19711">
            <v>117536</v>
          </cell>
          <cell r="C19711" t="str">
            <v>Monk's Walk School</v>
          </cell>
          <cell r="D19711" t="str">
            <v>Hertfordshire</v>
          </cell>
          <cell r="E19711" t="str">
            <v>Foundation School</v>
          </cell>
          <cell r="F19711" t="str">
            <v>Secondary</v>
          </cell>
        </row>
        <row r="19712">
          <cell r="A19712">
            <v>9162182</v>
          </cell>
          <cell r="B19712">
            <v>132126</v>
          </cell>
          <cell r="C19712" t="str">
            <v>Monkscroft Community Primary School</v>
          </cell>
          <cell r="D19712" t="str">
            <v>Gloucestershire</v>
          </cell>
          <cell r="E19712" t="str">
            <v>Community School</v>
          </cell>
          <cell r="F19712" t="str">
            <v>Primary</v>
          </cell>
        </row>
        <row r="19713">
          <cell r="A19713">
            <v>9162154</v>
          </cell>
          <cell r="B19713">
            <v>115589</v>
          </cell>
          <cell r="C19713" t="str">
            <v>Monkscroft Infant School</v>
          </cell>
          <cell r="D19713" t="str">
            <v>Gloucestershire</v>
          </cell>
          <cell r="E19713" t="str">
            <v>Community School</v>
          </cell>
          <cell r="F19713" t="str">
            <v>Primary</v>
          </cell>
        </row>
        <row r="19714">
          <cell r="A19714">
            <v>9162153</v>
          </cell>
          <cell r="B19714">
            <v>115588</v>
          </cell>
          <cell r="C19714" t="str">
            <v>Monkscroft Junior School</v>
          </cell>
          <cell r="D19714" t="str">
            <v>Gloucestershire</v>
          </cell>
          <cell r="E19714" t="str">
            <v>Community School</v>
          </cell>
          <cell r="F19714" t="str">
            <v>Primary</v>
          </cell>
        </row>
        <row r="19715">
          <cell r="A19715">
            <v>3412102</v>
          </cell>
          <cell r="B19715">
            <v>104559</v>
          </cell>
          <cell r="C19715" t="str">
            <v>Monksdown Community Infant School</v>
          </cell>
          <cell r="D19715" t="str">
            <v>Liverpool</v>
          </cell>
          <cell r="E19715" t="str">
            <v>Community School</v>
          </cell>
          <cell r="F19715" t="str">
            <v>Primary</v>
          </cell>
        </row>
        <row r="19716">
          <cell r="A19716">
            <v>3412101</v>
          </cell>
          <cell r="B19716">
            <v>104558</v>
          </cell>
          <cell r="C19716" t="str">
            <v>Monksdown Junior School</v>
          </cell>
          <cell r="D19716" t="str">
            <v>Liverpool</v>
          </cell>
          <cell r="E19716" t="str">
            <v>Community School</v>
          </cell>
          <cell r="F19716" t="str">
            <v>Primary</v>
          </cell>
        </row>
        <row r="19717">
          <cell r="A19717">
            <v>3412240</v>
          </cell>
          <cell r="B19717">
            <v>133331</v>
          </cell>
          <cell r="C19717" t="str">
            <v>Monksdown Primary School</v>
          </cell>
          <cell r="D19717" t="str">
            <v>Liverpool</v>
          </cell>
          <cell r="E19717" t="str">
            <v>Community School</v>
          </cell>
          <cell r="F19717" t="str">
            <v>Primary</v>
          </cell>
        </row>
        <row r="19718">
          <cell r="A19718">
            <v>3924034</v>
          </cell>
          <cell r="B19718">
            <v>108642</v>
          </cell>
          <cell r="C19718" t="str">
            <v>Monkseaton  High School</v>
          </cell>
          <cell r="D19718" t="str">
            <v>North Tyneside</v>
          </cell>
          <cell r="E19718" t="str">
            <v>Foundation School</v>
          </cell>
          <cell r="F19718" t="str">
            <v>Secondary</v>
          </cell>
        </row>
        <row r="19719">
          <cell r="A19719">
            <v>3924027</v>
          </cell>
          <cell r="B19719">
            <v>108637</v>
          </cell>
          <cell r="C19719" t="str">
            <v>Monkseaton Middle School</v>
          </cell>
          <cell r="D19719" t="str">
            <v>North Tyneside</v>
          </cell>
          <cell r="E19719" t="str">
            <v>Community School</v>
          </cell>
          <cell r="F19719" t="str">
            <v>Middle Deemed Secondary</v>
          </cell>
        </row>
        <row r="19720">
          <cell r="A19720">
            <v>3922040</v>
          </cell>
          <cell r="B19720">
            <v>128156</v>
          </cell>
          <cell r="C19720" t="str">
            <v>Monkseaton Village First School</v>
          </cell>
          <cell r="D19720" t="str">
            <v>North Tyneside</v>
          </cell>
          <cell r="E19720" t="str">
            <v>Community School</v>
          </cell>
          <cell r="F19720" t="str">
            <v>Primary</v>
          </cell>
        </row>
        <row r="19721">
          <cell r="A19721">
            <v>9192224</v>
          </cell>
          <cell r="B19721">
            <v>117219</v>
          </cell>
          <cell r="C19721" t="str">
            <v>Monksmead School</v>
          </cell>
          <cell r="D19721" t="str">
            <v>Hertfordshire</v>
          </cell>
          <cell r="E19721" t="str">
            <v>Community School</v>
          </cell>
          <cell r="F19721" t="str">
            <v>Primary</v>
          </cell>
        </row>
        <row r="19722">
          <cell r="A19722">
            <v>3342096</v>
          </cell>
          <cell r="B19722">
            <v>104084</v>
          </cell>
          <cell r="C19722" t="str">
            <v>Monkspath Junior and Infant School</v>
          </cell>
          <cell r="D19722" t="str">
            <v>Solihull</v>
          </cell>
          <cell r="E19722" t="str">
            <v>Community School</v>
          </cell>
          <cell r="F19722" t="str">
            <v>Primary</v>
          </cell>
        </row>
        <row r="19723">
          <cell r="A19723">
            <v>8262008</v>
          </cell>
          <cell r="B19723">
            <v>133259</v>
          </cell>
          <cell r="C19723" t="str">
            <v>Monkston Primary School</v>
          </cell>
          <cell r="D19723" t="str">
            <v>Milton Keynes</v>
          </cell>
          <cell r="E19723" t="str">
            <v>Community School</v>
          </cell>
          <cell r="F19723" t="str">
            <v>Primary</v>
          </cell>
        </row>
        <row r="19724">
          <cell r="A19724">
            <v>8863183</v>
          </cell>
          <cell r="B19724">
            <v>118697</v>
          </cell>
          <cell r="C19724" t="str">
            <v>Monkton Church of England Primary School</v>
          </cell>
          <cell r="D19724" t="str">
            <v>Kent</v>
          </cell>
          <cell r="E19724" t="str">
            <v>Voluntary Controlled School</v>
          </cell>
          <cell r="F19724" t="str">
            <v>Primary</v>
          </cell>
        </row>
        <row r="19725">
          <cell r="A19725">
            <v>8653128</v>
          </cell>
          <cell r="B19725">
            <v>126341</v>
          </cell>
          <cell r="C19725" t="str">
            <v>Monkton Farleigh &amp; South Wraxall Church of England Voluntary Controlled Primary School</v>
          </cell>
          <cell r="D19725" t="str">
            <v>Wiltshire</v>
          </cell>
          <cell r="E19725" t="str">
            <v>Voluntary Controlled School</v>
          </cell>
          <cell r="F19725" t="str">
            <v>Primary</v>
          </cell>
        </row>
        <row r="19726">
          <cell r="A19726">
            <v>3932037</v>
          </cell>
          <cell r="B19726">
            <v>108684</v>
          </cell>
          <cell r="C19726" t="str">
            <v>Monkton Infants' School</v>
          </cell>
          <cell r="D19726" t="str">
            <v>South Tyneside</v>
          </cell>
          <cell r="E19726" t="str">
            <v>Community School</v>
          </cell>
          <cell r="F19726" t="str">
            <v>Primary</v>
          </cell>
        </row>
        <row r="19727">
          <cell r="A19727">
            <v>3932036</v>
          </cell>
          <cell r="B19727">
            <v>108683</v>
          </cell>
          <cell r="C19727" t="str">
            <v>Monkton Junior School</v>
          </cell>
          <cell r="D19727" t="str">
            <v>South Tyneside</v>
          </cell>
          <cell r="E19727" t="str">
            <v>Community School</v>
          </cell>
          <cell r="F19727" t="str">
            <v>Primary</v>
          </cell>
        </row>
        <row r="19728">
          <cell r="A19728">
            <v>8652034</v>
          </cell>
          <cell r="B19728">
            <v>126188</v>
          </cell>
          <cell r="C19728" t="str">
            <v>Monkton Park Primary School</v>
          </cell>
          <cell r="D19728" t="str">
            <v>Wiltshire</v>
          </cell>
          <cell r="E19728" t="str">
            <v>Community School</v>
          </cell>
          <cell r="F19728" t="str">
            <v>Primary</v>
          </cell>
        </row>
        <row r="19729">
          <cell r="A19729">
            <v>8006012</v>
          </cell>
          <cell r="B19729">
            <v>109379</v>
          </cell>
          <cell r="C19729" t="str">
            <v>Monkton Prep School</v>
          </cell>
          <cell r="D19729" t="str">
            <v>Bath and North East Somerset</v>
          </cell>
          <cell r="E19729" t="str">
            <v>Other Independent School</v>
          </cell>
          <cell r="F19729" t="str">
            <v>Not applicable</v>
          </cell>
        </row>
        <row r="19730">
          <cell r="A19730">
            <v>6682387</v>
          </cell>
          <cell r="B19730">
            <v>400702</v>
          </cell>
          <cell r="C19730" t="str">
            <v>Monkton Priory CP School</v>
          </cell>
          <cell r="D19730" t="str">
            <v>Pembrokeshire</v>
          </cell>
          <cell r="E19730" t="str">
            <v>Welsh Establishment</v>
          </cell>
          <cell r="F19730" t="str">
            <v>Primary</v>
          </cell>
        </row>
        <row r="19731">
          <cell r="A19731">
            <v>8006008</v>
          </cell>
          <cell r="B19731">
            <v>109360</v>
          </cell>
          <cell r="C19731" t="str">
            <v>Monkton Senior School</v>
          </cell>
          <cell r="D19731" t="str">
            <v>Bath and North East Somerset</v>
          </cell>
          <cell r="E19731" t="str">
            <v>Other Independent School</v>
          </cell>
          <cell r="F19731" t="str">
            <v>Not applicable</v>
          </cell>
        </row>
        <row r="19732">
          <cell r="A19732">
            <v>3948001</v>
          </cell>
          <cell r="B19732">
            <v>130556</v>
          </cell>
          <cell r="C19732" t="str">
            <v>Monkwearmouth College</v>
          </cell>
          <cell r="D19732" t="str">
            <v>Sunderland</v>
          </cell>
          <cell r="E19732" t="str">
            <v>Further Education</v>
          </cell>
          <cell r="F19732" t="str">
            <v>16 Plus</v>
          </cell>
        </row>
        <row r="19733">
          <cell r="A19733">
            <v>3944041</v>
          </cell>
          <cell r="B19733">
            <v>108859</v>
          </cell>
          <cell r="C19733" t="str">
            <v>Monkwearmouth School</v>
          </cell>
          <cell r="D19733" t="str">
            <v>Sunderland</v>
          </cell>
          <cell r="E19733" t="str">
            <v>Community School</v>
          </cell>
          <cell r="F19733" t="str">
            <v>Secondary</v>
          </cell>
        </row>
        <row r="19734">
          <cell r="A19734">
            <v>8812053</v>
          </cell>
          <cell r="B19734">
            <v>114741</v>
          </cell>
          <cell r="C19734" t="str">
            <v>Monkwick Infant and Nursery School</v>
          </cell>
          <cell r="D19734" t="str">
            <v>Essex</v>
          </cell>
          <cell r="E19734" t="str">
            <v>Community School</v>
          </cell>
          <cell r="F19734" t="str">
            <v>Primary</v>
          </cell>
        </row>
        <row r="19735">
          <cell r="A19735">
            <v>8812052</v>
          </cell>
          <cell r="B19735">
            <v>114740</v>
          </cell>
          <cell r="C19735" t="str">
            <v>Monkwick Junior School</v>
          </cell>
          <cell r="D19735" t="str">
            <v>Essex</v>
          </cell>
          <cell r="E19735" t="str">
            <v>Community School</v>
          </cell>
          <cell r="F19735" t="str">
            <v>Primary</v>
          </cell>
        </row>
        <row r="19736">
          <cell r="A19736">
            <v>3722090</v>
          </cell>
          <cell r="B19736">
            <v>106891</v>
          </cell>
          <cell r="C19736" t="str">
            <v>Monkwood Primary School</v>
          </cell>
          <cell r="D19736" t="str">
            <v>Rotherham</v>
          </cell>
          <cell r="E19736" t="str">
            <v>Community School</v>
          </cell>
          <cell r="F19736" t="str">
            <v>Primary</v>
          </cell>
        </row>
        <row r="19737">
          <cell r="A19737">
            <v>9092231</v>
          </cell>
          <cell r="B19737">
            <v>112170</v>
          </cell>
          <cell r="C19737" t="str">
            <v>Monkwray Junior School</v>
          </cell>
          <cell r="D19737" t="str">
            <v>Cumbria</v>
          </cell>
          <cell r="E19737" t="str">
            <v>Community School</v>
          </cell>
          <cell r="F19737" t="str">
            <v>Primary</v>
          </cell>
        </row>
        <row r="19738">
          <cell r="A19738">
            <v>6794060</v>
          </cell>
          <cell r="B19738">
            <v>401860</v>
          </cell>
          <cell r="C19738" t="str">
            <v>Monmouth Comprehensive School</v>
          </cell>
          <cell r="D19738" t="str">
            <v>Monmouthshire</v>
          </cell>
          <cell r="E19738" t="str">
            <v>Welsh Establishment</v>
          </cell>
          <cell r="F19738" t="str">
            <v>Secondary</v>
          </cell>
        </row>
        <row r="19739">
          <cell r="A19739">
            <v>6796008</v>
          </cell>
          <cell r="B19739">
            <v>402007</v>
          </cell>
          <cell r="C19739" t="str">
            <v>Monmouth School</v>
          </cell>
          <cell r="D19739" t="str">
            <v>Monmouthshire</v>
          </cell>
          <cell r="E19739" t="str">
            <v>Welsh Establishment</v>
          </cell>
          <cell r="F19739" t="str">
            <v>Not applicable</v>
          </cell>
        </row>
        <row r="19740">
          <cell r="A19740">
            <v>6791100</v>
          </cell>
          <cell r="B19740">
            <v>402155</v>
          </cell>
          <cell r="C19740" t="str">
            <v>Monmouthshire Strategic Network Group</v>
          </cell>
          <cell r="D19740" t="str">
            <v>Monmouthshire</v>
          </cell>
          <cell r="E19740" t="str">
            <v>Welsh Establishment</v>
          </cell>
          <cell r="F19740" t="str">
            <v>Not applicable</v>
          </cell>
        </row>
        <row r="19741">
          <cell r="A19741">
            <v>6791103</v>
          </cell>
          <cell r="B19741">
            <v>402242</v>
          </cell>
          <cell r="C19741" t="str">
            <v>Monmouthshire Strategic Network Group</v>
          </cell>
          <cell r="D19741" t="str">
            <v>Monmouthshire</v>
          </cell>
          <cell r="E19741" t="str">
            <v>Welsh Establishment</v>
          </cell>
          <cell r="F19741" t="str">
            <v>Not applicable</v>
          </cell>
        </row>
        <row r="19742">
          <cell r="A19742">
            <v>6802045</v>
          </cell>
          <cell r="B19742">
            <v>401530</v>
          </cell>
          <cell r="C19742" t="str">
            <v>Monnow Infant School</v>
          </cell>
          <cell r="D19742" t="str">
            <v>Newport</v>
          </cell>
          <cell r="E19742" t="str">
            <v>Welsh Establishment</v>
          </cell>
          <cell r="F19742" t="str">
            <v>Primary</v>
          </cell>
        </row>
        <row r="19743">
          <cell r="A19743">
            <v>6802048</v>
          </cell>
          <cell r="B19743">
            <v>401532</v>
          </cell>
          <cell r="C19743" t="str">
            <v>Monnow Junior School</v>
          </cell>
          <cell r="D19743" t="str">
            <v>Newport</v>
          </cell>
          <cell r="E19743" t="str">
            <v>Welsh Establishment</v>
          </cell>
          <cell r="F19743" t="str">
            <v>Primary</v>
          </cell>
        </row>
        <row r="19744">
          <cell r="A19744">
            <v>6802318</v>
          </cell>
          <cell r="B19744">
            <v>402206</v>
          </cell>
          <cell r="C19744" t="str">
            <v>Monnow Primary School</v>
          </cell>
          <cell r="D19744" t="str">
            <v>Newport</v>
          </cell>
          <cell r="E19744" t="str">
            <v>Welsh Establishment</v>
          </cell>
          <cell r="F19744" t="str">
            <v>Primary</v>
          </cell>
        </row>
        <row r="19745">
          <cell r="A19745">
            <v>2092422</v>
          </cell>
          <cell r="B19745">
            <v>100697</v>
          </cell>
          <cell r="C19745" t="str">
            <v>Monson Primary School</v>
          </cell>
          <cell r="D19745" t="str">
            <v>Lewisham</v>
          </cell>
          <cell r="E19745" t="str">
            <v>Community School</v>
          </cell>
          <cell r="F19745" t="str">
            <v>Primary</v>
          </cell>
        </row>
        <row r="19746">
          <cell r="A19746">
            <v>7077002</v>
          </cell>
          <cell r="B19746">
            <v>132544</v>
          </cell>
          <cell r="C19746" t="str">
            <v>Mont l'Abbe School</v>
          </cell>
          <cell r="D19746" t="str">
            <v>Jersey Offshore Establishments</v>
          </cell>
          <cell r="E19746" t="str">
            <v>Offshore Schools</v>
          </cell>
          <cell r="F19746" t="str">
            <v>Not applicable</v>
          </cell>
        </row>
        <row r="19747">
          <cell r="A19747">
            <v>7072011</v>
          </cell>
          <cell r="B19747">
            <v>132500</v>
          </cell>
          <cell r="C19747" t="str">
            <v>Mont Nicolle School</v>
          </cell>
          <cell r="D19747" t="str">
            <v>Jersey Offshore Establishments</v>
          </cell>
          <cell r="E19747" t="str">
            <v>Offshore Schools</v>
          </cell>
          <cell r="F19747" t="str">
            <v>Not applicable</v>
          </cell>
        </row>
        <row r="19748">
          <cell r="A19748">
            <v>7067001</v>
          </cell>
          <cell r="B19748">
            <v>132493</v>
          </cell>
          <cell r="C19748" t="str">
            <v>Mont Varouf School</v>
          </cell>
          <cell r="D19748" t="str">
            <v>Guernsey Offshore Establishments</v>
          </cell>
          <cell r="E19748" t="str">
            <v>Offshore Schools</v>
          </cell>
          <cell r="F19748" t="str">
            <v>Not applicable</v>
          </cell>
        </row>
        <row r="19749">
          <cell r="A19749">
            <v>9333279</v>
          </cell>
          <cell r="B19749">
            <v>123817</v>
          </cell>
          <cell r="C19749" t="str">
            <v>Montacute CofE Primary School</v>
          </cell>
          <cell r="D19749" t="str">
            <v>Somerset</v>
          </cell>
          <cell r="E19749" t="str">
            <v>Voluntary Controlled School</v>
          </cell>
          <cell r="F19749" t="str">
            <v>Primary</v>
          </cell>
        </row>
        <row r="19750">
          <cell r="A19750">
            <v>8365951</v>
          </cell>
          <cell r="B19750">
            <v>113959</v>
          </cell>
          <cell r="C19750" t="str">
            <v>Montacute School</v>
          </cell>
          <cell r="D19750" t="str">
            <v>Poole</v>
          </cell>
          <cell r="E19750" t="str">
            <v>Foundation Special School</v>
          </cell>
          <cell r="F19750" t="str">
            <v>Special</v>
          </cell>
        </row>
        <row r="19751">
          <cell r="A19751">
            <v>8365951</v>
          </cell>
          <cell r="B19751">
            <v>137286</v>
          </cell>
          <cell r="C19751" t="str">
            <v>Montacute School</v>
          </cell>
          <cell r="D19751" t="str">
            <v>Poole</v>
          </cell>
          <cell r="E19751" t="str">
            <v>Academy Converters</v>
          </cell>
          <cell r="F19751" t="str">
            <v>Not applicable</v>
          </cell>
        </row>
        <row r="19752">
          <cell r="A19752">
            <v>3912450</v>
          </cell>
          <cell r="B19752">
            <v>108473</v>
          </cell>
          <cell r="C19752" t="str">
            <v>Montagu Community Full Service School</v>
          </cell>
          <cell r="D19752" t="str">
            <v>Newcastle upon Tyne</v>
          </cell>
          <cell r="E19752" t="str">
            <v>Community School</v>
          </cell>
          <cell r="F19752" t="str">
            <v>Primary</v>
          </cell>
        </row>
        <row r="19753">
          <cell r="A19753">
            <v>3912451</v>
          </cell>
          <cell r="B19753">
            <v>128123</v>
          </cell>
          <cell r="C19753" t="str">
            <v>Montagu Infant School</v>
          </cell>
          <cell r="D19753" t="str">
            <v>Newcastle upon Tyne</v>
          </cell>
          <cell r="E19753" t="str">
            <v>Community School</v>
          </cell>
          <cell r="F19753" t="str">
            <v>Primary</v>
          </cell>
        </row>
        <row r="19754">
          <cell r="A19754">
            <v>3712130</v>
          </cell>
          <cell r="B19754">
            <v>106708</v>
          </cell>
          <cell r="C19754" t="str">
            <v>Montagu Primary School</v>
          </cell>
          <cell r="D19754" t="str">
            <v>Doncaster</v>
          </cell>
          <cell r="E19754" t="str">
            <v>Community School</v>
          </cell>
          <cell r="F19754" t="str">
            <v>Primary</v>
          </cell>
        </row>
        <row r="19755">
          <cell r="A19755">
            <v>9285407</v>
          </cell>
          <cell r="B19755">
            <v>122120</v>
          </cell>
          <cell r="C19755" t="str">
            <v>Montagu School</v>
          </cell>
          <cell r="D19755" t="str">
            <v>Northamptonshire</v>
          </cell>
          <cell r="E19755" t="str">
            <v>Foundation School</v>
          </cell>
          <cell r="F19755" t="str">
            <v>Secondary</v>
          </cell>
        </row>
        <row r="19756">
          <cell r="A19756">
            <v>8402442</v>
          </cell>
          <cell r="B19756">
            <v>114115</v>
          </cell>
          <cell r="C19756" t="str">
            <v>Montalbo Primary School</v>
          </cell>
          <cell r="D19756" t="str">
            <v>Durham</v>
          </cell>
          <cell r="E19756" t="str">
            <v>Community School</v>
          </cell>
          <cell r="F19756" t="str">
            <v>Primary</v>
          </cell>
        </row>
        <row r="19757">
          <cell r="A19757">
            <v>2032798</v>
          </cell>
          <cell r="B19757">
            <v>100149</v>
          </cell>
          <cell r="C19757" t="str">
            <v>Montbelle Primary School</v>
          </cell>
          <cell r="D19757" t="str">
            <v>Greenwich</v>
          </cell>
          <cell r="E19757" t="str">
            <v>Community School</v>
          </cell>
          <cell r="F19757" t="str">
            <v>Primary</v>
          </cell>
        </row>
        <row r="19758">
          <cell r="A19758">
            <v>3012012</v>
          </cell>
          <cell r="B19758">
            <v>101195</v>
          </cell>
          <cell r="C19758" t="str">
            <v>Monteagle Infants' School</v>
          </cell>
          <cell r="D19758" t="str">
            <v>Barking and Dagenham</v>
          </cell>
          <cell r="E19758" t="str">
            <v>Community School</v>
          </cell>
          <cell r="F19758" t="str">
            <v>Primary</v>
          </cell>
        </row>
        <row r="19759">
          <cell r="A19759">
            <v>3012011</v>
          </cell>
          <cell r="B19759">
            <v>101194</v>
          </cell>
          <cell r="C19759" t="str">
            <v>Monteagle Junior School</v>
          </cell>
          <cell r="D19759" t="str">
            <v>Barking and Dagenham</v>
          </cell>
          <cell r="E19759" t="str">
            <v>Community School</v>
          </cell>
          <cell r="F19759" t="str">
            <v>Primary</v>
          </cell>
        </row>
        <row r="19760">
          <cell r="A19760">
            <v>3012071</v>
          </cell>
          <cell r="B19760">
            <v>130340</v>
          </cell>
          <cell r="C19760" t="str">
            <v>Monteagle Primary School</v>
          </cell>
          <cell r="D19760" t="str">
            <v>Barking and Dagenham</v>
          </cell>
          <cell r="E19760" t="str">
            <v>Community School</v>
          </cell>
          <cell r="F19760" t="str">
            <v>Primary</v>
          </cell>
        </row>
        <row r="19761">
          <cell r="A19761">
            <v>9333353</v>
          </cell>
          <cell r="B19761">
            <v>123838</v>
          </cell>
          <cell r="C19761" t="str">
            <v>Monteclefe Church of England VA Junior School</v>
          </cell>
          <cell r="D19761" t="str">
            <v>Somerset</v>
          </cell>
          <cell r="E19761" t="str">
            <v>Voluntary Aided School</v>
          </cell>
          <cell r="F19761" t="str">
            <v>Primary</v>
          </cell>
        </row>
        <row r="19762">
          <cell r="A19762">
            <v>2062426</v>
          </cell>
          <cell r="B19762">
            <v>100413</v>
          </cell>
          <cell r="C19762" t="str">
            <v>Montem Infant School</v>
          </cell>
          <cell r="D19762" t="str">
            <v>Islington</v>
          </cell>
          <cell r="E19762" t="str">
            <v>Community School</v>
          </cell>
          <cell r="F19762" t="str">
            <v>Primary</v>
          </cell>
        </row>
        <row r="19763">
          <cell r="A19763">
            <v>2062425</v>
          </cell>
          <cell r="B19763">
            <v>100412</v>
          </cell>
          <cell r="C19763" t="str">
            <v>Montem Junior School</v>
          </cell>
          <cell r="D19763" t="str">
            <v>Islington</v>
          </cell>
          <cell r="E19763" t="str">
            <v>Community School</v>
          </cell>
          <cell r="F19763" t="str">
            <v>Primary</v>
          </cell>
        </row>
        <row r="19764">
          <cell r="A19764">
            <v>8712218</v>
          </cell>
          <cell r="B19764">
            <v>109914</v>
          </cell>
          <cell r="C19764" t="str">
            <v>Montem Junior School</v>
          </cell>
          <cell r="D19764" t="str">
            <v>Slough</v>
          </cell>
          <cell r="E19764" t="str">
            <v>Community School</v>
          </cell>
          <cell r="F19764" t="str">
            <v>Primary</v>
          </cell>
        </row>
        <row r="19765">
          <cell r="A19765">
            <v>2062852</v>
          </cell>
          <cell r="B19765">
            <v>131218</v>
          </cell>
          <cell r="C19765" t="str">
            <v>Montem Primary School</v>
          </cell>
          <cell r="D19765" t="str">
            <v>Islington</v>
          </cell>
          <cell r="E19765" t="str">
            <v>Community School</v>
          </cell>
          <cell r="F19765" t="str">
            <v>Primary</v>
          </cell>
        </row>
        <row r="19766">
          <cell r="A19766">
            <v>8712257</v>
          </cell>
          <cell r="B19766">
            <v>133327</v>
          </cell>
          <cell r="C19766" t="str">
            <v>Montem Primary School</v>
          </cell>
          <cell r="D19766" t="str">
            <v>Slough</v>
          </cell>
          <cell r="E19766" t="str">
            <v>Community School</v>
          </cell>
          <cell r="F19766" t="str">
            <v>Primary</v>
          </cell>
        </row>
        <row r="19767">
          <cell r="A19767">
            <v>3732255</v>
          </cell>
          <cell r="B19767">
            <v>127695</v>
          </cell>
          <cell r="C19767" t="str">
            <v>Monteney Middle School</v>
          </cell>
          <cell r="D19767" t="str">
            <v>Sheffield</v>
          </cell>
          <cell r="E19767" t="str">
            <v>Community School</v>
          </cell>
          <cell r="F19767" t="str">
            <v>Middle Deemed Primary</v>
          </cell>
        </row>
        <row r="19768">
          <cell r="A19768">
            <v>3732256</v>
          </cell>
          <cell r="B19768">
            <v>127696</v>
          </cell>
          <cell r="C19768" t="str">
            <v>Monteney Nursery First School</v>
          </cell>
          <cell r="D19768" t="str">
            <v>Sheffield</v>
          </cell>
          <cell r="E19768" t="str">
            <v>Community School</v>
          </cell>
          <cell r="F19768" t="str">
            <v>Primary</v>
          </cell>
        </row>
        <row r="19769">
          <cell r="A19769">
            <v>3732346</v>
          </cell>
          <cell r="B19769">
            <v>107089</v>
          </cell>
          <cell r="C19769" t="str">
            <v>Monteney Primary School</v>
          </cell>
          <cell r="D19769" t="str">
            <v>Sheffield</v>
          </cell>
          <cell r="E19769" t="str">
            <v>Community School</v>
          </cell>
          <cell r="F19769" t="str">
            <v>Primary</v>
          </cell>
        </row>
        <row r="19770">
          <cell r="A19770">
            <v>3096068</v>
          </cell>
          <cell r="B19770">
            <v>102170</v>
          </cell>
          <cell r="C19770" t="str">
            <v>Montessori House</v>
          </cell>
          <cell r="D19770" t="str">
            <v>Haringey</v>
          </cell>
          <cell r="E19770" t="str">
            <v>Other Independent School</v>
          </cell>
          <cell r="F19770" t="str">
            <v>Not applicable</v>
          </cell>
        </row>
        <row r="19771">
          <cell r="A19771">
            <v>2126388</v>
          </cell>
          <cell r="B19771">
            <v>126699</v>
          </cell>
          <cell r="C19771" t="str">
            <v>Montessori Nursery</v>
          </cell>
          <cell r="D19771" t="str">
            <v>Wandsworth</v>
          </cell>
          <cell r="E19771" t="str">
            <v>Other Independent School</v>
          </cell>
          <cell r="F19771" t="str">
            <v>Not applicable</v>
          </cell>
        </row>
        <row r="19772">
          <cell r="A19772">
            <v>8816229</v>
          </cell>
          <cell r="B19772">
            <v>117655</v>
          </cell>
          <cell r="C19772" t="str">
            <v>Montessori Pre-Preparatory School</v>
          </cell>
          <cell r="D19772" t="str">
            <v>Essex</v>
          </cell>
          <cell r="E19772" t="str">
            <v>Other Independent School</v>
          </cell>
          <cell r="F19772" t="str">
            <v>Not applicable</v>
          </cell>
        </row>
        <row r="19773">
          <cell r="A19773">
            <v>3346006</v>
          </cell>
          <cell r="B19773">
            <v>104126</v>
          </cell>
          <cell r="C19773" t="str">
            <v>Montessori School</v>
          </cell>
          <cell r="D19773" t="str">
            <v>Solihull</v>
          </cell>
          <cell r="E19773" t="str">
            <v>Other Independent School</v>
          </cell>
          <cell r="F19773" t="str">
            <v>Not applicable</v>
          </cell>
        </row>
        <row r="19774">
          <cell r="A19774">
            <v>8812886</v>
          </cell>
          <cell r="B19774">
            <v>115031</v>
          </cell>
          <cell r="C19774" t="str">
            <v>Montgomerie Junior School</v>
          </cell>
          <cell r="D19774" t="str">
            <v>Essex</v>
          </cell>
          <cell r="E19774" t="str">
            <v>Community School</v>
          </cell>
          <cell r="F19774" t="str">
            <v>Primary</v>
          </cell>
        </row>
        <row r="19775">
          <cell r="A19775">
            <v>8812896</v>
          </cell>
          <cell r="B19775">
            <v>115034</v>
          </cell>
          <cell r="C19775" t="str">
            <v>Montgomerie Primary School</v>
          </cell>
          <cell r="D19775" t="str">
            <v>Essex</v>
          </cell>
          <cell r="E19775" t="str">
            <v>Community School</v>
          </cell>
          <cell r="F19775" t="str">
            <v>Primary</v>
          </cell>
        </row>
        <row r="19776">
          <cell r="A19776">
            <v>6663002</v>
          </cell>
          <cell r="B19776">
            <v>400540</v>
          </cell>
          <cell r="C19776" t="str">
            <v>Montgomery C.I.W. School</v>
          </cell>
          <cell r="D19776" t="str">
            <v>Powys</v>
          </cell>
          <cell r="E19776" t="str">
            <v>Welsh Establishment</v>
          </cell>
          <cell r="F19776" t="str">
            <v>Primary</v>
          </cell>
        </row>
        <row r="19777">
          <cell r="A19777">
            <v>8904057</v>
          </cell>
          <cell r="B19777">
            <v>119735</v>
          </cell>
          <cell r="C19777" t="str">
            <v>Montgomery High School - A Language College and Full Service School</v>
          </cell>
          <cell r="D19777" t="str">
            <v>Blackpool</v>
          </cell>
          <cell r="E19777" t="str">
            <v>Foundation School</v>
          </cell>
          <cell r="F19777" t="str">
            <v>Secondary</v>
          </cell>
        </row>
        <row r="19778">
          <cell r="A19778">
            <v>8812063</v>
          </cell>
          <cell r="B19778">
            <v>114751</v>
          </cell>
          <cell r="C19778" t="str">
            <v>Montgomery Infant School and Nursery, Colchester</v>
          </cell>
          <cell r="D19778" t="str">
            <v>Essex</v>
          </cell>
          <cell r="E19778" t="str">
            <v>Community School</v>
          </cell>
          <cell r="F19778" t="str">
            <v>Primary</v>
          </cell>
        </row>
        <row r="19779">
          <cell r="A19779">
            <v>8812062</v>
          </cell>
          <cell r="B19779">
            <v>114750</v>
          </cell>
          <cell r="C19779" t="str">
            <v>Montgomery Junior School, Colchester</v>
          </cell>
          <cell r="D19779" t="str">
            <v>Essex</v>
          </cell>
          <cell r="E19779" t="str">
            <v>Community School</v>
          </cell>
          <cell r="F19779" t="str">
            <v>Primary</v>
          </cell>
        </row>
        <row r="19780">
          <cell r="A19780">
            <v>3302135</v>
          </cell>
          <cell r="B19780">
            <v>103234</v>
          </cell>
          <cell r="C19780" t="str">
            <v>Montgomery Primary School</v>
          </cell>
          <cell r="D19780" t="str">
            <v>Birmingham</v>
          </cell>
          <cell r="E19780" t="str">
            <v>Community School</v>
          </cell>
          <cell r="F19780" t="str">
            <v>Primary</v>
          </cell>
        </row>
        <row r="19781">
          <cell r="A19781">
            <v>8782028</v>
          </cell>
          <cell r="B19781">
            <v>113082</v>
          </cell>
          <cell r="C19781" t="str">
            <v>Montgomery Primary School</v>
          </cell>
          <cell r="D19781" t="str">
            <v>Devon</v>
          </cell>
          <cell r="E19781" t="str">
            <v>Community School</v>
          </cell>
          <cell r="F19781" t="str">
            <v>Primary</v>
          </cell>
        </row>
        <row r="19782">
          <cell r="A19782">
            <v>7022041</v>
          </cell>
          <cell r="B19782">
            <v>132397</v>
          </cell>
          <cell r="C19782" t="str">
            <v>Montgomery Primary School</v>
          </cell>
          <cell r="D19782" t="str">
            <v>BFPO Overseas Establishments</v>
          </cell>
          <cell r="E19782" t="str">
            <v>Service Childrens Education</v>
          </cell>
          <cell r="F19782" t="str">
            <v>Not applicable</v>
          </cell>
        </row>
        <row r="19783">
          <cell r="A19783">
            <v>8865453</v>
          </cell>
          <cell r="B19783">
            <v>118925</v>
          </cell>
          <cell r="C19783" t="str">
            <v>Montgomery School</v>
          </cell>
          <cell r="D19783" t="str">
            <v>Kent</v>
          </cell>
          <cell r="E19783" t="str">
            <v>Foundation School</v>
          </cell>
          <cell r="F19783" t="str">
            <v>Secondary</v>
          </cell>
        </row>
        <row r="19784">
          <cell r="A19784">
            <v>3552061</v>
          </cell>
          <cell r="B19784">
            <v>105904</v>
          </cell>
          <cell r="C19784" t="str">
            <v>Monton Green Primary School</v>
          </cell>
          <cell r="D19784" t="str">
            <v>Salford</v>
          </cell>
          <cell r="E19784" t="str">
            <v>Community School</v>
          </cell>
          <cell r="F19784" t="str">
            <v>Primary</v>
          </cell>
        </row>
        <row r="19785">
          <cell r="A19785">
            <v>3556021</v>
          </cell>
          <cell r="B19785">
            <v>106000</v>
          </cell>
          <cell r="C19785" t="str">
            <v>Monton Village School</v>
          </cell>
          <cell r="D19785" t="str">
            <v>Salford</v>
          </cell>
          <cell r="E19785" t="str">
            <v>Other Independent School</v>
          </cell>
          <cell r="F19785" t="str">
            <v>Not applicable</v>
          </cell>
        </row>
        <row r="19786">
          <cell r="A19786">
            <v>3072113</v>
          </cell>
          <cell r="B19786">
            <v>126851</v>
          </cell>
          <cell r="C19786" t="str">
            <v>Montpelier First School</v>
          </cell>
          <cell r="D19786" t="str">
            <v>Ealing</v>
          </cell>
          <cell r="E19786" t="str">
            <v>Community School</v>
          </cell>
          <cell r="F19786" t="str">
            <v>Primary</v>
          </cell>
        </row>
        <row r="19787">
          <cell r="A19787">
            <v>8792642</v>
          </cell>
          <cell r="B19787">
            <v>113280</v>
          </cell>
          <cell r="C19787" t="str">
            <v>Montpelier Infants' School</v>
          </cell>
          <cell r="D19787" t="str">
            <v>Plymouth</v>
          </cell>
          <cell r="E19787" t="str">
            <v>Community School</v>
          </cell>
          <cell r="F19787" t="str">
            <v>Primary</v>
          </cell>
        </row>
        <row r="19788">
          <cell r="A19788">
            <v>8792641</v>
          </cell>
          <cell r="B19788">
            <v>113279</v>
          </cell>
          <cell r="C19788" t="str">
            <v>Montpelier Junior School</v>
          </cell>
          <cell r="D19788" t="str">
            <v>Plymouth</v>
          </cell>
          <cell r="E19788" t="str">
            <v>Community School</v>
          </cell>
          <cell r="F19788" t="str">
            <v>Primary</v>
          </cell>
        </row>
        <row r="19789">
          <cell r="A19789">
            <v>3072114</v>
          </cell>
          <cell r="B19789">
            <v>126852</v>
          </cell>
          <cell r="C19789" t="str">
            <v>Montpelier Middle School</v>
          </cell>
          <cell r="D19789" t="str">
            <v>Ealing</v>
          </cell>
          <cell r="E19789" t="str">
            <v>Community School</v>
          </cell>
          <cell r="F19789" t="str">
            <v>Middle Deemed Primary</v>
          </cell>
        </row>
        <row r="19790">
          <cell r="A19790">
            <v>3072182</v>
          </cell>
          <cell r="B19790">
            <v>101912</v>
          </cell>
          <cell r="C19790" t="str">
            <v>Montpelier Primary School</v>
          </cell>
          <cell r="D19790" t="str">
            <v>Ealing</v>
          </cell>
          <cell r="E19790" t="str">
            <v>Community School</v>
          </cell>
          <cell r="F19790" t="str">
            <v>Primary</v>
          </cell>
        </row>
        <row r="19791">
          <cell r="A19791">
            <v>8793768</v>
          </cell>
          <cell r="B19791">
            <v>134803</v>
          </cell>
          <cell r="C19791" t="str">
            <v>Montpelier Primary School</v>
          </cell>
          <cell r="D19791" t="str">
            <v>Plymouth</v>
          </cell>
          <cell r="E19791" t="str">
            <v>Community School</v>
          </cell>
          <cell r="F19791" t="str">
            <v>Primary</v>
          </cell>
        </row>
        <row r="19792">
          <cell r="A19792">
            <v>9093203</v>
          </cell>
          <cell r="B19792">
            <v>112292</v>
          </cell>
          <cell r="C19792" t="str">
            <v>Montreal CofE Infant School</v>
          </cell>
          <cell r="D19792" t="str">
            <v>Cumbria</v>
          </cell>
          <cell r="E19792" t="str">
            <v>Voluntary Controlled School</v>
          </cell>
          <cell r="F19792" t="str">
            <v>Primary</v>
          </cell>
        </row>
        <row r="19793">
          <cell r="A19793">
            <v>9093202</v>
          </cell>
          <cell r="B19793">
            <v>112291</v>
          </cell>
          <cell r="C19793" t="str">
            <v>Montreal CofE Junior School</v>
          </cell>
          <cell r="D19793" t="str">
            <v>Cumbria</v>
          </cell>
          <cell r="E19793" t="str">
            <v>Voluntary Controlled School</v>
          </cell>
          <cell r="F19793" t="str">
            <v>Primary</v>
          </cell>
        </row>
        <row r="19794">
          <cell r="A19794">
            <v>9092716</v>
          </cell>
          <cell r="B19794">
            <v>132170</v>
          </cell>
          <cell r="C19794" t="str">
            <v>Montreal CofE Primary School</v>
          </cell>
          <cell r="D19794" t="str">
            <v>Cumbria</v>
          </cell>
          <cell r="E19794" t="str">
            <v>Voluntary Controlled School</v>
          </cell>
          <cell r="F19794" t="str">
            <v>Primary</v>
          </cell>
        </row>
        <row r="19795">
          <cell r="A19795">
            <v>3597021</v>
          </cell>
          <cell r="B19795">
            <v>131296</v>
          </cell>
          <cell r="C19795" t="str">
            <v>Montrose</v>
          </cell>
          <cell r="D19795" t="str">
            <v>Wigan</v>
          </cell>
          <cell r="E19795" t="str">
            <v>Community Special School</v>
          </cell>
          <cell r="F19795" t="str">
            <v>Special</v>
          </cell>
        </row>
        <row r="19796">
          <cell r="A19796">
            <v>3597000</v>
          </cell>
          <cell r="B19796">
            <v>106542</v>
          </cell>
          <cell r="C19796" t="str">
            <v>Montrose School</v>
          </cell>
          <cell r="D19796" t="str">
            <v>Wigan</v>
          </cell>
          <cell r="E19796" t="str">
            <v>Community Special School</v>
          </cell>
          <cell r="F19796" t="str">
            <v>Special</v>
          </cell>
        </row>
        <row r="19797">
          <cell r="A19797">
            <v>8562283</v>
          </cell>
          <cell r="B19797">
            <v>120029</v>
          </cell>
          <cell r="C19797" t="str">
            <v>Montrose School</v>
          </cell>
          <cell r="D19797" t="str">
            <v>Leicester</v>
          </cell>
          <cell r="E19797" t="str">
            <v>Community School</v>
          </cell>
          <cell r="F19797" t="str">
            <v>Primary</v>
          </cell>
        </row>
        <row r="19798">
          <cell r="A19798">
            <v>3597016</v>
          </cell>
          <cell r="B19798">
            <v>132158</v>
          </cell>
          <cell r="C19798" t="str">
            <v>Montrose School</v>
          </cell>
          <cell r="D19798" t="str">
            <v>Wigan</v>
          </cell>
          <cell r="E19798" t="str">
            <v>Community Special School</v>
          </cell>
          <cell r="F19798" t="str">
            <v>Special</v>
          </cell>
        </row>
        <row r="19799">
          <cell r="A19799">
            <v>9284015</v>
          </cell>
          <cell r="B19799">
            <v>122052</v>
          </cell>
          <cell r="C19799" t="str">
            <v>Montsaye Community College</v>
          </cell>
          <cell r="D19799" t="str">
            <v>Northamptonshire</v>
          </cell>
          <cell r="E19799" t="str">
            <v>Community School</v>
          </cell>
          <cell r="F19799" t="str">
            <v>Secondary</v>
          </cell>
        </row>
        <row r="19800">
          <cell r="A19800">
            <v>9284015</v>
          </cell>
          <cell r="B19800">
            <v>137049</v>
          </cell>
          <cell r="C19800" t="str">
            <v>Montsaye Community College</v>
          </cell>
          <cell r="D19800" t="str">
            <v>Northamptonshire</v>
          </cell>
          <cell r="E19800" t="str">
            <v>Academy Converters</v>
          </cell>
          <cell r="F19800" t="str">
            <v>Secondary</v>
          </cell>
        </row>
        <row r="19801">
          <cell r="A19801">
            <v>8303073</v>
          </cell>
          <cell r="B19801">
            <v>112843</v>
          </cell>
          <cell r="C19801" t="str">
            <v>Monyash CofE Primary School</v>
          </cell>
          <cell r="D19801" t="str">
            <v>Derbyshire</v>
          </cell>
          <cell r="E19801" t="str">
            <v>Voluntary Controlled School</v>
          </cell>
          <cell r="F19801" t="str">
            <v>Primary</v>
          </cell>
        </row>
        <row r="19802">
          <cell r="A19802">
            <v>9366251</v>
          </cell>
          <cell r="B19802">
            <v>125385</v>
          </cell>
          <cell r="C19802" t="str">
            <v>Moon Hall College/Burys Court</v>
          </cell>
          <cell r="D19802" t="str">
            <v>Surrey</v>
          </cell>
          <cell r="E19802" t="str">
            <v>Other Independent School</v>
          </cell>
          <cell r="F19802" t="str">
            <v>Not applicable</v>
          </cell>
        </row>
        <row r="19803">
          <cell r="A19803">
            <v>9366551</v>
          </cell>
          <cell r="B19803">
            <v>125434</v>
          </cell>
          <cell r="C19803" t="str">
            <v>Moon Hall School for Dyslexic Children</v>
          </cell>
          <cell r="D19803" t="str">
            <v>Surrey</v>
          </cell>
          <cell r="E19803" t="str">
            <v>Other Independent Special School</v>
          </cell>
          <cell r="F19803" t="str">
            <v>Not applicable</v>
          </cell>
        </row>
        <row r="19804">
          <cell r="A19804">
            <v>8852192</v>
          </cell>
          <cell r="B19804">
            <v>116765</v>
          </cell>
          <cell r="C19804" t="str">
            <v>Moons Moat First School</v>
          </cell>
          <cell r="D19804" t="str">
            <v>Worcestershire</v>
          </cell>
          <cell r="E19804" t="str">
            <v>Community School</v>
          </cell>
          <cell r="F19804" t="str">
            <v>Primary</v>
          </cell>
        </row>
        <row r="19805">
          <cell r="A19805">
            <v>3832253</v>
          </cell>
          <cell r="B19805">
            <v>127873</v>
          </cell>
          <cell r="C19805" t="str">
            <v>Moor Allerton Hall First School</v>
          </cell>
          <cell r="D19805" t="str">
            <v>Leeds</v>
          </cell>
          <cell r="E19805" t="str">
            <v>Community School</v>
          </cell>
          <cell r="F19805" t="str">
            <v>Primary</v>
          </cell>
        </row>
        <row r="19806">
          <cell r="A19806">
            <v>3832439</v>
          </cell>
          <cell r="B19806">
            <v>107915</v>
          </cell>
          <cell r="C19806" t="str">
            <v>Moor Allerton Hall Primary School</v>
          </cell>
          <cell r="D19806" t="str">
            <v>Leeds</v>
          </cell>
          <cell r="E19806" t="str">
            <v>Community School</v>
          </cell>
          <cell r="F19806" t="str">
            <v>Primary</v>
          </cell>
        </row>
        <row r="19807">
          <cell r="A19807">
            <v>3526001</v>
          </cell>
          <cell r="B19807">
            <v>105585</v>
          </cell>
          <cell r="C19807" t="str">
            <v>Moor Allerton School</v>
          </cell>
          <cell r="D19807" t="str">
            <v>Manchester</v>
          </cell>
          <cell r="E19807" t="str">
            <v>Other Independent School</v>
          </cell>
          <cell r="F19807" t="str">
            <v>Not applicable</v>
          </cell>
        </row>
        <row r="19808">
          <cell r="A19808">
            <v>3922075</v>
          </cell>
          <cell r="B19808">
            <v>108601</v>
          </cell>
          <cell r="C19808" t="str">
            <v>Moor Edge Community Primary School</v>
          </cell>
          <cell r="D19808" t="str">
            <v>North Tyneside</v>
          </cell>
          <cell r="E19808" t="str">
            <v>Foundation School</v>
          </cell>
          <cell r="F19808" t="str">
            <v>Primary</v>
          </cell>
        </row>
        <row r="19809">
          <cell r="A19809">
            <v>3824021</v>
          </cell>
          <cell r="B19809">
            <v>137500</v>
          </cell>
          <cell r="C19809" t="str">
            <v>Moor End Academy</v>
          </cell>
          <cell r="D19809" t="str">
            <v>Kirklees</v>
          </cell>
          <cell r="E19809" t="str">
            <v>Academy Converters</v>
          </cell>
          <cell r="F19809" t="str">
            <v>Secondary</v>
          </cell>
        </row>
        <row r="19810">
          <cell r="A19810">
            <v>3824021</v>
          </cell>
          <cell r="B19810">
            <v>107760</v>
          </cell>
          <cell r="C19810" t="str">
            <v>Moor End Technology College</v>
          </cell>
          <cell r="D19810" t="str">
            <v>Kirklees</v>
          </cell>
          <cell r="E19810" t="str">
            <v>Community School</v>
          </cell>
          <cell r="F19810" t="str">
            <v>Secondary</v>
          </cell>
        </row>
        <row r="19811">
          <cell r="A19811">
            <v>8602164</v>
          </cell>
          <cell r="B19811">
            <v>124061</v>
          </cell>
          <cell r="C19811" t="str">
            <v>Moor First School</v>
          </cell>
          <cell r="D19811" t="str">
            <v>Staffordshire</v>
          </cell>
          <cell r="E19811" t="str">
            <v>Community School</v>
          </cell>
          <cell r="F19811" t="str">
            <v>Primary</v>
          </cell>
        </row>
        <row r="19812">
          <cell r="A19812">
            <v>3302137</v>
          </cell>
          <cell r="B19812">
            <v>103235</v>
          </cell>
          <cell r="C19812" t="str">
            <v>Moor Green Infant School</v>
          </cell>
          <cell r="D19812" t="str">
            <v>Birmingham</v>
          </cell>
          <cell r="E19812" t="str">
            <v>Community School</v>
          </cell>
          <cell r="F19812" t="str">
            <v>Primary</v>
          </cell>
        </row>
        <row r="19813">
          <cell r="A19813">
            <v>3302240</v>
          </cell>
          <cell r="B19813">
            <v>103290</v>
          </cell>
          <cell r="C19813" t="str">
            <v>Moor Green Junior School</v>
          </cell>
          <cell r="D19813" t="str">
            <v>Birmingham</v>
          </cell>
          <cell r="E19813" t="str">
            <v>Community School</v>
          </cell>
          <cell r="F19813" t="str">
            <v>Primary</v>
          </cell>
        </row>
        <row r="19814">
          <cell r="A19814">
            <v>3303434</v>
          </cell>
          <cell r="B19814">
            <v>131771</v>
          </cell>
          <cell r="C19814" t="str">
            <v>Moor Green Primary</v>
          </cell>
          <cell r="D19814" t="str">
            <v>Birmingham</v>
          </cell>
          <cell r="E19814" t="str">
            <v>Community School</v>
          </cell>
          <cell r="F19814" t="str">
            <v>Primary</v>
          </cell>
        </row>
        <row r="19815">
          <cell r="A19815">
            <v>3302416</v>
          </cell>
          <cell r="B19815">
            <v>103351</v>
          </cell>
          <cell r="C19815" t="str">
            <v>Moor Hall Primary School</v>
          </cell>
          <cell r="D19815" t="str">
            <v>Birmingham</v>
          </cell>
          <cell r="E19815" t="str">
            <v>Community School</v>
          </cell>
          <cell r="F19815" t="str">
            <v>Primary</v>
          </cell>
        </row>
        <row r="19816">
          <cell r="A19816">
            <v>3566033</v>
          </cell>
          <cell r="B19816">
            <v>135919</v>
          </cell>
          <cell r="C19816" t="str">
            <v>Moor House Independent School</v>
          </cell>
          <cell r="D19816" t="str">
            <v>Stockport</v>
          </cell>
          <cell r="E19816" t="str">
            <v>Other Independent Special School</v>
          </cell>
          <cell r="F19816" t="str">
            <v>Not applicable</v>
          </cell>
        </row>
        <row r="19817">
          <cell r="A19817">
            <v>9367007</v>
          </cell>
          <cell r="B19817">
            <v>125454</v>
          </cell>
          <cell r="C19817" t="str">
            <v>Moor House School</v>
          </cell>
          <cell r="D19817" t="str">
            <v>Surrey</v>
          </cell>
          <cell r="E19817" t="str">
            <v>Non-Maintained Special School</v>
          </cell>
          <cell r="F19817" t="str">
            <v>Special</v>
          </cell>
        </row>
        <row r="19818">
          <cell r="A19818">
            <v>3832368</v>
          </cell>
          <cell r="B19818">
            <v>127907</v>
          </cell>
          <cell r="C19818" t="str">
            <v>Moor Knoll Infant School</v>
          </cell>
          <cell r="D19818" t="str">
            <v>Leeds</v>
          </cell>
          <cell r="E19818" t="str">
            <v>Community School</v>
          </cell>
          <cell r="F19818" t="str">
            <v>Primary</v>
          </cell>
        </row>
        <row r="19819">
          <cell r="A19819">
            <v>8912890</v>
          </cell>
          <cell r="B19819">
            <v>122698</v>
          </cell>
          <cell r="C19819" t="str">
            <v>Moor Lane First School</v>
          </cell>
          <cell r="D19819" t="str">
            <v>Nottinghamshire</v>
          </cell>
          <cell r="E19819" t="str">
            <v>Community School</v>
          </cell>
          <cell r="F19819" t="str">
            <v>Primary</v>
          </cell>
        </row>
        <row r="19820">
          <cell r="A19820">
            <v>3142003</v>
          </cell>
          <cell r="B19820">
            <v>102566</v>
          </cell>
          <cell r="C19820" t="str">
            <v>Moor Lane Junior School</v>
          </cell>
          <cell r="D19820" t="str">
            <v>Kingston upon Thames</v>
          </cell>
          <cell r="E19820" t="str">
            <v>Community School</v>
          </cell>
          <cell r="F19820" t="str">
            <v>Primary</v>
          </cell>
        </row>
        <row r="19821">
          <cell r="A19821">
            <v>8882196</v>
          </cell>
          <cell r="B19821">
            <v>119236</v>
          </cell>
          <cell r="C19821" t="str">
            <v>Moor Nook Community Primary School</v>
          </cell>
          <cell r="D19821" t="str">
            <v>Lancashire</v>
          </cell>
          <cell r="E19821" t="str">
            <v>Community School</v>
          </cell>
          <cell r="F19821" t="str">
            <v>Primary</v>
          </cell>
        </row>
        <row r="19822">
          <cell r="A19822">
            <v>8884410</v>
          </cell>
          <cell r="B19822">
            <v>119773</v>
          </cell>
          <cell r="C19822" t="str">
            <v>Moor Park Business and Enterprise School</v>
          </cell>
          <cell r="D19822" t="str">
            <v>Lancashire</v>
          </cell>
          <cell r="E19822" t="str">
            <v>Foundation School</v>
          </cell>
          <cell r="F19822" t="str">
            <v>Secondary</v>
          </cell>
        </row>
        <row r="19823">
          <cell r="A19823">
            <v>8902218</v>
          </cell>
          <cell r="B19823">
            <v>119253</v>
          </cell>
          <cell r="C19823" t="str">
            <v>Moor Park Infant School</v>
          </cell>
          <cell r="D19823" t="str">
            <v>Blackpool</v>
          </cell>
          <cell r="E19823" t="str">
            <v>Community School</v>
          </cell>
          <cell r="F19823" t="str">
            <v>Primary</v>
          </cell>
        </row>
        <row r="19824">
          <cell r="A19824">
            <v>8902217</v>
          </cell>
          <cell r="B19824">
            <v>119252</v>
          </cell>
          <cell r="C19824" t="str">
            <v>Moor Park Junior School</v>
          </cell>
          <cell r="D19824" t="str">
            <v>Blackpool</v>
          </cell>
          <cell r="E19824" t="str">
            <v>Community School</v>
          </cell>
          <cell r="F19824" t="str">
            <v>Primary</v>
          </cell>
        </row>
        <row r="19825">
          <cell r="A19825">
            <v>8903815</v>
          </cell>
          <cell r="B19825">
            <v>134967</v>
          </cell>
          <cell r="C19825" t="str">
            <v>Moor Park Primary School</v>
          </cell>
          <cell r="D19825" t="str">
            <v>Blackpool</v>
          </cell>
          <cell r="E19825" t="str">
            <v>Community School</v>
          </cell>
          <cell r="F19825" t="str">
            <v>Primary</v>
          </cell>
        </row>
        <row r="19826">
          <cell r="A19826">
            <v>8936015</v>
          </cell>
          <cell r="B19826">
            <v>123617</v>
          </cell>
          <cell r="C19826" t="str">
            <v>Moor Park School</v>
          </cell>
          <cell r="D19826" t="str">
            <v>Shropshire</v>
          </cell>
          <cell r="E19826" t="str">
            <v>Other Independent School</v>
          </cell>
          <cell r="F19826" t="str">
            <v>Not applicable</v>
          </cell>
        </row>
        <row r="19827">
          <cell r="A19827">
            <v>9092222</v>
          </cell>
          <cell r="B19827">
            <v>112161</v>
          </cell>
          <cell r="C19827" t="str">
            <v>Moor Row Community Primary School</v>
          </cell>
          <cell r="D19827" t="str">
            <v>Cumbria</v>
          </cell>
          <cell r="E19827" t="str">
            <v>Community School</v>
          </cell>
          <cell r="F19827" t="str">
            <v>Primary</v>
          </cell>
        </row>
        <row r="19828">
          <cell r="A19828">
            <v>8786058</v>
          </cell>
          <cell r="B19828">
            <v>134496</v>
          </cell>
          <cell r="C19828" t="str">
            <v>Moor View School</v>
          </cell>
          <cell r="D19828" t="str">
            <v>Devon</v>
          </cell>
          <cell r="E19828" t="str">
            <v>Other Independent School</v>
          </cell>
          <cell r="F19828" t="str">
            <v>Not applicable</v>
          </cell>
        </row>
        <row r="19829">
          <cell r="A19829">
            <v>3921100</v>
          </cell>
          <cell r="B19829">
            <v>108565</v>
          </cell>
          <cell r="C19829" t="str">
            <v>Moorbridge</v>
          </cell>
          <cell r="D19829" t="str">
            <v>North Tyneside</v>
          </cell>
          <cell r="E19829" t="str">
            <v>Pupil Referral Unit</v>
          </cell>
          <cell r="F19829" t="str">
            <v>PRU</v>
          </cell>
        </row>
        <row r="19830">
          <cell r="A19830">
            <v>8887014</v>
          </cell>
          <cell r="B19830">
            <v>119866</v>
          </cell>
          <cell r="C19830" t="str">
            <v>Moorbrook School</v>
          </cell>
          <cell r="D19830" t="str">
            <v>Lancashire</v>
          </cell>
          <cell r="E19830" t="str">
            <v>Community Special School</v>
          </cell>
          <cell r="F19830" t="str">
            <v>Special</v>
          </cell>
        </row>
        <row r="19831">
          <cell r="A19831">
            <v>3544071</v>
          </cell>
          <cell r="B19831">
            <v>127450</v>
          </cell>
          <cell r="C19831" t="str">
            <v>Moorclose High School</v>
          </cell>
          <cell r="D19831" t="str">
            <v>Rochdale</v>
          </cell>
          <cell r="E19831" t="str">
            <v>Community School</v>
          </cell>
          <cell r="F19831" t="str">
            <v>Secondary</v>
          </cell>
        </row>
        <row r="19832">
          <cell r="A19832">
            <v>3541008</v>
          </cell>
          <cell r="B19832">
            <v>105763</v>
          </cell>
          <cell r="C19832" t="str">
            <v>Moorclose Nursery School</v>
          </cell>
          <cell r="D19832" t="str">
            <v>Rochdale</v>
          </cell>
          <cell r="E19832" t="str">
            <v>LA Nursery School</v>
          </cell>
          <cell r="F19832" t="str">
            <v>Nursery</v>
          </cell>
        </row>
        <row r="19833">
          <cell r="A19833">
            <v>3127010</v>
          </cell>
          <cell r="B19833">
            <v>102466</v>
          </cell>
          <cell r="C19833" t="str">
            <v>Moorcroft School</v>
          </cell>
          <cell r="D19833" t="str">
            <v>Hillingdon</v>
          </cell>
          <cell r="E19833" t="str">
            <v>Community Special School</v>
          </cell>
          <cell r="F19833" t="str">
            <v>Special</v>
          </cell>
        </row>
        <row r="19834">
          <cell r="A19834">
            <v>3353327</v>
          </cell>
          <cell r="B19834">
            <v>135016</v>
          </cell>
          <cell r="C19834" t="str">
            <v>Moorcroft Wood Primary School</v>
          </cell>
          <cell r="D19834" t="str">
            <v>Walsall</v>
          </cell>
          <cell r="E19834" t="str">
            <v>Community School</v>
          </cell>
          <cell r="F19834" t="str">
            <v>Primary</v>
          </cell>
        </row>
        <row r="19835">
          <cell r="A19835">
            <v>3823044</v>
          </cell>
          <cell r="B19835">
            <v>127786</v>
          </cell>
          <cell r="C19835" t="str">
            <v>Moorcross CofE (Controlled) Infant School</v>
          </cell>
          <cell r="D19835" t="str">
            <v>Kirklees</v>
          </cell>
          <cell r="E19835" t="str">
            <v>Voluntary Controlled School</v>
          </cell>
          <cell r="F19835" t="str">
            <v>Primary</v>
          </cell>
        </row>
        <row r="19836">
          <cell r="A19836">
            <v>3946016</v>
          </cell>
          <cell r="B19836">
            <v>134491</v>
          </cell>
          <cell r="C19836" t="str">
            <v>Moordale Academy</v>
          </cell>
          <cell r="D19836" t="str">
            <v>Sunderland</v>
          </cell>
          <cell r="E19836" t="str">
            <v>Other Independent School</v>
          </cell>
          <cell r="F19836" t="str">
            <v>Not applicable</v>
          </cell>
        </row>
        <row r="19837">
          <cell r="A19837">
            <v>8066001</v>
          </cell>
          <cell r="B19837">
            <v>134848</v>
          </cell>
          <cell r="C19837" t="str">
            <v>Moordale Academy</v>
          </cell>
          <cell r="D19837" t="str">
            <v>Middlesbrough</v>
          </cell>
          <cell r="E19837" t="str">
            <v>Other Independent School</v>
          </cell>
          <cell r="F19837" t="str">
            <v>Not applicable</v>
          </cell>
        </row>
        <row r="19838">
          <cell r="A19838">
            <v>8373675</v>
          </cell>
          <cell r="B19838">
            <v>113838</v>
          </cell>
          <cell r="C19838" t="str">
            <v>Moordown St John's Church of England Primary School</v>
          </cell>
          <cell r="D19838" t="str">
            <v>Bournemouth</v>
          </cell>
          <cell r="E19838" t="str">
            <v>Voluntary Aided School</v>
          </cell>
          <cell r="F19838" t="str">
            <v>Primary</v>
          </cell>
        </row>
        <row r="19839">
          <cell r="A19839">
            <v>8762104</v>
          </cell>
          <cell r="B19839">
            <v>110990</v>
          </cell>
          <cell r="C19839" t="str">
            <v>Moore Primary School</v>
          </cell>
          <cell r="D19839" t="str">
            <v>Halton</v>
          </cell>
          <cell r="E19839" t="str">
            <v>Community School</v>
          </cell>
          <cell r="F19839" t="str">
            <v>Primary</v>
          </cell>
        </row>
        <row r="19840">
          <cell r="A19840">
            <v>3823033</v>
          </cell>
          <cell r="B19840">
            <v>107720</v>
          </cell>
          <cell r="C19840" t="str">
            <v>Moorend Church of England Voluntary Controlled First School</v>
          </cell>
          <cell r="D19840" t="str">
            <v>Kirklees</v>
          </cell>
          <cell r="E19840" t="str">
            <v>Voluntary Controlled School</v>
          </cell>
          <cell r="F19840" t="str">
            <v>Primary</v>
          </cell>
        </row>
        <row r="19841">
          <cell r="A19841">
            <v>3552076</v>
          </cell>
          <cell r="B19841">
            <v>105915</v>
          </cell>
          <cell r="C19841" t="str">
            <v>Moorfield Community Primary School</v>
          </cell>
          <cell r="D19841" t="str">
            <v>Salford</v>
          </cell>
          <cell r="E19841" t="str">
            <v>Community School</v>
          </cell>
          <cell r="F19841" t="str">
            <v>Primary</v>
          </cell>
        </row>
        <row r="19842">
          <cell r="A19842">
            <v>3562059</v>
          </cell>
          <cell r="B19842">
            <v>106060</v>
          </cell>
          <cell r="C19842" t="str">
            <v>Moorfield Infant School</v>
          </cell>
          <cell r="D19842" t="str">
            <v>Stockport</v>
          </cell>
          <cell r="E19842" t="str">
            <v>Community School</v>
          </cell>
          <cell r="F19842" t="str">
            <v>Primary</v>
          </cell>
        </row>
        <row r="19843">
          <cell r="A19843">
            <v>8112712</v>
          </cell>
          <cell r="B19843">
            <v>117835</v>
          </cell>
          <cell r="C19843" t="str">
            <v>Moorfield Infant School</v>
          </cell>
          <cell r="D19843" t="str">
            <v>East Riding of Yorkshire</v>
          </cell>
          <cell r="E19843" t="str">
            <v>Community School</v>
          </cell>
          <cell r="F19843" t="str">
            <v>Primary</v>
          </cell>
        </row>
        <row r="19844">
          <cell r="A19844">
            <v>3562060</v>
          </cell>
          <cell r="B19844">
            <v>106061</v>
          </cell>
          <cell r="C19844" t="str">
            <v>Moorfield Junior School</v>
          </cell>
          <cell r="D19844" t="str">
            <v>Stockport</v>
          </cell>
          <cell r="E19844" t="str">
            <v>Community School</v>
          </cell>
          <cell r="F19844" t="str">
            <v>Primary</v>
          </cell>
        </row>
        <row r="19845">
          <cell r="A19845">
            <v>8112711</v>
          </cell>
          <cell r="B19845">
            <v>117834</v>
          </cell>
          <cell r="C19845" t="str">
            <v>Moorfield Junior School</v>
          </cell>
          <cell r="D19845" t="str">
            <v>East Riding of Yorkshire</v>
          </cell>
          <cell r="E19845" t="str">
            <v>Community School</v>
          </cell>
          <cell r="F19845" t="str">
            <v>Primary</v>
          </cell>
        </row>
        <row r="19846">
          <cell r="A19846">
            <v>8762415</v>
          </cell>
          <cell r="B19846">
            <v>111188</v>
          </cell>
          <cell r="C19846" t="str">
            <v>Moorfield Primary School</v>
          </cell>
          <cell r="D19846" t="str">
            <v>Halton</v>
          </cell>
          <cell r="E19846" t="str">
            <v>Community School</v>
          </cell>
          <cell r="F19846" t="str">
            <v>Primary</v>
          </cell>
        </row>
        <row r="19847">
          <cell r="A19847">
            <v>8945203</v>
          </cell>
          <cell r="B19847">
            <v>123435</v>
          </cell>
          <cell r="C19847" t="str">
            <v>Moorfield Primary School</v>
          </cell>
          <cell r="D19847" t="str">
            <v>Telford and Wrekin</v>
          </cell>
          <cell r="E19847" t="str">
            <v>Foundation School</v>
          </cell>
          <cell r="F19847" t="str">
            <v>Primary</v>
          </cell>
        </row>
        <row r="19848">
          <cell r="A19848">
            <v>3563526</v>
          </cell>
          <cell r="B19848">
            <v>134883</v>
          </cell>
          <cell r="C19848" t="str">
            <v>Moorfield Primary School</v>
          </cell>
          <cell r="D19848" t="str">
            <v>Stockport</v>
          </cell>
          <cell r="E19848" t="str">
            <v>Community School</v>
          </cell>
          <cell r="F19848" t="str">
            <v>Primary</v>
          </cell>
        </row>
        <row r="19849">
          <cell r="A19849">
            <v>3806060</v>
          </cell>
          <cell r="B19849">
            <v>107450</v>
          </cell>
          <cell r="C19849" t="str">
            <v>Moorfield School</v>
          </cell>
          <cell r="D19849" t="str">
            <v>Bradford</v>
          </cell>
          <cell r="E19849" t="str">
            <v>Other Independent School</v>
          </cell>
          <cell r="F19849" t="str">
            <v>Not applicable</v>
          </cell>
        </row>
        <row r="19850">
          <cell r="A19850">
            <v>8887013</v>
          </cell>
          <cell r="B19850">
            <v>119865</v>
          </cell>
          <cell r="C19850" t="str">
            <v>Moorfield School</v>
          </cell>
          <cell r="D19850" t="str">
            <v>Lancashire</v>
          </cell>
          <cell r="E19850" t="str">
            <v>Community Special School</v>
          </cell>
          <cell r="F19850" t="str">
            <v>Special</v>
          </cell>
        </row>
        <row r="19851">
          <cell r="A19851">
            <v>2062427</v>
          </cell>
          <cell r="B19851">
            <v>100414</v>
          </cell>
          <cell r="C19851" t="str">
            <v>Moorfields Primary School</v>
          </cell>
          <cell r="D19851" t="str">
            <v>Islington</v>
          </cell>
          <cell r="E19851" t="str">
            <v>Community School</v>
          </cell>
          <cell r="F19851" t="str">
            <v>Primary</v>
          </cell>
        </row>
        <row r="19852">
          <cell r="A19852">
            <v>3546013</v>
          </cell>
          <cell r="B19852">
            <v>131369</v>
          </cell>
          <cell r="C19852" t="str">
            <v>Moorgate</v>
          </cell>
          <cell r="D19852" t="str">
            <v>Rochdale</v>
          </cell>
          <cell r="E19852" t="str">
            <v>Other Independent Special School</v>
          </cell>
          <cell r="F19852" t="str">
            <v>Not applicable</v>
          </cell>
        </row>
        <row r="19853">
          <cell r="A19853">
            <v>8602303</v>
          </cell>
          <cell r="B19853">
            <v>124136</v>
          </cell>
          <cell r="C19853" t="str">
            <v>Moorgate Community Primary School</v>
          </cell>
          <cell r="D19853" t="str">
            <v>Staffordshire</v>
          </cell>
          <cell r="E19853" t="str">
            <v>Community School</v>
          </cell>
          <cell r="F19853" t="str">
            <v>Primary</v>
          </cell>
        </row>
        <row r="19854">
          <cell r="A19854">
            <v>8881018</v>
          </cell>
          <cell r="B19854">
            <v>119080</v>
          </cell>
          <cell r="C19854" t="str">
            <v>Moorgate Nursery School</v>
          </cell>
          <cell r="D19854" t="str">
            <v>Lancashire</v>
          </cell>
          <cell r="E19854" t="str">
            <v>LA Nursery School</v>
          </cell>
          <cell r="F19854" t="str">
            <v>Nursery</v>
          </cell>
        </row>
        <row r="19855">
          <cell r="A19855">
            <v>3502038</v>
          </cell>
          <cell r="B19855">
            <v>105171</v>
          </cell>
          <cell r="C19855" t="str">
            <v>Moorgate Primary School</v>
          </cell>
          <cell r="D19855" t="str">
            <v>Bolton</v>
          </cell>
          <cell r="E19855" t="str">
            <v>Community School</v>
          </cell>
          <cell r="F19855" t="str">
            <v>Primary</v>
          </cell>
        </row>
        <row r="19856">
          <cell r="A19856">
            <v>8312418</v>
          </cell>
          <cell r="B19856">
            <v>112723</v>
          </cell>
          <cell r="C19856" t="str">
            <v>Moorhead Primary School</v>
          </cell>
          <cell r="D19856" t="str">
            <v>Derby</v>
          </cell>
          <cell r="E19856" t="str">
            <v>Community School</v>
          </cell>
          <cell r="F19856" t="str">
            <v>Primary</v>
          </cell>
        </row>
        <row r="19857">
          <cell r="A19857">
            <v>8602424</v>
          </cell>
          <cell r="B19857">
            <v>124220</v>
          </cell>
          <cell r="C19857" t="str">
            <v>Moorhill Primary School</v>
          </cell>
          <cell r="D19857" t="str">
            <v>Staffordshire</v>
          </cell>
          <cell r="E19857" t="str">
            <v>Community School</v>
          </cell>
          <cell r="F19857" t="str">
            <v>Primary</v>
          </cell>
        </row>
        <row r="19858">
          <cell r="A19858">
            <v>3542043</v>
          </cell>
          <cell r="B19858">
            <v>105788</v>
          </cell>
          <cell r="C19858" t="str">
            <v>Moorhouse Primary School</v>
          </cell>
          <cell r="D19858" t="str">
            <v>Rochdale</v>
          </cell>
          <cell r="E19858" t="str">
            <v>Community School</v>
          </cell>
          <cell r="F19858" t="str">
            <v>Primary</v>
          </cell>
        </row>
        <row r="19859">
          <cell r="A19859">
            <v>3922029</v>
          </cell>
          <cell r="B19859">
            <v>128151</v>
          </cell>
          <cell r="C19859" t="str">
            <v>Moorhouse Primary School</v>
          </cell>
          <cell r="D19859" t="str">
            <v>North Tyneside</v>
          </cell>
          <cell r="E19859" t="str">
            <v>Community School</v>
          </cell>
          <cell r="F19859" t="str">
            <v>Primary</v>
          </cell>
        </row>
        <row r="19860">
          <cell r="A19860">
            <v>8512709</v>
          </cell>
          <cell r="B19860">
            <v>116220</v>
          </cell>
          <cell r="C19860" t="str">
            <v>Moorings Way Infant School</v>
          </cell>
          <cell r="D19860" t="str">
            <v>Portsmouth</v>
          </cell>
          <cell r="E19860" t="str">
            <v>Community School</v>
          </cell>
          <cell r="F19860" t="str">
            <v>Primary</v>
          </cell>
        </row>
        <row r="19861">
          <cell r="A19861">
            <v>8261090</v>
          </cell>
          <cell r="B19861">
            <v>126565</v>
          </cell>
          <cell r="C19861" t="str">
            <v>Moorland Centre Nursery School</v>
          </cell>
          <cell r="D19861" t="str">
            <v>Milton Keynes</v>
          </cell>
          <cell r="E19861" t="str">
            <v>LA Nursery School</v>
          </cell>
          <cell r="F19861" t="str">
            <v>Nursery</v>
          </cell>
        </row>
        <row r="19862">
          <cell r="A19862">
            <v>8262294</v>
          </cell>
          <cell r="B19862">
            <v>110361</v>
          </cell>
          <cell r="C19862" t="str">
            <v>Moorland Infant School</v>
          </cell>
          <cell r="D19862" t="str">
            <v>Milton Keynes</v>
          </cell>
          <cell r="E19862" t="str">
            <v>Community School</v>
          </cell>
          <cell r="F19862" t="str">
            <v>Primary</v>
          </cell>
        </row>
        <row r="19863">
          <cell r="A19863">
            <v>9342187</v>
          </cell>
          <cell r="B19863">
            <v>129880</v>
          </cell>
          <cell r="C19863" t="str">
            <v>Moorland Infant School</v>
          </cell>
          <cell r="D19863" t="str">
            <v>Pre LGR (1997) Staffordshire</v>
          </cell>
          <cell r="E19863" t="str">
            <v>Community School</v>
          </cell>
          <cell r="F19863" t="str">
            <v>Primary</v>
          </cell>
        </row>
        <row r="19864">
          <cell r="A19864">
            <v>6811005</v>
          </cell>
          <cell r="B19864">
            <v>400036</v>
          </cell>
          <cell r="C19864" t="str">
            <v>Moorland Nursery School</v>
          </cell>
          <cell r="D19864" t="str">
            <v>Cardiff</v>
          </cell>
          <cell r="E19864" t="str">
            <v>Welsh Establishment</v>
          </cell>
          <cell r="F19864" t="str">
            <v>Nursery</v>
          </cell>
        </row>
        <row r="19865">
          <cell r="A19865">
            <v>6812037</v>
          </cell>
          <cell r="B19865">
            <v>401579</v>
          </cell>
          <cell r="C19865" t="str">
            <v>Moorland Primary School</v>
          </cell>
          <cell r="D19865" t="str">
            <v>Cardiff</v>
          </cell>
          <cell r="E19865" t="str">
            <v>Welsh Establishment</v>
          </cell>
          <cell r="F19865" t="str">
            <v>Primary</v>
          </cell>
        </row>
        <row r="19866">
          <cell r="A19866">
            <v>8886002</v>
          </cell>
          <cell r="B19866">
            <v>119820</v>
          </cell>
          <cell r="C19866" t="str">
            <v>Moorland School Limited</v>
          </cell>
          <cell r="D19866" t="str">
            <v>Lancashire</v>
          </cell>
          <cell r="E19866" t="str">
            <v>Other Independent School</v>
          </cell>
          <cell r="F19866" t="str">
            <v>Not applicable</v>
          </cell>
        </row>
        <row r="19867">
          <cell r="A19867">
            <v>9262005</v>
          </cell>
          <cell r="B19867">
            <v>134045</v>
          </cell>
          <cell r="C19867" t="str">
            <v>Moorlands CofE Voluntary Controlled Primary School</v>
          </cell>
          <cell r="D19867" t="str">
            <v>Norfolk</v>
          </cell>
          <cell r="E19867" t="str">
            <v>Voluntary Controlled School</v>
          </cell>
          <cell r="F19867" t="str">
            <v>Primary</v>
          </cell>
        </row>
        <row r="19868">
          <cell r="A19868">
            <v>8212005</v>
          </cell>
          <cell r="B19868">
            <v>137324</v>
          </cell>
          <cell r="C19868" t="str">
            <v>Moorlands Free School</v>
          </cell>
          <cell r="D19868" t="str">
            <v>Luton</v>
          </cell>
          <cell r="E19868" t="str">
            <v>Academy Free Schools</v>
          </cell>
          <cell r="F19868" t="str">
            <v>Primary</v>
          </cell>
        </row>
        <row r="19869">
          <cell r="A19869">
            <v>8002154</v>
          </cell>
          <cell r="B19869">
            <v>109001</v>
          </cell>
          <cell r="C19869" t="str">
            <v>Moorlands Infant School</v>
          </cell>
          <cell r="D19869" t="str">
            <v>Bath and North East Somerset</v>
          </cell>
          <cell r="E19869" t="str">
            <v>Community School</v>
          </cell>
          <cell r="F19869" t="str">
            <v>Primary</v>
          </cell>
        </row>
        <row r="19870">
          <cell r="A19870">
            <v>3582033</v>
          </cell>
          <cell r="B19870">
            <v>106308</v>
          </cell>
          <cell r="C19870" t="str">
            <v>Moorlands Junior School</v>
          </cell>
          <cell r="D19870" t="str">
            <v>Trafford</v>
          </cell>
          <cell r="E19870" t="str">
            <v>Community School</v>
          </cell>
          <cell r="F19870" t="str">
            <v>Primary</v>
          </cell>
        </row>
        <row r="19871">
          <cell r="A19871">
            <v>8002153</v>
          </cell>
          <cell r="B19871">
            <v>109000</v>
          </cell>
          <cell r="C19871" t="str">
            <v>Moorlands Junior School</v>
          </cell>
          <cell r="D19871" t="str">
            <v>Bath and North East Somerset</v>
          </cell>
          <cell r="E19871" t="str">
            <v>Community School</v>
          </cell>
          <cell r="F19871" t="str">
            <v>Primary</v>
          </cell>
        </row>
        <row r="19872">
          <cell r="A19872">
            <v>8216003</v>
          </cell>
          <cell r="B19872">
            <v>132046</v>
          </cell>
          <cell r="C19872" t="str">
            <v>Moorlands Pre-Preparatory School</v>
          </cell>
          <cell r="D19872" t="str">
            <v>Luton</v>
          </cell>
          <cell r="E19872" t="str">
            <v>Other Independent School</v>
          </cell>
          <cell r="F19872" t="str">
            <v>Not applicable</v>
          </cell>
        </row>
        <row r="19873">
          <cell r="A19873">
            <v>3332046</v>
          </cell>
          <cell r="B19873">
            <v>103908</v>
          </cell>
          <cell r="C19873" t="str">
            <v>Moorlands Primary School</v>
          </cell>
          <cell r="D19873" t="str">
            <v>Sandwell</v>
          </cell>
          <cell r="E19873" t="str">
            <v>Foundation School</v>
          </cell>
          <cell r="F19873" t="str">
            <v>Primary</v>
          </cell>
        </row>
        <row r="19874">
          <cell r="A19874">
            <v>8702034</v>
          </cell>
          <cell r="B19874">
            <v>109799</v>
          </cell>
          <cell r="C19874" t="str">
            <v>Moorlands Primary School</v>
          </cell>
          <cell r="D19874" t="str">
            <v>Reading</v>
          </cell>
          <cell r="E19874" t="str">
            <v>Community School</v>
          </cell>
          <cell r="F19874" t="str">
            <v>Primary</v>
          </cell>
        </row>
        <row r="19875">
          <cell r="A19875">
            <v>8522455</v>
          </cell>
          <cell r="B19875">
            <v>116127</v>
          </cell>
          <cell r="C19875" t="str">
            <v>Moorlands Primary School</v>
          </cell>
          <cell r="D19875" t="str">
            <v>Southampton</v>
          </cell>
          <cell r="E19875" t="str">
            <v>Community School</v>
          </cell>
          <cell r="F19875" t="str">
            <v>Primary</v>
          </cell>
        </row>
        <row r="19876">
          <cell r="A19876">
            <v>3823410</v>
          </cell>
          <cell r="B19876">
            <v>135030</v>
          </cell>
          <cell r="C19876" t="str">
            <v>Moorlands Primary School</v>
          </cell>
          <cell r="D19876" t="str">
            <v>Kirklees</v>
          </cell>
          <cell r="E19876" t="str">
            <v>Community School</v>
          </cell>
          <cell r="F19876" t="str">
            <v>Primary</v>
          </cell>
        </row>
        <row r="19877">
          <cell r="A19877">
            <v>3836002</v>
          </cell>
          <cell r="B19877">
            <v>108102</v>
          </cell>
          <cell r="C19877" t="str">
            <v>Moorlands School</v>
          </cell>
          <cell r="D19877" t="str">
            <v>Leeds</v>
          </cell>
          <cell r="E19877" t="str">
            <v>Other Independent School</v>
          </cell>
          <cell r="F19877" t="str">
            <v>Not applicable</v>
          </cell>
        </row>
        <row r="19878">
          <cell r="A19878">
            <v>8786059</v>
          </cell>
          <cell r="B19878">
            <v>131448</v>
          </cell>
          <cell r="C19878" t="str">
            <v>Moorlands School</v>
          </cell>
          <cell r="D19878" t="str">
            <v>Devon</v>
          </cell>
          <cell r="E19878" t="str">
            <v>Other Independent Special School</v>
          </cell>
          <cell r="F19878" t="str">
            <v>Not applicable</v>
          </cell>
        </row>
        <row r="19879">
          <cell r="A19879">
            <v>8886046</v>
          </cell>
          <cell r="B19879">
            <v>132079</v>
          </cell>
          <cell r="C19879" t="str">
            <v>Moorlands View School</v>
          </cell>
          <cell r="D19879" t="str">
            <v>Lancashire</v>
          </cell>
          <cell r="E19879" t="str">
            <v>Other Independent Special School</v>
          </cell>
          <cell r="F19879" t="str">
            <v>Not applicable</v>
          </cell>
        </row>
        <row r="19880">
          <cell r="A19880">
            <v>8612026</v>
          </cell>
          <cell r="B19880">
            <v>123985</v>
          </cell>
          <cell r="C19880" t="str">
            <v>Moorpark Junior School</v>
          </cell>
          <cell r="D19880" t="str">
            <v>Stoke-on-Trent</v>
          </cell>
          <cell r="E19880" t="str">
            <v>Community School</v>
          </cell>
          <cell r="F19880" t="str">
            <v>Primary</v>
          </cell>
        </row>
        <row r="19881">
          <cell r="A19881">
            <v>3912999</v>
          </cell>
          <cell r="B19881">
            <v>108492</v>
          </cell>
          <cell r="C19881" t="str">
            <v>Moorside Community Primary School</v>
          </cell>
          <cell r="D19881" t="str">
            <v>Newcastle upon Tyne</v>
          </cell>
          <cell r="E19881" t="str">
            <v>Community School</v>
          </cell>
          <cell r="F19881" t="str">
            <v>Primary</v>
          </cell>
        </row>
        <row r="19882">
          <cell r="A19882">
            <v>8882551</v>
          </cell>
          <cell r="B19882">
            <v>119303</v>
          </cell>
          <cell r="C19882" t="str">
            <v>Moorside Community Primary School</v>
          </cell>
          <cell r="D19882" t="str">
            <v>Lancashire</v>
          </cell>
          <cell r="E19882" t="str">
            <v>Community School</v>
          </cell>
          <cell r="F19882" t="str">
            <v>Primary</v>
          </cell>
        </row>
        <row r="19883">
          <cell r="A19883">
            <v>3813332</v>
          </cell>
          <cell r="B19883">
            <v>134659</v>
          </cell>
          <cell r="C19883" t="str">
            <v>Moorside Community Primary School</v>
          </cell>
          <cell r="D19883" t="str">
            <v>Calderdale</v>
          </cell>
          <cell r="E19883" t="str">
            <v>Community School</v>
          </cell>
          <cell r="F19883" t="str">
            <v>Primary</v>
          </cell>
        </row>
        <row r="19884">
          <cell r="A19884">
            <v>8404110</v>
          </cell>
          <cell r="B19884">
            <v>114294</v>
          </cell>
          <cell r="C19884" t="str">
            <v>Moorside Community Technology College</v>
          </cell>
          <cell r="D19884" t="str">
            <v>Durham</v>
          </cell>
          <cell r="E19884" t="str">
            <v>Community School</v>
          </cell>
          <cell r="F19884" t="str">
            <v>Secondary</v>
          </cell>
        </row>
        <row r="19885">
          <cell r="A19885">
            <v>3554039</v>
          </cell>
          <cell r="B19885">
            <v>105977</v>
          </cell>
          <cell r="C19885" t="str">
            <v>Moorside High School</v>
          </cell>
          <cell r="D19885" t="str">
            <v>Salford</v>
          </cell>
          <cell r="E19885" t="str">
            <v>Community School</v>
          </cell>
          <cell r="F19885" t="str">
            <v>Secondary</v>
          </cell>
        </row>
        <row r="19886">
          <cell r="A19886">
            <v>8604072</v>
          </cell>
          <cell r="B19886">
            <v>124399</v>
          </cell>
          <cell r="C19886" t="str">
            <v>Moorside High School</v>
          </cell>
          <cell r="D19886" t="str">
            <v>Staffordshire</v>
          </cell>
          <cell r="E19886" t="str">
            <v>Community School</v>
          </cell>
          <cell r="F19886" t="str">
            <v>Secondary</v>
          </cell>
        </row>
        <row r="19887">
          <cell r="A19887">
            <v>3812014</v>
          </cell>
          <cell r="B19887">
            <v>107485</v>
          </cell>
          <cell r="C19887" t="str">
            <v>Moorside Infant and Nursery School</v>
          </cell>
          <cell r="D19887" t="str">
            <v>Calderdale</v>
          </cell>
          <cell r="E19887" t="str">
            <v>Community School</v>
          </cell>
          <cell r="F19887" t="str">
            <v>Primary</v>
          </cell>
        </row>
        <row r="19888">
          <cell r="A19888">
            <v>8152366</v>
          </cell>
          <cell r="B19888">
            <v>121426</v>
          </cell>
          <cell r="C19888" t="str">
            <v>Moorside Infant School</v>
          </cell>
          <cell r="D19888" t="str">
            <v>North Yorkshire</v>
          </cell>
          <cell r="E19888" t="str">
            <v>Community School</v>
          </cell>
          <cell r="F19888" t="str">
            <v>Primary</v>
          </cell>
        </row>
        <row r="19889">
          <cell r="A19889">
            <v>3812013</v>
          </cell>
          <cell r="B19889">
            <v>107484</v>
          </cell>
          <cell r="C19889" t="str">
            <v>Moorside Junior School</v>
          </cell>
          <cell r="D19889" t="str">
            <v>Calderdale</v>
          </cell>
          <cell r="E19889" t="str">
            <v>Community School</v>
          </cell>
          <cell r="F19889" t="str">
            <v>Primary</v>
          </cell>
        </row>
        <row r="19890">
          <cell r="A19890">
            <v>8152367</v>
          </cell>
          <cell r="B19890">
            <v>121427</v>
          </cell>
          <cell r="C19890" t="str">
            <v>Moorside Junior School</v>
          </cell>
          <cell r="D19890" t="str">
            <v>North Yorkshire</v>
          </cell>
          <cell r="E19890" t="str">
            <v>Community School</v>
          </cell>
          <cell r="F19890" t="str">
            <v>Primary</v>
          </cell>
        </row>
        <row r="19891">
          <cell r="A19891">
            <v>3552070</v>
          </cell>
          <cell r="B19891">
            <v>105910</v>
          </cell>
          <cell r="C19891" t="str">
            <v>Moorside Primary School</v>
          </cell>
          <cell r="D19891" t="str">
            <v>Salford</v>
          </cell>
          <cell r="E19891" t="str">
            <v>Community School</v>
          </cell>
          <cell r="F19891" t="str">
            <v>Primary</v>
          </cell>
        </row>
        <row r="19892">
          <cell r="A19892">
            <v>3572049</v>
          </cell>
          <cell r="B19892">
            <v>106209</v>
          </cell>
          <cell r="C19892" t="str">
            <v>Moorside Primary School</v>
          </cell>
          <cell r="D19892" t="str">
            <v>Tameside</v>
          </cell>
          <cell r="E19892" t="str">
            <v>Community School</v>
          </cell>
          <cell r="F19892" t="str">
            <v>Primary</v>
          </cell>
        </row>
        <row r="19893">
          <cell r="A19893">
            <v>8402276</v>
          </cell>
          <cell r="B19893">
            <v>114050</v>
          </cell>
          <cell r="C19893" t="str">
            <v>Moorside Primary School</v>
          </cell>
          <cell r="D19893" t="str">
            <v>Durham</v>
          </cell>
          <cell r="E19893" t="str">
            <v>Community School</v>
          </cell>
          <cell r="F19893" t="str">
            <v>Primary</v>
          </cell>
        </row>
        <row r="19894">
          <cell r="A19894">
            <v>8882370</v>
          </cell>
          <cell r="B19894">
            <v>119273</v>
          </cell>
          <cell r="C19894" t="str">
            <v>Moorside Primary School</v>
          </cell>
          <cell r="D19894" t="str">
            <v>Lancashire</v>
          </cell>
          <cell r="E19894" t="str">
            <v>Community School</v>
          </cell>
          <cell r="F19894" t="str">
            <v>Primary</v>
          </cell>
        </row>
        <row r="19895">
          <cell r="A19895">
            <v>3842075</v>
          </cell>
          <cell r="B19895">
            <v>108161</v>
          </cell>
          <cell r="C19895" t="str">
            <v>Moorthorpe First School</v>
          </cell>
          <cell r="D19895" t="str">
            <v>Wakefield</v>
          </cell>
          <cell r="E19895" t="str">
            <v>Community School</v>
          </cell>
          <cell r="F19895" t="str">
            <v>Primary</v>
          </cell>
        </row>
        <row r="19896">
          <cell r="A19896">
            <v>3844039</v>
          </cell>
          <cell r="B19896">
            <v>108289</v>
          </cell>
          <cell r="C19896" t="str">
            <v>Moorthorpe Middle School</v>
          </cell>
          <cell r="D19896" t="str">
            <v>Wakefield</v>
          </cell>
          <cell r="E19896" t="str">
            <v>Community School</v>
          </cell>
          <cell r="F19896" t="str">
            <v>Middle Deemed Secondary</v>
          </cell>
        </row>
        <row r="19897">
          <cell r="A19897">
            <v>3832140</v>
          </cell>
          <cell r="B19897">
            <v>127841</v>
          </cell>
          <cell r="C19897" t="str">
            <v>Moortown First School</v>
          </cell>
          <cell r="D19897" t="str">
            <v>Leeds</v>
          </cell>
          <cell r="E19897" t="str">
            <v>Community School</v>
          </cell>
          <cell r="F19897" t="str">
            <v>Primary</v>
          </cell>
        </row>
        <row r="19898">
          <cell r="A19898">
            <v>3832440</v>
          </cell>
          <cell r="B19898">
            <v>107916</v>
          </cell>
          <cell r="C19898" t="str">
            <v>Moortown Primary School</v>
          </cell>
          <cell r="D19898" t="str">
            <v>Leeds</v>
          </cell>
          <cell r="E19898" t="str">
            <v>Community School</v>
          </cell>
          <cell r="F19898" t="str">
            <v>Primary</v>
          </cell>
        </row>
        <row r="19899">
          <cell r="A19899">
            <v>3042010</v>
          </cell>
          <cell r="B19899">
            <v>126763</v>
          </cell>
          <cell r="C19899" t="str">
            <v>Mora Infant School</v>
          </cell>
          <cell r="D19899" t="str">
            <v>Brent</v>
          </cell>
          <cell r="E19899" t="str">
            <v>Community School</v>
          </cell>
          <cell r="F19899" t="str">
            <v>Primary</v>
          </cell>
        </row>
        <row r="19900">
          <cell r="A19900">
            <v>3042009</v>
          </cell>
          <cell r="B19900">
            <v>126762</v>
          </cell>
          <cell r="C19900" t="str">
            <v>Mora Junior School</v>
          </cell>
          <cell r="D19900" t="str">
            <v>Brent</v>
          </cell>
          <cell r="E19900" t="str">
            <v>Community School</v>
          </cell>
          <cell r="F19900" t="str">
            <v>Primary</v>
          </cell>
        </row>
        <row r="19901">
          <cell r="A19901">
            <v>3042073</v>
          </cell>
          <cell r="B19901">
            <v>101530</v>
          </cell>
          <cell r="C19901" t="str">
            <v>Mora Primary School</v>
          </cell>
          <cell r="D19901" t="str">
            <v>Brent</v>
          </cell>
          <cell r="E19901" t="str">
            <v>Community School</v>
          </cell>
          <cell r="F19901" t="str">
            <v>Primary</v>
          </cell>
        </row>
        <row r="19902">
          <cell r="A19902">
            <v>3026200</v>
          </cell>
          <cell r="B19902">
            <v>135726</v>
          </cell>
          <cell r="C19902" t="str">
            <v>Morasha Jewish Primary School</v>
          </cell>
          <cell r="D19902" t="str">
            <v>Barnet</v>
          </cell>
          <cell r="E19902" t="str">
            <v>Other Independent School</v>
          </cell>
          <cell r="F19902" t="str">
            <v>Not applicable</v>
          </cell>
        </row>
        <row r="19903">
          <cell r="A19903">
            <v>8783462</v>
          </cell>
          <cell r="B19903">
            <v>113457</v>
          </cell>
          <cell r="C19903" t="str">
            <v>Morchard Bishop Church of England Primary School</v>
          </cell>
          <cell r="D19903" t="str">
            <v>Devon</v>
          </cell>
          <cell r="E19903" t="str">
            <v>Voluntary Aided School</v>
          </cell>
          <cell r="F19903" t="str">
            <v>Primary</v>
          </cell>
        </row>
        <row r="19904">
          <cell r="A19904">
            <v>9113314</v>
          </cell>
          <cell r="B19904">
            <v>128710</v>
          </cell>
          <cell r="C19904" t="str">
            <v>Morchard Bishop CofE Primary School</v>
          </cell>
          <cell r="D19904" t="str">
            <v>Pre LGR (1998) Devon</v>
          </cell>
          <cell r="E19904" t="str">
            <v>Voluntary Aided School</v>
          </cell>
          <cell r="F19904" t="str">
            <v>Primary</v>
          </cell>
        </row>
        <row r="19905">
          <cell r="A19905">
            <v>9246037</v>
          </cell>
          <cell r="B19905">
            <v>129547</v>
          </cell>
          <cell r="C19905" t="str">
            <v>Morcott Hall School</v>
          </cell>
          <cell r="D19905" t="str">
            <v>Pre LGR (1997) Leicestershire</v>
          </cell>
          <cell r="E19905" t="str">
            <v>Other Independent School</v>
          </cell>
          <cell r="F19905" t="str">
            <v>Not applicable</v>
          </cell>
        </row>
        <row r="19906">
          <cell r="A19906">
            <v>8933074</v>
          </cell>
          <cell r="B19906">
            <v>123484</v>
          </cell>
          <cell r="C19906" t="str">
            <v>Morda CofE Primary School</v>
          </cell>
          <cell r="D19906" t="str">
            <v>Shropshire</v>
          </cell>
          <cell r="E19906" t="str">
            <v>Voluntary Controlled School</v>
          </cell>
          <cell r="F19906" t="str">
            <v>Primary</v>
          </cell>
        </row>
        <row r="19907">
          <cell r="A19907">
            <v>8526002</v>
          </cell>
          <cell r="B19907">
            <v>116571</v>
          </cell>
          <cell r="C19907" t="str">
            <v>Mordaunt School</v>
          </cell>
          <cell r="D19907" t="str">
            <v>Southampton</v>
          </cell>
          <cell r="E19907" t="str">
            <v>Independent School Approved for SEN Pupils</v>
          </cell>
          <cell r="F19907" t="str">
            <v>Not applicable</v>
          </cell>
        </row>
        <row r="19908">
          <cell r="A19908">
            <v>3152087</v>
          </cell>
          <cell r="B19908">
            <v>102658</v>
          </cell>
          <cell r="C19908" t="str">
            <v>Morden Farm Middle School</v>
          </cell>
          <cell r="D19908" t="str">
            <v>Merton</v>
          </cell>
          <cell r="E19908" t="str">
            <v>Community School</v>
          </cell>
          <cell r="F19908" t="str">
            <v>Middle Deemed Primary</v>
          </cell>
        </row>
        <row r="19909">
          <cell r="A19909">
            <v>3154037</v>
          </cell>
          <cell r="B19909">
            <v>126959</v>
          </cell>
          <cell r="C19909" t="str">
            <v>Morden Farm Middle School</v>
          </cell>
          <cell r="D19909" t="str">
            <v>Merton</v>
          </cell>
          <cell r="E19909" t="str">
            <v>Community School</v>
          </cell>
          <cell r="F19909" t="str">
            <v>Middle Deemed Secondary</v>
          </cell>
        </row>
        <row r="19910">
          <cell r="A19910">
            <v>2032071</v>
          </cell>
          <cell r="B19910">
            <v>100114</v>
          </cell>
          <cell r="C19910" t="str">
            <v>Morden Mount Primary School</v>
          </cell>
          <cell r="D19910" t="str">
            <v>Greenwich</v>
          </cell>
          <cell r="E19910" t="str">
            <v>Community School</v>
          </cell>
          <cell r="F19910" t="str">
            <v>Primary</v>
          </cell>
        </row>
        <row r="19911">
          <cell r="A19911">
            <v>3152068</v>
          </cell>
          <cell r="B19911">
            <v>102640</v>
          </cell>
          <cell r="C19911" t="str">
            <v>Morden Primary School</v>
          </cell>
          <cell r="D19911" t="str">
            <v>Merton</v>
          </cell>
          <cell r="E19911" t="str">
            <v>Community School</v>
          </cell>
          <cell r="F19911" t="str">
            <v>Primary</v>
          </cell>
        </row>
        <row r="19912">
          <cell r="A19912">
            <v>8843078</v>
          </cell>
          <cell r="B19912">
            <v>116832</v>
          </cell>
          <cell r="C19912" t="str">
            <v>Mordiford CofE Primary School</v>
          </cell>
          <cell r="D19912" t="str">
            <v>Herefordshire</v>
          </cell>
          <cell r="E19912" t="str">
            <v>Foundation School</v>
          </cell>
          <cell r="F19912" t="str">
            <v>Primary</v>
          </cell>
        </row>
        <row r="19913">
          <cell r="A19913">
            <v>2076202</v>
          </cell>
          <cell r="B19913">
            <v>100521</v>
          </cell>
          <cell r="C19913" t="str">
            <v>More House School</v>
          </cell>
          <cell r="D19913" t="str">
            <v>Kensington and Chelsea</v>
          </cell>
          <cell r="E19913" t="str">
            <v>Other Independent School</v>
          </cell>
          <cell r="F19913" t="str">
            <v>Not applicable</v>
          </cell>
        </row>
        <row r="19914">
          <cell r="A19914">
            <v>9366420</v>
          </cell>
          <cell r="B19914">
            <v>125403</v>
          </cell>
          <cell r="C19914" t="str">
            <v>More House School</v>
          </cell>
          <cell r="D19914" t="str">
            <v>Surrey</v>
          </cell>
          <cell r="E19914" t="str">
            <v>Other Independent Special School</v>
          </cell>
          <cell r="F19914" t="str">
            <v>Not applicable</v>
          </cell>
        </row>
        <row r="19915">
          <cell r="A19915">
            <v>8863745</v>
          </cell>
          <cell r="B19915">
            <v>118774</v>
          </cell>
          <cell r="C19915" t="str">
            <v>More Park Catholic Primary School</v>
          </cell>
          <cell r="D19915" t="str">
            <v>Kent</v>
          </cell>
          <cell r="E19915" t="str">
            <v>Voluntary Aided School</v>
          </cell>
          <cell r="F19915" t="str">
            <v>Primary</v>
          </cell>
        </row>
        <row r="19916">
          <cell r="A19916">
            <v>8882831</v>
          </cell>
          <cell r="B19916">
            <v>119351</v>
          </cell>
          <cell r="C19916" t="str">
            <v>Morecambe and Heysham Grosvenor Park Primary School</v>
          </cell>
          <cell r="D19916" t="str">
            <v>Lancashire</v>
          </cell>
          <cell r="E19916" t="str">
            <v>Community School</v>
          </cell>
          <cell r="F19916" t="str">
            <v>Primary</v>
          </cell>
        </row>
        <row r="19917">
          <cell r="A19917">
            <v>8882028</v>
          </cell>
          <cell r="B19917">
            <v>119138</v>
          </cell>
          <cell r="C19917" t="str">
            <v>Morecambe and Heysham Sandylands Community Primary School</v>
          </cell>
          <cell r="D19917" t="str">
            <v>Lancashire</v>
          </cell>
          <cell r="E19917" t="str">
            <v>Community School</v>
          </cell>
          <cell r="F19917" t="str">
            <v>Primary</v>
          </cell>
        </row>
        <row r="19918">
          <cell r="A19918">
            <v>8882425</v>
          </cell>
          <cell r="B19918">
            <v>119283</v>
          </cell>
          <cell r="C19918" t="str">
            <v>Morecambe and Heysham Torrisholme Community Primary School</v>
          </cell>
          <cell r="D19918" t="str">
            <v>Lancashire</v>
          </cell>
          <cell r="E19918" t="str">
            <v>Community School</v>
          </cell>
          <cell r="F19918" t="str">
            <v>Primary</v>
          </cell>
        </row>
        <row r="19919">
          <cell r="A19919">
            <v>8882827</v>
          </cell>
          <cell r="B19919">
            <v>119347</v>
          </cell>
          <cell r="C19919" t="str">
            <v>Morecambe and Heysham Westgate Primary School</v>
          </cell>
          <cell r="D19919" t="str">
            <v>Lancashire</v>
          </cell>
          <cell r="E19919" t="str">
            <v>Community School</v>
          </cell>
          <cell r="F19919" t="str">
            <v>Primary</v>
          </cell>
        </row>
        <row r="19920">
          <cell r="A19920">
            <v>8882025</v>
          </cell>
          <cell r="B19920">
            <v>119135</v>
          </cell>
          <cell r="C19920" t="str">
            <v>Morecambe Bay Community Primary School</v>
          </cell>
          <cell r="D19920" t="str">
            <v>Lancashire</v>
          </cell>
          <cell r="E19920" t="str">
            <v>Community School</v>
          </cell>
          <cell r="F19920" t="str">
            <v>Primary</v>
          </cell>
        </row>
        <row r="19921">
          <cell r="A19921">
            <v>8884302</v>
          </cell>
          <cell r="B19921">
            <v>119761</v>
          </cell>
          <cell r="C19921" t="str">
            <v>Morecambe Community High School</v>
          </cell>
          <cell r="D19921" t="str">
            <v>Lancashire</v>
          </cell>
          <cell r="E19921" t="str">
            <v>Community School</v>
          </cell>
          <cell r="F19921" t="str">
            <v>Secondary</v>
          </cell>
        </row>
        <row r="19922">
          <cell r="A19922">
            <v>8887034</v>
          </cell>
          <cell r="B19922">
            <v>119876</v>
          </cell>
          <cell r="C19922" t="str">
            <v>Morecambe Road School</v>
          </cell>
          <cell r="D19922" t="str">
            <v>Lancashire</v>
          </cell>
          <cell r="E19922" t="str">
            <v>Community Special School</v>
          </cell>
          <cell r="F19922" t="str">
            <v>Special</v>
          </cell>
        </row>
        <row r="19923">
          <cell r="A19923">
            <v>8662114</v>
          </cell>
          <cell r="B19923">
            <v>126223</v>
          </cell>
          <cell r="C19923" t="str">
            <v>Moredon Infants' School</v>
          </cell>
          <cell r="D19923" t="str">
            <v>Swindon</v>
          </cell>
          <cell r="E19923" t="str">
            <v>Community School</v>
          </cell>
          <cell r="F19923" t="str">
            <v>Primary</v>
          </cell>
        </row>
        <row r="19924">
          <cell r="A19924">
            <v>8662113</v>
          </cell>
          <cell r="B19924">
            <v>126222</v>
          </cell>
          <cell r="C19924" t="str">
            <v>Moredon Junior School</v>
          </cell>
          <cell r="D19924" t="str">
            <v>Swindon</v>
          </cell>
          <cell r="E19924" t="str">
            <v>Community School</v>
          </cell>
          <cell r="F19924" t="str">
            <v>Primary</v>
          </cell>
        </row>
        <row r="19925">
          <cell r="A19925">
            <v>8663461</v>
          </cell>
          <cell r="B19925">
            <v>131376</v>
          </cell>
          <cell r="C19925" t="str">
            <v>Moredon Primary School</v>
          </cell>
          <cell r="D19925" t="str">
            <v>Swindon</v>
          </cell>
          <cell r="E19925" t="str">
            <v>Community School</v>
          </cell>
          <cell r="F19925" t="str">
            <v>Primary</v>
          </cell>
        </row>
        <row r="19926">
          <cell r="A19926">
            <v>8862568</v>
          </cell>
          <cell r="B19926">
            <v>118519</v>
          </cell>
          <cell r="C19926" t="str">
            <v>Morehall Primary School</v>
          </cell>
          <cell r="D19926" t="str">
            <v>Kent</v>
          </cell>
          <cell r="E19926" t="str">
            <v>Community School</v>
          </cell>
          <cell r="F19926" t="str">
            <v>Primary</v>
          </cell>
        </row>
        <row r="19927">
          <cell r="A19927">
            <v>2062429</v>
          </cell>
          <cell r="B19927">
            <v>100415</v>
          </cell>
          <cell r="C19927" t="str">
            <v>Moreland Primary School</v>
          </cell>
          <cell r="D19927" t="str">
            <v>Islington</v>
          </cell>
          <cell r="E19927" t="str">
            <v>Community School</v>
          </cell>
          <cell r="F19927" t="str">
            <v>Primary</v>
          </cell>
        </row>
        <row r="19928">
          <cell r="A19928">
            <v>9172295</v>
          </cell>
          <cell r="B19928">
            <v>128990</v>
          </cell>
          <cell r="C19928" t="str">
            <v>Morelands First School</v>
          </cell>
          <cell r="D19928" t="str">
            <v>Pre LGR (1997) Hampshire</v>
          </cell>
          <cell r="E19928" t="str">
            <v>Community School</v>
          </cell>
          <cell r="F19928" t="str">
            <v>Primary</v>
          </cell>
        </row>
        <row r="19929">
          <cell r="A19929">
            <v>9172280</v>
          </cell>
          <cell r="B19929">
            <v>128989</v>
          </cell>
          <cell r="C19929" t="str">
            <v>Morelands Middle School</v>
          </cell>
          <cell r="D19929" t="str">
            <v>Pre LGR (1997) Hampshire</v>
          </cell>
          <cell r="E19929" t="str">
            <v>Community School</v>
          </cell>
          <cell r="F19929" t="str">
            <v>Middle Deemed Primary</v>
          </cell>
        </row>
        <row r="19930">
          <cell r="A19930">
            <v>8502774</v>
          </cell>
          <cell r="B19930">
            <v>116265</v>
          </cell>
          <cell r="C19930" t="str">
            <v>Morelands Primary School</v>
          </cell>
          <cell r="D19930" t="str">
            <v>Hampshire</v>
          </cell>
          <cell r="E19930" t="str">
            <v>Community School</v>
          </cell>
          <cell r="F19930" t="str">
            <v>Primary</v>
          </cell>
        </row>
        <row r="19931">
          <cell r="A19931">
            <v>9092223</v>
          </cell>
          <cell r="B19931">
            <v>112162</v>
          </cell>
          <cell r="C19931" t="str">
            <v>Moresby Primary School</v>
          </cell>
          <cell r="D19931" t="str">
            <v>Cumbria</v>
          </cell>
          <cell r="E19931" t="str">
            <v>Community School</v>
          </cell>
          <cell r="F19931" t="str">
            <v>Primary</v>
          </cell>
        </row>
        <row r="19932">
          <cell r="A19932">
            <v>3443337</v>
          </cell>
          <cell r="B19932">
            <v>105076</v>
          </cell>
          <cell r="C19932" t="str">
            <v>Moreton Christ Church CofE Primary School</v>
          </cell>
          <cell r="D19932" t="str">
            <v>Wirral</v>
          </cell>
          <cell r="E19932" t="str">
            <v>Voluntary Aided School</v>
          </cell>
          <cell r="F19932" t="str">
            <v>Primary</v>
          </cell>
        </row>
        <row r="19933">
          <cell r="A19933">
            <v>8813670</v>
          </cell>
          <cell r="B19933">
            <v>115188</v>
          </cell>
          <cell r="C19933" t="str">
            <v>Moreton Church of England Voluntary Aided Primary School</v>
          </cell>
          <cell r="D19933" t="str">
            <v>Essex</v>
          </cell>
          <cell r="E19933" t="str">
            <v>Voluntary Aided School</v>
          </cell>
          <cell r="F19933" t="str">
            <v>Primary</v>
          </cell>
        </row>
        <row r="19934">
          <cell r="A19934">
            <v>3364139</v>
          </cell>
          <cell r="B19934">
            <v>104397</v>
          </cell>
          <cell r="C19934" t="str">
            <v>Moreton Community School</v>
          </cell>
          <cell r="D19934" t="str">
            <v>Wolverhampton</v>
          </cell>
          <cell r="E19934" t="str">
            <v>Community School</v>
          </cell>
          <cell r="F19934" t="str">
            <v>Secondary</v>
          </cell>
        </row>
        <row r="19935">
          <cell r="A19935">
            <v>3152057</v>
          </cell>
          <cell r="B19935">
            <v>102630</v>
          </cell>
          <cell r="C19935" t="str">
            <v>Moreton Green First School</v>
          </cell>
          <cell r="D19935" t="str">
            <v>Merton</v>
          </cell>
          <cell r="E19935" t="str">
            <v>Community School</v>
          </cell>
          <cell r="F19935" t="str">
            <v>Primary</v>
          </cell>
        </row>
        <row r="19936">
          <cell r="A19936">
            <v>8936005</v>
          </cell>
          <cell r="B19936">
            <v>123604</v>
          </cell>
          <cell r="C19936" t="str">
            <v>Moreton Hall School</v>
          </cell>
          <cell r="D19936" t="str">
            <v>Shropshire</v>
          </cell>
          <cell r="E19936" t="str">
            <v>Other Independent School</v>
          </cell>
          <cell r="F19936" t="str">
            <v>Not applicable</v>
          </cell>
        </row>
        <row r="19937">
          <cell r="A19937">
            <v>9356026</v>
          </cell>
          <cell r="B19937">
            <v>124877</v>
          </cell>
          <cell r="C19937" t="str">
            <v>Moreton Hall School</v>
          </cell>
          <cell r="D19937" t="str">
            <v>Suffolk</v>
          </cell>
          <cell r="E19937" t="str">
            <v>Other Independent School</v>
          </cell>
          <cell r="F19937" t="str">
            <v>Not applicable</v>
          </cell>
        </row>
        <row r="19938">
          <cell r="A19938">
            <v>9176220</v>
          </cell>
          <cell r="B19938">
            <v>129057</v>
          </cell>
          <cell r="C19938" t="str">
            <v>Moreton House School</v>
          </cell>
          <cell r="D19938" t="str">
            <v>Pre LGR (1997) Hampshire</v>
          </cell>
          <cell r="E19938" t="str">
            <v>Other Independent School</v>
          </cell>
          <cell r="F19938" t="str">
            <v>Not applicable</v>
          </cell>
        </row>
        <row r="19939">
          <cell r="A19939">
            <v>9375205</v>
          </cell>
          <cell r="B19939">
            <v>125693</v>
          </cell>
          <cell r="C19939" t="str">
            <v>Moreton Morrell CofE Primary School</v>
          </cell>
          <cell r="D19939" t="str">
            <v>Warwickshire</v>
          </cell>
          <cell r="E19939" t="str">
            <v>Foundation School</v>
          </cell>
          <cell r="F19939" t="str">
            <v>Primary</v>
          </cell>
        </row>
        <row r="19940">
          <cell r="A19940">
            <v>8933077</v>
          </cell>
          <cell r="B19940">
            <v>123485</v>
          </cell>
          <cell r="C19940" t="str">
            <v>Moreton Say CofE Controlled Primary School</v>
          </cell>
          <cell r="D19940" t="str">
            <v>Shropshire</v>
          </cell>
          <cell r="E19940" t="str">
            <v>Voluntary Controlled School</v>
          </cell>
          <cell r="F19940" t="str">
            <v>Primary</v>
          </cell>
        </row>
        <row r="19941">
          <cell r="A19941">
            <v>8782430</v>
          </cell>
          <cell r="B19941">
            <v>113208</v>
          </cell>
          <cell r="C19941" t="str">
            <v>Moretonhampstead Primary School</v>
          </cell>
          <cell r="D19941" t="str">
            <v>Devon</v>
          </cell>
          <cell r="E19941" t="str">
            <v>Community School</v>
          </cell>
          <cell r="F19941" t="str">
            <v>Primary</v>
          </cell>
        </row>
        <row r="19942">
          <cell r="A19942">
            <v>6692156</v>
          </cell>
          <cell r="B19942">
            <v>400801</v>
          </cell>
          <cell r="C19942" t="str">
            <v>Morfa C.P. Junior MIX School</v>
          </cell>
          <cell r="D19942" t="str">
            <v>Carmarthenshire</v>
          </cell>
          <cell r="E19942" t="str">
            <v>Welsh Establishment</v>
          </cell>
          <cell r="F19942" t="str">
            <v>Primary</v>
          </cell>
        </row>
        <row r="19943">
          <cell r="A19943">
            <v>6692158</v>
          </cell>
          <cell r="B19943">
            <v>400802</v>
          </cell>
          <cell r="C19943" t="str">
            <v>Morfa Infants &amp;  Nursery School</v>
          </cell>
          <cell r="D19943" t="str">
            <v>Carmarthenshire</v>
          </cell>
          <cell r="E19943" t="str">
            <v>Welsh Establishment</v>
          </cell>
          <cell r="F19943" t="str">
            <v>Primary</v>
          </cell>
        </row>
        <row r="19944">
          <cell r="A19944">
            <v>9256042</v>
          </cell>
          <cell r="B19944">
            <v>130329</v>
          </cell>
          <cell r="C19944" t="str">
            <v>Morfields Study Centre</v>
          </cell>
          <cell r="D19944" t="str">
            <v>Lincolnshire</v>
          </cell>
          <cell r="E19944" t="str">
            <v>Other Independent School</v>
          </cell>
          <cell r="F19944" t="str">
            <v>Not applicable</v>
          </cell>
        </row>
        <row r="19945">
          <cell r="A19945">
            <v>9192464</v>
          </cell>
          <cell r="B19945">
            <v>117363</v>
          </cell>
          <cell r="C19945" t="str">
            <v>Morgans Primary School &amp; Nursery</v>
          </cell>
          <cell r="D19945" t="str">
            <v>Hertfordshire</v>
          </cell>
          <cell r="E19945" t="str">
            <v>Community School</v>
          </cell>
          <cell r="F19945" t="str">
            <v>Primary</v>
          </cell>
        </row>
        <row r="19946">
          <cell r="A19946">
            <v>8653366</v>
          </cell>
          <cell r="B19946">
            <v>126406</v>
          </cell>
          <cell r="C19946" t="str">
            <v>Morgan's Vale and Woodfalls Church of England Voluntary Aided Primary School</v>
          </cell>
          <cell r="D19946" t="str">
            <v>Wiltshire</v>
          </cell>
          <cell r="E19946" t="str">
            <v>Voluntary Aided School</v>
          </cell>
          <cell r="F19946" t="str">
            <v>Primary</v>
          </cell>
        </row>
        <row r="19947">
          <cell r="A19947">
            <v>9192052</v>
          </cell>
          <cell r="B19947">
            <v>129112</v>
          </cell>
          <cell r="C19947" t="str">
            <v>Morgans Walk Junior Mixed School</v>
          </cell>
          <cell r="D19947" t="str">
            <v>Hertfordshire</v>
          </cell>
          <cell r="E19947" t="str">
            <v>Community School</v>
          </cell>
          <cell r="F19947" t="str">
            <v>Primary</v>
          </cell>
        </row>
        <row r="19948">
          <cell r="A19948">
            <v>9116131</v>
          </cell>
          <cell r="B19948">
            <v>128752</v>
          </cell>
          <cell r="C19948" t="str">
            <v>Morice School</v>
          </cell>
          <cell r="D19948" t="str">
            <v>Pre LGR (1998) Devon</v>
          </cell>
          <cell r="E19948" t="str">
            <v>Other Independent School</v>
          </cell>
          <cell r="F19948" t="str">
            <v>Not applicable</v>
          </cell>
        </row>
        <row r="19949">
          <cell r="A19949">
            <v>8792683</v>
          </cell>
          <cell r="B19949">
            <v>113307</v>
          </cell>
          <cell r="C19949" t="str">
            <v>Morice Town Primary School</v>
          </cell>
          <cell r="D19949" t="str">
            <v>Plymouth</v>
          </cell>
          <cell r="E19949" t="str">
            <v>Community School</v>
          </cell>
          <cell r="F19949" t="str">
            <v>Primary</v>
          </cell>
        </row>
        <row r="19950">
          <cell r="A19950">
            <v>9093368</v>
          </cell>
          <cell r="B19950">
            <v>112324</v>
          </cell>
          <cell r="C19950" t="str">
            <v>Morland Area CofE Primary School</v>
          </cell>
          <cell r="D19950" t="str">
            <v>Cumbria</v>
          </cell>
          <cell r="E19950" t="str">
            <v>Voluntary Aided School</v>
          </cell>
          <cell r="F19950" t="str">
            <v>Primary</v>
          </cell>
        </row>
        <row r="19951">
          <cell r="A19951">
            <v>9352160</v>
          </cell>
          <cell r="B19951">
            <v>124648</v>
          </cell>
          <cell r="C19951" t="str">
            <v>Morland Primary School</v>
          </cell>
          <cell r="D19951" t="str">
            <v>Suffolk</v>
          </cell>
          <cell r="E19951" t="str">
            <v>Community School</v>
          </cell>
          <cell r="F19951" t="str">
            <v>Primary</v>
          </cell>
        </row>
        <row r="19952">
          <cell r="A19952">
            <v>9263339</v>
          </cell>
          <cell r="B19952">
            <v>121120</v>
          </cell>
          <cell r="C19952" t="str">
            <v>Morley Church of England Primary School</v>
          </cell>
          <cell r="D19952" t="str">
            <v>Norfolk</v>
          </cell>
          <cell r="E19952" t="str">
            <v>Voluntary Aided School</v>
          </cell>
          <cell r="F19952" t="str">
            <v>Primary</v>
          </cell>
        </row>
        <row r="19953">
          <cell r="A19953">
            <v>2088026</v>
          </cell>
          <cell r="B19953">
            <v>130412</v>
          </cell>
          <cell r="C19953" t="str">
            <v>Morley College</v>
          </cell>
          <cell r="D19953" t="str">
            <v>Lambeth</v>
          </cell>
          <cell r="E19953" t="str">
            <v>Further Education</v>
          </cell>
          <cell r="F19953" t="str">
            <v>16 Plus</v>
          </cell>
        </row>
        <row r="19954">
          <cell r="A19954">
            <v>3832285</v>
          </cell>
          <cell r="B19954">
            <v>107819</v>
          </cell>
          <cell r="C19954" t="str">
            <v>Morley Elmfield Infant School</v>
          </cell>
          <cell r="D19954" t="str">
            <v>Leeds</v>
          </cell>
          <cell r="E19954" t="str">
            <v>Community School</v>
          </cell>
          <cell r="F19954" t="str">
            <v>Primary</v>
          </cell>
        </row>
        <row r="19955">
          <cell r="A19955">
            <v>8316021</v>
          </cell>
          <cell r="B19955">
            <v>113027</v>
          </cell>
          <cell r="C19955" t="str">
            <v>Morley Hall Preparatory School</v>
          </cell>
          <cell r="D19955" t="str">
            <v>Derby</v>
          </cell>
          <cell r="E19955" t="str">
            <v>Other Independent School</v>
          </cell>
          <cell r="F19955" t="str">
            <v>Not applicable</v>
          </cell>
        </row>
        <row r="19956">
          <cell r="A19956">
            <v>3834101</v>
          </cell>
          <cell r="B19956">
            <v>108078</v>
          </cell>
          <cell r="C19956" t="str">
            <v>Morley High School</v>
          </cell>
          <cell r="D19956" t="str">
            <v>Leeds</v>
          </cell>
          <cell r="E19956" t="str">
            <v>Community School</v>
          </cell>
          <cell r="F19956" t="str">
            <v>Secondary</v>
          </cell>
        </row>
        <row r="19957">
          <cell r="A19957">
            <v>8732107</v>
          </cell>
          <cell r="B19957">
            <v>110657</v>
          </cell>
          <cell r="C19957" t="str">
            <v>Morley Memorial Primary School</v>
          </cell>
          <cell r="D19957" t="str">
            <v>Cambridgeshire</v>
          </cell>
          <cell r="E19957" t="str">
            <v>Community School</v>
          </cell>
          <cell r="F19957" t="str">
            <v>Primary</v>
          </cell>
        </row>
        <row r="19958">
          <cell r="A19958">
            <v>3832321</v>
          </cell>
          <cell r="B19958">
            <v>107838</v>
          </cell>
          <cell r="C19958" t="str">
            <v>Morley Newlands Primary School</v>
          </cell>
          <cell r="D19958" t="str">
            <v>Leeds</v>
          </cell>
          <cell r="E19958" t="str">
            <v>Community School</v>
          </cell>
          <cell r="F19958" t="str">
            <v>Primary</v>
          </cell>
        </row>
        <row r="19959">
          <cell r="A19959">
            <v>3712139</v>
          </cell>
          <cell r="B19959">
            <v>106711</v>
          </cell>
          <cell r="C19959" t="str">
            <v>Morley Place Junior School</v>
          </cell>
          <cell r="D19959" t="str">
            <v>Doncaster</v>
          </cell>
          <cell r="E19959" t="str">
            <v>Community School</v>
          </cell>
          <cell r="F19959" t="str">
            <v>Primary</v>
          </cell>
        </row>
        <row r="19960">
          <cell r="A19960">
            <v>8302177</v>
          </cell>
          <cell r="B19960">
            <v>112595</v>
          </cell>
          <cell r="C19960" t="str">
            <v>Morley Primary School</v>
          </cell>
          <cell r="D19960" t="str">
            <v>Derbyshire</v>
          </cell>
          <cell r="E19960" t="str">
            <v>Community School</v>
          </cell>
          <cell r="F19960" t="str">
            <v>Primary</v>
          </cell>
        </row>
        <row r="19961">
          <cell r="A19961">
            <v>3832382</v>
          </cell>
          <cell r="B19961">
            <v>107866</v>
          </cell>
          <cell r="C19961" t="str">
            <v>Morley Victoria Primary School</v>
          </cell>
          <cell r="D19961" t="str">
            <v>Leeds</v>
          </cell>
          <cell r="E19961" t="str">
            <v>Community School</v>
          </cell>
          <cell r="F19961" t="str">
            <v>Primary</v>
          </cell>
        </row>
        <row r="19962">
          <cell r="A19962">
            <v>2042431</v>
          </cell>
          <cell r="B19962">
            <v>100232</v>
          </cell>
          <cell r="C19962" t="str">
            <v>Morningside Primary School</v>
          </cell>
          <cell r="D19962" t="str">
            <v>Hackney</v>
          </cell>
          <cell r="E19962" t="str">
            <v>Community School</v>
          </cell>
          <cell r="F19962" t="str">
            <v>Primary</v>
          </cell>
        </row>
        <row r="19963">
          <cell r="A19963">
            <v>8912934</v>
          </cell>
          <cell r="B19963">
            <v>122738</v>
          </cell>
          <cell r="C19963" t="str">
            <v>Mornington Primary School</v>
          </cell>
          <cell r="D19963" t="str">
            <v>Nottinghamshire</v>
          </cell>
          <cell r="E19963" t="str">
            <v>Community School</v>
          </cell>
          <cell r="F19963" t="str">
            <v>Primary</v>
          </cell>
        </row>
        <row r="19964">
          <cell r="A19964">
            <v>9293487</v>
          </cell>
          <cell r="B19964">
            <v>122297</v>
          </cell>
          <cell r="C19964" t="str">
            <v>Morpeth All Saints Church of England Aided First School</v>
          </cell>
          <cell r="D19964" t="str">
            <v>Northumberland</v>
          </cell>
          <cell r="E19964" t="str">
            <v>Voluntary Aided School</v>
          </cell>
          <cell r="F19964" t="str">
            <v>Primary</v>
          </cell>
        </row>
        <row r="19965">
          <cell r="A19965">
            <v>9294000</v>
          </cell>
          <cell r="B19965">
            <v>122314</v>
          </cell>
          <cell r="C19965" t="str">
            <v>Morpeth Chantry Middle School</v>
          </cell>
          <cell r="D19965" t="str">
            <v>Northumberland</v>
          </cell>
          <cell r="E19965" t="str">
            <v>Community School</v>
          </cell>
          <cell r="F19965" t="str">
            <v>Middle Deemed Secondary</v>
          </cell>
        </row>
        <row r="19966">
          <cell r="A19966">
            <v>9294000</v>
          </cell>
          <cell r="B19966">
            <v>137747</v>
          </cell>
          <cell r="C19966" t="str">
            <v>Morpeth Chantry Middle School</v>
          </cell>
          <cell r="D19966" t="str">
            <v>Northumberland</v>
          </cell>
          <cell r="E19966" t="str">
            <v>Academy Converters</v>
          </cell>
          <cell r="F19966" t="str">
            <v>Middle Deemed Secondary</v>
          </cell>
        </row>
        <row r="19967">
          <cell r="A19967">
            <v>9292185</v>
          </cell>
          <cell r="B19967">
            <v>122210</v>
          </cell>
          <cell r="C19967" t="str">
            <v>Morpeth First School</v>
          </cell>
          <cell r="D19967" t="str">
            <v>Northumberland</v>
          </cell>
          <cell r="E19967" t="str">
            <v>Community School</v>
          </cell>
          <cell r="F19967" t="str">
            <v>Primary</v>
          </cell>
        </row>
        <row r="19968">
          <cell r="A19968">
            <v>9294309</v>
          </cell>
          <cell r="B19968">
            <v>122346</v>
          </cell>
          <cell r="C19968" t="str">
            <v>Morpeth Newminster Middle School</v>
          </cell>
          <cell r="D19968" t="str">
            <v>Northumberland</v>
          </cell>
          <cell r="E19968" t="str">
            <v>Community School</v>
          </cell>
          <cell r="F19968" t="str">
            <v>Middle Deemed Secondary</v>
          </cell>
        </row>
        <row r="19969">
          <cell r="A19969">
            <v>9294309</v>
          </cell>
          <cell r="B19969">
            <v>137748</v>
          </cell>
          <cell r="C19969" t="str">
            <v>Morpeth Newminster Middle School</v>
          </cell>
          <cell r="D19969" t="str">
            <v>Northumberland</v>
          </cell>
          <cell r="E19969" t="str">
            <v>Academy Converters</v>
          </cell>
          <cell r="F19969" t="str">
            <v>Middle Deemed Secondary</v>
          </cell>
        </row>
        <row r="19970">
          <cell r="A19970">
            <v>2114150</v>
          </cell>
          <cell r="B19970">
            <v>100967</v>
          </cell>
          <cell r="C19970" t="str">
            <v>Morpeth School</v>
          </cell>
          <cell r="D19970" t="str">
            <v>Tower Hamlets</v>
          </cell>
          <cell r="E19970" t="str">
            <v>Community School</v>
          </cell>
          <cell r="F19970" t="str">
            <v>Secondary</v>
          </cell>
        </row>
        <row r="19971">
          <cell r="A19971">
            <v>9292360</v>
          </cell>
          <cell r="B19971">
            <v>122246</v>
          </cell>
          <cell r="C19971" t="str">
            <v>Morpeth Stobhillgate First School</v>
          </cell>
          <cell r="D19971" t="str">
            <v>Northumberland</v>
          </cell>
          <cell r="E19971" t="str">
            <v>Community School</v>
          </cell>
          <cell r="F19971" t="str">
            <v>Primary</v>
          </cell>
        </row>
        <row r="19972">
          <cell r="A19972">
            <v>3834731</v>
          </cell>
          <cell r="B19972">
            <v>128020</v>
          </cell>
          <cell r="C19972" t="str">
            <v>Morris Silman School</v>
          </cell>
          <cell r="D19972" t="str">
            <v>Leeds</v>
          </cell>
          <cell r="E19972" t="str">
            <v>Voluntary Aided School</v>
          </cell>
          <cell r="F19972" t="str">
            <v>Secondary</v>
          </cell>
        </row>
        <row r="19973">
          <cell r="A19973">
            <v>3412103</v>
          </cell>
          <cell r="B19973">
            <v>104560</v>
          </cell>
          <cell r="C19973" t="str">
            <v>Morrison School</v>
          </cell>
          <cell r="D19973" t="str">
            <v>Liverpool</v>
          </cell>
          <cell r="E19973" t="str">
            <v>Community School</v>
          </cell>
          <cell r="F19973" t="str">
            <v>Primary</v>
          </cell>
        </row>
        <row r="19974">
          <cell r="A19974">
            <v>6704033</v>
          </cell>
          <cell r="B19974">
            <v>401766</v>
          </cell>
          <cell r="C19974" t="str">
            <v>Morriston Comprehensive School</v>
          </cell>
          <cell r="D19974" t="str">
            <v>Swansea</v>
          </cell>
          <cell r="E19974" t="str">
            <v>Welsh Establishment</v>
          </cell>
          <cell r="F19974" t="str">
            <v>Secondary</v>
          </cell>
        </row>
        <row r="19975">
          <cell r="A19975">
            <v>6702040</v>
          </cell>
          <cell r="B19975">
            <v>400878</v>
          </cell>
          <cell r="C19975" t="str">
            <v>Morriston Primary School</v>
          </cell>
          <cell r="D19975" t="str">
            <v>Swansea</v>
          </cell>
          <cell r="E19975" t="str">
            <v>Welsh Establishment</v>
          </cell>
          <cell r="F19975" t="str">
            <v>Primary</v>
          </cell>
        </row>
        <row r="19976">
          <cell r="A19976">
            <v>3934006</v>
          </cell>
          <cell r="B19976">
            <v>108727</v>
          </cell>
          <cell r="C19976" t="str">
            <v>Mortimer Community College</v>
          </cell>
          <cell r="D19976" t="str">
            <v>South Tyneside</v>
          </cell>
          <cell r="E19976" t="str">
            <v>Community School</v>
          </cell>
          <cell r="F19976" t="str">
            <v>Secondary</v>
          </cell>
        </row>
        <row r="19977">
          <cell r="A19977">
            <v>3932017</v>
          </cell>
          <cell r="B19977">
            <v>108673</v>
          </cell>
          <cell r="C19977" t="str">
            <v>Mortimer Primary School</v>
          </cell>
          <cell r="D19977" t="str">
            <v>South Tyneside</v>
          </cell>
          <cell r="E19977" t="str">
            <v>Community School</v>
          </cell>
          <cell r="F19977" t="str">
            <v>Primary</v>
          </cell>
        </row>
        <row r="19978">
          <cell r="A19978">
            <v>3932018</v>
          </cell>
          <cell r="B19978">
            <v>128175</v>
          </cell>
          <cell r="C19978" t="str">
            <v>Mortimer Road Infant School</v>
          </cell>
          <cell r="D19978" t="str">
            <v>South Tyneside</v>
          </cell>
          <cell r="E19978" t="str">
            <v>Community School</v>
          </cell>
          <cell r="F19978" t="str">
            <v>Primary</v>
          </cell>
        </row>
        <row r="19979">
          <cell r="A19979">
            <v>2087154</v>
          </cell>
          <cell r="B19979">
            <v>100663</v>
          </cell>
          <cell r="C19979" t="str">
            <v>Mortimer School</v>
          </cell>
          <cell r="D19979" t="str">
            <v>Lambeth</v>
          </cell>
          <cell r="E19979" t="str">
            <v>Community Special School</v>
          </cell>
          <cell r="F19979" t="str">
            <v>Special</v>
          </cell>
        </row>
        <row r="19980">
          <cell r="A19980">
            <v>8693043</v>
          </cell>
          <cell r="B19980">
            <v>109978</v>
          </cell>
          <cell r="C19980" t="str">
            <v>Mortimer St John's C.E. Infant School</v>
          </cell>
          <cell r="D19980" t="str">
            <v>West Berkshire</v>
          </cell>
          <cell r="E19980" t="str">
            <v>Voluntary Controlled School</v>
          </cell>
          <cell r="F19980" t="str">
            <v>Primary</v>
          </cell>
        </row>
        <row r="19981">
          <cell r="A19981">
            <v>8693042</v>
          </cell>
          <cell r="B19981">
            <v>109977</v>
          </cell>
          <cell r="C19981" t="str">
            <v>Mortimer St Mary's C.E. Junior School</v>
          </cell>
          <cell r="D19981" t="str">
            <v>West Berkshire</v>
          </cell>
          <cell r="E19981" t="str">
            <v>Voluntary Aided School</v>
          </cell>
          <cell r="F19981" t="str">
            <v>Primary</v>
          </cell>
        </row>
        <row r="19982">
          <cell r="A19982">
            <v>3182031</v>
          </cell>
          <cell r="B19982">
            <v>127022</v>
          </cell>
          <cell r="C19982" t="str">
            <v>Mortlake Green Primary School</v>
          </cell>
          <cell r="D19982" t="str">
            <v>Richmond upon Thames</v>
          </cell>
          <cell r="E19982" t="str">
            <v>Community School</v>
          </cell>
          <cell r="F19982" t="str">
            <v>Primary</v>
          </cell>
        </row>
        <row r="19983">
          <cell r="A19983">
            <v>9092617</v>
          </cell>
          <cell r="B19983">
            <v>128585</v>
          </cell>
          <cell r="C19983" t="str">
            <v>Morton Park Infant School</v>
          </cell>
          <cell r="D19983" t="str">
            <v>Cumbria</v>
          </cell>
          <cell r="E19983" t="str">
            <v>Community School</v>
          </cell>
          <cell r="F19983" t="str">
            <v>Primary</v>
          </cell>
        </row>
        <row r="19984">
          <cell r="A19984">
            <v>9092616</v>
          </cell>
          <cell r="B19984">
            <v>128584</v>
          </cell>
          <cell r="C19984" t="str">
            <v>Morton Park Junior School</v>
          </cell>
          <cell r="D19984" t="str">
            <v>Cumbria</v>
          </cell>
          <cell r="E19984" t="str">
            <v>Community School</v>
          </cell>
          <cell r="F19984" t="str">
            <v>Primary</v>
          </cell>
        </row>
        <row r="19985">
          <cell r="A19985">
            <v>9092709</v>
          </cell>
          <cell r="B19985">
            <v>112241</v>
          </cell>
          <cell r="C19985" t="str">
            <v>Morton Park Primary School</v>
          </cell>
          <cell r="D19985" t="str">
            <v>Cumbria</v>
          </cell>
          <cell r="E19985" t="str">
            <v>Community School</v>
          </cell>
          <cell r="F19985" t="str">
            <v>Primary</v>
          </cell>
        </row>
        <row r="19986">
          <cell r="A19986">
            <v>8302178</v>
          </cell>
          <cell r="B19986">
            <v>112596</v>
          </cell>
          <cell r="C19986" t="str">
            <v>Morton Primary School</v>
          </cell>
          <cell r="D19986" t="str">
            <v>Derbyshire</v>
          </cell>
          <cell r="E19986" t="str">
            <v>Community School</v>
          </cell>
          <cell r="F19986" t="str">
            <v>Primary</v>
          </cell>
        </row>
        <row r="19987">
          <cell r="A19987">
            <v>9252177</v>
          </cell>
          <cell r="B19987">
            <v>120464</v>
          </cell>
          <cell r="C19987" t="str">
            <v>Morton Trentside Primary School</v>
          </cell>
          <cell r="D19987" t="str">
            <v>Lincolnshire</v>
          </cell>
          <cell r="E19987" t="str">
            <v>Community School</v>
          </cell>
          <cell r="F19987" t="str">
            <v>Primary</v>
          </cell>
        </row>
        <row r="19988">
          <cell r="A19988">
            <v>8912913</v>
          </cell>
          <cell r="B19988">
            <v>122717</v>
          </cell>
          <cell r="C19988" t="str">
            <v>Morven Park Primary and Nursery School</v>
          </cell>
          <cell r="D19988" t="str">
            <v>Nottinghamshire</v>
          </cell>
          <cell r="E19988" t="str">
            <v>Community School</v>
          </cell>
          <cell r="F19988" t="str">
            <v>Primary</v>
          </cell>
        </row>
        <row r="19989">
          <cell r="A19989">
            <v>8933078</v>
          </cell>
          <cell r="B19989">
            <v>123486</v>
          </cell>
          <cell r="C19989" t="str">
            <v>Morville CofE (Controlled) Primary School</v>
          </cell>
          <cell r="D19989" t="str">
            <v>Shropshire</v>
          </cell>
          <cell r="E19989" t="str">
            <v>Voluntary Controlled School</v>
          </cell>
          <cell r="F19989" t="str">
            <v>Primary</v>
          </cell>
        </row>
        <row r="19990">
          <cell r="A19990">
            <v>3732257</v>
          </cell>
          <cell r="B19990">
            <v>107039</v>
          </cell>
          <cell r="C19990" t="str">
            <v>Mosborough Primary School</v>
          </cell>
          <cell r="D19990" t="str">
            <v>Sheffield</v>
          </cell>
          <cell r="E19990" t="str">
            <v>Community School</v>
          </cell>
          <cell r="F19990" t="str">
            <v>Primary</v>
          </cell>
        </row>
        <row r="19991">
          <cell r="A19991">
            <v>3303003</v>
          </cell>
          <cell r="B19991">
            <v>103398</v>
          </cell>
          <cell r="C19991" t="str">
            <v>Moseley Church of England Primary School</v>
          </cell>
          <cell r="D19991" t="str">
            <v>Birmingham</v>
          </cell>
          <cell r="E19991" t="str">
            <v>Voluntary Controlled School</v>
          </cell>
          <cell r="F19991" t="str">
            <v>Primary</v>
          </cell>
        </row>
        <row r="19992">
          <cell r="A19992">
            <v>3312089</v>
          </cell>
          <cell r="B19992">
            <v>127114</v>
          </cell>
          <cell r="C19992" t="str">
            <v>Moseley Infant School</v>
          </cell>
          <cell r="D19992" t="str">
            <v>Coventry</v>
          </cell>
          <cell r="E19992" t="str">
            <v>Community School</v>
          </cell>
          <cell r="F19992" t="str">
            <v>Primary</v>
          </cell>
        </row>
        <row r="19993">
          <cell r="A19993">
            <v>3312041</v>
          </cell>
          <cell r="B19993">
            <v>132852</v>
          </cell>
          <cell r="C19993" t="str">
            <v>Moseley Junior School</v>
          </cell>
          <cell r="D19993" t="str">
            <v>Coventry</v>
          </cell>
          <cell r="E19993" t="str">
            <v>Community School</v>
          </cell>
          <cell r="F19993" t="str">
            <v>Primary</v>
          </cell>
        </row>
        <row r="19994">
          <cell r="A19994">
            <v>3365401</v>
          </cell>
          <cell r="B19994">
            <v>104403</v>
          </cell>
          <cell r="C19994" t="str">
            <v>Moseley Park</v>
          </cell>
          <cell r="D19994" t="str">
            <v>Wolverhampton</v>
          </cell>
          <cell r="E19994" t="str">
            <v>Foundation School</v>
          </cell>
          <cell r="F19994" t="str">
            <v>Secondary</v>
          </cell>
        </row>
        <row r="19995">
          <cell r="A19995">
            <v>3312147</v>
          </cell>
          <cell r="B19995">
            <v>103697</v>
          </cell>
          <cell r="C19995" t="str">
            <v>Moseley Primary School</v>
          </cell>
          <cell r="D19995" t="str">
            <v>Coventry</v>
          </cell>
          <cell r="E19995" t="str">
            <v>Community School</v>
          </cell>
          <cell r="F19995" t="str">
            <v>Primary</v>
          </cell>
        </row>
        <row r="19996">
          <cell r="A19996">
            <v>3304245</v>
          </cell>
          <cell r="B19996">
            <v>103519</v>
          </cell>
          <cell r="C19996" t="str">
            <v>Moseley School A Language College</v>
          </cell>
          <cell r="D19996" t="str">
            <v>Birmingham</v>
          </cell>
          <cell r="E19996" t="str">
            <v>Foundation School</v>
          </cell>
          <cell r="F19996" t="str">
            <v>Secondary</v>
          </cell>
        </row>
        <row r="19997">
          <cell r="A19997">
            <v>3306107</v>
          </cell>
          <cell r="B19997">
            <v>134572</v>
          </cell>
          <cell r="C19997" t="str">
            <v>Moseley Women Academy</v>
          </cell>
          <cell r="D19997" t="str">
            <v>Birmingham</v>
          </cell>
          <cell r="E19997" t="str">
            <v>Other Independent School</v>
          </cell>
          <cell r="F19997" t="str">
            <v>Not applicable</v>
          </cell>
        </row>
        <row r="19998">
          <cell r="A19998">
            <v>8602152</v>
          </cell>
          <cell r="B19998">
            <v>124053</v>
          </cell>
          <cell r="C19998" t="str">
            <v>Mosley Primary School</v>
          </cell>
          <cell r="D19998" t="str">
            <v>Staffordshire</v>
          </cell>
          <cell r="E19998" t="str">
            <v>Community School</v>
          </cell>
          <cell r="F19998" t="str">
            <v>Primary</v>
          </cell>
        </row>
        <row r="19999">
          <cell r="A19999">
            <v>9192312</v>
          </cell>
          <cell r="B19999">
            <v>117269</v>
          </cell>
          <cell r="C19999" t="str">
            <v>Moss Bury Primary School and Nursery</v>
          </cell>
          <cell r="D19999" t="str">
            <v>Hertfordshire</v>
          </cell>
          <cell r="E19999" t="str">
            <v>Community School</v>
          </cell>
          <cell r="F19999" t="str">
            <v>Primary</v>
          </cell>
        </row>
        <row r="20000">
          <cell r="A20000">
            <v>3542060</v>
          </cell>
          <cell r="B20000">
            <v>105795</v>
          </cell>
          <cell r="C20000" t="str">
            <v>Moss Field Community School</v>
          </cell>
          <cell r="D20000" t="str">
            <v>Rochdale</v>
          </cell>
          <cell r="E20000" t="str">
            <v>Community School</v>
          </cell>
          <cell r="F20000" t="str">
            <v>Primary</v>
          </cell>
        </row>
        <row r="20001">
          <cell r="A20001">
            <v>3022044</v>
          </cell>
          <cell r="B20001">
            <v>101295</v>
          </cell>
          <cell r="C20001" t="str">
            <v>Moss Hall Infant School</v>
          </cell>
          <cell r="D20001" t="str">
            <v>Barnet</v>
          </cell>
          <cell r="E20001" t="str">
            <v>Community School</v>
          </cell>
          <cell r="F20001" t="str">
            <v>Primary</v>
          </cell>
        </row>
        <row r="20002">
          <cell r="A20002">
            <v>3022043</v>
          </cell>
          <cell r="B20002">
            <v>101294</v>
          </cell>
          <cell r="C20002" t="str">
            <v>Moss Hall Junior School</v>
          </cell>
          <cell r="D20002" t="str">
            <v>Barnet</v>
          </cell>
          <cell r="E20002" t="str">
            <v>Community School</v>
          </cell>
          <cell r="F20002" t="str">
            <v>Primary</v>
          </cell>
        </row>
        <row r="20003">
          <cell r="A20003">
            <v>3021002</v>
          </cell>
          <cell r="B20003">
            <v>101253</v>
          </cell>
          <cell r="C20003" t="str">
            <v>Moss Hall Nursery School</v>
          </cell>
          <cell r="D20003" t="str">
            <v>Barnet</v>
          </cell>
          <cell r="E20003" t="str">
            <v>LA Nursery School</v>
          </cell>
          <cell r="F20003" t="str">
            <v>Nursery</v>
          </cell>
        </row>
        <row r="20004">
          <cell r="A20004">
            <v>3562104</v>
          </cell>
          <cell r="B20004">
            <v>106090</v>
          </cell>
          <cell r="C20004" t="str">
            <v>Moss Hey Primary School</v>
          </cell>
          <cell r="D20004" t="str">
            <v>Stockport</v>
          </cell>
          <cell r="E20004" t="str">
            <v>Community School</v>
          </cell>
          <cell r="F20004" t="str">
            <v>Primary</v>
          </cell>
        </row>
        <row r="20005">
          <cell r="A20005">
            <v>9362409</v>
          </cell>
          <cell r="B20005">
            <v>125049</v>
          </cell>
          <cell r="C20005" t="str">
            <v>Moss Lane School</v>
          </cell>
          <cell r="D20005" t="str">
            <v>Surrey</v>
          </cell>
          <cell r="E20005" t="str">
            <v>Community School</v>
          </cell>
          <cell r="F20005" t="str">
            <v>Primary</v>
          </cell>
        </row>
        <row r="20006">
          <cell r="A20006">
            <v>3582051</v>
          </cell>
          <cell r="B20006">
            <v>106324</v>
          </cell>
          <cell r="C20006" t="str">
            <v>Moss Park Infant School</v>
          </cell>
          <cell r="D20006" t="str">
            <v>Trafford</v>
          </cell>
          <cell r="E20006" t="str">
            <v>Community School</v>
          </cell>
          <cell r="F20006" t="str">
            <v>Primary</v>
          </cell>
        </row>
        <row r="20007">
          <cell r="A20007">
            <v>3582050</v>
          </cell>
          <cell r="B20007">
            <v>106323</v>
          </cell>
          <cell r="C20007" t="str">
            <v>Moss Park Junior School</v>
          </cell>
          <cell r="D20007" t="str">
            <v>Trafford</v>
          </cell>
          <cell r="E20007" t="str">
            <v>Community School</v>
          </cell>
          <cell r="F20007" t="str">
            <v>Primary</v>
          </cell>
        </row>
        <row r="20008">
          <cell r="A20008">
            <v>8882814</v>
          </cell>
          <cell r="B20008">
            <v>119336</v>
          </cell>
          <cell r="C20008" t="str">
            <v>Moss Side Primary School</v>
          </cell>
          <cell r="D20008" t="str">
            <v>Lancashire</v>
          </cell>
          <cell r="E20008" t="str">
            <v>Community School</v>
          </cell>
          <cell r="F20008" t="str">
            <v>Primary</v>
          </cell>
        </row>
        <row r="20009">
          <cell r="A20009">
            <v>3582035</v>
          </cell>
          <cell r="B20009">
            <v>106310</v>
          </cell>
          <cell r="C20009" t="str">
            <v>Moss View Community School</v>
          </cell>
          <cell r="D20009" t="str">
            <v>Trafford</v>
          </cell>
          <cell r="E20009" t="str">
            <v>Community School</v>
          </cell>
          <cell r="F20009" t="str">
            <v>Primary</v>
          </cell>
        </row>
        <row r="20010">
          <cell r="A20010">
            <v>2046905</v>
          </cell>
          <cell r="B20010">
            <v>134693</v>
          </cell>
          <cell r="C20010" t="str">
            <v>Mossbourne Community Academy</v>
          </cell>
          <cell r="D20010" t="str">
            <v>Hackney</v>
          </cell>
          <cell r="E20010" t="str">
            <v>Academy Sponsor Led</v>
          </cell>
          <cell r="F20010" t="str">
            <v>Secondary</v>
          </cell>
        </row>
        <row r="20011">
          <cell r="A20011">
            <v>3737036</v>
          </cell>
          <cell r="B20011">
            <v>107182</v>
          </cell>
          <cell r="C20011" t="str">
            <v>Mossbrook School</v>
          </cell>
          <cell r="D20011" t="str">
            <v>Sheffield</v>
          </cell>
          <cell r="E20011" t="str">
            <v>Community Special School</v>
          </cell>
          <cell r="F20011" t="str">
            <v>Special</v>
          </cell>
        </row>
        <row r="20012">
          <cell r="A20012">
            <v>3402035</v>
          </cell>
          <cell r="B20012">
            <v>104439</v>
          </cell>
          <cell r="C20012" t="str">
            <v>Mosscroft Primary School</v>
          </cell>
          <cell r="D20012" t="str">
            <v>Knowsley</v>
          </cell>
          <cell r="E20012" t="str">
            <v>Community School</v>
          </cell>
          <cell r="F20012" t="str">
            <v>Primary</v>
          </cell>
        </row>
        <row r="20013">
          <cell r="A20013">
            <v>3552067</v>
          </cell>
          <cell r="B20013">
            <v>127468</v>
          </cell>
          <cell r="C20013" t="str">
            <v>Mossfield Infant School</v>
          </cell>
          <cell r="D20013" t="str">
            <v>Salford</v>
          </cell>
          <cell r="E20013" t="str">
            <v>Community School</v>
          </cell>
          <cell r="F20013" t="str">
            <v>Primary</v>
          </cell>
        </row>
        <row r="20014">
          <cell r="A20014">
            <v>3552066</v>
          </cell>
          <cell r="B20014">
            <v>127467</v>
          </cell>
          <cell r="C20014" t="str">
            <v>Mossfield Junior School</v>
          </cell>
          <cell r="D20014" t="str">
            <v>Salford</v>
          </cell>
          <cell r="E20014" t="str">
            <v>Community School</v>
          </cell>
          <cell r="F20014" t="str">
            <v>Primary</v>
          </cell>
        </row>
        <row r="20015">
          <cell r="A20015">
            <v>3552092</v>
          </cell>
          <cell r="B20015">
            <v>105925</v>
          </cell>
          <cell r="C20015" t="str">
            <v>Mossfield Primary School</v>
          </cell>
          <cell r="D20015" t="str">
            <v>Salford</v>
          </cell>
          <cell r="E20015" t="str">
            <v>Community School</v>
          </cell>
          <cell r="F20015" t="str">
            <v>Primary</v>
          </cell>
        </row>
        <row r="20016">
          <cell r="A20016">
            <v>3172030</v>
          </cell>
          <cell r="B20016">
            <v>102811</v>
          </cell>
          <cell r="C20016" t="str">
            <v>Mossford Green Primary School</v>
          </cell>
          <cell r="D20016" t="str">
            <v>Redbridge</v>
          </cell>
          <cell r="E20016" t="str">
            <v>Community School</v>
          </cell>
          <cell r="F20016" t="str">
            <v>Primary</v>
          </cell>
        </row>
        <row r="20017">
          <cell r="A20017">
            <v>8882832</v>
          </cell>
          <cell r="B20017">
            <v>130262</v>
          </cell>
          <cell r="C20017" t="str">
            <v>Mossgate Primary School</v>
          </cell>
          <cell r="D20017" t="str">
            <v>Lancashire</v>
          </cell>
          <cell r="E20017" t="str">
            <v>Community School</v>
          </cell>
          <cell r="F20017" t="str">
            <v>Primary</v>
          </cell>
        </row>
        <row r="20018">
          <cell r="A20018">
            <v>8953124</v>
          </cell>
          <cell r="B20018">
            <v>111258</v>
          </cell>
          <cell r="C20018" t="str">
            <v>Mossley CofE Primary School</v>
          </cell>
          <cell r="D20018" t="str">
            <v>Cheshire East</v>
          </cell>
          <cell r="E20018" t="str">
            <v>Voluntary Controlled School</v>
          </cell>
          <cell r="F20018" t="str">
            <v>Primary</v>
          </cell>
        </row>
        <row r="20019">
          <cell r="A20019">
            <v>3574018</v>
          </cell>
          <cell r="B20019">
            <v>106266</v>
          </cell>
          <cell r="C20019" t="str">
            <v>Mossley Hollins High School</v>
          </cell>
          <cell r="D20019" t="str">
            <v>Tameside</v>
          </cell>
          <cell r="E20019" t="str">
            <v>Community School</v>
          </cell>
          <cell r="F20019" t="str">
            <v>Secondary</v>
          </cell>
        </row>
        <row r="20020">
          <cell r="A20020">
            <v>3352039</v>
          </cell>
          <cell r="B20020">
            <v>104167</v>
          </cell>
          <cell r="C20020" t="str">
            <v>Mossley Infant School</v>
          </cell>
          <cell r="D20020" t="str">
            <v>Walsall</v>
          </cell>
          <cell r="E20020" t="str">
            <v>Community School</v>
          </cell>
          <cell r="F20020" t="str">
            <v>Primary</v>
          </cell>
        </row>
        <row r="20021">
          <cell r="A20021">
            <v>3352037</v>
          </cell>
          <cell r="B20021">
            <v>104166</v>
          </cell>
          <cell r="C20021" t="str">
            <v>Mossley Junior School</v>
          </cell>
          <cell r="D20021" t="str">
            <v>Walsall</v>
          </cell>
          <cell r="E20021" t="str">
            <v>Community School</v>
          </cell>
          <cell r="F20021" t="str">
            <v>Primary</v>
          </cell>
        </row>
        <row r="20022">
          <cell r="A20022">
            <v>3352243</v>
          </cell>
          <cell r="B20022">
            <v>130304</v>
          </cell>
          <cell r="C20022" t="str">
            <v>Mossley Primary School</v>
          </cell>
          <cell r="D20022" t="str">
            <v>Walsall</v>
          </cell>
          <cell r="E20022" t="str">
            <v>Community School</v>
          </cell>
          <cell r="F20022" t="str">
            <v>Primary</v>
          </cell>
        </row>
        <row r="20023">
          <cell r="A20023">
            <v>3412105</v>
          </cell>
          <cell r="B20023">
            <v>104562</v>
          </cell>
          <cell r="C20023" t="str">
            <v>Mosspits Infant School</v>
          </cell>
          <cell r="D20023" t="str">
            <v>Liverpool</v>
          </cell>
          <cell r="E20023" t="str">
            <v>Community School</v>
          </cell>
          <cell r="F20023" t="str">
            <v>Primary</v>
          </cell>
        </row>
        <row r="20024">
          <cell r="A20024">
            <v>3412104</v>
          </cell>
          <cell r="B20024">
            <v>104561</v>
          </cell>
          <cell r="C20024" t="str">
            <v>Mosspits Junior School</v>
          </cell>
          <cell r="D20024" t="str">
            <v>Liverpool</v>
          </cell>
          <cell r="E20024" t="str">
            <v>Community School</v>
          </cell>
          <cell r="F20024" t="str">
            <v>Primary</v>
          </cell>
        </row>
        <row r="20025">
          <cell r="A20025">
            <v>3412007</v>
          </cell>
          <cell r="B20025">
            <v>136810</v>
          </cell>
          <cell r="C20025" t="str">
            <v>Mosspits Lane Primary School</v>
          </cell>
          <cell r="D20025" t="str">
            <v>Liverpool</v>
          </cell>
          <cell r="E20025" t="str">
            <v>Community School</v>
          </cell>
          <cell r="F20025" t="str">
            <v>Primary</v>
          </cell>
        </row>
        <row r="20026">
          <cell r="A20026">
            <v>3524274</v>
          </cell>
          <cell r="B20026">
            <v>105563</v>
          </cell>
          <cell r="C20026" t="str">
            <v>Moston Brook High School</v>
          </cell>
          <cell r="D20026" t="str">
            <v>Manchester</v>
          </cell>
          <cell r="E20026" t="str">
            <v>Community School</v>
          </cell>
          <cell r="F20026" t="str">
            <v>Secondary</v>
          </cell>
        </row>
        <row r="20027">
          <cell r="A20027">
            <v>3522164</v>
          </cell>
          <cell r="B20027">
            <v>105427</v>
          </cell>
          <cell r="C20027" t="str">
            <v>Moston Fields Primary School</v>
          </cell>
          <cell r="D20027" t="str">
            <v>Manchester</v>
          </cell>
          <cell r="E20027" t="str">
            <v>Community School</v>
          </cell>
          <cell r="F20027" t="str">
            <v>Primary</v>
          </cell>
        </row>
        <row r="20028">
          <cell r="A20028">
            <v>3522165</v>
          </cell>
          <cell r="B20028">
            <v>105428</v>
          </cell>
          <cell r="C20028" t="str">
            <v>Moston Lane Community Primary School</v>
          </cell>
          <cell r="D20028" t="str">
            <v>Manchester</v>
          </cell>
          <cell r="E20028" t="str">
            <v>Community School</v>
          </cell>
          <cell r="F20028" t="str">
            <v>Primary</v>
          </cell>
        </row>
        <row r="20029">
          <cell r="A20029">
            <v>2082136</v>
          </cell>
          <cell r="B20029">
            <v>100561</v>
          </cell>
          <cell r="C20029" t="str">
            <v>Mostyn Gardens Primary School</v>
          </cell>
          <cell r="D20029" t="str">
            <v>Lambeth</v>
          </cell>
          <cell r="E20029" t="str">
            <v>Community School</v>
          </cell>
          <cell r="F20029" t="str">
            <v>Primary</v>
          </cell>
        </row>
        <row r="20030">
          <cell r="A20030">
            <v>8966009</v>
          </cell>
          <cell r="B20030">
            <v>111475</v>
          </cell>
          <cell r="C20030" t="str">
            <v>Mostyn House School</v>
          </cell>
          <cell r="D20030" t="str">
            <v>Cheshire West and Chester</v>
          </cell>
          <cell r="E20030" t="str">
            <v>Other Independent School</v>
          </cell>
          <cell r="F20030" t="str">
            <v>Not applicable</v>
          </cell>
        </row>
        <row r="20031">
          <cell r="A20031">
            <v>8353343</v>
          </cell>
          <cell r="B20031">
            <v>113808</v>
          </cell>
          <cell r="C20031" t="str">
            <v>Motcombe CofE VA Primary School</v>
          </cell>
          <cell r="D20031" t="str">
            <v>Dorset</v>
          </cell>
          <cell r="E20031" t="str">
            <v>Voluntary Aided School</v>
          </cell>
          <cell r="F20031" t="str">
            <v>Primary</v>
          </cell>
        </row>
        <row r="20032">
          <cell r="A20032">
            <v>8356019</v>
          </cell>
          <cell r="B20032">
            <v>113928</v>
          </cell>
          <cell r="C20032" t="str">
            <v>Motcombe Grange School</v>
          </cell>
          <cell r="D20032" t="str">
            <v>Dorset</v>
          </cell>
          <cell r="E20032" t="str">
            <v>Other Independent School</v>
          </cell>
          <cell r="F20032" t="str">
            <v>Not applicable</v>
          </cell>
        </row>
        <row r="20033">
          <cell r="A20033">
            <v>8452136</v>
          </cell>
          <cell r="B20033">
            <v>114460</v>
          </cell>
          <cell r="C20033" t="str">
            <v>Motcombe Infants' School</v>
          </cell>
          <cell r="D20033" t="str">
            <v>East Sussex</v>
          </cell>
          <cell r="E20033" t="str">
            <v>Community School</v>
          </cell>
          <cell r="F20033" t="str">
            <v>Primary</v>
          </cell>
        </row>
        <row r="20034">
          <cell r="A20034">
            <v>3413955</v>
          </cell>
          <cell r="B20034">
            <v>104686</v>
          </cell>
          <cell r="C20034" t="str">
            <v>Mother Teresa Catholic Primary School</v>
          </cell>
          <cell r="D20034" t="str">
            <v>Liverpool</v>
          </cell>
          <cell r="E20034" t="str">
            <v>Voluntary Aided School</v>
          </cell>
          <cell r="F20034" t="str">
            <v>Primary</v>
          </cell>
        </row>
        <row r="20035">
          <cell r="A20035">
            <v>3052028</v>
          </cell>
          <cell r="B20035">
            <v>101605</v>
          </cell>
          <cell r="C20035" t="str">
            <v>Mottingham Primary School</v>
          </cell>
          <cell r="D20035" t="str">
            <v>Bromley</v>
          </cell>
          <cell r="E20035" t="str">
            <v>Community School</v>
          </cell>
          <cell r="F20035" t="str">
            <v>Primary</v>
          </cell>
        </row>
        <row r="20036">
          <cell r="A20036">
            <v>3573303</v>
          </cell>
          <cell r="B20036">
            <v>106237</v>
          </cell>
          <cell r="C20036" t="str">
            <v>Mottram CofE Primary School</v>
          </cell>
          <cell r="D20036" t="str">
            <v>Tameside</v>
          </cell>
          <cell r="E20036" t="str">
            <v>Voluntary Aided School</v>
          </cell>
          <cell r="F20036" t="str">
            <v>Primary</v>
          </cell>
        </row>
        <row r="20037">
          <cell r="A20037">
            <v>8955201</v>
          </cell>
          <cell r="B20037">
            <v>136518</v>
          </cell>
          <cell r="C20037" t="str">
            <v>Mottram St Andrew Primary Academy</v>
          </cell>
          <cell r="D20037" t="str">
            <v>Cheshire East</v>
          </cell>
          <cell r="E20037" t="str">
            <v>Academy Converters</v>
          </cell>
          <cell r="F20037" t="str">
            <v>Primary</v>
          </cell>
        </row>
        <row r="20038">
          <cell r="A20038">
            <v>8955201</v>
          </cell>
          <cell r="B20038">
            <v>111460</v>
          </cell>
          <cell r="C20038" t="str">
            <v>Mottram St Andrew Primary School</v>
          </cell>
          <cell r="D20038" t="str">
            <v>Cheshire East</v>
          </cell>
          <cell r="E20038" t="str">
            <v>Foundation School</v>
          </cell>
          <cell r="F20038" t="str">
            <v>Primary</v>
          </cell>
        </row>
        <row r="20039">
          <cell r="A20039">
            <v>8462020</v>
          </cell>
          <cell r="B20039">
            <v>114371</v>
          </cell>
          <cell r="C20039" t="str">
            <v>Moulsecoomb Infant School</v>
          </cell>
          <cell r="D20039" t="str">
            <v>Brighton and Hove</v>
          </cell>
          <cell r="E20039" t="str">
            <v>Community School</v>
          </cell>
          <cell r="F20039" t="str">
            <v>Primary</v>
          </cell>
        </row>
        <row r="20040">
          <cell r="A20040">
            <v>8462019</v>
          </cell>
          <cell r="B20040">
            <v>114370</v>
          </cell>
          <cell r="C20040" t="str">
            <v>Moulsecoomb Junior School</v>
          </cell>
          <cell r="D20040" t="str">
            <v>Brighton and Hove</v>
          </cell>
          <cell r="E20040" t="str">
            <v>Community School</v>
          </cell>
          <cell r="F20040" t="str">
            <v>Primary</v>
          </cell>
        </row>
        <row r="20041">
          <cell r="A20041">
            <v>8462002</v>
          </cell>
          <cell r="B20041">
            <v>132028</v>
          </cell>
          <cell r="C20041" t="str">
            <v>Moulsecoomb Primary School</v>
          </cell>
          <cell r="D20041" t="str">
            <v>Brighton and Hove</v>
          </cell>
          <cell r="E20041" t="str">
            <v>Community School</v>
          </cell>
          <cell r="F20041" t="str">
            <v>Primary</v>
          </cell>
        </row>
        <row r="20042">
          <cell r="A20042">
            <v>9316087</v>
          </cell>
          <cell r="B20042">
            <v>123306</v>
          </cell>
          <cell r="C20042" t="str">
            <v>Moulsford Preparatory School</v>
          </cell>
          <cell r="D20042" t="str">
            <v>Oxfordshire</v>
          </cell>
          <cell r="E20042" t="str">
            <v>Other Independent School</v>
          </cell>
          <cell r="F20042" t="str">
            <v>Not applicable</v>
          </cell>
        </row>
        <row r="20043">
          <cell r="A20043">
            <v>8814480</v>
          </cell>
          <cell r="B20043">
            <v>136863</v>
          </cell>
          <cell r="C20043" t="str">
            <v>Moulsham High School</v>
          </cell>
          <cell r="D20043" t="str">
            <v>Essex</v>
          </cell>
          <cell r="E20043" t="str">
            <v>Academy Converters</v>
          </cell>
          <cell r="F20043" t="str">
            <v>Secondary</v>
          </cell>
        </row>
        <row r="20044">
          <cell r="A20044">
            <v>8814480</v>
          </cell>
          <cell r="B20044">
            <v>115233</v>
          </cell>
          <cell r="C20044" t="str">
            <v>Moulsham High School and Humanities College</v>
          </cell>
          <cell r="D20044" t="str">
            <v>Essex</v>
          </cell>
          <cell r="E20044" t="str">
            <v>Community School</v>
          </cell>
          <cell r="F20044" t="str">
            <v>Secondary</v>
          </cell>
        </row>
        <row r="20045">
          <cell r="A20045">
            <v>8812200</v>
          </cell>
          <cell r="B20045">
            <v>114803</v>
          </cell>
          <cell r="C20045" t="str">
            <v>Moulsham Infant School</v>
          </cell>
          <cell r="D20045" t="str">
            <v>Essex</v>
          </cell>
          <cell r="E20045" t="str">
            <v>Community School</v>
          </cell>
          <cell r="F20045" t="str">
            <v>Primary</v>
          </cell>
        </row>
        <row r="20046">
          <cell r="A20046">
            <v>8812200</v>
          </cell>
          <cell r="B20046">
            <v>136855</v>
          </cell>
          <cell r="C20046" t="str">
            <v>Moulsham Infant School</v>
          </cell>
          <cell r="D20046" t="str">
            <v>Essex</v>
          </cell>
          <cell r="E20046" t="str">
            <v>Academy Converters</v>
          </cell>
          <cell r="F20046" t="str">
            <v>Primary</v>
          </cell>
        </row>
        <row r="20047">
          <cell r="A20047">
            <v>8812180</v>
          </cell>
          <cell r="B20047">
            <v>114800</v>
          </cell>
          <cell r="C20047" t="str">
            <v>Moulsham Junior School</v>
          </cell>
          <cell r="D20047" t="str">
            <v>Essex</v>
          </cell>
          <cell r="E20047" t="str">
            <v>Community School</v>
          </cell>
          <cell r="F20047" t="str">
            <v>Primary</v>
          </cell>
        </row>
        <row r="20048">
          <cell r="A20048">
            <v>9252096</v>
          </cell>
          <cell r="B20048">
            <v>120417</v>
          </cell>
          <cell r="C20048" t="str">
            <v>Moulton Chapel Primary School</v>
          </cell>
          <cell r="D20048" t="str">
            <v>Lincolnshire</v>
          </cell>
          <cell r="E20048" t="str">
            <v>Community School</v>
          </cell>
          <cell r="F20048" t="str">
            <v>Primary</v>
          </cell>
        </row>
        <row r="20049">
          <cell r="A20049">
            <v>9353048</v>
          </cell>
          <cell r="B20049">
            <v>124709</v>
          </cell>
          <cell r="C20049" t="str">
            <v>Moulton Church of England Voluntary Controlled Primary School</v>
          </cell>
          <cell r="D20049" t="str">
            <v>Suffolk</v>
          </cell>
          <cell r="E20049" t="str">
            <v>Voluntary Controlled School</v>
          </cell>
          <cell r="F20049" t="str">
            <v>Primary</v>
          </cell>
        </row>
        <row r="20050">
          <cell r="A20050">
            <v>9288300</v>
          </cell>
          <cell r="B20050">
            <v>130772</v>
          </cell>
          <cell r="C20050" t="str">
            <v>Moulton College</v>
          </cell>
          <cell r="D20050" t="str">
            <v>Northamptonshire</v>
          </cell>
          <cell r="E20050" t="str">
            <v>Further Education</v>
          </cell>
          <cell r="F20050" t="str">
            <v>16 Plus</v>
          </cell>
        </row>
        <row r="20051">
          <cell r="A20051">
            <v>9285200</v>
          </cell>
          <cell r="B20051">
            <v>122102</v>
          </cell>
          <cell r="C20051" t="str">
            <v>Moulton Primary School</v>
          </cell>
          <cell r="D20051" t="str">
            <v>Northamptonshire</v>
          </cell>
          <cell r="E20051" t="str">
            <v>Foundation School</v>
          </cell>
          <cell r="F20051" t="str">
            <v>Primary</v>
          </cell>
        </row>
        <row r="20052">
          <cell r="A20052">
            <v>8962183</v>
          </cell>
          <cell r="B20052">
            <v>111052</v>
          </cell>
          <cell r="C20052" t="str">
            <v>Moulton School</v>
          </cell>
          <cell r="D20052" t="str">
            <v>Cheshire West and Chester</v>
          </cell>
          <cell r="E20052" t="str">
            <v>Community School</v>
          </cell>
          <cell r="F20052" t="str">
            <v>Primary</v>
          </cell>
        </row>
        <row r="20053">
          <cell r="A20053">
            <v>9284022</v>
          </cell>
          <cell r="B20053">
            <v>122055</v>
          </cell>
          <cell r="C20053" t="str">
            <v>Moulton School and Science College</v>
          </cell>
          <cell r="D20053" t="str">
            <v>Northamptonshire</v>
          </cell>
          <cell r="E20053" t="str">
            <v>Foundation School</v>
          </cell>
          <cell r="F20053" t="str">
            <v>Secondary</v>
          </cell>
        </row>
        <row r="20054">
          <cell r="A20054">
            <v>9284022</v>
          </cell>
          <cell r="B20054">
            <v>137614</v>
          </cell>
          <cell r="C20054" t="str">
            <v>Moulton School and Science College</v>
          </cell>
          <cell r="D20054" t="str">
            <v>Northamptonshire</v>
          </cell>
          <cell r="E20054" t="str">
            <v>Academy Converters</v>
          </cell>
          <cell r="F20054" t="str">
            <v>Secondary</v>
          </cell>
        </row>
        <row r="20055">
          <cell r="A20055">
            <v>6682267</v>
          </cell>
          <cell r="B20055">
            <v>400689</v>
          </cell>
          <cell r="C20055" t="str">
            <v>Mount Airey C.P.</v>
          </cell>
          <cell r="D20055" t="str">
            <v>Pembrokeshire</v>
          </cell>
          <cell r="E20055" t="str">
            <v>Welsh Establishment</v>
          </cell>
          <cell r="F20055" t="str">
            <v>Primary</v>
          </cell>
        </row>
        <row r="20056">
          <cell r="A20056">
            <v>8457904</v>
          </cell>
          <cell r="B20056">
            <v>131923</v>
          </cell>
          <cell r="C20056" t="str">
            <v>Mount Camphill Community</v>
          </cell>
          <cell r="D20056" t="str">
            <v>East Sussex</v>
          </cell>
          <cell r="E20056" t="str">
            <v>Special College</v>
          </cell>
          <cell r="F20056" t="str">
            <v>16 Plus</v>
          </cell>
        </row>
        <row r="20057">
          <cell r="A20057">
            <v>3073500</v>
          </cell>
          <cell r="B20057">
            <v>101919</v>
          </cell>
          <cell r="C20057" t="str">
            <v>Mount Carmel Catholic Primary School</v>
          </cell>
          <cell r="D20057" t="str">
            <v>Ealing</v>
          </cell>
          <cell r="E20057" t="str">
            <v>Voluntary Aided School</v>
          </cell>
          <cell r="F20057" t="str">
            <v>Primary</v>
          </cell>
        </row>
        <row r="20058">
          <cell r="A20058">
            <v>8886005</v>
          </cell>
          <cell r="B20058">
            <v>119823</v>
          </cell>
          <cell r="C20058" t="str">
            <v>Mount Carmel Preparatory School</v>
          </cell>
          <cell r="D20058" t="str">
            <v>Lancashire</v>
          </cell>
          <cell r="E20058" t="str">
            <v>Other Independent School</v>
          </cell>
          <cell r="F20058" t="str">
            <v>Not applicable</v>
          </cell>
        </row>
        <row r="20059">
          <cell r="A20059">
            <v>3523412</v>
          </cell>
          <cell r="B20059">
            <v>127412</v>
          </cell>
          <cell r="C20059" t="str">
            <v>Mount Carmel RC Infant School</v>
          </cell>
          <cell r="D20059" t="str">
            <v>Manchester</v>
          </cell>
          <cell r="E20059" t="str">
            <v>Voluntary Aided School</v>
          </cell>
          <cell r="F20059" t="str">
            <v>Primary</v>
          </cell>
        </row>
        <row r="20060">
          <cell r="A20060">
            <v>3523410</v>
          </cell>
          <cell r="B20060">
            <v>127411</v>
          </cell>
          <cell r="C20060" t="str">
            <v>Mount Carmel RC Junior School</v>
          </cell>
          <cell r="D20060" t="str">
            <v>Manchester</v>
          </cell>
          <cell r="E20060" t="str">
            <v>Voluntary Aided School</v>
          </cell>
          <cell r="F20060" t="str">
            <v>Primary</v>
          </cell>
        </row>
        <row r="20061">
          <cell r="A20061">
            <v>9063419</v>
          </cell>
          <cell r="B20061">
            <v>128452</v>
          </cell>
          <cell r="C20061" t="str">
            <v>Mount Carmel RC Junior School</v>
          </cell>
          <cell r="D20061" t="str">
            <v>Pre LGR (1998) Cheshire</v>
          </cell>
          <cell r="E20061" t="str">
            <v>Voluntary Aided School</v>
          </cell>
          <cell r="F20061" t="str">
            <v>Primary</v>
          </cell>
        </row>
        <row r="20062">
          <cell r="A20062">
            <v>3523503</v>
          </cell>
          <cell r="B20062">
            <v>105555</v>
          </cell>
          <cell r="C20062" t="str">
            <v>Mount Carmel RC Primary School</v>
          </cell>
          <cell r="D20062" t="str">
            <v>Manchester</v>
          </cell>
          <cell r="E20062" t="str">
            <v>Voluntary Aided School</v>
          </cell>
          <cell r="F20062" t="str">
            <v>Primary</v>
          </cell>
        </row>
        <row r="20063">
          <cell r="A20063">
            <v>2064704</v>
          </cell>
          <cell r="B20063">
            <v>100460</v>
          </cell>
          <cell r="C20063" t="str">
            <v>Mount Carmel RC Technology College for Girls</v>
          </cell>
          <cell r="D20063" t="str">
            <v>Islington</v>
          </cell>
          <cell r="E20063" t="str">
            <v>Voluntary Aided School</v>
          </cell>
          <cell r="F20063" t="str">
            <v>Secondary</v>
          </cell>
        </row>
        <row r="20064">
          <cell r="A20064">
            <v>8884797</v>
          </cell>
          <cell r="B20064">
            <v>119804</v>
          </cell>
          <cell r="C20064" t="str">
            <v>Mount Carmel Roman Catholic High School, Hyndburn</v>
          </cell>
          <cell r="D20064" t="str">
            <v>Lancashire</v>
          </cell>
          <cell r="E20064" t="str">
            <v>Voluntary Aided School</v>
          </cell>
          <cell r="F20064" t="str">
            <v>Secondary</v>
          </cell>
        </row>
        <row r="20065">
          <cell r="A20065">
            <v>9082453</v>
          </cell>
          <cell r="B20065">
            <v>111907</v>
          </cell>
          <cell r="C20065" t="str">
            <v>Mount Charles School</v>
          </cell>
          <cell r="D20065" t="str">
            <v>Cornwall</v>
          </cell>
          <cell r="E20065" t="str">
            <v>Community School</v>
          </cell>
          <cell r="F20065" t="str">
            <v>Primary</v>
          </cell>
        </row>
        <row r="20066">
          <cell r="A20066">
            <v>8913040</v>
          </cell>
          <cell r="B20066">
            <v>122747</v>
          </cell>
          <cell r="C20066" t="str">
            <v>Mount CofE Primary and Nursery School</v>
          </cell>
          <cell r="D20066" t="str">
            <v>Nottinghamshire</v>
          </cell>
          <cell r="E20066" t="str">
            <v>Voluntary Controlled School</v>
          </cell>
          <cell r="F20066" t="str">
            <v>Primary</v>
          </cell>
        </row>
        <row r="20067">
          <cell r="A20067">
            <v>8947018</v>
          </cell>
          <cell r="B20067">
            <v>132122</v>
          </cell>
          <cell r="C20067" t="str">
            <v>Mount Gilbert School</v>
          </cell>
          <cell r="D20067" t="str">
            <v>Telford and Wrekin</v>
          </cell>
          <cell r="E20067" t="str">
            <v>Community Special School</v>
          </cell>
          <cell r="F20067" t="str">
            <v>Special</v>
          </cell>
        </row>
        <row r="20068">
          <cell r="A20068">
            <v>8554010</v>
          </cell>
          <cell r="B20068">
            <v>120240</v>
          </cell>
          <cell r="C20068" t="str">
            <v>Mount Grace High School</v>
          </cell>
          <cell r="D20068" t="str">
            <v>Leicestershire</v>
          </cell>
          <cell r="E20068" t="str">
            <v>Community School</v>
          </cell>
          <cell r="F20068" t="str">
            <v>Secondary</v>
          </cell>
        </row>
        <row r="20069">
          <cell r="A20069">
            <v>9195411</v>
          </cell>
          <cell r="B20069">
            <v>117583</v>
          </cell>
          <cell r="C20069" t="str">
            <v>Mount Grace School</v>
          </cell>
          <cell r="D20069" t="str">
            <v>Hertfordshire</v>
          </cell>
          <cell r="E20069" t="str">
            <v>Foundation School</v>
          </cell>
          <cell r="F20069" t="str">
            <v>Secondary</v>
          </cell>
        </row>
        <row r="20070">
          <cell r="A20070">
            <v>9195411</v>
          </cell>
          <cell r="B20070">
            <v>137224</v>
          </cell>
          <cell r="C20070" t="str">
            <v>Mount Grace School</v>
          </cell>
          <cell r="D20070" t="str">
            <v>Hertfordshire</v>
          </cell>
          <cell r="E20070" t="str">
            <v>Academy Converters</v>
          </cell>
          <cell r="F20070" t="str">
            <v>Secondary</v>
          </cell>
        </row>
        <row r="20071">
          <cell r="A20071">
            <v>9082313</v>
          </cell>
          <cell r="B20071">
            <v>136597</v>
          </cell>
          <cell r="C20071" t="str">
            <v>Mount Hawke Academy</v>
          </cell>
          <cell r="D20071" t="str">
            <v>Cornwall</v>
          </cell>
          <cell r="E20071" t="str">
            <v>Academy Converters</v>
          </cell>
          <cell r="F20071" t="str">
            <v>Primary</v>
          </cell>
        </row>
        <row r="20072">
          <cell r="A20072">
            <v>9082313</v>
          </cell>
          <cell r="B20072">
            <v>111868</v>
          </cell>
          <cell r="C20072" t="str">
            <v>Mount Hawke Community Primary School</v>
          </cell>
          <cell r="D20072" t="str">
            <v>Cornwall</v>
          </cell>
          <cell r="E20072" t="str">
            <v>Community School</v>
          </cell>
          <cell r="F20072" t="str">
            <v>Primary</v>
          </cell>
        </row>
        <row r="20073">
          <cell r="A20073">
            <v>8786008</v>
          </cell>
          <cell r="B20073">
            <v>113572</v>
          </cell>
          <cell r="C20073" t="str">
            <v>Mount House School</v>
          </cell>
          <cell r="D20073" t="str">
            <v>Devon</v>
          </cell>
          <cell r="E20073" t="str">
            <v>Other Independent School</v>
          </cell>
          <cell r="F20073" t="str">
            <v>Not applicable</v>
          </cell>
        </row>
        <row r="20074">
          <cell r="A20074">
            <v>3312082</v>
          </cell>
          <cell r="B20074">
            <v>103661</v>
          </cell>
          <cell r="C20074" t="str">
            <v>Mount Nod Primary School</v>
          </cell>
          <cell r="D20074" t="str">
            <v>Coventry</v>
          </cell>
          <cell r="E20074" t="str">
            <v>Community School</v>
          </cell>
          <cell r="F20074" t="str">
            <v>Primary</v>
          </cell>
        </row>
        <row r="20075">
          <cell r="A20075">
            <v>3312154</v>
          </cell>
          <cell r="B20075">
            <v>131239</v>
          </cell>
          <cell r="C20075" t="str">
            <v>Mount Nod Primary School</v>
          </cell>
          <cell r="D20075" t="str">
            <v>Coventry</v>
          </cell>
          <cell r="E20075" t="str">
            <v>Community School</v>
          </cell>
          <cell r="F20075" t="str">
            <v>Primary</v>
          </cell>
        </row>
        <row r="20076">
          <cell r="A20076">
            <v>3812086</v>
          </cell>
          <cell r="B20076">
            <v>107532</v>
          </cell>
          <cell r="C20076" t="str">
            <v>Mount Pellon Junior and Infant School</v>
          </cell>
          <cell r="D20076" t="str">
            <v>Calderdale</v>
          </cell>
          <cell r="E20076" t="str">
            <v>Community School</v>
          </cell>
          <cell r="F20076" t="str">
            <v>Primary</v>
          </cell>
        </row>
        <row r="20077">
          <cell r="A20077">
            <v>8113029</v>
          </cell>
          <cell r="B20077">
            <v>117982</v>
          </cell>
          <cell r="C20077" t="str">
            <v>Mount Pleasant Church of England Voluntary Controlled Junior School</v>
          </cell>
          <cell r="D20077" t="str">
            <v>East Riding of Yorkshire</v>
          </cell>
          <cell r="E20077" t="str">
            <v>Voluntary Controlled School</v>
          </cell>
          <cell r="F20077" t="str">
            <v>Primary</v>
          </cell>
        </row>
        <row r="20078">
          <cell r="A20078">
            <v>8613306</v>
          </cell>
          <cell r="B20078">
            <v>124310</v>
          </cell>
          <cell r="C20078" t="str">
            <v>Mount Pleasant CofE (A) Primary School</v>
          </cell>
          <cell r="D20078" t="str">
            <v>Stoke-on-Trent</v>
          </cell>
          <cell r="E20078" t="str">
            <v>Voluntary Aided School</v>
          </cell>
          <cell r="F20078" t="str">
            <v>Primary</v>
          </cell>
        </row>
        <row r="20079">
          <cell r="A20079">
            <v>9062304</v>
          </cell>
          <cell r="B20079">
            <v>128429</v>
          </cell>
          <cell r="C20079" t="str">
            <v>Mount Pleasant County Infant School</v>
          </cell>
          <cell r="D20079" t="str">
            <v>Pre LGR (1998) Cheshire</v>
          </cell>
          <cell r="E20079" t="str">
            <v>Community School</v>
          </cell>
          <cell r="F20079" t="str">
            <v>Primary</v>
          </cell>
        </row>
        <row r="20080">
          <cell r="A20080">
            <v>9062305</v>
          </cell>
          <cell r="B20080">
            <v>128430</v>
          </cell>
          <cell r="C20080" t="str">
            <v>Mount Pleasant County Junior School</v>
          </cell>
          <cell r="D20080" t="str">
            <v>Pre LGR (1998) Cheshire</v>
          </cell>
          <cell r="E20080" t="str">
            <v>Community School</v>
          </cell>
          <cell r="F20080" t="str">
            <v>Primary</v>
          </cell>
        </row>
        <row r="20081">
          <cell r="A20081">
            <v>3822019</v>
          </cell>
          <cell r="B20081">
            <v>107610</v>
          </cell>
          <cell r="C20081" t="str">
            <v>Mount Pleasant Infant and Nursery School</v>
          </cell>
          <cell r="D20081" t="str">
            <v>Kirklees</v>
          </cell>
          <cell r="E20081" t="str">
            <v>Community School</v>
          </cell>
          <cell r="F20081" t="str">
            <v>Primary</v>
          </cell>
        </row>
        <row r="20082">
          <cell r="A20082">
            <v>8932148</v>
          </cell>
          <cell r="B20082">
            <v>123425</v>
          </cell>
          <cell r="C20082" t="str">
            <v>Mount Pleasant Infant School</v>
          </cell>
          <cell r="D20082" t="str">
            <v>Shropshire</v>
          </cell>
          <cell r="E20082" t="str">
            <v>Community School</v>
          </cell>
          <cell r="F20082" t="str">
            <v>Primary</v>
          </cell>
        </row>
        <row r="20083">
          <cell r="A20083">
            <v>3822153</v>
          </cell>
          <cell r="B20083">
            <v>130925</v>
          </cell>
          <cell r="C20083" t="str">
            <v>Mount Pleasant Junior Infant and Nursery School</v>
          </cell>
          <cell r="D20083" t="str">
            <v>Kirklees</v>
          </cell>
          <cell r="E20083" t="str">
            <v>Community School</v>
          </cell>
          <cell r="F20083" t="str">
            <v>Primary</v>
          </cell>
        </row>
        <row r="20084">
          <cell r="A20084">
            <v>3822046</v>
          </cell>
          <cell r="B20084">
            <v>107631</v>
          </cell>
          <cell r="C20084" t="str">
            <v>Mount Pleasant Junior School</v>
          </cell>
          <cell r="D20084" t="str">
            <v>Kirklees</v>
          </cell>
          <cell r="E20084" t="str">
            <v>Community School</v>
          </cell>
          <cell r="F20084" t="str">
            <v>Primary</v>
          </cell>
        </row>
        <row r="20085">
          <cell r="A20085">
            <v>8522409</v>
          </cell>
          <cell r="B20085">
            <v>116092</v>
          </cell>
          <cell r="C20085" t="str">
            <v>Mount Pleasant Junior School</v>
          </cell>
          <cell r="D20085" t="str">
            <v>Southampton</v>
          </cell>
          <cell r="E20085" t="str">
            <v>Community School</v>
          </cell>
          <cell r="F20085" t="str">
            <v>Primary</v>
          </cell>
        </row>
        <row r="20086">
          <cell r="A20086">
            <v>8932089</v>
          </cell>
          <cell r="B20086">
            <v>123392</v>
          </cell>
          <cell r="C20086" t="str">
            <v>Mount Pleasant Junior School</v>
          </cell>
          <cell r="D20086" t="str">
            <v>Shropshire</v>
          </cell>
          <cell r="E20086" t="str">
            <v>Community School</v>
          </cell>
          <cell r="F20086" t="str">
            <v>Primary</v>
          </cell>
        </row>
        <row r="20087">
          <cell r="A20087">
            <v>9192444</v>
          </cell>
          <cell r="B20087">
            <v>117347</v>
          </cell>
          <cell r="C20087" t="str">
            <v>Mount Pleasant Lane Junior Mixed and Infant School and Nursery</v>
          </cell>
          <cell r="D20087" t="str">
            <v>Hertfordshire</v>
          </cell>
          <cell r="E20087" t="str">
            <v>Community School</v>
          </cell>
          <cell r="F20087" t="str">
            <v>Primary</v>
          </cell>
        </row>
        <row r="20088">
          <cell r="A20088">
            <v>9192104</v>
          </cell>
          <cell r="B20088">
            <v>129113</v>
          </cell>
          <cell r="C20088" t="str">
            <v>Mount Pleasant Lane Junior School</v>
          </cell>
          <cell r="D20088" t="str">
            <v>Hertfordshire</v>
          </cell>
          <cell r="E20088" t="str">
            <v>Community School</v>
          </cell>
          <cell r="F20088" t="str">
            <v>Primary</v>
          </cell>
        </row>
        <row r="20089">
          <cell r="A20089">
            <v>8933363</v>
          </cell>
          <cell r="B20089">
            <v>135776</v>
          </cell>
          <cell r="C20089" t="str">
            <v>Mount Pleasant Primary</v>
          </cell>
          <cell r="D20089" t="str">
            <v>Shropshire</v>
          </cell>
          <cell r="E20089" t="str">
            <v>Community School</v>
          </cell>
          <cell r="F20089" t="str">
            <v>Primary</v>
          </cell>
        </row>
        <row r="20090">
          <cell r="A20090">
            <v>6802258</v>
          </cell>
          <cell r="B20090">
            <v>401538</v>
          </cell>
          <cell r="C20090" t="str">
            <v>Mount Pleasant Primary</v>
          </cell>
          <cell r="D20090" t="str">
            <v>Newport</v>
          </cell>
          <cell r="E20090" t="str">
            <v>Welsh Establishment</v>
          </cell>
          <cell r="F20090" t="str">
            <v>Primary</v>
          </cell>
        </row>
        <row r="20091">
          <cell r="A20091">
            <v>3322036</v>
          </cell>
          <cell r="B20091">
            <v>103780</v>
          </cell>
          <cell r="C20091" t="str">
            <v>Mount Pleasant Primary School</v>
          </cell>
          <cell r="D20091" t="str">
            <v>Dudley</v>
          </cell>
          <cell r="E20091" t="str">
            <v>Community School</v>
          </cell>
          <cell r="F20091" t="str">
            <v>Primary</v>
          </cell>
        </row>
        <row r="20092">
          <cell r="A20092">
            <v>8412648</v>
          </cell>
          <cell r="B20092">
            <v>114166</v>
          </cell>
          <cell r="C20092" t="str">
            <v>Mount Pleasant Primary School</v>
          </cell>
          <cell r="D20092" t="str">
            <v>Darlington</v>
          </cell>
          <cell r="E20092" t="str">
            <v>Community School</v>
          </cell>
          <cell r="F20092" t="str">
            <v>Primary</v>
          </cell>
        </row>
        <row r="20093">
          <cell r="A20093">
            <v>6752014</v>
          </cell>
          <cell r="B20093">
            <v>401275</v>
          </cell>
          <cell r="C20093" t="str">
            <v>Mount Pleasant Primary School</v>
          </cell>
          <cell r="D20093" t="str">
            <v>Merthyr Tydfil</v>
          </cell>
          <cell r="E20093" t="str">
            <v>Welsh Establishment</v>
          </cell>
          <cell r="F20093" t="str">
            <v>Primary</v>
          </cell>
        </row>
        <row r="20094">
          <cell r="A20094">
            <v>7022091</v>
          </cell>
          <cell r="B20094">
            <v>132691</v>
          </cell>
          <cell r="C20094" t="str">
            <v>Mount Pleasant School</v>
          </cell>
          <cell r="D20094" t="str">
            <v>BFPO Overseas Establishments</v>
          </cell>
          <cell r="E20094" t="str">
            <v>Service Childrens Education</v>
          </cell>
          <cell r="F20094" t="str">
            <v>Primary</v>
          </cell>
        </row>
        <row r="20095">
          <cell r="A20095">
            <v>3442101</v>
          </cell>
          <cell r="B20095">
            <v>104993</v>
          </cell>
          <cell r="C20095" t="str">
            <v>Mount Primary School</v>
          </cell>
          <cell r="D20095" t="str">
            <v>Wirral</v>
          </cell>
          <cell r="E20095" t="str">
            <v>Community School</v>
          </cell>
          <cell r="F20095" t="str">
            <v>Primary</v>
          </cell>
        </row>
        <row r="20096">
          <cell r="A20096">
            <v>8617004</v>
          </cell>
          <cell r="B20096">
            <v>124497</v>
          </cell>
          <cell r="C20096" t="str">
            <v>Mount Special School</v>
          </cell>
          <cell r="D20096" t="str">
            <v>Stoke-on-Trent</v>
          </cell>
          <cell r="E20096" t="str">
            <v>Community Special School</v>
          </cell>
          <cell r="F20096" t="str">
            <v>Special</v>
          </cell>
        </row>
        <row r="20097">
          <cell r="A20097">
            <v>3504611</v>
          </cell>
          <cell r="B20097">
            <v>105263</v>
          </cell>
          <cell r="C20097" t="str">
            <v>Mount St Joseph: Business and Enterprise College</v>
          </cell>
          <cell r="D20097" t="str">
            <v>Bolton</v>
          </cell>
          <cell r="E20097" t="str">
            <v>Voluntary Aided School</v>
          </cell>
          <cell r="F20097" t="str">
            <v>Secondary</v>
          </cell>
        </row>
        <row r="20098">
          <cell r="A20098">
            <v>3834753</v>
          </cell>
          <cell r="B20098">
            <v>108097</v>
          </cell>
          <cell r="C20098" t="str">
            <v>Mount St Mary's Catholic High School</v>
          </cell>
          <cell r="D20098" t="str">
            <v>Leeds</v>
          </cell>
          <cell r="E20098" t="str">
            <v>Voluntary Aided School</v>
          </cell>
          <cell r="F20098" t="str">
            <v>Secondary</v>
          </cell>
        </row>
        <row r="20099">
          <cell r="A20099">
            <v>3833636</v>
          </cell>
          <cell r="B20099">
            <v>108040</v>
          </cell>
          <cell r="C20099" t="str">
            <v>Mount St Mary's Catholic Primary School</v>
          </cell>
          <cell r="D20099" t="str">
            <v>Leeds</v>
          </cell>
          <cell r="E20099" t="str">
            <v>Voluntary Aided School</v>
          </cell>
          <cell r="F20099" t="str">
            <v>Primary</v>
          </cell>
        </row>
        <row r="20100">
          <cell r="A20100">
            <v>8306014</v>
          </cell>
          <cell r="B20100">
            <v>113010</v>
          </cell>
          <cell r="C20100" t="str">
            <v>Mount St Mary's College</v>
          </cell>
          <cell r="D20100" t="str">
            <v>Derbyshire</v>
          </cell>
          <cell r="E20100" t="str">
            <v>Other Independent School</v>
          </cell>
          <cell r="F20100" t="str">
            <v>Not applicable</v>
          </cell>
        </row>
        <row r="20101">
          <cell r="A20101">
            <v>9116012</v>
          </cell>
          <cell r="B20101">
            <v>113565</v>
          </cell>
          <cell r="C20101" t="str">
            <v>Mount St Mary's Convent School</v>
          </cell>
          <cell r="D20101" t="str">
            <v>Pre LGR (1998) Devon</v>
          </cell>
          <cell r="E20101" t="str">
            <v>Other Independent School</v>
          </cell>
          <cell r="F20101" t="str">
            <v>Not applicable</v>
          </cell>
        </row>
        <row r="20102">
          <cell r="A20102">
            <v>3834745</v>
          </cell>
          <cell r="B20102">
            <v>128032</v>
          </cell>
          <cell r="C20102" t="str">
            <v>Mount St Mary's RC School</v>
          </cell>
          <cell r="D20102" t="str">
            <v>Leeds</v>
          </cell>
          <cell r="E20102" t="str">
            <v>Voluntary Aided School</v>
          </cell>
          <cell r="F20102" t="str">
            <v>Secondary</v>
          </cell>
        </row>
        <row r="20103">
          <cell r="A20103">
            <v>3042019</v>
          </cell>
          <cell r="B20103">
            <v>101501</v>
          </cell>
          <cell r="C20103" t="str">
            <v>Mount Stewart Infant School</v>
          </cell>
          <cell r="D20103" t="str">
            <v>Brent</v>
          </cell>
          <cell r="E20103" t="str">
            <v>Community School</v>
          </cell>
          <cell r="F20103" t="str">
            <v>Primary</v>
          </cell>
        </row>
        <row r="20104">
          <cell r="A20104">
            <v>3042018</v>
          </cell>
          <cell r="B20104">
            <v>101500</v>
          </cell>
          <cell r="C20104" t="str">
            <v>Mount Stewart Junior School</v>
          </cell>
          <cell r="D20104" t="str">
            <v>Brent</v>
          </cell>
          <cell r="E20104" t="str">
            <v>Community School</v>
          </cell>
          <cell r="F20104" t="str">
            <v>Primary</v>
          </cell>
        </row>
        <row r="20105">
          <cell r="A20105">
            <v>6662080</v>
          </cell>
          <cell r="B20105">
            <v>400508</v>
          </cell>
          <cell r="C20105" t="str">
            <v>Mount Street C.P. Infants</v>
          </cell>
          <cell r="D20105" t="str">
            <v>Powys</v>
          </cell>
          <cell r="E20105" t="str">
            <v>Welsh Establishment</v>
          </cell>
          <cell r="F20105" t="str">
            <v>Primary</v>
          </cell>
        </row>
        <row r="20106">
          <cell r="A20106">
            <v>6662079</v>
          </cell>
          <cell r="B20106">
            <v>400507</v>
          </cell>
          <cell r="C20106" t="str">
            <v>Mount Street C.P. Junior</v>
          </cell>
          <cell r="D20106" t="str">
            <v>Powys</v>
          </cell>
          <cell r="E20106" t="str">
            <v>Welsh Establishment</v>
          </cell>
          <cell r="F20106" t="str">
            <v>Primary</v>
          </cell>
        </row>
        <row r="20107">
          <cell r="A20107">
            <v>9255227</v>
          </cell>
          <cell r="B20107">
            <v>120694</v>
          </cell>
          <cell r="C20107" t="str">
            <v>Mount Street Infant and Nursery School</v>
          </cell>
          <cell r="D20107" t="str">
            <v>Lincolnshire</v>
          </cell>
          <cell r="E20107" t="str">
            <v>Foundation School</v>
          </cell>
          <cell r="F20107" t="str">
            <v>Primary</v>
          </cell>
        </row>
        <row r="20108">
          <cell r="A20108">
            <v>9255227</v>
          </cell>
          <cell r="B20108">
            <v>137551</v>
          </cell>
          <cell r="C20108" t="str">
            <v>Mount Street Infant and Nursery School</v>
          </cell>
          <cell r="D20108" t="str">
            <v>Lincolnshire</v>
          </cell>
          <cell r="E20108" t="str">
            <v>Academy Converters</v>
          </cell>
          <cell r="F20108" t="str">
            <v>Primary</v>
          </cell>
        </row>
        <row r="20109">
          <cell r="A20109">
            <v>8792643</v>
          </cell>
          <cell r="B20109">
            <v>113281</v>
          </cell>
          <cell r="C20109" t="str">
            <v>Mount Street Primary School</v>
          </cell>
          <cell r="D20109" t="str">
            <v>Plymouth</v>
          </cell>
          <cell r="E20109" t="str">
            <v>Foundation School</v>
          </cell>
          <cell r="F20109" t="str">
            <v>Primary</v>
          </cell>
        </row>
        <row r="20110">
          <cell r="A20110">
            <v>6812084</v>
          </cell>
          <cell r="B20110">
            <v>401602</v>
          </cell>
          <cell r="C20110" t="str">
            <v>Mount Stuart Primary</v>
          </cell>
          <cell r="D20110" t="str">
            <v>Cardiff</v>
          </cell>
          <cell r="E20110" t="str">
            <v>Welsh Establishment</v>
          </cell>
          <cell r="F20110" t="str">
            <v>Primary</v>
          </cell>
        </row>
        <row r="20111">
          <cell r="A20111">
            <v>8797067</v>
          </cell>
          <cell r="B20111">
            <v>113649</v>
          </cell>
          <cell r="C20111" t="str">
            <v>Mount Tamar School</v>
          </cell>
          <cell r="D20111" t="str">
            <v>Plymouth</v>
          </cell>
          <cell r="E20111" t="str">
            <v>Community Special School</v>
          </cell>
          <cell r="F20111" t="str">
            <v>Special</v>
          </cell>
        </row>
        <row r="20112">
          <cell r="A20112">
            <v>8792674</v>
          </cell>
          <cell r="B20112">
            <v>113300</v>
          </cell>
          <cell r="C20112" t="str">
            <v>Mount Wise Community Primary School</v>
          </cell>
          <cell r="D20112" t="str">
            <v>Plymouth</v>
          </cell>
          <cell r="E20112" t="str">
            <v>Community School</v>
          </cell>
          <cell r="F20112" t="str">
            <v>Primary</v>
          </cell>
        </row>
        <row r="20113">
          <cell r="A20113">
            <v>8016020</v>
          </cell>
          <cell r="B20113">
            <v>109383</v>
          </cell>
          <cell r="C20113" t="str">
            <v>Mount Zion School</v>
          </cell>
          <cell r="D20113" t="str">
            <v>Bristol City of</v>
          </cell>
          <cell r="E20113" t="str">
            <v>Other Independent School</v>
          </cell>
          <cell r="F20113" t="str">
            <v>Not applicable</v>
          </cell>
        </row>
        <row r="20114">
          <cell r="A20114">
            <v>9016123</v>
          </cell>
          <cell r="B20114">
            <v>133109</v>
          </cell>
          <cell r="C20114" t="str">
            <v>Mount Zion School</v>
          </cell>
          <cell r="D20114" t="str">
            <v>Pre LGR (1996) Avon</v>
          </cell>
          <cell r="E20114" t="str">
            <v>Other Independent School</v>
          </cell>
          <cell r="F20114" t="str">
            <v>Not applicable</v>
          </cell>
        </row>
        <row r="20115">
          <cell r="A20115">
            <v>8016022</v>
          </cell>
          <cell r="B20115">
            <v>134141</v>
          </cell>
          <cell r="C20115" t="str">
            <v>Mount Zion School</v>
          </cell>
          <cell r="D20115" t="str">
            <v>Bristol City of</v>
          </cell>
          <cell r="E20115" t="str">
            <v>Other Independent School</v>
          </cell>
          <cell r="F20115" t="str">
            <v>Not applicable</v>
          </cell>
        </row>
        <row r="20116">
          <cell r="A20116">
            <v>6744053</v>
          </cell>
          <cell r="B20116">
            <v>401809</v>
          </cell>
          <cell r="C20116" t="str">
            <v>Mountain Ash Comprehensive School</v>
          </cell>
          <cell r="D20116" t="str">
            <v>Rhondda, Cynon, Taff</v>
          </cell>
          <cell r="E20116" t="str">
            <v>Welsh Establishment</v>
          </cell>
          <cell r="F20116" t="str">
            <v>Secondary</v>
          </cell>
        </row>
        <row r="20117">
          <cell r="A20117">
            <v>3176065</v>
          </cell>
          <cell r="B20117">
            <v>127016</v>
          </cell>
          <cell r="C20117" t="str">
            <v>Mountain Ash School</v>
          </cell>
          <cell r="D20117" t="str">
            <v>Redbridge</v>
          </cell>
          <cell r="E20117" t="str">
            <v>Other Independent School</v>
          </cell>
          <cell r="F20117" t="str">
            <v>Not applicable</v>
          </cell>
        </row>
        <row r="20118">
          <cell r="A20118">
            <v>6642063</v>
          </cell>
          <cell r="B20118">
            <v>400348</v>
          </cell>
          <cell r="C20118" t="str">
            <v>Mountain Lane C.P. School</v>
          </cell>
          <cell r="D20118" t="str">
            <v>Flintshire</v>
          </cell>
          <cell r="E20118" t="str">
            <v>Welsh Establishment</v>
          </cell>
          <cell r="F20118" t="str">
            <v>Primary</v>
          </cell>
        </row>
        <row r="20119">
          <cell r="A20119">
            <v>9204496</v>
          </cell>
          <cell r="B20119">
            <v>129322</v>
          </cell>
          <cell r="C20119" t="str">
            <v>Mountbatten Junior High School</v>
          </cell>
          <cell r="D20119" t="str">
            <v>Pre LGR (1996) Humberside</v>
          </cell>
          <cell r="E20119" t="str">
            <v>Community School</v>
          </cell>
          <cell r="F20119" t="str">
            <v>Secondary</v>
          </cell>
        </row>
        <row r="20120">
          <cell r="A20120">
            <v>8102904</v>
          </cell>
          <cell r="B20120">
            <v>117931</v>
          </cell>
          <cell r="C20120" t="str">
            <v>Mountbatten Primary School</v>
          </cell>
          <cell r="D20120" t="str">
            <v>Kingston upon Hull City of</v>
          </cell>
          <cell r="E20120" t="str">
            <v>Community School</v>
          </cell>
          <cell r="F20120" t="str">
            <v>Primary</v>
          </cell>
        </row>
        <row r="20121">
          <cell r="A20121">
            <v>7022042</v>
          </cell>
          <cell r="B20121">
            <v>132393</v>
          </cell>
          <cell r="C20121" t="str">
            <v>Mountbatten Primary School</v>
          </cell>
          <cell r="D20121" t="str">
            <v>BFPO Overseas Establishments</v>
          </cell>
          <cell r="E20121" t="str">
            <v>Service Childrens Education</v>
          </cell>
          <cell r="F20121" t="str">
            <v>Not applicable</v>
          </cell>
        </row>
        <row r="20122">
          <cell r="A20122">
            <v>8453044</v>
          </cell>
          <cell r="B20122">
            <v>114513</v>
          </cell>
          <cell r="C20122" t="str">
            <v>Mountfield and Whatlington Church of England Primary School</v>
          </cell>
          <cell r="D20122" t="str">
            <v>East Sussex</v>
          </cell>
          <cell r="E20122" t="str">
            <v>Voluntary Controlled School</v>
          </cell>
          <cell r="F20122" t="str">
            <v>Primary</v>
          </cell>
        </row>
        <row r="20123">
          <cell r="A20123">
            <v>3912461</v>
          </cell>
          <cell r="B20123">
            <v>128125</v>
          </cell>
          <cell r="C20123" t="str">
            <v>Mountfield Infant School</v>
          </cell>
          <cell r="D20123" t="str">
            <v>Newcastle upon Tyne</v>
          </cell>
          <cell r="E20123" t="str">
            <v>Community School</v>
          </cell>
          <cell r="F20123" t="str">
            <v>Primary</v>
          </cell>
        </row>
        <row r="20124">
          <cell r="A20124">
            <v>3912460</v>
          </cell>
          <cell r="B20124">
            <v>128124</v>
          </cell>
          <cell r="C20124" t="str">
            <v>Mountfield Junior School</v>
          </cell>
          <cell r="D20124" t="str">
            <v>Newcastle upon Tyne</v>
          </cell>
          <cell r="E20124" t="str">
            <v>Community School</v>
          </cell>
          <cell r="F20124" t="str">
            <v>Primary</v>
          </cell>
        </row>
        <row r="20125">
          <cell r="A20125">
            <v>3912462</v>
          </cell>
          <cell r="B20125">
            <v>108474</v>
          </cell>
          <cell r="C20125" t="str">
            <v>Mountfield Primary School</v>
          </cell>
          <cell r="D20125" t="str">
            <v>Newcastle upon Tyne</v>
          </cell>
          <cell r="E20125" t="str">
            <v>Community School</v>
          </cell>
          <cell r="F20125" t="str">
            <v>Primary</v>
          </cell>
        </row>
        <row r="20126">
          <cell r="A20126">
            <v>9242060</v>
          </cell>
          <cell r="B20126">
            <v>129517</v>
          </cell>
          <cell r="C20126" t="str">
            <v>Mountfields County Junior School</v>
          </cell>
          <cell r="D20126" t="str">
            <v>Pre LGR (1997) Leicestershire</v>
          </cell>
          <cell r="E20126" t="str">
            <v>Community School</v>
          </cell>
          <cell r="F20126" t="str">
            <v>Primary</v>
          </cell>
        </row>
        <row r="20127">
          <cell r="A20127">
            <v>8552194</v>
          </cell>
          <cell r="B20127">
            <v>119994</v>
          </cell>
          <cell r="C20127" t="str">
            <v>Mountfields Lodge School</v>
          </cell>
          <cell r="D20127" t="str">
            <v>Leicestershire</v>
          </cell>
          <cell r="E20127" t="str">
            <v>Community School</v>
          </cell>
          <cell r="F20127" t="str">
            <v>Primary</v>
          </cell>
        </row>
        <row r="20128">
          <cell r="A20128">
            <v>8926005</v>
          </cell>
          <cell r="B20128">
            <v>122916</v>
          </cell>
          <cell r="C20128" t="str">
            <v>Mountford House School</v>
          </cell>
          <cell r="D20128" t="str">
            <v>Nottingham</v>
          </cell>
          <cell r="E20128" t="str">
            <v>Other Independent School</v>
          </cell>
          <cell r="F20128" t="str">
            <v>Not applicable</v>
          </cell>
        </row>
        <row r="20129">
          <cell r="A20129">
            <v>8662146</v>
          </cell>
          <cell r="B20129">
            <v>126239</v>
          </cell>
          <cell r="C20129" t="str">
            <v>Mountford Manor Infants' School</v>
          </cell>
          <cell r="D20129" t="str">
            <v>Swindon</v>
          </cell>
          <cell r="E20129" t="str">
            <v>Community School</v>
          </cell>
          <cell r="F20129" t="str">
            <v>Primary</v>
          </cell>
        </row>
        <row r="20130">
          <cell r="A20130">
            <v>8662145</v>
          </cell>
          <cell r="B20130">
            <v>126238</v>
          </cell>
          <cell r="C20130" t="str">
            <v>Mountford Manor Junior School</v>
          </cell>
          <cell r="D20130" t="str">
            <v>Swindon</v>
          </cell>
          <cell r="E20130" t="str">
            <v>Community School</v>
          </cell>
          <cell r="F20130" t="str">
            <v>Primary</v>
          </cell>
        </row>
        <row r="20131">
          <cell r="A20131">
            <v>8662003</v>
          </cell>
          <cell r="B20131">
            <v>131785</v>
          </cell>
          <cell r="C20131" t="str">
            <v>Mountford Manor Primary School</v>
          </cell>
          <cell r="D20131" t="str">
            <v>Swindon</v>
          </cell>
          <cell r="E20131" t="str">
            <v>Community School</v>
          </cell>
          <cell r="F20131" t="str">
            <v>Primary</v>
          </cell>
        </row>
        <row r="20132">
          <cell r="A20132">
            <v>3826011</v>
          </cell>
          <cell r="B20132">
            <v>107789</v>
          </cell>
          <cell r="C20132" t="str">
            <v>Mountjoy House School</v>
          </cell>
          <cell r="D20132" t="str">
            <v>Kirklees</v>
          </cell>
          <cell r="E20132" t="str">
            <v>Other Independent School</v>
          </cell>
          <cell r="F20132" t="str">
            <v>Not applicable</v>
          </cell>
        </row>
        <row r="20133">
          <cell r="A20133">
            <v>8357007</v>
          </cell>
          <cell r="B20133">
            <v>113957</v>
          </cell>
          <cell r="C20133" t="str">
            <v>Mountjoy School</v>
          </cell>
          <cell r="D20133" t="str">
            <v>Dorset</v>
          </cell>
          <cell r="E20133" t="str">
            <v>Community Special School</v>
          </cell>
          <cell r="F20133" t="str">
            <v>Special</v>
          </cell>
        </row>
        <row r="20134">
          <cell r="A20134">
            <v>9336086</v>
          </cell>
          <cell r="B20134">
            <v>129854</v>
          </cell>
          <cell r="C20134" t="str">
            <v>Mountlands School</v>
          </cell>
          <cell r="D20134" t="str">
            <v>Somerset</v>
          </cell>
          <cell r="E20134" t="str">
            <v>Other Independent School</v>
          </cell>
          <cell r="F20134" t="str">
            <v>Not applicable</v>
          </cell>
        </row>
        <row r="20135">
          <cell r="A20135">
            <v>8813221</v>
          </cell>
          <cell r="B20135">
            <v>115117</v>
          </cell>
          <cell r="C20135" t="str">
            <v>Mountnessing Church of England Voluntary Controlled Primary School</v>
          </cell>
          <cell r="D20135" t="str">
            <v>Essex</v>
          </cell>
          <cell r="E20135" t="str">
            <v>Voluntary Controlled School</v>
          </cell>
          <cell r="F20135" t="str">
            <v>Primary</v>
          </cell>
        </row>
        <row r="20136">
          <cell r="A20136">
            <v>6797006</v>
          </cell>
          <cell r="B20136">
            <v>401927</v>
          </cell>
          <cell r="C20136" t="str">
            <v>Mounton House Special School</v>
          </cell>
          <cell r="D20136" t="str">
            <v>Monmouthshire</v>
          </cell>
          <cell r="E20136" t="str">
            <v>Welsh Establishment</v>
          </cell>
          <cell r="F20136" t="str">
            <v>Not applicable</v>
          </cell>
        </row>
        <row r="20137">
          <cell r="A20137">
            <v>9084172</v>
          </cell>
          <cell r="B20137">
            <v>136873</v>
          </cell>
          <cell r="C20137" t="str">
            <v>Mounts Bay Academy</v>
          </cell>
          <cell r="D20137" t="str">
            <v>Cornwall</v>
          </cell>
          <cell r="E20137" t="str">
            <v>Academy Converters</v>
          </cell>
          <cell r="F20137" t="str">
            <v>Secondary</v>
          </cell>
        </row>
        <row r="20138">
          <cell r="A20138">
            <v>9084172</v>
          </cell>
          <cell r="B20138">
            <v>112066</v>
          </cell>
          <cell r="C20138" t="str">
            <v>Mounts Bay School</v>
          </cell>
          <cell r="D20138" t="str">
            <v>Cornwall</v>
          </cell>
          <cell r="E20138" t="str">
            <v>Community School</v>
          </cell>
          <cell r="F20138" t="str">
            <v>Secondary</v>
          </cell>
        </row>
        <row r="20139">
          <cell r="A20139">
            <v>3098221</v>
          </cell>
          <cell r="B20139">
            <v>133051</v>
          </cell>
          <cell r="C20139" t="str">
            <v>Mountview Theatre School</v>
          </cell>
          <cell r="D20139" t="str">
            <v>Haringey</v>
          </cell>
          <cell r="E20139" t="str">
            <v>Miscellaneous</v>
          </cell>
          <cell r="F20139" t="str">
            <v>Not applicable</v>
          </cell>
        </row>
        <row r="20140">
          <cell r="A20140">
            <v>8886056</v>
          </cell>
          <cell r="B20140">
            <v>136069</v>
          </cell>
          <cell r="C20140" t="str">
            <v>Mountwood Academy</v>
          </cell>
          <cell r="D20140" t="str">
            <v>Lancashire</v>
          </cell>
          <cell r="E20140" t="str">
            <v>Other Independent Special School</v>
          </cell>
          <cell r="F20140" t="str">
            <v>Not applicable</v>
          </cell>
        </row>
        <row r="20141">
          <cell r="A20141">
            <v>9262308</v>
          </cell>
          <cell r="B20141">
            <v>120945</v>
          </cell>
          <cell r="C20141" t="str">
            <v>Mousehold Infant &amp; Nursery School</v>
          </cell>
          <cell r="D20141" t="str">
            <v>Norfolk</v>
          </cell>
          <cell r="E20141" t="str">
            <v>Community School</v>
          </cell>
          <cell r="F20141" t="str">
            <v>Primary</v>
          </cell>
        </row>
        <row r="20142">
          <cell r="A20142">
            <v>9082008</v>
          </cell>
          <cell r="B20142">
            <v>111796</v>
          </cell>
          <cell r="C20142" t="str">
            <v>Mousehole Community Primary School</v>
          </cell>
          <cell r="D20142" t="str">
            <v>Cornwall</v>
          </cell>
          <cell r="E20142" t="str">
            <v>Community School</v>
          </cell>
          <cell r="F20142" t="str">
            <v>Primary</v>
          </cell>
        </row>
        <row r="20143">
          <cell r="A20143">
            <v>3061107</v>
          </cell>
          <cell r="B20143">
            <v>134048</v>
          </cell>
          <cell r="C20143" t="str">
            <v>Moving On Pupil Referral Unit</v>
          </cell>
          <cell r="D20143" t="str">
            <v>Croydon</v>
          </cell>
          <cell r="E20143" t="str">
            <v>Pupil Referral Unit</v>
          </cell>
          <cell r="F20143" t="str">
            <v>PRU</v>
          </cell>
        </row>
        <row r="20144">
          <cell r="A20144">
            <v>9292323</v>
          </cell>
          <cell r="B20144">
            <v>122243</v>
          </cell>
          <cell r="C20144" t="str">
            <v>Mowbray First School</v>
          </cell>
          <cell r="D20144" t="str">
            <v>Northumberland</v>
          </cell>
          <cell r="E20144" t="str">
            <v>Community School</v>
          </cell>
          <cell r="F20144" t="str">
            <v>Primary</v>
          </cell>
        </row>
        <row r="20145">
          <cell r="A20145">
            <v>3932019</v>
          </cell>
          <cell r="B20145">
            <v>108674</v>
          </cell>
          <cell r="C20145" t="str">
            <v>Mowbray Junior Mixed School</v>
          </cell>
          <cell r="D20145" t="str">
            <v>South Tyneside</v>
          </cell>
          <cell r="E20145" t="str">
            <v>Community School</v>
          </cell>
          <cell r="F20145" t="str">
            <v>Primary</v>
          </cell>
        </row>
        <row r="20146">
          <cell r="A20146">
            <v>8157029</v>
          </cell>
          <cell r="B20146">
            <v>121779</v>
          </cell>
          <cell r="C20146" t="str">
            <v>Mowbray School</v>
          </cell>
          <cell r="D20146" t="str">
            <v>North Yorkshire</v>
          </cell>
          <cell r="E20146" t="str">
            <v>Community Special School</v>
          </cell>
          <cell r="F20146" t="str">
            <v>Special</v>
          </cell>
        </row>
        <row r="20147">
          <cell r="A20147">
            <v>9296005</v>
          </cell>
          <cell r="B20147">
            <v>122377</v>
          </cell>
          <cell r="C20147" t="str">
            <v>Mowden Hall School</v>
          </cell>
          <cell r="D20147" t="str">
            <v>Northumberland</v>
          </cell>
          <cell r="E20147" t="str">
            <v>Other Independent School</v>
          </cell>
          <cell r="F20147" t="str">
            <v>Not applicable</v>
          </cell>
        </row>
        <row r="20148">
          <cell r="A20148">
            <v>8412668</v>
          </cell>
          <cell r="B20148">
            <v>114182</v>
          </cell>
          <cell r="C20148" t="str">
            <v>Mowden Infants' School</v>
          </cell>
          <cell r="D20148" t="str">
            <v>Darlington</v>
          </cell>
          <cell r="E20148" t="str">
            <v>Community School</v>
          </cell>
          <cell r="F20148" t="str">
            <v>Primary</v>
          </cell>
        </row>
        <row r="20149">
          <cell r="A20149">
            <v>8412670</v>
          </cell>
          <cell r="B20149">
            <v>114184</v>
          </cell>
          <cell r="C20149" t="str">
            <v>Mowden Junior School</v>
          </cell>
          <cell r="D20149" t="str">
            <v>Darlington</v>
          </cell>
          <cell r="E20149" t="str">
            <v>Community School</v>
          </cell>
          <cell r="F20149" t="str">
            <v>Primary</v>
          </cell>
        </row>
        <row r="20150">
          <cell r="A20150">
            <v>2112432</v>
          </cell>
          <cell r="B20150">
            <v>100914</v>
          </cell>
          <cell r="C20150" t="str">
            <v>Mowlem Primary School</v>
          </cell>
          <cell r="D20150" t="str">
            <v>Tower Hamlets</v>
          </cell>
          <cell r="E20150" t="str">
            <v>Community School</v>
          </cell>
          <cell r="F20150" t="str">
            <v>Primary</v>
          </cell>
        </row>
        <row r="20151">
          <cell r="A20151">
            <v>8562353</v>
          </cell>
          <cell r="B20151">
            <v>120078</v>
          </cell>
          <cell r="C20151" t="str">
            <v>Mowmacre Hill Primary School</v>
          </cell>
          <cell r="D20151" t="str">
            <v>Leicester</v>
          </cell>
          <cell r="E20151" t="str">
            <v>Community School</v>
          </cell>
          <cell r="F20151" t="str">
            <v>Primary</v>
          </cell>
        </row>
        <row r="20152">
          <cell r="A20152">
            <v>8553065</v>
          </cell>
          <cell r="B20152">
            <v>120148</v>
          </cell>
          <cell r="C20152" t="str">
            <v>Mowsley St Nicholas CofE Primary School</v>
          </cell>
          <cell r="D20152" t="str">
            <v>Leicestershire</v>
          </cell>
          <cell r="E20152" t="str">
            <v>Voluntary Controlled School</v>
          </cell>
          <cell r="F20152" t="str">
            <v>Primary</v>
          </cell>
        </row>
        <row r="20153">
          <cell r="A20153">
            <v>3352107</v>
          </cell>
          <cell r="B20153">
            <v>104180</v>
          </cell>
          <cell r="C20153" t="str">
            <v>Moxley Nursery and Infant School</v>
          </cell>
          <cell r="D20153" t="str">
            <v>Walsall</v>
          </cell>
          <cell r="E20153" t="str">
            <v>Community School</v>
          </cell>
          <cell r="F20153" t="str">
            <v>Primary</v>
          </cell>
        </row>
        <row r="20154">
          <cell r="A20154">
            <v>8506048</v>
          </cell>
          <cell r="B20154">
            <v>116559</v>
          </cell>
          <cell r="C20154" t="str">
            <v>Moyles Court School</v>
          </cell>
          <cell r="D20154" t="str">
            <v>Hampshire</v>
          </cell>
          <cell r="E20154" t="str">
            <v>Other Independent School</v>
          </cell>
          <cell r="F20154" t="str">
            <v>Not applicable</v>
          </cell>
        </row>
        <row r="20155">
          <cell r="A20155">
            <v>3826029</v>
          </cell>
          <cell r="B20155">
            <v>136224</v>
          </cell>
          <cell r="C20155" t="str">
            <v>MPC College</v>
          </cell>
          <cell r="D20155" t="str">
            <v>Kirklees</v>
          </cell>
          <cell r="E20155" t="str">
            <v>Other Independent School</v>
          </cell>
          <cell r="F20155" t="str">
            <v>Not applicable</v>
          </cell>
        </row>
        <row r="20156">
          <cell r="A20156">
            <v>8692158</v>
          </cell>
          <cell r="B20156">
            <v>109887</v>
          </cell>
          <cell r="C20156" t="str">
            <v>Mrs Bland's Infant School</v>
          </cell>
          <cell r="D20156" t="str">
            <v>West Berkshire</v>
          </cell>
          <cell r="E20156" t="str">
            <v>Community School</v>
          </cell>
          <cell r="F20156" t="str">
            <v>Primary</v>
          </cell>
        </row>
        <row r="20157">
          <cell r="A20157">
            <v>8783320</v>
          </cell>
          <cell r="B20157">
            <v>113439</v>
          </cell>
          <cell r="C20157" t="str">
            <v>Mrs Ethelston's Church of England (VA) Primary School</v>
          </cell>
          <cell r="D20157" t="str">
            <v>Devon</v>
          </cell>
          <cell r="E20157" t="str">
            <v>Voluntary Aided School</v>
          </cell>
          <cell r="F20157" t="str">
            <v>Primary</v>
          </cell>
        </row>
        <row r="20158">
          <cell r="A20158">
            <v>9253041</v>
          </cell>
          <cell r="B20158">
            <v>120530</v>
          </cell>
          <cell r="C20158" t="str">
            <v>Mrs Mary King's CofE (Controlled) Primary School</v>
          </cell>
          <cell r="D20158" t="str">
            <v>Lincolnshire</v>
          </cell>
          <cell r="E20158" t="str">
            <v>Voluntary Controlled School</v>
          </cell>
          <cell r="F20158" t="str">
            <v>Primary</v>
          </cell>
        </row>
        <row r="20159">
          <cell r="A20159">
            <v>9296041</v>
          </cell>
          <cell r="B20159">
            <v>129707</v>
          </cell>
          <cell r="C20159" t="str">
            <v>Mrs Mountain's School</v>
          </cell>
          <cell r="D20159" t="str">
            <v>Northumberland</v>
          </cell>
          <cell r="E20159" t="str">
            <v>Other Independent School</v>
          </cell>
          <cell r="F20159" t="str">
            <v>Not applicable</v>
          </cell>
        </row>
        <row r="20160">
          <cell r="A20160">
            <v>8843079</v>
          </cell>
          <cell r="B20160">
            <v>116833</v>
          </cell>
          <cell r="C20160" t="str">
            <v>Much Birch CofE Primary School</v>
          </cell>
          <cell r="D20160" t="str">
            <v>Herefordshire</v>
          </cell>
          <cell r="E20160" t="str">
            <v>Voluntary Controlled School</v>
          </cell>
          <cell r="F20160" t="str">
            <v>Primary</v>
          </cell>
        </row>
        <row r="20161">
          <cell r="A20161">
            <v>8843363</v>
          </cell>
          <cell r="B20161">
            <v>116904</v>
          </cell>
          <cell r="C20161" t="str">
            <v>Much Marcle CofE Primary School</v>
          </cell>
          <cell r="D20161" t="str">
            <v>Herefordshire</v>
          </cell>
          <cell r="E20161" t="str">
            <v>Voluntary Aided School</v>
          </cell>
          <cell r="F20161" t="str">
            <v>Primary</v>
          </cell>
        </row>
        <row r="20162">
          <cell r="A20162">
            <v>8932117</v>
          </cell>
          <cell r="B20162">
            <v>123407</v>
          </cell>
          <cell r="C20162" t="str">
            <v>Much Wenlock Primary School</v>
          </cell>
          <cell r="D20162" t="str">
            <v>Shropshire</v>
          </cell>
          <cell r="E20162" t="str">
            <v>Community School</v>
          </cell>
          <cell r="F20162" t="str">
            <v>Primary</v>
          </cell>
        </row>
        <row r="20163">
          <cell r="A20163">
            <v>3413516</v>
          </cell>
          <cell r="B20163">
            <v>104636</v>
          </cell>
          <cell r="C20163" t="str">
            <v>Much Woolton Catholic Primary School</v>
          </cell>
          <cell r="D20163" t="str">
            <v>Liverpool</v>
          </cell>
          <cell r="E20163" t="str">
            <v>Voluntary Aided School</v>
          </cell>
          <cell r="F20163" t="str">
            <v>Primary</v>
          </cell>
        </row>
        <row r="20164">
          <cell r="A20164">
            <v>8352245</v>
          </cell>
          <cell r="B20164">
            <v>113738</v>
          </cell>
          <cell r="C20164" t="str">
            <v>Mudeford Community Infants' School</v>
          </cell>
          <cell r="D20164" t="str">
            <v>Dorset</v>
          </cell>
          <cell r="E20164" t="str">
            <v>Community School</v>
          </cell>
          <cell r="F20164" t="str">
            <v>Primary</v>
          </cell>
        </row>
        <row r="20165">
          <cell r="A20165">
            <v>8352247</v>
          </cell>
          <cell r="B20165">
            <v>113740</v>
          </cell>
          <cell r="C20165" t="str">
            <v>Mudeford Junior School</v>
          </cell>
          <cell r="D20165" t="str">
            <v>Dorset</v>
          </cell>
          <cell r="E20165" t="str">
            <v>Community School</v>
          </cell>
          <cell r="F20165" t="str">
            <v>Primary</v>
          </cell>
        </row>
        <row r="20166">
          <cell r="A20166">
            <v>8303098</v>
          </cell>
          <cell r="B20166">
            <v>112862</v>
          </cell>
          <cell r="C20166" t="str">
            <v>Mugginton CofE Primary School</v>
          </cell>
          <cell r="D20166" t="str">
            <v>Derbyshire</v>
          </cell>
          <cell r="E20166" t="str">
            <v>Voluntary Controlled School</v>
          </cell>
          <cell r="F20166" t="str">
            <v>Primary</v>
          </cell>
        </row>
        <row r="20167">
          <cell r="A20167">
            <v>2056396</v>
          </cell>
          <cell r="B20167">
            <v>131709</v>
          </cell>
          <cell r="C20167" t="str">
            <v>Muhammad School of Islam</v>
          </cell>
          <cell r="D20167" t="str">
            <v>Hammersmith and Fulham</v>
          </cell>
          <cell r="E20167" t="str">
            <v>Other Independent School</v>
          </cell>
          <cell r="F20167" t="str">
            <v>Not applicable</v>
          </cell>
        </row>
        <row r="20168">
          <cell r="A20168">
            <v>9262371</v>
          </cell>
          <cell r="B20168">
            <v>120990</v>
          </cell>
          <cell r="C20168" t="str">
            <v>Mulbarton Community Infant School</v>
          </cell>
          <cell r="D20168" t="str">
            <v>Norfolk</v>
          </cell>
          <cell r="E20168" t="str">
            <v>Community School</v>
          </cell>
          <cell r="F20168" t="str">
            <v>Primary</v>
          </cell>
        </row>
        <row r="20169">
          <cell r="A20169">
            <v>9262372</v>
          </cell>
          <cell r="B20169">
            <v>120991</v>
          </cell>
          <cell r="C20169" t="str">
            <v>Mulbarton Junior School</v>
          </cell>
          <cell r="D20169" t="str">
            <v>Norfolk</v>
          </cell>
          <cell r="E20169" t="str">
            <v>Community School</v>
          </cell>
          <cell r="F20169" t="str">
            <v>Primary</v>
          </cell>
        </row>
        <row r="20170">
          <cell r="A20170">
            <v>2066378</v>
          </cell>
          <cell r="B20170">
            <v>131050</v>
          </cell>
          <cell r="C20170" t="str">
            <v>Mulberry Bush Kindergarten of St Paul's Steiner Programme</v>
          </cell>
          <cell r="D20170" t="str">
            <v>Islington</v>
          </cell>
          <cell r="E20170" t="str">
            <v>Other Independent School</v>
          </cell>
          <cell r="F20170" t="str">
            <v>Not applicable</v>
          </cell>
        </row>
        <row r="20171">
          <cell r="A20171">
            <v>9317005</v>
          </cell>
          <cell r="B20171">
            <v>123330</v>
          </cell>
          <cell r="C20171" t="str">
            <v>Mulberry Bush School</v>
          </cell>
          <cell r="D20171" t="str">
            <v>Oxfordshire</v>
          </cell>
          <cell r="E20171" t="str">
            <v>Non-Maintained Special School</v>
          </cell>
          <cell r="F20171" t="str">
            <v>Special</v>
          </cell>
        </row>
        <row r="20172">
          <cell r="A20172">
            <v>3093001</v>
          </cell>
          <cell r="B20172">
            <v>133707</v>
          </cell>
          <cell r="C20172" t="str">
            <v>Mulberry Primary School</v>
          </cell>
          <cell r="D20172" t="str">
            <v>Haringey</v>
          </cell>
          <cell r="E20172" t="str">
            <v>Community School</v>
          </cell>
          <cell r="F20172" t="str">
            <v>Primary</v>
          </cell>
        </row>
        <row r="20173">
          <cell r="A20173">
            <v>2114242</v>
          </cell>
          <cell r="B20173">
            <v>100968</v>
          </cell>
          <cell r="C20173" t="str">
            <v>Mulberry School for Girls</v>
          </cell>
          <cell r="D20173" t="str">
            <v>Tower Hamlets</v>
          </cell>
          <cell r="E20173" t="str">
            <v>Community School</v>
          </cell>
          <cell r="F20173" t="str">
            <v>Secondary</v>
          </cell>
        </row>
        <row r="20174">
          <cell r="A20174">
            <v>2032894</v>
          </cell>
          <cell r="B20174">
            <v>126584</v>
          </cell>
          <cell r="C20174" t="str">
            <v>Mulgrave Infant and Nursery School</v>
          </cell>
          <cell r="D20174" t="str">
            <v>Greenwich</v>
          </cell>
          <cell r="E20174" t="str">
            <v>Community School</v>
          </cell>
          <cell r="F20174" t="str">
            <v>Primary</v>
          </cell>
        </row>
        <row r="20175">
          <cell r="A20175">
            <v>2032433</v>
          </cell>
          <cell r="B20175">
            <v>126581</v>
          </cell>
          <cell r="C20175" t="str">
            <v>Mulgrave Junior School</v>
          </cell>
          <cell r="D20175" t="str">
            <v>Greenwich</v>
          </cell>
          <cell r="E20175" t="str">
            <v>Community School</v>
          </cell>
          <cell r="F20175" t="str">
            <v>Primary</v>
          </cell>
        </row>
        <row r="20176">
          <cell r="A20176">
            <v>2032916</v>
          </cell>
          <cell r="B20176">
            <v>100163</v>
          </cell>
          <cell r="C20176" t="str">
            <v>Mulgrave Primary School</v>
          </cell>
          <cell r="D20176" t="str">
            <v>Greenwich</v>
          </cell>
          <cell r="E20176" t="str">
            <v>Community School</v>
          </cell>
          <cell r="F20176" t="str">
            <v>Primary</v>
          </cell>
        </row>
        <row r="20177">
          <cell r="A20177">
            <v>9082115</v>
          </cell>
          <cell r="B20177">
            <v>111817</v>
          </cell>
          <cell r="C20177" t="str">
            <v>Mullion Community Primary School</v>
          </cell>
          <cell r="D20177" t="str">
            <v>Cornwall</v>
          </cell>
          <cell r="E20177" t="str">
            <v>Community School</v>
          </cell>
          <cell r="F20177" t="str">
            <v>Primary</v>
          </cell>
        </row>
        <row r="20178">
          <cell r="A20178">
            <v>9084164</v>
          </cell>
          <cell r="B20178">
            <v>112058</v>
          </cell>
          <cell r="C20178" t="str">
            <v>Mullion School</v>
          </cell>
          <cell r="D20178" t="str">
            <v>Cornwall</v>
          </cell>
          <cell r="E20178" t="str">
            <v>Community School</v>
          </cell>
          <cell r="F20178" t="str">
            <v>Secondary</v>
          </cell>
        </row>
        <row r="20179">
          <cell r="A20179">
            <v>9253363</v>
          </cell>
          <cell r="B20179">
            <v>129589</v>
          </cell>
          <cell r="C20179" t="str">
            <v>Mumby CofE Primary School</v>
          </cell>
          <cell r="D20179" t="str">
            <v>Lincolnshire</v>
          </cell>
          <cell r="E20179" t="str">
            <v>Voluntary Aided School</v>
          </cell>
          <cell r="F20179" t="str">
            <v>Primary</v>
          </cell>
        </row>
        <row r="20180">
          <cell r="A20180">
            <v>8564271</v>
          </cell>
          <cell r="B20180">
            <v>120295</v>
          </cell>
          <cell r="C20180" t="str">
            <v>Mundella Community College</v>
          </cell>
          <cell r="D20180" t="str">
            <v>Leicester</v>
          </cell>
          <cell r="E20180" t="str">
            <v>Community School</v>
          </cell>
          <cell r="F20180" t="str">
            <v>Secondary</v>
          </cell>
        </row>
        <row r="20181">
          <cell r="A20181">
            <v>3732092</v>
          </cell>
          <cell r="B20181">
            <v>107006</v>
          </cell>
          <cell r="C20181" t="str">
            <v>Mundella Primary School</v>
          </cell>
          <cell r="D20181" t="str">
            <v>Sheffield</v>
          </cell>
          <cell r="E20181" t="str">
            <v>Community School</v>
          </cell>
          <cell r="F20181" t="str">
            <v>Primary</v>
          </cell>
        </row>
        <row r="20182">
          <cell r="A20182">
            <v>8862296</v>
          </cell>
          <cell r="B20182">
            <v>118384</v>
          </cell>
          <cell r="C20182" t="str">
            <v>Mundella Primary School</v>
          </cell>
          <cell r="D20182" t="str">
            <v>Kent</v>
          </cell>
          <cell r="E20182" t="str">
            <v>Community School</v>
          </cell>
          <cell r="F20182" t="str">
            <v>Primary</v>
          </cell>
        </row>
        <row r="20183">
          <cell r="A20183">
            <v>9262115</v>
          </cell>
          <cell r="B20183">
            <v>120835</v>
          </cell>
          <cell r="C20183" t="str">
            <v>Mundesley First School</v>
          </cell>
          <cell r="D20183" t="str">
            <v>Norfolk</v>
          </cell>
          <cell r="E20183" t="str">
            <v>Community School</v>
          </cell>
          <cell r="F20183" t="str">
            <v>Primary</v>
          </cell>
        </row>
        <row r="20184">
          <cell r="A20184">
            <v>9262383</v>
          </cell>
          <cell r="B20184">
            <v>121000</v>
          </cell>
          <cell r="C20184" t="str">
            <v>Mundesley Junior School</v>
          </cell>
          <cell r="D20184" t="str">
            <v>Norfolk</v>
          </cell>
          <cell r="E20184" t="str">
            <v>Community School</v>
          </cell>
          <cell r="F20184" t="str">
            <v>Primary</v>
          </cell>
        </row>
        <row r="20185">
          <cell r="A20185">
            <v>9263056</v>
          </cell>
          <cell r="B20185">
            <v>121047</v>
          </cell>
          <cell r="C20185" t="str">
            <v>Mundford Church of England Primary School</v>
          </cell>
          <cell r="D20185" t="str">
            <v>Norfolk</v>
          </cell>
          <cell r="E20185" t="str">
            <v>Voluntary Controlled School</v>
          </cell>
          <cell r="F20185" t="str">
            <v>Primary</v>
          </cell>
        </row>
        <row r="20186">
          <cell r="A20186">
            <v>8303050</v>
          </cell>
          <cell r="B20186">
            <v>112829</v>
          </cell>
          <cell r="C20186" t="str">
            <v>Mundy CofE Junior School</v>
          </cell>
          <cell r="D20186" t="str">
            <v>Derbyshire</v>
          </cell>
          <cell r="E20186" t="str">
            <v>Voluntary Controlled School</v>
          </cell>
          <cell r="F20186" t="str">
            <v>Primary</v>
          </cell>
        </row>
        <row r="20187">
          <cell r="A20187">
            <v>2052434</v>
          </cell>
          <cell r="B20187">
            <v>126618</v>
          </cell>
          <cell r="C20187" t="str">
            <v>Munster School</v>
          </cell>
          <cell r="D20187" t="str">
            <v>Hammersmith and Fulham</v>
          </cell>
          <cell r="E20187" t="str">
            <v>Community School</v>
          </cell>
          <cell r="F20187" t="str">
            <v>Primary</v>
          </cell>
        </row>
        <row r="20188">
          <cell r="A20188">
            <v>9387003</v>
          </cell>
          <cell r="B20188">
            <v>126154</v>
          </cell>
          <cell r="C20188" t="str">
            <v>Muntham House School</v>
          </cell>
          <cell r="D20188" t="str">
            <v>West Sussex</v>
          </cell>
          <cell r="E20188" t="str">
            <v>Non-Maintained Special School</v>
          </cell>
          <cell r="F20188" t="str">
            <v>Special</v>
          </cell>
        </row>
        <row r="20189">
          <cell r="A20189">
            <v>6732143</v>
          </cell>
          <cell r="B20189">
            <v>401106</v>
          </cell>
          <cell r="C20189" t="str">
            <v>Murch Junior School</v>
          </cell>
          <cell r="D20189" t="str">
            <v>The Vale of Glamorgan</v>
          </cell>
          <cell r="E20189" t="str">
            <v>Welsh Establishment</v>
          </cell>
          <cell r="F20189" t="str">
            <v>Primary</v>
          </cell>
        </row>
        <row r="20190">
          <cell r="A20190">
            <v>8762381</v>
          </cell>
          <cell r="B20190">
            <v>111174</v>
          </cell>
          <cell r="C20190" t="str">
            <v>Murdishaw West Community Primary School</v>
          </cell>
          <cell r="D20190" t="str">
            <v>Halton</v>
          </cell>
          <cell r="E20190" t="str">
            <v>Community School</v>
          </cell>
          <cell r="F20190" t="str">
            <v>Primary</v>
          </cell>
        </row>
        <row r="20191">
          <cell r="A20191">
            <v>9191014</v>
          </cell>
          <cell r="B20191">
            <v>117074</v>
          </cell>
          <cell r="C20191" t="str">
            <v>Muriel Green Nursery School</v>
          </cell>
          <cell r="D20191" t="str">
            <v>Hertfordshire</v>
          </cell>
          <cell r="E20191" t="str">
            <v>LA Nursery School</v>
          </cell>
          <cell r="F20191" t="str">
            <v>Nursery</v>
          </cell>
        </row>
        <row r="20192">
          <cell r="A20192">
            <v>9191028</v>
          </cell>
          <cell r="B20192">
            <v>133975</v>
          </cell>
          <cell r="C20192" t="str">
            <v>Muriel Green Nursery School</v>
          </cell>
          <cell r="D20192" t="str">
            <v>Hertfordshire</v>
          </cell>
          <cell r="E20192" t="str">
            <v>LA Nursery School</v>
          </cell>
          <cell r="F20192" t="str">
            <v>Nursery</v>
          </cell>
        </row>
        <row r="20193">
          <cell r="A20193">
            <v>8407027</v>
          </cell>
          <cell r="B20193">
            <v>114344</v>
          </cell>
          <cell r="C20193" t="str">
            <v>Murphy Crescent School</v>
          </cell>
          <cell r="D20193" t="str">
            <v>Durham</v>
          </cell>
          <cell r="E20193" t="str">
            <v>Community Special School</v>
          </cell>
          <cell r="F20193" t="str">
            <v>Special</v>
          </cell>
        </row>
        <row r="20194">
          <cell r="A20194">
            <v>8315406</v>
          </cell>
          <cell r="B20194">
            <v>112991</v>
          </cell>
          <cell r="C20194" t="str">
            <v>Murray Park Community School</v>
          </cell>
          <cell r="D20194" t="str">
            <v>Derby</v>
          </cell>
          <cell r="E20194" t="str">
            <v>Foundation School</v>
          </cell>
          <cell r="F20194" t="str">
            <v>Secondary</v>
          </cell>
        </row>
        <row r="20195">
          <cell r="A20195">
            <v>9131003</v>
          </cell>
          <cell r="B20195">
            <v>128812</v>
          </cell>
          <cell r="C20195" t="str">
            <v>Murray Road Nursery School</v>
          </cell>
          <cell r="D20195" t="str">
            <v>Pre LGR (1997) Durham</v>
          </cell>
          <cell r="E20195" t="str">
            <v>LA Nursery School</v>
          </cell>
          <cell r="F20195" t="str">
            <v>Nursery</v>
          </cell>
        </row>
        <row r="20196">
          <cell r="A20196">
            <v>9352161</v>
          </cell>
          <cell r="B20196">
            <v>124649</v>
          </cell>
          <cell r="C20196" t="str">
            <v>Murrayfield Community Primary School</v>
          </cell>
          <cell r="D20196" t="str">
            <v>Suffolk</v>
          </cell>
          <cell r="E20196" t="str">
            <v>Community School</v>
          </cell>
          <cell r="F20196" t="str">
            <v>Primary</v>
          </cell>
        </row>
        <row r="20197">
          <cell r="A20197">
            <v>7052202</v>
          </cell>
          <cell r="B20197">
            <v>132434</v>
          </cell>
          <cell r="C20197" t="str">
            <v>Murray's Road Junior School</v>
          </cell>
          <cell r="D20197" t="str">
            <v>Isle of Man Offshore Establishments</v>
          </cell>
          <cell r="E20197" t="str">
            <v>Offshore Schools</v>
          </cell>
          <cell r="F20197" t="str">
            <v>Not applicable</v>
          </cell>
        </row>
        <row r="20198">
          <cell r="A20198">
            <v>8732080</v>
          </cell>
          <cell r="B20198">
            <v>110642</v>
          </cell>
          <cell r="C20198" t="str">
            <v>Murrow Primary School</v>
          </cell>
          <cell r="D20198" t="str">
            <v>Cambridgeshire</v>
          </cell>
          <cell r="E20198" t="str">
            <v>Community School</v>
          </cell>
          <cell r="F20198" t="str">
            <v>Primary</v>
          </cell>
        </row>
        <row r="20199">
          <cell r="A20199">
            <v>8253068</v>
          </cell>
          <cell r="B20199">
            <v>110444</v>
          </cell>
          <cell r="C20199" t="str">
            <v>Mursley Church of England School</v>
          </cell>
          <cell r="D20199" t="str">
            <v>Buckinghamshire</v>
          </cell>
          <cell r="E20199" t="str">
            <v>Voluntary Controlled School</v>
          </cell>
          <cell r="F20199" t="str">
            <v>Primary</v>
          </cell>
        </row>
        <row r="20200">
          <cell r="A20200">
            <v>8862622</v>
          </cell>
          <cell r="B20200">
            <v>118544</v>
          </cell>
          <cell r="C20200" t="str">
            <v>Murston Infant School</v>
          </cell>
          <cell r="D20200" t="str">
            <v>Kent</v>
          </cell>
          <cell r="E20200" t="str">
            <v>Community School</v>
          </cell>
          <cell r="F20200" t="str">
            <v>Primary</v>
          </cell>
        </row>
        <row r="20201">
          <cell r="A20201">
            <v>8862252</v>
          </cell>
          <cell r="B20201">
            <v>118353</v>
          </cell>
          <cell r="C20201" t="str">
            <v>Murston Junior School</v>
          </cell>
          <cell r="D20201" t="str">
            <v>Kent</v>
          </cell>
          <cell r="E20201" t="str">
            <v>Community School</v>
          </cell>
          <cell r="F20201" t="str">
            <v>Primary</v>
          </cell>
        </row>
        <row r="20202">
          <cell r="A20202">
            <v>8403517</v>
          </cell>
          <cell r="B20202">
            <v>134856</v>
          </cell>
          <cell r="C20202" t="str">
            <v>Murton Community Primary School</v>
          </cell>
          <cell r="D20202" t="str">
            <v>Durham</v>
          </cell>
          <cell r="E20202" t="str">
            <v>Community School</v>
          </cell>
          <cell r="F20202" t="str">
            <v>Primary</v>
          </cell>
        </row>
        <row r="20203">
          <cell r="A20203">
            <v>8402739</v>
          </cell>
          <cell r="B20203">
            <v>114203</v>
          </cell>
          <cell r="C20203" t="str">
            <v>Murton Jubilee Primary School</v>
          </cell>
          <cell r="D20203" t="str">
            <v>Durham</v>
          </cell>
          <cell r="E20203" t="str">
            <v>Community School</v>
          </cell>
          <cell r="F20203" t="str">
            <v>Primary</v>
          </cell>
        </row>
        <row r="20204">
          <cell r="A20204">
            <v>8401039</v>
          </cell>
          <cell r="B20204">
            <v>113990</v>
          </cell>
          <cell r="C20204" t="str">
            <v>Murton Nursery School</v>
          </cell>
          <cell r="D20204" t="str">
            <v>Durham</v>
          </cell>
          <cell r="E20204" t="str">
            <v>LA Nursery School</v>
          </cell>
          <cell r="F20204" t="str">
            <v>Nursery</v>
          </cell>
        </row>
        <row r="20205">
          <cell r="A20205">
            <v>8402738</v>
          </cell>
          <cell r="B20205">
            <v>114202</v>
          </cell>
          <cell r="C20205" t="str">
            <v>Murton Primary School</v>
          </cell>
          <cell r="D20205" t="str">
            <v>Durham</v>
          </cell>
          <cell r="E20205" t="str">
            <v>Community School</v>
          </cell>
          <cell r="F20205" t="str">
            <v>Primary</v>
          </cell>
        </row>
        <row r="20206">
          <cell r="A20206">
            <v>3922006</v>
          </cell>
          <cell r="B20206">
            <v>128150</v>
          </cell>
          <cell r="C20206" t="str">
            <v>Murton Primary School</v>
          </cell>
          <cell r="D20206" t="str">
            <v>North Tyneside</v>
          </cell>
          <cell r="E20206" t="str">
            <v>Community School</v>
          </cell>
          <cell r="F20206" t="str">
            <v>Primary</v>
          </cell>
        </row>
        <row r="20207">
          <cell r="A20207">
            <v>8782053</v>
          </cell>
          <cell r="B20207">
            <v>113102</v>
          </cell>
          <cell r="C20207" t="str">
            <v>Musbury Primary School</v>
          </cell>
          <cell r="D20207" t="str">
            <v>Devon</v>
          </cell>
          <cell r="E20207" t="str">
            <v>Community School</v>
          </cell>
          <cell r="F20207" t="str">
            <v>Primary</v>
          </cell>
        </row>
        <row r="20208">
          <cell r="A20208">
            <v>3192021</v>
          </cell>
          <cell r="B20208">
            <v>102973</v>
          </cell>
          <cell r="C20208" t="str">
            <v>Muschamp Infants' School</v>
          </cell>
          <cell r="D20208" t="str">
            <v>Sutton</v>
          </cell>
          <cell r="E20208" t="str">
            <v>Community School</v>
          </cell>
          <cell r="F20208" t="str">
            <v>Primary</v>
          </cell>
        </row>
        <row r="20209">
          <cell r="A20209">
            <v>3192020</v>
          </cell>
          <cell r="B20209">
            <v>102972</v>
          </cell>
          <cell r="C20209" t="str">
            <v>Muschamp Junior School</v>
          </cell>
          <cell r="D20209" t="str">
            <v>Sutton</v>
          </cell>
          <cell r="E20209" t="str">
            <v>Community School</v>
          </cell>
          <cell r="F20209" t="str">
            <v>Primary</v>
          </cell>
        </row>
        <row r="20210">
          <cell r="A20210">
            <v>3192049</v>
          </cell>
          <cell r="B20210">
            <v>130934</v>
          </cell>
          <cell r="C20210" t="str">
            <v>Muschamp Primary School and Language Opportunity Base</v>
          </cell>
          <cell r="D20210" t="str">
            <v>Sutton</v>
          </cell>
          <cell r="E20210" t="str">
            <v>Community School</v>
          </cell>
          <cell r="F20210" t="str">
            <v>Primary</v>
          </cell>
        </row>
        <row r="20211">
          <cell r="A20211">
            <v>8372269</v>
          </cell>
          <cell r="B20211">
            <v>131548</v>
          </cell>
          <cell r="C20211" t="str">
            <v>Muscliff Primary School</v>
          </cell>
          <cell r="D20211" t="str">
            <v>Bournemouth</v>
          </cell>
          <cell r="E20211" t="str">
            <v>Community School</v>
          </cell>
          <cell r="F20211" t="str">
            <v>Primary</v>
          </cell>
        </row>
        <row r="20212">
          <cell r="A20212">
            <v>3906003</v>
          </cell>
          <cell r="B20212">
            <v>108415</v>
          </cell>
          <cell r="C20212" t="str">
            <v>Musgrave School</v>
          </cell>
          <cell r="D20212" t="str">
            <v>Gateshead</v>
          </cell>
          <cell r="E20212" t="str">
            <v>Other Independent School</v>
          </cell>
          <cell r="F20212" t="str">
            <v>Not applicable</v>
          </cell>
        </row>
        <row r="20213">
          <cell r="A20213">
            <v>9331110</v>
          </cell>
          <cell r="B20213">
            <v>134695</v>
          </cell>
          <cell r="C20213" t="str">
            <v>Musgrove Park Hospital Education</v>
          </cell>
          <cell r="D20213" t="str">
            <v>Somerset</v>
          </cell>
          <cell r="E20213" t="str">
            <v>Pupil Referral Unit</v>
          </cell>
          <cell r="F20213" t="str">
            <v>PRU</v>
          </cell>
        </row>
        <row r="20214">
          <cell r="A20214">
            <v>8912796</v>
          </cell>
          <cell r="B20214">
            <v>122663</v>
          </cell>
          <cell r="C20214" t="str">
            <v>Muskham Primary School</v>
          </cell>
          <cell r="D20214" t="str">
            <v>Nottinghamshire</v>
          </cell>
          <cell r="E20214" t="str">
            <v>Community School</v>
          </cell>
          <cell r="F20214" t="str">
            <v>Primary</v>
          </cell>
        </row>
        <row r="20215">
          <cell r="A20215">
            <v>9193044</v>
          </cell>
          <cell r="B20215">
            <v>117411</v>
          </cell>
          <cell r="C20215" t="str">
            <v>Musley Infant School</v>
          </cell>
          <cell r="D20215" t="str">
            <v>Hertfordshire</v>
          </cell>
          <cell r="E20215" t="str">
            <v>Voluntary Controlled School</v>
          </cell>
          <cell r="F20215" t="str">
            <v>Primary</v>
          </cell>
        </row>
        <row r="20216">
          <cell r="A20216">
            <v>9236084</v>
          </cell>
          <cell r="B20216">
            <v>129510</v>
          </cell>
          <cell r="C20216" t="str">
            <v>Muslim Girls' High School</v>
          </cell>
          <cell r="D20216" t="str">
            <v>Pre LGR (1998) Lancashire</v>
          </cell>
          <cell r="E20216" t="str">
            <v>Other Independent School</v>
          </cell>
          <cell r="F20216" t="str">
            <v>Not applicable</v>
          </cell>
        </row>
        <row r="20217">
          <cell r="A20217">
            <v>9376093</v>
          </cell>
          <cell r="B20217">
            <v>130171</v>
          </cell>
          <cell r="C20217" t="str">
            <v>Muslim Girls' School</v>
          </cell>
          <cell r="D20217" t="str">
            <v>Warwickshire</v>
          </cell>
          <cell r="E20217" t="str">
            <v>Other Independent School</v>
          </cell>
          <cell r="F20217" t="str">
            <v>Not applicable</v>
          </cell>
        </row>
        <row r="20218">
          <cell r="A20218">
            <v>3546005</v>
          </cell>
          <cell r="B20218">
            <v>130284</v>
          </cell>
          <cell r="C20218" t="str">
            <v>Muslim Girls' School Rochdale</v>
          </cell>
          <cell r="D20218" t="str">
            <v>Rochdale</v>
          </cell>
          <cell r="E20218" t="str">
            <v>Other Independent School</v>
          </cell>
          <cell r="F20218" t="str">
            <v>Not applicable</v>
          </cell>
        </row>
        <row r="20219">
          <cell r="A20219">
            <v>2046402</v>
          </cell>
          <cell r="B20219">
            <v>131438</v>
          </cell>
          <cell r="C20219" t="str">
            <v>Mustard School</v>
          </cell>
          <cell r="D20219" t="str">
            <v>Hackney</v>
          </cell>
          <cell r="E20219" t="str">
            <v>Other Independent School</v>
          </cell>
          <cell r="F20219" t="str">
            <v>Not applicable</v>
          </cell>
        </row>
        <row r="20220">
          <cell r="A20220">
            <v>3092061</v>
          </cell>
          <cell r="B20220">
            <v>102123</v>
          </cell>
          <cell r="C20220" t="str">
            <v>Muswell Hill Infant School</v>
          </cell>
          <cell r="D20220" t="str">
            <v>Haringey</v>
          </cell>
          <cell r="E20220" t="str">
            <v>Community School</v>
          </cell>
          <cell r="F20220" t="str">
            <v>Primary</v>
          </cell>
        </row>
        <row r="20221">
          <cell r="A20221">
            <v>3092059</v>
          </cell>
          <cell r="B20221">
            <v>102122</v>
          </cell>
          <cell r="C20221" t="str">
            <v>Muswell Hill Junior School</v>
          </cell>
          <cell r="D20221" t="str">
            <v>Haringey</v>
          </cell>
          <cell r="E20221" t="str">
            <v>Community School</v>
          </cell>
          <cell r="F20221" t="str">
            <v>Primary</v>
          </cell>
        </row>
        <row r="20222">
          <cell r="A20222">
            <v>3092085</v>
          </cell>
          <cell r="B20222">
            <v>131871</v>
          </cell>
          <cell r="C20222" t="str">
            <v>Muswell Hill Primary School</v>
          </cell>
          <cell r="D20222" t="str">
            <v>Haringey</v>
          </cell>
          <cell r="E20222" t="str">
            <v>Community School</v>
          </cell>
          <cell r="F20222" t="str">
            <v>Primary</v>
          </cell>
        </row>
        <row r="20223">
          <cell r="A20223">
            <v>8942195</v>
          </cell>
          <cell r="B20223">
            <v>123453</v>
          </cell>
          <cell r="C20223" t="str">
            <v>Muxton Primary School</v>
          </cell>
          <cell r="D20223" t="str">
            <v>Telford and Wrekin</v>
          </cell>
          <cell r="E20223" t="str">
            <v>Community School</v>
          </cell>
          <cell r="F20223" t="str">
            <v>Primary</v>
          </cell>
        </row>
        <row r="20224">
          <cell r="A20224">
            <v>9386276</v>
          </cell>
          <cell r="B20224">
            <v>135782</v>
          </cell>
          <cell r="C20224" t="str">
            <v>My Choice School - Kingfisher View</v>
          </cell>
          <cell r="D20224" t="str">
            <v>West Sussex</v>
          </cell>
          <cell r="E20224" t="str">
            <v>Other Independent Special School</v>
          </cell>
          <cell r="F20224" t="str">
            <v>Not applicable</v>
          </cell>
        </row>
        <row r="20225">
          <cell r="A20225">
            <v>9386278</v>
          </cell>
          <cell r="B20225">
            <v>136045</v>
          </cell>
          <cell r="C20225" t="str">
            <v>My Choice School - Maple House</v>
          </cell>
          <cell r="D20225" t="str">
            <v>West Sussex</v>
          </cell>
          <cell r="E20225" t="str">
            <v>Other Independent Special School</v>
          </cell>
          <cell r="F20225" t="str">
            <v>Not applicable</v>
          </cell>
        </row>
        <row r="20226">
          <cell r="A20226">
            <v>8456057</v>
          </cell>
          <cell r="B20226">
            <v>135766</v>
          </cell>
          <cell r="C20226" t="str">
            <v>My Choice School - Oak House</v>
          </cell>
          <cell r="D20226" t="str">
            <v>East Sussex</v>
          </cell>
          <cell r="E20226" t="str">
            <v>Other Independent Special School</v>
          </cell>
          <cell r="F20226" t="str">
            <v>Not applicable</v>
          </cell>
        </row>
        <row r="20227">
          <cell r="A20227">
            <v>9386271</v>
          </cell>
          <cell r="B20227">
            <v>135112</v>
          </cell>
          <cell r="C20227" t="str">
            <v>My Choice School-Kestral House</v>
          </cell>
          <cell r="D20227" t="str">
            <v>West Sussex</v>
          </cell>
          <cell r="E20227" t="str">
            <v>Other Independent Special School</v>
          </cell>
          <cell r="F20227" t="str">
            <v>Not applicable</v>
          </cell>
        </row>
        <row r="20228">
          <cell r="A20228">
            <v>9386272</v>
          </cell>
          <cell r="B20228">
            <v>135111</v>
          </cell>
          <cell r="C20228" t="str">
            <v>My Choice School-Ocean Pearl</v>
          </cell>
          <cell r="D20228" t="str">
            <v>West Sussex</v>
          </cell>
          <cell r="E20228" t="str">
            <v>Other Independent Special School</v>
          </cell>
          <cell r="F20228" t="str">
            <v>Not applicable</v>
          </cell>
        </row>
        <row r="20229">
          <cell r="A20229">
            <v>9386273</v>
          </cell>
          <cell r="B20229">
            <v>135110</v>
          </cell>
          <cell r="C20229" t="str">
            <v>My Choice School-Shopham Bridge Farmhouse</v>
          </cell>
          <cell r="D20229" t="str">
            <v>West Sussex</v>
          </cell>
          <cell r="E20229" t="str">
            <v>Other Independent Special School</v>
          </cell>
          <cell r="F20229" t="str">
            <v>Not applicable</v>
          </cell>
        </row>
        <row r="20230">
          <cell r="A20230">
            <v>2092869</v>
          </cell>
          <cell r="B20230">
            <v>100713</v>
          </cell>
          <cell r="C20230" t="str">
            <v>Myatt Garden Primary School</v>
          </cell>
          <cell r="D20230" t="str">
            <v>Lewisham</v>
          </cell>
          <cell r="E20230" t="str">
            <v>Community School</v>
          </cell>
          <cell r="F20230" t="str">
            <v>Primary</v>
          </cell>
        </row>
        <row r="20231">
          <cell r="A20231">
            <v>8933079</v>
          </cell>
          <cell r="B20231">
            <v>123487</v>
          </cell>
          <cell r="C20231" t="str">
            <v>Myddle CofE Primary School</v>
          </cell>
          <cell r="D20231" t="str">
            <v>Shropshire</v>
          </cell>
          <cell r="E20231" t="str">
            <v>Voluntary Controlled School</v>
          </cell>
          <cell r="F20231" t="str">
            <v>Primary</v>
          </cell>
        </row>
        <row r="20232">
          <cell r="A20232">
            <v>9253075</v>
          </cell>
          <cell r="B20232">
            <v>129580</v>
          </cell>
          <cell r="C20232" t="str">
            <v>Myers CofE Primary School</v>
          </cell>
          <cell r="D20232" t="str">
            <v>Lincolnshire</v>
          </cell>
          <cell r="E20232" t="str">
            <v>Voluntary Controlled School</v>
          </cell>
          <cell r="F20232" t="str">
            <v>Primary</v>
          </cell>
        </row>
        <row r="20233">
          <cell r="A20233">
            <v>3734236</v>
          </cell>
          <cell r="B20233">
            <v>107132</v>
          </cell>
          <cell r="C20233" t="str">
            <v>Myers Grove School</v>
          </cell>
          <cell r="D20233" t="str">
            <v>Sheffield</v>
          </cell>
          <cell r="E20233" t="str">
            <v>Community School</v>
          </cell>
          <cell r="F20233" t="str">
            <v>Secondary</v>
          </cell>
        </row>
        <row r="20234">
          <cell r="A20234">
            <v>8888300</v>
          </cell>
          <cell r="B20234">
            <v>130743</v>
          </cell>
          <cell r="C20234" t="str">
            <v>Myerscough College</v>
          </cell>
          <cell r="D20234" t="str">
            <v>Lancashire</v>
          </cell>
          <cell r="E20234" t="str">
            <v>Further Education</v>
          </cell>
          <cell r="F20234" t="str">
            <v>16 Plus</v>
          </cell>
        </row>
        <row r="20235">
          <cell r="A20235">
            <v>8812007</v>
          </cell>
          <cell r="B20235">
            <v>114708</v>
          </cell>
          <cell r="C20235" t="str">
            <v>Myland Community Primary School</v>
          </cell>
          <cell r="D20235" t="str">
            <v>Essex</v>
          </cell>
          <cell r="E20235" t="str">
            <v>Community School</v>
          </cell>
          <cell r="F20235" t="str">
            <v>Primary</v>
          </cell>
        </row>
        <row r="20236">
          <cell r="A20236">
            <v>3736017</v>
          </cell>
          <cell r="B20236">
            <v>107165</v>
          </cell>
          <cell r="C20236" t="str">
            <v>Mylnhurst Catholic Prep School &amp; Nursery</v>
          </cell>
          <cell r="D20236" t="str">
            <v>Sheffield</v>
          </cell>
          <cell r="E20236" t="str">
            <v>Other Independent School</v>
          </cell>
          <cell r="F20236" t="str">
            <v>Not applicable</v>
          </cell>
        </row>
        <row r="20237">
          <cell r="A20237">
            <v>9082116</v>
          </cell>
          <cell r="B20237">
            <v>111818</v>
          </cell>
          <cell r="C20237" t="str">
            <v>Mylor Community Primary School</v>
          </cell>
          <cell r="D20237" t="str">
            <v>Cornwall</v>
          </cell>
          <cell r="E20237" t="str">
            <v>Community School</v>
          </cell>
          <cell r="F20237" t="str">
            <v>Primary</v>
          </cell>
        </row>
        <row r="20238">
          <cell r="A20238">
            <v>6712166</v>
          </cell>
          <cell r="B20238">
            <v>400989</v>
          </cell>
          <cell r="C20238" t="str">
            <v>Mynachlog Nedd Junior School</v>
          </cell>
          <cell r="D20238" t="str">
            <v>Neath Port Talbot</v>
          </cell>
          <cell r="E20238" t="str">
            <v>Welsh Establishment</v>
          </cell>
          <cell r="F20238" t="str">
            <v>Primary</v>
          </cell>
        </row>
        <row r="20239">
          <cell r="A20239">
            <v>6722166</v>
          </cell>
          <cell r="B20239">
            <v>401042</v>
          </cell>
          <cell r="C20239" t="str">
            <v>Mynydd Cynffig Infants</v>
          </cell>
          <cell r="D20239" t="str">
            <v>Bridgend</v>
          </cell>
          <cell r="E20239" t="str">
            <v>Welsh Establishment</v>
          </cell>
          <cell r="F20239" t="str">
            <v>Primary</v>
          </cell>
        </row>
        <row r="20240">
          <cell r="A20240">
            <v>6722162</v>
          </cell>
          <cell r="B20240">
            <v>401041</v>
          </cell>
          <cell r="C20240" t="str">
            <v>Mynydd Cynffig Junior</v>
          </cell>
          <cell r="D20240" t="str">
            <v>Bridgend</v>
          </cell>
          <cell r="E20240" t="str">
            <v>Welsh Establishment</v>
          </cell>
          <cell r="F20240" t="str">
            <v>Primary</v>
          </cell>
        </row>
        <row r="20241">
          <cell r="A20241">
            <v>6642031</v>
          </cell>
          <cell r="B20241">
            <v>400332</v>
          </cell>
          <cell r="C20241" t="str">
            <v>Mynydd Isa Junior School</v>
          </cell>
          <cell r="D20241" t="str">
            <v>Flintshire</v>
          </cell>
          <cell r="E20241" t="str">
            <v>Welsh Establishment</v>
          </cell>
          <cell r="F20241" t="str">
            <v>Primary</v>
          </cell>
        </row>
        <row r="20242">
          <cell r="A20242">
            <v>6692171</v>
          </cell>
          <cell r="B20242">
            <v>400810</v>
          </cell>
          <cell r="C20242" t="str">
            <v>Myrddin C.P. School</v>
          </cell>
          <cell r="D20242" t="str">
            <v>Carmarthenshire</v>
          </cell>
          <cell r="E20242" t="str">
            <v>Welsh Establishment</v>
          </cell>
          <cell r="F20242" t="str">
            <v>Primary</v>
          </cell>
        </row>
        <row r="20243">
          <cell r="A20243">
            <v>8881005</v>
          </cell>
          <cell r="B20243">
            <v>119069</v>
          </cell>
          <cell r="C20243" t="str">
            <v>Myrtle Bank Nursery School</v>
          </cell>
          <cell r="D20243" t="str">
            <v>Lancashire</v>
          </cell>
          <cell r="E20243" t="str">
            <v>LA Nursery School</v>
          </cell>
          <cell r="F20243" t="str">
            <v>Nursery</v>
          </cell>
        </row>
        <row r="20244">
          <cell r="A20244">
            <v>3805206</v>
          </cell>
          <cell r="B20244">
            <v>107437</v>
          </cell>
          <cell r="C20244" t="str">
            <v>Myrtle Park Primary School</v>
          </cell>
          <cell r="D20244" t="str">
            <v>Bradford</v>
          </cell>
          <cell r="E20244" t="str">
            <v>Foundation School</v>
          </cell>
          <cell r="F20244" t="str">
            <v>Primary</v>
          </cell>
        </row>
        <row r="20245">
          <cell r="A20245">
            <v>3734277</v>
          </cell>
          <cell r="B20245">
            <v>107147</v>
          </cell>
          <cell r="C20245" t="str">
            <v>Myrtle Springs School</v>
          </cell>
          <cell r="D20245" t="str">
            <v>Sheffield</v>
          </cell>
          <cell r="E20245" t="str">
            <v>Community School</v>
          </cell>
          <cell r="F20245" t="str">
            <v>Secondary</v>
          </cell>
        </row>
        <row r="20246">
          <cell r="A20246">
            <v>9362376</v>
          </cell>
          <cell r="B20246">
            <v>125035</v>
          </cell>
          <cell r="C20246" t="str">
            <v>Mytchett Primary School</v>
          </cell>
          <cell r="D20246" t="str">
            <v>Surrey</v>
          </cell>
          <cell r="E20246" t="str">
            <v>Community School</v>
          </cell>
          <cell r="F20246" t="str">
            <v>Primary</v>
          </cell>
        </row>
        <row r="20247">
          <cell r="A20247">
            <v>3502066</v>
          </cell>
          <cell r="B20247">
            <v>105190</v>
          </cell>
          <cell r="C20247" t="str">
            <v>Mytham Primary School</v>
          </cell>
          <cell r="D20247" t="str">
            <v>Bolton</v>
          </cell>
          <cell r="E20247" t="str">
            <v>Community School</v>
          </cell>
          <cell r="F20247" t="str">
            <v>Primary</v>
          </cell>
        </row>
        <row r="20248">
          <cell r="A20248">
            <v>8082003</v>
          </cell>
          <cell r="B20248">
            <v>132808</v>
          </cell>
          <cell r="C20248" t="str">
            <v>Myton Park Primary School</v>
          </cell>
          <cell r="D20248" t="str">
            <v>Stockton-on-Tees</v>
          </cell>
          <cell r="E20248" t="str">
            <v>Community School</v>
          </cell>
          <cell r="F20248" t="str">
            <v>Primary</v>
          </cell>
        </row>
        <row r="20249">
          <cell r="A20249">
            <v>9375403</v>
          </cell>
          <cell r="B20249">
            <v>125767</v>
          </cell>
          <cell r="C20249" t="str">
            <v>Myton School</v>
          </cell>
          <cell r="D20249" t="str">
            <v>Warwickshire</v>
          </cell>
          <cell r="E20249" t="str">
            <v>Foundation School</v>
          </cell>
          <cell r="F20249" t="str">
            <v>Secondary</v>
          </cell>
        </row>
        <row r="20250">
          <cell r="A20250">
            <v>9375403</v>
          </cell>
          <cell r="B20250">
            <v>136907</v>
          </cell>
          <cell r="C20250" t="str">
            <v>Myton School</v>
          </cell>
          <cell r="D20250" t="str">
            <v>Warwickshire</v>
          </cell>
          <cell r="E20250" t="str">
            <v>Academy Converters</v>
          </cell>
          <cell r="F20250" t="str">
            <v>Secondary</v>
          </cell>
        </row>
        <row r="20251">
          <cell r="A20251">
            <v>3804083</v>
          </cell>
          <cell r="B20251">
            <v>107402</v>
          </cell>
          <cell r="C20251" t="str">
            <v>Nab Wood Middle School</v>
          </cell>
          <cell r="D20251" t="str">
            <v>Bradford</v>
          </cell>
          <cell r="E20251" t="str">
            <v>Community School</v>
          </cell>
          <cell r="F20251" t="str">
            <v>Middle Deemed Secondary</v>
          </cell>
        </row>
        <row r="20252">
          <cell r="A20252">
            <v>8812809</v>
          </cell>
          <cell r="B20252">
            <v>115006</v>
          </cell>
          <cell r="C20252" t="str">
            <v>Nabbotts Junior School</v>
          </cell>
          <cell r="D20252" t="str">
            <v>Essex</v>
          </cell>
          <cell r="E20252" t="str">
            <v>Community School</v>
          </cell>
          <cell r="F20252" t="str">
            <v>Primary</v>
          </cell>
        </row>
        <row r="20253">
          <cell r="A20253">
            <v>8163159</v>
          </cell>
          <cell r="B20253">
            <v>121537</v>
          </cell>
          <cell r="C20253" t="str">
            <v>Naburn Church of England Primary School</v>
          </cell>
          <cell r="D20253" t="str">
            <v>York</v>
          </cell>
          <cell r="E20253" t="str">
            <v>Voluntary Controlled School</v>
          </cell>
          <cell r="F20253" t="str">
            <v>Primary</v>
          </cell>
        </row>
        <row r="20254">
          <cell r="A20254">
            <v>9353097</v>
          </cell>
          <cell r="B20254">
            <v>124738</v>
          </cell>
          <cell r="C20254" t="str">
            <v>Nacton Church of England Voluntary Controlled Primary School</v>
          </cell>
          <cell r="D20254" t="str">
            <v>Suffolk</v>
          </cell>
          <cell r="E20254" t="str">
            <v>Voluntary Controlled School</v>
          </cell>
          <cell r="F20254" t="str">
            <v>Primary</v>
          </cell>
        </row>
        <row r="20255">
          <cell r="A20255">
            <v>8654536</v>
          </cell>
          <cell r="B20255">
            <v>126471</v>
          </cell>
          <cell r="C20255" t="str">
            <v>Nadder CofE Middle School</v>
          </cell>
          <cell r="D20255" t="str">
            <v>Wiltshire</v>
          </cell>
          <cell r="E20255" t="str">
            <v>Voluntary Controlled School</v>
          </cell>
          <cell r="F20255" t="str">
            <v>Middle Deemed Secondary</v>
          </cell>
        </row>
        <row r="20256">
          <cell r="A20256">
            <v>8112738</v>
          </cell>
          <cell r="B20256">
            <v>117858</v>
          </cell>
          <cell r="C20256" t="str">
            <v>Nafferton Primary School</v>
          </cell>
          <cell r="D20256" t="str">
            <v>East Riding of Yorkshire</v>
          </cell>
          <cell r="E20256" t="str">
            <v>Community School</v>
          </cell>
          <cell r="F20256" t="str">
            <v>Primary</v>
          </cell>
        </row>
        <row r="20257">
          <cell r="A20257">
            <v>8023097</v>
          </cell>
          <cell r="B20257">
            <v>109200</v>
          </cell>
          <cell r="C20257" t="str">
            <v>Nailsea Christ Church CofE Junior School</v>
          </cell>
          <cell r="D20257" t="str">
            <v>North Somerset</v>
          </cell>
          <cell r="E20257" t="str">
            <v>Voluntary Controlled School</v>
          </cell>
          <cell r="F20257" t="str">
            <v>Primary</v>
          </cell>
        </row>
        <row r="20258">
          <cell r="A20258">
            <v>8024137</v>
          </cell>
          <cell r="B20258">
            <v>109310</v>
          </cell>
          <cell r="C20258" t="str">
            <v>Nailsea School</v>
          </cell>
          <cell r="D20258" t="str">
            <v>North Somerset</v>
          </cell>
          <cell r="E20258" t="str">
            <v>Community School</v>
          </cell>
          <cell r="F20258" t="str">
            <v>Secondary</v>
          </cell>
        </row>
        <row r="20259">
          <cell r="A20259">
            <v>9163052</v>
          </cell>
          <cell r="B20259">
            <v>115637</v>
          </cell>
          <cell r="C20259" t="str">
            <v>Nailsworth Church of England Primary School</v>
          </cell>
          <cell r="D20259" t="str">
            <v>Gloucestershire</v>
          </cell>
          <cell r="E20259" t="str">
            <v>Voluntary Controlled School</v>
          </cell>
          <cell r="F20259" t="str">
            <v>Primary</v>
          </cell>
        </row>
        <row r="20260">
          <cell r="A20260">
            <v>2136342</v>
          </cell>
          <cell r="B20260">
            <v>101176</v>
          </cell>
          <cell r="C20260" t="str">
            <v>Naima Jewish Preparatory School</v>
          </cell>
          <cell r="D20260" t="str">
            <v>Westminster</v>
          </cell>
          <cell r="E20260" t="str">
            <v>Other Independent School</v>
          </cell>
          <cell r="F20260" t="str">
            <v>Not applicable</v>
          </cell>
        </row>
        <row r="20261">
          <cell r="A20261">
            <v>9087005</v>
          </cell>
          <cell r="B20261">
            <v>112087</v>
          </cell>
          <cell r="C20261" t="str">
            <v>Nancealverne School</v>
          </cell>
          <cell r="D20261" t="str">
            <v>Cornwall</v>
          </cell>
          <cell r="E20261" t="str">
            <v>Community Special School</v>
          </cell>
          <cell r="F20261" t="str">
            <v>Special</v>
          </cell>
        </row>
        <row r="20262">
          <cell r="A20262">
            <v>9082028</v>
          </cell>
          <cell r="B20262">
            <v>111805</v>
          </cell>
          <cell r="C20262" t="str">
            <v>Nancledra School</v>
          </cell>
          <cell r="D20262" t="str">
            <v>Cornwall</v>
          </cell>
          <cell r="E20262" t="str">
            <v>Community School</v>
          </cell>
          <cell r="F20262" t="str">
            <v>Primary</v>
          </cell>
        </row>
        <row r="20263">
          <cell r="A20263">
            <v>3026114</v>
          </cell>
          <cell r="B20263">
            <v>133533</v>
          </cell>
          <cell r="C20263" t="str">
            <v>Nancy Reuben Primary School</v>
          </cell>
          <cell r="D20263" t="str">
            <v>Barnet</v>
          </cell>
          <cell r="E20263" t="str">
            <v>Other Independent School</v>
          </cell>
          <cell r="F20263" t="str">
            <v>Not applicable</v>
          </cell>
        </row>
        <row r="20264">
          <cell r="A20264">
            <v>9366547</v>
          </cell>
          <cell r="B20264">
            <v>125431</v>
          </cell>
          <cell r="C20264" t="str">
            <v>Nanhurst School</v>
          </cell>
          <cell r="D20264" t="str">
            <v>Surrey</v>
          </cell>
          <cell r="E20264" t="str">
            <v>Other Independent School</v>
          </cell>
          <cell r="F20264" t="str">
            <v>Not applicable</v>
          </cell>
        </row>
        <row r="20265">
          <cell r="A20265">
            <v>6643002</v>
          </cell>
          <cell r="B20265">
            <v>400375</v>
          </cell>
          <cell r="C20265" t="str">
            <v>Nannerch Primary School</v>
          </cell>
          <cell r="D20265" t="str">
            <v>Flintshire</v>
          </cell>
          <cell r="E20265" t="str">
            <v>Welsh Establishment</v>
          </cell>
          <cell r="F20265" t="str">
            <v>Primary</v>
          </cell>
        </row>
        <row r="20266">
          <cell r="A20266">
            <v>9082441</v>
          </cell>
          <cell r="B20266">
            <v>111899</v>
          </cell>
          <cell r="C20266" t="str">
            <v>Nanpean Community Primary School</v>
          </cell>
          <cell r="D20266" t="str">
            <v>Cornwall</v>
          </cell>
          <cell r="E20266" t="str">
            <v>Community School</v>
          </cell>
          <cell r="F20266" t="str">
            <v>Primary</v>
          </cell>
        </row>
        <row r="20267">
          <cell r="A20267">
            <v>3302139</v>
          </cell>
          <cell r="B20267">
            <v>103236</v>
          </cell>
          <cell r="C20267" t="str">
            <v>Nansen Primary School</v>
          </cell>
          <cell r="D20267" t="str">
            <v>Birmingham</v>
          </cell>
          <cell r="E20267" t="str">
            <v>Community School</v>
          </cell>
          <cell r="F20267" t="str">
            <v>Primary</v>
          </cell>
        </row>
        <row r="20268">
          <cell r="A20268">
            <v>9082134</v>
          </cell>
          <cell r="B20268">
            <v>111832</v>
          </cell>
          <cell r="C20268" t="str">
            <v>Nansloe Community Primary School</v>
          </cell>
          <cell r="D20268" t="str">
            <v>Cornwall</v>
          </cell>
          <cell r="E20268" t="str">
            <v>Community School</v>
          </cell>
          <cell r="F20268" t="str">
            <v>Primary</v>
          </cell>
        </row>
        <row r="20269">
          <cell r="A20269">
            <v>9082134</v>
          </cell>
          <cell r="B20269">
            <v>137616</v>
          </cell>
          <cell r="C20269" t="str">
            <v>Nansloe Community Primary School</v>
          </cell>
          <cell r="D20269" t="str">
            <v>Cornwall</v>
          </cell>
          <cell r="E20269" t="str">
            <v>Academy Converters</v>
          </cell>
          <cell r="F20269" t="str">
            <v>Primary</v>
          </cell>
        </row>
        <row r="20270">
          <cell r="A20270">
            <v>9082507</v>
          </cell>
          <cell r="B20270">
            <v>111914</v>
          </cell>
          <cell r="C20270" t="str">
            <v>Nanstallon Community Primary School</v>
          </cell>
          <cell r="D20270" t="str">
            <v>Cornwall</v>
          </cell>
          <cell r="E20270" t="str">
            <v>Community School</v>
          </cell>
          <cell r="F20270" t="str">
            <v>Primary</v>
          </cell>
        </row>
        <row r="20271">
          <cell r="A20271">
            <v>6782326</v>
          </cell>
          <cell r="B20271">
            <v>402251</v>
          </cell>
          <cell r="C20271" t="str">
            <v>Nant Celyn Primary School</v>
          </cell>
          <cell r="D20271" t="str">
            <v>Torfaen</v>
          </cell>
          <cell r="E20271" t="str">
            <v>Welsh Establishment</v>
          </cell>
          <cell r="F20271" t="str">
            <v>Primary</v>
          </cell>
        </row>
        <row r="20272">
          <cell r="A20272">
            <v>6696008</v>
          </cell>
          <cell r="B20272">
            <v>401994</v>
          </cell>
          <cell r="C20272" t="str">
            <v>Nant Y Cwm School</v>
          </cell>
          <cell r="D20272" t="str">
            <v>Carmarthenshire</v>
          </cell>
          <cell r="E20272" t="str">
            <v>Welsh Establishment</v>
          </cell>
          <cell r="F20272" t="str">
            <v>Not applicable</v>
          </cell>
        </row>
        <row r="20273">
          <cell r="A20273">
            <v>6762197</v>
          </cell>
          <cell r="B20273">
            <v>401327</v>
          </cell>
          <cell r="C20273" t="str">
            <v>Nant Y Parc Primary School</v>
          </cell>
          <cell r="D20273" t="str">
            <v>Caerphilly</v>
          </cell>
          <cell r="E20273" t="str">
            <v>Welsh Establishment</v>
          </cell>
          <cell r="F20273" t="str">
            <v>Primary</v>
          </cell>
        </row>
        <row r="20274">
          <cell r="A20274">
            <v>6742174</v>
          </cell>
          <cell r="B20274">
            <v>401197</v>
          </cell>
          <cell r="C20274" t="str">
            <v>Nantgarw Infants School</v>
          </cell>
          <cell r="D20274" t="str">
            <v>Rhondda, Cynon, Taff</v>
          </cell>
          <cell r="E20274" t="str">
            <v>Welsh Establishment</v>
          </cell>
          <cell r="F20274" t="str">
            <v>Primary</v>
          </cell>
        </row>
        <row r="20275">
          <cell r="A20275">
            <v>6663032</v>
          </cell>
          <cell r="B20275">
            <v>400550</v>
          </cell>
          <cell r="C20275" t="str">
            <v>Nantmel C.I.W. School</v>
          </cell>
          <cell r="D20275" t="str">
            <v>Powys</v>
          </cell>
          <cell r="E20275" t="str">
            <v>Welsh Establishment</v>
          </cell>
          <cell r="F20275" t="str">
            <v>Primary</v>
          </cell>
        </row>
        <row r="20276">
          <cell r="A20276">
            <v>6722172</v>
          </cell>
          <cell r="B20276">
            <v>401043</v>
          </cell>
          <cell r="C20276" t="str">
            <v>Nantyffyllon Primary School</v>
          </cell>
          <cell r="D20276" t="str">
            <v>Bridgend</v>
          </cell>
          <cell r="E20276" t="str">
            <v>Welsh Establishment</v>
          </cell>
          <cell r="F20276" t="str">
            <v>Primary</v>
          </cell>
        </row>
        <row r="20277">
          <cell r="A20277">
            <v>6774073</v>
          </cell>
          <cell r="B20277">
            <v>401849</v>
          </cell>
          <cell r="C20277" t="str">
            <v>Nantyglo Comprehensive School</v>
          </cell>
          <cell r="D20277" t="str">
            <v>Blaenau Gwent</v>
          </cell>
          <cell r="E20277" t="str">
            <v>Welsh Establishment</v>
          </cell>
          <cell r="F20277" t="str">
            <v>Secondary</v>
          </cell>
        </row>
        <row r="20278">
          <cell r="A20278">
            <v>6692056</v>
          </cell>
          <cell r="B20278">
            <v>400758</v>
          </cell>
          <cell r="C20278" t="str">
            <v>Nantygroes C.P. School</v>
          </cell>
          <cell r="D20278" t="str">
            <v>Carmarthenshire</v>
          </cell>
          <cell r="E20278" t="str">
            <v>Welsh Establishment</v>
          </cell>
          <cell r="F20278" t="str">
            <v>Primary</v>
          </cell>
        </row>
        <row r="20279">
          <cell r="A20279">
            <v>6722178</v>
          </cell>
          <cell r="B20279">
            <v>401044</v>
          </cell>
          <cell r="C20279" t="str">
            <v>Nantymoel Primary School</v>
          </cell>
          <cell r="D20279" t="str">
            <v>Bridgend</v>
          </cell>
          <cell r="E20279" t="str">
            <v>Welsh Establishment</v>
          </cell>
          <cell r="F20279" t="str">
            <v>Primary</v>
          </cell>
        </row>
        <row r="20280">
          <cell r="A20280">
            <v>8252335</v>
          </cell>
          <cell r="B20280">
            <v>110393</v>
          </cell>
          <cell r="C20280" t="str">
            <v>Naphill and Walters Ash School</v>
          </cell>
          <cell r="D20280" t="str">
            <v>Buckinghamshire</v>
          </cell>
          <cell r="E20280" t="str">
            <v>Community School</v>
          </cell>
          <cell r="F20280" t="str">
            <v>Primary</v>
          </cell>
        </row>
        <row r="20281">
          <cell r="A20281">
            <v>9042166</v>
          </cell>
          <cell r="B20281">
            <v>128324</v>
          </cell>
          <cell r="C20281" t="str">
            <v>Naphill County First School</v>
          </cell>
          <cell r="D20281" t="str">
            <v>Pre LGR (1997) Buckinghamshire</v>
          </cell>
          <cell r="E20281" t="str">
            <v>Community School</v>
          </cell>
          <cell r="F20281" t="str">
            <v>Primary</v>
          </cell>
        </row>
        <row r="20282">
          <cell r="A20282">
            <v>8872406</v>
          </cell>
          <cell r="B20282">
            <v>118425</v>
          </cell>
          <cell r="C20282" t="str">
            <v>Napier Community Primary and Nursery School</v>
          </cell>
          <cell r="D20282" t="str">
            <v>Medway</v>
          </cell>
          <cell r="E20282" t="str">
            <v>Community School</v>
          </cell>
          <cell r="F20282" t="str">
            <v>Primary</v>
          </cell>
        </row>
        <row r="20283">
          <cell r="A20283">
            <v>9373044</v>
          </cell>
          <cell r="B20283">
            <v>125641</v>
          </cell>
          <cell r="C20283" t="str">
            <v>Napton-On-the-Hill CofE First School</v>
          </cell>
          <cell r="D20283" t="str">
            <v>Warwickshire</v>
          </cell>
          <cell r="E20283" t="str">
            <v>Voluntary Controlled School</v>
          </cell>
          <cell r="F20283" t="str">
            <v>Primary</v>
          </cell>
        </row>
        <row r="20284">
          <cell r="A20284">
            <v>6682242</v>
          </cell>
          <cell r="B20284">
            <v>400672</v>
          </cell>
          <cell r="C20284" t="str">
            <v>Narberth CP School</v>
          </cell>
          <cell r="D20284" t="str">
            <v>Pembrokeshire</v>
          </cell>
          <cell r="E20284" t="str">
            <v>Welsh Establishment</v>
          </cell>
          <cell r="F20284" t="str">
            <v>Primary</v>
          </cell>
        </row>
        <row r="20285">
          <cell r="A20285">
            <v>9263147</v>
          </cell>
          <cell r="B20285">
            <v>121104</v>
          </cell>
          <cell r="C20285" t="str">
            <v>Narborough Church of England Voluntary Controlled Primary School</v>
          </cell>
          <cell r="D20285" t="str">
            <v>Norfolk</v>
          </cell>
          <cell r="E20285" t="str">
            <v>Voluntary Controlled School</v>
          </cell>
          <cell r="F20285" t="str">
            <v>Primary</v>
          </cell>
        </row>
        <row r="20286">
          <cell r="A20286">
            <v>8552380</v>
          </cell>
          <cell r="B20286">
            <v>120102</v>
          </cell>
          <cell r="C20286" t="str">
            <v>Narborough The Pastures Primary School</v>
          </cell>
          <cell r="D20286" t="str">
            <v>Leicestershire</v>
          </cell>
          <cell r="E20286" t="str">
            <v>Community School</v>
          </cell>
          <cell r="F20286" t="str">
            <v>Primary</v>
          </cell>
        </row>
        <row r="20287">
          <cell r="A20287">
            <v>9192991</v>
          </cell>
          <cell r="B20287">
            <v>117374</v>
          </cell>
          <cell r="C20287" t="str">
            <v>Nascot Wood Infant and Nursery School</v>
          </cell>
          <cell r="D20287" t="str">
            <v>Hertfordshire</v>
          </cell>
          <cell r="E20287" t="str">
            <v>Community School</v>
          </cell>
          <cell r="F20287" t="str">
            <v>Primary</v>
          </cell>
        </row>
        <row r="20288">
          <cell r="A20288">
            <v>9192389</v>
          </cell>
          <cell r="B20288">
            <v>117311</v>
          </cell>
          <cell r="C20288" t="str">
            <v>Nascot Wood Junior School</v>
          </cell>
          <cell r="D20288" t="str">
            <v>Hertfordshire</v>
          </cell>
          <cell r="E20288" t="str">
            <v>Community School</v>
          </cell>
          <cell r="F20288" t="str">
            <v>Primary</v>
          </cell>
        </row>
        <row r="20289">
          <cell r="A20289">
            <v>9283046</v>
          </cell>
          <cell r="B20289">
            <v>121983</v>
          </cell>
          <cell r="C20289" t="str">
            <v>Naseby Church of England Primary School</v>
          </cell>
          <cell r="D20289" t="str">
            <v>Northamptonshire</v>
          </cell>
          <cell r="E20289" t="str">
            <v>Voluntary Controlled School</v>
          </cell>
          <cell r="F20289" t="str">
            <v>Primary</v>
          </cell>
        </row>
        <row r="20290">
          <cell r="A20290">
            <v>3057904</v>
          </cell>
          <cell r="B20290">
            <v>131924</v>
          </cell>
          <cell r="C20290" t="str">
            <v>Nash College</v>
          </cell>
          <cell r="D20290" t="str">
            <v>Bromley</v>
          </cell>
          <cell r="E20290" t="str">
            <v>Special College</v>
          </cell>
          <cell r="F20290" t="str">
            <v>16 Plus</v>
          </cell>
        </row>
        <row r="20291">
          <cell r="A20291">
            <v>9326076</v>
          </cell>
          <cell r="B20291">
            <v>129819</v>
          </cell>
          <cell r="C20291" t="str">
            <v>Nash Court School</v>
          </cell>
          <cell r="D20291" t="str">
            <v>Pre LGR (1998) Shropshire</v>
          </cell>
          <cell r="E20291" t="str">
            <v>Other Independent School</v>
          </cell>
          <cell r="F20291" t="str">
            <v>Not applicable</v>
          </cell>
        </row>
        <row r="20292">
          <cell r="A20292">
            <v>9193302</v>
          </cell>
          <cell r="B20292">
            <v>117418</v>
          </cell>
          <cell r="C20292" t="str">
            <v>Nash Mills Church of England Primary School</v>
          </cell>
          <cell r="D20292" t="str">
            <v>Hertfordshire</v>
          </cell>
          <cell r="E20292" t="str">
            <v>Voluntary Aided School</v>
          </cell>
          <cell r="F20292" t="str">
            <v>Primary</v>
          </cell>
        </row>
        <row r="20293">
          <cell r="A20293">
            <v>9282072</v>
          </cell>
          <cell r="B20293">
            <v>121847</v>
          </cell>
          <cell r="C20293" t="str">
            <v>Nassington Primary School</v>
          </cell>
          <cell r="D20293" t="str">
            <v>Northamptonshire</v>
          </cell>
          <cell r="E20293" t="str">
            <v>Community School</v>
          </cell>
          <cell r="F20293" t="str">
            <v>Primary</v>
          </cell>
        </row>
        <row r="20294">
          <cell r="A20294">
            <v>8882030</v>
          </cell>
          <cell r="B20294">
            <v>119140</v>
          </cell>
          <cell r="C20294" t="str">
            <v>Nateby Primary School</v>
          </cell>
          <cell r="D20294" t="str">
            <v>Lancashire</v>
          </cell>
          <cell r="E20294" t="str">
            <v>Community School</v>
          </cell>
          <cell r="F20294" t="str">
            <v>Primary</v>
          </cell>
        </row>
        <row r="20295">
          <cell r="A20295">
            <v>9372029</v>
          </cell>
          <cell r="B20295">
            <v>125513</v>
          </cell>
          <cell r="C20295" t="str">
            <v>Nathaniel Newton Infant School</v>
          </cell>
          <cell r="D20295" t="str">
            <v>Warwickshire</v>
          </cell>
          <cell r="E20295" t="str">
            <v>Community School</v>
          </cell>
          <cell r="F20295" t="str">
            <v>Primary</v>
          </cell>
        </row>
        <row r="20296">
          <cell r="A20296">
            <v>3306080</v>
          </cell>
          <cell r="B20296">
            <v>103588</v>
          </cell>
          <cell r="C20296" t="str">
            <v>National Institute for Conductive Education</v>
          </cell>
          <cell r="D20296" t="str">
            <v>Birmingham</v>
          </cell>
          <cell r="E20296" t="str">
            <v>Other Independent Special School</v>
          </cell>
          <cell r="F20296" t="str">
            <v>Not applicable</v>
          </cell>
        </row>
        <row r="20297">
          <cell r="A20297">
            <v>9167904</v>
          </cell>
          <cell r="B20297">
            <v>131944</v>
          </cell>
          <cell r="C20297" t="str">
            <v>National Star College</v>
          </cell>
          <cell r="D20297" t="str">
            <v>Gloucestershire</v>
          </cell>
          <cell r="E20297" t="str">
            <v>Special College</v>
          </cell>
          <cell r="F20297" t="str">
            <v>16 Plus</v>
          </cell>
        </row>
        <row r="20298">
          <cell r="A20298">
            <v>9162155</v>
          </cell>
          <cell r="B20298">
            <v>115590</v>
          </cell>
          <cell r="C20298" t="str">
            <v>Naunton Park Primary School</v>
          </cell>
          <cell r="D20298" t="str">
            <v>Gloucestershire</v>
          </cell>
          <cell r="E20298" t="str">
            <v>Community School</v>
          </cell>
          <cell r="F20298" t="str">
            <v>Primary</v>
          </cell>
        </row>
        <row r="20299">
          <cell r="A20299">
            <v>9253045</v>
          </cell>
          <cell r="B20299">
            <v>120532</v>
          </cell>
          <cell r="C20299" t="str">
            <v>Navenby Church of England Primary School</v>
          </cell>
          <cell r="D20299" t="str">
            <v>Lincolnshire</v>
          </cell>
          <cell r="E20299" t="str">
            <v>Voluntary Controlled School</v>
          </cell>
          <cell r="F20299" t="str">
            <v>Primary</v>
          </cell>
        </row>
        <row r="20300">
          <cell r="A20300">
            <v>3582000</v>
          </cell>
          <cell r="B20300">
            <v>106283</v>
          </cell>
          <cell r="C20300" t="str">
            <v>Navigation Primary School</v>
          </cell>
          <cell r="D20300" t="str">
            <v>Trafford</v>
          </cell>
          <cell r="E20300" t="str">
            <v>Community School</v>
          </cell>
          <cell r="F20300" t="str">
            <v>Primary</v>
          </cell>
        </row>
        <row r="20301">
          <cell r="A20301">
            <v>8152075</v>
          </cell>
          <cell r="B20301">
            <v>121306</v>
          </cell>
          <cell r="C20301" t="str">
            <v>Nawton Community Primary School</v>
          </cell>
          <cell r="D20301" t="str">
            <v>North Yorkshire</v>
          </cell>
          <cell r="E20301" t="str">
            <v>Community School</v>
          </cell>
          <cell r="F20301" t="str">
            <v>Primary</v>
          </cell>
        </row>
        <row r="20302">
          <cell r="A20302">
            <v>9352020</v>
          </cell>
          <cell r="B20302">
            <v>124543</v>
          </cell>
          <cell r="C20302" t="str">
            <v>Nayland Primary School</v>
          </cell>
          <cell r="D20302" t="str">
            <v>Suffolk</v>
          </cell>
          <cell r="E20302" t="str">
            <v>Community School</v>
          </cell>
          <cell r="F20302" t="str">
            <v>Primary</v>
          </cell>
        </row>
        <row r="20303">
          <cell r="A20303">
            <v>8812733</v>
          </cell>
          <cell r="B20303">
            <v>114972</v>
          </cell>
          <cell r="C20303" t="str">
            <v>Nazeing Primary School</v>
          </cell>
          <cell r="D20303" t="str">
            <v>Essex</v>
          </cell>
          <cell r="E20303" t="str">
            <v>Community School</v>
          </cell>
          <cell r="F20303" t="str">
            <v>Primary</v>
          </cell>
        </row>
        <row r="20304">
          <cell r="A20304">
            <v>8604096</v>
          </cell>
          <cell r="B20304">
            <v>124413</v>
          </cell>
          <cell r="C20304" t="str">
            <v>NCHS The Science College</v>
          </cell>
          <cell r="D20304" t="str">
            <v>Staffordshire</v>
          </cell>
          <cell r="E20304" t="str">
            <v>Community School</v>
          </cell>
          <cell r="F20304" t="str">
            <v>Secondary</v>
          </cell>
        </row>
        <row r="20305">
          <cell r="A20305">
            <v>3362060</v>
          </cell>
          <cell r="B20305">
            <v>127216</v>
          </cell>
          <cell r="C20305" t="str">
            <v>Neachells Infants' School</v>
          </cell>
          <cell r="D20305" t="str">
            <v>Wolverhampton</v>
          </cell>
          <cell r="E20305" t="str">
            <v>Community School</v>
          </cell>
          <cell r="F20305" t="str">
            <v>Primary</v>
          </cell>
        </row>
        <row r="20306">
          <cell r="A20306">
            <v>3044031</v>
          </cell>
          <cell r="B20306">
            <v>126784</v>
          </cell>
          <cell r="C20306" t="str">
            <v>Neasden High School</v>
          </cell>
          <cell r="D20306" t="str">
            <v>Brent</v>
          </cell>
          <cell r="E20306" t="str">
            <v>Community School</v>
          </cell>
          <cell r="F20306" t="str">
            <v>Secondary</v>
          </cell>
        </row>
        <row r="20307">
          <cell r="A20307">
            <v>9204467</v>
          </cell>
          <cell r="B20307">
            <v>129299</v>
          </cell>
          <cell r="C20307" t="str">
            <v>Neasden Junior High School</v>
          </cell>
          <cell r="D20307" t="str">
            <v>Pre LGR (1996) Humberside</v>
          </cell>
          <cell r="E20307" t="str">
            <v>Community School</v>
          </cell>
          <cell r="F20307" t="str">
            <v>Secondary</v>
          </cell>
        </row>
        <row r="20308">
          <cell r="A20308">
            <v>8102289</v>
          </cell>
          <cell r="B20308">
            <v>117799</v>
          </cell>
          <cell r="C20308" t="str">
            <v>Neasden Primary School</v>
          </cell>
          <cell r="D20308" t="str">
            <v>Kingston upon Hull City of</v>
          </cell>
          <cell r="E20308" t="str">
            <v>Community School</v>
          </cell>
          <cell r="F20308" t="str">
            <v>Primary</v>
          </cell>
        </row>
        <row r="20309">
          <cell r="A20309">
            <v>6712170</v>
          </cell>
          <cell r="B20309">
            <v>400991</v>
          </cell>
          <cell r="C20309" t="str">
            <v>Neath Abbey Infants</v>
          </cell>
          <cell r="D20309" t="str">
            <v>Neath Port Talbot</v>
          </cell>
          <cell r="E20309" t="str">
            <v>Welsh Establishment</v>
          </cell>
          <cell r="F20309" t="str">
            <v>Primary</v>
          </cell>
        </row>
        <row r="20310">
          <cell r="A20310">
            <v>9263131</v>
          </cell>
          <cell r="B20310">
            <v>121090</v>
          </cell>
          <cell r="C20310" t="str">
            <v>Neatishead Church of England Primary School</v>
          </cell>
          <cell r="D20310" t="str">
            <v>Norfolk</v>
          </cell>
          <cell r="E20310" t="str">
            <v>Voluntary Controlled School</v>
          </cell>
          <cell r="F20310" t="str">
            <v>Primary</v>
          </cell>
        </row>
        <row r="20311">
          <cell r="A20311">
            <v>3302320</v>
          </cell>
          <cell r="B20311">
            <v>103338</v>
          </cell>
          <cell r="C20311" t="str">
            <v>Nechells Junior and Infant School (NC)</v>
          </cell>
          <cell r="D20311" t="str">
            <v>Birmingham</v>
          </cell>
          <cell r="E20311" t="str">
            <v>Community School</v>
          </cell>
          <cell r="F20311" t="str">
            <v>Primary</v>
          </cell>
        </row>
        <row r="20312">
          <cell r="A20312">
            <v>9263343</v>
          </cell>
          <cell r="B20312">
            <v>121121</v>
          </cell>
          <cell r="C20312" t="str">
            <v>Necton Church of England First School</v>
          </cell>
          <cell r="D20312" t="str">
            <v>Norfolk</v>
          </cell>
          <cell r="E20312" t="str">
            <v>Voluntary Aided School</v>
          </cell>
          <cell r="F20312" t="str">
            <v>Primary</v>
          </cell>
        </row>
        <row r="20313">
          <cell r="A20313">
            <v>9262001</v>
          </cell>
          <cell r="B20313">
            <v>134043</v>
          </cell>
          <cell r="C20313" t="str">
            <v>Necton VA Primary School</v>
          </cell>
          <cell r="D20313" t="str">
            <v>Norfolk</v>
          </cell>
          <cell r="E20313" t="str">
            <v>Voluntary Aided School</v>
          </cell>
          <cell r="F20313" t="str">
            <v>Primary</v>
          </cell>
        </row>
        <row r="20314">
          <cell r="A20314">
            <v>9263143</v>
          </cell>
          <cell r="B20314">
            <v>121100</v>
          </cell>
          <cell r="C20314" t="str">
            <v>Necton Voluntary Controlled Middle School</v>
          </cell>
          <cell r="D20314" t="str">
            <v>Norfolk</v>
          </cell>
          <cell r="E20314" t="str">
            <v>Voluntary Controlled School</v>
          </cell>
          <cell r="F20314" t="str">
            <v>Middle Deemed Primary</v>
          </cell>
        </row>
        <row r="20315">
          <cell r="A20315">
            <v>9354072</v>
          </cell>
          <cell r="B20315">
            <v>124832</v>
          </cell>
          <cell r="C20315" t="str">
            <v>Needham Market Middle School</v>
          </cell>
          <cell r="D20315" t="str">
            <v>Suffolk</v>
          </cell>
          <cell r="E20315" t="str">
            <v>Community School</v>
          </cell>
          <cell r="F20315" t="str">
            <v>Middle Deemed Secondary</v>
          </cell>
        </row>
        <row r="20316">
          <cell r="A20316">
            <v>8603486</v>
          </cell>
          <cell r="B20316">
            <v>124377</v>
          </cell>
          <cell r="C20316" t="str">
            <v>Needwood CofE VA Primary School</v>
          </cell>
          <cell r="D20316" t="str">
            <v>Staffordshire</v>
          </cell>
          <cell r="E20316" t="str">
            <v>Voluntary Aided School</v>
          </cell>
          <cell r="F20316" t="str">
            <v>Primary</v>
          </cell>
        </row>
        <row r="20317">
          <cell r="A20317">
            <v>2034901</v>
          </cell>
          <cell r="B20317">
            <v>132839</v>
          </cell>
          <cell r="C20317" t="str">
            <v>Negus Sixth Form Centre</v>
          </cell>
          <cell r="D20317" t="str">
            <v>Greenwich</v>
          </cell>
          <cell r="E20317" t="str">
            <v>Sixth Form Centres</v>
          </cell>
          <cell r="F20317" t="str">
            <v>16 Plus</v>
          </cell>
        </row>
        <row r="20318">
          <cell r="A20318">
            <v>9312054</v>
          </cell>
          <cell r="B20318">
            <v>122993</v>
          </cell>
          <cell r="C20318" t="str">
            <v>Neithrop County Junior School</v>
          </cell>
          <cell r="D20318" t="str">
            <v>Oxfordshire</v>
          </cell>
          <cell r="E20318" t="str">
            <v>Community School</v>
          </cell>
          <cell r="F20318" t="str">
            <v>Primary</v>
          </cell>
        </row>
        <row r="20319">
          <cell r="A20319">
            <v>2101044</v>
          </cell>
          <cell r="B20319">
            <v>100770</v>
          </cell>
          <cell r="C20319" t="str">
            <v>Nell Gwynn Nursery School</v>
          </cell>
          <cell r="D20319" t="str">
            <v>Southwark</v>
          </cell>
          <cell r="E20319" t="str">
            <v>LA Nursery School</v>
          </cell>
          <cell r="F20319" t="str">
            <v>Nursery</v>
          </cell>
        </row>
        <row r="20320">
          <cell r="A20320">
            <v>3112086</v>
          </cell>
          <cell r="B20320">
            <v>102321</v>
          </cell>
          <cell r="C20320" t="str">
            <v>Nelmes Primary School</v>
          </cell>
          <cell r="D20320" t="str">
            <v>Havering</v>
          </cell>
          <cell r="E20320" t="str">
            <v>Community School</v>
          </cell>
          <cell r="F20320" t="str">
            <v>Primary</v>
          </cell>
        </row>
        <row r="20321">
          <cell r="A20321">
            <v>8888012</v>
          </cell>
          <cell r="B20321">
            <v>130738</v>
          </cell>
          <cell r="C20321" t="str">
            <v>Nelson and Colne College</v>
          </cell>
          <cell r="D20321" t="str">
            <v>Lancashire</v>
          </cell>
          <cell r="E20321" t="str">
            <v>Further Education</v>
          </cell>
          <cell r="F20321" t="str">
            <v>16 Plus</v>
          </cell>
        </row>
        <row r="20322">
          <cell r="A20322">
            <v>8882414</v>
          </cell>
          <cell r="B20322">
            <v>119281</v>
          </cell>
          <cell r="C20322" t="str">
            <v>Nelson Castercliff Community Primary School</v>
          </cell>
          <cell r="D20322" t="str">
            <v>Lancashire</v>
          </cell>
          <cell r="E20322" t="str">
            <v>Community School</v>
          </cell>
          <cell r="F20322" t="str">
            <v>Primary</v>
          </cell>
        </row>
        <row r="20323">
          <cell r="A20323">
            <v>8884400</v>
          </cell>
          <cell r="B20323">
            <v>119766</v>
          </cell>
          <cell r="C20323" t="str">
            <v>Nelson Edge End High School</v>
          </cell>
          <cell r="D20323" t="str">
            <v>Lancashire</v>
          </cell>
          <cell r="E20323" t="str">
            <v>Community School</v>
          </cell>
          <cell r="F20323" t="str">
            <v>Secondary</v>
          </cell>
        </row>
        <row r="20324">
          <cell r="A20324">
            <v>9262309</v>
          </cell>
          <cell r="B20324">
            <v>120946</v>
          </cell>
          <cell r="C20324" t="str">
            <v>Nelson Infant School</v>
          </cell>
          <cell r="D20324" t="str">
            <v>Norfolk</v>
          </cell>
          <cell r="E20324" t="str">
            <v>Community School</v>
          </cell>
          <cell r="F20324" t="str">
            <v>Primary</v>
          </cell>
        </row>
        <row r="20325">
          <cell r="A20325">
            <v>3162046</v>
          </cell>
          <cell r="B20325">
            <v>126984</v>
          </cell>
          <cell r="C20325" t="str">
            <v>Nelson Infant School</v>
          </cell>
          <cell r="D20325" t="str">
            <v>Newham</v>
          </cell>
          <cell r="E20325" t="str">
            <v>Community School</v>
          </cell>
          <cell r="F20325" t="str">
            <v>Primary</v>
          </cell>
        </row>
        <row r="20326">
          <cell r="A20326">
            <v>3302142</v>
          </cell>
          <cell r="B20326">
            <v>103237</v>
          </cell>
          <cell r="C20326" t="str">
            <v>Nelson Junior and Infant School</v>
          </cell>
          <cell r="D20326" t="str">
            <v>Birmingham</v>
          </cell>
          <cell r="E20326" t="str">
            <v>Community School</v>
          </cell>
          <cell r="F20326" t="str">
            <v>Primary</v>
          </cell>
        </row>
        <row r="20327">
          <cell r="A20327">
            <v>3162045</v>
          </cell>
          <cell r="B20327">
            <v>132969</v>
          </cell>
          <cell r="C20327" t="str">
            <v>Nelson Junior School</v>
          </cell>
          <cell r="D20327" t="str">
            <v>Newham</v>
          </cell>
          <cell r="E20327" t="str">
            <v>Community School</v>
          </cell>
          <cell r="F20327" t="str">
            <v>Primary</v>
          </cell>
        </row>
        <row r="20328">
          <cell r="A20328">
            <v>3302457</v>
          </cell>
          <cell r="B20328">
            <v>103384</v>
          </cell>
          <cell r="C20328" t="str">
            <v>Nelson Mandela School</v>
          </cell>
          <cell r="D20328" t="str">
            <v>Birmingham</v>
          </cell>
          <cell r="E20328" t="str">
            <v>Community School</v>
          </cell>
          <cell r="F20328" t="str">
            <v>Primary</v>
          </cell>
        </row>
        <row r="20329">
          <cell r="A20329">
            <v>3162094</v>
          </cell>
          <cell r="B20329">
            <v>102733</v>
          </cell>
          <cell r="C20329" t="str">
            <v>Nelson Primary School</v>
          </cell>
          <cell r="D20329" t="str">
            <v>Newham</v>
          </cell>
          <cell r="E20329" t="str">
            <v>Community School</v>
          </cell>
          <cell r="F20329" t="str">
            <v>Primary</v>
          </cell>
        </row>
        <row r="20330">
          <cell r="A20330">
            <v>3182016</v>
          </cell>
          <cell r="B20330">
            <v>102894</v>
          </cell>
          <cell r="C20330" t="str">
            <v>Nelson Primary School</v>
          </cell>
          <cell r="D20330" t="str">
            <v>Richmond upon Thames</v>
          </cell>
          <cell r="E20330" t="str">
            <v>Community School</v>
          </cell>
          <cell r="F20330" t="str">
            <v>Primary</v>
          </cell>
        </row>
        <row r="20331">
          <cell r="A20331">
            <v>9166030</v>
          </cell>
          <cell r="B20331">
            <v>128966</v>
          </cell>
          <cell r="C20331" t="str">
            <v>Nelson School</v>
          </cell>
          <cell r="D20331" t="str">
            <v>Gloucestershire</v>
          </cell>
          <cell r="E20331" t="str">
            <v>Other Independent School</v>
          </cell>
          <cell r="F20331" t="str">
            <v>Not applicable</v>
          </cell>
        </row>
        <row r="20332">
          <cell r="A20332">
            <v>8883331</v>
          </cell>
          <cell r="B20332">
            <v>119438</v>
          </cell>
          <cell r="C20332" t="str">
            <v>Nelson St Paul's Church of England Primary School</v>
          </cell>
          <cell r="D20332" t="str">
            <v>Lancashire</v>
          </cell>
          <cell r="E20332" t="str">
            <v>Voluntary Aided School</v>
          </cell>
          <cell r="F20332" t="str">
            <v>Primary</v>
          </cell>
        </row>
        <row r="20333">
          <cell r="A20333">
            <v>8883330</v>
          </cell>
          <cell r="B20333">
            <v>119437</v>
          </cell>
          <cell r="C20333" t="str">
            <v>Nelson St Philip's Church of England Primary School</v>
          </cell>
          <cell r="D20333" t="str">
            <v>Lancashire</v>
          </cell>
          <cell r="E20333" t="str">
            <v>Voluntary Aided School</v>
          </cell>
          <cell r="F20333" t="str">
            <v>Primary</v>
          </cell>
        </row>
        <row r="20334">
          <cell r="A20334">
            <v>8887091</v>
          </cell>
          <cell r="B20334">
            <v>119890</v>
          </cell>
          <cell r="C20334" t="str">
            <v>Nelson Townhouse School</v>
          </cell>
          <cell r="D20334" t="str">
            <v>Lancashire</v>
          </cell>
          <cell r="E20334" t="str">
            <v>Community Special School</v>
          </cell>
          <cell r="F20334" t="str">
            <v>Special</v>
          </cell>
        </row>
        <row r="20335">
          <cell r="A20335">
            <v>8884305</v>
          </cell>
          <cell r="B20335">
            <v>119762</v>
          </cell>
          <cell r="C20335" t="str">
            <v>Nelson Walton High School</v>
          </cell>
          <cell r="D20335" t="str">
            <v>Lancashire</v>
          </cell>
          <cell r="E20335" t="str">
            <v>Community School</v>
          </cell>
          <cell r="F20335" t="str">
            <v>Secondary</v>
          </cell>
        </row>
        <row r="20336">
          <cell r="A20336">
            <v>8882093</v>
          </cell>
          <cell r="B20336">
            <v>119179</v>
          </cell>
          <cell r="C20336" t="str">
            <v>Nelson Whitefield Infant School and Nursery Unit</v>
          </cell>
          <cell r="D20336" t="str">
            <v>Lancashire</v>
          </cell>
          <cell r="E20336" t="str">
            <v>Community School</v>
          </cell>
          <cell r="F20336" t="str">
            <v>Primary</v>
          </cell>
        </row>
        <row r="20337">
          <cell r="A20337">
            <v>9288006</v>
          </cell>
          <cell r="B20337">
            <v>133188</v>
          </cell>
          <cell r="C20337" t="str">
            <v>Nene College</v>
          </cell>
          <cell r="D20337" t="str">
            <v>Northamptonshire</v>
          </cell>
          <cell r="E20337" t="str">
            <v>Miscellaneous</v>
          </cell>
          <cell r="F20337" t="str">
            <v>Not applicable</v>
          </cell>
        </row>
        <row r="20338">
          <cell r="A20338">
            <v>8747025</v>
          </cell>
          <cell r="B20338">
            <v>135386</v>
          </cell>
          <cell r="C20338" t="str">
            <v>Nene Gate</v>
          </cell>
          <cell r="D20338" t="str">
            <v>Peterborough</v>
          </cell>
          <cell r="E20338" t="str">
            <v>Community Special School</v>
          </cell>
          <cell r="F20338" t="str">
            <v>Special</v>
          </cell>
        </row>
        <row r="20339">
          <cell r="A20339">
            <v>8744000</v>
          </cell>
          <cell r="B20339">
            <v>137082</v>
          </cell>
          <cell r="C20339" t="str">
            <v>Nene Park Academy</v>
          </cell>
          <cell r="D20339" t="str">
            <v>Peterborough</v>
          </cell>
          <cell r="E20339" t="str">
            <v>Academy Sponsor Led</v>
          </cell>
          <cell r="F20339" t="str">
            <v>Secondary</v>
          </cell>
        </row>
        <row r="20340">
          <cell r="A20340">
            <v>8742457</v>
          </cell>
          <cell r="B20340">
            <v>133537</v>
          </cell>
          <cell r="C20340" t="str">
            <v>Nene Valley Primary School</v>
          </cell>
          <cell r="D20340" t="str">
            <v>Peterborough</v>
          </cell>
          <cell r="E20340" t="str">
            <v>Community School</v>
          </cell>
          <cell r="F20340" t="str">
            <v>Primary</v>
          </cell>
        </row>
        <row r="20341">
          <cell r="A20341">
            <v>9092040</v>
          </cell>
          <cell r="B20341">
            <v>112116</v>
          </cell>
          <cell r="C20341" t="str">
            <v>Nenthead Primary School</v>
          </cell>
          <cell r="D20341" t="str">
            <v>Cumbria</v>
          </cell>
          <cell r="E20341" t="str">
            <v>Community School</v>
          </cell>
          <cell r="F20341" t="str">
            <v>Primary</v>
          </cell>
        </row>
        <row r="20342">
          <cell r="A20342">
            <v>6643021</v>
          </cell>
          <cell r="B20342">
            <v>400377</v>
          </cell>
          <cell r="C20342" t="str">
            <v>Nercwys Primary School</v>
          </cell>
          <cell r="D20342" t="str">
            <v>Flintshire</v>
          </cell>
          <cell r="E20342" t="str">
            <v>Welsh Establishment</v>
          </cell>
          <cell r="F20342" t="str">
            <v>Primary</v>
          </cell>
        </row>
        <row r="20343">
          <cell r="A20343">
            <v>9332110</v>
          </cell>
          <cell r="B20343">
            <v>123673</v>
          </cell>
          <cell r="C20343" t="str">
            <v>Neroche Primary School</v>
          </cell>
          <cell r="D20343" t="str">
            <v>Somerset</v>
          </cell>
          <cell r="E20343" t="str">
            <v>Community School</v>
          </cell>
          <cell r="F20343" t="str">
            <v>Primary</v>
          </cell>
        </row>
        <row r="20344">
          <cell r="A20344">
            <v>3802170</v>
          </cell>
          <cell r="B20344">
            <v>107285</v>
          </cell>
          <cell r="C20344" t="str">
            <v>Nessfield Primary School</v>
          </cell>
          <cell r="D20344" t="str">
            <v>Bradford</v>
          </cell>
          <cell r="E20344" t="str">
            <v>Community School</v>
          </cell>
          <cell r="F20344" t="str">
            <v>Primary</v>
          </cell>
        </row>
        <row r="20345">
          <cell r="A20345">
            <v>9063100</v>
          </cell>
          <cell r="B20345">
            <v>128446</v>
          </cell>
          <cell r="C20345" t="str">
            <v>Neston CofE Infant School</v>
          </cell>
          <cell r="D20345" t="str">
            <v>Pre LGR (1998) Cheshire</v>
          </cell>
          <cell r="E20345" t="str">
            <v>Voluntary Controlled School</v>
          </cell>
          <cell r="F20345" t="str">
            <v>Primary</v>
          </cell>
        </row>
        <row r="20346">
          <cell r="A20346">
            <v>8964100</v>
          </cell>
          <cell r="B20346">
            <v>111398</v>
          </cell>
          <cell r="C20346" t="str">
            <v>Neston High School</v>
          </cell>
          <cell r="D20346" t="str">
            <v>Cheshire West and Chester</v>
          </cell>
          <cell r="E20346" t="str">
            <v>Community School</v>
          </cell>
          <cell r="F20346" t="str">
            <v>Secondary</v>
          </cell>
        </row>
        <row r="20347">
          <cell r="A20347">
            <v>8962100</v>
          </cell>
          <cell r="B20347">
            <v>110987</v>
          </cell>
          <cell r="C20347" t="str">
            <v>Neston Primary School</v>
          </cell>
          <cell r="D20347" t="str">
            <v>Cheshire West and Chester</v>
          </cell>
          <cell r="E20347" t="str">
            <v>Community School</v>
          </cell>
          <cell r="F20347" t="str">
            <v>Primary</v>
          </cell>
        </row>
        <row r="20348">
          <cell r="A20348">
            <v>8652031</v>
          </cell>
          <cell r="B20348">
            <v>126186</v>
          </cell>
          <cell r="C20348" t="str">
            <v>Neston Primary School</v>
          </cell>
          <cell r="D20348" t="str">
            <v>Wiltshire</v>
          </cell>
          <cell r="E20348" t="str">
            <v>Community School</v>
          </cell>
          <cell r="F20348" t="str">
            <v>Primary</v>
          </cell>
        </row>
        <row r="20349">
          <cell r="A20349">
            <v>8753174</v>
          </cell>
          <cell r="B20349">
            <v>111292</v>
          </cell>
          <cell r="C20349" t="str">
            <v>Neston St Mary's CofE Primary School</v>
          </cell>
          <cell r="D20349" t="str">
            <v>Pre LGR (2009) Cheshire</v>
          </cell>
          <cell r="E20349" t="str">
            <v>Voluntary Controlled School</v>
          </cell>
          <cell r="F20349" t="str">
            <v>Primary</v>
          </cell>
        </row>
        <row r="20350">
          <cell r="A20350">
            <v>8952145</v>
          </cell>
          <cell r="B20350">
            <v>111019</v>
          </cell>
          <cell r="C20350" t="str">
            <v>Nether Alderley Primary School</v>
          </cell>
          <cell r="D20350" t="str">
            <v>Cheshire East</v>
          </cell>
          <cell r="E20350" t="str">
            <v>Community School</v>
          </cell>
          <cell r="F20350" t="str">
            <v>Primary</v>
          </cell>
        </row>
        <row r="20351">
          <cell r="A20351">
            <v>3732221</v>
          </cell>
          <cell r="B20351">
            <v>107029</v>
          </cell>
          <cell r="C20351" t="str">
            <v>Nether Green Infant School</v>
          </cell>
          <cell r="D20351" t="str">
            <v>Sheffield</v>
          </cell>
          <cell r="E20351" t="str">
            <v>Community School</v>
          </cell>
          <cell r="F20351" t="str">
            <v>Primary</v>
          </cell>
        </row>
        <row r="20352">
          <cell r="A20352">
            <v>3732087</v>
          </cell>
          <cell r="B20352">
            <v>107004</v>
          </cell>
          <cell r="C20352" t="str">
            <v>Nether Green Junior School</v>
          </cell>
          <cell r="D20352" t="str">
            <v>Sheffield</v>
          </cell>
          <cell r="E20352" t="str">
            <v>Community School</v>
          </cell>
          <cell r="F20352" t="str">
            <v>Primary</v>
          </cell>
        </row>
        <row r="20353">
          <cell r="A20353">
            <v>3824009</v>
          </cell>
          <cell r="B20353">
            <v>107756</v>
          </cell>
          <cell r="C20353" t="str">
            <v>Nether Hall Learning Campus High School</v>
          </cell>
          <cell r="D20353" t="str">
            <v>Kirklees</v>
          </cell>
          <cell r="E20353" t="str">
            <v>Community School</v>
          </cell>
          <cell r="F20353" t="str">
            <v>Secondary</v>
          </cell>
        </row>
        <row r="20354">
          <cell r="A20354">
            <v>8567213</v>
          </cell>
          <cell r="B20354">
            <v>120361</v>
          </cell>
          <cell r="C20354" t="str">
            <v>Nether Hall School</v>
          </cell>
          <cell r="D20354" t="str">
            <v>Leicester</v>
          </cell>
          <cell r="E20354" t="str">
            <v>Community Special School</v>
          </cell>
          <cell r="F20354" t="str">
            <v>Special</v>
          </cell>
        </row>
        <row r="20355">
          <cell r="A20355">
            <v>8882031</v>
          </cell>
          <cell r="B20355">
            <v>119141</v>
          </cell>
          <cell r="C20355" t="str">
            <v>Nether Kellet Community Primary School</v>
          </cell>
          <cell r="D20355" t="str">
            <v>Lancashire</v>
          </cell>
          <cell r="E20355" t="str">
            <v>Community School</v>
          </cell>
          <cell r="F20355" t="str">
            <v>Primary</v>
          </cell>
        </row>
        <row r="20356">
          <cell r="A20356">
            <v>8604089</v>
          </cell>
          <cell r="B20356">
            <v>124409</v>
          </cell>
          <cell r="C20356" t="str">
            <v>Nether Stowe School A Specialist Mathematics &amp; Computing College</v>
          </cell>
          <cell r="D20356" t="str">
            <v>Staffordshire</v>
          </cell>
          <cell r="E20356" t="str">
            <v>Community School</v>
          </cell>
          <cell r="F20356" t="str">
            <v>Secondary</v>
          </cell>
        </row>
        <row r="20357">
          <cell r="A20357">
            <v>9333158</v>
          </cell>
          <cell r="B20357">
            <v>123789</v>
          </cell>
          <cell r="C20357" t="str">
            <v>Nether Stowey Church of England Primary School</v>
          </cell>
          <cell r="D20357" t="str">
            <v>Somerset</v>
          </cell>
          <cell r="E20357" t="str">
            <v>Voluntary Controlled School</v>
          </cell>
          <cell r="F20357" t="str">
            <v>Primary</v>
          </cell>
        </row>
        <row r="20358">
          <cell r="A20358">
            <v>9062252</v>
          </cell>
          <cell r="B20358">
            <v>128412</v>
          </cell>
          <cell r="C20358" t="str">
            <v>Nether Tabley County Primary School</v>
          </cell>
          <cell r="D20358" t="str">
            <v>Pre LGR (1998) Cheshire</v>
          </cell>
          <cell r="E20358" t="str">
            <v>Community School</v>
          </cell>
          <cell r="F20358" t="str">
            <v>Primary</v>
          </cell>
        </row>
        <row r="20359">
          <cell r="A20359">
            <v>9373045</v>
          </cell>
          <cell r="B20359">
            <v>130157</v>
          </cell>
          <cell r="C20359" t="str">
            <v>Nether Whitacre CofE School</v>
          </cell>
          <cell r="D20359" t="str">
            <v>Warwickshire</v>
          </cell>
          <cell r="E20359" t="str">
            <v>Voluntary Controlled School</v>
          </cell>
          <cell r="F20359" t="str">
            <v>Primary</v>
          </cell>
        </row>
        <row r="20360">
          <cell r="A20360">
            <v>9393215</v>
          </cell>
          <cell r="B20360">
            <v>130220</v>
          </cell>
          <cell r="C20360" t="str">
            <v>Netheravon With Fittleton CofE Primary School</v>
          </cell>
          <cell r="D20360" t="str">
            <v>Pre LGR (1997) Wiltshire</v>
          </cell>
          <cell r="E20360" t="str">
            <v>Voluntary Controlled School</v>
          </cell>
          <cell r="F20360" t="str">
            <v>Primary</v>
          </cell>
        </row>
        <row r="20361">
          <cell r="A20361">
            <v>3322147</v>
          </cell>
          <cell r="B20361">
            <v>103824</v>
          </cell>
          <cell r="C20361" t="str">
            <v>Netherbrook Primary School</v>
          </cell>
          <cell r="D20361" t="str">
            <v>Dudley</v>
          </cell>
          <cell r="E20361" t="str">
            <v>Community School</v>
          </cell>
          <cell r="F20361" t="str">
            <v>Primary</v>
          </cell>
        </row>
        <row r="20362">
          <cell r="A20362">
            <v>8506044</v>
          </cell>
          <cell r="B20362">
            <v>116533</v>
          </cell>
          <cell r="C20362" t="str">
            <v>Nethercliffe School</v>
          </cell>
          <cell r="D20362" t="str">
            <v>Hampshire</v>
          </cell>
          <cell r="E20362" t="str">
            <v>Other Independent School</v>
          </cell>
          <cell r="F20362" t="str">
            <v>Not applicable</v>
          </cell>
        </row>
        <row r="20363">
          <cell r="A20363">
            <v>8453045</v>
          </cell>
          <cell r="B20363">
            <v>114514</v>
          </cell>
          <cell r="C20363" t="str">
            <v>Netherfield CofE Primary School</v>
          </cell>
          <cell r="D20363" t="str">
            <v>East Sussex</v>
          </cell>
          <cell r="E20363" t="str">
            <v>Voluntary Controlled School</v>
          </cell>
          <cell r="F20363" t="str">
            <v>Primary</v>
          </cell>
        </row>
        <row r="20364">
          <cell r="A20364">
            <v>8912176</v>
          </cell>
          <cell r="B20364">
            <v>122498</v>
          </cell>
          <cell r="C20364" t="str">
            <v>Netherfield Infant and Nursery School</v>
          </cell>
          <cell r="D20364" t="str">
            <v>Nottinghamshire</v>
          </cell>
          <cell r="E20364" t="str">
            <v>Community School</v>
          </cell>
          <cell r="F20364" t="str">
            <v>Primary</v>
          </cell>
        </row>
        <row r="20365">
          <cell r="A20365">
            <v>8912230</v>
          </cell>
          <cell r="B20365">
            <v>122526</v>
          </cell>
          <cell r="C20365" t="str">
            <v>Netherfield Primary School</v>
          </cell>
          <cell r="D20365" t="str">
            <v>Nottinghamshire</v>
          </cell>
          <cell r="E20365" t="str">
            <v>Community School</v>
          </cell>
          <cell r="F20365" t="str">
            <v>Primary</v>
          </cell>
        </row>
        <row r="20366">
          <cell r="A20366">
            <v>8913788</v>
          </cell>
          <cell r="B20366">
            <v>134930</v>
          </cell>
          <cell r="C20366" t="str">
            <v>Netherfield Primary School</v>
          </cell>
          <cell r="D20366" t="str">
            <v>Nottinghamshire</v>
          </cell>
          <cell r="E20366" t="str">
            <v>Community School</v>
          </cell>
          <cell r="F20366" t="str">
            <v>Primary</v>
          </cell>
        </row>
        <row r="20367">
          <cell r="A20367">
            <v>9146098</v>
          </cell>
          <cell r="B20367">
            <v>128855</v>
          </cell>
          <cell r="C20367" t="str">
            <v>Netherfield School</v>
          </cell>
          <cell r="D20367" t="str">
            <v>Pre LGR (1997) East Sussex</v>
          </cell>
          <cell r="E20367" t="str">
            <v>Other Independent School</v>
          </cell>
          <cell r="F20367" t="str">
            <v>Not applicable</v>
          </cell>
        </row>
        <row r="20368">
          <cell r="A20368">
            <v>8927026</v>
          </cell>
          <cell r="B20368">
            <v>122958</v>
          </cell>
          <cell r="C20368" t="str">
            <v>Nethergate School</v>
          </cell>
          <cell r="D20368" t="str">
            <v>Nottingham</v>
          </cell>
          <cell r="E20368" t="str">
            <v>Community Special School</v>
          </cell>
          <cell r="F20368" t="str">
            <v>Special</v>
          </cell>
        </row>
        <row r="20369">
          <cell r="A20369">
            <v>9094104</v>
          </cell>
          <cell r="B20369">
            <v>112382</v>
          </cell>
          <cell r="C20369" t="str">
            <v>Netherhall School</v>
          </cell>
          <cell r="D20369" t="str">
            <v>Cumbria</v>
          </cell>
          <cell r="E20369" t="str">
            <v>Community School</v>
          </cell>
          <cell r="F20369" t="str">
            <v>Secondary</v>
          </cell>
        </row>
        <row r="20370">
          <cell r="A20370">
            <v>3807007</v>
          </cell>
          <cell r="B20370">
            <v>107465</v>
          </cell>
          <cell r="C20370" t="str">
            <v>Netherlands Avenue School and Community Nursery</v>
          </cell>
          <cell r="D20370" t="str">
            <v>Bradford</v>
          </cell>
          <cell r="E20370" t="str">
            <v>Community Special School</v>
          </cell>
          <cell r="F20370" t="str">
            <v>Special</v>
          </cell>
        </row>
        <row r="20371">
          <cell r="A20371">
            <v>3806000</v>
          </cell>
          <cell r="B20371">
            <v>107445</v>
          </cell>
          <cell r="C20371" t="str">
            <v>Netherleigh and Rossefield School</v>
          </cell>
          <cell r="D20371" t="str">
            <v>Bradford</v>
          </cell>
          <cell r="E20371" t="str">
            <v>Other Independent School</v>
          </cell>
          <cell r="F20371" t="str">
            <v>Not applicable</v>
          </cell>
        </row>
        <row r="20372">
          <cell r="A20372">
            <v>3806006</v>
          </cell>
          <cell r="B20372">
            <v>107447</v>
          </cell>
          <cell r="C20372" t="str">
            <v>Netherleigh Preparatory School</v>
          </cell>
          <cell r="D20372" t="str">
            <v>Bradford</v>
          </cell>
          <cell r="E20372" t="str">
            <v>Other Independent School</v>
          </cell>
          <cell r="F20372" t="str">
            <v>Not applicable</v>
          </cell>
        </row>
        <row r="20373">
          <cell r="A20373">
            <v>9062250</v>
          </cell>
          <cell r="B20373">
            <v>111095</v>
          </cell>
          <cell r="C20373" t="str">
            <v>Netherpool County Infant School</v>
          </cell>
          <cell r="D20373" t="str">
            <v>Pre LGR (1998) Cheshire</v>
          </cell>
          <cell r="E20373" t="str">
            <v>Community School</v>
          </cell>
          <cell r="F20373" t="str">
            <v>Primary</v>
          </cell>
        </row>
        <row r="20374">
          <cell r="A20374">
            <v>8303074</v>
          </cell>
          <cell r="B20374">
            <v>112844</v>
          </cell>
          <cell r="C20374" t="str">
            <v>Netherseal St Peter's CofE (C) Primary School</v>
          </cell>
          <cell r="D20374" t="str">
            <v>Derbyshire</v>
          </cell>
          <cell r="E20374" t="str">
            <v>Voluntary Controlled School</v>
          </cell>
          <cell r="F20374" t="str">
            <v>Primary</v>
          </cell>
        </row>
        <row r="20375">
          <cell r="A20375">
            <v>8157019</v>
          </cell>
          <cell r="B20375">
            <v>121773</v>
          </cell>
          <cell r="C20375" t="str">
            <v>Netherside Hall School</v>
          </cell>
          <cell r="D20375" t="str">
            <v>North Yorkshire</v>
          </cell>
          <cell r="E20375" t="str">
            <v>Community Special School</v>
          </cell>
          <cell r="F20375" t="str">
            <v>Special</v>
          </cell>
        </row>
        <row r="20376">
          <cell r="A20376">
            <v>9373198</v>
          </cell>
          <cell r="B20376">
            <v>130164</v>
          </cell>
          <cell r="C20376" t="str">
            <v>Nethersole CofE First School</v>
          </cell>
          <cell r="D20376" t="str">
            <v>Warwickshire</v>
          </cell>
          <cell r="E20376" t="str">
            <v>Voluntary Controlled School</v>
          </cell>
          <cell r="F20376" t="str">
            <v>Primary</v>
          </cell>
        </row>
        <row r="20377">
          <cell r="A20377">
            <v>9373197</v>
          </cell>
          <cell r="B20377">
            <v>130163</v>
          </cell>
          <cell r="C20377" t="str">
            <v>Nethersole's CofE Middle School</v>
          </cell>
          <cell r="D20377" t="str">
            <v>Warwickshire</v>
          </cell>
          <cell r="E20377" t="str">
            <v>Voluntary Controlled School</v>
          </cell>
          <cell r="F20377" t="str">
            <v>Middle Deemed Primary</v>
          </cell>
        </row>
        <row r="20378">
          <cell r="A20378">
            <v>3822090</v>
          </cell>
          <cell r="B20378">
            <v>107660</v>
          </cell>
          <cell r="C20378" t="str">
            <v>Netherthong Primary School</v>
          </cell>
          <cell r="D20378" t="str">
            <v>Kirklees</v>
          </cell>
          <cell r="E20378" t="str">
            <v>Community School</v>
          </cell>
          <cell r="F20378" t="str">
            <v>Primary</v>
          </cell>
        </row>
        <row r="20379">
          <cell r="A20379">
            <v>3732272</v>
          </cell>
          <cell r="B20379">
            <v>107043</v>
          </cell>
          <cell r="C20379" t="str">
            <v>Netherthorpe Primary School</v>
          </cell>
          <cell r="D20379" t="str">
            <v>Sheffield</v>
          </cell>
          <cell r="E20379" t="str">
            <v>Community School</v>
          </cell>
          <cell r="F20379" t="str">
            <v>Primary</v>
          </cell>
        </row>
        <row r="20380">
          <cell r="A20380">
            <v>8305400</v>
          </cell>
          <cell r="B20380">
            <v>112985</v>
          </cell>
          <cell r="C20380" t="str">
            <v>Netherthorpe School</v>
          </cell>
          <cell r="D20380" t="str">
            <v>Derbyshire</v>
          </cell>
          <cell r="E20380" t="str">
            <v>Foundation School</v>
          </cell>
          <cell r="F20380" t="str">
            <v>Secondary</v>
          </cell>
        </row>
        <row r="20381">
          <cell r="A20381">
            <v>3323002</v>
          </cell>
          <cell r="B20381">
            <v>127140</v>
          </cell>
          <cell r="C20381" t="str">
            <v>Netherton CofE Middle School</v>
          </cell>
          <cell r="D20381" t="str">
            <v>Dudley</v>
          </cell>
          <cell r="E20381" t="str">
            <v>Voluntary Controlled School</v>
          </cell>
          <cell r="F20381" t="str">
            <v>Middle Deemed Primary</v>
          </cell>
        </row>
        <row r="20382">
          <cell r="A20382">
            <v>3323053</v>
          </cell>
          <cell r="B20382">
            <v>103841</v>
          </cell>
          <cell r="C20382" t="str">
            <v>Netherton CofE Primary School</v>
          </cell>
          <cell r="D20382" t="str">
            <v>Dudley</v>
          </cell>
          <cell r="E20382" t="str">
            <v>Voluntary Controlled School</v>
          </cell>
          <cell r="F20382" t="str">
            <v>Primary</v>
          </cell>
        </row>
        <row r="20383">
          <cell r="A20383">
            <v>9116101</v>
          </cell>
          <cell r="B20383">
            <v>113599</v>
          </cell>
          <cell r="C20383" t="str">
            <v>Netherton Hall School</v>
          </cell>
          <cell r="D20383" t="str">
            <v>Pre LGR (1998) Devon</v>
          </cell>
          <cell r="E20383" t="str">
            <v>Other Independent Special School</v>
          </cell>
          <cell r="F20383" t="str">
            <v>Not applicable</v>
          </cell>
        </row>
        <row r="20384">
          <cell r="A20384">
            <v>3822021</v>
          </cell>
          <cell r="B20384">
            <v>107612</v>
          </cell>
          <cell r="C20384" t="str">
            <v>Netherton Infant and Nursery School</v>
          </cell>
          <cell r="D20384" t="str">
            <v>Kirklees</v>
          </cell>
          <cell r="E20384" t="str">
            <v>Community School</v>
          </cell>
          <cell r="F20384" t="str">
            <v>Primary</v>
          </cell>
        </row>
        <row r="20385">
          <cell r="A20385">
            <v>9092127</v>
          </cell>
          <cell r="B20385">
            <v>112137</v>
          </cell>
          <cell r="C20385" t="str">
            <v>Netherton Infant School</v>
          </cell>
          <cell r="D20385" t="str">
            <v>Cumbria</v>
          </cell>
          <cell r="E20385" t="str">
            <v>Community School</v>
          </cell>
          <cell r="F20385" t="str">
            <v>Primary</v>
          </cell>
        </row>
        <row r="20386">
          <cell r="A20386">
            <v>3432013</v>
          </cell>
          <cell r="B20386">
            <v>104856</v>
          </cell>
          <cell r="C20386" t="str">
            <v>Netherton Moss Primary School</v>
          </cell>
          <cell r="D20386" t="str">
            <v>Sefton</v>
          </cell>
          <cell r="E20386" t="str">
            <v>Community School</v>
          </cell>
          <cell r="F20386" t="str">
            <v>Primary</v>
          </cell>
        </row>
        <row r="20387">
          <cell r="A20387">
            <v>9292189</v>
          </cell>
          <cell r="B20387">
            <v>122211</v>
          </cell>
          <cell r="C20387" t="str">
            <v>Netherton Northside First School</v>
          </cell>
          <cell r="D20387" t="str">
            <v>Northumberland</v>
          </cell>
          <cell r="E20387" t="str">
            <v>Community School</v>
          </cell>
          <cell r="F20387" t="str">
            <v>Primary</v>
          </cell>
        </row>
        <row r="20388">
          <cell r="A20388">
            <v>3321000</v>
          </cell>
          <cell r="B20388">
            <v>103766</v>
          </cell>
          <cell r="C20388" t="str">
            <v>Netherton Park Children's Centre</v>
          </cell>
          <cell r="D20388" t="str">
            <v>Dudley</v>
          </cell>
          <cell r="E20388" t="str">
            <v>LA Nursery School</v>
          </cell>
          <cell r="F20388" t="str">
            <v>Nursery</v>
          </cell>
        </row>
        <row r="20389">
          <cell r="A20389">
            <v>3432019</v>
          </cell>
          <cell r="B20389">
            <v>104858</v>
          </cell>
          <cell r="C20389" t="str">
            <v>Netherton Park Primary School and Early Years Unit</v>
          </cell>
          <cell r="D20389" t="str">
            <v>Sefton</v>
          </cell>
          <cell r="E20389" t="str">
            <v>Community School</v>
          </cell>
          <cell r="F20389" t="str">
            <v>Primary</v>
          </cell>
        </row>
        <row r="20390">
          <cell r="A20390">
            <v>6686004</v>
          </cell>
          <cell r="B20390">
            <v>401989</v>
          </cell>
          <cell r="C20390" t="str">
            <v>Netherwood School</v>
          </cell>
          <cell r="D20390" t="str">
            <v>Pembrokeshire</v>
          </cell>
          <cell r="E20390" t="str">
            <v>Welsh Establishment</v>
          </cell>
          <cell r="F20390" t="str">
            <v>Not applicable</v>
          </cell>
        </row>
        <row r="20391">
          <cell r="A20391">
            <v>8502373</v>
          </cell>
          <cell r="B20391">
            <v>116070</v>
          </cell>
          <cell r="C20391" t="str">
            <v>Netley Abbey Infant School</v>
          </cell>
          <cell r="D20391" t="str">
            <v>Hampshire</v>
          </cell>
          <cell r="E20391" t="str">
            <v>Community School</v>
          </cell>
          <cell r="F20391" t="str">
            <v>Primary</v>
          </cell>
        </row>
        <row r="20392">
          <cell r="A20392">
            <v>8502348</v>
          </cell>
          <cell r="B20392">
            <v>116061</v>
          </cell>
          <cell r="C20392" t="str">
            <v>Netley Abbey Junior School</v>
          </cell>
          <cell r="D20392" t="str">
            <v>Hampshire</v>
          </cell>
          <cell r="E20392" t="str">
            <v>Community School</v>
          </cell>
          <cell r="F20392" t="str">
            <v>Primary</v>
          </cell>
        </row>
        <row r="20393">
          <cell r="A20393">
            <v>8503110</v>
          </cell>
          <cell r="B20393">
            <v>116302</v>
          </cell>
          <cell r="C20393" t="str">
            <v>Netley Marsh Church of England Infant School</v>
          </cell>
          <cell r="D20393" t="str">
            <v>Hampshire</v>
          </cell>
          <cell r="E20393" t="str">
            <v>Voluntary Controlled School</v>
          </cell>
          <cell r="F20393" t="str">
            <v>Primary</v>
          </cell>
        </row>
        <row r="20394">
          <cell r="A20394">
            <v>2022436</v>
          </cell>
          <cell r="B20394">
            <v>100018</v>
          </cell>
          <cell r="C20394" t="str">
            <v>Netley Primary School</v>
          </cell>
          <cell r="D20394" t="str">
            <v>Camden</v>
          </cell>
          <cell r="E20394" t="str">
            <v>Community School</v>
          </cell>
          <cell r="F20394" t="str">
            <v>Primary</v>
          </cell>
        </row>
        <row r="20395">
          <cell r="A20395">
            <v>9312504</v>
          </cell>
          <cell r="B20395">
            <v>123037</v>
          </cell>
          <cell r="C20395" t="str">
            <v>Nettlebed Community School</v>
          </cell>
          <cell r="D20395" t="str">
            <v>Oxfordshire</v>
          </cell>
          <cell r="E20395" t="str">
            <v>Community School</v>
          </cell>
          <cell r="F20395" t="str">
            <v>Primary</v>
          </cell>
        </row>
        <row r="20396">
          <cell r="A20396">
            <v>9222186</v>
          </cell>
          <cell r="B20396">
            <v>129366</v>
          </cell>
          <cell r="C20396" t="str">
            <v>Nettlestead Primary School</v>
          </cell>
          <cell r="D20396" t="str">
            <v>Pre LGR (1998) Kent</v>
          </cell>
          <cell r="E20396" t="str">
            <v>Community School</v>
          </cell>
          <cell r="F20396" t="str">
            <v>Primary</v>
          </cell>
        </row>
        <row r="20397">
          <cell r="A20397">
            <v>9212009</v>
          </cell>
          <cell r="B20397">
            <v>118161</v>
          </cell>
          <cell r="C20397" t="str">
            <v>Nettlestone Primary School</v>
          </cell>
          <cell r="D20397" t="str">
            <v>Isle of Wight</v>
          </cell>
          <cell r="E20397" t="str">
            <v>Community School</v>
          </cell>
          <cell r="F20397" t="str">
            <v>Primary</v>
          </cell>
        </row>
        <row r="20398">
          <cell r="A20398">
            <v>8402116</v>
          </cell>
          <cell r="B20398">
            <v>114005</v>
          </cell>
          <cell r="C20398" t="str">
            <v>Nettlesworth Primary School</v>
          </cell>
          <cell r="D20398" t="str">
            <v>Durham</v>
          </cell>
          <cell r="E20398" t="str">
            <v>Community School</v>
          </cell>
          <cell r="F20398" t="str">
            <v>Primary</v>
          </cell>
        </row>
        <row r="20399">
          <cell r="A20399">
            <v>8653133</v>
          </cell>
          <cell r="B20399">
            <v>126342</v>
          </cell>
          <cell r="C20399" t="str">
            <v>Nettleton and Burton CofE School</v>
          </cell>
          <cell r="D20399" t="str">
            <v>Wiltshire</v>
          </cell>
          <cell r="E20399" t="str">
            <v>Voluntary Controlled School</v>
          </cell>
          <cell r="F20399" t="str">
            <v>Primary</v>
          </cell>
        </row>
        <row r="20400">
          <cell r="A20400">
            <v>9252178</v>
          </cell>
          <cell r="B20400">
            <v>120465</v>
          </cell>
          <cell r="C20400" t="str">
            <v>Nettleton Community Primary School</v>
          </cell>
          <cell r="D20400" t="str">
            <v>Lincolnshire</v>
          </cell>
          <cell r="E20400" t="str">
            <v>Community School</v>
          </cell>
          <cell r="F20400" t="str">
            <v>Primary</v>
          </cell>
        </row>
        <row r="20401">
          <cell r="A20401">
            <v>8912093</v>
          </cell>
          <cell r="B20401">
            <v>122440</v>
          </cell>
          <cell r="C20401" t="str">
            <v>Nettleworth Infant and Nursery School</v>
          </cell>
          <cell r="D20401" t="str">
            <v>Nottinghamshire</v>
          </cell>
          <cell r="E20401" t="str">
            <v>Community School</v>
          </cell>
          <cell r="F20401" t="str">
            <v>Primary</v>
          </cell>
        </row>
        <row r="20402">
          <cell r="A20402">
            <v>9191012</v>
          </cell>
          <cell r="B20402">
            <v>117073</v>
          </cell>
          <cell r="C20402" t="str">
            <v>Nevells Road Nursery School</v>
          </cell>
          <cell r="D20402" t="str">
            <v>Hertfordshire</v>
          </cell>
          <cell r="E20402" t="str">
            <v>LA Nursery School</v>
          </cell>
          <cell r="F20402" t="str">
            <v>Nursery</v>
          </cell>
        </row>
        <row r="20403">
          <cell r="A20403">
            <v>8556013</v>
          </cell>
          <cell r="B20403">
            <v>120315</v>
          </cell>
          <cell r="C20403" t="str">
            <v>Nevill Holt School</v>
          </cell>
          <cell r="D20403" t="str">
            <v>Leicestershire</v>
          </cell>
          <cell r="E20403" t="str">
            <v>Other Independent School</v>
          </cell>
          <cell r="F20403" t="str">
            <v>Not applicable</v>
          </cell>
        </row>
        <row r="20404">
          <cell r="A20404">
            <v>3562063</v>
          </cell>
          <cell r="B20404">
            <v>106062</v>
          </cell>
          <cell r="C20404" t="str">
            <v>Nevill Road Infant School</v>
          </cell>
          <cell r="D20404" t="str">
            <v>Stockport</v>
          </cell>
          <cell r="E20404" t="str">
            <v>Community School</v>
          </cell>
          <cell r="F20404" t="str">
            <v>Primary</v>
          </cell>
        </row>
        <row r="20405">
          <cell r="A20405">
            <v>3562064</v>
          </cell>
          <cell r="B20405">
            <v>106063</v>
          </cell>
          <cell r="C20405" t="str">
            <v>Nevill Road Junior School</v>
          </cell>
          <cell r="D20405" t="str">
            <v>Stockport</v>
          </cell>
          <cell r="E20405" t="str">
            <v>Community School</v>
          </cell>
          <cell r="F20405" t="str">
            <v>Primary</v>
          </cell>
        </row>
        <row r="20406">
          <cell r="A20406">
            <v>8402481</v>
          </cell>
          <cell r="B20406">
            <v>114130</v>
          </cell>
          <cell r="C20406" t="str">
            <v>Neville's Cross Primary School</v>
          </cell>
          <cell r="D20406" t="str">
            <v>Durham</v>
          </cell>
          <cell r="E20406" t="str">
            <v>Community School</v>
          </cell>
          <cell r="F20406" t="str">
            <v>Primary</v>
          </cell>
        </row>
        <row r="20407">
          <cell r="A20407">
            <v>9222635</v>
          </cell>
          <cell r="B20407">
            <v>118553</v>
          </cell>
          <cell r="C20407" t="str">
            <v>New Ash Green Infant School</v>
          </cell>
          <cell r="D20407" t="str">
            <v>Pre LGR (1998) Kent</v>
          </cell>
          <cell r="E20407" t="str">
            <v>Community School</v>
          </cell>
          <cell r="F20407" t="str">
            <v>Primary</v>
          </cell>
        </row>
        <row r="20408">
          <cell r="A20408">
            <v>9222673</v>
          </cell>
          <cell r="B20408">
            <v>118584</v>
          </cell>
          <cell r="C20408" t="str">
            <v>New Ash Green Junior School</v>
          </cell>
          <cell r="D20408" t="str">
            <v>Pre LGR (1998) Kent</v>
          </cell>
          <cell r="E20408" t="str">
            <v>Community School</v>
          </cell>
          <cell r="F20408" t="str">
            <v>Primary</v>
          </cell>
        </row>
        <row r="20409">
          <cell r="A20409">
            <v>8862682</v>
          </cell>
          <cell r="B20409">
            <v>130938</v>
          </cell>
          <cell r="C20409" t="str">
            <v>New Ash Green Primary School</v>
          </cell>
          <cell r="D20409" t="str">
            <v>Kent</v>
          </cell>
          <cell r="E20409" t="str">
            <v>Community School</v>
          </cell>
          <cell r="F20409" t="str">
            <v>Primary</v>
          </cell>
        </row>
        <row r="20410">
          <cell r="A20410">
            <v>3532092</v>
          </cell>
          <cell r="B20410">
            <v>105673</v>
          </cell>
          <cell r="C20410" t="str">
            <v>New Barn Infant School</v>
          </cell>
          <cell r="D20410" t="str">
            <v>Oldham</v>
          </cell>
          <cell r="E20410" t="str">
            <v>Community School</v>
          </cell>
          <cell r="F20410" t="str">
            <v>Primary</v>
          </cell>
        </row>
        <row r="20411">
          <cell r="A20411">
            <v>3532068</v>
          </cell>
          <cell r="B20411">
            <v>105661</v>
          </cell>
          <cell r="C20411" t="str">
            <v>New Barn Junior School</v>
          </cell>
          <cell r="D20411" t="str">
            <v>Oldham</v>
          </cell>
          <cell r="E20411" t="str">
            <v>Community School</v>
          </cell>
          <cell r="F20411" t="str">
            <v>Primary</v>
          </cell>
        </row>
        <row r="20412">
          <cell r="A20412">
            <v>9166055</v>
          </cell>
          <cell r="B20412">
            <v>128969</v>
          </cell>
          <cell r="C20412" t="str">
            <v>New Barns School</v>
          </cell>
          <cell r="D20412" t="str">
            <v>Gloucestershire</v>
          </cell>
          <cell r="E20412" t="str">
            <v>Other Independent School</v>
          </cell>
          <cell r="F20412" t="str">
            <v>Not applicable</v>
          </cell>
        </row>
        <row r="20413">
          <cell r="A20413">
            <v>9303001</v>
          </cell>
          <cell r="B20413">
            <v>129720</v>
          </cell>
          <cell r="C20413" t="str">
            <v>New Basford CofE Infant School</v>
          </cell>
          <cell r="D20413" t="str">
            <v>Pre LGR (1998) Nottinghamshire</v>
          </cell>
          <cell r="E20413" t="str">
            <v>Voluntary Controlled School</v>
          </cell>
          <cell r="F20413" t="str">
            <v>Primary</v>
          </cell>
        </row>
        <row r="20414">
          <cell r="A20414">
            <v>8302045</v>
          </cell>
          <cell r="B20414">
            <v>112509</v>
          </cell>
          <cell r="C20414" t="str">
            <v>New Bolsover Primary and Nursery School</v>
          </cell>
          <cell r="D20414" t="str">
            <v>Derbyshire</v>
          </cell>
          <cell r="E20414" t="str">
            <v>Community School</v>
          </cell>
          <cell r="F20414" t="str">
            <v>Primary</v>
          </cell>
        </row>
        <row r="20415">
          <cell r="A20415">
            <v>8262076</v>
          </cell>
          <cell r="B20415">
            <v>110245</v>
          </cell>
          <cell r="C20415" t="str">
            <v>New Bradwell School</v>
          </cell>
          <cell r="D20415" t="str">
            <v>Milton Keynes</v>
          </cell>
          <cell r="E20415" t="str">
            <v>Foundation School</v>
          </cell>
          <cell r="F20415" t="str">
            <v>Primary</v>
          </cell>
        </row>
        <row r="20416">
          <cell r="A20416">
            <v>9131012</v>
          </cell>
          <cell r="B20416">
            <v>113969</v>
          </cell>
          <cell r="C20416" t="str">
            <v>New Brancepeth Nursery School</v>
          </cell>
          <cell r="D20416" t="str">
            <v>Pre LGR (1997) Durham</v>
          </cell>
          <cell r="E20416" t="str">
            <v>LA Nursery School</v>
          </cell>
          <cell r="F20416" t="str">
            <v>Nursery</v>
          </cell>
        </row>
        <row r="20417">
          <cell r="A20417">
            <v>8402453</v>
          </cell>
          <cell r="B20417">
            <v>114119</v>
          </cell>
          <cell r="C20417" t="str">
            <v>New Brancepeth Primary School</v>
          </cell>
          <cell r="D20417" t="str">
            <v>Durham</v>
          </cell>
          <cell r="E20417" t="str">
            <v>Community School</v>
          </cell>
          <cell r="F20417" t="str">
            <v>Primary</v>
          </cell>
        </row>
        <row r="20418">
          <cell r="A20418">
            <v>9192021</v>
          </cell>
          <cell r="B20418">
            <v>117095</v>
          </cell>
          <cell r="C20418" t="str">
            <v>New Briars Primary and Nursery School</v>
          </cell>
          <cell r="D20418" t="str">
            <v>Hertfordshire</v>
          </cell>
          <cell r="E20418" t="str">
            <v>Community School</v>
          </cell>
          <cell r="F20418" t="str">
            <v>Primary</v>
          </cell>
        </row>
        <row r="20419">
          <cell r="A20419">
            <v>8701006</v>
          </cell>
          <cell r="B20419">
            <v>109752</v>
          </cell>
          <cell r="C20419" t="str">
            <v>New Bridge Nursery School</v>
          </cell>
          <cell r="D20419" t="str">
            <v>Reading</v>
          </cell>
          <cell r="E20419" t="str">
            <v>LA Nursery School</v>
          </cell>
          <cell r="F20419" t="str">
            <v>Nursery</v>
          </cell>
        </row>
        <row r="20420">
          <cell r="A20420">
            <v>3537014</v>
          </cell>
          <cell r="B20420">
            <v>134517</v>
          </cell>
          <cell r="C20420" t="str">
            <v>New Bridge School</v>
          </cell>
          <cell r="D20420" t="str">
            <v>Oldham</v>
          </cell>
          <cell r="E20420" t="str">
            <v>Community Special School</v>
          </cell>
          <cell r="F20420" t="str">
            <v>Special</v>
          </cell>
        </row>
        <row r="20421">
          <cell r="A20421">
            <v>3442100</v>
          </cell>
          <cell r="B20421">
            <v>104992</v>
          </cell>
          <cell r="C20421" t="str">
            <v>New Brighton Primary School</v>
          </cell>
          <cell r="D20421" t="str">
            <v>Wirral</v>
          </cell>
          <cell r="E20421" t="str">
            <v>Community School</v>
          </cell>
          <cell r="F20421" t="str">
            <v>Primary</v>
          </cell>
        </row>
        <row r="20422">
          <cell r="A20422">
            <v>8875454</v>
          </cell>
          <cell r="B20422">
            <v>118926</v>
          </cell>
          <cell r="C20422" t="str">
            <v>New Brompton College</v>
          </cell>
          <cell r="D20422" t="str">
            <v>Medway</v>
          </cell>
          <cell r="E20422" t="str">
            <v>Foundation School</v>
          </cell>
          <cell r="F20422" t="str">
            <v>Secondary</v>
          </cell>
        </row>
        <row r="20423">
          <cell r="A20423">
            <v>9352011</v>
          </cell>
          <cell r="B20423">
            <v>124537</v>
          </cell>
          <cell r="C20423" t="str">
            <v>New Cangle Community Primary School</v>
          </cell>
          <cell r="D20423" t="str">
            <v>Suffolk</v>
          </cell>
          <cell r="E20423" t="str">
            <v>Community School</v>
          </cell>
          <cell r="F20423" t="str">
            <v>Primary</v>
          </cell>
        </row>
        <row r="20424">
          <cell r="A20424">
            <v>8262014</v>
          </cell>
          <cell r="B20424">
            <v>137278</v>
          </cell>
          <cell r="C20424" t="str">
            <v>New Chapter Academy</v>
          </cell>
          <cell r="D20424" t="str">
            <v>Milton Keynes</v>
          </cell>
          <cell r="E20424" t="str">
            <v>Academy Sponsor Led</v>
          </cell>
          <cell r="F20424" t="str">
            <v>Primary</v>
          </cell>
        </row>
        <row r="20425">
          <cell r="A20425">
            <v>8263385</v>
          </cell>
          <cell r="B20425">
            <v>134628</v>
          </cell>
          <cell r="C20425" t="str">
            <v>New Chapter School</v>
          </cell>
          <cell r="D20425" t="str">
            <v>Milton Keynes</v>
          </cell>
          <cell r="E20425" t="str">
            <v>Community School</v>
          </cell>
          <cell r="F20425" t="str">
            <v>Primary</v>
          </cell>
        </row>
        <row r="20426">
          <cell r="A20426">
            <v>3576905</v>
          </cell>
          <cell r="B20426">
            <v>135508</v>
          </cell>
          <cell r="C20426" t="str">
            <v>New Charter Academy</v>
          </cell>
          <cell r="D20426" t="str">
            <v>Tameside</v>
          </cell>
          <cell r="E20426" t="str">
            <v>Academy Sponsor Led</v>
          </cell>
          <cell r="F20426" t="str">
            <v>Secondary</v>
          </cell>
        </row>
        <row r="20427">
          <cell r="A20427">
            <v>8702254</v>
          </cell>
          <cell r="B20427">
            <v>132109</v>
          </cell>
          <cell r="C20427" t="str">
            <v>New Christ Church Church of England (VA) Primary School</v>
          </cell>
          <cell r="D20427" t="str">
            <v>Reading</v>
          </cell>
          <cell r="E20427" t="str">
            <v>Voluntary Aided School</v>
          </cell>
          <cell r="F20427" t="str">
            <v>Primary</v>
          </cell>
        </row>
        <row r="20428">
          <cell r="A20428">
            <v>3162047</v>
          </cell>
          <cell r="B20428">
            <v>102734</v>
          </cell>
          <cell r="C20428" t="str">
            <v>New City Primary School</v>
          </cell>
          <cell r="D20428" t="str">
            <v>Newham</v>
          </cell>
          <cell r="E20428" t="str">
            <v>Community School</v>
          </cell>
          <cell r="F20428" t="str">
            <v>Primary</v>
          </cell>
        </row>
        <row r="20429">
          <cell r="A20429">
            <v>8652134</v>
          </cell>
          <cell r="B20429">
            <v>126232</v>
          </cell>
          <cell r="C20429" t="str">
            <v>New Close Community School</v>
          </cell>
          <cell r="D20429" t="str">
            <v>Wiltshire</v>
          </cell>
          <cell r="E20429" t="str">
            <v>Community School</v>
          </cell>
          <cell r="F20429" t="str">
            <v>Primary</v>
          </cell>
        </row>
        <row r="20430">
          <cell r="A20430">
            <v>9376009</v>
          </cell>
          <cell r="B20430">
            <v>125776</v>
          </cell>
          <cell r="C20430" t="str">
            <v>New College</v>
          </cell>
          <cell r="D20430" t="str">
            <v>Warwickshire</v>
          </cell>
          <cell r="E20430" t="str">
            <v>Other Independent School</v>
          </cell>
          <cell r="F20430" t="str">
            <v>Not applicable</v>
          </cell>
        </row>
        <row r="20431">
          <cell r="A20431">
            <v>3844019</v>
          </cell>
          <cell r="B20431">
            <v>128086</v>
          </cell>
          <cell r="C20431" t="str">
            <v>New College</v>
          </cell>
          <cell r="D20431" t="str">
            <v>Wakefield</v>
          </cell>
          <cell r="E20431" t="str">
            <v>Community School</v>
          </cell>
          <cell r="F20431" t="str">
            <v>Secondary</v>
          </cell>
        </row>
        <row r="20432">
          <cell r="A20432">
            <v>9324426</v>
          </cell>
          <cell r="B20432">
            <v>129809</v>
          </cell>
          <cell r="C20432" t="str">
            <v>New College</v>
          </cell>
          <cell r="D20432" t="str">
            <v>Pre LGR (1998) Shropshire</v>
          </cell>
          <cell r="E20432" t="str">
            <v>Community School</v>
          </cell>
          <cell r="F20432" t="str">
            <v>Secondary</v>
          </cell>
        </row>
        <row r="20433">
          <cell r="A20433">
            <v>8408004</v>
          </cell>
          <cell r="B20433">
            <v>130659</v>
          </cell>
          <cell r="C20433" t="str">
            <v>New College Durham</v>
          </cell>
          <cell r="D20433" t="str">
            <v>Durham</v>
          </cell>
          <cell r="E20433" t="str">
            <v>Further Education</v>
          </cell>
          <cell r="F20433" t="str">
            <v>16 Plus</v>
          </cell>
        </row>
        <row r="20434">
          <cell r="A20434">
            <v>8564005</v>
          </cell>
          <cell r="B20434">
            <v>131945</v>
          </cell>
          <cell r="C20434" t="str">
            <v>New College Leicester</v>
          </cell>
          <cell r="D20434" t="str">
            <v>Leicester</v>
          </cell>
          <cell r="E20434" t="str">
            <v>Foundation School</v>
          </cell>
          <cell r="F20434" t="str">
            <v>Secondary</v>
          </cell>
        </row>
        <row r="20435">
          <cell r="A20435">
            <v>8928001</v>
          </cell>
          <cell r="B20435">
            <v>130776</v>
          </cell>
          <cell r="C20435" t="str">
            <v>New College Nottingham</v>
          </cell>
          <cell r="D20435" t="str">
            <v>Nottingham</v>
          </cell>
          <cell r="E20435" t="str">
            <v>Further Education</v>
          </cell>
          <cell r="F20435" t="str">
            <v>16 Plus</v>
          </cell>
        </row>
        <row r="20436">
          <cell r="A20436">
            <v>3848600</v>
          </cell>
          <cell r="B20436">
            <v>130550</v>
          </cell>
          <cell r="C20436" t="str">
            <v>New College Pontefract</v>
          </cell>
          <cell r="D20436" t="str">
            <v>Wakefield</v>
          </cell>
          <cell r="E20436" t="str">
            <v>Further Education</v>
          </cell>
          <cell r="F20436" t="str">
            <v>16 Plus</v>
          </cell>
        </row>
        <row r="20437">
          <cell r="A20437">
            <v>9316065</v>
          </cell>
          <cell r="B20437">
            <v>123291</v>
          </cell>
          <cell r="C20437" t="str">
            <v>New College School</v>
          </cell>
          <cell r="D20437" t="str">
            <v>Oxfordshire</v>
          </cell>
          <cell r="E20437" t="str">
            <v>Other Independent School</v>
          </cell>
          <cell r="F20437" t="str">
            <v>Not applicable</v>
          </cell>
        </row>
        <row r="20438">
          <cell r="A20438">
            <v>9258001</v>
          </cell>
          <cell r="B20438">
            <v>130760</v>
          </cell>
          <cell r="C20438" t="str">
            <v>New College Stamford</v>
          </cell>
          <cell r="D20438" t="str">
            <v>Lincolnshire</v>
          </cell>
          <cell r="E20438" t="str">
            <v>Further Education</v>
          </cell>
          <cell r="F20438" t="str">
            <v>16 Plus</v>
          </cell>
        </row>
        <row r="20439">
          <cell r="A20439">
            <v>8668004</v>
          </cell>
          <cell r="B20439">
            <v>130851</v>
          </cell>
          <cell r="C20439" t="str">
            <v>New College Swindon</v>
          </cell>
          <cell r="D20439" t="str">
            <v>Swindon</v>
          </cell>
          <cell r="E20439" t="str">
            <v>Further Education</v>
          </cell>
          <cell r="F20439" t="str">
            <v>16 Plus</v>
          </cell>
        </row>
        <row r="20440">
          <cell r="A20440">
            <v>8948601</v>
          </cell>
          <cell r="B20440">
            <v>130801</v>
          </cell>
          <cell r="C20440" t="str">
            <v>New College Telford</v>
          </cell>
          <cell r="D20440" t="str">
            <v>Telford and Wrekin</v>
          </cell>
          <cell r="E20440" t="str">
            <v>Further Education</v>
          </cell>
          <cell r="F20440" t="str">
            <v>16 Plus</v>
          </cell>
        </row>
        <row r="20441">
          <cell r="A20441">
            <v>8857019</v>
          </cell>
          <cell r="B20441">
            <v>117064</v>
          </cell>
          <cell r="C20441" t="str">
            <v>New College Worcester</v>
          </cell>
          <cell r="D20441" t="str">
            <v>Worcestershire</v>
          </cell>
          <cell r="E20441" t="str">
            <v>Non-Maintained Special School</v>
          </cell>
          <cell r="F20441" t="str">
            <v>Special</v>
          </cell>
        </row>
        <row r="20442">
          <cell r="A20442">
            <v>6816026</v>
          </cell>
          <cell r="B20442">
            <v>402019</v>
          </cell>
          <cell r="C20442" t="str">
            <v>New College\New College School</v>
          </cell>
          <cell r="D20442" t="str">
            <v>Cardiff</v>
          </cell>
          <cell r="E20442" t="str">
            <v>Welsh Establishment</v>
          </cell>
          <cell r="F20442" t="str">
            <v>Not applicable</v>
          </cell>
        </row>
        <row r="20443">
          <cell r="A20443">
            <v>9292407</v>
          </cell>
          <cell r="B20443">
            <v>122258</v>
          </cell>
          <cell r="C20443" t="str">
            <v>New Delaval Primary School</v>
          </cell>
          <cell r="D20443" t="str">
            <v>Northumberland</v>
          </cell>
          <cell r="E20443" t="str">
            <v>Community School</v>
          </cell>
          <cell r="F20443" t="str">
            <v>Primary</v>
          </cell>
        </row>
        <row r="20444">
          <cell r="A20444">
            <v>8306027</v>
          </cell>
          <cell r="B20444">
            <v>134395</v>
          </cell>
          <cell r="C20444" t="str">
            <v>New Direction School</v>
          </cell>
          <cell r="D20444" t="str">
            <v>Derbyshire</v>
          </cell>
          <cell r="E20444" t="str">
            <v>Other Independent Special School</v>
          </cell>
          <cell r="F20444" t="str">
            <v>Not applicable</v>
          </cell>
        </row>
        <row r="20445">
          <cell r="A20445">
            <v>2061111</v>
          </cell>
          <cell r="B20445">
            <v>134275</v>
          </cell>
          <cell r="C20445" t="str">
            <v>New Directions</v>
          </cell>
          <cell r="D20445" t="str">
            <v>Islington</v>
          </cell>
          <cell r="E20445" t="str">
            <v>Pupil Referral Unit</v>
          </cell>
          <cell r="F20445" t="str">
            <v>PRU</v>
          </cell>
        </row>
        <row r="20446">
          <cell r="A20446">
            <v>3161101</v>
          </cell>
          <cell r="B20446">
            <v>134919</v>
          </cell>
          <cell r="C20446" t="str">
            <v>New Directions</v>
          </cell>
          <cell r="D20446" t="str">
            <v>Newham</v>
          </cell>
          <cell r="E20446" t="str">
            <v>Pupil Referral Unit</v>
          </cell>
          <cell r="F20446" t="str">
            <v>PRU</v>
          </cell>
        </row>
        <row r="20447">
          <cell r="A20447">
            <v>3826002</v>
          </cell>
          <cell r="B20447">
            <v>135750</v>
          </cell>
          <cell r="C20447" t="str">
            <v>New Directions College</v>
          </cell>
          <cell r="D20447" t="str">
            <v>Kirklees</v>
          </cell>
          <cell r="E20447" t="str">
            <v>Other Independent School</v>
          </cell>
          <cell r="F20447" t="str">
            <v>Not applicable</v>
          </cell>
        </row>
        <row r="20448">
          <cell r="A20448">
            <v>8163901</v>
          </cell>
          <cell r="B20448">
            <v>121661</v>
          </cell>
          <cell r="C20448" t="str">
            <v>New Earswick Primary School</v>
          </cell>
          <cell r="D20448" t="str">
            <v>York</v>
          </cell>
          <cell r="E20448" t="str">
            <v>Voluntary Aided School</v>
          </cell>
          <cell r="F20448" t="str">
            <v>Primary</v>
          </cell>
        </row>
        <row r="20449">
          <cell r="A20449">
            <v>8856021</v>
          </cell>
          <cell r="B20449">
            <v>117030</v>
          </cell>
          <cell r="C20449" t="str">
            <v>New Elizabethan School</v>
          </cell>
          <cell r="D20449" t="str">
            <v>Worcestershire</v>
          </cell>
          <cell r="E20449" t="str">
            <v>Other Independent School</v>
          </cell>
          <cell r="F20449" t="str">
            <v>Not applicable</v>
          </cell>
        </row>
        <row r="20450">
          <cell r="A20450">
            <v>2022438</v>
          </cell>
          <cell r="B20450">
            <v>100019</v>
          </cell>
          <cell r="C20450" t="str">
            <v>New End Primary School</v>
          </cell>
          <cell r="D20450" t="str">
            <v>Camden</v>
          </cell>
          <cell r="E20450" t="str">
            <v>Community School</v>
          </cell>
          <cell r="F20450" t="str">
            <v>Primary</v>
          </cell>
        </row>
        <row r="20451">
          <cell r="A20451">
            <v>8612107</v>
          </cell>
          <cell r="B20451">
            <v>124023</v>
          </cell>
          <cell r="C20451" t="str">
            <v>New Ford Primary School</v>
          </cell>
          <cell r="D20451" t="str">
            <v>Stoke-on-Trent</v>
          </cell>
          <cell r="E20451" t="str">
            <v>Community School</v>
          </cell>
          <cell r="F20451" t="str">
            <v>Primary</v>
          </cell>
        </row>
        <row r="20452">
          <cell r="A20452">
            <v>8526001</v>
          </cell>
          <cell r="B20452">
            <v>137279</v>
          </cell>
          <cell r="C20452" t="str">
            <v>New Forest School</v>
          </cell>
          <cell r="D20452" t="str">
            <v>Southampton</v>
          </cell>
          <cell r="E20452" t="str">
            <v>Other Independent Special School</v>
          </cell>
          <cell r="F20452" t="str">
            <v>Not applicable</v>
          </cell>
        </row>
        <row r="20453">
          <cell r="A20453">
            <v>8506075</v>
          </cell>
          <cell r="B20453">
            <v>136112</v>
          </cell>
          <cell r="C20453" t="str">
            <v>New Forest Small School</v>
          </cell>
          <cell r="D20453" t="str">
            <v>Hampshire</v>
          </cell>
          <cell r="E20453" t="str">
            <v>Other Independent School</v>
          </cell>
          <cell r="F20453" t="str">
            <v>Not applicable</v>
          </cell>
        </row>
        <row r="20454">
          <cell r="A20454">
            <v>8017014</v>
          </cell>
          <cell r="B20454">
            <v>109393</v>
          </cell>
          <cell r="C20454" t="str">
            <v>New Fosseway School</v>
          </cell>
          <cell r="D20454" t="str">
            <v>Bristol City of</v>
          </cell>
          <cell r="E20454" t="str">
            <v>Foundation Special School</v>
          </cell>
          <cell r="F20454" t="str">
            <v>Special</v>
          </cell>
        </row>
        <row r="20455">
          <cell r="A20455">
            <v>8863920</v>
          </cell>
          <cell r="B20455">
            <v>136251</v>
          </cell>
          <cell r="C20455" t="str">
            <v>New Found Pri @ Goat Lees Ashford</v>
          </cell>
          <cell r="D20455" t="str">
            <v>Kent</v>
          </cell>
          <cell r="E20455" t="str">
            <v>Foundation School</v>
          </cell>
          <cell r="F20455" t="str">
            <v>Primary</v>
          </cell>
        </row>
        <row r="20456">
          <cell r="A20456">
            <v>3597020</v>
          </cell>
          <cell r="B20456">
            <v>131295</v>
          </cell>
          <cell r="C20456" t="str">
            <v>New Greenhall</v>
          </cell>
          <cell r="D20456" t="str">
            <v>Wigan</v>
          </cell>
          <cell r="E20456" t="str">
            <v>Community Special School</v>
          </cell>
          <cell r="F20456" t="str">
            <v>Special</v>
          </cell>
        </row>
        <row r="20457">
          <cell r="A20457">
            <v>3302469</v>
          </cell>
          <cell r="B20457">
            <v>103395</v>
          </cell>
          <cell r="C20457" t="str">
            <v>New Hall Primary and Children's Centre</v>
          </cell>
          <cell r="D20457" t="str">
            <v>Birmingham</v>
          </cell>
          <cell r="E20457" t="str">
            <v>Community School</v>
          </cell>
          <cell r="F20457" t="str">
            <v>Primary</v>
          </cell>
        </row>
        <row r="20458">
          <cell r="A20458">
            <v>3326004</v>
          </cell>
          <cell r="B20458">
            <v>134458</v>
          </cell>
          <cell r="C20458" t="str">
            <v>New Hall Project 20/20</v>
          </cell>
          <cell r="D20458" t="str">
            <v>Dudley</v>
          </cell>
          <cell r="E20458" t="str">
            <v>Other Independent School</v>
          </cell>
          <cell r="F20458" t="str">
            <v>Not applicable</v>
          </cell>
        </row>
        <row r="20459">
          <cell r="A20459">
            <v>8816001</v>
          </cell>
          <cell r="B20459">
            <v>115387</v>
          </cell>
          <cell r="C20459" t="str">
            <v>New Hall School</v>
          </cell>
          <cell r="D20459" t="str">
            <v>Essex</v>
          </cell>
          <cell r="E20459" t="str">
            <v>Other Independent School</v>
          </cell>
          <cell r="F20459" t="str">
            <v>Not applicable</v>
          </cell>
        </row>
        <row r="20460">
          <cell r="A20460">
            <v>9292229</v>
          </cell>
          <cell r="B20460">
            <v>122224</v>
          </cell>
          <cell r="C20460" t="str">
            <v>New Hartley First School</v>
          </cell>
          <cell r="D20460" t="str">
            <v>Northumberland</v>
          </cell>
          <cell r="E20460" t="str">
            <v>Community School</v>
          </cell>
          <cell r="F20460" t="str">
            <v>Primary</v>
          </cell>
        </row>
        <row r="20461">
          <cell r="A20461">
            <v>3556037</v>
          </cell>
          <cell r="B20461">
            <v>131961</v>
          </cell>
          <cell r="C20461" t="str">
            <v>New Harvest Learning Centre</v>
          </cell>
          <cell r="D20461" t="str">
            <v>Salford</v>
          </cell>
          <cell r="E20461" t="str">
            <v>Other Independent School</v>
          </cell>
          <cell r="F20461" t="str">
            <v>Not applicable</v>
          </cell>
        </row>
        <row r="20462">
          <cell r="A20462">
            <v>8116010</v>
          </cell>
          <cell r="B20462">
            <v>126173</v>
          </cell>
          <cell r="C20462" t="str">
            <v>New Haven</v>
          </cell>
          <cell r="D20462" t="str">
            <v>East Riding of Yorkshire</v>
          </cell>
          <cell r="E20462" t="str">
            <v>Other Independent Special School</v>
          </cell>
          <cell r="F20462" t="str">
            <v>Not applicable</v>
          </cell>
        </row>
        <row r="20463">
          <cell r="A20463">
            <v>9362058</v>
          </cell>
          <cell r="B20463">
            <v>124947</v>
          </cell>
          <cell r="C20463" t="str">
            <v>New Haw Community Junior School</v>
          </cell>
          <cell r="D20463" t="str">
            <v>Surrey</v>
          </cell>
          <cell r="E20463" t="str">
            <v>Community School</v>
          </cell>
          <cell r="F20463" t="str">
            <v>Primary</v>
          </cell>
        </row>
        <row r="20464">
          <cell r="A20464">
            <v>3414428</v>
          </cell>
          <cell r="B20464">
            <v>104699</v>
          </cell>
          <cell r="C20464" t="str">
            <v>New Heys Comprehensive School</v>
          </cell>
          <cell r="D20464" t="str">
            <v>Liverpool</v>
          </cell>
          <cell r="E20464" t="str">
            <v>Community School</v>
          </cell>
          <cell r="F20464" t="str">
            <v>Secondary</v>
          </cell>
        </row>
        <row r="20465">
          <cell r="A20465">
            <v>9313213</v>
          </cell>
          <cell r="B20465">
            <v>123142</v>
          </cell>
          <cell r="C20465" t="str">
            <v>New Hinksey Church of England Primary School</v>
          </cell>
          <cell r="D20465" t="str">
            <v>Oxfordshire</v>
          </cell>
          <cell r="E20465" t="str">
            <v>Voluntary Controlled School</v>
          </cell>
          <cell r="F20465" t="str">
            <v>Primary</v>
          </cell>
        </row>
        <row r="20466">
          <cell r="A20466">
            <v>8133078</v>
          </cell>
          <cell r="B20466">
            <v>118023</v>
          </cell>
          <cell r="C20466" t="str">
            <v>New Holland Church of England and Methodist Primary School</v>
          </cell>
          <cell r="D20466" t="str">
            <v>North Lincolnshire</v>
          </cell>
          <cell r="E20466" t="str">
            <v>Voluntary Controlled School</v>
          </cell>
          <cell r="F20466" t="str">
            <v>Primary</v>
          </cell>
        </row>
        <row r="20467">
          <cell r="A20467">
            <v>2106003</v>
          </cell>
          <cell r="B20467">
            <v>136077</v>
          </cell>
          <cell r="C20467" t="str">
            <v>New Hope Christian Academy</v>
          </cell>
          <cell r="D20467" t="str">
            <v>Southwark</v>
          </cell>
          <cell r="E20467" t="str">
            <v>Other Independent School</v>
          </cell>
          <cell r="F20467" t="str">
            <v>Not applicable</v>
          </cell>
        </row>
        <row r="20468">
          <cell r="A20468">
            <v>9336203</v>
          </cell>
          <cell r="B20468">
            <v>133527</v>
          </cell>
          <cell r="C20468" t="str">
            <v>New Horizon Centre School</v>
          </cell>
          <cell r="D20468" t="str">
            <v>Somerset</v>
          </cell>
          <cell r="E20468" t="str">
            <v>Other Independent Special School</v>
          </cell>
          <cell r="F20468" t="str">
            <v>Not applicable</v>
          </cell>
        </row>
        <row r="20469">
          <cell r="A20469">
            <v>3836119</v>
          </cell>
          <cell r="B20469">
            <v>130274</v>
          </cell>
          <cell r="C20469" t="str">
            <v>New Horizon Community School</v>
          </cell>
          <cell r="D20469" t="str">
            <v>Leeds</v>
          </cell>
          <cell r="E20469" t="str">
            <v>Other Independent School</v>
          </cell>
          <cell r="F20469" t="str">
            <v>Not applicable</v>
          </cell>
        </row>
        <row r="20470">
          <cell r="A20470">
            <v>8037032</v>
          </cell>
          <cell r="B20470">
            <v>135827</v>
          </cell>
          <cell r="C20470" t="str">
            <v>New Horizons Learning Centre</v>
          </cell>
          <cell r="D20470" t="str">
            <v>South Gloucestershire</v>
          </cell>
          <cell r="E20470" t="str">
            <v>Community Special School</v>
          </cell>
          <cell r="F20470" t="str">
            <v>Special</v>
          </cell>
        </row>
        <row r="20471">
          <cell r="A20471">
            <v>8457035</v>
          </cell>
          <cell r="B20471">
            <v>114697</v>
          </cell>
          <cell r="C20471" t="str">
            <v>New Horizons School</v>
          </cell>
          <cell r="D20471" t="str">
            <v>East Sussex</v>
          </cell>
          <cell r="E20471" t="str">
            <v>Community Special School</v>
          </cell>
          <cell r="F20471" t="str">
            <v>Special</v>
          </cell>
        </row>
        <row r="20472">
          <cell r="A20472">
            <v>3402052</v>
          </cell>
          <cell r="B20472">
            <v>130297</v>
          </cell>
          <cell r="C20472" t="str">
            <v>New Hutte Community Primary School</v>
          </cell>
          <cell r="D20472" t="str">
            <v>Knowsley</v>
          </cell>
          <cell r="E20472" t="str">
            <v>Community School</v>
          </cell>
          <cell r="F20472" t="str">
            <v>Primary</v>
          </cell>
        </row>
        <row r="20473">
          <cell r="A20473">
            <v>3402034</v>
          </cell>
          <cell r="B20473">
            <v>104438</v>
          </cell>
          <cell r="C20473" t="str">
            <v>New Hutte Infant School</v>
          </cell>
          <cell r="D20473" t="str">
            <v>Knowsley</v>
          </cell>
          <cell r="E20473" t="str">
            <v>Community School</v>
          </cell>
          <cell r="F20473" t="str">
            <v>Primary</v>
          </cell>
        </row>
        <row r="20474">
          <cell r="A20474">
            <v>3402022</v>
          </cell>
          <cell r="B20474">
            <v>104434</v>
          </cell>
          <cell r="C20474" t="str">
            <v>New Hutte Junior School</v>
          </cell>
          <cell r="D20474" t="str">
            <v>Knowsley</v>
          </cell>
          <cell r="E20474" t="str">
            <v>Community School</v>
          </cell>
          <cell r="F20474" t="str">
            <v>Primary</v>
          </cell>
        </row>
        <row r="20475">
          <cell r="A20475">
            <v>6782279</v>
          </cell>
          <cell r="B20475">
            <v>401444</v>
          </cell>
          <cell r="C20475" t="str">
            <v>New Inn Infants School</v>
          </cell>
          <cell r="D20475" t="str">
            <v>Torfaen</v>
          </cell>
          <cell r="E20475" t="str">
            <v>Welsh Establishment</v>
          </cell>
          <cell r="F20475" t="str">
            <v>Primary</v>
          </cell>
        </row>
        <row r="20476">
          <cell r="A20476">
            <v>6782320</v>
          </cell>
          <cell r="B20476">
            <v>402120</v>
          </cell>
          <cell r="C20476" t="str">
            <v>New Inn Primary School</v>
          </cell>
          <cell r="D20476" t="str">
            <v>Torfaen</v>
          </cell>
          <cell r="E20476" t="str">
            <v>Welsh Establishment</v>
          </cell>
          <cell r="F20476" t="str">
            <v>Primary</v>
          </cell>
        </row>
        <row r="20477">
          <cell r="A20477">
            <v>3352114</v>
          </cell>
          <cell r="B20477">
            <v>104187</v>
          </cell>
          <cell r="C20477" t="str">
            <v>New Invention Infant School</v>
          </cell>
          <cell r="D20477" t="str">
            <v>Walsall</v>
          </cell>
          <cell r="E20477" t="str">
            <v>Community School</v>
          </cell>
          <cell r="F20477" t="str">
            <v>Primary</v>
          </cell>
        </row>
        <row r="20478">
          <cell r="A20478">
            <v>3352122</v>
          </cell>
          <cell r="B20478">
            <v>104192</v>
          </cell>
          <cell r="C20478" t="str">
            <v>New Invention Junior School</v>
          </cell>
          <cell r="D20478" t="str">
            <v>Walsall</v>
          </cell>
          <cell r="E20478" t="str">
            <v>Community School</v>
          </cell>
          <cell r="F20478" t="str">
            <v>Primary</v>
          </cell>
        </row>
        <row r="20479">
          <cell r="A20479">
            <v>2052309</v>
          </cell>
          <cell r="B20479">
            <v>100330</v>
          </cell>
          <cell r="C20479" t="str">
            <v>New King's Primary School</v>
          </cell>
          <cell r="D20479" t="str">
            <v>Hammersmith and Fulham</v>
          </cell>
          <cell r="E20479" t="str">
            <v>Community School</v>
          </cell>
          <cell r="F20479" t="str">
            <v>Primary</v>
          </cell>
        </row>
        <row r="20480">
          <cell r="A20480">
            <v>3351104</v>
          </cell>
          <cell r="B20480">
            <v>134523</v>
          </cell>
          <cell r="C20480" t="str">
            <v>New Leaf Centre</v>
          </cell>
          <cell r="D20480" t="str">
            <v>Walsall</v>
          </cell>
          <cell r="E20480" t="str">
            <v>Pupil Referral Unit</v>
          </cell>
          <cell r="F20480" t="str">
            <v>PRU</v>
          </cell>
        </row>
        <row r="20481">
          <cell r="A20481">
            <v>8106005</v>
          </cell>
          <cell r="B20481">
            <v>136207</v>
          </cell>
          <cell r="C20481" t="str">
            <v>New Life Christian Academy</v>
          </cell>
          <cell r="D20481" t="str">
            <v>Kingston upon Hull City of</v>
          </cell>
          <cell r="E20481" t="str">
            <v>Other Independent School</v>
          </cell>
          <cell r="F20481" t="str">
            <v>Not applicable</v>
          </cell>
        </row>
        <row r="20482">
          <cell r="A20482">
            <v>3066086</v>
          </cell>
          <cell r="B20482">
            <v>101847</v>
          </cell>
          <cell r="C20482" t="str">
            <v>New Life Christian School</v>
          </cell>
          <cell r="D20482" t="str">
            <v>Croydon</v>
          </cell>
          <cell r="E20482" t="str">
            <v>Other Independent School</v>
          </cell>
          <cell r="F20482" t="str">
            <v>Not applicable</v>
          </cell>
        </row>
        <row r="20483">
          <cell r="A20483">
            <v>8866912</v>
          </cell>
          <cell r="B20483">
            <v>135372</v>
          </cell>
          <cell r="C20483" t="str">
            <v>New Line Learning Academy</v>
          </cell>
          <cell r="D20483" t="str">
            <v>Kent</v>
          </cell>
          <cell r="E20483" t="str">
            <v>Academy Sponsor Led</v>
          </cell>
          <cell r="F20483" t="str">
            <v>Secondary</v>
          </cell>
        </row>
        <row r="20484">
          <cell r="A20484">
            <v>9366019</v>
          </cell>
          <cell r="B20484">
            <v>125325</v>
          </cell>
          <cell r="C20484" t="str">
            <v>New Lodge School</v>
          </cell>
          <cell r="D20484" t="str">
            <v>Surrey</v>
          </cell>
          <cell r="E20484" t="str">
            <v>Other Independent School</v>
          </cell>
          <cell r="F20484" t="str">
            <v>Not applicable</v>
          </cell>
        </row>
        <row r="20485">
          <cell r="A20485">
            <v>3136004</v>
          </cell>
          <cell r="B20485">
            <v>137530</v>
          </cell>
          <cell r="C20485" t="str">
            <v>New London College</v>
          </cell>
          <cell r="D20485" t="str">
            <v>Hounslow</v>
          </cell>
          <cell r="E20485" t="str">
            <v>Other Independent School</v>
          </cell>
          <cell r="F20485" t="str">
            <v>Not applicable</v>
          </cell>
        </row>
        <row r="20486">
          <cell r="A20486">
            <v>8883585</v>
          </cell>
          <cell r="B20486">
            <v>119569</v>
          </cell>
          <cell r="C20486" t="str">
            <v>New Longton All Saints CofE Primary School</v>
          </cell>
          <cell r="D20486" t="str">
            <v>Lancashire</v>
          </cell>
          <cell r="E20486" t="str">
            <v>Voluntary Aided School</v>
          </cell>
          <cell r="F20486" t="str">
            <v>Primary</v>
          </cell>
        </row>
        <row r="20487">
          <cell r="A20487">
            <v>9072086</v>
          </cell>
          <cell r="B20487">
            <v>128496</v>
          </cell>
          <cell r="C20487" t="str">
            <v>New Marske Infant School</v>
          </cell>
          <cell r="D20487" t="str">
            <v>Pre LGR (1996) Cleveland</v>
          </cell>
          <cell r="E20487" t="str">
            <v>Community School</v>
          </cell>
          <cell r="F20487" t="str">
            <v>Primary</v>
          </cell>
        </row>
        <row r="20488">
          <cell r="A20488">
            <v>9072081</v>
          </cell>
          <cell r="B20488">
            <v>128494</v>
          </cell>
          <cell r="C20488" t="str">
            <v>New Marske Junior School</v>
          </cell>
          <cell r="D20488" t="str">
            <v>Pre LGR (1996) Cleveland</v>
          </cell>
          <cell r="E20488" t="str">
            <v>Community School</v>
          </cell>
          <cell r="F20488" t="str">
            <v>Primary</v>
          </cell>
        </row>
        <row r="20489">
          <cell r="A20489">
            <v>8072368</v>
          </cell>
          <cell r="B20489">
            <v>111665</v>
          </cell>
          <cell r="C20489" t="str">
            <v>New Marske Primary School</v>
          </cell>
          <cell r="D20489" t="str">
            <v>Redcar and Cleveland</v>
          </cell>
          <cell r="E20489" t="str">
            <v>Community School</v>
          </cell>
          <cell r="F20489" t="str">
            <v>Primary</v>
          </cell>
        </row>
        <row r="20490">
          <cell r="A20490">
            <v>9312529</v>
          </cell>
          <cell r="B20490">
            <v>123048</v>
          </cell>
          <cell r="C20490" t="str">
            <v>New Marston Primary School</v>
          </cell>
          <cell r="D20490" t="str">
            <v>Oxfordshire</v>
          </cell>
          <cell r="E20490" t="str">
            <v>Community School</v>
          </cell>
          <cell r="F20490" t="str">
            <v>Primary</v>
          </cell>
        </row>
        <row r="20491">
          <cell r="A20491">
            <v>8301012</v>
          </cell>
          <cell r="B20491">
            <v>112477</v>
          </cell>
          <cell r="C20491" t="str">
            <v>New Mills Nursery School</v>
          </cell>
          <cell r="D20491" t="str">
            <v>Derbyshire</v>
          </cell>
          <cell r="E20491" t="str">
            <v>LA Nursery School</v>
          </cell>
          <cell r="F20491" t="str">
            <v>Nursery</v>
          </cell>
        </row>
        <row r="20492">
          <cell r="A20492">
            <v>8302179</v>
          </cell>
          <cell r="B20492">
            <v>112597</v>
          </cell>
          <cell r="C20492" t="str">
            <v>New Mills Primary School</v>
          </cell>
          <cell r="D20492" t="str">
            <v>Derbyshire</v>
          </cell>
          <cell r="E20492" t="str">
            <v>Community School</v>
          </cell>
          <cell r="F20492" t="str">
            <v>Primary</v>
          </cell>
        </row>
        <row r="20493">
          <cell r="A20493">
            <v>8304057</v>
          </cell>
          <cell r="B20493">
            <v>112936</v>
          </cell>
          <cell r="C20493" t="str">
            <v>New Mills School Business &amp; Enterprise College</v>
          </cell>
          <cell r="D20493" t="str">
            <v>Derbyshire</v>
          </cell>
          <cell r="E20493" t="str">
            <v>Community School</v>
          </cell>
          <cell r="F20493" t="str">
            <v>Secondary</v>
          </cell>
        </row>
        <row r="20494">
          <cell r="A20494">
            <v>8502137</v>
          </cell>
          <cell r="B20494">
            <v>115928</v>
          </cell>
          <cell r="C20494" t="str">
            <v>New Milton Infant School</v>
          </cell>
          <cell r="D20494" t="str">
            <v>Hampshire</v>
          </cell>
          <cell r="E20494" t="str">
            <v>Community School</v>
          </cell>
          <cell r="F20494" t="str">
            <v>Primary</v>
          </cell>
        </row>
        <row r="20495">
          <cell r="A20495">
            <v>8502140</v>
          </cell>
          <cell r="B20495">
            <v>115929</v>
          </cell>
          <cell r="C20495" t="str">
            <v>New Milton Junior School</v>
          </cell>
          <cell r="D20495" t="str">
            <v>Hampshire</v>
          </cell>
          <cell r="E20495" t="str">
            <v>Community School</v>
          </cell>
          <cell r="F20495" t="str">
            <v>Primary</v>
          </cell>
        </row>
        <row r="20496">
          <cell r="A20496">
            <v>2086396</v>
          </cell>
          <cell r="B20496">
            <v>131663</v>
          </cell>
          <cell r="C20496" t="str">
            <v>New Mind School</v>
          </cell>
          <cell r="D20496" t="str">
            <v>Lambeth</v>
          </cell>
          <cell r="E20496" t="str">
            <v>Other Independent School</v>
          </cell>
          <cell r="F20496" t="str">
            <v>Not applicable</v>
          </cell>
        </row>
        <row r="20497">
          <cell r="A20497">
            <v>9362492</v>
          </cell>
          <cell r="B20497">
            <v>125082</v>
          </cell>
          <cell r="C20497" t="str">
            <v>New Monument School</v>
          </cell>
          <cell r="D20497" t="str">
            <v>Surrey</v>
          </cell>
          <cell r="E20497" t="str">
            <v>Community School</v>
          </cell>
          <cell r="F20497" t="str">
            <v>Primary</v>
          </cell>
        </row>
        <row r="20498">
          <cell r="A20498">
            <v>3177008</v>
          </cell>
          <cell r="B20498">
            <v>127017</v>
          </cell>
          <cell r="C20498" t="str">
            <v>New Mossford School</v>
          </cell>
          <cell r="D20498" t="str">
            <v>Redbridge</v>
          </cell>
          <cell r="E20498" t="str">
            <v>Community Special School</v>
          </cell>
          <cell r="F20498" t="str">
            <v>Special</v>
          </cell>
        </row>
        <row r="20499">
          <cell r="A20499">
            <v>3522185</v>
          </cell>
          <cell r="B20499">
            <v>105433</v>
          </cell>
          <cell r="C20499" t="str">
            <v>New Moston Infant School</v>
          </cell>
          <cell r="D20499" t="str">
            <v>Manchester</v>
          </cell>
          <cell r="E20499" t="str">
            <v>Community School</v>
          </cell>
          <cell r="F20499" t="str">
            <v>Primary</v>
          </cell>
        </row>
        <row r="20500">
          <cell r="A20500">
            <v>3522184</v>
          </cell>
          <cell r="B20500">
            <v>105432</v>
          </cell>
          <cell r="C20500" t="str">
            <v>New Moston Primary School</v>
          </cell>
          <cell r="D20500" t="str">
            <v>Manchester</v>
          </cell>
          <cell r="E20500" t="str">
            <v>Community School</v>
          </cell>
          <cell r="F20500" t="str">
            <v>Primary</v>
          </cell>
        </row>
        <row r="20501">
          <cell r="A20501">
            <v>9356070</v>
          </cell>
          <cell r="B20501">
            <v>130004</v>
          </cell>
          <cell r="C20501" t="str">
            <v>New Norseland School</v>
          </cell>
          <cell r="D20501" t="str">
            <v>Suffolk</v>
          </cell>
          <cell r="E20501" t="str">
            <v>Other Independent School</v>
          </cell>
          <cell r="F20501" t="str">
            <v>Not applicable</v>
          </cell>
        </row>
        <row r="20502">
          <cell r="A20502">
            <v>2063644</v>
          </cell>
          <cell r="B20502">
            <v>134413</v>
          </cell>
          <cell r="C20502" t="str">
            <v>New North Community School</v>
          </cell>
          <cell r="D20502" t="str">
            <v>Islington</v>
          </cell>
          <cell r="E20502" t="str">
            <v>Community School</v>
          </cell>
          <cell r="F20502" t="str">
            <v>Primary</v>
          </cell>
        </row>
        <row r="20503">
          <cell r="A20503">
            <v>2063644</v>
          </cell>
          <cell r="B20503">
            <v>137393</v>
          </cell>
          <cell r="C20503" t="str">
            <v>New North Community School</v>
          </cell>
          <cell r="D20503" t="str">
            <v>Islington</v>
          </cell>
          <cell r="E20503" t="str">
            <v>Academy Converters</v>
          </cell>
          <cell r="F20503" t="str">
            <v>Primary</v>
          </cell>
        </row>
        <row r="20504">
          <cell r="A20504">
            <v>8013434</v>
          </cell>
          <cell r="B20504">
            <v>134915</v>
          </cell>
          <cell r="C20504" t="str">
            <v>New Oak Primary</v>
          </cell>
          <cell r="D20504" t="str">
            <v>Bristol City of</v>
          </cell>
          <cell r="E20504" t="str">
            <v>Community School</v>
          </cell>
          <cell r="F20504" t="str">
            <v>Primary</v>
          </cell>
        </row>
        <row r="20505">
          <cell r="A20505">
            <v>3302424</v>
          </cell>
          <cell r="B20505">
            <v>103355</v>
          </cell>
          <cell r="C20505" t="str">
            <v>New Oscott Infant and Nursery School</v>
          </cell>
          <cell r="D20505" t="str">
            <v>Birmingham</v>
          </cell>
          <cell r="E20505" t="str">
            <v>Community School</v>
          </cell>
          <cell r="F20505" t="str">
            <v>Primary</v>
          </cell>
        </row>
        <row r="20506">
          <cell r="A20506">
            <v>3302428</v>
          </cell>
          <cell r="B20506">
            <v>103359</v>
          </cell>
          <cell r="C20506" t="str">
            <v>New Oscott Junior School</v>
          </cell>
          <cell r="D20506" t="str">
            <v>Birmingham</v>
          </cell>
          <cell r="E20506" t="str">
            <v>Community School</v>
          </cell>
          <cell r="F20506" t="str">
            <v>Primary</v>
          </cell>
        </row>
        <row r="20507">
          <cell r="A20507">
            <v>3303431</v>
          </cell>
          <cell r="B20507">
            <v>134774</v>
          </cell>
          <cell r="C20507" t="str">
            <v>New Oscott Primary School</v>
          </cell>
          <cell r="D20507" t="str">
            <v>Birmingham</v>
          </cell>
          <cell r="E20507" t="str">
            <v>Community School</v>
          </cell>
          <cell r="F20507" t="str">
            <v>Primary</v>
          </cell>
        </row>
        <row r="20508">
          <cell r="A20508">
            <v>3557027</v>
          </cell>
          <cell r="B20508">
            <v>106011</v>
          </cell>
          <cell r="C20508" t="str">
            <v>New Park High School</v>
          </cell>
          <cell r="D20508" t="str">
            <v>Salford</v>
          </cell>
          <cell r="E20508" t="str">
            <v>Community Special School</v>
          </cell>
          <cell r="F20508" t="str">
            <v>Special</v>
          </cell>
        </row>
        <row r="20509">
          <cell r="A20509">
            <v>3412223</v>
          </cell>
          <cell r="B20509">
            <v>131314</v>
          </cell>
          <cell r="C20509" t="str">
            <v>New Park Primary School</v>
          </cell>
          <cell r="D20509" t="str">
            <v>Liverpool</v>
          </cell>
          <cell r="E20509" t="str">
            <v>Community School</v>
          </cell>
          <cell r="F20509" t="str">
            <v>Primary</v>
          </cell>
        </row>
        <row r="20510">
          <cell r="A20510">
            <v>3367015</v>
          </cell>
          <cell r="B20510">
            <v>134261</v>
          </cell>
          <cell r="C20510" t="str">
            <v>New Park School</v>
          </cell>
          <cell r="D20510" t="str">
            <v>Wolverhampton</v>
          </cell>
          <cell r="E20510" t="str">
            <v>Community Special School</v>
          </cell>
          <cell r="F20510" t="str">
            <v>Special</v>
          </cell>
        </row>
        <row r="20511">
          <cell r="A20511">
            <v>8564272</v>
          </cell>
          <cell r="B20511">
            <v>120296</v>
          </cell>
          <cell r="C20511" t="str">
            <v>New Parks Community College</v>
          </cell>
          <cell r="D20511" t="str">
            <v>Leicester</v>
          </cell>
          <cell r="E20511" t="str">
            <v>Community School</v>
          </cell>
          <cell r="F20511" t="str">
            <v>Secondary</v>
          </cell>
        </row>
        <row r="20512">
          <cell r="A20512">
            <v>8112879</v>
          </cell>
          <cell r="B20512">
            <v>117909</v>
          </cell>
          <cell r="C20512" t="str">
            <v>New Pasture Lane Primary School</v>
          </cell>
          <cell r="D20512" t="str">
            <v>East Riding of Yorkshire</v>
          </cell>
          <cell r="E20512" t="str">
            <v>Community School</v>
          </cell>
          <cell r="F20512" t="str">
            <v>Primary</v>
          </cell>
        </row>
        <row r="20513">
          <cell r="A20513">
            <v>3942164</v>
          </cell>
          <cell r="B20513">
            <v>108821</v>
          </cell>
          <cell r="C20513" t="str">
            <v>New Penshaw Primary School</v>
          </cell>
          <cell r="D20513" t="str">
            <v>Sunderland</v>
          </cell>
          <cell r="E20513" t="str">
            <v>Community School</v>
          </cell>
          <cell r="F20513" t="str">
            <v>Primary</v>
          </cell>
        </row>
        <row r="20514">
          <cell r="A20514">
            <v>3086063</v>
          </cell>
          <cell r="B20514">
            <v>126896</v>
          </cell>
          <cell r="C20514" t="str">
            <v>New Rainbow School</v>
          </cell>
          <cell r="D20514" t="str">
            <v>Enfield</v>
          </cell>
          <cell r="E20514" t="str">
            <v>Other Independent School</v>
          </cell>
          <cell r="F20514" t="str">
            <v>Not applicable</v>
          </cell>
        </row>
        <row r="20515">
          <cell r="A20515">
            <v>2041103</v>
          </cell>
          <cell r="B20515">
            <v>134635</v>
          </cell>
          <cell r="C20515" t="str">
            <v>New Regent's College</v>
          </cell>
          <cell r="D20515" t="str">
            <v>Hackney</v>
          </cell>
          <cell r="E20515" t="str">
            <v>Pupil Referral Unit</v>
          </cell>
          <cell r="F20515" t="str">
            <v>PRU</v>
          </cell>
        </row>
        <row r="20516">
          <cell r="A20516">
            <v>8816905</v>
          </cell>
          <cell r="B20516">
            <v>135651</v>
          </cell>
          <cell r="C20516" t="str">
            <v>New Rickstones Academy</v>
          </cell>
          <cell r="D20516" t="str">
            <v>Essex</v>
          </cell>
          <cell r="E20516" t="str">
            <v>Academy Sponsor Led</v>
          </cell>
          <cell r="F20516" t="str">
            <v>Secondary</v>
          </cell>
        </row>
        <row r="20517">
          <cell r="A20517">
            <v>2061104</v>
          </cell>
          <cell r="B20517">
            <v>100391</v>
          </cell>
          <cell r="C20517" t="str">
            <v>New River College KS4</v>
          </cell>
          <cell r="D20517" t="str">
            <v>Islington</v>
          </cell>
          <cell r="E20517" t="str">
            <v>Pupil Referral Unit</v>
          </cell>
          <cell r="F20517" t="str">
            <v>PRU</v>
          </cell>
        </row>
        <row r="20518">
          <cell r="A20518">
            <v>2041100</v>
          </cell>
          <cell r="B20518">
            <v>100214</v>
          </cell>
          <cell r="C20518" t="str">
            <v>New River Pupil Referral Unit</v>
          </cell>
          <cell r="D20518" t="str">
            <v>Hackney</v>
          </cell>
          <cell r="E20518" t="str">
            <v>Pupil Referral Unit</v>
          </cell>
          <cell r="F20518" t="str">
            <v>PRU</v>
          </cell>
        </row>
        <row r="20519">
          <cell r="A20519">
            <v>3812066</v>
          </cell>
          <cell r="B20519">
            <v>107518</v>
          </cell>
          <cell r="C20519" t="str">
            <v>New Road Primary School</v>
          </cell>
          <cell r="D20519" t="str">
            <v>Calderdale</v>
          </cell>
          <cell r="E20519" t="str">
            <v>Community School</v>
          </cell>
          <cell r="F20519" t="str">
            <v>Primary</v>
          </cell>
        </row>
        <row r="20520">
          <cell r="A20520">
            <v>8732088</v>
          </cell>
          <cell r="B20520">
            <v>110647</v>
          </cell>
          <cell r="C20520" t="str">
            <v>New Road Primary School</v>
          </cell>
          <cell r="D20520" t="str">
            <v>Cambridgeshire</v>
          </cell>
          <cell r="E20520" t="str">
            <v>Community School</v>
          </cell>
          <cell r="F20520" t="str">
            <v>Primary</v>
          </cell>
        </row>
        <row r="20521">
          <cell r="A20521">
            <v>8872202</v>
          </cell>
          <cell r="B20521">
            <v>118320</v>
          </cell>
          <cell r="C20521" t="str">
            <v>New Road School and Nursery Unit</v>
          </cell>
          <cell r="D20521" t="str">
            <v>Medway</v>
          </cell>
          <cell r="E20521" t="str">
            <v>Community School</v>
          </cell>
          <cell r="F20521" t="str">
            <v>Primary</v>
          </cell>
        </row>
        <row r="20522">
          <cell r="A20522">
            <v>8863141</v>
          </cell>
          <cell r="B20522">
            <v>118668</v>
          </cell>
          <cell r="C20522" t="str">
            <v>New Romney Church of England (Controlled) Junior School</v>
          </cell>
          <cell r="D20522" t="str">
            <v>Kent</v>
          </cell>
          <cell r="E20522" t="str">
            <v>Voluntary Controlled School</v>
          </cell>
          <cell r="F20522" t="str">
            <v>Primary</v>
          </cell>
        </row>
        <row r="20523">
          <cell r="A20523">
            <v>8862601</v>
          </cell>
          <cell r="B20523">
            <v>118533</v>
          </cell>
          <cell r="C20523" t="str">
            <v>New Romney Infant School</v>
          </cell>
          <cell r="D20523" t="str">
            <v>Kent</v>
          </cell>
          <cell r="E20523" t="str">
            <v>Community School</v>
          </cell>
          <cell r="F20523" t="str">
            <v>Primary</v>
          </cell>
        </row>
        <row r="20524">
          <cell r="A20524">
            <v>8912950</v>
          </cell>
          <cell r="B20524">
            <v>132249</v>
          </cell>
          <cell r="C20524" t="str">
            <v>New Rose Primary School</v>
          </cell>
          <cell r="D20524" t="str">
            <v>Nottinghamshire</v>
          </cell>
          <cell r="E20524" t="str">
            <v>Community School</v>
          </cell>
          <cell r="F20524" t="str">
            <v>Primary</v>
          </cell>
        </row>
        <row r="20525">
          <cell r="A20525">
            <v>8672154</v>
          </cell>
          <cell r="B20525">
            <v>109883</v>
          </cell>
          <cell r="C20525" t="str">
            <v>New Scotland Hill Primary School</v>
          </cell>
          <cell r="D20525" t="str">
            <v>Bracknell Forest</v>
          </cell>
          <cell r="E20525" t="str">
            <v>Community School</v>
          </cell>
          <cell r="F20525" t="str">
            <v>Primary</v>
          </cell>
        </row>
        <row r="20526">
          <cell r="A20526">
            <v>8402023</v>
          </cell>
          <cell r="B20526">
            <v>113996</v>
          </cell>
          <cell r="C20526" t="str">
            <v>New Seaham Primary School</v>
          </cell>
          <cell r="D20526" t="str">
            <v>Durham</v>
          </cell>
          <cell r="E20526" t="str">
            <v>Community School</v>
          </cell>
          <cell r="F20526" t="str">
            <v>Primary</v>
          </cell>
        </row>
        <row r="20527">
          <cell r="A20527">
            <v>8037031</v>
          </cell>
          <cell r="B20527">
            <v>109404</v>
          </cell>
          <cell r="C20527" t="str">
            <v>New Siblands School</v>
          </cell>
          <cell r="D20527" t="str">
            <v>South Gloucestershire</v>
          </cell>
          <cell r="E20527" t="str">
            <v>Community Special School</v>
          </cell>
          <cell r="F20527" t="str">
            <v>Special</v>
          </cell>
        </row>
        <row r="20528">
          <cell r="A20528">
            <v>3942096</v>
          </cell>
          <cell r="B20528">
            <v>108790</v>
          </cell>
          <cell r="C20528" t="str">
            <v>New Silksworth Infant School</v>
          </cell>
          <cell r="D20528" t="str">
            <v>Sunderland</v>
          </cell>
          <cell r="E20528" t="str">
            <v>Community School</v>
          </cell>
          <cell r="F20528" t="str">
            <v>Primary</v>
          </cell>
        </row>
        <row r="20529">
          <cell r="A20529">
            <v>3942095</v>
          </cell>
          <cell r="B20529">
            <v>108789</v>
          </cell>
          <cell r="C20529" t="str">
            <v>New Silksworth Junior School</v>
          </cell>
          <cell r="D20529" t="str">
            <v>Sunderland</v>
          </cell>
          <cell r="E20529" t="str">
            <v>Community School</v>
          </cell>
          <cell r="F20529" t="str">
            <v>Primary</v>
          </cell>
        </row>
        <row r="20530">
          <cell r="A20530">
            <v>6741120</v>
          </cell>
          <cell r="B20530">
            <v>402245</v>
          </cell>
          <cell r="C20530" t="str">
            <v>New Start Skills Centre Ty Catrin</v>
          </cell>
          <cell r="D20530" t="str">
            <v>Rhondda, Cynon, Taff</v>
          </cell>
          <cell r="E20530" t="str">
            <v>Welsh Establishment</v>
          </cell>
          <cell r="F20530" t="str">
            <v>Not applicable</v>
          </cell>
        </row>
        <row r="20531">
          <cell r="A20531">
            <v>3511100</v>
          </cell>
          <cell r="B20531">
            <v>131506</v>
          </cell>
          <cell r="C20531" t="str">
            <v>New Summerseat House</v>
          </cell>
          <cell r="D20531" t="str">
            <v>Bury</v>
          </cell>
          <cell r="E20531" t="str">
            <v>Pupil Referral Unit</v>
          </cell>
          <cell r="F20531" t="str">
            <v>PRU</v>
          </cell>
        </row>
        <row r="20532">
          <cell r="A20532">
            <v>3517008</v>
          </cell>
          <cell r="B20532">
            <v>105375</v>
          </cell>
          <cell r="C20532" t="str">
            <v>New Summerseat House School</v>
          </cell>
          <cell r="D20532" t="str">
            <v>Bury</v>
          </cell>
          <cell r="E20532" t="str">
            <v>Community Special School</v>
          </cell>
          <cell r="F20532" t="str">
            <v>Special</v>
          </cell>
        </row>
        <row r="20533">
          <cell r="A20533">
            <v>8552026</v>
          </cell>
          <cell r="B20533">
            <v>119917</v>
          </cell>
          <cell r="C20533" t="str">
            <v>New Swannington Primary School</v>
          </cell>
          <cell r="D20533" t="str">
            <v>Leicestershire</v>
          </cell>
          <cell r="E20533" t="str">
            <v>Community School</v>
          </cell>
          <cell r="F20533" t="str">
            <v>Primary</v>
          </cell>
        </row>
        <row r="20534">
          <cell r="A20534">
            <v>8702014</v>
          </cell>
          <cell r="B20534">
            <v>109785</v>
          </cell>
          <cell r="C20534" t="str">
            <v>New Town Primary School</v>
          </cell>
          <cell r="D20534" t="str">
            <v>Reading</v>
          </cell>
          <cell r="E20534" t="str">
            <v>Community School</v>
          </cell>
          <cell r="F20534" t="str">
            <v>Primary</v>
          </cell>
        </row>
        <row r="20535">
          <cell r="A20535">
            <v>3712066</v>
          </cell>
          <cell r="B20535">
            <v>127606</v>
          </cell>
          <cell r="C20535" t="str">
            <v>New Village First School</v>
          </cell>
          <cell r="D20535" t="str">
            <v>Doncaster</v>
          </cell>
          <cell r="E20535" t="str">
            <v>Community School</v>
          </cell>
          <cell r="F20535" t="str">
            <v>Primary</v>
          </cell>
        </row>
        <row r="20536">
          <cell r="A20536">
            <v>3712065</v>
          </cell>
          <cell r="B20536">
            <v>127605</v>
          </cell>
          <cell r="C20536" t="str">
            <v>New Village Middle School</v>
          </cell>
          <cell r="D20536" t="str">
            <v>Doncaster</v>
          </cell>
          <cell r="E20536" t="str">
            <v>Community School</v>
          </cell>
          <cell r="F20536" t="str">
            <v>Middle Deemed Primary</v>
          </cell>
        </row>
        <row r="20537">
          <cell r="A20537">
            <v>8122124</v>
          </cell>
          <cell r="B20537">
            <v>117742</v>
          </cell>
          <cell r="C20537" t="str">
            <v>New Waltham Primary School</v>
          </cell>
          <cell r="D20537" t="str">
            <v>North East Lincolnshire</v>
          </cell>
          <cell r="E20537" t="str">
            <v>Community School</v>
          </cell>
          <cell r="F20537" t="str">
            <v>Primary</v>
          </cell>
        </row>
        <row r="20538">
          <cell r="A20538">
            <v>8302294</v>
          </cell>
          <cell r="B20538">
            <v>112668</v>
          </cell>
          <cell r="C20538" t="str">
            <v>New Whittington Community Primary School</v>
          </cell>
          <cell r="D20538" t="str">
            <v>Derbyshire</v>
          </cell>
          <cell r="E20538" t="str">
            <v>Community School</v>
          </cell>
          <cell r="F20538" t="str">
            <v>Primary</v>
          </cell>
        </row>
        <row r="20539">
          <cell r="A20539">
            <v>2091102</v>
          </cell>
          <cell r="B20539">
            <v>133761</v>
          </cell>
          <cell r="C20539" t="str">
            <v>New Woodlands PRU Co New Woodlands School</v>
          </cell>
          <cell r="D20539" t="str">
            <v>Lewisham</v>
          </cell>
          <cell r="E20539" t="str">
            <v>Pupil Referral Unit</v>
          </cell>
          <cell r="F20539" t="str">
            <v>PRU</v>
          </cell>
        </row>
        <row r="20540">
          <cell r="A20540">
            <v>2097141</v>
          </cell>
          <cell r="B20540">
            <v>100763</v>
          </cell>
          <cell r="C20540" t="str">
            <v>New Woodlands School</v>
          </cell>
          <cell r="D20540" t="str">
            <v>Lewisham</v>
          </cell>
          <cell r="E20540" t="str">
            <v>Community Special School</v>
          </cell>
          <cell r="F20540" t="str">
            <v>Special</v>
          </cell>
        </row>
        <row r="20541">
          <cell r="A20541">
            <v>3922081</v>
          </cell>
          <cell r="B20541">
            <v>108607</v>
          </cell>
          <cell r="C20541" t="str">
            <v>New York Primary School</v>
          </cell>
          <cell r="D20541" t="str">
            <v>North Tyneside</v>
          </cell>
          <cell r="E20541" t="str">
            <v>Community School</v>
          </cell>
          <cell r="F20541" t="str">
            <v>Primary</v>
          </cell>
        </row>
        <row r="20542">
          <cell r="A20542">
            <v>9252180</v>
          </cell>
          <cell r="B20542">
            <v>120467</v>
          </cell>
          <cell r="C20542" t="str">
            <v>New York Primary School</v>
          </cell>
          <cell r="D20542" t="str">
            <v>Lincolnshire</v>
          </cell>
          <cell r="E20542" t="str">
            <v>Community School</v>
          </cell>
          <cell r="F20542" t="str">
            <v>Primary</v>
          </cell>
        </row>
        <row r="20543">
          <cell r="A20543">
            <v>3832299</v>
          </cell>
          <cell r="B20543">
            <v>127886</v>
          </cell>
          <cell r="C20543" t="str">
            <v>Newall First School</v>
          </cell>
          <cell r="D20543" t="str">
            <v>Leeds</v>
          </cell>
          <cell r="E20543" t="str">
            <v>Community School</v>
          </cell>
          <cell r="F20543" t="str">
            <v>Primary</v>
          </cell>
        </row>
        <row r="20544">
          <cell r="A20544">
            <v>3524286</v>
          </cell>
          <cell r="B20544">
            <v>105571</v>
          </cell>
          <cell r="C20544" t="str">
            <v>Newall Green High School</v>
          </cell>
          <cell r="D20544" t="str">
            <v>Manchester</v>
          </cell>
          <cell r="E20544" t="str">
            <v>Foundation School</v>
          </cell>
          <cell r="F20544" t="str">
            <v>Secondary</v>
          </cell>
        </row>
        <row r="20545">
          <cell r="A20545">
            <v>3522183</v>
          </cell>
          <cell r="B20545">
            <v>105431</v>
          </cell>
          <cell r="C20545" t="str">
            <v>Newall Green Infant School</v>
          </cell>
          <cell r="D20545" t="str">
            <v>Manchester</v>
          </cell>
          <cell r="E20545" t="str">
            <v>Community School</v>
          </cell>
          <cell r="F20545" t="str">
            <v>Primary</v>
          </cell>
        </row>
        <row r="20546">
          <cell r="A20546">
            <v>3522182</v>
          </cell>
          <cell r="B20546">
            <v>105430</v>
          </cell>
          <cell r="C20546" t="str">
            <v>Newall Green Primary School</v>
          </cell>
          <cell r="D20546" t="str">
            <v>Manchester</v>
          </cell>
          <cell r="E20546" t="str">
            <v>Community School</v>
          </cell>
          <cell r="F20546" t="str">
            <v>Primary</v>
          </cell>
        </row>
        <row r="20547">
          <cell r="A20547">
            <v>8918004</v>
          </cell>
          <cell r="B20547">
            <v>130778</v>
          </cell>
          <cell r="C20547" t="str">
            <v>Newark and Sherwood College</v>
          </cell>
          <cell r="D20547" t="str">
            <v>Nottinghamshire</v>
          </cell>
          <cell r="E20547" t="str">
            <v>Further Education</v>
          </cell>
          <cell r="F20547" t="str">
            <v>16 Plus</v>
          </cell>
        </row>
        <row r="20548">
          <cell r="A20548">
            <v>9307020</v>
          </cell>
          <cell r="B20548">
            <v>122954</v>
          </cell>
          <cell r="C20548" t="str">
            <v>Newark Appletongate School</v>
          </cell>
          <cell r="D20548" t="str">
            <v>Pre LGR (1998) Nottinghamshire</v>
          </cell>
          <cell r="E20548" t="str">
            <v>Community Special School</v>
          </cell>
          <cell r="F20548" t="str">
            <v>Special</v>
          </cell>
        </row>
        <row r="20549">
          <cell r="A20549">
            <v>8742275</v>
          </cell>
          <cell r="B20549">
            <v>110727</v>
          </cell>
          <cell r="C20549" t="str">
            <v>Newark Hill Primary School</v>
          </cell>
          <cell r="D20549" t="str">
            <v>Peterborough</v>
          </cell>
          <cell r="E20549" t="str">
            <v>Community School</v>
          </cell>
          <cell r="F20549" t="str">
            <v>Primary</v>
          </cell>
        </row>
        <row r="20550">
          <cell r="A20550">
            <v>9307016</v>
          </cell>
          <cell r="B20550">
            <v>122951</v>
          </cell>
          <cell r="C20550" t="str">
            <v>Newark Linden School</v>
          </cell>
          <cell r="D20550" t="str">
            <v>Pre LGR (1998) Nottinghamshire</v>
          </cell>
          <cell r="E20550" t="str">
            <v>Community Special School</v>
          </cell>
          <cell r="F20550" t="str">
            <v>Special</v>
          </cell>
        </row>
        <row r="20551">
          <cell r="A20551">
            <v>9304517</v>
          </cell>
          <cell r="B20551">
            <v>122890</v>
          </cell>
          <cell r="C20551" t="str">
            <v>Newark Magdalene High School</v>
          </cell>
          <cell r="D20551" t="str">
            <v>Pre LGR (1998) Nottinghamshire</v>
          </cell>
          <cell r="E20551" t="str">
            <v>Voluntary Controlled School</v>
          </cell>
          <cell r="F20551" t="str">
            <v>Secondary</v>
          </cell>
        </row>
        <row r="20552">
          <cell r="A20552">
            <v>8917041</v>
          </cell>
          <cell r="B20552">
            <v>130996</v>
          </cell>
          <cell r="C20552" t="str">
            <v>Newark Orchard School</v>
          </cell>
          <cell r="D20552" t="str">
            <v>Nottinghamshire</v>
          </cell>
          <cell r="E20552" t="str">
            <v>Community Special School</v>
          </cell>
          <cell r="F20552" t="str">
            <v>Special</v>
          </cell>
        </row>
        <row r="20553">
          <cell r="A20553">
            <v>8911103</v>
          </cell>
          <cell r="B20553">
            <v>122400</v>
          </cell>
          <cell r="C20553" t="str">
            <v>Newark Pupil Referral Unit</v>
          </cell>
          <cell r="D20553" t="str">
            <v>Nottinghamshire</v>
          </cell>
          <cell r="E20553" t="str">
            <v>Pupil Referral Unit</v>
          </cell>
          <cell r="F20553" t="str">
            <v>PRU</v>
          </cell>
        </row>
        <row r="20554">
          <cell r="A20554">
            <v>9244229</v>
          </cell>
          <cell r="B20554">
            <v>129543</v>
          </cell>
          <cell r="C20554" t="str">
            <v>Newarke School</v>
          </cell>
          <cell r="D20554" t="str">
            <v>Pre LGR (1997) Leicestershire</v>
          </cell>
          <cell r="E20554" t="str">
            <v>Community School</v>
          </cell>
          <cell r="F20554" t="str">
            <v>Secondary</v>
          </cell>
        </row>
        <row r="20555">
          <cell r="A20555">
            <v>8112739</v>
          </cell>
          <cell r="B20555">
            <v>117859</v>
          </cell>
          <cell r="C20555" t="str">
            <v>Newbald Primary School</v>
          </cell>
          <cell r="D20555" t="str">
            <v>East Riding of Yorkshire</v>
          </cell>
          <cell r="E20555" t="str">
            <v>Community School</v>
          </cell>
          <cell r="F20555" t="str">
            <v>Primary</v>
          </cell>
        </row>
        <row r="20556">
          <cell r="A20556">
            <v>9092712</v>
          </cell>
          <cell r="B20556">
            <v>112244</v>
          </cell>
          <cell r="C20556" t="str">
            <v>Newbarns Primary School</v>
          </cell>
          <cell r="D20556" t="str">
            <v>Cumbria</v>
          </cell>
          <cell r="E20556" t="str">
            <v>Community School</v>
          </cell>
          <cell r="F20556" t="str">
            <v>Primary</v>
          </cell>
        </row>
        <row r="20557">
          <cell r="A20557">
            <v>9192378</v>
          </cell>
          <cell r="B20557">
            <v>117303</v>
          </cell>
          <cell r="C20557" t="str">
            <v>Newberries Primary School</v>
          </cell>
          <cell r="D20557" t="str">
            <v>Hertfordshire</v>
          </cell>
          <cell r="E20557" t="str">
            <v>Community School</v>
          </cell>
          <cell r="F20557" t="str">
            <v>Primary</v>
          </cell>
        </row>
        <row r="20558">
          <cell r="A20558">
            <v>9294224</v>
          </cell>
          <cell r="B20558">
            <v>122342</v>
          </cell>
          <cell r="C20558" t="str">
            <v>Newbiggin Middle School</v>
          </cell>
          <cell r="D20558" t="str">
            <v>Northumberland</v>
          </cell>
          <cell r="E20558" t="str">
            <v>Community School</v>
          </cell>
          <cell r="F20558" t="str">
            <v>Middle Deemed Secondary</v>
          </cell>
        </row>
        <row r="20559">
          <cell r="A20559">
            <v>9292192</v>
          </cell>
          <cell r="B20559">
            <v>122212</v>
          </cell>
          <cell r="C20559" t="str">
            <v>Newbiggin-by-the-Sea Moorside First School</v>
          </cell>
          <cell r="D20559" t="str">
            <v>Northumberland</v>
          </cell>
          <cell r="E20559" t="str">
            <v>Community School</v>
          </cell>
          <cell r="F20559" t="str">
            <v>Primary</v>
          </cell>
        </row>
        <row r="20560">
          <cell r="A20560">
            <v>9373214</v>
          </cell>
          <cell r="B20560">
            <v>130882</v>
          </cell>
          <cell r="C20560" t="str">
            <v>Newbold and Tredington CofE Primary School</v>
          </cell>
          <cell r="D20560" t="str">
            <v>Warwickshire</v>
          </cell>
          <cell r="E20560" t="str">
            <v>Voluntary Controlled School</v>
          </cell>
          <cell r="F20560" t="str">
            <v>Primary</v>
          </cell>
        </row>
        <row r="20561">
          <cell r="A20561">
            <v>9372408</v>
          </cell>
          <cell r="B20561">
            <v>125572</v>
          </cell>
          <cell r="C20561" t="str">
            <v>Newbold Avon Middle School</v>
          </cell>
          <cell r="D20561" t="str">
            <v>Warwickshire</v>
          </cell>
          <cell r="E20561" t="str">
            <v>Community School</v>
          </cell>
          <cell r="F20561" t="str">
            <v>Middle Deemed Primary</v>
          </cell>
        </row>
        <row r="20562">
          <cell r="A20562">
            <v>8553066</v>
          </cell>
          <cell r="B20562">
            <v>120149</v>
          </cell>
          <cell r="C20562" t="str">
            <v>Newbold CofE Primary School</v>
          </cell>
          <cell r="D20562" t="str">
            <v>Leicestershire</v>
          </cell>
          <cell r="E20562" t="str">
            <v>Voluntary Controlled School</v>
          </cell>
          <cell r="F20562" t="str">
            <v>Primary</v>
          </cell>
        </row>
        <row r="20563">
          <cell r="A20563">
            <v>8303308</v>
          </cell>
          <cell r="B20563">
            <v>112879</v>
          </cell>
          <cell r="C20563" t="str">
            <v>Newbold CofE VA Primary School</v>
          </cell>
          <cell r="D20563" t="str">
            <v>Derbyshire</v>
          </cell>
          <cell r="E20563" t="str">
            <v>Voluntary Aided School</v>
          </cell>
          <cell r="F20563" t="str">
            <v>Primary</v>
          </cell>
        </row>
        <row r="20564">
          <cell r="A20564">
            <v>8304194</v>
          </cell>
          <cell r="B20564">
            <v>112960</v>
          </cell>
          <cell r="C20564" t="str">
            <v>Newbold Community School</v>
          </cell>
          <cell r="D20564" t="str">
            <v>Derbyshire</v>
          </cell>
          <cell r="E20564" t="str">
            <v>Community School</v>
          </cell>
          <cell r="F20564" t="str">
            <v>Secondary</v>
          </cell>
        </row>
        <row r="20565">
          <cell r="A20565">
            <v>9372406</v>
          </cell>
          <cell r="B20565">
            <v>125571</v>
          </cell>
          <cell r="C20565" t="str">
            <v>Newbold Glebe First School</v>
          </cell>
          <cell r="D20565" t="str">
            <v>Warwickshire</v>
          </cell>
          <cell r="E20565" t="str">
            <v>Community School</v>
          </cell>
          <cell r="F20565" t="str">
            <v>Primary</v>
          </cell>
        </row>
        <row r="20566">
          <cell r="A20566">
            <v>9104102</v>
          </cell>
          <cell r="B20566">
            <v>128642</v>
          </cell>
          <cell r="C20566" t="str">
            <v>Newbold Green School</v>
          </cell>
          <cell r="D20566" t="str">
            <v>Pre LGR (1997) Derbyshire</v>
          </cell>
          <cell r="E20566" t="str">
            <v>Community School</v>
          </cell>
          <cell r="F20566" t="str">
            <v>Secondary</v>
          </cell>
        </row>
        <row r="20567">
          <cell r="A20567">
            <v>9372627</v>
          </cell>
          <cell r="B20567">
            <v>130888</v>
          </cell>
          <cell r="C20567" t="str">
            <v>Newbold Riverside Primary School</v>
          </cell>
          <cell r="D20567" t="str">
            <v>Warwickshire</v>
          </cell>
          <cell r="E20567" t="str">
            <v>Community School</v>
          </cell>
          <cell r="F20567" t="str">
            <v>Primary</v>
          </cell>
        </row>
        <row r="20568">
          <cell r="A20568">
            <v>8676004</v>
          </cell>
          <cell r="B20568">
            <v>110141</v>
          </cell>
          <cell r="C20568" t="str">
            <v>Newbold School</v>
          </cell>
          <cell r="D20568" t="str">
            <v>Bracknell Forest</v>
          </cell>
          <cell r="E20568" t="str">
            <v>Other Independent School</v>
          </cell>
          <cell r="F20568" t="str">
            <v>Not applicable</v>
          </cell>
        </row>
        <row r="20569">
          <cell r="A20569">
            <v>8552078</v>
          </cell>
          <cell r="B20569">
            <v>119942</v>
          </cell>
          <cell r="C20569" t="str">
            <v>Newbold Verdon Primary School</v>
          </cell>
          <cell r="D20569" t="str">
            <v>Leicestershire</v>
          </cell>
          <cell r="E20569" t="str">
            <v>Community School</v>
          </cell>
          <cell r="F20569" t="str">
            <v>Primary</v>
          </cell>
        </row>
        <row r="20570">
          <cell r="A20570">
            <v>9373046</v>
          </cell>
          <cell r="B20570">
            <v>125642</v>
          </cell>
          <cell r="C20570" t="str">
            <v>Newbold-On-Stour Junior and Infant School</v>
          </cell>
          <cell r="D20570" t="str">
            <v>Warwickshire</v>
          </cell>
          <cell r="E20570" t="str">
            <v>Voluntary Controlled School</v>
          </cell>
          <cell r="F20570" t="str">
            <v>Primary</v>
          </cell>
        </row>
        <row r="20571">
          <cell r="A20571">
            <v>8743080</v>
          </cell>
          <cell r="B20571">
            <v>110826</v>
          </cell>
          <cell r="C20571" t="str">
            <v>Newborough CofE Primary School</v>
          </cell>
          <cell r="D20571" t="str">
            <v>Peterborough</v>
          </cell>
          <cell r="E20571" t="str">
            <v>Voluntary Controlled School</v>
          </cell>
          <cell r="F20571" t="str">
            <v>Primary</v>
          </cell>
        </row>
        <row r="20572">
          <cell r="A20572">
            <v>3416014</v>
          </cell>
          <cell r="B20572">
            <v>104725</v>
          </cell>
          <cell r="C20572" t="str">
            <v>Newborough School</v>
          </cell>
          <cell r="D20572" t="str">
            <v>Liverpool</v>
          </cell>
          <cell r="E20572" t="str">
            <v>Other Independent School</v>
          </cell>
          <cell r="F20572" t="str">
            <v>Not applicable</v>
          </cell>
        </row>
        <row r="20573">
          <cell r="A20573">
            <v>9283331</v>
          </cell>
          <cell r="B20573">
            <v>122027</v>
          </cell>
          <cell r="C20573" t="str">
            <v>Newbottle and Charlton Church of England Primary School</v>
          </cell>
          <cell r="D20573" t="str">
            <v>Northamptonshire</v>
          </cell>
          <cell r="E20573" t="str">
            <v>Voluntary Aided School</v>
          </cell>
          <cell r="F20573" t="str">
            <v>Primary</v>
          </cell>
        </row>
        <row r="20574">
          <cell r="A20574">
            <v>3942118</v>
          </cell>
          <cell r="B20574">
            <v>108801</v>
          </cell>
          <cell r="C20574" t="str">
            <v>Newbottle Primary School</v>
          </cell>
          <cell r="D20574" t="str">
            <v>Sunderland</v>
          </cell>
          <cell r="E20574" t="str">
            <v>Community School</v>
          </cell>
          <cell r="F20574" t="str">
            <v>Primary</v>
          </cell>
        </row>
        <row r="20575">
          <cell r="A20575">
            <v>8554007</v>
          </cell>
          <cell r="B20575">
            <v>120239</v>
          </cell>
          <cell r="C20575" t="str">
            <v>Newbridge High School</v>
          </cell>
          <cell r="D20575" t="str">
            <v>Leicestershire</v>
          </cell>
          <cell r="E20575" t="str">
            <v>Community School</v>
          </cell>
          <cell r="F20575" t="str">
            <v>Secondary</v>
          </cell>
        </row>
        <row r="20576">
          <cell r="A20576">
            <v>8916030</v>
          </cell>
          <cell r="B20576">
            <v>133207</v>
          </cell>
          <cell r="C20576" t="str">
            <v>Newbridge House</v>
          </cell>
          <cell r="D20576" t="str">
            <v>Nottinghamshire</v>
          </cell>
          <cell r="E20576" t="str">
            <v>Other Independent Special School</v>
          </cell>
          <cell r="F20576" t="str">
            <v>Not applicable</v>
          </cell>
        </row>
        <row r="20577">
          <cell r="A20577">
            <v>9091105</v>
          </cell>
          <cell r="B20577">
            <v>112098</v>
          </cell>
          <cell r="C20577" t="str">
            <v>Newbridge House PRU</v>
          </cell>
          <cell r="D20577" t="str">
            <v>Cumbria</v>
          </cell>
          <cell r="E20577" t="str">
            <v>Pupil Referral Unit</v>
          </cell>
          <cell r="F20577" t="str">
            <v>PRU</v>
          </cell>
        </row>
        <row r="20578">
          <cell r="A20578">
            <v>8002155</v>
          </cell>
          <cell r="B20578">
            <v>109002</v>
          </cell>
          <cell r="C20578" t="str">
            <v>Newbridge Junior School</v>
          </cell>
          <cell r="D20578" t="str">
            <v>Bath and North East Somerset</v>
          </cell>
          <cell r="E20578" t="str">
            <v>Community School</v>
          </cell>
          <cell r="F20578" t="str">
            <v>Primary</v>
          </cell>
        </row>
        <row r="20579">
          <cell r="A20579">
            <v>8512720</v>
          </cell>
          <cell r="B20579">
            <v>116227</v>
          </cell>
          <cell r="C20579" t="str">
            <v>Newbridge Junior School</v>
          </cell>
          <cell r="D20579" t="str">
            <v>Portsmouth</v>
          </cell>
          <cell r="E20579" t="str">
            <v>Community School</v>
          </cell>
          <cell r="F20579" t="str">
            <v>Primary</v>
          </cell>
        </row>
        <row r="20580">
          <cell r="A20580">
            <v>3597023</v>
          </cell>
          <cell r="B20580">
            <v>135199</v>
          </cell>
          <cell r="C20580" t="str">
            <v>Newbridge Learning Community</v>
          </cell>
          <cell r="D20580" t="str">
            <v>Wigan</v>
          </cell>
          <cell r="E20580" t="str">
            <v>Community Special School</v>
          </cell>
          <cell r="F20580" t="str">
            <v>Special</v>
          </cell>
        </row>
        <row r="20581">
          <cell r="A20581">
            <v>3366015</v>
          </cell>
          <cell r="B20581">
            <v>104408</v>
          </cell>
          <cell r="C20581" t="str">
            <v>Newbridge Preparatory School</v>
          </cell>
          <cell r="D20581" t="str">
            <v>Wolverhampton</v>
          </cell>
          <cell r="E20581" t="str">
            <v>Other Independent School</v>
          </cell>
          <cell r="F20581" t="str">
            <v>Not applicable</v>
          </cell>
        </row>
        <row r="20582">
          <cell r="A20582">
            <v>8003449</v>
          </cell>
          <cell r="B20582">
            <v>131019</v>
          </cell>
          <cell r="C20582" t="str">
            <v>Newbridge Primary School</v>
          </cell>
          <cell r="D20582" t="str">
            <v>Bath and North East Somerset</v>
          </cell>
          <cell r="E20582" t="str">
            <v>Community School</v>
          </cell>
          <cell r="F20582" t="str">
            <v>Primary</v>
          </cell>
        </row>
        <row r="20583">
          <cell r="A20583">
            <v>3177009</v>
          </cell>
          <cell r="B20583">
            <v>130899</v>
          </cell>
          <cell r="C20583" t="str">
            <v>Newbridge School</v>
          </cell>
          <cell r="D20583" t="str">
            <v>Redbridge</v>
          </cell>
          <cell r="E20583" t="str">
            <v>Community Special School</v>
          </cell>
          <cell r="F20583" t="str">
            <v>Special</v>
          </cell>
        </row>
        <row r="20584">
          <cell r="A20584">
            <v>6764031</v>
          </cell>
          <cell r="B20584">
            <v>401830</v>
          </cell>
          <cell r="C20584" t="str">
            <v>Newbridge School</v>
          </cell>
          <cell r="D20584" t="str">
            <v>Caerphilly</v>
          </cell>
          <cell r="E20584" t="str">
            <v>Welsh Establishment</v>
          </cell>
          <cell r="F20584" t="str">
            <v>Secondary</v>
          </cell>
        </row>
        <row r="20585">
          <cell r="A20585">
            <v>8851120</v>
          </cell>
          <cell r="B20585">
            <v>136160</v>
          </cell>
          <cell r="C20585" t="str">
            <v>Newbridge Short Stay Secondary School</v>
          </cell>
          <cell r="D20585" t="str">
            <v>Worcestershire</v>
          </cell>
          <cell r="E20585" t="str">
            <v>Pupil Referral Unit</v>
          </cell>
          <cell r="F20585" t="str">
            <v>PRU</v>
          </cell>
        </row>
        <row r="20586">
          <cell r="A20586">
            <v>8003037</v>
          </cell>
          <cell r="B20586">
            <v>109156</v>
          </cell>
          <cell r="C20586" t="str">
            <v>Newbridge St John's Church of England VC Infants' School</v>
          </cell>
          <cell r="D20586" t="str">
            <v>Bath and North East Somerset</v>
          </cell>
          <cell r="E20586" t="str">
            <v>Voluntary Controlled School</v>
          </cell>
          <cell r="F20586" t="str">
            <v>Primary</v>
          </cell>
        </row>
        <row r="20587">
          <cell r="A20587">
            <v>6663031</v>
          </cell>
          <cell r="B20587">
            <v>400549</v>
          </cell>
          <cell r="C20587" t="str">
            <v>Newbridge-On-Wye V.P.</v>
          </cell>
          <cell r="D20587" t="str">
            <v>Powys</v>
          </cell>
          <cell r="E20587" t="str">
            <v>Welsh Establishment</v>
          </cell>
          <cell r="F20587" t="str">
            <v>Primary</v>
          </cell>
        </row>
        <row r="20588">
          <cell r="A20588">
            <v>3527058</v>
          </cell>
          <cell r="B20588">
            <v>105625</v>
          </cell>
          <cell r="C20588" t="str">
            <v>Newbrook School</v>
          </cell>
          <cell r="D20588" t="str">
            <v>Manchester</v>
          </cell>
          <cell r="E20588" t="str">
            <v>Community Special School</v>
          </cell>
          <cell r="F20588" t="str">
            <v>Special</v>
          </cell>
        </row>
        <row r="20589">
          <cell r="A20589">
            <v>9293492</v>
          </cell>
          <cell r="B20589">
            <v>122298</v>
          </cell>
          <cell r="C20589" t="str">
            <v>Newbrough Church of England First School</v>
          </cell>
          <cell r="D20589" t="str">
            <v>Northumberland</v>
          </cell>
          <cell r="E20589" t="str">
            <v>Voluntary Aided School</v>
          </cell>
          <cell r="F20589" t="str">
            <v>Primary</v>
          </cell>
        </row>
        <row r="20590">
          <cell r="A20590">
            <v>8883426</v>
          </cell>
          <cell r="B20590">
            <v>119482</v>
          </cell>
          <cell r="C20590" t="str">
            <v>Newburgh Church of England Primary School</v>
          </cell>
          <cell r="D20590" t="str">
            <v>Lancashire</v>
          </cell>
          <cell r="E20590" t="str">
            <v>Voluntary Aided School</v>
          </cell>
          <cell r="F20590" t="str">
            <v>Primary</v>
          </cell>
        </row>
        <row r="20591">
          <cell r="A20591">
            <v>9372325</v>
          </cell>
          <cell r="B20591">
            <v>125561</v>
          </cell>
          <cell r="C20591" t="str">
            <v>Newburgh Primary School</v>
          </cell>
          <cell r="D20591" t="str">
            <v>Warwickshire</v>
          </cell>
          <cell r="E20591" t="str">
            <v>Community School</v>
          </cell>
          <cell r="F20591" t="str">
            <v>Primary</v>
          </cell>
        </row>
        <row r="20592">
          <cell r="A20592">
            <v>3911004</v>
          </cell>
          <cell r="B20592">
            <v>108430</v>
          </cell>
          <cell r="C20592" t="str">
            <v>Newburn Manor Nursery School</v>
          </cell>
          <cell r="D20592" t="str">
            <v>Newcastle upon Tyne</v>
          </cell>
          <cell r="E20592" t="str">
            <v>LA Nursery School</v>
          </cell>
          <cell r="F20592" t="str">
            <v>Nursery</v>
          </cell>
        </row>
        <row r="20593">
          <cell r="A20593">
            <v>3912013</v>
          </cell>
          <cell r="B20593">
            <v>108447</v>
          </cell>
          <cell r="C20593" t="str">
            <v>Newburn Manor Primary School</v>
          </cell>
          <cell r="D20593" t="str">
            <v>Newcastle upon Tyne</v>
          </cell>
          <cell r="E20593" t="str">
            <v>Community School</v>
          </cell>
          <cell r="F20593" t="str">
            <v>Primary</v>
          </cell>
        </row>
        <row r="20594">
          <cell r="A20594">
            <v>8698001</v>
          </cell>
          <cell r="B20594">
            <v>130602</v>
          </cell>
          <cell r="C20594" t="str">
            <v>Newbury College</v>
          </cell>
          <cell r="D20594" t="str">
            <v>West Berkshire</v>
          </cell>
          <cell r="E20594" t="str">
            <v>Further Education</v>
          </cell>
          <cell r="F20594" t="str">
            <v>16 Plus</v>
          </cell>
        </row>
        <row r="20595">
          <cell r="A20595">
            <v>8696016</v>
          </cell>
          <cell r="B20595">
            <v>135819</v>
          </cell>
          <cell r="C20595" t="str">
            <v>Newbury Hall School</v>
          </cell>
          <cell r="D20595" t="str">
            <v>West Berkshire</v>
          </cell>
          <cell r="E20595" t="str">
            <v>Other Independent School</v>
          </cell>
          <cell r="F20595" t="str">
            <v>Not applicable</v>
          </cell>
        </row>
        <row r="20596">
          <cell r="A20596">
            <v>3172031</v>
          </cell>
          <cell r="B20596">
            <v>102812</v>
          </cell>
          <cell r="C20596" t="str">
            <v>Newbury Park Primary School</v>
          </cell>
          <cell r="D20596" t="str">
            <v>Redbridge</v>
          </cell>
          <cell r="E20596" t="str">
            <v>Community School</v>
          </cell>
          <cell r="F20596" t="str">
            <v>Primary</v>
          </cell>
        </row>
        <row r="20597">
          <cell r="A20597">
            <v>9036038</v>
          </cell>
          <cell r="B20597">
            <v>128294</v>
          </cell>
          <cell r="C20597" t="str">
            <v>Newbury Preparatory School</v>
          </cell>
          <cell r="D20597" t="str">
            <v>Pre LGR (1998) Berkshire</v>
          </cell>
          <cell r="E20597" t="str">
            <v>Other Independent School</v>
          </cell>
          <cell r="F20597" t="str">
            <v>Not applicable</v>
          </cell>
        </row>
        <row r="20598">
          <cell r="A20598">
            <v>8691105</v>
          </cell>
          <cell r="B20598">
            <v>109771</v>
          </cell>
          <cell r="C20598" t="str">
            <v>Newbury Primary Day Unit</v>
          </cell>
          <cell r="D20598" t="str">
            <v>West Berkshire</v>
          </cell>
          <cell r="E20598" t="str">
            <v>Pupil Referral Unit</v>
          </cell>
          <cell r="F20598" t="str">
            <v>PRU</v>
          </cell>
        </row>
        <row r="20599">
          <cell r="A20599">
            <v>3081101</v>
          </cell>
          <cell r="B20599">
            <v>101973</v>
          </cell>
          <cell r="C20599" t="str">
            <v>Newbury Unit</v>
          </cell>
          <cell r="D20599" t="str">
            <v>Enfield</v>
          </cell>
          <cell r="E20599" t="str">
            <v>Pupil Referral Unit</v>
          </cell>
          <cell r="F20599" t="str">
            <v>PRU</v>
          </cell>
        </row>
        <row r="20600">
          <cell r="A20600">
            <v>8152076</v>
          </cell>
          <cell r="B20600">
            <v>121307</v>
          </cell>
          <cell r="C20600" t="str">
            <v>Newby and Scalby Primary School</v>
          </cell>
          <cell r="D20600" t="str">
            <v>North Yorkshire</v>
          </cell>
          <cell r="E20600" t="str">
            <v>Community School</v>
          </cell>
          <cell r="F20600" t="str">
            <v>Primary</v>
          </cell>
        </row>
        <row r="20601">
          <cell r="A20601">
            <v>3802054</v>
          </cell>
          <cell r="B20601">
            <v>107218</v>
          </cell>
          <cell r="C20601" t="str">
            <v>Newby Primary School</v>
          </cell>
          <cell r="D20601" t="str">
            <v>Bradford</v>
          </cell>
          <cell r="E20601" t="str">
            <v>Community School</v>
          </cell>
          <cell r="F20601" t="str">
            <v>Primary</v>
          </cell>
        </row>
        <row r="20602">
          <cell r="A20602">
            <v>9272077</v>
          </cell>
          <cell r="B20602">
            <v>132912</v>
          </cell>
          <cell r="C20602" t="str">
            <v>Newby Wiske County Primary School</v>
          </cell>
          <cell r="D20602" t="str">
            <v>Pre LGR (1996) North Yorkshire</v>
          </cell>
          <cell r="E20602" t="str">
            <v>Community School</v>
          </cell>
          <cell r="F20602" t="str">
            <v>Primary</v>
          </cell>
        </row>
        <row r="20603">
          <cell r="A20603">
            <v>3917037</v>
          </cell>
          <cell r="B20603">
            <v>133714</v>
          </cell>
          <cell r="C20603" t="str">
            <v>Newcastle Bridges School Co Royal Victoria Infirmary Ward 10</v>
          </cell>
          <cell r="D20603" t="str">
            <v>Newcastle upon Tyne</v>
          </cell>
          <cell r="E20603" t="str">
            <v>Community Special School</v>
          </cell>
          <cell r="F20603" t="str">
            <v>Special</v>
          </cell>
        </row>
        <row r="20604">
          <cell r="A20604">
            <v>8933081</v>
          </cell>
          <cell r="B20604">
            <v>123488</v>
          </cell>
          <cell r="C20604" t="str">
            <v>Newcastle CofE Primary School</v>
          </cell>
          <cell r="D20604" t="str">
            <v>Shropshire</v>
          </cell>
          <cell r="E20604" t="str">
            <v>Voluntary Controlled School</v>
          </cell>
          <cell r="F20604" t="str">
            <v>Primary</v>
          </cell>
        </row>
        <row r="20605">
          <cell r="A20605">
            <v>3918005</v>
          </cell>
          <cell r="B20605">
            <v>130552</v>
          </cell>
          <cell r="C20605" t="str">
            <v>Newcastle College</v>
          </cell>
          <cell r="D20605" t="str">
            <v>Newcastle upon Tyne</v>
          </cell>
          <cell r="E20605" t="str">
            <v>Further Education</v>
          </cell>
          <cell r="F20605" t="str">
            <v>16 Plus</v>
          </cell>
        </row>
        <row r="20606">
          <cell r="A20606">
            <v>8601102</v>
          </cell>
          <cell r="B20606">
            <v>123973</v>
          </cell>
          <cell r="C20606" t="str">
            <v>Newcastle Educational Assessment Centre</v>
          </cell>
          <cell r="D20606" t="str">
            <v>Staffordshire</v>
          </cell>
          <cell r="E20606" t="str">
            <v>Pupil Referral Unit</v>
          </cell>
          <cell r="F20606" t="str">
            <v>PRU</v>
          </cell>
        </row>
        <row r="20607">
          <cell r="A20607">
            <v>391941</v>
          </cell>
          <cell r="B20607">
            <v>135388</v>
          </cell>
          <cell r="C20607" t="str">
            <v>Newcastle Falcons Learning Centre</v>
          </cell>
          <cell r="D20607" t="str">
            <v>Newcastle upon Tyne</v>
          </cell>
          <cell r="E20607" t="str">
            <v>Playing for Success Centres</v>
          </cell>
          <cell r="F20607" t="str">
            <v>Not applicable</v>
          </cell>
        </row>
        <row r="20608">
          <cell r="A20608">
            <v>3916003</v>
          </cell>
          <cell r="B20608">
            <v>108540</v>
          </cell>
          <cell r="C20608" t="str">
            <v>Newcastle Preparatory School</v>
          </cell>
          <cell r="D20608" t="str">
            <v>Newcastle upon Tyne</v>
          </cell>
          <cell r="E20608" t="str">
            <v>Other Independent School</v>
          </cell>
          <cell r="F20608" t="str">
            <v>Not applicable</v>
          </cell>
        </row>
        <row r="20609">
          <cell r="A20609">
            <v>3916014</v>
          </cell>
          <cell r="B20609">
            <v>108544</v>
          </cell>
          <cell r="C20609" t="str">
            <v>Newcastle School for Boys</v>
          </cell>
          <cell r="D20609" t="str">
            <v>Newcastle upon Tyne</v>
          </cell>
          <cell r="E20609" t="str">
            <v>Other Independent School</v>
          </cell>
          <cell r="F20609" t="str">
            <v>Not applicable</v>
          </cell>
        </row>
        <row r="20610">
          <cell r="A20610">
            <v>391940</v>
          </cell>
          <cell r="B20610">
            <v>132714</v>
          </cell>
          <cell r="C20610" t="str">
            <v>Newcastle United Playing for Success Centre</v>
          </cell>
          <cell r="D20610" t="str">
            <v>Newcastle upon Tyne</v>
          </cell>
          <cell r="E20610" t="str">
            <v>Playing for Success Centres</v>
          </cell>
          <cell r="F20610" t="str">
            <v>Not applicable</v>
          </cell>
        </row>
        <row r="20611">
          <cell r="A20611">
            <v>8608012</v>
          </cell>
          <cell r="B20611">
            <v>130812</v>
          </cell>
          <cell r="C20611" t="str">
            <v>Newcastle-under-Lyme College</v>
          </cell>
          <cell r="D20611" t="str">
            <v>Staffordshire</v>
          </cell>
          <cell r="E20611" t="str">
            <v>Further Education</v>
          </cell>
          <cell r="F20611" t="str">
            <v>16 Plus</v>
          </cell>
        </row>
        <row r="20612">
          <cell r="A20612">
            <v>8606015</v>
          </cell>
          <cell r="B20612">
            <v>124487</v>
          </cell>
          <cell r="C20612" t="str">
            <v>Newcastle-under-Lyme School</v>
          </cell>
          <cell r="D20612" t="str">
            <v>Staffordshire</v>
          </cell>
          <cell r="E20612" t="str">
            <v>Other Independent School</v>
          </cell>
          <cell r="F20612" t="str">
            <v>Not applicable</v>
          </cell>
        </row>
        <row r="20613">
          <cell r="A20613">
            <v>3916001</v>
          </cell>
          <cell r="B20613">
            <v>108538</v>
          </cell>
          <cell r="C20613" t="str">
            <v>Newcastle-upon-Tyne Church High School</v>
          </cell>
          <cell r="D20613" t="str">
            <v>Newcastle upon Tyne</v>
          </cell>
          <cell r="E20613" t="str">
            <v>Other Independent School</v>
          </cell>
          <cell r="F20613" t="str">
            <v>Not applicable</v>
          </cell>
        </row>
        <row r="20614">
          <cell r="A20614">
            <v>8772416</v>
          </cell>
          <cell r="B20614">
            <v>111189</v>
          </cell>
          <cell r="C20614" t="str">
            <v>Newchurch Community Primary School</v>
          </cell>
          <cell r="D20614" t="str">
            <v>Warrington</v>
          </cell>
          <cell r="E20614" t="str">
            <v>Community School</v>
          </cell>
          <cell r="F20614" t="str">
            <v>Primary</v>
          </cell>
        </row>
        <row r="20615">
          <cell r="A20615">
            <v>9212010</v>
          </cell>
          <cell r="B20615">
            <v>118162</v>
          </cell>
          <cell r="C20615" t="str">
            <v>Newchurch Primary School</v>
          </cell>
          <cell r="D20615" t="str">
            <v>Isle of Wight</v>
          </cell>
          <cell r="E20615" t="str">
            <v>Community School</v>
          </cell>
          <cell r="F20615" t="str">
            <v>Primary</v>
          </cell>
        </row>
        <row r="20616">
          <cell r="A20616">
            <v>8883327</v>
          </cell>
          <cell r="B20616">
            <v>119435</v>
          </cell>
          <cell r="C20616" t="str">
            <v>Newchurch-in-Pendle St Mary's Church of England Primary School</v>
          </cell>
          <cell r="D20616" t="str">
            <v>Lancashire</v>
          </cell>
          <cell r="E20616" t="str">
            <v>Voluntary Aided School</v>
          </cell>
          <cell r="F20616" t="str">
            <v>Primary</v>
          </cell>
        </row>
        <row r="20617">
          <cell r="A20617">
            <v>3837063</v>
          </cell>
          <cell r="B20617">
            <v>108124</v>
          </cell>
          <cell r="C20617" t="str">
            <v>Newcliff House School</v>
          </cell>
          <cell r="D20617" t="str">
            <v>Leeds</v>
          </cell>
          <cell r="E20617" t="str">
            <v>Community Special School</v>
          </cell>
          <cell r="F20617" t="str">
            <v>Special</v>
          </cell>
        </row>
        <row r="20618">
          <cell r="A20618">
            <v>8072339</v>
          </cell>
          <cell r="B20618">
            <v>111638</v>
          </cell>
          <cell r="C20618" t="str">
            <v>Newcomen Primary School</v>
          </cell>
          <cell r="D20618" t="str">
            <v>Redcar and Cleveland</v>
          </cell>
          <cell r="E20618" t="str">
            <v>Community School</v>
          </cell>
          <cell r="F20618" t="str">
            <v>Primary</v>
          </cell>
        </row>
        <row r="20619">
          <cell r="A20619">
            <v>2066372</v>
          </cell>
          <cell r="B20619">
            <v>126635</v>
          </cell>
          <cell r="C20619" t="str">
            <v>Newcourt Centre Christian School</v>
          </cell>
          <cell r="D20619" t="str">
            <v>Islington</v>
          </cell>
          <cell r="E20619" t="str">
            <v>Other Independent School</v>
          </cell>
          <cell r="F20619" t="str">
            <v>Not applicable</v>
          </cell>
        </row>
        <row r="20620">
          <cell r="A20620">
            <v>8552092</v>
          </cell>
          <cell r="B20620">
            <v>119950</v>
          </cell>
          <cell r="C20620" t="str">
            <v>Newcroft Primary School</v>
          </cell>
          <cell r="D20620" t="str">
            <v>Leicestershire</v>
          </cell>
          <cell r="E20620" t="str">
            <v>Community School</v>
          </cell>
          <cell r="F20620" t="str">
            <v>Primary</v>
          </cell>
        </row>
        <row r="20621">
          <cell r="A20621">
            <v>8942203</v>
          </cell>
          <cell r="B20621">
            <v>133300</v>
          </cell>
          <cell r="C20621" t="str">
            <v>Newdale Primary School</v>
          </cell>
          <cell r="D20621" t="str">
            <v>Telford and Wrekin</v>
          </cell>
          <cell r="E20621" t="str">
            <v>Community School</v>
          </cell>
          <cell r="F20621" t="str">
            <v>Primary</v>
          </cell>
        </row>
        <row r="20622">
          <cell r="A20622">
            <v>9363375</v>
          </cell>
          <cell r="B20622">
            <v>125192</v>
          </cell>
          <cell r="C20622" t="str">
            <v>Newdigate CofE Endowed Aided Infant School</v>
          </cell>
          <cell r="D20622" t="str">
            <v>Surrey</v>
          </cell>
          <cell r="E20622" t="str">
            <v>Voluntary Aided School</v>
          </cell>
          <cell r="F20622" t="str">
            <v>Primary</v>
          </cell>
        </row>
        <row r="20623">
          <cell r="A20623">
            <v>9372596</v>
          </cell>
          <cell r="B20623">
            <v>125602</v>
          </cell>
          <cell r="C20623" t="str">
            <v>Newdigate First School</v>
          </cell>
          <cell r="D20623" t="str">
            <v>Warwickshire</v>
          </cell>
          <cell r="E20623" t="str">
            <v>Community School</v>
          </cell>
          <cell r="F20623" t="str">
            <v>Primary</v>
          </cell>
        </row>
        <row r="20624">
          <cell r="A20624">
            <v>9372076</v>
          </cell>
          <cell r="B20624">
            <v>125533</v>
          </cell>
          <cell r="C20624" t="str">
            <v>Newdigate Middle School</v>
          </cell>
          <cell r="D20624" t="str">
            <v>Warwickshire</v>
          </cell>
          <cell r="E20624" t="str">
            <v>Community School</v>
          </cell>
          <cell r="F20624" t="str">
            <v>Middle Deemed Primary</v>
          </cell>
        </row>
        <row r="20625">
          <cell r="A20625">
            <v>9372633</v>
          </cell>
          <cell r="B20625">
            <v>130896</v>
          </cell>
          <cell r="C20625" t="str">
            <v>Newdigate Primary School</v>
          </cell>
          <cell r="D20625" t="str">
            <v>Warwickshire</v>
          </cell>
          <cell r="E20625" t="str">
            <v>Community School</v>
          </cell>
          <cell r="F20625" t="str">
            <v>Primary</v>
          </cell>
        </row>
        <row r="20626">
          <cell r="A20626">
            <v>8356014</v>
          </cell>
          <cell r="B20626">
            <v>113916</v>
          </cell>
          <cell r="C20626" t="str">
            <v>Newell House School</v>
          </cell>
          <cell r="D20626" t="str">
            <v>Dorset</v>
          </cell>
          <cell r="E20626" t="str">
            <v>Other Independent School</v>
          </cell>
          <cell r="F20626" t="str">
            <v>Not applicable</v>
          </cell>
        </row>
        <row r="20627">
          <cell r="A20627">
            <v>9165411</v>
          </cell>
          <cell r="B20627">
            <v>115762</v>
          </cell>
          <cell r="C20627" t="str">
            <v>Newent Community School and Sixth Form Centre</v>
          </cell>
          <cell r="D20627" t="str">
            <v>Gloucestershire</v>
          </cell>
          <cell r="E20627" t="str">
            <v>Foundation School</v>
          </cell>
          <cell r="F20627" t="str">
            <v>Secondary</v>
          </cell>
        </row>
        <row r="20628">
          <cell r="A20628">
            <v>3322138</v>
          </cell>
          <cell r="B20628">
            <v>103815</v>
          </cell>
          <cell r="C20628" t="str">
            <v>Newfield Park Primary School</v>
          </cell>
          <cell r="D20628" t="str">
            <v>Dudley</v>
          </cell>
          <cell r="E20628" t="str">
            <v>Community School</v>
          </cell>
          <cell r="F20628" t="str">
            <v>Primary</v>
          </cell>
        </row>
        <row r="20629">
          <cell r="A20629">
            <v>3042064</v>
          </cell>
          <cell r="B20629">
            <v>101522</v>
          </cell>
          <cell r="C20629" t="str">
            <v>Newfield Primary School</v>
          </cell>
          <cell r="D20629" t="str">
            <v>Brent</v>
          </cell>
          <cell r="E20629" t="str">
            <v>Community School</v>
          </cell>
          <cell r="F20629" t="str">
            <v>Primary</v>
          </cell>
        </row>
        <row r="20630">
          <cell r="A20630">
            <v>3437011</v>
          </cell>
          <cell r="B20630">
            <v>104982</v>
          </cell>
          <cell r="C20630" t="str">
            <v>Newfield School</v>
          </cell>
          <cell r="D20630" t="str">
            <v>Sefton</v>
          </cell>
          <cell r="E20630" t="str">
            <v>Community Special School</v>
          </cell>
          <cell r="F20630" t="str">
            <v>Special</v>
          </cell>
        </row>
        <row r="20631">
          <cell r="A20631">
            <v>8897107</v>
          </cell>
          <cell r="B20631">
            <v>132051</v>
          </cell>
          <cell r="C20631" t="str">
            <v>Newfield School</v>
          </cell>
          <cell r="D20631" t="str">
            <v>Blackburn with Darwen</v>
          </cell>
          <cell r="E20631" t="str">
            <v>Community Special School</v>
          </cell>
          <cell r="F20631" t="str">
            <v>Special</v>
          </cell>
        </row>
        <row r="20632">
          <cell r="A20632">
            <v>3734260</v>
          </cell>
          <cell r="B20632">
            <v>107141</v>
          </cell>
          <cell r="C20632" t="str">
            <v>Newfield Secondary School</v>
          </cell>
          <cell r="D20632" t="str">
            <v>Sheffield</v>
          </cell>
          <cell r="E20632" t="str">
            <v>Community School</v>
          </cell>
          <cell r="F20632" t="str">
            <v>Secondary</v>
          </cell>
        </row>
        <row r="20633">
          <cell r="A20633">
            <v>3506020</v>
          </cell>
          <cell r="B20633">
            <v>135439</v>
          </cell>
          <cell r="C20633" t="str">
            <v>Newfields School</v>
          </cell>
          <cell r="D20633" t="str">
            <v>Bolton</v>
          </cell>
          <cell r="E20633" t="str">
            <v>Other Independent Special School</v>
          </cell>
          <cell r="F20633" t="str">
            <v>Not applicable</v>
          </cell>
        </row>
        <row r="20634">
          <cell r="A20634">
            <v>8912891</v>
          </cell>
          <cell r="B20634">
            <v>122699</v>
          </cell>
          <cell r="C20634" t="str">
            <v>Newgate First School and Nursery</v>
          </cell>
          <cell r="D20634" t="str">
            <v>Nottinghamshire</v>
          </cell>
          <cell r="E20634" t="str">
            <v>Community School</v>
          </cell>
          <cell r="F20634" t="str">
            <v>Primary</v>
          </cell>
        </row>
        <row r="20635">
          <cell r="A20635">
            <v>8913778</v>
          </cell>
          <cell r="B20635">
            <v>133275</v>
          </cell>
          <cell r="C20635" t="str">
            <v>Newgate Lane Primary School</v>
          </cell>
          <cell r="D20635" t="str">
            <v>Nottinghamshire</v>
          </cell>
          <cell r="E20635" t="str">
            <v>Community School</v>
          </cell>
          <cell r="F20635" t="str">
            <v>Primary</v>
          </cell>
        </row>
        <row r="20636">
          <cell r="A20636">
            <v>8302253</v>
          </cell>
          <cell r="B20636">
            <v>112635</v>
          </cell>
          <cell r="C20636" t="str">
            <v>Newhall Community Junior School</v>
          </cell>
          <cell r="D20636" t="str">
            <v>Derbyshire</v>
          </cell>
          <cell r="E20636" t="str">
            <v>Community School</v>
          </cell>
          <cell r="F20636" t="str">
            <v>Primary</v>
          </cell>
        </row>
        <row r="20637">
          <cell r="A20637">
            <v>8302254</v>
          </cell>
          <cell r="B20637">
            <v>112636</v>
          </cell>
          <cell r="C20637" t="str">
            <v>Newhall Infant School</v>
          </cell>
          <cell r="D20637" t="str">
            <v>Derbyshire</v>
          </cell>
          <cell r="E20637" t="str">
            <v>Community School</v>
          </cell>
          <cell r="F20637" t="str">
            <v>Primary</v>
          </cell>
        </row>
        <row r="20638">
          <cell r="A20638">
            <v>3802197</v>
          </cell>
          <cell r="B20638">
            <v>132185</v>
          </cell>
          <cell r="C20638" t="str">
            <v>Newhall Park Primary School</v>
          </cell>
          <cell r="D20638" t="str">
            <v>Bradford</v>
          </cell>
          <cell r="E20638" t="str">
            <v>Community School</v>
          </cell>
          <cell r="F20638" t="str">
            <v>Primary</v>
          </cell>
        </row>
        <row r="20639">
          <cell r="A20639">
            <v>8301110</v>
          </cell>
          <cell r="B20639">
            <v>133690</v>
          </cell>
          <cell r="C20639" t="str">
            <v>Newhall Support Centre</v>
          </cell>
          <cell r="D20639" t="str">
            <v>Derbyshire</v>
          </cell>
          <cell r="E20639" t="str">
            <v>Pupil Referral Unit</v>
          </cell>
          <cell r="F20639" t="str">
            <v>PRU</v>
          </cell>
        </row>
        <row r="20640">
          <cell r="A20640">
            <v>8062138</v>
          </cell>
          <cell r="B20640">
            <v>111585</v>
          </cell>
          <cell r="C20640" t="str">
            <v>Newham Bridge Primary School</v>
          </cell>
          <cell r="D20640" t="str">
            <v>Middlesbrough</v>
          </cell>
          <cell r="E20640" t="str">
            <v>Community School</v>
          </cell>
          <cell r="F20640" t="str">
            <v>Primary</v>
          </cell>
        </row>
        <row r="20641">
          <cell r="A20641">
            <v>3168001</v>
          </cell>
          <cell r="B20641">
            <v>130451</v>
          </cell>
          <cell r="C20641" t="str">
            <v>Newham College of Further Education</v>
          </cell>
          <cell r="D20641" t="str">
            <v>Newham</v>
          </cell>
          <cell r="E20641" t="str">
            <v>Further Education</v>
          </cell>
          <cell r="F20641" t="str">
            <v>16 Plus</v>
          </cell>
        </row>
        <row r="20642">
          <cell r="A20642">
            <v>3164603</v>
          </cell>
          <cell r="B20642">
            <v>127001</v>
          </cell>
          <cell r="C20642" t="str">
            <v>Newham Sixth Form College</v>
          </cell>
          <cell r="D20642" t="str">
            <v>Newham</v>
          </cell>
          <cell r="E20642" t="str">
            <v>Voluntary Aided School</v>
          </cell>
          <cell r="F20642" t="str">
            <v>Secondary</v>
          </cell>
        </row>
        <row r="20643">
          <cell r="A20643">
            <v>3168600</v>
          </cell>
          <cell r="B20643">
            <v>130452</v>
          </cell>
          <cell r="C20643" t="str">
            <v>Newham Sixth Form College</v>
          </cell>
          <cell r="D20643" t="str">
            <v>Newham</v>
          </cell>
          <cell r="E20643" t="str">
            <v>Further Education</v>
          </cell>
          <cell r="F20643" t="str">
            <v>16 Plus</v>
          </cell>
        </row>
        <row r="20644">
          <cell r="A20644">
            <v>2031101</v>
          </cell>
          <cell r="B20644">
            <v>100103</v>
          </cell>
          <cell r="C20644" t="str">
            <v>Newhaven Pupil Referral Unit</v>
          </cell>
          <cell r="D20644" t="str">
            <v>Greenwich</v>
          </cell>
          <cell r="E20644" t="str">
            <v>Pupil Referral Unit</v>
          </cell>
          <cell r="F20644" t="str">
            <v>PRU</v>
          </cell>
        </row>
        <row r="20645">
          <cell r="A20645">
            <v>3542044</v>
          </cell>
          <cell r="B20645">
            <v>105789</v>
          </cell>
          <cell r="C20645" t="str">
            <v>Newhey Community Primary School</v>
          </cell>
          <cell r="D20645" t="str">
            <v>Rochdale</v>
          </cell>
          <cell r="E20645" t="str">
            <v>Community School</v>
          </cell>
          <cell r="F20645" t="str">
            <v>Primary</v>
          </cell>
        </row>
        <row r="20646">
          <cell r="A20646">
            <v>9347009</v>
          </cell>
          <cell r="B20646">
            <v>129961</v>
          </cell>
          <cell r="C20646" t="str">
            <v>Newhouse Special School</v>
          </cell>
          <cell r="D20646" t="str">
            <v>Pre LGR (1997) Staffordshire</v>
          </cell>
          <cell r="E20646" t="str">
            <v>Community Special School</v>
          </cell>
          <cell r="F20646" t="str">
            <v>Special</v>
          </cell>
        </row>
        <row r="20647">
          <cell r="A20647">
            <v>8453074</v>
          </cell>
          <cell r="B20647">
            <v>114528</v>
          </cell>
          <cell r="C20647" t="str">
            <v>Newick Church of England Primary School</v>
          </cell>
          <cell r="D20647" t="str">
            <v>East Sussex</v>
          </cell>
          <cell r="E20647" t="str">
            <v>Voluntary Controlled School</v>
          </cell>
          <cell r="F20647" t="str">
            <v>Primary</v>
          </cell>
        </row>
        <row r="20648">
          <cell r="A20648">
            <v>9387015</v>
          </cell>
          <cell r="B20648">
            <v>126164</v>
          </cell>
          <cell r="C20648" t="str">
            <v>Newick House School</v>
          </cell>
          <cell r="D20648" t="str">
            <v>West Sussex</v>
          </cell>
          <cell r="E20648" t="str">
            <v>Community Special School</v>
          </cell>
          <cell r="F20648" t="str">
            <v>Special</v>
          </cell>
        </row>
        <row r="20649">
          <cell r="A20649">
            <v>8863111</v>
          </cell>
          <cell r="B20649">
            <v>118649</v>
          </cell>
          <cell r="C20649" t="str">
            <v>Newington Church of England Primary School</v>
          </cell>
          <cell r="D20649" t="str">
            <v>Kent</v>
          </cell>
          <cell r="E20649" t="str">
            <v>Voluntary Controlled School</v>
          </cell>
          <cell r="F20649" t="str">
            <v>Primary</v>
          </cell>
        </row>
        <row r="20650">
          <cell r="A20650">
            <v>8863918</v>
          </cell>
          <cell r="B20650">
            <v>135214</v>
          </cell>
          <cell r="C20650" t="str">
            <v>Newington Community Primary School</v>
          </cell>
          <cell r="D20650" t="str">
            <v>Kent</v>
          </cell>
          <cell r="E20650" t="str">
            <v>Community School</v>
          </cell>
          <cell r="F20650" t="str">
            <v>Primary</v>
          </cell>
        </row>
        <row r="20651">
          <cell r="A20651">
            <v>2062440</v>
          </cell>
          <cell r="B20651">
            <v>100417</v>
          </cell>
          <cell r="C20651" t="str">
            <v>Newington Green Infant School</v>
          </cell>
          <cell r="D20651" t="str">
            <v>Islington</v>
          </cell>
          <cell r="E20651" t="str">
            <v>Community School</v>
          </cell>
          <cell r="F20651" t="str">
            <v>Primary</v>
          </cell>
        </row>
        <row r="20652">
          <cell r="A20652">
            <v>2062439</v>
          </cell>
          <cell r="B20652">
            <v>100416</v>
          </cell>
          <cell r="C20652" t="str">
            <v>Newington Green Junior School</v>
          </cell>
          <cell r="D20652" t="str">
            <v>Islington</v>
          </cell>
          <cell r="E20652" t="str">
            <v>Community School</v>
          </cell>
          <cell r="F20652" t="str">
            <v>Primary</v>
          </cell>
        </row>
        <row r="20653">
          <cell r="A20653">
            <v>2062853</v>
          </cell>
          <cell r="B20653">
            <v>131325</v>
          </cell>
          <cell r="C20653" t="str">
            <v>Newington Green Primary School</v>
          </cell>
          <cell r="D20653" t="str">
            <v>Islington</v>
          </cell>
          <cell r="E20653" t="str">
            <v>Community School</v>
          </cell>
          <cell r="F20653" t="str">
            <v>Primary</v>
          </cell>
        </row>
        <row r="20654">
          <cell r="A20654">
            <v>8862344</v>
          </cell>
          <cell r="B20654">
            <v>118415</v>
          </cell>
          <cell r="C20654" t="str">
            <v>Newington Infant School</v>
          </cell>
          <cell r="D20654" t="str">
            <v>Kent</v>
          </cell>
          <cell r="E20654" t="str">
            <v>Community School</v>
          </cell>
          <cell r="F20654" t="str">
            <v>Primary</v>
          </cell>
        </row>
        <row r="20655">
          <cell r="A20655">
            <v>8865211</v>
          </cell>
          <cell r="B20655">
            <v>118857</v>
          </cell>
          <cell r="C20655" t="str">
            <v>Newington Junior Foundation School</v>
          </cell>
          <cell r="D20655" t="str">
            <v>Kent</v>
          </cell>
          <cell r="E20655" t="str">
            <v>Foundation School</v>
          </cell>
          <cell r="F20655" t="str">
            <v>Primary</v>
          </cell>
        </row>
        <row r="20656">
          <cell r="A20656">
            <v>8102888</v>
          </cell>
          <cell r="B20656">
            <v>117915</v>
          </cell>
          <cell r="C20656" t="str">
            <v>Newington Primary School</v>
          </cell>
          <cell r="D20656" t="str">
            <v>Kingston upon Hull City of</v>
          </cell>
          <cell r="E20656" t="str">
            <v>Community School</v>
          </cell>
          <cell r="F20656" t="str">
            <v>Primary</v>
          </cell>
        </row>
        <row r="20657">
          <cell r="A20657">
            <v>8402142</v>
          </cell>
          <cell r="B20657">
            <v>114016</v>
          </cell>
          <cell r="C20657" t="str">
            <v>Newker Infant School</v>
          </cell>
          <cell r="D20657" t="str">
            <v>Durham</v>
          </cell>
          <cell r="E20657" t="str">
            <v>Community School</v>
          </cell>
          <cell r="F20657" t="str">
            <v>Primary</v>
          </cell>
        </row>
        <row r="20658">
          <cell r="A20658">
            <v>8402145</v>
          </cell>
          <cell r="B20658">
            <v>114017</v>
          </cell>
          <cell r="C20658" t="str">
            <v>Newker Junior School</v>
          </cell>
          <cell r="D20658" t="str">
            <v>Durham</v>
          </cell>
          <cell r="E20658" t="str">
            <v>Community School</v>
          </cell>
          <cell r="F20658" t="str">
            <v>Primary</v>
          </cell>
        </row>
        <row r="20659">
          <cell r="A20659">
            <v>8402943</v>
          </cell>
          <cell r="B20659">
            <v>131233</v>
          </cell>
          <cell r="C20659" t="str">
            <v>Newker Primary School</v>
          </cell>
          <cell r="D20659" t="str">
            <v>Durham</v>
          </cell>
          <cell r="E20659" t="str">
            <v>Community School</v>
          </cell>
          <cell r="F20659" t="str">
            <v>Primary</v>
          </cell>
        </row>
        <row r="20660">
          <cell r="A20660">
            <v>9092620</v>
          </cell>
          <cell r="B20660">
            <v>112226</v>
          </cell>
          <cell r="C20660" t="str">
            <v>Newlaithes Infant School</v>
          </cell>
          <cell r="D20660" t="str">
            <v>Cumbria</v>
          </cell>
          <cell r="E20660" t="str">
            <v>Community School</v>
          </cell>
          <cell r="F20660" t="str">
            <v>Primary</v>
          </cell>
        </row>
        <row r="20661">
          <cell r="A20661">
            <v>9092618</v>
          </cell>
          <cell r="B20661">
            <v>112224</v>
          </cell>
          <cell r="C20661" t="str">
            <v>Newlaithes Junior School</v>
          </cell>
          <cell r="D20661" t="str">
            <v>Cumbria</v>
          </cell>
          <cell r="E20661" t="str">
            <v>Community School</v>
          </cell>
          <cell r="F20661" t="str">
            <v>Primary</v>
          </cell>
        </row>
        <row r="20662">
          <cell r="A20662">
            <v>8102481</v>
          </cell>
          <cell r="B20662">
            <v>117803</v>
          </cell>
          <cell r="C20662" t="str">
            <v>Newland Avenue Primary School</v>
          </cell>
          <cell r="D20662" t="str">
            <v>Kingston upon Hull City of</v>
          </cell>
          <cell r="E20662" t="str">
            <v>Community School</v>
          </cell>
          <cell r="F20662" t="str">
            <v>Primary</v>
          </cell>
        </row>
        <row r="20663">
          <cell r="A20663">
            <v>3186004</v>
          </cell>
          <cell r="B20663">
            <v>102934</v>
          </cell>
          <cell r="C20663" t="str">
            <v>Newland House School</v>
          </cell>
          <cell r="D20663" t="str">
            <v>Richmond upon Thames</v>
          </cell>
          <cell r="E20663" t="str">
            <v>Other Independent School</v>
          </cell>
          <cell r="F20663" t="str">
            <v>Not applicable</v>
          </cell>
        </row>
        <row r="20664">
          <cell r="A20664">
            <v>8104030</v>
          </cell>
          <cell r="B20664">
            <v>118070</v>
          </cell>
          <cell r="C20664" t="str">
            <v>Newland School for Girls</v>
          </cell>
          <cell r="D20664" t="str">
            <v>Kingston upon Hull City of</v>
          </cell>
          <cell r="E20664" t="str">
            <v>Community School</v>
          </cell>
          <cell r="F20664" t="str">
            <v>Secondary</v>
          </cell>
        </row>
        <row r="20665">
          <cell r="A20665">
            <v>8103302</v>
          </cell>
          <cell r="B20665">
            <v>118031</v>
          </cell>
          <cell r="C20665" t="str">
            <v>Newland St John CofE Primary School</v>
          </cell>
          <cell r="D20665" t="str">
            <v>Kingston upon Hull City of</v>
          </cell>
          <cell r="E20665" t="str">
            <v>Voluntary Aided School</v>
          </cell>
          <cell r="F20665" t="str">
            <v>Primary</v>
          </cell>
        </row>
        <row r="20666">
          <cell r="A20666">
            <v>3547014</v>
          </cell>
          <cell r="B20666">
            <v>135201</v>
          </cell>
          <cell r="C20666" t="str">
            <v>Newlands</v>
          </cell>
          <cell r="D20666" t="str">
            <v>Rochdale</v>
          </cell>
          <cell r="E20666" t="str">
            <v>Community Special School</v>
          </cell>
          <cell r="F20666" t="str">
            <v>Special</v>
          </cell>
        </row>
        <row r="20667">
          <cell r="A20667">
            <v>8552180</v>
          </cell>
          <cell r="B20667">
            <v>119984</v>
          </cell>
          <cell r="C20667" t="str">
            <v>Newlands Community Primary</v>
          </cell>
          <cell r="D20667" t="str">
            <v>Leicestershire</v>
          </cell>
          <cell r="E20667" t="str">
            <v>Community School</v>
          </cell>
          <cell r="F20667" t="str">
            <v>Primary</v>
          </cell>
        </row>
        <row r="20668">
          <cell r="A20668">
            <v>8684036</v>
          </cell>
          <cell r="B20668">
            <v>110051</v>
          </cell>
          <cell r="C20668" t="str">
            <v>Newlands Girls' School</v>
          </cell>
          <cell r="D20668" t="str">
            <v>Windsor and Maidenhead</v>
          </cell>
          <cell r="E20668" t="str">
            <v>Community School</v>
          </cell>
          <cell r="F20668" t="str">
            <v>Secondary</v>
          </cell>
        </row>
        <row r="20669">
          <cell r="A20669">
            <v>8522443</v>
          </cell>
          <cell r="B20669">
            <v>116119</v>
          </cell>
          <cell r="C20669" t="str">
            <v>Newlands Infant School</v>
          </cell>
          <cell r="D20669" t="str">
            <v>Southampton</v>
          </cell>
          <cell r="E20669" t="str">
            <v>Community School</v>
          </cell>
          <cell r="F20669" t="str">
            <v>Primary</v>
          </cell>
        </row>
        <row r="20670">
          <cell r="A20670">
            <v>3812078</v>
          </cell>
          <cell r="B20670">
            <v>107526</v>
          </cell>
          <cell r="C20670" t="str">
            <v>Newlands Junior School</v>
          </cell>
          <cell r="D20670" t="str">
            <v>Calderdale</v>
          </cell>
          <cell r="E20670" t="str">
            <v>Community School</v>
          </cell>
          <cell r="F20670" t="str">
            <v>Primary</v>
          </cell>
        </row>
        <row r="20671">
          <cell r="A20671">
            <v>8522442</v>
          </cell>
          <cell r="B20671">
            <v>116118</v>
          </cell>
          <cell r="C20671" t="str">
            <v>Newlands Junior School</v>
          </cell>
          <cell r="D20671" t="str">
            <v>Southampton</v>
          </cell>
          <cell r="E20671" t="str">
            <v>Community School</v>
          </cell>
          <cell r="F20671" t="str">
            <v>Primary</v>
          </cell>
        </row>
        <row r="20672">
          <cell r="A20672">
            <v>8912108</v>
          </cell>
          <cell r="B20672">
            <v>122453</v>
          </cell>
          <cell r="C20672" t="str">
            <v>Newlands Junior School</v>
          </cell>
          <cell r="D20672" t="str">
            <v>Nottinghamshire</v>
          </cell>
          <cell r="E20672" t="str">
            <v>Community School</v>
          </cell>
          <cell r="F20672" t="str">
            <v>Primary</v>
          </cell>
        </row>
        <row r="20673">
          <cell r="A20673">
            <v>8456029</v>
          </cell>
          <cell r="B20673">
            <v>114655</v>
          </cell>
          <cell r="C20673" t="str">
            <v>Newlands Manor School</v>
          </cell>
          <cell r="D20673" t="str">
            <v>East Sussex</v>
          </cell>
          <cell r="E20673" t="str">
            <v>Other Independent School</v>
          </cell>
          <cell r="F20673" t="str">
            <v>Not applicable</v>
          </cell>
        </row>
        <row r="20674">
          <cell r="A20674">
            <v>8456039</v>
          </cell>
          <cell r="B20674">
            <v>114647</v>
          </cell>
          <cell r="C20674" t="str">
            <v>Newlands Pre-Preparatory School</v>
          </cell>
          <cell r="D20674" t="str">
            <v>East Sussex</v>
          </cell>
          <cell r="E20674" t="str">
            <v>Other Independent School</v>
          </cell>
          <cell r="F20674" t="str">
            <v>Not applicable</v>
          </cell>
        </row>
        <row r="20675">
          <cell r="A20675">
            <v>8502389</v>
          </cell>
          <cell r="B20675">
            <v>116080</v>
          </cell>
          <cell r="C20675" t="str">
            <v>Newlands Primary School</v>
          </cell>
          <cell r="D20675" t="str">
            <v>Hampshire</v>
          </cell>
          <cell r="E20675" t="str">
            <v>Community School</v>
          </cell>
          <cell r="F20675" t="str">
            <v>Primary</v>
          </cell>
        </row>
        <row r="20676">
          <cell r="A20676">
            <v>8862647</v>
          </cell>
          <cell r="B20676">
            <v>118562</v>
          </cell>
          <cell r="C20676" t="str">
            <v>Newlands Primary School</v>
          </cell>
          <cell r="D20676" t="str">
            <v>Kent</v>
          </cell>
          <cell r="E20676" t="str">
            <v>Community School</v>
          </cell>
          <cell r="F20676" t="str">
            <v>Primary</v>
          </cell>
        </row>
        <row r="20677">
          <cell r="A20677">
            <v>3842206</v>
          </cell>
          <cell r="B20677">
            <v>133318</v>
          </cell>
          <cell r="C20677" t="str">
            <v>Newlands Primary School</v>
          </cell>
          <cell r="D20677" t="str">
            <v>Wakefield</v>
          </cell>
          <cell r="E20677" t="str">
            <v>Community School</v>
          </cell>
          <cell r="F20677" t="str">
            <v>Primary</v>
          </cell>
        </row>
        <row r="20678">
          <cell r="A20678">
            <v>8522003</v>
          </cell>
          <cell r="B20678">
            <v>133704</v>
          </cell>
          <cell r="C20678" t="str">
            <v>Newlands Primary School</v>
          </cell>
          <cell r="D20678" t="str">
            <v>Southampton</v>
          </cell>
          <cell r="E20678" t="str">
            <v>Community School</v>
          </cell>
          <cell r="F20678" t="str">
            <v>Primary</v>
          </cell>
        </row>
        <row r="20679">
          <cell r="A20679">
            <v>8456027</v>
          </cell>
          <cell r="B20679">
            <v>114628</v>
          </cell>
          <cell r="C20679" t="str">
            <v>Newlands School</v>
          </cell>
          <cell r="D20679" t="str">
            <v>East Sussex</v>
          </cell>
          <cell r="E20679" t="str">
            <v>Other Independent School</v>
          </cell>
          <cell r="F20679" t="str">
            <v>Not applicable</v>
          </cell>
        </row>
        <row r="20680">
          <cell r="A20680">
            <v>8815201</v>
          </cell>
          <cell r="B20680">
            <v>115241</v>
          </cell>
          <cell r="C20680" t="str">
            <v>Newlands Spring Primary School</v>
          </cell>
          <cell r="D20680" t="str">
            <v>Essex</v>
          </cell>
          <cell r="E20680" t="str">
            <v>Foundation School</v>
          </cell>
          <cell r="F20680" t="str">
            <v>Primary</v>
          </cell>
        </row>
        <row r="20681">
          <cell r="A20681">
            <v>9083121</v>
          </cell>
          <cell r="B20681">
            <v>133244</v>
          </cell>
          <cell r="C20681" t="str">
            <v>Newlyn East CofE Primary School</v>
          </cell>
          <cell r="D20681" t="str">
            <v>Cornwall</v>
          </cell>
          <cell r="E20681" t="str">
            <v>Miscellaneous</v>
          </cell>
          <cell r="F20681" t="str">
            <v>Not applicable</v>
          </cell>
        </row>
        <row r="20682">
          <cell r="A20682">
            <v>9082011</v>
          </cell>
          <cell r="B20682">
            <v>132875</v>
          </cell>
          <cell r="C20682" t="str">
            <v>Newlyn Infant School</v>
          </cell>
          <cell r="D20682" t="str">
            <v>Cornwall</v>
          </cell>
          <cell r="E20682" t="str">
            <v>Community School</v>
          </cell>
          <cell r="F20682" t="str">
            <v>Primary</v>
          </cell>
        </row>
        <row r="20683">
          <cell r="A20683">
            <v>9082751</v>
          </cell>
          <cell r="B20683">
            <v>111987</v>
          </cell>
          <cell r="C20683" t="str">
            <v>Newlyn School</v>
          </cell>
          <cell r="D20683" t="str">
            <v>Cornwall</v>
          </cell>
          <cell r="E20683" t="str">
            <v>Community School</v>
          </cell>
          <cell r="F20683" t="str">
            <v>Primary</v>
          </cell>
        </row>
        <row r="20684">
          <cell r="A20684">
            <v>3045407</v>
          </cell>
          <cell r="B20684">
            <v>101564</v>
          </cell>
          <cell r="C20684" t="str">
            <v>Newman Catholic College</v>
          </cell>
          <cell r="D20684" t="str">
            <v>Brent</v>
          </cell>
          <cell r="E20684" t="str">
            <v>Voluntary Aided School</v>
          </cell>
          <cell r="F20684" t="str">
            <v>Secondary</v>
          </cell>
        </row>
        <row r="20685">
          <cell r="A20685">
            <v>9094630</v>
          </cell>
          <cell r="B20685">
            <v>112399</v>
          </cell>
          <cell r="C20685" t="str">
            <v>Newman Catholic School</v>
          </cell>
          <cell r="D20685" t="str">
            <v>Cumbria</v>
          </cell>
          <cell r="E20685" t="str">
            <v>Voluntary Aided School</v>
          </cell>
          <cell r="F20685" t="str">
            <v>Secondary</v>
          </cell>
        </row>
        <row r="20686">
          <cell r="A20686">
            <v>9234796</v>
          </cell>
          <cell r="B20686">
            <v>129501</v>
          </cell>
          <cell r="C20686" t="str">
            <v>Newman College</v>
          </cell>
          <cell r="D20686" t="str">
            <v>Pre LGR (1998) Lancashire</v>
          </cell>
          <cell r="E20686" t="str">
            <v>Voluntary Aided School</v>
          </cell>
          <cell r="F20686" t="str">
            <v>Secondary</v>
          </cell>
        </row>
        <row r="20687">
          <cell r="A20687">
            <v>3727000</v>
          </cell>
          <cell r="B20687">
            <v>106966</v>
          </cell>
          <cell r="C20687" t="str">
            <v>Newman School</v>
          </cell>
          <cell r="D20687" t="str">
            <v>Rotherham</v>
          </cell>
          <cell r="E20687" t="str">
            <v>Community Special School</v>
          </cell>
          <cell r="F20687" t="str">
            <v>Special</v>
          </cell>
        </row>
        <row r="20688">
          <cell r="A20688">
            <v>330</v>
          </cell>
          <cell r="B20688">
            <v>133786</v>
          </cell>
          <cell r="C20688" t="str">
            <v>Newman University College</v>
          </cell>
          <cell r="D20688" t="str">
            <v>Birmingham</v>
          </cell>
          <cell r="E20688" t="str">
            <v>Higher Education Institutions</v>
          </cell>
          <cell r="F20688" t="str">
            <v>Not applicable</v>
          </cell>
        </row>
        <row r="20689">
          <cell r="A20689">
            <v>9354027</v>
          </cell>
          <cell r="B20689">
            <v>124804</v>
          </cell>
          <cell r="C20689" t="str">
            <v>Newmarket College</v>
          </cell>
          <cell r="D20689" t="str">
            <v>Suffolk</v>
          </cell>
          <cell r="E20689" t="str">
            <v>Community School</v>
          </cell>
          <cell r="F20689" t="str">
            <v>Secondary</v>
          </cell>
        </row>
        <row r="20690">
          <cell r="A20690">
            <v>8732109</v>
          </cell>
          <cell r="B20690">
            <v>110658</v>
          </cell>
          <cell r="C20690" t="str">
            <v>Newnham Croft Primary School</v>
          </cell>
          <cell r="D20690" t="str">
            <v>Cambridgeshire</v>
          </cell>
          <cell r="E20690" t="str">
            <v>Community School</v>
          </cell>
          <cell r="F20690" t="str">
            <v>Primary</v>
          </cell>
        </row>
        <row r="20691">
          <cell r="A20691">
            <v>3122039</v>
          </cell>
          <cell r="B20691">
            <v>102394</v>
          </cell>
          <cell r="C20691" t="str">
            <v>Newnham Infant and Nursery School</v>
          </cell>
          <cell r="D20691" t="str">
            <v>Hillingdon</v>
          </cell>
          <cell r="E20691" t="str">
            <v>Community School</v>
          </cell>
          <cell r="F20691" t="str">
            <v>Primary</v>
          </cell>
        </row>
        <row r="20692">
          <cell r="A20692">
            <v>3122038</v>
          </cell>
          <cell r="B20692">
            <v>102393</v>
          </cell>
          <cell r="C20692" t="str">
            <v>Newnham Junior School</v>
          </cell>
          <cell r="D20692" t="str">
            <v>Hillingdon</v>
          </cell>
          <cell r="E20692" t="str">
            <v>Community School</v>
          </cell>
          <cell r="F20692" t="str">
            <v>Primary</v>
          </cell>
        </row>
        <row r="20693">
          <cell r="A20693">
            <v>8224050</v>
          </cell>
          <cell r="B20693">
            <v>109661</v>
          </cell>
          <cell r="C20693" t="str">
            <v>Newnham Middle School</v>
          </cell>
          <cell r="D20693" t="str">
            <v>Bedford</v>
          </cell>
          <cell r="E20693" t="str">
            <v>Foundation School</v>
          </cell>
          <cell r="F20693" t="str">
            <v>Middle Deemed Secondary</v>
          </cell>
        </row>
        <row r="20694">
          <cell r="A20694">
            <v>9282073</v>
          </cell>
          <cell r="B20694">
            <v>121848</v>
          </cell>
          <cell r="C20694" t="str">
            <v>Newnham Primary School</v>
          </cell>
          <cell r="D20694" t="str">
            <v>Northamptonshire</v>
          </cell>
          <cell r="E20694" t="str">
            <v>Community School</v>
          </cell>
          <cell r="F20694" t="str">
            <v>Primary</v>
          </cell>
        </row>
        <row r="20695">
          <cell r="A20695">
            <v>9163340</v>
          </cell>
          <cell r="B20695">
            <v>115694</v>
          </cell>
          <cell r="C20695" t="str">
            <v>Newnham St Peter's Church of England Primary School</v>
          </cell>
          <cell r="D20695" t="str">
            <v>Gloucestershire</v>
          </cell>
          <cell r="E20695" t="str">
            <v>Voluntary Aided School</v>
          </cell>
          <cell r="F20695" t="str">
            <v>Primary</v>
          </cell>
        </row>
        <row r="20696">
          <cell r="A20696">
            <v>9213315</v>
          </cell>
          <cell r="B20696">
            <v>118200</v>
          </cell>
          <cell r="C20696" t="str">
            <v>Newport Church of England Aided Primary School</v>
          </cell>
          <cell r="D20696" t="str">
            <v>Isle of Wight</v>
          </cell>
          <cell r="E20696" t="str">
            <v>Voluntary Aided School</v>
          </cell>
          <cell r="F20696" t="str">
            <v>Primary</v>
          </cell>
        </row>
        <row r="20697">
          <cell r="A20697">
            <v>8943082</v>
          </cell>
          <cell r="B20697">
            <v>123489</v>
          </cell>
          <cell r="C20697" t="str">
            <v>Newport Church of England Voluntary Controlled Junior School</v>
          </cell>
          <cell r="D20697" t="str">
            <v>Telford and Wrekin</v>
          </cell>
          <cell r="E20697" t="str">
            <v>Voluntary Controlled School</v>
          </cell>
          <cell r="F20697" t="str">
            <v>Primary</v>
          </cell>
        </row>
        <row r="20698">
          <cell r="A20698">
            <v>9213301</v>
          </cell>
          <cell r="B20698">
            <v>129338</v>
          </cell>
          <cell r="C20698" t="str">
            <v>Newport CofE Primary School</v>
          </cell>
          <cell r="D20698" t="str">
            <v>Isle of Wight</v>
          </cell>
          <cell r="E20698" t="str">
            <v>Voluntary Aided School</v>
          </cell>
          <cell r="F20698" t="str">
            <v>Primary</v>
          </cell>
        </row>
        <row r="20699">
          <cell r="A20699">
            <v>8782258</v>
          </cell>
          <cell r="B20699">
            <v>113180</v>
          </cell>
          <cell r="C20699" t="str">
            <v>Newport Community School</v>
          </cell>
          <cell r="D20699" t="str">
            <v>Devon</v>
          </cell>
          <cell r="E20699" t="str">
            <v>Community School</v>
          </cell>
          <cell r="F20699" t="str">
            <v>Primary</v>
          </cell>
        </row>
        <row r="20700">
          <cell r="A20700">
            <v>8782258</v>
          </cell>
          <cell r="B20700">
            <v>137012</v>
          </cell>
          <cell r="C20700" t="str">
            <v>Newport Community School Primary Academy</v>
          </cell>
          <cell r="D20700" t="str">
            <v>Devon</v>
          </cell>
          <cell r="E20700" t="str">
            <v>Academy Converters</v>
          </cell>
          <cell r="F20700" t="str">
            <v>Primary</v>
          </cell>
        </row>
        <row r="20701">
          <cell r="A20701">
            <v>9172503</v>
          </cell>
          <cell r="B20701">
            <v>129007</v>
          </cell>
          <cell r="C20701" t="str">
            <v>Newport County Infant School</v>
          </cell>
          <cell r="D20701" t="str">
            <v>Pre LGR (1997) Hampshire</v>
          </cell>
          <cell r="E20701" t="str">
            <v>Community School</v>
          </cell>
          <cell r="F20701" t="str">
            <v>Primary</v>
          </cell>
        </row>
        <row r="20702">
          <cell r="A20702">
            <v>9172502</v>
          </cell>
          <cell r="B20702">
            <v>129006</v>
          </cell>
          <cell r="C20702" t="str">
            <v>Newport County Junior School</v>
          </cell>
          <cell r="D20702" t="str">
            <v>Pre LGR (1997) Hampshire</v>
          </cell>
          <cell r="E20702" t="str">
            <v>Community School</v>
          </cell>
          <cell r="F20702" t="str">
            <v>Primary</v>
          </cell>
        </row>
        <row r="20703">
          <cell r="A20703">
            <v>8815436</v>
          </cell>
          <cell r="B20703">
            <v>115352</v>
          </cell>
          <cell r="C20703" t="str">
            <v>Newport Free Grammar School</v>
          </cell>
          <cell r="D20703" t="str">
            <v>Essex</v>
          </cell>
          <cell r="E20703" t="str">
            <v>Foundation School</v>
          </cell>
          <cell r="F20703" t="str">
            <v>Secondary</v>
          </cell>
        </row>
        <row r="20704">
          <cell r="A20704">
            <v>8944364</v>
          </cell>
          <cell r="B20704">
            <v>123561</v>
          </cell>
          <cell r="C20704" t="str">
            <v>Newport Girls' High School</v>
          </cell>
          <cell r="D20704" t="str">
            <v>Telford and Wrekin</v>
          </cell>
          <cell r="E20704" t="str">
            <v>Community School</v>
          </cell>
          <cell r="F20704" t="str">
            <v>Secondary</v>
          </cell>
        </row>
        <row r="20705">
          <cell r="A20705">
            <v>8944364</v>
          </cell>
          <cell r="B20705">
            <v>136516</v>
          </cell>
          <cell r="C20705" t="str">
            <v>Newport Girls' High School</v>
          </cell>
          <cell r="D20705" t="str">
            <v>Telford and Wrekin</v>
          </cell>
          <cell r="E20705" t="str">
            <v>Academy Converters</v>
          </cell>
          <cell r="F20705" t="str">
            <v>Secondary</v>
          </cell>
        </row>
        <row r="20706">
          <cell r="A20706">
            <v>8942074</v>
          </cell>
          <cell r="B20706">
            <v>123384</v>
          </cell>
          <cell r="C20706" t="str">
            <v>Newport Infant School</v>
          </cell>
          <cell r="D20706" t="str">
            <v>Telford and Wrekin</v>
          </cell>
          <cell r="E20706" t="str">
            <v>Community School</v>
          </cell>
          <cell r="F20706" t="str">
            <v>Primary</v>
          </cell>
        </row>
        <row r="20707">
          <cell r="A20707">
            <v>3202022</v>
          </cell>
          <cell r="B20707">
            <v>103047</v>
          </cell>
          <cell r="C20707" t="str">
            <v>Newport Junior School</v>
          </cell>
          <cell r="D20707" t="str">
            <v>Waltham Forest</v>
          </cell>
          <cell r="E20707" t="str">
            <v>Community School</v>
          </cell>
          <cell r="F20707" t="str">
            <v>Primary</v>
          </cell>
        </row>
        <row r="20708">
          <cell r="A20708">
            <v>8502730</v>
          </cell>
          <cell r="B20708">
            <v>116235</v>
          </cell>
          <cell r="C20708" t="str">
            <v>Newport Junior School</v>
          </cell>
          <cell r="D20708" t="str">
            <v>Hampshire</v>
          </cell>
          <cell r="E20708" t="str">
            <v>Community School</v>
          </cell>
          <cell r="F20708" t="str">
            <v>Primary</v>
          </cell>
        </row>
        <row r="20709">
          <cell r="A20709">
            <v>8062124</v>
          </cell>
          <cell r="B20709">
            <v>111580</v>
          </cell>
          <cell r="C20709" t="str">
            <v>Newport Primary School</v>
          </cell>
          <cell r="D20709" t="str">
            <v>Middlesbrough</v>
          </cell>
          <cell r="E20709" t="str">
            <v>Community School</v>
          </cell>
          <cell r="F20709" t="str">
            <v>Primary</v>
          </cell>
        </row>
        <row r="20710">
          <cell r="A20710">
            <v>8812760</v>
          </cell>
          <cell r="B20710">
            <v>114985</v>
          </cell>
          <cell r="C20710" t="str">
            <v>Newport Primary School</v>
          </cell>
          <cell r="D20710" t="str">
            <v>Essex</v>
          </cell>
          <cell r="E20710" t="str">
            <v>Community School</v>
          </cell>
          <cell r="F20710" t="str">
            <v>Primary</v>
          </cell>
        </row>
        <row r="20711">
          <cell r="A20711">
            <v>8112740</v>
          </cell>
          <cell r="B20711">
            <v>117860</v>
          </cell>
          <cell r="C20711" t="str">
            <v>Newport Primary School</v>
          </cell>
          <cell r="D20711" t="str">
            <v>East Riding of Yorkshire</v>
          </cell>
          <cell r="E20711" t="str">
            <v>Community School</v>
          </cell>
          <cell r="F20711" t="str">
            <v>Primary</v>
          </cell>
        </row>
        <row r="20712">
          <cell r="A20712">
            <v>3202023</v>
          </cell>
          <cell r="B20712">
            <v>103048</v>
          </cell>
          <cell r="C20712" t="str">
            <v>Newport School</v>
          </cell>
          <cell r="D20712" t="str">
            <v>Waltham Forest</v>
          </cell>
          <cell r="E20712" t="str">
            <v>Community School</v>
          </cell>
          <cell r="F20712" t="str">
            <v>Primary</v>
          </cell>
        </row>
        <row r="20713">
          <cell r="A20713">
            <v>9082406</v>
          </cell>
          <cell r="B20713">
            <v>136384</v>
          </cell>
          <cell r="C20713" t="str">
            <v>Newquay Junior Academy</v>
          </cell>
          <cell r="D20713" t="str">
            <v>Cornwall</v>
          </cell>
          <cell r="E20713" t="str">
            <v>Academy Converters</v>
          </cell>
          <cell r="F20713" t="str">
            <v>Primary</v>
          </cell>
        </row>
        <row r="20714">
          <cell r="A20714">
            <v>9082406</v>
          </cell>
          <cell r="B20714">
            <v>111885</v>
          </cell>
          <cell r="C20714" t="str">
            <v>Newquay Junior School</v>
          </cell>
          <cell r="D20714" t="str">
            <v>Cornwall</v>
          </cell>
          <cell r="E20714" t="str">
            <v>Community School</v>
          </cell>
          <cell r="F20714" t="str">
            <v>Primary</v>
          </cell>
        </row>
        <row r="20715">
          <cell r="A20715">
            <v>9084165</v>
          </cell>
          <cell r="B20715">
            <v>136533</v>
          </cell>
          <cell r="C20715" t="str">
            <v>Newquay Tretherras</v>
          </cell>
          <cell r="D20715" t="str">
            <v>Cornwall</v>
          </cell>
          <cell r="E20715" t="str">
            <v>Academy Converters</v>
          </cell>
          <cell r="F20715" t="str">
            <v>Secondary</v>
          </cell>
        </row>
        <row r="20716">
          <cell r="A20716">
            <v>9084165</v>
          </cell>
          <cell r="B20716">
            <v>112059</v>
          </cell>
          <cell r="C20716" t="str">
            <v>Newquay Tretherras School</v>
          </cell>
          <cell r="D20716" t="str">
            <v>Cornwall</v>
          </cell>
          <cell r="E20716" t="str">
            <v>Foundation School</v>
          </cell>
          <cell r="F20716" t="str">
            <v>Secondary</v>
          </cell>
        </row>
        <row r="20717">
          <cell r="A20717">
            <v>3086061</v>
          </cell>
          <cell r="B20717">
            <v>126895</v>
          </cell>
          <cell r="C20717" t="str">
            <v>Newriver Christian School</v>
          </cell>
          <cell r="D20717" t="str">
            <v>Enfield</v>
          </cell>
          <cell r="E20717" t="str">
            <v>Other Independent School</v>
          </cell>
          <cell r="F20717" t="str">
            <v>Not applicable</v>
          </cell>
        </row>
        <row r="20718">
          <cell r="A20718">
            <v>8562260</v>
          </cell>
          <cell r="B20718">
            <v>120019</v>
          </cell>
          <cell r="C20718" t="str">
            <v>Newry Junior School</v>
          </cell>
          <cell r="D20718" t="str">
            <v>Leicester</v>
          </cell>
          <cell r="E20718" t="str">
            <v>Community School</v>
          </cell>
          <cell r="F20718" t="str">
            <v>Primary</v>
          </cell>
        </row>
        <row r="20719">
          <cell r="A20719">
            <v>3412108</v>
          </cell>
          <cell r="B20719">
            <v>127270</v>
          </cell>
          <cell r="C20719" t="str">
            <v>Newsham County Infant School</v>
          </cell>
          <cell r="D20719" t="str">
            <v>Liverpool</v>
          </cell>
          <cell r="E20719" t="str">
            <v>Community School</v>
          </cell>
          <cell r="F20719" t="str">
            <v>Primary</v>
          </cell>
        </row>
        <row r="20720">
          <cell r="A20720">
            <v>3412106</v>
          </cell>
          <cell r="B20720">
            <v>104563</v>
          </cell>
          <cell r="C20720" t="str">
            <v>Newsham Junior Mixed and Infant School</v>
          </cell>
          <cell r="D20720" t="str">
            <v>Liverpool</v>
          </cell>
          <cell r="E20720" t="str">
            <v>Community School</v>
          </cell>
          <cell r="F20720" t="str">
            <v>Primary</v>
          </cell>
        </row>
        <row r="20721">
          <cell r="A20721">
            <v>9292415</v>
          </cell>
          <cell r="B20721">
            <v>122261</v>
          </cell>
          <cell r="C20721" t="str">
            <v>Newsham Primary School</v>
          </cell>
          <cell r="D20721" t="str">
            <v>Northumberland</v>
          </cell>
          <cell r="E20721" t="str">
            <v>Community School</v>
          </cell>
          <cell r="F20721" t="str">
            <v>Primary</v>
          </cell>
        </row>
        <row r="20722">
          <cell r="A20722">
            <v>3824022</v>
          </cell>
          <cell r="B20722">
            <v>107761</v>
          </cell>
          <cell r="C20722" t="str">
            <v>Newsome High School and Sports College</v>
          </cell>
          <cell r="D20722" t="str">
            <v>Kirklees</v>
          </cell>
          <cell r="E20722" t="str">
            <v>Community School</v>
          </cell>
          <cell r="F20722" t="str">
            <v>Secondary</v>
          </cell>
        </row>
        <row r="20723">
          <cell r="A20723">
            <v>3822045</v>
          </cell>
          <cell r="B20723">
            <v>107630</v>
          </cell>
          <cell r="C20723" t="str">
            <v>Newsome Junior School</v>
          </cell>
          <cell r="D20723" t="str">
            <v>Kirklees</v>
          </cell>
          <cell r="E20723" t="str">
            <v>Community School</v>
          </cell>
          <cell r="F20723" t="str">
            <v>Primary</v>
          </cell>
        </row>
        <row r="20724">
          <cell r="A20724">
            <v>8912787</v>
          </cell>
          <cell r="B20724">
            <v>122658</v>
          </cell>
          <cell r="C20724" t="str">
            <v>Newstead Primary and Nursery School</v>
          </cell>
          <cell r="D20724" t="str">
            <v>Nottinghamshire</v>
          </cell>
          <cell r="E20724" t="str">
            <v>Community School</v>
          </cell>
          <cell r="F20724" t="str">
            <v>Primary</v>
          </cell>
        </row>
        <row r="20725">
          <cell r="A20725">
            <v>8072353</v>
          </cell>
          <cell r="B20725">
            <v>111651</v>
          </cell>
          <cell r="C20725" t="str">
            <v>Newstead Primary School</v>
          </cell>
          <cell r="D20725" t="str">
            <v>Redcar and Cleveland</v>
          </cell>
          <cell r="E20725" t="str">
            <v>Community School</v>
          </cell>
          <cell r="F20725" t="str">
            <v>Primary</v>
          </cell>
        </row>
        <row r="20726">
          <cell r="A20726">
            <v>8612092</v>
          </cell>
          <cell r="B20726">
            <v>124017</v>
          </cell>
          <cell r="C20726" t="str">
            <v>Newstead Primary School</v>
          </cell>
          <cell r="D20726" t="str">
            <v>Stoke-on-Trent</v>
          </cell>
          <cell r="E20726" t="str">
            <v>Community School</v>
          </cell>
          <cell r="F20726" t="str">
            <v>Primary</v>
          </cell>
        </row>
        <row r="20727">
          <cell r="A20727">
            <v>3401100</v>
          </cell>
          <cell r="B20727">
            <v>104418</v>
          </cell>
          <cell r="C20727" t="str">
            <v>Newstead Vocational Education Centre</v>
          </cell>
          <cell r="D20727" t="str">
            <v>Knowsley</v>
          </cell>
          <cell r="E20727" t="str">
            <v>Pupil Referral Unit</v>
          </cell>
          <cell r="F20727" t="str">
            <v>PRU</v>
          </cell>
        </row>
        <row r="20728">
          <cell r="A20728">
            <v>3055405</v>
          </cell>
          <cell r="B20728">
            <v>136551</v>
          </cell>
          <cell r="C20728" t="str">
            <v>Newstead Wood School</v>
          </cell>
          <cell r="D20728" t="str">
            <v>Bromley</v>
          </cell>
          <cell r="E20728" t="str">
            <v>Academy Converters</v>
          </cell>
          <cell r="F20728" t="str">
            <v>Secondary</v>
          </cell>
        </row>
        <row r="20729">
          <cell r="A20729">
            <v>3055405</v>
          </cell>
          <cell r="B20729">
            <v>101671</v>
          </cell>
          <cell r="C20729" t="str">
            <v>Newstead Wood School for Girls</v>
          </cell>
          <cell r="D20729" t="str">
            <v>Bromley</v>
          </cell>
          <cell r="E20729" t="str">
            <v>Foundation School</v>
          </cell>
          <cell r="F20729" t="str">
            <v>Secondary</v>
          </cell>
        </row>
        <row r="20730">
          <cell r="A20730">
            <v>8785404</v>
          </cell>
          <cell r="B20730">
            <v>113559</v>
          </cell>
          <cell r="C20730" t="str">
            <v>Newton Abbot College</v>
          </cell>
          <cell r="D20730" t="str">
            <v>Devon</v>
          </cell>
          <cell r="E20730" t="str">
            <v>Foundation School</v>
          </cell>
          <cell r="F20730" t="str">
            <v>Secondary</v>
          </cell>
        </row>
        <row r="20731">
          <cell r="A20731">
            <v>8785404</v>
          </cell>
          <cell r="B20731">
            <v>137124</v>
          </cell>
          <cell r="C20731" t="str">
            <v>Newton Abbot College</v>
          </cell>
          <cell r="D20731" t="str">
            <v>Devon</v>
          </cell>
          <cell r="E20731" t="str">
            <v>Academy Converters</v>
          </cell>
          <cell r="F20731" t="str">
            <v>Secondary</v>
          </cell>
        </row>
        <row r="20732">
          <cell r="A20732">
            <v>3426000</v>
          </cell>
          <cell r="B20732">
            <v>104836</v>
          </cell>
          <cell r="C20732" t="str">
            <v>Newton Bank Preparatory School</v>
          </cell>
          <cell r="D20732" t="str">
            <v>St. Helens</v>
          </cell>
          <cell r="E20732" t="str">
            <v>Other Independent School</v>
          </cell>
          <cell r="F20732" t="str">
            <v>Not applicable</v>
          </cell>
        </row>
        <row r="20733">
          <cell r="A20733">
            <v>8263003</v>
          </cell>
          <cell r="B20733">
            <v>110405</v>
          </cell>
          <cell r="C20733" t="str">
            <v>Newton Blossomville Church of England School</v>
          </cell>
          <cell r="D20733" t="str">
            <v>Milton Keynes</v>
          </cell>
          <cell r="E20733" t="str">
            <v>Voluntary Controlled School</v>
          </cell>
          <cell r="F20733" t="str">
            <v>Primary</v>
          </cell>
        </row>
        <row r="20734">
          <cell r="A20734">
            <v>8885200</v>
          </cell>
          <cell r="B20734">
            <v>119805</v>
          </cell>
          <cell r="C20734" t="str">
            <v>Newton Bluecoat Church of England Primary School</v>
          </cell>
          <cell r="D20734" t="str">
            <v>Lancashire</v>
          </cell>
          <cell r="E20734" t="str">
            <v>Voluntary Aided School</v>
          </cell>
          <cell r="F20734" t="str">
            <v>Primary</v>
          </cell>
        </row>
        <row r="20735">
          <cell r="A20735">
            <v>8552097</v>
          </cell>
          <cell r="B20735">
            <v>119953</v>
          </cell>
          <cell r="C20735" t="str">
            <v>Newton Burgoland Primary School</v>
          </cell>
          <cell r="D20735" t="str">
            <v>Leicestershire</v>
          </cell>
          <cell r="E20735" t="str">
            <v>Community School</v>
          </cell>
          <cell r="F20735" t="str">
            <v>Primary</v>
          </cell>
        </row>
        <row r="20736">
          <cell r="A20736">
            <v>3102045</v>
          </cell>
          <cell r="B20736">
            <v>102181</v>
          </cell>
          <cell r="C20736" t="str">
            <v>Newton Farm Nursery, Infant and Junior School</v>
          </cell>
          <cell r="D20736" t="str">
            <v>Harrow</v>
          </cell>
          <cell r="E20736" t="str">
            <v>Community School</v>
          </cell>
          <cell r="F20736" t="str">
            <v>Primary</v>
          </cell>
        </row>
        <row r="20737">
          <cell r="A20737">
            <v>8783156</v>
          </cell>
          <cell r="B20737">
            <v>113413</v>
          </cell>
          <cell r="C20737" t="str">
            <v>Newton Ferrers Church of England Primary School</v>
          </cell>
          <cell r="D20737" t="str">
            <v>Devon</v>
          </cell>
          <cell r="E20737" t="str">
            <v>Voluntary Controlled School</v>
          </cell>
          <cell r="F20737" t="str">
            <v>Primary</v>
          </cell>
        </row>
        <row r="20738">
          <cell r="A20738">
            <v>8783156</v>
          </cell>
          <cell r="B20738">
            <v>137664</v>
          </cell>
          <cell r="C20738" t="str">
            <v>Newton Ferrers Church of England Primary School</v>
          </cell>
          <cell r="D20738" t="str">
            <v>Devon</v>
          </cell>
          <cell r="E20738" t="str">
            <v>Academy Converters</v>
          </cell>
          <cell r="F20738" t="str">
            <v>Primary</v>
          </cell>
        </row>
        <row r="20739">
          <cell r="A20739">
            <v>9263058</v>
          </cell>
          <cell r="B20739">
            <v>121048</v>
          </cell>
          <cell r="C20739" t="str">
            <v>Newton Flotman Church of England Voluntary Controlled Primary School</v>
          </cell>
          <cell r="D20739" t="str">
            <v>Norfolk</v>
          </cell>
          <cell r="E20739" t="str">
            <v>Voluntary Controlled School</v>
          </cell>
          <cell r="F20739" t="str">
            <v>Primary</v>
          </cell>
        </row>
        <row r="20740">
          <cell r="A20740">
            <v>9131005</v>
          </cell>
          <cell r="B20740">
            <v>113968</v>
          </cell>
          <cell r="C20740" t="str">
            <v>Newton Hall Nursery School</v>
          </cell>
          <cell r="D20740" t="str">
            <v>Pre LGR (1997) Durham</v>
          </cell>
          <cell r="E20740" t="str">
            <v>LA Nursery School</v>
          </cell>
          <cell r="F20740" t="str">
            <v>Nursery</v>
          </cell>
        </row>
        <row r="20741">
          <cell r="A20741">
            <v>3527048</v>
          </cell>
          <cell r="B20741">
            <v>131449</v>
          </cell>
          <cell r="C20741" t="str">
            <v>Newton Heath School</v>
          </cell>
          <cell r="D20741" t="str">
            <v>Manchester</v>
          </cell>
          <cell r="E20741" t="str">
            <v>Community Special School</v>
          </cell>
          <cell r="F20741" t="str">
            <v>Special</v>
          </cell>
        </row>
        <row r="20742">
          <cell r="A20742">
            <v>3842079</v>
          </cell>
          <cell r="B20742">
            <v>108164</v>
          </cell>
          <cell r="C20742" t="str">
            <v>Newton Hill Junior and Infant School</v>
          </cell>
          <cell r="D20742" t="str">
            <v>Wakefield</v>
          </cell>
          <cell r="E20742" t="str">
            <v>Community School</v>
          </cell>
          <cell r="F20742" t="str">
            <v>Primary</v>
          </cell>
        </row>
        <row r="20743">
          <cell r="A20743">
            <v>9396103</v>
          </cell>
          <cell r="B20743">
            <v>130231</v>
          </cell>
          <cell r="C20743" t="str">
            <v>Newton House Pre-Preparatory School</v>
          </cell>
          <cell r="D20743" t="str">
            <v>Pre LGR (1997) Wiltshire</v>
          </cell>
          <cell r="E20743" t="str">
            <v>Other Independent School</v>
          </cell>
          <cell r="F20743" t="str">
            <v>Not applicable</v>
          </cell>
        </row>
        <row r="20744">
          <cell r="A20744">
            <v>3422057</v>
          </cell>
          <cell r="B20744">
            <v>127337</v>
          </cell>
          <cell r="C20744" t="str">
            <v>Newton Le Willows County Infant School</v>
          </cell>
          <cell r="D20744" t="str">
            <v>St. Helens</v>
          </cell>
          <cell r="E20744" t="str">
            <v>Community School</v>
          </cell>
          <cell r="F20744" t="str">
            <v>Primary</v>
          </cell>
        </row>
        <row r="20745">
          <cell r="A20745">
            <v>8253061</v>
          </cell>
          <cell r="B20745">
            <v>110440</v>
          </cell>
          <cell r="C20745" t="str">
            <v>Newton Longville Church of England Combined School</v>
          </cell>
          <cell r="D20745" t="str">
            <v>Buckinghamshire</v>
          </cell>
          <cell r="E20745" t="str">
            <v>Voluntary Controlled School</v>
          </cell>
          <cell r="F20745" t="str">
            <v>Primary</v>
          </cell>
        </row>
        <row r="20746">
          <cell r="A20746">
            <v>8782054</v>
          </cell>
          <cell r="B20746">
            <v>113103</v>
          </cell>
          <cell r="C20746" t="str">
            <v>Newton Poppleford Primary School</v>
          </cell>
          <cell r="D20746" t="str">
            <v>Devon</v>
          </cell>
          <cell r="E20746" t="str">
            <v>Community School</v>
          </cell>
          <cell r="F20746" t="str">
            <v>Primary</v>
          </cell>
        </row>
        <row r="20747">
          <cell r="A20747">
            <v>2126385</v>
          </cell>
          <cell r="B20747">
            <v>101082</v>
          </cell>
          <cell r="C20747" t="str">
            <v>Newton Preparatory School</v>
          </cell>
          <cell r="D20747" t="str">
            <v>Wandsworth</v>
          </cell>
          <cell r="E20747" t="str">
            <v>Other Independent School</v>
          </cell>
          <cell r="F20747" t="str">
            <v>Not applicable</v>
          </cell>
        </row>
        <row r="20748">
          <cell r="A20748">
            <v>8962055</v>
          </cell>
          <cell r="B20748">
            <v>110976</v>
          </cell>
          <cell r="C20748" t="str">
            <v>Newton Primary School</v>
          </cell>
          <cell r="D20748" t="str">
            <v>Cheshire West and Chester</v>
          </cell>
          <cell r="E20748" t="str">
            <v>Community School</v>
          </cell>
          <cell r="F20748" t="str">
            <v>Primary</v>
          </cell>
        </row>
        <row r="20749">
          <cell r="A20749">
            <v>9092406</v>
          </cell>
          <cell r="B20749">
            <v>112194</v>
          </cell>
          <cell r="C20749" t="str">
            <v>Newton Primary School</v>
          </cell>
          <cell r="D20749" t="str">
            <v>Cumbria</v>
          </cell>
          <cell r="E20749" t="str">
            <v>Community School</v>
          </cell>
          <cell r="F20749" t="str">
            <v>Primary</v>
          </cell>
        </row>
        <row r="20750">
          <cell r="A20750">
            <v>8302043</v>
          </cell>
          <cell r="B20750">
            <v>112507</v>
          </cell>
          <cell r="C20750" t="str">
            <v>Newton Primary School</v>
          </cell>
          <cell r="D20750" t="str">
            <v>Derbyshire</v>
          </cell>
          <cell r="E20750" t="str">
            <v>Community School</v>
          </cell>
          <cell r="F20750" t="str">
            <v>Primary</v>
          </cell>
        </row>
        <row r="20751">
          <cell r="A20751">
            <v>6702092</v>
          </cell>
          <cell r="B20751">
            <v>400903</v>
          </cell>
          <cell r="C20751" t="str">
            <v>Newton Primary School</v>
          </cell>
          <cell r="D20751" t="str">
            <v>Swansea</v>
          </cell>
          <cell r="E20751" t="str">
            <v>Welsh Establishment</v>
          </cell>
          <cell r="F20751" t="str">
            <v>Primary</v>
          </cell>
        </row>
        <row r="20752">
          <cell r="A20752">
            <v>6722185</v>
          </cell>
          <cell r="B20752">
            <v>401045</v>
          </cell>
          <cell r="C20752" t="str">
            <v>Newton Primary School</v>
          </cell>
          <cell r="D20752" t="str">
            <v>Bridgend</v>
          </cell>
          <cell r="E20752" t="str">
            <v>Welsh Establishment</v>
          </cell>
          <cell r="F20752" t="str">
            <v>Primary</v>
          </cell>
        </row>
        <row r="20753">
          <cell r="A20753">
            <v>9373047</v>
          </cell>
          <cell r="B20753">
            <v>125643</v>
          </cell>
          <cell r="C20753" t="str">
            <v>Newton Regis CofE Primary School</v>
          </cell>
          <cell r="D20753" t="str">
            <v>Warwickshire</v>
          </cell>
          <cell r="E20753" t="str">
            <v>Voluntary Controlled School</v>
          </cell>
          <cell r="F20753" t="str">
            <v>Primary</v>
          </cell>
        </row>
        <row r="20754">
          <cell r="A20754">
            <v>9098300</v>
          </cell>
          <cell r="B20754">
            <v>130636</v>
          </cell>
          <cell r="C20754" t="str">
            <v>Newton Rigg College</v>
          </cell>
          <cell r="D20754" t="str">
            <v>Cumbria</v>
          </cell>
          <cell r="E20754" t="str">
            <v>Further Education</v>
          </cell>
          <cell r="F20754" t="str">
            <v>16 Plus</v>
          </cell>
        </row>
        <row r="20755">
          <cell r="A20755">
            <v>9282226</v>
          </cell>
          <cell r="B20755">
            <v>132780</v>
          </cell>
          <cell r="C20755" t="str">
            <v>Newton Road Community Primary School</v>
          </cell>
          <cell r="D20755" t="str">
            <v>Northamptonshire</v>
          </cell>
          <cell r="E20755" t="str">
            <v>Community School</v>
          </cell>
          <cell r="F20755" t="str">
            <v>Primary</v>
          </cell>
        </row>
        <row r="20756">
          <cell r="A20756">
            <v>9282085</v>
          </cell>
          <cell r="B20756">
            <v>121860</v>
          </cell>
          <cell r="C20756" t="str">
            <v>Newton Road Infant School</v>
          </cell>
          <cell r="D20756" t="str">
            <v>Northamptonshire</v>
          </cell>
          <cell r="E20756" t="str">
            <v>Community School</v>
          </cell>
          <cell r="F20756" t="str">
            <v>Primary</v>
          </cell>
        </row>
        <row r="20757">
          <cell r="A20757">
            <v>9282084</v>
          </cell>
          <cell r="B20757">
            <v>121859</v>
          </cell>
          <cell r="C20757" t="str">
            <v>Newton Road Junior School</v>
          </cell>
          <cell r="D20757" t="str">
            <v>Northamptonshire</v>
          </cell>
          <cell r="E20757" t="str">
            <v>Community School</v>
          </cell>
          <cell r="F20757" t="str">
            <v>Primary</v>
          </cell>
        </row>
        <row r="20758">
          <cell r="A20758">
            <v>8303330</v>
          </cell>
          <cell r="B20758">
            <v>112890</v>
          </cell>
          <cell r="C20758" t="str">
            <v>Newton Solney CofE (Aided) Infant School</v>
          </cell>
          <cell r="D20758" t="str">
            <v>Derbyshire</v>
          </cell>
          <cell r="E20758" t="str">
            <v>Voluntary Aided School</v>
          </cell>
          <cell r="F20758" t="str">
            <v>Primary</v>
          </cell>
        </row>
        <row r="20759">
          <cell r="A20759">
            <v>8782055</v>
          </cell>
          <cell r="B20759">
            <v>113104</v>
          </cell>
          <cell r="C20759" t="str">
            <v>Newton St Cyres Primary School</v>
          </cell>
          <cell r="D20759" t="str">
            <v>Devon</v>
          </cell>
          <cell r="E20759" t="str">
            <v>Community School</v>
          </cell>
          <cell r="F20759" t="str">
            <v>Primary</v>
          </cell>
        </row>
        <row r="20760">
          <cell r="A20760">
            <v>8653134</v>
          </cell>
          <cell r="B20760">
            <v>126343</v>
          </cell>
          <cell r="C20760" t="str">
            <v>Newton Tony Church of England Voluntary Controlled School</v>
          </cell>
          <cell r="D20760" t="str">
            <v>Wiltshire</v>
          </cell>
          <cell r="E20760" t="str">
            <v>Voluntary Controlled School</v>
          </cell>
          <cell r="F20760" t="str">
            <v>Primary</v>
          </cell>
        </row>
        <row r="20761">
          <cell r="A20761">
            <v>3592040</v>
          </cell>
          <cell r="B20761">
            <v>106422</v>
          </cell>
          <cell r="C20761" t="str">
            <v>Newton Westpark Primary School</v>
          </cell>
          <cell r="D20761" t="str">
            <v>Wigan</v>
          </cell>
          <cell r="E20761" t="str">
            <v>Community School</v>
          </cell>
          <cell r="F20761" t="str">
            <v>Primary</v>
          </cell>
        </row>
        <row r="20762">
          <cell r="A20762">
            <v>3424052</v>
          </cell>
          <cell r="B20762">
            <v>104828</v>
          </cell>
          <cell r="C20762" t="str">
            <v>Newton-le-Willows Community High School</v>
          </cell>
          <cell r="D20762" t="str">
            <v>St. Helens</v>
          </cell>
          <cell r="E20762" t="str">
            <v>Community School</v>
          </cell>
          <cell r="F20762" t="str">
            <v>Secondary</v>
          </cell>
        </row>
        <row r="20763">
          <cell r="A20763">
            <v>3421000</v>
          </cell>
          <cell r="B20763">
            <v>104756</v>
          </cell>
          <cell r="C20763" t="str">
            <v>Newton-Le-Willows Nursery School</v>
          </cell>
          <cell r="D20763" t="str">
            <v>St. Helens</v>
          </cell>
          <cell r="E20763" t="str">
            <v>LA Nursery School</v>
          </cell>
          <cell r="F20763" t="str">
            <v>Nursery</v>
          </cell>
        </row>
        <row r="20764">
          <cell r="A20764">
            <v>3422056</v>
          </cell>
          <cell r="B20764">
            <v>104775</v>
          </cell>
          <cell r="C20764" t="str">
            <v>Newton-le-Willows Primary School</v>
          </cell>
          <cell r="D20764" t="str">
            <v>St. Helens</v>
          </cell>
          <cell r="E20764" t="str">
            <v>Community School</v>
          </cell>
          <cell r="F20764" t="str">
            <v>Primary</v>
          </cell>
        </row>
        <row r="20765">
          <cell r="A20765">
            <v>9253132</v>
          </cell>
          <cell r="B20765">
            <v>120578</v>
          </cell>
          <cell r="C20765" t="str">
            <v>Newton-on-Trent CofE Primary School</v>
          </cell>
          <cell r="D20765" t="str">
            <v>Lincolnshire</v>
          </cell>
          <cell r="E20765" t="str">
            <v>Voluntary Controlled School</v>
          </cell>
          <cell r="F20765" t="str">
            <v>Primary</v>
          </cell>
        </row>
        <row r="20766">
          <cell r="A20766">
            <v>3112084</v>
          </cell>
          <cell r="B20766">
            <v>102319</v>
          </cell>
          <cell r="C20766" t="str">
            <v>Newtons Primary School</v>
          </cell>
          <cell r="D20766" t="str">
            <v>Havering</v>
          </cell>
          <cell r="E20766" t="str">
            <v>Community School</v>
          </cell>
          <cell r="F20766" t="str">
            <v>Primary</v>
          </cell>
        </row>
        <row r="20767">
          <cell r="A20767">
            <v>8311104</v>
          </cell>
          <cell r="B20767">
            <v>136071</v>
          </cell>
          <cell r="C20767" t="str">
            <v>Newton's Walk</v>
          </cell>
          <cell r="D20767" t="str">
            <v>Derby</v>
          </cell>
          <cell r="E20767" t="str">
            <v>Pupil Referral Unit</v>
          </cell>
          <cell r="F20767" t="str">
            <v>PRU</v>
          </cell>
        </row>
        <row r="20768">
          <cell r="A20768">
            <v>8503192</v>
          </cell>
          <cell r="B20768">
            <v>116336</v>
          </cell>
          <cell r="C20768" t="str">
            <v>Newtown Church of England Voluntary Controlled Primary School</v>
          </cell>
          <cell r="D20768" t="str">
            <v>Hampshire</v>
          </cell>
          <cell r="E20768" t="str">
            <v>Voluntary Controlled School</v>
          </cell>
          <cell r="F20768" t="str">
            <v>Primary</v>
          </cell>
        </row>
        <row r="20769">
          <cell r="A20769">
            <v>8933083</v>
          </cell>
          <cell r="B20769">
            <v>123490</v>
          </cell>
          <cell r="C20769" t="str">
            <v>Newtown CofE Primary School</v>
          </cell>
          <cell r="D20769" t="str">
            <v>Shropshire</v>
          </cell>
          <cell r="E20769" t="str">
            <v>Voluntary Controlled School</v>
          </cell>
          <cell r="F20769" t="str">
            <v>Primary</v>
          </cell>
        </row>
        <row r="20770">
          <cell r="A20770">
            <v>9092608</v>
          </cell>
          <cell r="B20770">
            <v>112218</v>
          </cell>
          <cell r="C20770" t="str">
            <v>Newtown Community Primary School</v>
          </cell>
          <cell r="D20770" t="str">
            <v>Cumbria</v>
          </cell>
          <cell r="E20770" t="str">
            <v>Community School</v>
          </cell>
          <cell r="F20770" t="str">
            <v>Primary</v>
          </cell>
        </row>
        <row r="20771">
          <cell r="A20771">
            <v>8652227</v>
          </cell>
          <cell r="B20771">
            <v>126293</v>
          </cell>
          <cell r="C20771" t="str">
            <v>Newtown Community Primary School</v>
          </cell>
          <cell r="D20771" t="str">
            <v>Wiltshire</v>
          </cell>
          <cell r="E20771" t="str">
            <v>Community School</v>
          </cell>
          <cell r="F20771" t="str">
            <v>Primary</v>
          </cell>
        </row>
        <row r="20772">
          <cell r="A20772">
            <v>8252021</v>
          </cell>
          <cell r="B20772">
            <v>110217</v>
          </cell>
          <cell r="C20772" t="str">
            <v>Newtown Early Years and Infant School</v>
          </cell>
          <cell r="D20772" t="str">
            <v>Buckinghamshire</v>
          </cell>
          <cell r="E20772" t="str">
            <v>Community School</v>
          </cell>
          <cell r="F20772" t="str">
            <v>Primary</v>
          </cell>
        </row>
        <row r="20773">
          <cell r="A20773">
            <v>6664011</v>
          </cell>
          <cell r="B20773">
            <v>401725</v>
          </cell>
          <cell r="C20773" t="str">
            <v>Newtown High School</v>
          </cell>
          <cell r="D20773" t="str">
            <v>Powys</v>
          </cell>
          <cell r="E20773" t="str">
            <v>Welsh Establishment</v>
          </cell>
          <cell r="F20773" t="str">
            <v>Secondary</v>
          </cell>
        </row>
        <row r="20774">
          <cell r="A20774">
            <v>8082038</v>
          </cell>
          <cell r="B20774">
            <v>111542</v>
          </cell>
          <cell r="C20774" t="str">
            <v>Newtown Infant School</v>
          </cell>
          <cell r="D20774" t="str">
            <v>Stockton-on-Tees</v>
          </cell>
          <cell r="E20774" t="str">
            <v>Community School</v>
          </cell>
          <cell r="F20774" t="str">
            <v>Primary</v>
          </cell>
        </row>
        <row r="20775">
          <cell r="A20775">
            <v>8082037</v>
          </cell>
          <cell r="B20775">
            <v>111541</v>
          </cell>
          <cell r="C20775" t="str">
            <v>Newtown Junior School</v>
          </cell>
          <cell r="D20775" t="str">
            <v>Stockton-on-Tees</v>
          </cell>
          <cell r="E20775" t="str">
            <v>Community School</v>
          </cell>
          <cell r="F20775" t="str">
            <v>Primary</v>
          </cell>
        </row>
        <row r="20776">
          <cell r="A20776">
            <v>9392127</v>
          </cell>
          <cell r="B20776">
            <v>130212</v>
          </cell>
          <cell r="C20776" t="str">
            <v>Newtown Junior School</v>
          </cell>
          <cell r="D20776" t="str">
            <v>Pre LGR (1997) Wiltshire</v>
          </cell>
          <cell r="E20776" t="str">
            <v>Community School</v>
          </cell>
          <cell r="F20776" t="str">
            <v>Primary</v>
          </cell>
        </row>
        <row r="20777">
          <cell r="A20777">
            <v>8552079</v>
          </cell>
          <cell r="B20777">
            <v>119943</v>
          </cell>
          <cell r="C20777" t="str">
            <v>Newtown Linford Primary School</v>
          </cell>
          <cell r="D20777" t="str">
            <v>Leicestershire</v>
          </cell>
          <cell r="E20777" t="str">
            <v>Community School</v>
          </cell>
          <cell r="F20777" t="str">
            <v>Primary</v>
          </cell>
        </row>
        <row r="20778">
          <cell r="A20778">
            <v>3301028</v>
          </cell>
          <cell r="B20778">
            <v>103141</v>
          </cell>
          <cell r="C20778" t="str">
            <v>Newtown Nursery School</v>
          </cell>
          <cell r="D20778" t="str">
            <v>Birmingham</v>
          </cell>
          <cell r="E20778" t="str">
            <v>LA Nursery School</v>
          </cell>
          <cell r="F20778" t="str">
            <v>Nursery</v>
          </cell>
        </row>
        <row r="20779">
          <cell r="A20779">
            <v>8881028</v>
          </cell>
          <cell r="B20779">
            <v>119090</v>
          </cell>
          <cell r="C20779" t="str">
            <v>Newtown Nursery School</v>
          </cell>
          <cell r="D20779" t="str">
            <v>Lancashire</v>
          </cell>
          <cell r="E20779" t="str">
            <v>LA Nursery School</v>
          </cell>
          <cell r="F20779" t="str">
            <v>Nursery</v>
          </cell>
        </row>
        <row r="20780">
          <cell r="A20780">
            <v>3332074</v>
          </cell>
          <cell r="B20780">
            <v>103924</v>
          </cell>
          <cell r="C20780" t="str">
            <v>Newtown Primary School</v>
          </cell>
          <cell r="D20780" t="str">
            <v>Sandwell</v>
          </cell>
          <cell r="E20780" t="str">
            <v>Community School</v>
          </cell>
          <cell r="F20780" t="str">
            <v>Primary</v>
          </cell>
        </row>
        <row r="20781">
          <cell r="A20781">
            <v>8302181</v>
          </cell>
          <cell r="B20781">
            <v>112599</v>
          </cell>
          <cell r="C20781" t="str">
            <v>Newtown Primary School</v>
          </cell>
          <cell r="D20781" t="str">
            <v>Derbyshire</v>
          </cell>
          <cell r="E20781" t="str">
            <v>Community School</v>
          </cell>
          <cell r="F20781" t="str">
            <v>Primary</v>
          </cell>
        </row>
        <row r="20782">
          <cell r="A20782">
            <v>8782029</v>
          </cell>
          <cell r="B20782">
            <v>113083</v>
          </cell>
          <cell r="C20782" t="str">
            <v>Newtown Primary School</v>
          </cell>
          <cell r="D20782" t="str">
            <v>Devon</v>
          </cell>
          <cell r="E20782" t="str">
            <v>Community School</v>
          </cell>
          <cell r="F20782" t="str">
            <v>Primary</v>
          </cell>
        </row>
        <row r="20783">
          <cell r="A20783">
            <v>6742184</v>
          </cell>
          <cell r="B20783">
            <v>401203</v>
          </cell>
          <cell r="C20783" t="str">
            <v>Newtown Primary School</v>
          </cell>
          <cell r="D20783" t="str">
            <v>Rhondda, Cynon, Taff</v>
          </cell>
          <cell r="E20783" t="str">
            <v>Welsh Establishment</v>
          </cell>
          <cell r="F20783" t="str">
            <v>Primary</v>
          </cell>
        </row>
        <row r="20784">
          <cell r="A20784">
            <v>8502147</v>
          </cell>
          <cell r="B20784">
            <v>115931</v>
          </cell>
          <cell r="C20784" t="str">
            <v>Newtown Soberton Infant School</v>
          </cell>
          <cell r="D20784" t="str">
            <v>Hampshire</v>
          </cell>
          <cell r="E20784" t="str">
            <v>Community School</v>
          </cell>
          <cell r="F20784" t="str">
            <v>Primary</v>
          </cell>
        </row>
        <row r="20785">
          <cell r="A20785">
            <v>3711107</v>
          </cell>
          <cell r="B20785">
            <v>135499</v>
          </cell>
          <cell r="C20785" t="str">
            <v>Nexus Centre</v>
          </cell>
          <cell r="D20785" t="str">
            <v>Doncaster</v>
          </cell>
          <cell r="E20785" t="str">
            <v>Pupil Referral Unit</v>
          </cell>
          <cell r="F20785" t="str">
            <v>PRU</v>
          </cell>
        </row>
        <row r="20786">
          <cell r="A20786">
            <v>6682277</v>
          </cell>
          <cell r="B20786">
            <v>400696</v>
          </cell>
          <cell r="C20786" t="str">
            <v>Neyland C.P. Infant &amp; Nursery</v>
          </cell>
          <cell r="D20786" t="str">
            <v>Pembrokeshire</v>
          </cell>
          <cell r="E20786" t="str">
            <v>Welsh Establishment</v>
          </cell>
          <cell r="F20786" t="str">
            <v>Primary</v>
          </cell>
        </row>
        <row r="20787">
          <cell r="A20787">
            <v>6682244</v>
          </cell>
          <cell r="B20787">
            <v>400674</v>
          </cell>
          <cell r="C20787" t="str">
            <v>Neyland Junior C.P. School</v>
          </cell>
          <cell r="D20787" t="str">
            <v>Pembrokeshire</v>
          </cell>
          <cell r="E20787" t="str">
            <v>Welsh Establishment</v>
          </cell>
          <cell r="F20787" t="str">
            <v>Primary</v>
          </cell>
        </row>
        <row r="20788">
          <cell r="A20788">
            <v>6682393</v>
          </cell>
          <cell r="B20788">
            <v>402112</v>
          </cell>
          <cell r="C20788" t="str">
            <v>Neyland Primary School</v>
          </cell>
          <cell r="D20788" t="str">
            <v>Pembrokeshire</v>
          </cell>
          <cell r="E20788" t="str">
            <v>Welsh Establishment</v>
          </cell>
          <cell r="F20788" t="str">
            <v>Primary</v>
          </cell>
        </row>
        <row r="20789">
          <cell r="A20789">
            <v>9195412</v>
          </cell>
          <cell r="B20789">
            <v>117584</v>
          </cell>
          <cell r="C20789" t="str">
            <v>Nicholas Breakspear Catholic School</v>
          </cell>
          <cell r="D20789" t="str">
            <v>Hertfordshire</v>
          </cell>
          <cell r="E20789" t="str">
            <v>Voluntary Aided School</v>
          </cell>
          <cell r="F20789" t="str">
            <v>Secondary</v>
          </cell>
        </row>
        <row r="20790">
          <cell r="A20790">
            <v>9374103</v>
          </cell>
          <cell r="B20790">
            <v>125732</v>
          </cell>
          <cell r="C20790" t="str">
            <v>Nicholas Chamberlaine Technology College</v>
          </cell>
          <cell r="D20790" t="str">
            <v>Warwickshire</v>
          </cell>
          <cell r="E20790" t="str">
            <v>Community School</v>
          </cell>
          <cell r="F20790" t="str">
            <v>Secondary</v>
          </cell>
        </row>
        <row r="20791">
          <cell r="A20791">
            <v>9282214</v>
          </cell>
          <cell r="B20791">
            <v>121948</v>
          </cell>
          <cell r="C20791" t="str">
            <v>Nicholas Hawksmoor Primary School</v>
          </cell>
          <cell r="D20791" t="str">
            <v>Northamptonshire</v>
          </cell>
          <cell r="E20791" t="str">
            <v>Foundation School</v>
          </cell>
          <cell r="F20791" t="str">
            <v>Primary</v>
          </cell>
        </row>
        <row r="20792">
          <cell r="A20792">
            <v>9282214</v>
          </cell>
          <cell r="B20792">
            <v>136480</v>
          </cell>
          <cell r="C20792" t="str">
            <v>Nicholas Hawksmoor Primary School</v>
          </cell>
          <cell r="D20792" t="str">
            <v>Northamptonshire</v>
          </cell>
          <cell r="E20792" t="str">
            <v>Academy Converters</v>
          </cell>
          <cell r="F20792" t="str">
            <v>Primary</v>
          </cell>
        </row>
        <row r="20793">
          <cell r="A20793">
            <v>8814451</v>
          </cell>
          <cell r="B20793">
            <v>115230</v>
          </cell>
          <cell r="C20793" t="str">
            <v>Nicholas School</v>
          </cell>
          <cell r="D20793" t="str">
            <v>Essex</v>
          </cell>
          <cell r="E20793" t="str">
            <v>Community School</v>
          </cell>
          <cell r="F20793" t="str">
            <v>Secondary</v>
          </cell>
        </row>
        <row r="20794">
          <cell r="A20794">
            <v>3522011</v>
          </cell>
          <cell r="B20794">
            <v>131932</v>
          </cell>
          <cell r="C20794" t="str">
            <v>Nicholas Varley Community School</v>
          </cell>
          <cell r="D20794" t="str">
            <v>Manchester</v>
          </cell>
          <cell r="E20794" t="str">
            <v>Community School</v>
          </cell>
          <cell r="F20794" t="str">
            <v>Primary</v>
          </cell>
        </row>
        <row r="20795">
          <cell r="A20795">
            <v>3592051</v>
          </cell>
          <cell r="B20795">
            <v>106430</v>
          </cell>
          <cell r="C20795" t="str">
            <v>Nicol Mere School</v>
          </cell>
          <cell r="D20795" t="str">
            <v>Wigan</v>
          </cell>
          <cell r="E20795" t="str">
            <v>Community School</v>
          </cell>
          <cell r="F20795" t="str">
            <v>Primary</v>
          </cell>
        </row>
        <row r="20796">
          <cell r="A20796">
            <v>8154223</v>
          </cell>
          <cell r="B20796">
            <v>121700</v>
          </cell>
          <cell r="C20796" t="str">
            <v>Nidderdale High School and Community College</v>
          </cell>
          <cell r="D20796" t="str">
            <v>North Yorkshire</v>
          </cell>
          <cell r="E20796" t="str">
            <v>Community School</v>
          </cell>
          <cell r="F20796" t="str">
            <v>Secondary</v>
          </cell>
        </row>
        <row r="20797">
          <cell r="A20797">
            <v>3822075</v>
          </cell>
          <cell r="B20797">
            <v>107646</v>
          </cell>
          <cell r="C20797" t="str">
            <v>Nields Junior Infant and Nursery School</v>
          </cell>
          <cell r="D20797" t="str">
            <v>Kirklees</v>
          </cell>
          <cell r="E20797" t="str">
            <v>Community School</v>
          </cell>
          <cell r="F20797" t="str">
            <v>Primary</v>
          </cell>
        </row>
        <row r="20798">
          <cell r="A20798">
            <v>7022044</v>
          </cell>
          <cell r="B20798">
            <v>133008</v>
          </cell>
          <cell r="C20798" t="str">
            <v>Nienburg Primary School</v>
          </cell>
          <cell r="D20798" t="str">
            <v>BFPO Overseas Establishments</v>
          </cell>
          <cell r="E20798" t="str">
            <v>Service Childrens Education</v>
          </cell>
          <cell r="F20798" t="str">
            <v>Not applicable</v>
          </cell>
        </row>
        <row r="20799">
          <cell r="A20799">
            <v>3086908</v>
          </cell>
          <cell r="B20799">
            <v>136157</v>
          </cell>
          <cell r="C20799" t="str">
            <v>Nightingale Academy</v>
          </cell>
          <cell r="D20799" t="str">
            <v>Enfield</v>
          </cell>
          <cell r="E20799" t="str">
            <v>Academy Sponsor Led</v>
          </cell>
          <cell r="F20799" t="str">
            <v>Secondary</v>
          </cell>
        </row>
        <row r="20800">
          <cell r="A20800">
            <v>3712173</v>
          </cell>
          <cell r="B20800">
            <v>106736</v>
          </cell>
          <cell r="C20800" t="str">
            <v>Nightingale Infant School</v>
          </cell>
          <cell r="D20800" t="str">
            <v>Doncaster</v>
          </cell>
          <cell r="E20800" t="str">
            <v>Community School</v>
          </cell>
          <cell r="F20800" t="str">
            <v>Primary</v>
          </cell>
        </row>
        <row r="20801">
          <cell r="A20801">
            <v>9262283</v>
          </cell>
          <cell r="B20801">
            <v>120924</v>
          </cell>
          <cell r="C20801" t="str">
            <v>Nightingale Infant School</v>
          </cell>
          <cell r="D20801" t="str">
            <v>Norfolk</v>
          </cell>
          <cell r="E20801" t="str">
            <v>Community School</v>
          </cell>
          <cell r="F20801" t="str">
            <v>Primary</v>
          </cell>
        </row>
        <row r="20802">
          <cell r="A20802">
            <v>8312419</v>
          </cell>
          <cell r="B20802">
            <v>112724</v>
          </cell>
          <cell r="C20802" t="str">
            <v>Nightingale Junior School</v>
          </cell>
          <cell r="D20802" t="str">
            <v>Derby</v>
          </cell>
          <cell r="E20802" t="str">
            <v>Community School</v>
          </cell>
          <cell r="F20802" t="str">
            <v>Primary</v>
          </cell>
        </row>
        <row r="20803">
          <cell r="A20803">
            <v>2032902</v>
          </cell>
          <cell r="B20803">
            <v>100160</v>
          </cell>
          <cell r="C20803" t="str">
            <v>Nightingale Primary School</v>
          </cell>
          <cell r="D20803" t="str">
            <v>Greenwich</v>
          </cell>
          <cell r="E20803" t="str">
            <v>Community School</v>
          </cell>
          <cell r="F20803" t="str">
            <v>Primary</v>
          </cell>
        </row>
        <row r="20804">
          <cell r="A20804">
            <v>2042860</v>
          </cell>
          <cell r="B20804">
            <v>100254</v>
          </cell>
          <cell r="C20804" t="str">
            <v>Nightingale Primary School</v>
          </cell>
          <cell r="D20804" t="str">
            <v>Hackney</v>
          </cell>
          <cell r="E20804" t="str">
            <v>Community School</v>
          </cell>
          <cell r="F20804" t="str">
            <v>Primary</v>
          </cell>
        </row>
        <row r="20805">
          <cell r="A20805">
            <v>3092064</v>
          </cell>
          <cell r="B20805">
            <v>102126</v>
          </cell>
          <cell r="C20805" t="str">
            <v>Nightingale Primary School</v>
          </cell>
          <cell r="D20805" t="str">
            <v>Haringey</v>
          </cell>
          <cell r="E20805" t="str">
            <v>Community School</v>
          </cell>
          <cell r="F20805" t="str">
            <v>Primary</v>
          </cell>
        </row>
        <row r="20806">
          <cell r="A20806">
            <v>3172063</v>
          </cell>
          <cell r="B20806">
            <v>102839</v>
          </cell>
          <cell r="C20806" t="str">
            <v>Nightingale Primary School</v>
          </cell>
          <cell r="D20806" t="str">
            <v>Redbridge</v>
          </cell>
          <cell r="E20806" t="str">
            <v>Community School</v>
          </cell>
          <cell r="F20806" t="str">
            <v>Primary</v>
          </cell>
        </row>
        <row r="20807">
          <cell r="A20807">
            <v>8502763</v>
          </cell>
          <cell r="B20807">
            <v>116256</v>
          </cell>
          <cell r="C20807" t="str">
            <v>Nightingale Primary School</v>
          </cell>
          <cell r="D20807" t="str">
            <v>Hampshire</v>
          </cell>
          <cell r="E20807" t="str">
            <v>Community School</v>
          </cell>
          <cell r="F20807" t="str">
            <v>Primary</v>
          </cell>
        </row>
        <row r="20808">
          <cell r="A20808">
            <v>2127209</v>
          </cell>
          <cell r="B20808">
            <v>131594</v>
          </cell>
          <cell r="C20808" t="str">
            <v>Nightingale School</v>
          </cell>
          <cell r="D20808" t="str">
            <v>Wandsworth</v>
          </cell>
          <cell r="E20808" t="str">
            <v>Community Special School</v>
          </cell>
          <cell r="F20808" t="str">
            <v>Special</v>
          </cell>
        </row>
        <row r="20809">
          <cell r="A20809">
            <v>9212014</v>
          </cell>
          <cell r="B20809">
            <v>118164</v>
          </cell>
          <cell r="C20809" t="str">
            <v>Nine Acres Primary School</v>
          </cell>
          <cell r="D20809" t="str">
            <v>Isle of Wight</v>
          </cell>
          <cell r="E20809" t="str">
            <v>Community School</v>
          </cell>
          <cell r="F20809" t="str">
            <v>Primary</v>
          </cell>
        </row>
        <row r="20810">
          <cell r="A20810">
            <v>2037187</v>
          </cell>
          <cell r="B20810">
            <v>100208</v>
          </cell>
          <cell r="C20810" t="str">
            <v>Nine Acres School</v>
          </cell>
          <cell r="D20810" t="str">
            <v>Greenwich</v>
          </cell>
          <cell r="E20810" t="str">
            <v>Community Special School</v>
          </cell>
          <cell r="F20810" t="str">
            <v>Special</v>
          </cell>
        </row>
        <row r="20811">
          <cell r="A20811">
            <v>9082127</v>
          </cell>
          <cell r="B20811">
            <v>111827</v>
          </cell>
          <cell r="C20811" t="str">
            <v>Nine Maidens Community Primary School</v>
          </cell>
          <cell r="D20811" t="str">
            <v>Cornwall</v>
          </cell>
          <cell r="E20811" t="str">
            <v>Community School</v>
          </cell>
          <cell r="F20811" t="str">
            <v>Primary</v>
          </cell>
        </row>
        <row r="20812">
          <cell r="A20812">
            <v>9081104</v>
          </cell>
          <cell r="B20812">
            <v>134755</v>
          </cell>
          <cell r="C20812" t="str">
            <v>Nine Maidens Short Stay School</v>
          </cell>
          <cell r="D20812" t="str">
            <v>Cornwall</v>
          </cell>
          <cell r="E20812" t="str">
            <v>Pupil Referral Unit</v>
          </cell>
          <cell r="F20812" t="str">
            <v>PRU</v>
          </cell>
        </row>
        <row r="20813">
          <cell r="A20813">
            <v>8722067</v>
          </cell>
          <cell r="B20813">
            <v>109814</v>
          </cell>
          <cell r="C20813" t="str">
            <v>Nine Mile Ride Primary School</v>
          </cell>
          <cell r="D20813" t="str">
            <v>Wokingham</v>
          </cell>
          <cell r="E20813" t="str">
            <v>Community School</v>
          </cell>
          <cell r="F20813" t="str">
            <v>Primary</v>
          </cell>
        </row>
        <row r="20814">
          <cell r="A20814">
            <v>3402038</v>
          </cell>
          <cell r="B20814">
            <v>104440</v>
          </cell>
          <cell r="C20814" t="str">
            <v>Nine Tree Primary School</v>
          </cell>
          <cell r="D20814" t="str">
            <v>Knowsley</v>
          </cell>
          <cell r="E20814" t="str">
            <v>Community School</v>
          </cell>
          <cell r="F20814" t="str">
            <v>Primary</v>
          </cell>
        </row>
        <row r="20815">
          <cell r="A20815">
            <v>3832366</v>
          </cell>
          <cell r="B20815">
            <v>127905</v>
          </cell>
          <cell r="C20815" t="str">
            <v>Ninelands Infant School</v>
          </cell>
          <cell r="D20815" t="str">
            <v>Leeds</v>
          </cell>
          <cell r="E20815" t="str">
            <v>Community School</v>
          </cell>
          <cell r="F20815" t="str">
            <v>Primary</v>
          </cell>
        </row>
        <row r="20816">
          <cell r="A20816">
            <v>3832330</v>
          </cell>
          <cell r="B20816">
            <v>127895</v>
          </cell>
          <cell r="C20816" t="str">
            <v>Ninelands Lane Junior School</v>
          </cell>
          <cell r="D20816" t="str">
            <v>Leeds</v>
          </cell>
          <cell r="E20816" t="str">
            <v>Community School</v>
          </cell>
          <cell r="F20816" t="str">
            <v>Primary</v>
          </cell>
        </row>
        <row r="20817">
          <cell r="A20817">
            <v>3832397</v>
          </cell>
          <cell r="B20817">
            <v>107873</v>
          </cell>
          <cell r="C20817" t="str">
            <v>Ninelands Primary School</v>
          </cell>
          <cell r="D20817" t="str">
            <v>Leeds</v>
          </cell>
          <cell r="E20817" t="str">
            <v>Foundation School</v>
          </cell>
          <cell r="F20817" t="str">
            <v>Primary</v>
          </cell>
        </row>
        <row r="20818">
          <cell r="A20818">
            <v>3305411</v>
          </cell>
          <cell r="B20818">
            <v>103558</v>
          </cell>
          <cell r="C20818" t="str">
            <v>Ninestiles School</v>
          </cell>
          <cell r="D20818" t="str">
            <v>Birmingham</v>
          </cell>
          <cell r="E20818" t="str">
            <v>Foundation School</v>
          </cell>
          <cell r="F20818" t="str">
            <v>Secondary</v>
          </cell>
        </row>
        <row r="20819">
          <cell r="A20819">
            <v>3305411</v>
          </cell>
          <cell r="B20819">
            <v>136406</v>
          </cell>
          <cell r="C20819" t="str">
            <v>Ninestiles School, an Academy</v>
          </cell>
          <cell r="D20819" t="str">
            <v>Birmingham</v>
          </cell>
          <cell r="E20819" t="str">
            <v>Academy Converters</v>
          </cell>
          <cell r="F20819" t="str">
            <v>Secondary</v>
          </cell>
        </row>
        <row r="20820">
          <cell r="A20820">
            <v>8453046</v>
          </cell>
          <cell r="B20820">
            <v>114515</v>
          </cell>
          <cell r="C20820" t="str">
            <v>Ninfield Church of England Primary School</v>
          </cell>
          <cell r="D20820" t="str">
            <v>East Sussex</v>
          </cell>
          <cell r="E20820" t="str">
            <v>Voluntary Controlled School</v>
          </cell>
          <cell r="F20820" t="str">
            <v>Primary</v>
          </cell>
        </row>
        <row r="20821">
          <cell r="A20821">
            <v>6812101</v>
          </cell>
          <cell r="B20821">
            <v>401609</v>
          </cell>
          <cell r="C20821" t="str">
            <v>Ninian Park Primary School</v>
          </cell>
          <cell r="D20821" t="str">
            <v>Cardiff</v>
          </cell>
          <cell r="E20821" t="str">
            <v>Welsh Establishment</v>
          </cell>
          <cell r="F20821" t="str">
            <v>Primary</v>
          </cell>
        </row>
        <row r="20822">
          <cell r="A20822">
            <v>3302032</v>
          </cell>
          <cell r="B20822">
            <v>137492</v>
          </cell>
          <cell r="C20822" t="str">
            <v>Nishkam Free School</v>
          </cell>
          <cell r="D20822" t="str">
            <v>Birmingham</v>
          </cell>
          <cell r="E20822" t="str">
            <v>Academy Free Schools</v>
          </cell>
          <cell r="F20822" t="str">
            <v>Primary</v>
          </cell>
        </row>
        <row r="20823">
          <cell r="A20823">
            <v>3306211</v>
          </cell>
          <cell r="B20823">
            <v>136212</v>
          </cell>
          <cell r="C20823" t="str">
            <v>Nishkam Primary School</v>
          </cell>
          <cell r="D20823" t="str">
            <v>Birmingham</v>
          </cell>
          <cell r="E20823" t="str">
            <v>Other Independent School</v>
          </cell>
          <cell r="F20823" t="str">
            <v>Not applicable</v>
          </cell>
        </row>
        <row r="20824">
          <cell r="A20824">
            <v>9212015</v>
          </cell>
          <cell r="B20824">
            <v>118165</v>
          </cell>
          <cell r="C20824" t="str">
            <v>Niton Primary School</v>
          </cell>
          <cell r="D20824" t="str">
            <v>Isle of Wight</v>
          </cell>
          <cell r="E20824" t="str">
            <v>Community School</v>
          </cell>
          <cell r="F20824" t="str">
            <v>Primary</v>
          </cell>
        </row>
        <row r="20825">
          <cell r="A20825">
            <v>8504128</v>
          </cell>
          <cell r="B20825">
            <v>116415</v>
          </cell>
          <cell r="C20825" t="str">
            <v>Noadswood School</v>
          </cell>
          <cell r="D20825" t="str">
            <v>Hampshire</v>
          </cell>
          <cell r="E20825" t="str">
            <v>Community School</v>
          </cell>
          <cell r="F20825" t="str">
            <v>Secondary</v>
          </cell>
        </row>
        <row r="20826">
          <cell r="A20826">
            <v>8504128</v>
          </cell>
          <cell r="B20826">
            <v>137125</v>
          </cell>
          <cell r="C20826" t="str">
            <v>Noadswood School</v>
          </cell>
          <cell r="D20826" t="str">
            <v>Hampshire</v>
          </cell>
          <cell r="E20826" t="str">
            <v>Academy Converters</v>
          </cell>
          <cell r="F20826" t="str">
            <v>Secondary</v>
          </cell>
        </row>
        <row r="20827">
          <cell r="A20827">
            <v>2086387</v>
          </cell>
          <cell r="B20827">
            <v>100652</v>
          </cell>
          <cell r="C20827" t="str">
            <v>Noah's Ark School</v>
          </cell>
          <cell r="D20827" t="str">
            <v>Lambeth</v>
          </cell>
          <cell r="E20827" t="str">
            <v>Other Independent School</v>
          </cell>
          <cell r="F20827" t="str">
            <v>Not applicable</v>
          </cell>
        </row>
        <row r="20828">
          <cell r="A20828">
            <v>8812568</v>
          </cell>
          <cell r="B20828">
            <v>114894</v>
          </cell>
          <cell r="C20828" t="str">
            <v>Noak Bridge Primary School</v>
          </cell>
          <cell r="D20828" t="str">
            <v>Essex</v>
          </cell>
          <cell r="E20828" t="str">
            <v>Community School</v>
          </cell>
          <cell r="F20828" t="str">
            <v>Primary</v>
          </cell>
        </row>
        <row r="20829">
          <cell r="A20829">
            <v>3116062</v>
          </cell>
          <cell r="B20829">
            <v>134501</v>
          </cell>
          <cell r="C20829" t="str">
            <v>Noak Hill School</v>
          </cell>
          <cell r="D20829" t="str">
            <v>Havering</v>
          </cell>
          <cell r="E20829" t="str">
            <v>Other Independent School</v>
          </cell>
          <cell r="F20829" t="str">
            <v>Not applicable</v>
          </cell>
        </row>
        <row r="20830">
          <cell r="A20830">
            <v>7057002</v>
          </cell>
          <cell r="B20830">
            <v>132468</v>
          </cell>
          <cell r="C20830" t="str">
            <v>Noble's Hospital School</v>
          </cell>
          <cell r="D20830" t="str">
            <v>Isle of Man Offshore Establishments</v>
          </cell>
          <cell r="E20830" t="str">
            <v>Offshore Schools</v>
          </cell>
          <cell r="F20830" t="str">
            <v>Not applicable</v>
          </cell>
        </row>
        <row r="20831">
          <cell r="A20831">
            <v>9252031</v>
          </cell>
          <cell r="B20831">
            <v>120383</v>
          </cell>
          <cell r="C20831" t="str">
            <v>Nocton Community Primary School</v>
          </cell>
          <cell r="D20831" t="str">
            <v>Lincolnshire</v>
          </cell>
          <cell r="E20831" t="str">
            <v>Community School</v>
          </cell>
          <cell r="F20831" t="str">
            <v>Primary</v>
          </cell>
        </row>
        <row r="20832">
          <cell r="A20832">
            <v>9214011</v>
          </cell>
          <cell r="B20832">
            <v>118203</v>
          </cell>
          <cell r="C20832" t="str">
            <v>Nodehill Middle School</v>
          </cell>
          <cell r="D20832" t="str">
            <v>Isle of Wight</v>
          </cell>
          <cell r="E20832" t="str">
            <v>Community School</v>
          </cell>
          <cell r="F20832" t="str">
            <v>Middle Deemed Secondary</v>
          </cell>
        </row>
        <row r="20833">
          <cell r="A20833">
            <v>9104148</v>
          </cell>
          <cell r="B20833">
            <v>128653</v>
          </cell>
          <cell r="C20833" t="str">
            <v>Noel Baker School</v>
          </cell>
          <cell r="D20833" t="str">
            <v>Pre LGR (1997) Derbyshire</v>
          </cell>
          <cell r="E20833" t="str">
            <v>Community School</v>
          </cell>
          <cell r="F20833" t="str">
            <v>Secondary</v>
          </cell>
        </row>
        <row r="20834">
          <cell r="A20834">
            <v>3092033</v>
          </cell>
          <cell r="B20834">
            <v>102100</v>
          </cell>
          <cell r="C20834" t="str">
            <v>Noel Park Infant School</v>
          </cell>
          <cell r="D20834" t="str">
            <v>Haringey</v>
          </cell>
          <cell r="E20834" t="str">
            <v>Community School</v>
          </cell>
          <cell r="F20834" t="str">
            <v>Primary</v>
          </cell>
        </row>
        <row r="20835">
          <cell r="A20835">
            <v>3092032</v>
          </cell>
          <cell r="B20835">
            <v>102099</v>
          </cell>
          <cell r="C20835" t="str">
            <v>Noel Park Junior School</v>
          </cell>
          <cell r="D20835" t="str">
            <v>Haringey</v>
          </cell>
          <cell r="E20835" t="str">
            <v>Community School</v>
          </cell>
          <cell r="F20835" t="str">
            <v>Primary</v>
          </cell>
        </row>
        <row r="20836">
          <cell r="A20836">
            <v>3092086</v>
          </cell>
          <cell r="B20836">
            <v>131881</v>
          </cell>
          <cell r="C20836" t="str">
            <v>Noel Park Primary School</v>
          </cell>
          <cell r="D20836" t="str">
            <v>Haringey</v>
          </cell>
          <cell r="E20836" t="str">
            <v>Community School</v>
          </cell>
          <cell r="F20836" t="str">
            <v>Primary</v>
          </cell>
        </row>
        <row r="20837">
          <cell r="A20837">
            <v>8315407</v>
          </cell>
          <cell r="B20837">
            <v>112992</v>
          </cell>
          <cell r="C20837" t="str">
            <v>Noel-Baker Community School and Language College</v>
          </cell>
          <cell r="D20837" t="str">
            <v>Derby</v>
          </cell>
          <cell r="E20837" t="str">
            <v>Foundation School</v>
          </cell>
          <cell r="F20837" t="str">
            <v>Secondary</v>
          </cell>
        </row>
        <row r="20838">
          <cell r="A20838">
            <v>8863171</v>
          </cell>
          <cell r="B20838">
            <v>118688</v>
          </cell>
          <cell r="C20838" t="str">
            <v>Nonington Church of England Primary School</v>
          </cell>
          <cell r="D20838" t="str">
            <v>Kent</v>
          </cell>
          <cell r="E20838" t="str">
            <v>Voluntary Controlled School</v>
          </cell>
          <cell r="F20838" t="str">
            <v>Primary</v>
          </cell>
        </row>
        <row r="20839">
          <cell r="A20839">
            <v>3195401</v>
          </cell>
          <cell r="B20839">
            <v>103008</v>
          </cell>
          <cell r="C20839" t="str">
            <v>Nonsuch High School for Girls</v>
          </cell>
          <cell r="D20839" t="str">
            <v>Sutton</v>
          </cell>
          <cell r="E20839" t="str">
            <v>Foundation School</v>
          </cell>
          <cell r="F20839" t="str">
            <v>Secondary</v>
          </cell>
        </row>
        <row r="20840">
          <cell r="A20840">
            <v>3195401</v>
          </cell>
          <cell r="B20840">
            <v>136795</v>
          </cell>
          <cell r="C20840" t="str">
            <v>Nonsuch High School for Girls</v>
          </cell>
          <cell r="D20840" t="str">
            <v>Sutton</v>
          </cell>
          <cell r="E20840" t="str">
            <v>Academy Converters</v>
          </cell>
          <cell r="F20840" t="str">
            <v>Secondary</v>
          </cell>
        </row>
        <row r="20841">
          <cell r="A20841">
            <v>3192042</v>
          </cell>
          <cell r="B20841">
            <v>102985</v>
          </cell>
          <cell r="C20841" t="str">
            <v>Nonsuch Primary School</v>
          </cell>
          <cell r="D20841" t="str">
            <v>Sutton</v>
          </cell>
          <cell r="E20841" t="str">
            <v>Community School</v>
          </cell>
          <cell r="F20841" t="str">
            <v>Primary</v>
          </cell>
        </row>
        <row r="20842">
          <cell r="A20842">
            <v>3302315</v>
          </cell>
          <cell r="B20842">
            <v>103335</v>
          </cell>
          <cell r="C20842" t="str">
            <v>Nonsuch Primary School</v>
          </cell>
          <cell r="D20842" t="str">
            <v>Birmingham</v>
          </cell>
          <cell r="E20842" t="str">
            <v>Community School</v>
          </cell>
          <cell r="F20842" t="str">
            <v>Primary</v>
          </cell>
        </row>
        <row r="20843">
          <cell r="A20843">
            <v>3732309</v>
          </cell>
          <cell r="B20843">
            <v>107058</v>
          </cell>
          <cell r="C20843" t="str">
            <v>Nook Lane Junior School</v>
          </cell>
          <cell r="D20843" t="str">
            <v>Sheffield</v>
          </cell>
          <cell r="E20843" t="str">
            <v>Community School</v>
          </cell>
          <cell r="F20843" t="str">
            <v>Primary</v>
          </cell>
        </row>
        <row r="20844">
          <cell r="A20844">
            <v>8916027</v>
          </cell>
          <cell r="B20844">
            <v>131606</v>
          </cell>
          <cell r="C20844" t="str">
            <v>Nookin Cottage</v>
          </cell>
          <cell r="D20844" t="str">
            <v>Nottinghamshire</v>
          </cell>
          <cell r="E20844" t="str">
            <v>Other Independent Special School</v>
          </cell>
          <cell r="F20844" t="str">
            <v>Not applicable</v>
          </cell>
        </row>
        <row r="20845">
          <cell r="A20845">
            <v>3206061</v>
          </cell>
          <cell r="B20845">
            <v>133517</v>
          </cell>
          <cell r="C20845" t="str">
            <v>Noor Ul Islam Primary School</v>
          </cell>
          <cell r="D20845" t="str">
            <v>Waltham Forest</v>
          </cell>
          <cell r="E20845" t="str">
            <v>Other Independent School</v>
          </cell>
          <cell r="F20845" t="str">
            <v>Not applicable</v>
          </cell>
        </row>
        <row r="20846">
          <cell r="A20846">
            <v>9266151</v>
          </cell>
          <cell r="B20846">
            <v>134434</v>
          </cell>
          <cell r="C20846" t="str">
            <v>Nor07 - Norfolk Reintergration</v>
          </cell>
          <cell r="D20846" t="str">
            <v>Norfolk</v>
          </cell>
          <cell r="E20846" t="str">
            <v>Other Independent School</v>
          </cell>
          <cell r="F20846" t="str">
            <v>Not applicable</v>
          </cell>
        </row>
        <row r="20847">
          <cell r="A20847">
            <v>9266155</v>
          </cell>
          <cell r="B20847">
            <v>134448</v>
          </cell>
          <cell r="C20847" t="str">
            <v>Nor08 Norfolk Primary</v>
          </cell>
          <cell r="D20847" t="str">
            <v>Norfolk</v>
          </cell>
          <cell r="E20847" t="str">
            <v>Other Independent School</v>
          </cell>
          <cell r="F20847" t="str">
            <v>Not applicable</v>
          </cell>
        </row>
        <row r="20848">
          <cell r="A20848">
            <v>8902209</v>
          </cell>
          <cell r="B20848">
            <v>119247</v>
          </cell>
          <cell r="C20848" t="str">
            <v>Norbreck Primary School</v>
          </cell>
          <cell r="D20848" t="str">
            <v>Blackpool</v>
          </cell>
          <cell r="E20848" t="str">
            <v>Community School</v>
          </cell>
          <cell r="F20848" t="str">
            <v>Primary</v>
          </cell>
        </row>
        <row r="20849">
          <cell r="A20849">
            <v>8912634</v>
          </cell>
          <cell r="B20849">
            <v>122610</v>
          </cell>
          <cell r="C20849" t="str">
            <v>Norbridge Primary School</v>
          </cell>
          <cell r="D20849" t="str">
            <v>Nottinghamshire</v>
          </cell>
          <cell r="E20849" t="str">
            <v>Community School</v>
          </cell>
          <cell r="F20849" t="str">
            <v>Primary</v>
          </cell>
        </row>
        <row r="20850">
          <cell r="A20850">
            <v>8912634</v>
          </cell>
          <cell r="B20850">
            <v>137362</v>
          </cell>
          <cell r="C20850" t="str">
            <v>Norbridge Primary School</v>
          </cell>
          <cell r="D20850" t="str">
            <v>Nottinghamshire</v>
          </cell>
          <cell r="E20850" t="str">
            <v>Academy Converters</v>
          </cell>
          <cell r="F20850" t="str">
            <v>Primary</v>
          </cell>
        </row>
        <row r="20851">
          <cell r="A20851">
            <v>8302372</v>
          </cell>
          <cell r="B20851">
            <v>112705</v>
          </cell>
          <cell r="C20851" t="str">
            <v>Norbriggs Primary School</v>
          </cell>
          <cell r="D20851" t="str">
            <v>Derbyshire</v>
          </cell>
          <cell r="E20851" t="str">
            <v>Community School</v>
          </cell>
          <cell r="F20851" t="str">
            <v>Primary</v>
          </cell>
        </row>
        <row r="20852">
          <cell r="A20852">
            <v>9062253</v>
          </cell>
          <cell r="B20852">
            <v>128413</v>
          </cell>
          <cell r="C20852" t="str">
            <v>Norbury Booths County Junior School</v>
          </cell>
          <cell r="D20852" t="str">
            <v>Pre LGR (1998) Cheshire</v>
          </cell>
          <cell r="E20852" t="str">
            <v>Community School</v>
          </cell>
          <cell r="F20852" t="str">
            <v>Primary</v>
          </cell>
        </row>
        <row r="20853">
          <cell r="A20853">
            <v>8303075</v>
          </cell>
          <cell r="B20853">
            <v>112845</v>
          </cell>
          <cell r="C20853" t="str">
            <v>Norbury CofE Primary School</v>
          </cell>
          <cell r="D20853" t="str">
            <v>Derbyshire</v>
          </cell>
          <cell r="E20853" t="str">
            <v>Voluntary Controlled School</v>
          </cell>
          <cell r="F20853" t="str">
            <v>Primary</v>
          </cell>
        </row>
        <row r="20854">
          <cell r="A20854">
            <v>3562065</v>
          </cell>
          <cell r="B20854">
            <v>127503</v>
          </cell>
          <cell r="C20854" t="str">
            <v>Norbury Hall Infant School</v>
          </cell>
          <cell r="D20854" t="str">
            <v>Stockport</v>
          </cell>
          <cell r="E20854" t="str">
            <v>Community School</v>
          </cell>
          <cell r="F20854" t="str">
            <v>Primary</v>
          </cell>
        </row>
        <row r="20855">
          <cell r="A20855">
            <v>3562066</v>
          </cell>
          <cell r="B20855">
            <v>106064</v>
          </cell>
          <cell r="C20855" t="str">
            <v>Norbury Hall Primary School</v>
          </cell>
          <cell r="D20855" t="str">
            <v>Stockport</v>
          </cell>
          <cell r="E20855" t="str">
            <v>Community School</v>
          </cell>
          <cell r="F20855" t="str">
            <v>Primary</v>
          </cell>
        </row>
        <row r="20856">
          <cell r="A20856">
            <v>3065406</v>
          </cell>
          <cell r="B20856">
            <v>101824</v>
          </cell>
          <cell r="C20856" t="str">
            <v>Norbury Manor Business and Enterprise College for Girls</v>
          </cell>
          <cell r="D20856" t="str">
            <v>Croydon</v>
          </cell>
          <cell r="E20856" t="str">
            <v>Foundation School</v>
          </cell>
          <cell r="F20856" t="str">
            <v>Secondary</v>
          </cell>
        </row>
        <row r="20857">
          <cell r="A20857">
            <v>3062029</v>
          </cell>
          <cell r="B20857">
            <v>126811</v>
          </cell>
          <cell r="C20857" t="str">
            <v>Norbury Manor Infant School</v>
          </cell>
          <cell r="D20857" t="str">
            <v>Croydon</v>
          </cell>
          <cell r="E20857" t="str">
            <v>Community School</v>
          </cell>
          <cell r="F20857" t="str">
            <v>Primary</v>
          </cell>
        </row>
        <row r="20858">
          <cell r="A20858">
            <v>3062028</v>
          </cell>
          <cell r="B20858">
            <v>126810</v>
          </cell>
          <cell r="C20858" t="str">
            <v>Norbury Manor Junior School</v>
          </cell>
          <cell r="D20858" t="str">
            <v>Croydon</v>
          </cell>
          <cell r="E20858" t="str">
            <v>Community School</v>
          </cell>
          <cell r="F20858" t="str">
            <v>Primary</v>
          </cell>
        </row>
        <row r="20859">
          <cell r="A20859">
            <v>3062105</v>
          </cell>
          <cell r="B20859">
            <v>101785</v>
          </cell>
          <cell r="C20859" t="str">
            <v>Norbury Manor Primary School</v>
          </cell>
          <cell r="D20859" t="str">
            <v>Croydon</v>
          </cell>
          <cell r="E20859" t="str">
            <v>Community School</v>
          </cell>
          <cell r="F20859" t="str">
            <v>Primary</v>
          </cell>
        </row>
        <row r="20860">
          <cell r="A20860">
            <v>8932075</v>
          </cell>
          <cell r="B20860">
            <v>123385</v>
          </cell>
          <cell r="C20860" t="str">
            <v>Norbury Primary School</v>
          </cell>
          <cell r="D20860" t="str">
            <v>Shropshire</v>
          </cell>
          <cell r="E20860" t="str">
            <v>Community School</v>
          </cell>
          <cell r="F20860" t="str">
            <v>Primary</v>
          </cell>
        </row>
        <row r="20861">
          <cell r="A20861">
            <v>3102096</v>
          </cell>
          <cell r="B20861">
            <v>102222</v>
          </cell>
          <cell r="C20861" t="str">
            <v>Norbury School</v>
          </cell>
          <cell r="D20861" t="str">
            <v>Harrow</v>
          </cell>
          <cell r="E20861" t="str">
            <v>Community School</v>
          </cell>
          <cell r="F20861" t="str">
            <v>Primary</v>
          </cell>
        </row>
        <row r="20862">
          <cell r="A20862">
            <v>9032030</v>
          </cell>
          <cell r="B20862">
            <v>128268</v>
          </cell>
          <cell r="C20862" t="str">
            <v>Norcot County Primary School</v>
          </cell>
          <cell r="D20862" t="str">
            <v>Pre LGR (1998) Berkshire</v>
          </cell>
          <cell r="E20862" t="str">
            <v>Community School</v>
          </cell>
          <cell r="F20862" t="str">
            <v>Primary</v>
          </cell>
        </row>
        <row r="20863">
          <cell r="A20863">
            <v>8701004</v>
          </cell>
          <cell r="B20863">
            <v>109751</v>
          </cell>
          <cell r="C20863" t="str">
            <v>Norcot Early Years Centre</v>
          </cell>
          <cell r="D20863" t="str">
            <v>Reading</v>
          </cell>
          <cell r="E20863" t="str">
            <v>LA Nursery School</v>
          </cell>
          <cell r="F20863" t="str">
            <v>Nursery</v>
          </cell>
        </row>
        <row r="20864">
          <cell r="A20864">
            <v>3542018</v>
          </cell>
          <cell r="B20864">
            <v>105774</v>
          </cell>
          <cell r="C20864" t="str">
            <v>Norden Community Primary School</v>
          </cell>
          <cell r="D20864" t="str">
            <v>Rochdale</v>
          </cell>
          <cell r="E20864" t="str">
            <v>Community School</v>
          </cell>
          <cell r="F20864" t="str">
            <v>Primary</v>
          </cell>
        </row>
        <row r="20865">
          <cell r="A20865">
            <v>8884015</v>
          </cell>
          <cell r="B20865">
            <v>119717</v>
          </cell>
          <cell r="C20865" t="str">
            <v>Norden High School and Sports College</v>
          </cell>
          <cell r="D20865" t="str">
            <v>Lancashire</v>
          </cell>
          <cell r="E20865" t="str">
            <v>Community School</v>
          </cell>
          <cell r="F20865" t="str">
            <v>Secondary</v>
          </cell>
        </row>
        <row r="20866">
          <cell r="A20866">
            <v>3546010</v>
          </cell>
          <cell r="B20866">
            <v>131086</v>
          </cell>
          <cell r="C20866" t="str">
            <v>Norden Way</v>
          </cell>
          <cell r="D20866" t="str">
            <v>Rochdale</v>
          </cell>
          <cell r="E20866" t="str">
            <v>Other Independent Special School</v>
          </cell>
          <cell r="F20866" t="str">
            <v>Not applicable</v>
          </cell>
        </row>
        <row r="20867">
          <cell r="A20867">
            <v>3367013</v>
          </cell>
          <cell r="B20867">
            <v>127233</v>
          </cell>
          <cell r="C20867" t="str">
            <v>Nordley Special School</v>
          </cell>
          <cell r="D20867" t="str">
            <v>Wolverhampton</v>
          </cell>
          <cell r="E20867" t="str">
            <v>Community Special School</v>
          </cell>
          <cell r="F20867" t="str">
            <v>Special</v>
          </cell>
        </row>
        <row r="20868">
          <cell r="A20868">
            <v>8652162</v>
          </cell>
          <cell r="B20868">
            <v>126250</v>
          </cell>
          <cell r="C20868" t="str">
            <v>Noremarsh Community Junior School</v>
          </cell>
          <cell r="D20868" t="str">
            <v>Wiltshire</v>
          </cell>
          <cell r="E20868" t="str">
            <v>Community School</v>
          </cell>
          <cell r="F20868" t="str">
            <v>Primary</v>
          </cell>
        </row>
        <row r="20869">
          <cell r="A20869">
            <v>3732000</v>
          </cell>
          <cell r="B20869">
            <v>130335</v>
          </cell>
          <cell r="C20869" t="str">
            <v>Norfolk Community Primary School</v>
          </cell>
          <cell r="D20869" t="str">
            <v>Sheffield</v>
          </cell>
          <cell r="E20869" t="str">
            <v>Community School</v>
          </cell>
          <cell r="F20869" t="str">
            <v>Primary</v>
          </cell>
        </row>
        <row r="20870">
          <cell r="A20870">
            <v>3096053</v>
          </cell>
          <cell r="B20870">
            <v>102165</v>
          </cell>
          <cell r="C20870" t="str">
            <v>Norfolk House School</v>
          </cell>
          <cell r="D20870" t="str">
            <v>Haringey</v>
          </cell>
          <cell r="E20870" t="str">
            <v>Other Independent School</v>
          </cell>
          <cell r="F20870" t="str">
            <v>Not applicable</v>
          </cell>
        </row>
        <row r="20871">
          <cell r="A20871">
            <v>3306027</v>
          </cell>
          <cell r="B20871">
            <v>103572</v>
          </cell>
          <cell r="C20871" t="str">
            <v>Norfolk House School</v>
          </cell>
          <cell r="D20871" t="str">
            <v>Birmingham</v>
          </cell>
          <cell r="E20871" t="str">
            <v>Other Independent School</v>
          </cell>
          <cell r="F20871" t="str">
            <v>Not applicable</v>
          </cell>
        </row>
        <row r="20872">
          <cell r="A20872">
            <v>8756026</v>
          </cell>
          <cell r="B20872">
            <v>130361</v>
          </cell>
          <cell r="C20872" t="str">
            <v>Norfolk House School</v>
          </cell>
          <cell r="D20872" t="str">
            <v>Pre LGR (2009) Cheshire</v>
          </cell>
          <cell r="E20872" t="str">
            <v>Other Independent School</v>
          </cell>
          <cell r="F20872" t="str">
            <v>Not applicable</v>
          </cell>
        </row>
        <row r="20873">
          <cell r="A20873">
            <v>3732007</v>
          </cell>
          <cell r="B20873">
            <v>127638</v>
          </cell>
          <cell r="C20873" t="str">
            <v>Norfolk Junior School</v>
          </cell>
          <cell r="D20873" t="str">
            <v>Sheffield</v>
          </cell>
          <cell r="E20873" t="str">
            <v>Community School</v>
          </cell>
          <cell r="F20873" t="str">
            <v>Primary</v>
          </cell>
        </row>
        <row r="20874">
          <cell r="A20874">
            <v>9196238</v>
          </cell>
          <cell r="B20874">
            <v>130338</v>
          </cell>
          <cell r="C20874" t="str">
            <v>Norfolk Lodge School Ltd</v>
          </cell>
          <cell r="D20874" t="str">
            <v>Hertfordshire</v>
          </cell>
          <cell r="E20874" t="str">
            <v>Other Independent School</v>
          </cell>
          <cell r="F20874" t="str">
            <v>Not applicable</v>
          </cell>
        </row>
        <row r="20875">
          <cell r="A20875">
            <v>3732008</v>
          </cell>
          <cell r="B20875">
            <v>127639</v>
          </cell>
          <cell r="C20875" t="str">
            <v>Norfolk Nursery Infant School</v>
          </cell>
          <cell r="D20875" t="str">
            <v>Sheffield</v>
          </cell>
          <cell r="E20875" t="str">
            <v>Community School</v>
          </cell>
          <cell r="F20875" t="str">
            <v>Primary</v>
          </cell>
        </row>
        <row r="20876">
          <cell r="A20876">
            <v>3737023</v>
          </cell>
          <cell r="B20876">
            <v>107177</v>
          </cell>
          <cell r="C20876" t="str">
            <v>Norfolk Park School</v>
          </cell>
          <cell r="D20876" t="str">
            <v>Sheffield</v>
          </cell>
          <cell r="E20876" t="str">
            <v>Community Special School</v>
          </cell>
          <cell r="F20876" t="str">
            <v>Special</v>
          </cell>
        </row>
        <row r="20877">
          <cell r="A20877">
            <v>3734203</v>
          </cell>
          <cell r="B20877">
            <v>127718</v>
          </cell>
          <cell r="C20877" t="str">
            <v>Norfolk School</v>
          </cell>
          <cell r="D20877" t="str">
            <v>Sheffield</v>
          </cell>
          <cell r="E20877" t="str">
            <v>Community School</v>
          </cell>
          <cell r="F20877" t="str">
            <v>Secondary</v>
          </cell>
        </row>
        <row r="20878">
          <cell r="A20878">
            <v>3924008</v>
          </cell>
          <cell r="B20878">
            <v>108628</v>
          </cell>
          <cell r="C20878" t="str">
            <v>Norham Community Technology College</v>
          </cell>
          <cell r="D20878" t="str">
            <v>North Tyneside</v>
          </cell>
          <cell r="E20878" t="str">
            <v>Foundation School</v>
          </cell>
          <cell r="F20878" t="str">
            <v>Secondary</v>
          </cell>
        </row>
        <row r="20879">
          <cell r="A20879">
            <v>9292204</v>
          </cell>
          <cell r="B20879">
            <v>122213</v>
          </cell>
          <cell r="C20879" t="str">
            <v>Norham First School</v>
          </cell>
          <cell r="D20879" t="str">
            <v>Northumberland</v>
          </cell>
          <cell r="E20879" t="str">
            <v>Community School</v>
          </cell>
          <cell r="F20879" t="str">
            <v>Primary</v>
          </cell>
        </row>
        <row r="20880">
          <cell r="A20880">
            <v>9293920</v>
          </cell>
          <cell r="B20880">
            <v>135064</v>
          </cell>
          <cell r="C20880" t="str">
            <v>Norham St Ceolwulfs CofE Controlled First School</v>
          </cell>
          <cell r="D20880" t="str">
            <v>Northumberland</v>
          </cell>
          <cell r="E20880" t="str">
            <v>Voluntary Controlled School</v>
          </cell>
          <cell r="F20880" t="str">
            <v>Primary</v>
          </cell>
        </row>
        <row r="20881">
          <cell r="A20881">
            <v>9364180</v>
          </cell>
          <cell r="B20881">
            <v>130104</v>
          </cell>
          <cell r="C20881" t="str">
            <v>Nork Park School</v>
          </cell>
          <cell r="D20881" t="str">
            <v>Surrey</v>
          </cell>
          <cell r="E20881" t="str">
            <v>Community School</v>
          </cell>
          <cell r="F20881" t="str">
            <v>Secondary</v>
          </cell>
        </row>
        <row r="20882">
          <cell r="A20882">
            <v>3813010</v>
          </cell>
          <cell r="B20882">
            <v>107537</v>
          </cell>
          <cell r="C20882" t="str">
            <v>Norland CofE Junior and Infant School</v>
          </cell>
          <cell r="D20882" t="str">
            <v>Calderdale</v>
          </cell>
          <cell r="E20882" t="str">
            <v>Voluntary Controlled School</v>
          </cell>
          <cell r="F20882" t="str">
            <v>Primary</v>
          </cell>
        </row>
        <row r="20883">
          <cell r="A20883">
            <v>2076025</v>
          </cell>
          <cell r="B20883">
            <v>100510</v>
          </cell>
          <cell r="C20883" t="str">
            <v>Norland Place School</v>
          </cell>
          <cell r="D20883" t="str">
            <v>Kensington and Chelsea</v>
          </cell>
          <cell r="E20883" t="str">
            <v>Other Independent School</v>
          </cell>
          <cell r="F20883" t="str">
            <v>Not applicable</v>
          </cell>
        </row>
        <row r="20884">
          <cell r="A20884">
            <v>8963105</v>
          </cell>
          <cell r="B20884">
            <v>111249</v>
          </cell>
          <cell r="C20884" t="str">
            <v>Norley CofE VA Primary School</v>
          </cell>
          <cell r="D20884" t="str">
            <v>Cheshire West and Chester</v>
          </cell>
          <cell r="E20884" t="str">
            <v>Voluntary Aided School</v>
          </cell>
          <cell r="F20884" t="str">
            <v>Primary</v>
          </cell>
        </row>
        <row r="20885">
          <cell r="A20885">
            <v>3204064</v>
          </cell>
          <cell r="B20885">
            <v>103098</v>
          </cell>
          <cell r="C20885" t="str">
            <v>Norlington School for Boys</v>
          </cell>
          <cell r="D20885" t="str">
            <v>Waltham Forest</v>
          </cell>
          <cell r="E20885" t="str">
            <v>Community School</v>
          </cell>
          <cell r="F20885" t="str">
            <v>Secondary</v>
          </cell>
        </row>
        <row r="20886">
          <cell r="A20886">
            <v>8506001</v>
          </cell>
          <cell r="B20886">
            <v>116530</v>
          </cell>
          <cell r="C20886" t="str">
            <v>Norman Court</v>
          </cell>
          <cell r="D20886" t="str">
            <v>Hampshire</v>
          </cell>
          <cell r="E20886" t="str">
            <v>Other Independent School</v>
          </cell>
          <cell r="F20886" t="str">
            <v>Not applicable</v>
          </cell>
        </row>
        <row r="20887">
          <cell r="A20887">
            <v>9262310</v>
          </cell>
          <cell r="B20887">
            <v>120947</v>
          </cell>
          <cell r="C20887" t="str">
            <v>Norman First and Nursery School, Norwich</v>
          </cell>
          <cell r="D20887" t="str">
            <v>Norfolk</v>
          </cell>
          <cell r="E20887" t="str">
            <v>Community School</v>
          </cell>
          <cell r="F20887" t="str">
            <v>Primary</v>
          </cell>
        </row>
        <row r="20888">
          <cell r="A20888">
            <v>8507015</v>
          </cell>
          <cell r="B20888">
            <v>116604</v>
          </cell>
          <cell r="C20888" t="str">
            <v>Norman Gate School</v>
          </cell>
          <cell r="D20888" t="str">
            <v>Hampshire</v>
          </cell>
          <cell r="E20888" t="str">
            <v>Community Special School</v>
          </cell>
          <cell r="F20888" t="str">
            <v>Special</v>
          </cell>
        </row>
        <row r="20889">
          <cell r="A20889">
            <v>3412203</v>
          </cell>
          <cell r="B20889">
            <v>127282</v>
          </cell>
          <cell r="C20889" t="str">
            <v>Norman Pannell County Infant School</v>
          </cell>
          <cell r="D20889" t="str">
            <v>Liverpool</v>
          </cell>
          <cell r="E20889" t="str">
            <v>Community School</v>
          </cell>
          <cell r="F20889" t="str">
            <v>Primary</v>
          </cell>
        </row>
        <row r="20890">
          <cell r="A20890">
            <v>3412199</v>
          </cell>
          <cell r="B20890">
            <v>104600</v>
          </cell>
          <cell r="C20890" t="str">
            <v>Norman Pannell School</v>
          </cell>
          <cell r="D20890" t="str">
            <v>Liverpool</v>
          </cell>
          <cell r="E20890" t="str">
            <v>Community School</v>
          </cell>
          <cell r="F20890" t="str">
            <v>Primary</v>
          </cell>
        </row>
        <row r="20891">
          <cell r="A20891">
            <v>9092609</v>
          </cell>
          <cell r="B20891">
            <v>112219</v>
          </cell>
          <cell r="C20891" t="str">
            <v>Norman Street Primary School</v>
          </cell>
          <cell r="D20891" t="str">
            <v>Cumbria</v>
          </cell>
          <cell r="E20891" t="str">
            <v>Community School</v>
          </cell>
          <cell r="F20891" t="str">
            <v>Primary</v>
          </cell>
        </row>
        <row r="20892">
          <cell r="A20892">
            <v>8072352</v>
          </cell>
          <cell r="B20892">
            <v>111650</v>
          </cell>
          <cell r="C20892" t="str">
            <v>Normanby Primary School</v>
          </cell>
          <cell r="D20892" t="str">
            <v>Redcar and Cleveland</v>
          </cell>
          <cell r="E20892" t="str">
            <v>Community School</v>
          </cell>
          <cell r="F20892" t="str">
            <v>Primary</v>
          </cell>
        </row>
        <row r="20893">
          <cell r="A20893">
            <v>9252181</v>
          </cell>
          <cell r="B20893">
            <v>120468</v>
          </cell>
          <cell r="C20893" t="str">
            <v>Normanby Primary School</v>
          </cell>
          <cell r="D20893" t="str">
            <v>Lincolnshire</v>
          </cell>
          <cell r="E20893" t="str">
            <v>Community School</v>
          </cell>
          <cell r="F20893" t="str">
            <v>Primary</v>
          </cell>
        </row>
        <row r="20894">
          <cell r="A20894">
            <v>2053650</v>
          </cell>
          <cell r="B20894">
            <v>134273</v>
          </cell>
          <cell r="C20894" t="str">
            <v>Normand Croft Community School for Early Years and Primary Education</v>
          </cell>
          <cell r="D20894" t="str">
            <v>Hammersmith and Fulham</v>
          </cell>
          <cell r="E20894" t="str">
            <v>Community School</v>
          </cell>
          <cell r="F20894" t="str">
            <v>Primary</v>
          </cell>
        </row>
        <row r="20895">
          <cell r="A20895">
            <v>2052802</v>
          </cell>
          <cell r="B20895">
            <v>100342</v>
          </cell>
          <cell r="C20895" t="str">
            <v>Normand Park Primary School</v>
          </cell>
          <cell r="D20895" t="str">
            <v>Hammersmith and Fulham</v>
          </cell>
          <cell r="E20895" t="str">
            <v>Community School</v>
          </cell>
          <cell r="F20895" t="str">
            <v>Primary</v>
          </cell>
        </row>
        <row r="20896">
          <cell r="A20896">
            <v>3032028</v>
          </cell>
          <cell r="B20896">
            <v>126747</v>
          </cell>
          <cell r="C20896" t="str">
            <v>Normandy Infant and Nursery School</v>
          </cell>
          <cell r="D20896" t="str">
            <v>Bexley</v>
          </cell>
          <cell r="E20896" t="str">
            <v>Community School</v>
          </cell>
          <cell r="F20896" t="str">
            <v>Primary</v>
          </cell>
        </row>
        <row r="20897">
          <cell r="A20897">
            <v>3032027</v>
          </cell>
          <cell r="B20897">
            <v>126746</v>
          </cell>
          <cell r="C20897" t="str">
            <v>Normandy Junior School</v>
          </cell>
          <cell r="D20897" t="str">
            <v>Bexley</v>
          </cell>
          <cell r="E20897" t="str">
            <v>Community School</v>
          </cell>
          <cell r="F20897" t="str">
            <v>Primary</v>
          </cell>
        </row>
        <row r="20898">
          <cell r="A20898">
            <v>3032084</v>
          </cell>
          <cell r="B20898">
            <v>101450</v>
          </cell>
          <cell r="C20898" t="str">
            <v>Normandy Primary School</v>
          </cell>
          <cell r="D20898" t="str">
            <v>Bexley</v>
          </cell>
          <cell r="E20898" t="str">
            <v>Community School</v>
          </cell>
          <cell r="F20898" t="str">
            <v>Primary</v>
          </cell>
        </row>
        <row r="20899">
          <cell r="A20899">
            <v>3206059</v>
          </cell>
          <cell r="B20899">
            <v>103112</v>
          </cell>
          <cell r="C20899" t="str">
            <v>Normanhurst School</v>
          </cell>
          <cell r="D20899" t="str">
            <v>Waltham Forest</v>
          </cell>
          <cell r="E20899" t="str">
            <v>Other Independent School</v>
          </cell>
          <cell r="F20899" t="str">
            <v>Not applicable</v>
          </cell>
        </row>
        <row r="20900">
          <cell r="A20900">
            <v>3843318</v>
          </cell>
          <cell r="B20900">
            <v>108259</v>
          </cell>
          <cell r="C20900" t="str">
            <v>Normanton All Saints CofE Infant School</v>
          </cell>
          <cell r="D20900" t="str">
            <v>Wakefield</v>
          </cell>
          <cell r="E20900" t="str">
            <v>Voluntary Aided School</v>
          </cell>
          <cell r="F20900" t="str">
            <v>Primary</v>
          </cell>
        </row>
        <row r="20901">
          <cell r="A20901">
            <v>3842152</v>
          </cell>
          <cell r="B20901">
            <v>108208</v>
          </cell>
          <cell r="C20901" t="str">
            <v>Normanton Altofts Junior School</v>
          </cell>
          <cell r="D20901" t="str">
            <v>Wakefield</v>
          </cell>
          <cell r="E20901" t="str">
            <v>Community School</v>
          </cell>
          <cell r="F20901" t="str">
            <v>Primary</v>
          </cell>
        </row>
        <row r="20902">
          <cell r="A20902">
            <v>3842057</v>
          </cell>
          <cell r="B20902">
            <v>108149</v>
          </cell>
          <cell r="C20902" t="str">
            <v>Normanton Altofts Lee Brigg Infant School</v>
          </cell>
          <cell r="D20902" t="str">
            <v>Wakefield</v>
          </cell>
          <cell r="E20902" t="str">
            <v>Community School</v>
          </cell>
          <cell r="F20902" t="str">
            <v>Primary</v>
          </cell>
        </row>
        <row r="20903">
          <cell r="A20903">
            <v>3842052</v>
          </cell>
          <cell r="B20903">
            <v>108147</v>
          </cell>
          <cell r="C20903" t="str">
            <v>Normanton Common Primary School</v>
          </cell>
          <cell r="D20903" t="str">
            <v>Wakefield</v>
          </cell>
          <cell r="E20903" t="str">
            <v>Community School</v>
          </cell>
          <cell r="F20903" t="str">
            <v>Primary</v>
          </cell>
        </row>
        <row r="20904">
          <cell r="A20904">
            <v>8316006</v>
          </cell>
          <cell r="B20904">
            <v>134294</v>
          </cell>
          <cell r="C20904" t="str">
            <v>Normanton House Primary School</v>
          </cell>
          <cell r="D20904" t="str">
            <v>Derby</v>
          </cell>
          <cell r="E20904" t="str">
            <v>Other Independent School</v>
          </cell>
          <cell r="F20904" t="str">
            <v>Not applicable</v>
          </cell>
        </row>
        <row r="20905">
          <cell r="A20905">
            <v>3842151</v>
          </cell>
          <cell r="B20905">
            <v>108207</v>
          </cell>
          <cell r="C20905" t="str">
            <v>Normanton Junior School</v>
          </cell>
          <cell r="D20905" t="str">
            <v>Wakefield</v>
          </cell>
          <cell r="E20905" t="str">
            <v>Community School</v>
          </cell>
          <cell r="F20905" t="str">
            <v>Primary</v>
          </cell>
        </row>
        <row r="20906">
          <cell r="A20906">
            <v>8312421</v>
          </cell>
          <cell r="B20906">
            <v>112726</v>
          </cell>
          <cell r="C20906" t="str">
            <v>Normanton Junior School</v>
          </cell>
          <cell r="D20906" t="str">
            <v>Derby</v>
          </cell>
          <cell r="E20906" t="str">
            <v>Community School</v>
          </cell>
          <cell r="F20906" t="str">
            <v>Primary</v>
          </cell>
        </row>
        <row r="20907">
          <cell r="A20907">
            <v>3066051</v>
          </cell>
          <cell r="B20907">
            <v>126821</v>
          </cell>
          <cell r="C20907" t="str">
            <v>Normanton School</v>
          </cell>
          <cell r="D20907" t="str">
            <v>Croydon</v>
          </cell>
          <cell r="E20907" t="str">
            <v>Other Independent School</v>
          </cell>
          <cell r="F20907" t="str">
            <v>Not applicable</v>
          </cell>
        </row>
        <row r="20908">
          <cell r="A20908">
            <v>8312617</v>
          </cell>
          <cell r="B20908">
            <v>112780</v>
          </cell>
          <cell r="C20908" t="str">
            <v>Normanton Village Infant School</v>
          </cell>
          <cell r="D20908" t="str">
            <v>Derby</v>
          </cell>
          <cell r="E20908" t="str">
            <v>Community School</v>
          </cell>
          <cell r="F20908" t="str">
            <v>Primary</v>
          </cell>
        </row>
        <row r="20909">
          <cell r="A20909">
            <v>3842058</v>
          </cell>
          <cell r="B20909">
            <v>108150</v>
          </cell>
          <cell r="C20909" t="str">
            <v>Normanton Woodhouse First School</v>
          </cell>
          <cell r="D20909" t="str">
            <v>Wakefield</v>
          </cell>
          <cell r="E20909" t="str">
            <v>Community School</v>
          </cell>
          <cell r="F20909" t="str">
            <v>Primary</v>
          </cell>
        </row>
        <row r="20910">
          <cell r="A20910">
            <v>3842153</v>
          </cell>
          <cell r="B20910">
            <v>108209</v>
          </cell>
          <cell r="C20910" t="str">
            <v>Normanton Woodlands Middle School</v>
          </cell>
          <cell r="D20910" t="str">
            <v>Wakefield</v>
          </cell>
          <cell r="E20910" t="str">
            <v>Community School</v>
          </cell>
          <cell r="F20910" t="str">
            <v>Middle Deemed Primary</v>
          </cell>
        </row>
        <row r="20911">
          <cell r="A20911">
            <v>8912790</v>
          </cell>
          <cell r="B20911">
            <v>122661</v>
          </cell>
          <cell r="C20911" t="str">
            <v>Normanton-on-Soar Primary School</v>
          </cell>
          <cell r="D20911" t="str">
            <v>Nottinghamshire</v>
          </cell>
          <cell r="E20911" t="str">
            <v>Community School</v>
          </cell>
          <cell r="F20911" t="str">
            <v>Primary</v>
          </cell>
        </row>
        <row r="20912">
          <cell r="A20912">
            <v>3566003</v>
          </cell>
          <cell r="B20912">
            <v>135923</v>
          </cell>
          <cell r="C20912" t="str">
            <v>Norris Bank Independent School</v>
          </cell>
          <cell r="D20912" t="str">
            <v>Stockport</v>
          </cell>
          <cell r="E20912" t="str">
            <v>Other Independent Special School</v>
          </cell>
          <cell r="F20912" t="str">
            <v>Not applicable</v>
          </cell>
        </row>
        <row r="20913">
          <cell r="A20913">
            <v>3562067</v>
          </cell>
          <cell r="B20913">
            <v>106065</v>
          </cell>
          <cell r="C20913" t="str">
            <v>Norris Bank Primary School</v>
          </cell>
          <cell r="D20913" t="str">
            <v>Stockport</v>
          </cell>
          <cell r="E20913" t="str">
            <v>Community School</v>
          </cell>
          <cell r="F20913" t="str">
            <v>Primary</v>
          </cell>
        </row>
        <row r="20914">
          <cell r="A20914">
            <v>3822135</v>
          </cell>
          <cell r="B20914">
            <v>107685</v>
          </cell>
          <cell r="C20914" t="str">
            <v>Norristhorpe Junior and Infant School</v>
          </cell>
          <cell r="D20914" t="str">
            <v>Kirklees</v>
          </cell>
          <cell r="E20914" t="str">
            <v>Community School</v>
          </cell>
          <cell r="F20914" t="str">
            <v>Primary</v>
          </cell>
        </row>
        <row r="20915">
          <cell r="A20915">
            <v>9356011</v>
          </cell>
          <cell r="B20915">
            <v>129993</v>
          </cell>
          <cell r="C20915" t="str">
            <v>Norseland School</v>
          </cell>
          <cell r="D20915" t="str">
            <v>Suffolk</v>
          </cell>
          <cell r="E20915" t="str">
            <v>Other Independent School</v>
          </cell>
          <cell r="F20915" t="str">
            <v>Not applicable</v>
          </cell>
        </row>
        <row r="20916">
          <cell r="A20916">
            <v>3816011</v>
          </cell>
          <cell r="B20916">
            <v>133612</v>
          </cell>
          <cell r="C20916" t="str">
            <v>Norset House</v>
          </cell>
          <cell r="D20916" t="str">
            <v>Calderdale</v>
          </cell>
          <cell r="E20916" t="str">
            <v>Other Independent Special School</v>
          </cell>
          <cell r="F20916" t="str">
            <v>Not applicable</v>
          </cell>
        </row>
        <row r="20917">
          <cell r="A20917">
            <v>8151103</v>
          </cell>
          <cell r="B20917">
            <v>135851</v>
          </cell>
          <cell r="C20917" t="str">
            <v>North &amp; South Craven Pupil Referral Service</v>
          </cell>
          <cell r="D20917" t="str">
            <v>North Yorkshire</v>
          </cell>
          <cell r="E20917" t="str">
            <v>Pupil Referral Unit</v>
          </cell>
          <cell r="F20917" t="str">
            <v>PRU</v>
          </cell>
        </row>
        <row r="20918">
          <cell r="A20918">
            <v>8152081</v>
          </cell>
          <cell r="B20918">
            <v>121309</v>
          </cell>
          <cell r="C20918" t="str">
            <v>North and South Cowton Community Primary School</v>
          </cell>
          <cell r="D20918" t="str">
            <v>North Yorkshire</v>
          </cell>
          <cell r="E20918" t="str">
            <v>Community School</v>
          </cell>
          <cell r="F20918" t="str">
            <v>Primary</v>
          </cell>
        </row>
        <row r="20919">
          <cell r="A20919">
            <v>3568600</v>
          </cell>
          <cell r="B20919">
            <v>130513</v>
          </cell>
          <cell r="C20919" t="str">
            <v>North Area College</v>
          </cell>
          <cell r="D20919" t="str">
            <v>Stockport</v>
          </cell>
          <cell r="E20919" t="str">
            <v>Further Education</v>
          </cell>
          <cell r="F20919" t="str">
            <v>16 Plus</v>
          </cell>
        </row>
        <row r="20920">
          <cell r="A20920">
            <v>9191101</v>
          </cell>
          <cell r="B20920">
            <v>130344</v>
          </cell>
          <cell r="C20920" t="str">
            <v>North Area Pupil Referral Unit</v>
          </cell>
          <cell r="D20920" t="str">
            <v>Hertfordshire</v>
          </cell>
          <cell r="E20920" t="str">
            <v>Pupil Referral Unit</v>
          </cell>
          <cell r="F20920" t="str">
            <v>PRU</v>
          </cell>
        </row>
        <row r="20921">
          <cell r="A20921">
            <v>3564041</v>
          </cell>
          <cell r="B20921">
            <v>127516</v>
          </cell>
          <cell r="C20921" t="str">
            <v>North Area Sixth Form College</v>
          </cell>
          <cell r="D20921" t="str">
            <v>Stockport</v>
          </cell>
          <cell r="E20921" t="str">
            <v>Community School</v>
          </cell>
          <cell r="F20921" t="str">
            <v>Secondary</v>
          </cell>
        </row>
        <row r="20922">
          <cell r="A20922">
            <v>8134082</v>
          </cell>
          <cell r="B20922">
            <v>118093</v>
          </cell>
          <cell r="C20922" t="str">
            <v>North Axholme School</v>
          </cell>
          <cell r="D20922" t="str">
            <v>North Lincolnshire</v>
          </cell>
          <cell r="E20922" t="str">
            <v>Community School</v>
          </cell>
          <cell r="F20922" t="str">
            <v>Secondary</v>
          </cell>
        </row>
        <row r="20923">
          <cell r="A20923">
            <v>8502036</v>
          </cell>
          <cell r="B20923">
            <v>115875</v>
          </cell>
          <cell r="C20923" t="str">
            <v>North Baddesley Infant School</v>
          </cell>
          <cell r="D20923" t="str">
            <v>Hampshire</v>
          </cell>
          <cell r="E20923" t="str">
            <v>Community School</v>
          </cell>
          <cell r="F20923" t="str">
            <v>Primary</v>
          </cell>
        </row>
        <row r="20924">
          <cell r="A20924">
            <v>8502265</v>
          </cell>
          <cell r="B20924">
            <v>115998</v>
          </cell>
          <cell r="C20924" t="str">
            <v>North Baddesley Junior School</v>
          </cell>
          <cell r="D20924" t="str">
            <v>Hampshire</v>
          </cell>
          <cell r="E20924" t="str">
            <v>Community School</v>
          </cell>
          <cell r="F20924" t="str">
            <v>Primary</v>
          </cell>
        </row>
        <row r="20925">
          <cell r="A20925">
            <v>3162092</v>
          </cell>
          <cell r="B20925">
            <v>102761</v>
          </cell>
          <cell r="C20925" t="str">
            <v>North Beckton Primary School</v>
          </cell>
          <cell r="D20925" t="str">
            <v>Newham</v>
          </cell>
          <cell r="E20925" t="str">
            <v>Community School</v>
          </cell>
          <cell r="F20925" t="str">
            <v>Primary</v>
          </cell>
        </row>
        <row r="20926">
          <cell r="A20926">
            <v>3306909</v>
          </cell>
          <cell r="B20926">
            <v>136032</v>
          </cell>
          <cell r="C20926" t="str">
            <v>North Birmingham Academy</v>
          </cell>
          <cell r="D20926" t="str">
            <v>Birmingham</v>
          </cell>
          <cell r="E20926" t="str">
            <v>Academy Sponsor Led</v>
          </cell>
          <cell r="F20926" t="str">
            <v>Secondary</v>
          </cell>
        </row>
        <row r="20927">
          <cell r="A20927">
            <v>3308005</v>
          </cell>
          <cell r="B20927">
            <v>130460</v>
          </cell>
          <cell r="C20927" t="str">
            <v>North Birmingham College</v>
          </cell>
          <cell r="D20927" t="str">
            <v>Birmingham</v>
          </cell>
          <cell r="E20927" t="str">
            <v>Further Education</v>
          </cell>
          <cell r="F20927" t="str">
            <v>16 Plus</v>
          </cell>
        </row>
        <row r="20928">
          <cell r="A20928">
            <v>8402735</v>
          </cell>
          <cell r="B20928">
            <v>114199</v>
          </cell>
          <cell r="C20928" t="str">
            <v>North Blunts Primary School</v>
          </cell>
          <cell r="D20928" t="str">
            <v>Durham</v>
          </cell>
          <cell r="E20928" t="str">
            <v>Community School</v>
          </cell>
          <cell r="F20928" t="str">
            <v>Primary</v>
          </cell>
        </row>
        <row r="20929">
          <cell r="A20929">
            <v>3504050</v>
          </cell>
          <cell r="B20929">
            <v>127400</v>
          </cell>
          <cell r="C20929" t="str">
            <v>North Bolton Sixth Form College</v>
          </cell>
          <cell r="D20929" t="str">
            <v>Bolton</v>
          </cell>
          <cell r="E20929" t="str">
            <v>Community School</v>
          </cell>
          <cell r="F20929" t="str">
            <v>Secondary</v>
          </cell>
        </row>
        <row r="20930">
          <cell r="A20930">
            <v>3508600</v>
          </cell>
          <cell r="B20930">
            <v>130496</v>
          </cell>
          <cell r="C20930" t="str">
            <v>North Bolton Sixth Form College</v>
          </cell>
          <cell r="D20930" t="str">
            <v>Bolton</v>
          </cell>
          <cell r="E20930" t="str">
            <v>Further Education</v>
          </cell>
          <cell r="F20930" t="str">
            <v>16 Plus</v>
          </cell>
        </row>
        <row r="20931">
          <cell r="A20931">
            <v>8912755</v>
          </cell>
          <cell r="B20931">
            <v>122647</v>
          </cell>
          <cell r="C20931" t="str">
            <v>North Border Infant and Nursery School</v>
          </cell>
          <cell r="D20931" t="str">
            <v>Nottinghamshire</v>
          </cell>
          <cell r="E20931" t="str">
            <v>Community School</v>
          </cell>
          <cell r="F20931" t="str">
            <v>Primary</v>
          </cell>
        </row>
        <row r="20932">
          <cell r="A20932">
            <v>8912754</v>
          </cell>
          <cell r="B20932">
            <v>122646</v>
          </cell>
          <cell r="C20932" t="str">
            <v>North Border Junior School</v>
          </cell>
          <cell r="D20932" t="str">
            <v>Nottinghamshire</v>
          </cell>
          <cell r="E20932" t="str">
            <v>Community School</v>
          </cell>
          <cell r="F20932" t="str">
            <v>Primary</v>
          </cell>
        </row>
        <row r="20933">
          <cell r="A20933">
            <v>8862175</v>
          </cell>
          <cell r="B20933">
            <v>118301</v>
          </cell>
          <cell r="C20933" t="str">
            <v>North Borough Junior School</v>
          </cell>
          <cell r="D20933" t="str">
            <v>Kent</v>
          </cell>
          <cell r="E20933" t="str">
            <v>Community School</v>
          </cell>
          <cell r="F20933" t="str">
            <v>Primary</v>
          </cell>
        </row>
        <row r="20934">
          <cell r="A20934">
            <v>8653135</v>
          </cell>
          <cell r="B20934">
            <v>126344</v>
          </cell>
          <cell r="C20934" t="str">
            <v>North Bradley CofE Primary School</v>
          </cell>
          <cell r="D20934" t="str">
            <v>Wiltshire</v>
          </cell>
          <cell r="E20934" t="str">
            <v>Voluntary Controlled School</v>
          </cell>
          <cell r="F20934" t="str">
            <v>Primary</v>
          </cell>
        </row>
        <row r="20935">
          <cell r="A20935">
            <v>2026195</v>
          </cell>
          <cell r="B20935">
            <v>100071</v>
          </cell>
          <cell r="C20935" t="str">
            <v>North Bridge House</v>
          </cell>
          <cell r="D20935" t="str">
            <v>Camden</v>
          </cell>
          <cell r="E20935" t="str">
            <v>Other Independent School</v>
          </cell>
          <cell r="F20935" t="str">
            <v>Not applicable</v>
          </cell>
        </row>
        <row r="20936">
          <cell r="A20936">
            <v>2026400</v>
          </cell>
          <cell r="B20936">
            <v>135140</v>
          </cell>
          <cell r="C20936" t="str">
            <v>North Bridge House Prep School</v>
          </cell>
          <cell r="D20936" t="str">
            <v>Camden</v>
          </cell>
          <cell r="E20936" t="str">
            <v>Other Independent School</v>
          </cell>
          <cell r="F20936" t="str">
            <v>Not applicable</v>
          </cell>
        </row>
        <row r="20937">
          <cell r="A20937">
            <v>2026174</v>
          </cell>
          <cell r="B20937">
            <v>100068</v>
          </cell>
          <cell r="C20937" t="str">
            <v>North Bridge House School</v>
          </cell>
          <cell r="D20937" t="str">
            <v>Camden</v>
          </cell>
          <cell r="E20937" t="str">
            <v>Other Independent School</v>
          </cell>
          <cell r="F20937" t="str">
            <v>Not applicable</v>
          </cell>
        </row>
        <row r="20938">
          <cell r="A20938">
            <v>2026269</v>
          </cell>
          <cell r="B20938">
            <v>100074</v>
          </cell>
          <cell r="C20938" t="str">
            <v>North Bridge House Senior School</v>
          </cell>
          <cell r="D20938" t="str">
            <v>Camden</v>
          </cell>
          <cell r="E20938" t="str">
            <v>Other Independent School</v>
          </cell>
          <cell r="F20938" t="str">
            <v>Not applicable</v>
          </cell>
        </row>
        <row r="20939">
          <cell r="A20939">
            <v>8014900</v>
          </cell>
          <cell r="B20939">
            <v>135589</v>
          </cell>
          <cell r="C20939" t="str">
            <v>North Bristol Post 16 Centre</v>
          </cell>
          <cell r="D20939" t="str">
            <v>Bristol City of</v>
          </cell>
          <cell r="E20939" t="str">
            <v>Sixth Form Centres</v>
          </cell>
          <cell r="F20939" t="str">
            <v>16 Plus</v>
          </cell>
        </row>
        <row r="20940">
          <cell r="A20940">
            <v>8854002</v>
          </cell>
          <cell r="B20940">
            <v>116928</v>
          </cell>
          <cell r="C20940" t="str">
            <v>North Bromsgrove High School</v>
          </cell>
          <cell r="D20940" t="str">
            <v>Worcestershire</v>
          </cell>
          <cell r="E20940" t="str">
            <v>Community School</v>
          </cell>
          <cell r="F20940" t="str">
            <v>Secondary</v>
          </cell>
        </row>
        <row r="20941">
          <cell r="A20941">
            <v>9333084</v>
          </cell>
          <cell r="B20941">
            <v>123770</v>
          </cell>
          <cell r="C20941" t="str">
            <v>North Cadbury Church of England Primary School</v>
          </cell>
          <cell r="D20941" t="str">
            <v>Somerset</v>
          </cell>
          <cell r="E20941" t="str">
            <v>Voluntary Controlled School</v>
          </cell>
          <cell r="F20941" t="str">
            <v>Primary</v>
          </cell>
        </row>
        <row r="20942">
          <cell r="A20942">
            <v>8113031</v>
          </cell>
          <cell r="B20942">
            <v>117984</v>
          </cell>
          <cell r="C20942" t="str">
            <v>North Cave Church of England Voluntary Controlled Primary School</v>
          </cell>
          <cell r="D20942" t="str">
            <v>East Riding of Yorkshire</v>
          </cell>
          <cell r="E20942" t="str">
            <v>Voluntary Controlled School</v>
          </cell>
          <cell r="F20942" t="str">
            <v>Primary</v>
          </cell>
        </row>
        <row r="20943">
          <cell r="A20943">
            <v>9163055</v>
          </cell>
          <cell r="B20943">
            <v>115640</v>
          </cell>
          <cell r="C20943" t="str">
            <v>North Cerney Church of England Primary School</v>
          </cell>
          <cell r="D20943" t="str">
            <v>Gloucestershire</v>
          </cell>
          <cell r="E20943" t="str">
            <v>Voluntary Controlled School</v>
          </cell>
          <cell r="F20943" t="str">
            <v>Primary</v>
          </cell>
        </row>
        <row r="20944">
          <cell r="A20944">
            <v>3586003</v>
          </cell>
          <cell r="B20944">
            <v>106380</v>
          </cell>
          <cell r="C20944" t="str">
            <v>North Cestrian Grammar School</v>
          </cell>
          <cell r="D20944" t="str">
            <v>Trafford</v>
          </cell>
          <cell r="E20944" t="str">
            <v>Other Independent School</v>
          </cell>
          <cell r="F20944" t="str">
            <v>Not applicable</v>
          </cell>
        </row>
        <row r="20945">
          <cell r="A20945">
            <v>3534027</v>
          </cell>
          <cell r="B20945">
            <v>105737</v>
          </cell>
          <cell r="C20945" t="str">
            <v>North Chadderton School</v>
          </cell>
          <cell r="D20945" t="str">
            <v>Oldham</v>
          </cell>
          <cell r="E20945" t="str">
            <v>Foundation School</v>
          </cell>
          <cell r="F20945" t="str">
            <v>Secondary</v>
          </cell>
        </row>
        <row r="20946">
          <cell r="A20946">
            <v>3563505</v>
          </cell>
          <cell r="B20946">
            <v>106113</v>
          </cell>
          <cell r="C20946" t="str">
            <v>North Cheshire Jewish Primary School</v>
          </cell>
          <cell r="D20946" t="str">
            <v>Stockport</v>
          </cell>
          <cell r="E20946" t="str">
            <v>Voluntary Aided School</v>
          </cell>
          <cell r="F20946" t="str">
            <v>Primary</v>
          </cell>
        </row>
        <row r="20947">
          <cell r="A20947">
            <v>8887058</v>
          </cell>
          <cell r="B20947">
            <v>119882</v>
          </cell>
          <cell r="C20947" t="str">
            <v>North Cliffe School</v>
          </cell>
          <cell r="D20947" t="str">
            <v>Lancashire</v>
          </cell>
          <cell r="E20947" t="str">
            <v>Community Special School</v>
          </cell>
          <cell r="F20947" t="str">
            <v>Special</v>
          </cell>
        </row>
        <row r="20948">
          <cell r="A20948">
            <v>8912793</v>
          </cell>
          <cell r="B20948">
            <v>122662</v>
          </cell>
          <cell r="C20948" t="str">
            <v>North Clifton Primary School</v>
          </cell>
          <cell r="D20948" t="str">
            <v>Nottinghamshire</v>
          </cell>
          <cell r="E20948" t="str">
            <v>Community School</v>
          </cell>
          <cell r="F20948" t="str">
            <v>Primary</v>
          </cell>
        </row>
        <row r="20949">
          <cell r="A20949">
            <v>9253134</v>
          </cell>
          <cell r="B20949">
            <v>120580</v>
          </cell>
          <cell r="C20949" t="str">
            <v>North Cockerington Church of England Primary School</v>
          </cell>
          <cell r="D20949" t="str">
            <v>Lincolnshire</v>
          </cell>
          <cell r="E20949" t="str">
            <v>Voluntary Controlled School</v>
          </cell>
          <cell r="F20949" t="str">
            <v>Primary</v>
          </cell>
        </row>
        <row r="20950">
          <cell r="A20950">
            <v>9081103</v>
          </cell>
          <cell r="B20950">
            <v>134754</v>
          </cell>
          <cell r="C20950" t="str">
            <v>North Cornwall Short Stay School</v>
          </cell>
          <cell r="D20950" t="str">
            <v>Cornwall</v>
          </cell>
          <cell r="E20950" t="str">
            <v>Pupil Referral Unit</v>
          </cell>
          <cell r="F20950" t="str">
            <v>PRU</v>
          </cell>
        </row>
        <row r="20951">
          <cell r="A20951">
            <v>8263004</v>
          </cell>
          <cell r="B20951">
            <v>110406</v>
          </cell>
          <cell r="C20951" t="str">
            <v>North Crawley CofE School</v>
          </cell>
          <cell r="D20951" t="str">
            <v>Milton Keynes</v>
          </cell>
          <cell r="E20951" t="str">
            <v>Voluntary Controlled School</v>
          </cell>
          <cell r="F20951" t="str">
            <v>Primary</v>
          </cell>
        </row>
        <row r="20952">
          <cell r="A20952">
            <v>3032066</v>
          </cell>
          <cell r="B20952">
            <v>101442</v>
          </cell>
          <cell r="C20952" t="str">
            <v>North Cray Primary School</v>
          </cell>
          <cell r="D20952" t="str">
            <v>Bexley</v>
          </cell>
          <cell r="E20952" t="str">
            <v>Community School</v>
          </cell>
          <cell r="F20952" t="str">
            <v>Primary</v>
          </cell>
        </row>
        <row r="20953">
          <cell r="A20953">
            <v>8815202</v>
          </cell>
          <cell r="B20953">
            <v>115242</v>
          </cell>
          <cell r="C20953" t="str">
            <v>North Crescent Primary School</v>
          </cell>
          <cell r="D20953" t="str">
            <v>Essex</v>
          </cell>
          <cell r="E20953" t="str">
            <v>Foundation School</v>
          </cell>
          <cell r="F20953" t="str">
            <v>Primary</v>
          </cell>
        </row>
        <row r="20954">
          <cell r="A20954">
            <v>2057122</v>
          </cell>
          <cell r="B20954">
            <v>126630</v>
          </cell>
          <cell r="C20954" t="str">
            <v>North Croft School</v>
          </cell>
          <cell r="D20954" t="str">
            <v>Hammersmith and Fulham</v>
          </cell>
          <cell r="E20954" t="str">
            <v>Community Special School</v>
          </cell>
          <cell r="F20954" t="str">
            <v>Special</v>
          </cell>
        </row>
        <row r="20955">
          <cell r="A20955">
            <v>9095408</v>
          </cell>
          <cell r="B20955">
            <v>112435</v>
          </cell>
          <cell r="C20955" t="str">
            <v>North Cumbria Technology College</v>
          </cell>
          <cell r="D20955" t="str">
            <v>Cumbria</v>
          </cell>
          <cell r="E20955" t="str">
            <v>Foundation School</v>
          </cell>
          <cell r="F20955" t="str">
            <v>Secondary</v>
          </cell>
        </row>
        <row r="20956">
          <cell r="A20956">
            <v>9333182</v>
          </cell>
          <cell r="B20956">
            <v>123797</v>
          </cell>
          <cell r="C20956" t="str">
            <v>North Curry CofE VC Primary School</v>
          </cell>
          <cell r="D20956" t="str">
            <v>Somerset</v>
          </cell>
          <cell r="E20956" t="str">
            <v>Voluntary Controlled School</v>
          </cell>
          <cell r="F20956" t="str">
            <v>Primary</v>
          </cell>
        </row>
        <row r="20957">
          <cell r="A20957">
            <v>9222304</v>
          </cell>
          <cell r="B20957">
            <v>129374</v>
          </cell>
          <cell r="C20957" t="str">
            <v>North Deal County Infant School</v>
          </cell>
          <cell r="D20957" t="str">
            <v>Pre LGR (1998) Kent</v>
          </cell>
          <cell r="E20957" t="str">
            <v>Community School</v>
          </cell>
          <cell r="F20957" t="str">
            <v>Primary</v>
          </cell>
        </row>
        <row r="20958">
          <cell r="A20958">
            <v>9262346</v>
          </cell>
          <cell r="B20958">
            <v>120973</v>
          </cell>
          <cell r="C20958" t="str">
            <v>North Denes Middle School</v>
          </cell>
          <cell r="D20958" t="str">
            <v>Norfolk</v>
          </cell>
          <cell r="E20958" t="str">
            <v>Community School</v>
          </cell>
          <cell r="F20958" t="str">
            <v>Primary</v>
          </cell>
        </row>
        <row r="20959">
          <cell r="A20959">
            <v>8308001</v>
          </cell>
          <cell r="B20959">
            <v>130639</v>
          </cell>
          <cell r="C20959" t="str">
            <v>North Derbyshire Tertiary College</v>
          </cell>
          <cell r="D20959" t="str">
            <v>Derbyshire</v>
          </cell>
          <cell r="E20959" t="str">
            <v>Further Education</v>
          </cell>
          <cell r="F20959" t="str">
            <v>16 Plus</v>
          </cell>
        </row>
        <row r="20960">
          <cell r="A20960">
            <v>8781102</v>
          </cell>
          <cell r="B20960">
            <v>113055</v>
          </cell>
          <cell r="C20960" t="str">
            <v>North Devon Personalised Learning Service</v>
          </cell>
          <cell r="D20960" t="str">
            <v>Devon</v>
          </cell>
          <cell r="E20960" t="str">
            <v>Pupil Referral Unit</v>
          </cell>
          <cell r="F20960" t="str">
            <v>PRU</v>
          </cell>
        </row>
        <row r="20961">
          <cell r="A20961">
            <v>3714020</v>
          </cell>
          <cell r="B20961">
            <v>106781</v>
          </cell>
          <cell r="C20961" t="str">
            <v>North Doncaster Technology College</v>
          </cell>
          <cell r="D20961" t="str">
            <v>Doncaster</v>
          </cell>
          <cell r="E20961" t="str">
            <v>Community School</v>
          </cell>
          <cell r="F20961" t="str">
            <v>Secondary</v>
          </cell>
        </row>
        <row r="20962">
          <cell r="A20962">
            <v>9362072</v>
          </cell>
          <cell r="B20962">
            <v>124949</v>
          </cell>
          <cell r="C20962" t="str">
            <v>North Downs Primary School</v>
          </cell>
          <cell r="D20962" t="str">
            <v>Surrey</v>
          </cell>
          <cell r="E20962" t="str">
            <v>Community School</v>
          </cell>
          <cell r="F20962" t="str">
            <v>Primary</v>
          </cell>
        </row>
        <row r="20963">
          <cell r="A20963">
            <v>8152407</v>
          </cell>
          <cell r="B20963">
            <v>121455</v>
          </cell>
          <cell r="C20963" t="str">
            <v>North Duffield Community Primary School</v>
          </cell>
          <cell r="D20963" t="str">
            <v>North Yorkshire</v>
          </cell>
          <cell r="E20963" t="str">
            <v>Community School</v>
          </cell>
          <cell r="F20963" t="str">
            <v>Primary</v>
          </cell>
        </row>
        <row r="20964">
          <cell r="A20964">
            <v>3072046</v>
          </cell>
          <cell r="B20964">
            <v>101870</v>
          </cell>
          <cell r="C20964" t="str">
            <v>North Ealing Primary School</v>
          </cell>
          <cell r="D20964" t="str">
            <v>Ealing</v>
          </cell>
          <cell r="E20964" t="str">
            <v>Community School</v>
          </cell>
          <cell r="F20964" t="str">
            <v>Primary</v>
          </cell>
        </row>
        <row r="20965">
          <cell r="A20965">
            <v>8301111</v>
          </cell>
          <cell r="B20965">
            <v>133947</v>
          </cell>
          <cell r="C20965" t="str">
            <v>North East Derbyshire Support Centre</v>
          </cell>
          <cell r="D20965" t="str">
            <v>Derbyshire</v>
          </cell>
          <cell r="E20965" t="str">
            <v>Pupil Referral Unit</v>
          </cell>
          <cell r="F20965" t="str">
            <v>PRU</v>
          </cell>
        </row>
        <row r="20966">
          <cell r="A20966">
            <v>8124901</v>
          </cell>
          <cell r="B20966">
            <v>134240</v>
          </cell>
          <cell r="C20966" t="str">
            <v>North East Lincolnshire Sixth Form Partnership</v>
          </cell>
          <cell r="D20966" t="str">
            <v>North East Lincolnshire</v>
          </cell>
          <cell r="E20966" t="str">
            <v>Sixth Form Centres</v>
          </cell>
          <cell r="F20966" t="str">
            <v>16 Plus</v>
          </cell>
        </row>
        <row r="20967">
          <cell r="A20967">
            <v>9368001</v>
          </cell>
          <cell r="B20967">
            <v>130822</v>
          </cell>
          <cell r="C20967" t="str">
            <v>North East Surrey College of Technology</v>
          </cell>
          <cell r="D20967" t="str">
            <v>Surrey</v>
          </cell>
          <cell r="E20967" t="str">
            <v>Further Education</v>
          </cell>
          <cell r="F20967" t="str">
            <v>16 Plus</v>
          </cell>
        </row>
        <row r="20968">
          <cell r="A20968">
            <v>9361126</v>
          </cell>
          <cell r="B20968">
            <v>135891</v>
          </cell>
          <cell r="C20968" t="str">
            <v>North East Surrey Secondary Short Stay School</v>
          </cell>
          <cell r="D20968" t="str">
            <v>Surrey</v>
          </cell>
          <cell r="E20968" t="str">
            <v>Pupil Referral Unit</v>
          </cell>
          <cell r="F20968" t="str">
            <v>PRU</v>
          </cell>
        </row>
        <row r="20969">
          <cell r="A20969">
            <v>3366906</v>
          </cell>
          <cell r="B20969">
            <v>136182</v>
          </cell>
          <cell r="C20969" t="str">
            <v>North East Wolverhampton Academy</v>
          </cell>
          <cell r="D20969" t="str">
            <v>Wolverhampton</v>
          </cell>
          <cell r="E20969" t="str">
            <v>Academy Sponsor Led</v>
          </cell>
          <cell r="F20969" t="str">
            <v>Secondary</v>
          </cell>
        </row>
        <row r="20970">
          <cell r="A20970">
            <v>3364900</v>
          </cell>
          <cell r="B20970">
            <v>133683</v>
          </cell>
          <cell r="C20970" t="str">
            <v>North East Wolverhampton Partnership</v>
          </cell>
          <cell r="D20970" t="str">
            <v>Wolverhampton</v>
          </cell>
          <cell r="E20970" t="str">
            <v>Sixth Form Centres</v>
          </cell>
          <cell r="F20970" t="str">
            <v>16 Plus</v>
          </cell>
        </row>
        <row r="20971">
          <cell r="A20971">
            <v>8858007</v>
          </cell>
          <cell r="B20971">
            <v>130713</v>
          </cell>
          <cell r="C20971" t="str">
            <v>North East Worcestershire College</v>
          </cell>
          <cell r="D20971" t="str">
            <v>Worcestershire</v>
          </cell>
          <cell r="E20971" t="str">
            <v>Further Education</v>
          </cell>
          <cell r="F20971" t="str">
            <v>16 Plus</v>
          </cell>
        </row>
        <row r="20972">
          <cell r="A20972">
            <v>9263059</v>
          </cell>
          <cell r="B20972">
            <v>121049</v>
          </cell>
          <cell r="C20972" t="str">
            <v>North Elmham Voluntary Controlled Primary School</v>
          </cell>
          <cell r="D20972" t="str">
            <v>Norfolk</v>
          </cell>
          <cell r="E20972" t="str">
            <v>Voluntary Controlled School</v>
          </cell>
          <cell r="F20972" t="str">
            <v>Primary</v>
          </cell>
        </row>
        <row r="20973">
          <cell r="A20973">
            <v>3834242</v>
          </cell>
          <cell r="B20973">
            <v>127990</v>
          </cell>
          <cell r="C20973" t="str">
            <v>North Farm Middle School</v>
          </cell>
          <cell r="D20973" t="str">
            <v>Leeds</v>
          </cell>
          <cell r="E20973" t="str">
            <v>Community School</v>
          </cell>
          <cell r="F20973" t="str">
            <v>Middle Deemed Secondary</v>
          </cell>
        </row>
        <row r="20974">
          <cell r="A20974">
            <v>8502519</v>
          </cell>
          <cell r="B20974">
            <v>116145</v>
          </cell>
          <cell r="C20974" t="str">
            <v>North Farnborough Infant School</v>
          </cell>
          <cell r="D20974" t="str">
            <v>Hampshire</v>
          </cell>
          <cell r="E20974" t="str">
            <v>Community School</v>
          </cell>
          <cell r="F20974" t="str">
            <v>Primary</v>
          </cell>
        </row>
        <row r="20975">
          <cell r="A20975">
            <v>3912300</v>
          </cell>
          <cell r="B20975">
            <v>108471</v>
          </cell>
          <cell r="C20975" t="str">
            <v>North Fawdon Primary School</v>
          </cell>
          <cell r="D20975" t="str">
            <v>Newcastle upon Tyne</v>
          </cell>
          <cell r="E20975" t="str">
            <v>Community School</v>
          </cell>
          <cell r="F20975" t="str">
            <v>Primary</v>
          </cell>
        </row>
        <row r="20976">
          <cell r="A20976">
            <v>8113032</v>
          </cell>
          <cell r="B20976">
            <v>117985</v>
          </cell>
          <cell r="C20976" t="str">
            <v>North Ferriby Church of England Voluntary Controlled Primary School</v>
          </cell>
          <cell r="D20976" t="str">
            <v>East Riding of Yorkshire</v>
          </cell>
          <cell r="E20976" t="str">
            <v>Voluntary Controlled School</v>
          </cell>
          <cell r="F20976" t="str">
            <v>Primary</v>
          </cell>
        </row>
        <row r="20977">
          <cell r="A20977">
            <v>8506052</v>
          </cell>
          <cell r="B20977">
            <v>116529</v>
          </cell>
          <cell r="C20977" t="str">
            <v>North Foreland Lodge School</v>
          </cell>
          <cell r="D20977" t="str">
            <v>Hampshire</v>
          </cell>
          <cell r="E20977" t="str">
            <v>Other Independent School</v>
          </cell>
          <cell r="F20977" t="str">
            <v>Not applicable</v>
          </cell>
        </row>
        <row r="20978">
          <cell r="A20978">
            <v>8112741</v>
          </cell>
          <cell r="B20978">
            <v>117861</v>
          </cell>
          <cell r="C20978" t="str">
            <v>North Frodingham Primary School</v>
          </cell>
          <cell r="D20978" t="str">
            <v>East Riding of Yorkshire</v>
          </cell>
          <cell r="E20978" t="str">
            <v>Community School</v>
          </cell>
          <cell r="F20978" t="str">
            <v>Primary</v>
          </cell>
        </row>
        <row r="20979">
          <cell r="A20979">
            <v>3552016</v>
          </cell>
          <cell r="B20979">
            <v>105887</v>
          </cell>
          <cell r="C20979" t="str">
            <v>North Grecian Street Primary School</v>
          </cell>
          <cell r="D20979" t="str">
            <v>Salford</v>
          </cell>
          <cell r="E20979" t="str">
            <v>Community School</v>
          </cell>
          <cell r="F20979" t="str">
            <v>Primary</v>
          </cell>
        </row>
        <row r="20980">
          <cell r="A20980">
            <v>3092035</v>
          </cell>
          <cell r="B20980">
            <v>102102</v>
          </cell>
          <cell r="C20980" t="str">
            <v>North Harringay Infant School</v>
          </cell>
          <cell r="D20980" t="str">
            <v>Haringey</v>
          </cell>
          <cell r="E20980" t="str">
            <v>Community School</v>
          </cell>
          <cell r="F20980" t="str">
            <v>Primary</v>
          </cell>
        </row>
        <row r="20981">
          <cell r="A20981">
            <v>3092034</v>
          </cell>
          <cell r="B20981">
            <v>102101</v>
          </cell>
          <cell r="C20981" t="str">
            <v>North Harringay Junior School</v>
          </cell>
          <cell r="D20981" t="str">
            <v>Haringey</v>
          </cell>
          <cell r="E20981" t="str">
            <v>Community School</v>
          </cell>
          <cell r="F20981" t="str">
            <v>Primary</v>
          </cell>
        </row>
        <row r="20982">
          <cell r="A20982">
            <v>3093512</v>
          </cell>
          <cell r="B20982">
            <v>134681</v>
          </cell>
          <cell r="C20982" t="str">
            <v>North Harringay Primary School</v>
          </cell>
          <cell r="D20982" t="str">
            <v>Haringey</v>
          </cell>
          <cell r="E20982" t="str">
            <v>Community School</v>
          </cell>
          <cell r="F20982" t="str">
            <v>Primary</v>
          </cell>
        </row>
        <row r="20983">
          <cell r="A20983">
            <v>9382225</v>
          </cell>
          <cell r="B20983">
            <v>125949</v>
          </cell>
          <cell r="C20983" t="str">
            <v>North Heath Community Primary School</v>
          </cell>
          <cell r="D20983" t="str">
            <v>West Sussex</v>
          </cell>
          <cell r="E20983" t="str">
            <v>Community School</v>
          </cell>
          <cell r="F20983" t="str">
            <v>Primary</v>
          </cell>
        </row>
        <row r="20984">
          <cell r="A20984">
            <v>3562068</v>
          </cell>
          <cell r="B20984">
            <v>106066</v>
          </cell>
          <cell r="C20984" t="str">
            <v>North Heaton Primary School</v>
          </cell>
          <cell r="D20984" t="str">
            <v>Stockport</v>
          </cell>
          <cell r="E20984" t="str">
            <v>Community School</v>
          </cell>
          <cell r="F20984" t="str">
            <v>Primary</v>
          </cell>
        </row>
        <row r="20985">
          <cell r="A20985">
            <v>9198020</v>
          </cell>
          <cell r="B20985">
            <v>130721</v>
          </cell>
          <cell r="C20985" t="str">
            <v>North Hertfordshire College</v>
          </cell>
          <cell r="D20985" t="str">
            <v>Hertfordshire</v>
          </cell>
          <cell r="E20985" t="str">
            <v>Further Education</v>
          </cell>
          <cell r="F20985" t="str">
            <v>16 Plus</v>
          </cell>
        </row>
        <row r="20986">
          <cell r="A20986">
            <v>9336200</v>
          </cell>
          <cell r="B20986">
            <v>131975</v>
          </cell>
          <cell r="C20986" t="str">
            <v>North Hill House</v>
          </cell>
          <cell r="D20986" t="str">
            <v>Somerset</v>
          </cell>
          <cell r="E20986" t="str">
            <v>Other Independent Special School</v>
          </cell>
          <cell r="F20986" t="str">
            <v>Not applicable</v>
          </cell>
        </row>
        <row r="20987">
          <cell r="A20987">
            <v>9313237</v>
          </cell>
          <cell r="B20987">
            <v>123156</v>
          </cell>
          <cell r="C20987" t="str">
            <v>North Hinksey Church of England Primary School</v>
          </cell>
          <cell r="D20987" t="str">
            <v>Oxfordshire</v>
          </cell>
          <cell r="E20987" t="str">
            <v>Voluntary Controlled School</v>
          </cell>
          <cell r="F20987" t="str">
            <v>Primary</v>
          </cell>
        </row>
        <row r="20988">
          <cell r="A20988">
            <v>3824801</v>
          </cell>
          <cell r="B20988">
            <v>136502</v>
          </cell>
          <cell r="C20988" t="str">
            <v>North Huddersfield Trust School</v>
          </cell>
          <cell r="D20988" t="str">
            <v>Kirklees</v>
          </cell>
          <cell r="E20988" t="str">
            <v>Foundation School</v>
          </cell>
          <cell r="F20988" t="str">
            <v>Secondary</v>
          </cell>
        </row>
        <row r="20989">
          <cell r="A20989">
            <v>9252057</v>
          </cell>
          <cell r="B20989">
            <v>120394</v>
          </cell>
          <cell r="C20989" t="str">
            <v>North Hykeham Fosse Way Primary School</v>
          </cell>
          <cell r="D20989" t="str">
            <v>Lincolnshire</v>
          </cell>
          <cell r="E20989" t="str">
            <v>Community School</v>
          </cell>
          <cell r="F20989" t="str">
            <v>Primary</v>
          </cell>
        </row>
        <row r="20990">
          <cell r="A20990">
            <v>9252057</v>
          </cell>
          <cell r="B20990">
            <v>136790</v>
          </cell>
          <cell r="C20990" t="str">
            <v>North Hykeham Fosse Way Primary School</v>
          </cell>
          <cell r="D20990" t="str">
            <v>Lincolnshire</v>
          </cell>
          <cell r="E20990" t="str">
            <v>Academy Converters</v>
          </cell>
          <cell r="F20990" t="str">
            <v>Primary</v>
          </cell>
        </row>
        <row r="20991">
          <cell r="A20991">
            <v>9254900</v>
          </cell>
          <cell r="B20991">
            <v>132933</v>
          </cell>
          <cell r="C20991" t="str">
            <v>North Hykeham Joint Sixth Form</v>
          </cell>
          <cell r="D20991" t="str">
            <v>Lincolnshire</v>
          </cell>
          <cell r="E20991" t="str">
            <v>Sixth Form Centres</v>
          </cell>
          <cell r="F20991" t="str">
            <v>16 Plus</v>
          </cell>
        </row>
        <row r="20992">
          <cell r="A20992">
            <v>9252064</v>
          </cell>
          <cell r="B20992">
            <v>120397</v>
          </cell>
          <cell r="C20992" t="str">
            <v>North Hykeham Ling Moor Primary School</v>
          </cell>
          <cell r="D20992" t="str">
            <v>Lincolnshire</v>
          </cell>
          <cell r="E20992" t="str">
            <v>Community School</v>
          </cell>
          <cell r="F20992" t="str">
            <v>Primary</v>
          </cell>
        </row>
        <row r="20993">
          <cell r="A20993">
            <v>2061047</v>
          </cell>
          <cell r="B20993">
            <v>100386</v>
          </cell>
          <cell r="C20993" t="str">
            <v>North Islington Nursery School</v>
          </cell>
          <cell r="D20993" t="str">
            <v>Islington</v>
          </cell>
          <cell r="E20993" t="str">
            <v>LA Nursery School</v>
          </cell>
          <cell r="F20993" t="str">
            <v>Nursery</v>
          </cell>
        </row>
        <row r="20994">
          <cell r="A20994">
            <v>9255412</v>
          </cell>
          <cell r="B20994">
            <v>120708</v>
          </cell>
          <cell r="C20994" t="str">
            <v>North Kesteven School</v>
          </cell>
          <cell r="D20994" t="str">
            <v>Lincolnshire</v>
          </cell>
          <cell r="E20994" t="str">
            <v>Foundation School</v>
          </cell>
          <cell r="F20994" t="str">
            <v>Secondary</v>
          </cell>
        </row>
        <row r="20995">
          <cell r="A20995">
            <v>9255412</v>
          </cell>
          <cell r="B20995">
            <v>136871</v>
          </cell>
          <cell r="C20995" t="str">
            <v>North Kesteven School</v>
          </cell>
          <cell r="D20995" t="str">
            <v>Lincolnshire</v>
          </cell>
          <cell r="E20995" t="str">
            <v>Academy Converters</v>
          </cell>
          <cell r="F20995" t="str">
            <v>Secondary</v>
          </cell>
        </row>
        <row r="20996">
          <cell r="A20996">
            <v>9312357</v>
          </cell>
          <cell r="B20996">
            <v>123025</v>
          </cell>
          <cell r="C20996" t="str">
            <v>North Kidlington Primary School</v>
          </cell>
          <cell r="D20996" t="str">
            <v>Oxfordshire</v>
          </cell>
          <cell r="E20996" t="str">
            <v>Community School</v>
          </cell>
          <cell r="F20996" t="str">
            <v>Primary</v>
          </cell>
        </row>
        <row r="20997">
          <cell r="A20997">
            <v>9252032</v>
          </cell>
          <cell r="B20997">
            <v>120384</v>
          </cell>
          <cell r="C20997" t="str">
            <v>North Kyme Primary School</v>
          </cell>
          <cell r="D20997" t="str">
            <v>Lincolnshire</v>
          </cell>
          <cell r="E20997" t="str">
            <v>Community School</v>
          </cell>
          <cell r="F20997" t="str">
            <v>Primary</v>
          </cell>
        </row>
        <row r="20998">
          <cell r="A20998">
            <v>9092046</v>
          </cell>
          <cell r="B20998">
            <v>112118</v>
          </cell>
          <cell r="C20998" t="str">
            <v>North Lakes School</v>
          </cell>
          <cell r="D20998" t="str">
            <v>Cumbria</v>
          </cell>
          <cell r="E20998" t="str">
            <v>Community School</v>
          </cell>
          <cell r="F20998" t="str">
            <v>Primary</v>
          </cell>
        </row>
        <row r="20999">
          <cell r="A20999">
            <v>2084901</v>
          </cell>
          <cell r="B20999">
            <v>132962</v>
          </cell>
          <cell r="C20999" t="str">
            <v>North Lambeth Sixth Form Centre</v>
          </cell>
          <cell r="D20999" t="str">
            <v>Lambeth</v>
          </cell>
          <cell r="E20999" t="str">
            <v>Sixth Form Centres</v>
          </cell>
          <cell r="F20999" t="str">
            <v>16 Plus</v>
          </cell>
        </row>
        <row r="21000">
          <cell r="A21000">
            <v>9382042</v>
          </cell>
          <cell r="B21000">
            <v>125841</v>
          </cell>
          <cell r="C21000" t="str">
            <v>North Lancing Primary School</v>
          </cell>
          <cell r="D21000" t="str">
            <v>West Sussex</v>
          </cell>
          <cell r="E21000" t="str">
            <v>Community School</v>
          </cell>
          <cell r="F21000" t="str">
            <v>Primary</v>
          </cell>
        </row>
        <row r="21001">
          <cell r="A21001">
            <v>9374237</v>
          </cell>
          <cell r="B21001">
            <v>125748</v>
          </cell>
          <cell r="C21001" t="str">
            <v>North Leamington School</v>
          </cell>
          <cell r="D21001" t="str">
            <v>Warwickshire</v>
          </cell>
          <cell r="E21001" t="str">
            <v>Community School</v>
          </cell>
          <cell r="F21001" t="str">
            <v>Secondary</v>
          </cell>
        </row>
        <row r="21002">
          <cell r="A21002">
            <v>3836032</v>
          </cell>
          <cell r="B21002">
            <v>108106</v>
          </cell>
          <cell r="C21002" t="str">
            <v>North Leeds Preparatory School</v>
          </cell>
          <cell r="D21002" t="str">
            <v>Leeds</v>
          </cell>
          <cell r="E21002" t="str">
            <v>Other Independent School</v>
          </cell>
          <cell r="F21002" t="str">
            <v>Not applicable</v>
          </cell>
        </row>
        <row r="21003">
          <cell r="A21003">
            <v>8311101</v>
          </cell>
          <cell r="B21003">
            <v>112487</v>
          </cell>
          <cell r="C21003" t="str">
            <v>North Lees</v>
          </cell>
          <cell r="D21003" t="str">
            <v>Derby</v>
          </cell>
          <cell r="E21003" t="str">
            <v>Pupil Referral Unit</v>
          </cell>
          <cell r="F21003" t="str">
            <v>PRU</v>
          </cell>
        </row>
        <row r="21004">
          <cell r="A21004">
            <v>9313128</v>
          </cell>
          <cell r="B21004">
            <v>123112</v>
          </cell>
          <cell r="C21004" t="str">
            <v>North Leigh Church of England (Controlled) School</v>
          </cell>
          <cell r="D21004" t="str">
            <v>Oxfordshire</v>
          </cell>
          <cell r="E21004" t="str">
            <v>Voluntary Controlled School</v>
          </cell>
          <cell r="F21004" t="str">
            <v>Primary</v>
          </cell>
        </row>
        <row r="21005">
          <cell r="A21005">
            <v>8913118</v>
          </cell>
          <cell r="B21005">
            <v>122765</v>
          </cell>
          <cell r="C21005" t="str">
            <v>North Leverton CofE Primary School</v>
          </cell>
          <cell r="D21005" t="str">
            <v>Nottinghamshire</v>
          </cell>
          <cell r="E21005" t="str">
            <v>Voluntary Controlled School</v>
          </cell>
          <cell r="F21005" t="str">
            <v>Primary</v>
          </cell>
        </row>
        <row r="21006">
          <cell r="A21006">
            <v>8138010</v>
          </cell>
          <cell r="B21006">
            <v>130587</v>
          </cell>
          <cell r="C21006" t="str">
            <v>North Lindsey College</v>
          </cell>
          <cell r="D21006" t="str">
            <v>North Lincolnshire</v>
          </cell>
          <cell r="E21006" t="str">
            <v>Further Education</v>
          </cell>
          <cell r="F21006" t="str">
            <v>16 Plus</v>
          </cell>
        </row>
        <row r="21007">
          <cell r="A21007">
            <v>3416906</v>
          </cell>
          <cell r="B21007">
            <v>131065</v>
          </cell>
          <cell r="C21007" t="str">
            <v>North Liverpool Academy</v>
          </cell>
          <cell r="D21007" t="str">
            <v>Liverpool</v>
          </cell>
          <cell r="E21007" t="str">
            <v>Academy Sponsor Led</v>
          </cell>
          <cell r="F21007" t="str">
            <v>Secondary</v>
          </cell>
        </row>
        <row r="21008">
          <cell r="A21008">
            <v>3096074</v>
          </cell>
          <cell r="B21008">
            <v>132954</v>
          </cell>
          <cell r="C21008" t="str">
            <v>North London College of Accountancy</v>
          </cell>
          <cell r="D21008" t="str">
            <v>Haringey</v>
          </cell>
          <cell r="E21008" t="str">
            <v>Miscellaneous</v>
          </cell>
          <cell r="F21008" t="str">
            <v>Not applicable</v>
          </cell>
        </row>
        <row r="21009">
          <cell r="A21009">
            <v>3106075</v>
          </cell>
          <cell r="B21009">
            <v>102257</v>
          </cell>
          <cell r="C21009" t="str">
            <v>North London Collegiate School</v>
          </cell>
          <cell r="D21009" t="str">
            <v>Harrow</v>
          </cell>
          <cell r="E21009" t="str">
            <v>Other Independent School</v>
          </cell>
          <cell r="F21009" t="str">
            <v>Not applicable</v>
          </cell>
        </row>
        <row r="21010">
          <cell r="A21010">
            <v>3096047</v>
          </cell>
          <cell r="B21010">
            <v>126907</v>
          </cell>
          <cell r="C21010" t="str">
            <v>North London Community College</v>
          </cell>
          <cell r="D21010" t="str">
            <v>Haringey</v>
          </cell>
          <cell r="E21010" t="str">
            <v>Other Independent School</v>
          </cell>
          <cell r="F21010" t="str">
            <v>Not applicable</v>
          </cell>
        </row>
        <row r="21011">
          <cell r="A21011">
            <v>3086067</v>
          </cell>
          <cell r="B21011">
            <v>134584</v>
          </cell>
          <cell r="C21011" t="str">
            <v>North London Muslim School</v>
          </cell>
          <cell r="D21011" t="str">
            <v>Enfield</v>
          </cell>
          <cell r="E21011" t="str">
            <v>Other Independent School</v>
          </cell>
          <cell r="F21011" t="str">
            <v>Not applicable</v>
          </cell>
        </row>
        <row r="21012">
          <cell r="A21012">
            <v>3096067</v>
          </cell>
          <cell r="B21012">
            <v>102169</v>
          </cell>
          <cell r="C21012" t="str">
            <v>North London Rudolf Steiner School</v>
          </cell>
          <cell r="D21012" t="str">
            <v>Haringey</v>
          </cell>
          <cell r="E21012" t="str">
            <v>Other Independent School</v>
          </cell>
          <cell r="F21012" t="str">
            <v>Not applicable</v>
          </cell>
        </row>
        <row r="21013">
          <cell r="A21013">
            <v>9183209</v>
          </cell>
          <cell r="B21013">
            <v>129084</v>
          </cell>
          <cell r="C21013" t="str">
            <v>North Malvern CofE Primary School</v>
          </cell>
          <cell r="D21013" t="str">
            <v>Pre LGR (1998) Hereford &amp; Worcester</v>
          </cell>
          <cell r="E21013" t="str">
            <v>Voluntary Controlled School</v>
          </cell>
          <cell r="F21013" t="str">
            <v>Primary</v>
          </cell>
        </row>
        <row r="21014">
          <cell r="A21014">
            <v>9183355</v>
          </cell>
          <cell r="B21014">
            <v>129085</v>
          </cell>
          <cell r="C21014" t="str">
            <v>North Malvern CofE Primary School</v>
          </cell>
          <cell r="D21014" t="str">
            <v>Pre LGR (1998) Hereford &amp; Worcester</v>
          </cell>
          <cell r="E21014" t="str">
            <v>Voluntary Aided School</v>
          </cell>
          <cell r="F21014" t="str">
            <v>Primary</v>
          </cell>
        </row>
        <row r="21015">
          <cell r="A21015">
            <v>3524272</v>
          </cell>
          <cell r="B21015">
            <v>105561</v>
          </cell>
          <cell r="C21015" t="str">
            <v>North Manchester High School for Boys</v>
          </cell>
          <cell r="D21015" t="str">
            <v>Manchester</v>
          </cell>
          <cell r="E21015" t="str">
            <v>Community School</v>
          </cell>
          <cell r="F21015" t="str">
            <v>Secondary</v>
          </cell>
        </row>
        <row r="21016">
          <cell r="A21016">
            <v>3524273</v>
          </cell>
          <cell r="B21016">
            <v>105562</v>
          </cell>
          <cell r="C21016" t="str">
            <v>North Manchester High School for Girls</v>
          </cell>
          <cell r="D21016" t="str">
            <v>Manchester</v>
          </cell>
          <cell r="E21016" t="str">
            <v>Community School</v>
          </cell>
          <cell r="F21016" t="str">
            <v>Secondary</v>
          </cell>
        </row>
        <row r="21017">
          <cell r="A21017">
            <v>8253014</v>
          </cell>
          <cell r="B21017">
            <v>110412</v>
          </cell>
          <cell r="C21017" t="str">
            <v>North Marston Church of England School</v>
          </cell>
          <cell r="D21017" t="str">
            <v>Buckinghamshire</v>
          </cell>
          <cell r="E21017" t="str">
            <v>Voluntary Controlled School</v>
          </cell>
          <cell r="F21017" t="str">
            <v>Primary</v>
          </cell>
        </row>
        <row r="21018">
          <cell r="A21018">
            <v>9346075</v>
          </cell>
          <cell r="B21018">
            <v>129959</v>
          </cell>
          <cell r="C21018" t="str">
            <v>North Midlands College</v>
          </cell>
          <cell r="D21018" t="str">
            <v>Pre LGR (1997) Staffordshire</v>
          </cell>
          <cell r="E21018" t="str">
            <v>Other Independent School</v>
          </cell>
          <cell r="F21018" t="str">
            <v>Not applicable</v>
          </cell>
        </row>
        <row r="21019">
          <cell r="A21019">
            <v>8782240</v>
          </cell>
          <cell r="B21019">
            <v>113163</v>
          </cell>
          <cell r="C21019" t="str">
            <v>North Molton School</v>
          </cell>
          <cell r="D21019" t="str">
            <v>Devon</v>
          </cell>
          <cell r="E21019" t="str">
            <v>Community School</v>
          </cell>
          <cell r="F21019" t="str">
            <v>Primary</v>
          </cell>
        </row>
        <row r="21020">
          <cell r="A21020">
            <v>8119901</v>
          </cell>
          <cell r="B21020">
            <v>133232</v>
          </cell>
          <cell r="C21020" t="str">
            <v>North Moor Education Trust</v>
          </cell>
          <cell r="D21020" t="str">
            <v>East Riding of Yorkshire</v>
          </cell>
          <cell r="E21020" t="str">
            <v>Miscellaneous</v>
          </cell>
          <cell r="F21020" t="str">
            <v>Not applicable</v>
          </cell>
        </row>
        <row r="21021">
          <cell r="A21021">
            <v>9382049</v>
          </cell>
          <cell r="B21021">
            <v>125847</v>
          </cell>
          <cell r="C21021" t="str">
            <v>North Mundham Primary School</v>
          </cell>
          <cell r="D21021" t="str">
            <v>West Sussex</v>
          </cell>
          <cell r="E21021" t="str">
            <v>Community School</v>
          </cell>
          <cell r="F21021" t="str">
            <v>Primary</v>
          </cell>
        </row>
        <row r="21022">
          <cell r="A21022">
            <v>9332175</v>
          </cell>
          <cell r="B21022">
            <v>123689</v>
          </cell>
          <cell r="C21022" t="str">
            <v>North Newton Community Primary School</v>
          </cell>
          <cell r="D21022" t="str">
            <v>Somerset</v>
          </cell>
          <cell r="E21022" t="str">
            <v>Community School</v>
          </cell>
          <cell r="F21022" t="str">
            <v>Primary</v>
          </cell>
        </row>
        <row r="21023">
          <cell r="A21023">
            <v>9163341</v>
          </cell>
          <cell r="B21023">
            <v>115695</v>
          </cell>
          <cell r="C21023" t="str">
            <v>North Nibley Church of England Primary School</v>
          </cell>
          <cell r="D21023" t="str">
            <v>Gloucestershire</v>
          </cell>
          <cell r="E21023" t="str">
            <v>Voluntary Aided School</v>
          </cell>
          <cell r="F21023" t="str">
            <v>Primary</v>
          </cell>
        </row>
        <row r="21024">
          <cell r="A21024">
            <v>8918005</v>
          </cell>
          <cell r="B21024">
            <v>130779</v>
          </cell>
          <cell r="C21024" t="str">
            <v>North Nottinghamshire College</v>
          </cell>
          <cell r="D21024" t="str">
            <v>Nottinghamshire</v>
          </cell>
          <cell r="E21024" t="str">
            <v>Further Education</v>
          </cell>
          <cell r="F21024" t="str">
            <v>16 Plus</v>
          </cell>
        </row>
        <row r="21025">
          <cell r="A21025">
            <v>8062143</v>
          </cell>
          <cell r="B21025">
            <v>111588</v>
          </cell>
          <cell r="C21025" t="str">
            <v>North Ormesby Primary School</v>
          </cell>
          <cell r="D21025" t="str">
            <v>Middlesbrough</v>
          </cell>
          <cell r="E21025" t="str">
            <v>Community School</v>
          </cell>
          <cell r="F21025" t="str">
            <v>Primary</v>
          </cell>
        </row>
        <row r="21026">
          <cell r="A21026">
            <v>3844045</v>
          </cell>
          <cell r="B21026">
            <v>108293</v>
          </cell>
          <cell r="C21026" t="str">
            <v>North Ossett High School</v>
          </cell>
          <cell r="D21026" t="str">
            <v>Wakefield</v>
          </cell>
          <cell r="E21026" t="str">
            <v>Community School</v>
          </cell>
          <cell r="F21026" t="str">
            <v>Secondary</v>
          </cell>
        </row>
        <row r="21027">
          <cell r="A21027">
            <v>9316905</v>
          </cell>
          <cell r="B21027">
            <v>135365</v>
          </cell>
          <cell r="C21027" t="str">
            <v>North Oxfordshire Academy</v>
          </cell>
          <cell r="D21027" t="str">
            <v>Oxfordshire</v>
          </cell>
          <cell r="E21027" t="str">
            <v>Academy Sponsor Led</v>
          </cell>
          <cell r="F21027" t="str">
            <v>Secondary</v>
          </cell>
        </row>
        <row r="21028">
          <cell r="A21028">
            <v>9318000</v>
          </cell>
          <cell r="B21028">
            <v>130788</v>
          </cell>
          <cell r="C21028" t="str">
            <v>North Oxfordshire College and School of Art</v>
          </cell>
          <cell r="D21028" t="str">
            <v>Oxfordshire</v>
          </cell>
          <cell r="E21028" t="str">
            <v>Further Education</v>
          </cell>
          <cell r="F21028" t="str">
            <v>16 Plus</v>
          </cell>
        </row>
        <row r="21029">
          <cell r="A21029">
            <v>8402003</v>
          </cell>
          <cell r="B21029">
            <v>132172</v>
          </cell>
          <cell r="C21029" t="str">
            <v>North Park Primary School</v>
          </cell>
          <cell r="D21029" t="str">
            <v>Durham</v>
          </cell>
          <cell r="E21029" t="str">
            <v>Community School</v>
          </cell>
          <cell r="F21029" t="str">
            <v>Primary</v>
          </cell>
        </row>
        <row r="21030">
          <cell r="A21030">
            <v>9332176</v>
          </cell>
          <cell r="B21030">
            <v>123690</v>
          </cell>
          <cell r="C21030" t="str">
            <v>North Petherton Community Junior School</v>
          </cell>
          <cell r="D21030" t="str">
            <v>Somerset</v>
          </cell>
          <cell r="E21030" t="str">
            <v>Community School</v>
          </cell>
          <cell r="F21030" t="str">
            <v>Primary</v>
          </cell>
        </row>
        <row r="21031">
          <cell r="A21031">
            <v>9332190</v>
          </cell>
          <cell r="B21031">
            <v>123699</v>
          </cell>
          <cell r="C21031" t="str">
            <v>North Petherton Infants' School</v>
          </cell>
          <cell r="D21031" t="str">
            <v>Somerset</v>
          </cell>
          <cell r="E21031" t="str">
            <v>Community School</v>
          </cell>
          <cell r="F21031" t="str">
            <v>Primary</v>
          </cell>
        </row>
        <row r="21032">
          <cell r="A21032">
            <v>9332335</v>
          </cell>
          <cell r="B21032">
            <v>135830</v>
          </cell>
          <cell r="C21032" t="str">
            <v>North Petherton Primary School</v>
          </cell>
          <cell r="D21032" t="str">
            <v>Somerset</v>
          </cell>
          <cell r="E21032" t="str">
            <v>Community School</v>
          </cell>
          <cell r="F21032" t="str">
            <v>Primary</v>
          </cell>
        </row>
        <row r="21033">
          <cell r="A21033">
            <v>9082628</v>
          </cell>
          <cell r="B21033">
            <v>111942</v>
          </cell>
          <cell r="C21033" t="str">
            <v>North Petherwin Primary School</v>
          </cell>
          <cell r="D21033" t="str">
            <v>Cornwall</v>
          </cell>
          <cell r="E21033" t="str">
            <v>Community School</v>
          </cell>
          <cell r="F21033" t="str">
            <v>Primary</v>
          </cell>
        </row>
        <row r="21034">
          <cell r="A21034">
            <v>3072115</v>
          </cell>
          <cell r="B21034">
            <v>101884</v>
          </cell>
          <cell r="C21034" t="str">
            <v>North Primary School</v>
          </cell>
          <cell r="D21034" t="str">
            <v>Ealing</v>
          </cell>
          <cell r="E21034" t="str">
            <v>Community School</v>
          </cell>
          <cell r="F21034" t="str">
            <v>Primary</v>
          </cell>
        </row>
        <row r="21035">
          <cell r="A21035">
            <v>8612027</v>
          </cell>
          <cell r="B21035">
            <v>123986</v>
          </cell>
          <cell r="C21035" t="str">
            <v>North Primary School</v>
          </cell>
          <cell r="D21035" t="str">
            <v>Stoke-on-Trent</v>
          </cell>
          <cell r="E21035" t="str">
            <v>Community School</v>
          </cell>
          <cell r="F21035" t="str">
            <v>Primary</v>
          </cell>
        </row>
        <row r="21036">
          <cell r="A21036">
            <v>8812008</v>
          </cell>
          <cell r="B21036">
            <v>114709</v>
          </cell>
          <cell r="C21036" t="str">
            <v>North Primary School and Nursery</v>
          </cell>
          <cell r="D21036" t="str">
            <v>Essex</v>
          </cell>
          <cell r="E21036" t="str">
            <v>Community School</v>
          </cell>
          <cell r="F21036" t="str">
            <v>Primary</v>
          </cell>
        </row>
        <row r="21037">
          <cell r="A21037">
            <v>8792713</v>
          </cell>
          <cell r="B21037">
            <v>113333</v>
          </cell>
          <cell r="C21037" t="str">
            <v>North Prospect Community School</v>
          </cell>
          <cell r="D21037" t="str">
            <v>Plymouth</v>
          </cell>
          <cell r="E21037" t="str">
            <v>Community School</v>
          </cell>
          <cell r="F21037" t="str">
            <v>Primary</v>
          </cell>
        </row>
        <row r="21038">
          <cell r="A21038">
            <v>3562069</v>
          </cell>
          <cell r="B21038">
            <v>106067</v>
          </cell>
          <cell r="C21038" t="str">
            <v>North Reddish Infant School</v>
          </cell>
          <cell r="D21038" t="str">
            <v>Stockport</v>
          </cell>
          <cell r="E21038" t="str">
            <v>Community School</v>
          </cell>
          <cell r="F21038" t="str">
            <v>Primary</v>
          </cell>
        </row>
        <row r="21039">
          <cell r="A21039">
            <v>3562070</v>
          </cell>
          <cell r="B21039">
            <v>106068</v>
          </cell>
          <cell r="C21039" t="str">
            <v>North Reddish Junior School</v>
          </cell>
          <cell r="D21039" t="str">
            <v>Stockport</v>
          </cell>
          <cell r="E21039" t="str">
            <v>Community School</v>
          </cell>
          <cell r="F21039" t="str">
            <v>Primary</v>
          </cell>
        </row>
        <row r="21040">
          <cell r="A21040">
            <v>3717016</v>
          </cell>
          <cell r="B21040">
            <v>135548</v>
          </cell>
          <cell r="C21040" t="str">
            <v>North Ridge Community School</v>
          </cell>
          <cell r="D21040" t="str">
            <v>Doncaster</v>
          </cell>
          <cell r="E21040" t="str">
            <v>Community Special School</v>
          </cell>
          <cell r="F21040" t="str">
            <v>Special</v>
          </cell>
        </row>
        <row r="21041">
          <cell r="A21041">
            <v>3527061</v>
          </cell>
          <cell r="B21041">
            <v>132905</v>
          </cell>
          <cell r="C21041" t="str">
            <v>North Ridge High School</v>
          </cell>
          <cell r="D21041" t="str">
            <v>Manchester</v>
          </cell>
          <cell r="E21041" t="str">
            <v>Community Special School</v>
          </cell>
          <cell r="F21041" t="str">
            <v>Special</v>
          </cell>
        </row>
        <row r="21042">
          <cell r="A21042">
            <v>8153260</v>
          </cell>
          <cell r="B21042">
            <v>121579</v>
          </cell>
          <cell r="C21042" t="str">
            <v>North Rigton Church of England Primary School</v>
          </cell>
          <cell r="D21042" t="str">
            <v>North Yorkshire</v>
          </cell>
          <cell r="E21042" t="str">
            <v>Voluntary Controlled School</v>
          </cell>
          <cell r="F21042" t="str">
            <v>Primary</v>
          </cell>
        </row>
        <row r="21043">
          <cell r="A21043">
            <v>8032187</v>
          </cell>
          <cell r="B21043">
            <v>109025</v>
          </cell>
          <cell r="C21043" t="str">
            <v>North Road Community Primary School</v>
          </cell>
          <cell r="D21043" t="str">
            <v>South Gloucestershire</v>
          </cell>
          <cell r="E21043" t="str">
            <v>Community School</v>
          </cell>
          <cell r="F21043" t="str">
            <v>Primary</v>
          </cell>
        </row>
        <row r="21044">
          <cell r="A21044">
            <v>8402381</v>
          </cell>
          <cell r="B21044">
            <v>114084</v>
          </cell>
          <cell r="C21044" t="str">
            <v>North Road Junior School</v>
          </cell>
          <cell r="D21044" t="str">
            <v>Durham</v>
          </cell>
          <cell r="E21044" t="str">
            <v>Community School</v>
          </cell>
          <cell r="F21044" t="str">
            <v>Primary</v>
          </cell>
        </row>
        <row r="21045">
          <cell r="A21045">
            <v>8882014</v>
          </cell>
          <cell r="B21045">
            <v>119126</v>
          </cell>
          <cell r="C21045" t="str">
            <v>North Road Primary School</v>
          </cell>
          <cell r="D21045" t="str">
            <v>Lancashire</v>
          </cell>
          <cell r="E21045" t="str">
            <v>Community School</v>
          </cell>
          <cell r="F21045" t="str">
            <v>Primary</v>
          </cell>
        </row>
        <row r="21046">
          <cell r="A21046">
            <v>9252033</v>
          </cell>
          <cell r="B21046">
            <v>120385</v>
          </cell>
          <cell r="C21046" t="str">
            <v>North Scarle Primary School</v>
          </cell>
          <cell r="D21046" t="str">
            <v>Lincolnshire</v>
          </cell>
          <cell r="E21046" t="str">
            <v>Community School</v>
          </cell>
          <cell r="F21046" t="str">
            <v>Primary</v>
          </cell>
        </row>
        <row r="21047">
          <cell r="A21047">
            <v>9224095</v>
          </cell>
          <cell r="B21047">
            <v>129422</v>
          </cell>
          <cell r="C21047" t="str">
            <v>North School for Girls</v>
          </cell>
          <cell r="D21047" t="str">
            <v>Pre LGR (1998) Kent</v>
          </cell>
          <cell r="E21047" t="str">
            <v>Community School</v>
          </cell>
          <cell r="F21047" t="str">
            <v>Secondary</v>
          </cell>
        </row>
        <row r="21048">
          <cell r="A21048">
            <v>3921000</v>
          </cell>
          <cell r="B21048">
            <v>108562</v>
          </cell>
          <cell r="C21048" t="str">
            <v>North Shields Nursery School</v>
          </cell>
          <cell r="D21048" t="str">
            <v>North Tyneside</v>
          </cell>
          <cell r="E21048" t="str">
            <v>LA Nursery School</v>
          </cell>
          <cell r="F21048" t="str">
            <v>Nursery</v>
          </cell>
        </row>
        <row r="21049">
          <cell r="A21049">
            <v>8086906</v>
          </cell>
          <cell r="B21049">
            <v>136146</v>
          </cell>
          <cell r="C21049" t="str">
            <v>North Shore Health Academy</v>
          </cell>
          <cell r="D21049" t="str">
            <v>Stockton-on-Tees</v>
          </cell>
          <cell r="E21049" t="str">
            <v>Academy Sponsor Led</v>
          </cell>
          <cell r="F21049" t="str">
            <v>Secondary</v>
          </cell>
        </row>
        <row r="21050">
          <cell r="A21050">
            <v>9255225</v>
          </cell>
          <cell r="B21050">
            <v>120692</v>
          </cell>
          <cell r="C21050" t="str">
            <v>North Somercotes CofE Primary School</v>
          </cell>
          <cell r="D21050" t="str">
            <v>Lincolnshire</v>
          </cell>
          <cell r="E21050" t="str">
            <v>Foundation School</v>
          </cell>
          <cell r="F21050" t="str">
            <v>Primary</v>
          </cell>
        </row>
        <row r="21051">
          <cell r="A21051">
            <v>8153258</v>
          </cell>
          <cell r="B21051">
            <v>121578</v>
          </cell>
          <cell r="C21051" t="str">
            <v>North Stainley Church of England Primary School</v>
          </cell>
          <cell r="D21051" t="str">
            <v>North Yorkshire</v>
          </cell>
          <cell r="E21051" t="str">
            <v>Voluntary Controlled School</v>
          </cell>
          <cell r="F21051" t="str">
            <v>Primary</v>
          </cell>
        </row>
        <row r="21052">
          <cell r="A21052">
            <v>8782615</v>
          </cell>
          <cell r="B21052">
            <v>113259</v>
          </cell>
          <cell r="C21052" t="str">
            <v>North Tawton Community Primary School</v>
          </cell>
          <cell r="D21052" t="str">
            <v>Devon</v>
          </cell>
          <cell r="E21052" t="str">
            <v>Community School</v>
          </cell>
          <cell r="F21052" t="str">
            <v>Primary</v>
          </cell>
        </row>
        <row r="21053">
          <cell r="A21053">
            <v>9252183</v>
          </cell>
          <cell r="B21053">
            <v>120470</v>
          </cell>
          <cell r="C21053" t="str">
            <v>North Thoresby Primary School</v>
          </cell>
          <cell r="D21053" t="str">
            <v>Lincolnshire</v>
          </cell>
          <cell r="E21053" t="str">
            <v>Community School</v>
          </cell>
          <cell r="F21053" t="str">
            <v>Primary</v>
          </cell>
        </row>
        <row r="21054">
          <cell r="A21054">
            <v>9332216</v>
          </cell>
          <cell r="B21054">
            <v>123708</v>
          </cell>
          <cell r="C21054" t="str">
            <v>North Town Community Primary School</v>
          </cell>
          <cell r="D21054" t="str">
            <v>Somerset</v>
          </cell>
          <cell r="E21054" t="str">
            <v>Community School</v>
          </cell>
          <cell r="F21054" t="str">
            <v>Primary</v>
          </cell>
        </row>
        <row r="21055">
          <cell r="A21055">
            <v>9332216</v>
          </cell>
          <cell r="B21055">
            <v>137126</v>
          </cell>
          <cell r="C21055" t="str">
            <v>North Town Community Primary School</v>
          </cell>
          <cell r="D21055" t="str">
            <v>Somerset</v>
          </cell>
          <cell r="E21055" t="str">
            <v>Academy Converters</v>
          </cell>
          <cell r="F21055" t="str">
            <v>Primary</v>
          </cell>
        </row>
        <row r="21056">
          <cell r="A21056">
            <v>3588001</v>
          </cell>
          <cell r="B21056">
            <v>130520</v>
          </cell>
          <cell r="C21056" t="str">
            <v>North Trafford College of Further Education</v>
          </cell>
          <cell r="D21056" t="str">
            <v>Trafford</v>
          </cell>
          <cell r="E21056" t="str">
            <v>Further Education</v>
          </cell>
          <cell r="F21056" t="str">
            <v>16 Plus</v>
          </cell>
        </row>
        <row r="21057">
          <cell r="A21057">
            <v>3928000</v>
          </cell>
          <cell r="B21057">
            <v>130553</v>
          </cell>
          <cell r="C21057" t="str">
            <v>North Tyneside College</v>
          </cell>
          <cell r="D21057" t="str">
            <v>North Tyneside</v>
          </cell>
          <cell r="E21057" t="str">
            <v>Further Education</v>
          </cell>
          <cell r="F21057" t="str">
            <v>16 Plus</v>
          </cell>
        </row>
        <row r="21058">
          <cell r="A21058">
            <v>3526057</v>
          </cell>
          <cell r="B21058">
            <v>134138</v>
          </cell>
          <cell r="C21058" t="str">
            <v>North Vale School</v>
          </cell>
          <cell r="D21058" t="str">
            <v>Manchester</v>
          </cell>
          <cell r="E21058" t="str">
            <v>Other Independent Special School</v>
          </cell>
          <cell r="F21058" t="str">
            <v>Not applicable</v>
          </cell>
        </row>
        <row r="21059">
          <cell r="A21059">
            <v>6621100</v>
          </cell>
          <cell r="B21059">
            <v>401938</v>
          </cell>
          <cell r="C21059" t="str">
            <v>North Wales Adolescent Service (Nwas) School</v>
          </cell>
          <cell r="D21059" t="str">
            <v>Conwy</v>
          </cell>
          <cell r="E21059" t="str">
            <v>Welsh Establishment</v>
          </cell>
          <cell r="F21059" t="str">
            <v>Not applicable</v>
          </cell>
        </row>
        <row r="21060">
          <cell r="A21060">
            <v>3552088</v>
          </cell>
          <cell r="B21060">
            <v>105922</v>
          </cell>
          <cell r="C21060" t="str">
            <v>North Walkden Primary School</v>
          </cell>
          <cell r="D21060" t="str">
            <v>Salford</v>
          </cell>
          <cell r="E21060" t="str">
            <v>Community School</v>
          </cell>
          <cell r="F21060" t="str">
            <v>Primary</v>
          </cell>
        </row>
        <row r="21061">
          <cell r="A21061">
            <v>9092520</v>
          </cell>
          <cell r="B21061">
            <v>128578</v>
          </cell>
          <cell r="C21061" t="str">
            <v>North Walney Infant School</v>
          </cell>
          <cell r="D21061" t="str">
            <v>Cumbria</v>
          </cell>
          <cell r="E21061" t="str">
            <v>Community School</v>
          </cell>
          <cell r="F21061" t="str">
            <v>Primary</v>
          </cell>
        </row>
        <row r="21062">
          <cell r="A21062">
            <v>9092519</v>
          </cell>
          <cell r="B21062">
            <v>128577</v>
          </cell>
          <cell r="C21062" t="str">
            <v>North Walney Junior School</v>
          </cell>
          <cell r="D21062" t="str">
            <v>Cumbria</v>
          </cell>
          <cell r="E21062" t="str">
            <v>Community School</v>
          </cell>
          <cell r="F21062" t="str">
            <v>Primary</v>
          </cell>
        </row>
        <row r="21063">
          <cell r="A21063">
            <v>9092708</v>
          </cell>
          <cell r="B21063">
            <v>112240</v>
          </cell>
          <cell r="C21063" t="str">
            <v>North Walney Primary School</v>
          </cell>
          <cell r="D21063" t="str">
            <v>Cumbria</v>
          </cell>
          <cell r="E21063" t="str">
            <v>Community School</v>
          </cell>
          <cell r="F21063" t="str">
            <v>Primary</v>
          </cell>
        </row>
        <row r="21064">
          <cell r="A21064">
            <v>3352027</v>
          </cell>
          <cell r="B21064">
            <v>104159</v>
          </cell>
          <cell r="C21064" t="str">
            <v>North Walsall Infant School</v>
          </cell>
          <cell r="D21064" t="str">
            <v>Walsall</v>
          </cell>
          <cell r="E21064" t="str">
            <v>Community School</v>
          </cell>
          <cell r="F21064" t="str">
            <v>Primary</v>
          </cell>
        </row>
        <row r="21065">
          <cell r="A21065">
            <v>3352026</v>
          </cell>
          <cell r="B21065">
            <v>104158</v>
          </cell>
          <cell r="C21065" t="str">
            <v>North Walsall Junior School</v>
          </cell>
          <cell r="D21065" t="str">
            <v>Walsall</v>
          </cell>
          <cell r="E21065" t="str">
            <v>Community School</v>
          </cell>
          <cell r="F21065" t="str">
            <v>Primary</v>
          </cell>
        </row>
        <row r="21066">
          <cell r="A21066">
            <v>3352244</v>
          </cell>
          <cell r="B21066">
            <v>131434</v>
          </cell>
          <cell r="C21066" t="str">
            <v>North Walsall Primary School</v>
          </cell>
          <cell r="D21066" t="str">
            <v>Walsall</v>
          </cell>
          <cell r="E21066" t="str">
            <v>Community School</v>
          </cell>
          <cell r="F21066" t="str">
            <v>Primary</v>
          </cell>
        </row>
        <row r="21067">
          <cell r="A21067">
            <v>9264008</v>
          </cell>
          <cell r="B21067">
            <v>121154</v>
          </cell>
          <cell r="C21067" t="str">
            <v>North Walsham High School</v>
          </cell>
          <cell r="D21067" t="str">
            <v>Norfolk</v>
          </cell>
          <cell r="E21067" t="str">
            <v>Community School</v>
          </cell>
          <cell r="F21067" t="str">
            <v>Secondary</v>
          </cell>
        </row>
        <row r="21068">
          <cell r="A21068">
            <v>9262120</v>
          </cell>
          <cell r="B21068">
            <v>120837</v>
          </cell>
          <cell r="C21068" t="str">
            <v>North Walsham Infant School and Nursery</v>
          </cell>
          <cell r="D21068" t="str">
            <v>Norfolk</v>
          </cell>
          <cell r="E21068" t="str">
            <v>Community School</v>
          </cell>
          <cell r="F21068" t="str">
            <v>Primary</v>
          </cell>
        </row>
        <row r="21069">
          <cell r="A21069">
            <v>9262402</v>
          </cell>
          <cell r="B21069">
            <v>121009</v>
          </cell>
          <cell r="C21069" t="str">
            <v>North Walsham Junior School</v>
          </cell>
          <cell r="D21069" t="str">
            <v>Norfolk</v>
          </cell>
          <cell r="E21069" t="str">
            <v>Community School</v>
          </cell>
          <cell r="F21069" t="str">
            <v>Primary</v>
          </cell>
        </row>
        <row r="21070">
          <cell r="A21070">
            <v>8502148</v>
          </cell>
          <cell r="B21070">
            <v>115932</v>
          </cell>
          <cell r="C21070" t="str">
            <v>North Waltham Primary School</v>
          </cell>
          <cell r="D21070" t="str">
            <v>Hampshire</v>
          </cell>
          <cell r="E21070" t="str">
            <v>Community School</v>
          </cell>
          <cell r="F21070" t="str">
            <v>Primary</v>
          </cell>
        </row>
        <row r="21071">
          <cell r="A21071">
            <v>9378001</v>
          </cell>
          <cell r="B21071">
            <v>130836</v>
          </cell>
          <cell r="C21071" t="str">
            <v>North Warwickshire and Hinckley College</v>
          </cell>
          <cell r="D21071" t="str">
            <v>Warwickshire</v>
          </cell>
          <cell r="E21071" t="str">
            <v>Further Education</v>
          </cell>
          <cell r="F21071" t="str">
            <v>16 Plus</v>
          </cell>
        </row>
        <row r="21072">
          <cell r="A21072">
            <v>8861130</v>
          </cell>
          <cell r="B21072">
            <v>135840</v>
          </cell>
          <cell r="C21072" t="str">
            <v>North West Kent Behaviour Service</v>
          </cell>
          <cell r="D21072" t="str">
            <v>Kent</v>
          </cell>
          <cell r="E21072" t="str">
            <v>Pupil Referral Unit</v>
          </cell>
          <cell r="F21072" t="str">
            <v>PRU</v>
          </cell>
        </row>
        <row r="21073">
          <cell r="A21073">
            <v>8868007</v>
          </cell>
          <cell r="B21073">
            <v>130725</v>
          </cell>
          <cell r="C21073" t="str">
            <v>North West Kent College of Technology</v>
          </cell>
          <cell r="D21073" t="str">
            <v>Kent</v>
          </cell>
          <cell r="E21073" t="str">
            <v>Further Education</v>
          </cell>
          <cell r="F21073" t="str">
            <v>16 Plus</v>
          </cell>
        </row>
        <row r="21074">
          <cell r="A21074">
            <v>3076401</v>
          </cell>
          <cell r="B21074">
            <v>135794</v>
          </cell>
          <cell r="C21074" t="str">
            <v>North West London Independent Special School</v>
          </cell>
          <cell r="D21074" t="str">
            <v>Ealing</v>
          </cell>
          <cell r="E21074" t="str">
            <v>Other Independent Special School</v>
          </cell>
          <cell r="F21074" t="str">
            <v>Not applicable</v>
          </cell>
        </row>
        <row r="21075">
          <cell r="A21075">
            <v>3045201</v>
          </cell>
          <cell r="B21075">
            <v>101553</v>
          </cell>
          <cell r="C21075" t="str">
            <v>North West London Jewish Day School</v>
          </cell>
          <cell r="D21075" t="str">
            <v>Brent</v>
          </cell>
          <cell r="E21075" t="str">
            <v>Voluntary Aided School</v>
          </cell>
          <cell r="F21075" t="str">
            <v>Primary</v>
          </cell>
        </row>
        <row r="21076">
          <cell r="A21076">
            <v>9361128</v>
          </cell>
          <cell r="B21076">
            <v>135894</v>
          </cell>
          <cell r="C21076" t="str">
            <v>North West Secondary Short Stay School</v>
          </cell>
          <cell r="D21076" t="str">
            <v>Surrey</v>
          </cell>
          <cell r="E21076" t="str">
            <v>Pupil Referral Unit</v>
          </cell>
          <cell r="F21076" t="str">
            <v>PRU</v>
          </cell>
        </row>
        <row r="21077">
          <cell r="A21077">
            <v>3837073</v>
          </cell>
          <cell r="B21077">
            <v>134885</v>
          </cell>
          <cell r="C21077" t="str">
            <v>North West Specialist Inclusive Learning Centre</v>
          </cell>
          <cell r="D21077" t="str">
            <v>Leeds</v>
          </cell>
          <cell r="E21077" t="str">
            <v>Community Special School</v>
          </cell>
          <cell r="F21077" t="str">
            <v>Special</v>
          </cell>
        </row>
        <row r="21078">
          <cell r="A21078">
            <v>2134306</v>
          </cell>
          <cell r="B21078">
            <v>101150</v>
          </cell>
          <cell r="C21078" t="str">
            <v>North Westminster Community School</v>
          </cell>
          <cell r="D21078" t="str">
            <v>Westminster</v>
          </cell>
          <cell r="E21078" t="str">
            <v>Community School</v>
          </cell>
          <cell r="F21078" t="str">
            <v>Secondary</v>
          </cell>
        </row>
        <row r="21079">
          <cell r="A21079">
            <v>8913287</v>
          </cell>
          <cell r="B21079">
            <v>122772</v>
          </cell>
          <cell r="C21079" t="str">
            <v>North Wheatley Church of England Primary School</v>
          </cell>
          <cell r="D21079" t="str">
            <v>Nottinghamshire</v>
          </cell>
          <cell r="E21079" t="str">
            <v>Voluntary Controlled School</v>
          </cell>
          <cell r="F21079" t="str">
            <v>Primary</v>
          </cell>
        </row>
        <row r="21080">
          <cell r="A21080">
            <v>8302504</v>
          </cell>
          <cell r="B21080">
            <v>112769</v>
          </cell>
          <cell r="C21080" t="str">
            <v>North Wingfield Infant School</v>
          </cell>
          <cell r="D21080" t="str">
            <v>Derbyshire</v>
          </cell>
          <cell r="E21080" t="str">
            <v>Community School</v>
          </cell>
          <cell r="F21080" t="str">
            <v>Primary</v>
          </cell>
        </row>
        <row r="21081">
          <cell r="A21081">
            <v>8302183</v>
          </cell>
          <cell r="B21081">
            <v>112601</v>
          </cell>
          <cell r="C21081" t="str">
            <v>North Wingfield Junior School</v>
          </cell>
          <cell r="D21081" t="str">
            <v>Derbyshire</v>
          </cell>
          <cell r="E21081" t="str">
            <v>Community School</v>
          </cell>
          <cell r="F21081" t="str">
            <v>Primary</v>
          </cell>
        </row>
        <row r="21082">
          <cell r="A21082">
            <v>8303547</v>
          </cell>
          <cell r="B21082">
            <v>134139</v>
          </cell>
          <cell r="C21082" t="str">
            <v>North Wingfield Primary and Nursery School</v>
          </cell>
          <cell r="D21082" t="str">
            <v>Derbyshire</v>
          </cell>
          <cell r="E21082" t="str">
            <v>Community School</v>
          </cell>
          <cell r="F21082" t="str">
            <v>Primary</v>
          </cell>
        </row>
        <row r="21083">
          <cell r="A21083">
            <v>9262280</v>
          </cell>
          <cell r="B21083">
            <v>120921</v>
          </cell>
          <cell r="C21083" t="str">
            <v>North Wootton Community School</v>
          </cell>
          <cell r="D21083" t="str">
            <v>Norfolk</v>
          </cell>
          <cell r="E21083" t="str">
            <v>Community School</v>
          </cell>
          <cell r="F21083" t="str">
            <v>Primary</v>
          </cell>
        </row>
        <row r="21084">
          <cell r="A21084">
            <v>8154503</v>
          </cell>
          <cell r="B21084">
            <v>121710</v>
          </cell>
          <cell r="C21084" t="str">
            <v>Northallerton College</v>
          </cell>
          <cell r="D21084" t="str">
            <v>North Yorkshire</v>
          </cell>
          <cell r="E21084" t="str">
            <v>Voluntary Controlled School</v>
          </cell>
          <cell r="F21084" t="str">
            <v>Secondary</v>
          </cell>
        </row>
        <row r="21085">
          <cell r="A21085">
            <v>8522420</v>
          </cell>
          <cell r="B21085">
            <v>116100</v>
          </cell>
          <cell r="C21085" t="str">
            <v>Northam Primary School</v>
          </cell>
          <cell r="D21085" t="str">
            <v>Southampton</v>
          </cell>
          <cell r="E21085" t="str">
            <v>Community School</v>
          </cell>
          <cell r="F21085" t="str">
            <v>Primary</v>
          </cell>
        </row>
        <row r="21086">
          <cell r="A21086">
            <v>9286905</v>
          </cell>
          <cell r="B21086">
            <v>134814</v>
          </cell>
          <cell r="C21086" t="str">
            <v>Northampton Academy</v>
          </cell>
          <cell r="D21086" t="str">
            <v>Northamptonshire</v>
          </cell>
          <cell r="E21086" t="str">
            <v>Academy Sponsor Led</v>
          </cell>
          <cell r="F21086" t="str">
            <v>Secondary</v>
          </cell>
        </row>
        <row r="21087">
          <cell r="A21087">
            <v>9286066</v>
          </cell>
          <cell r="B21087">
            <v>130319</v>
          </cell>
          <cell r="C21087" t="str">
            <v>Northampton Christian School</v>
          </cell>
          <cell r="D21087" t="str">
            <v>Northamptonshire</v>
          </cell>
          <cell r="E21087" t="str">
            <v>Other Independent School</v>
          </cell>
          <cell r="F21087" t="str">
            <v>Not applicable</v>
          </cell>
        </row>
        <row r="21088">
          <cell r="A21088">
            <v>9288007</v>
          </cell>
          <cell r="B21088">
            <v>130769</v>
          </cell>
          <cell r="C21088" t="str">
            <v>Northampton College</v>
          </cell>
          <cell r="D21088" t="str">
            <v>Northamptonshire</v>
          </cell>
          <cell r="E21088" t="str">
            <v>Further Education</v>
          </cell>
          <cell r="F21088" t="str">
            <v>16 Plus</v>
          </cell>
        </row>
        <row r="21089">
          <cell r="A21089">
            <v>9286057</v>
          </cell>
          <cell r="B21089">
            <v>122144</v>
          </cell>
          <cell r="C21089" t="str">
            <v>Northampton High School</v>
          </cell>
          <cell r="D21089" t="str">
            <v>Northamptonshire</v>
          </cell>
          <cell r="E21089" t="str">
            <v>Other Independent School</v>
          </cell>
          <cell r="F21089" t="str">
            <v>Not applicable</v>
          </cell>
        </row>
        <row r="21090">
          <cell r="A21090">
            <v>9284100</v>
          </cell>
          <cell r="B21090">
            <v>131161</v>
          </cell>
          <cell r="C21090" t="str">
            <v>Northampton Middle School</v>
          </cell>
          <cell r="D21090" t="str">
            <v>Northamptonshire</v>
          </cell>
          <cell r="E21090" t="str">
            <v>Community School</v>
          </cell>
          <cell r="F21090" t="str">
            <v>Middle Deemed Secondary</v>
          </cell>
        </row>
        <row r="21091">
          <cell r="A21091">
            <v>9285404</v>
          </cell>
          <cell r="B21091">
            <v>122117</v>
          </cell>
          <cell r="C21091" t="str">
            <v>Northampton School for Boys</v>
          </cell>
          <cell r="D21091" t="str">
            <v>Northamptonshire</v>
          </cell>
          <cell r="E21091" t="str">
            <v>Foundation School</v>
          </cell>
          <cell r="F21091" t="str">
            <v>Secondary</v>
          </cell>
        </row>
        <row r="21092">
          <cell r="A21092">
            <v>9285404</v>
          </cell>
          <cell r="B21092">
            <v>136299</v>
          </cell>
          <cell r="C21092" t="str">
            <v>Northampton School for Boys</v>
          </cell>
          <cell r="D21092" t="str">
            <v>Northamptonshire</v>
          </cell>
          <cell r="E21092" t="str">
            <v>Academy Converters</v>
          </cell>
          <cell r="F21092" t="str">
            <v>Secondary</v>
          </cell>
        </row>
        <row r="21093">
          <cell r="A21093">
            <v>9284076</v>
          </cell>
          <cell r="B21093">
            <v>122083</v>
          </cell>
          <cell r="C21093" t="str">
            <v>Northampton School for Girls</v>
          </cell>
          <cell r="D21093" t="str">
            <v>Northamptonshire</v>
          </cell>
          <cell r="E21093" t="str">
            <v>Foundation School</v>
          </cell>
          <cell r="F21093" t="str">
            <v>Secondary</v>
          </cell>
        </row>
        <row r="21094">
          <cell r="A21094">
            <v>9195209</v>
          </cell>
          <cell r="B21094">
            <v>117569</v>
          </cell>
          <cell r="C21094" t="str">
            <v>Northaw Church of England Primary School</v>
          </cell>
          <cell r="D21094" t="str">
            <v>Hertfordshire</v>
          </cell>
          <cell r="E21094" t="str">
            <v>Voluntary Aided School</v>
          </cell>
          <cell r="F21094" t="str">
            <v>Primary</v>
          </cell>
        </row>
        <row r="21095">
          <cell r="A21095">
            <v>8742234</v>
          </cell>
          <cell r="B21095">
            <v>110700</v>
          </cell>
          <cell r="C21095" t="str">
            <v>Northborough Primary School</v>
          </cell>
          <cell r="D21095" t="str">
            <v>Peterborough</v>
          </cell>
          <cell r="E21095" t="str">
            <v>Community School</v>
          </cell>
          <cell r="F21095" t="str">
            <v>Primary</v>
          </cell>
        </row>
        <row r="21096">
          <cell r="A21096">
            <v>8863172</v>
          </cell>
          <cell r="B21096">
            <v>118689</v>
          </cell>
          <cell r="C21096" t="str">
            <v>Northbourne Church of England Primary School</v>
          </cell>
          <cell r="D21096" t="str">
            <v>Kent</v>
          </cell>
          <cell r="E21096" t="str">
            <v>Voluntary Controlled School</v>
          </cell>
          <cell r="F21096" t="str">
            <v>Primary</v>
          </cell>
        </row>
        <row r="21097">
          <cell r="A21097">
            <v>9313852</v>
          </cell>
          <cell r="B21097">
            <v>123221</v>
          </cell>
          <cell r="C21097" t="str">
            <v>Northbourne Church of England Primary School</v>
          </cell>
          <cell r="D21097" t="str">
            <v>Oxfordshire</v>
          </cell>
          <cell r="E21097" t="str">
            <v>Voluntary Aided School</v>
          </cell>
          <cell r="F21097" t="str">
            <v>Primary</v>
          </cell>
        </row>
        <row r="21098">
          <cell r="A21098">
            <v>8866004</v>
          </cell>
          <cell r="B21098">
            <v>118941</v>
          </cell>
          <cell r="C21098" t="str">
            <v>Northbourne Park School</v>
          </cell>
          <cell r="D21098" t="str">
            <v>Kent</v>
          </cell>
          <cell r="E21098" t="str">
            <v>Other Independent School</v>
          </cell>
          <cell r="F21098" t="str">
            <v>Not applicable</v>
          </cell>
        </row>
        <row r="21099">
          <cell r="A21099">
            <v>9388003</v>
          </cell>
          <cell r="B21099">
            <v>130842</v>
          </cell>
          <cell r="C21099" t="str">
            <v>Northbrook College, Sussex</v>
          </cell>
          <cell r="D21099" t="str">
            <v>West Sussex</v>
          </cell>
          <cell r="E21099" t="str">
            <v>Further Education</v>
          </cell>
          <cell r="F21099" t="str">
            <v>16 Plus</v>
          </cell>
        </row>
        <row r="21100">
          <cell r="A21100">
            <v>8882837</v>
          </cell>
          <cell r="B21100">
            <v>131674</v>
          </cell>
          <cell r="C21100" t="str">
            <v>Northbrook Primary School</v>
          </cell>
          <cell r="D21100" t="str">
            <v>Lancashire</v>
          </cell>
          <cell r="E21100" t="str">
            <v>Community School</v>
          </cell>
          <cell r="F21100" t="str">
            <v>Primary</v>
          </cell>
        </row>
        <row r="21101">
          <cell r="A21101">
            <v>3012014</v>
          </cell>
          <cell r="B21101">
            <v>101197</v>
          </cell>
          <cell r="C21101" t="str">
            <v>Northbury Infants' School</v>
          </cell>
          <cell r="D21101" t="str">
            <v>Barking and Dagenham</v>
          </cell>
          <cell r="E21101" t="str">
            <v>Community School</v>
          </cell>
          <cell r="F21101" t="str">
            <v>Primary</v>
          </cell>
        </row>
        <row r="21102">
          <cell r="A21102">
            <v>3012013</v>
          </cell>
          <cell r="B21102">
            <v>101196</v>
          </cell>
          <cell r="C21102" t="str">
            <v>Northbury Junior School</v>
          </cell>
          <cell r="D21102" t="str">
            <v>Barking and Dagenham</v>
          </cell>
          <cell r="E21102" t="str">
            <v>Community School</v>
          </cell>
          <cell r="F21102" t="str">
            <v>Primary</v>
          </cell>
        </row>
        <row r="21103">
          <cell r="A21103">
            <v>9382048</v>
          </cell>
          <cell r="B21103">
            <v>125846</v>
          </cell>
          <cell r="C21103" t="str">
            <v>Northchapel Community Primary School</v>
          </cell>
          <cell r="D21103" t="str">
            <v>West Sussex</v>
          </cell>
          <cell r="E21103" t="str">
            <v>Community School</v>
          </cell>
          <cell r="F21103" t="str">
            <v>Primary</v>
          </cell>
        </row>
        <row r="21104">
          <cell r="A21104">
            <v>9193315</v>
          </cell>
          <cell r="B21104">
            <v>117424</v>
          </cell>
          <cell r="C21104" t="str">
            <v>Northchurch St Mary's CofE First School</v>
          </cell>
          <cell r="D21104" t="str">
            <v>Hertfordshire</v>
          </cell>
          <cell r="E21104" t="str">
            <v>Voluntary Aided School</v>
          </cell>
          <cell r="F21104" t="str">
            <v>Primary</v>
          </cell>
        </row>
        <row r="21105">
          <cell r="A21105">
            <v>3714022</v>
          </cell>
          <cell r="B21105">
            <v>106783</v>
          </cell>
          <cell r="C21105" t="str">
            <v>Northcliffe School</v>
          </cell>
          <cell r="D21105" t="str">
            <v>Doncaster</v>
          </cell>
          <cell r="E21105" t="str">
            <v>Community School</v>
          </cell>
          <cell r="F21105" t="str">
            <v>Secondary</v>
          </cell>
        </row>
        <row r="21106">
          <cell r="A21106">
            <v>9176261</v>
          </cell>
          <cell r="B21106">
            <v>129059</v>
          </cell>
          <cell r="C21106" t="str">
            <v>Northcliffe School</v>
          </cell>
          <cell r="D21106" t="str">
            <v>Pre LGR (1997) Hampshire</v>
          </cell>
          <cell r="E21106" t="str">
            <v>Other Independent School</v>
          </cell>
          <cell r="F21106" t="str">
            <v>Not applicable</v>
          </cell>
        </row>
        <row r="21107">
          <cell r="A21107">
            <v>2126395</v>
          </cell>
          <cell r="B21107">
            <v>101089</v>
          </cell>
          <cell r="C21107" t="str">
            <v>Northcote Lodge School</v>
          </cell>
          <cell r="D21107" t="str">
            <v>Wandsworth</v>
          </cell>
          <cell r="E21107" t="str">
            <v>Other Independent School</v>
          </cell>
          <cell r="F21107" t="str">
            <v>Not applicable</v>
          </cell>
        </row>
        <row r="21108">
          <cell r="A21108">
            <v>3412110</v>
          </cell>
          <cell r="B21108">
            <v>104564</v>
          </cell>
          <cell r="C21108" t="str">
            <v>Northcote Primary School</v>
          </cell>
          <cell r="D21108" t="str">
            <v>Liverpool</v>
          </cell>
          <cell r="E21108" t="str">
            <v>Community School</v>
          </cell>
          <cell r="F21108" t="str">
            <v>Primary</v>
          </cell>
        </row>
        <row r="21109">
          <cell r="A21109">
            <v>8107000</v>
          </cell>
          <cell r="B21109">
            <v>118138</v>
          </cell>
          <cell r="C21109" t="str">
            <v>Northcott School</v>
          </cell>
          <cell r="D21109" t="str">
            <v>Kingston upon Hull City of</v>
          </cell>
          <cell r="E21109" t="str">
            <v>Community Special School</v>
          </cell>
          <cell r="F21109" t="str">
            <v>Special</v>
          </cell>
        </row>
        <row r="21110">
          <cell r="A21110">
            <v>8862100</v>
          </cell>
          <cell r="B21110">
            <v>118259</v>
          </cell>
          <cell r="C21110" t="str">
            <v>Northcourt Primary School</v>
          </cell>
          <cell r="D21110" t="str">
            <v>Kent</v>
          </cell>
          <cell r="E21110" t="str">
            <v>Community School</v>
          </cell>
          <cell r="F21110" t="str">
            <v>Primary</v>
          </cell>
        </row>
        <row r="21111">
          <cell r="A21111">
            <v>8862553</v>
          </cell>
          <cell r="B21111">
            <v>118512</v>
          </cell>
          <cell r="C21111" t="str">
            <v>Northdown Primary School</v>
          </cell>
          <cell r="D21111" t="str">
            <v>Kent</v>
          </cell>
          <cell r="E21111" t="str">
            <v>Community School</v>
          </cell>
          <cell r="F21111" t="str">
            <v>Primary</v>
          </cell>
        </row>
        <row r="21112">
          <cell r="A21112">
            <v>8456028</v>
          </cell>
          <cell r="B21112">
            <v>114645</v>
          </cell>
          <cell r="C21112" t="str">
            <v>Northease Manor School</v>
          </cell>
          <cell r="D21112" t="str">
            <v>East Sussex</v>
          </cell>
          <cell r="E21112" t="str">
            <v>Other Independent Special School</v>
          </cell>
          <cell r="F21112" t="str">
            <v>Not applicable</v>
          </cell>
        </row>
        <row r="21113">
          <cell r="A21113">
            <v>9372040</v>
          </cell>
          <cell r="B21113">
            <v>125518</v>
          </cell>
          <cell r="C21113" t="str">
            <v>Northend Junior and Infant School</v>
          </cell>
          <cell r="D21113" t="str">
            <v>Warwickshire</v>
          </cell>
          <cell r="E21113" t="str">
            <v>Community School</v>
          </cell>
          <cell r="F21113" t="str">
            <v>Primary</v>
          </cell>
        </row>
        <row r="21114">
          <cell r="A21114">
            <v>3522186</v>
          </cell>
          <cell r="B21114">
            <v>105434</v>
          </cell>
          <cell r="C21114" t="str">
            <v>Northenden Community School</v>
          </cell>
          <cell r="D21114" t="str">
            <v>Manchester</v>
          </cell>
          <cell r="E21114" t="str">
            <v>Community School</v>
          </cell>
          <cell r="F21114" t="str">
            <v>Primary</v>
          </cell>
        </row>
        <row r="21115">
          <cell r="A21115">
            <v>9371101</v>
          </cell>
          <cell r="B21115">
            <v>130144</v>
          </cell>
          <cell r="C21115" t="str">
            <v>Northern Area Pupil Referral Unit</v>
          </cell>
          <cell r="D21115" t="str">
            <v>Warwickshire</v>
          </cell>
          <cell r="E21115" t="str">
            <v>Pupil Referral Unit</v>
          </cell>
          <cell r="F21115" t="str">
            <v>PRU</v>
          </cell>
        </row>
        <row r="21116">
          <cell r="A21116">
            <v>3708290</v>
          </cell>
          <cell r="B21116">
            <v>130525</v>
          </cell>
          <cell r="C21116" t="str">
            <v>Northern College for Residential Adult Education Limited</v>
          </cell>
          <cell r="D21116" t="str">
            <v>Barnsley</v>
          </cell>
          <cell r="E21116" t="str">
            <v>Further Education</v>
          </cell>
          <cell r="F21116" t="str">
            <v>16 Plus</v>
          </cell>
        </row>
        <row r="21117">
          <cell r="A21117">
            <v>3917904</v>
          </cell>
          <cell r="B21117">
            <v>131946</v>
          </cell>
          <cell r="C21117" t="str">
            <v>Northern Counties College</v>
          </cell>
          <cell r="D21117" t="str">
            <v>Newcastle upon Tyne</v>
          </cell>
          <cell r="E21117" t="str">
            <v>Special College</v>
          </cell>
          <cell r="F21117" t="str">
            <v>16 Plus</v>
          </cell>
        </row>
        <row r="21118">
          <cell r="A21118">
            <v>3917004</v>
          </cell>
          <cell r="B21118">
            <v>108551</v>
          </cell>
          <cell r="C21118" t="str">
            <v>Northern Counties School</v>
          </cell>
          <cell r="D21118" t="str">
            <v>Newcastle upon Tyne</v>
          </cell>
          <cell r="E21118" t="str">
            <v>Non-Maintained Special School</v>
          </cell>
          <cell r="F21118" t="str">
            <v>Special</v>
          </cell>
        </row>
        <row r="21119">
          <cell r="A21119">
            <v>3737029</v>
          </cell>
          <cell r="B21119">
            <v>127731</v>
          </cell>
          <cell r="C21119" t="str">
            <v>Northern General Hospital School</v>
          </cell>
          <cell r="D21119" t="str">
            <v>Sheffield</v>
          </cell>
          <cell r="E21119" t="str">
            <v>Community Special School</v>
          </cell>
          <cell r="F21119" t="str">
            <v>Special</v>
          </cell>
        </row>
        <row r="21120">
          <cell r="A21120">
            <v>9317016</v>
          </cell>
          <cell r="B21120">
            <v>123336</v>
          </cell>
          <cell r="C21120" t="str">
            <v>Northern House School</v>
          </cell>
          <cell r="D21120" t="str">
            <v>Oxfordshire</v>
          </cell>
          <cell r="E21120" t="str">
            <v>Community Special School</v>
          </cell>
          <cell r="F21120" t="str">
            <v>Special</v>
          </cell>
        </row>
        <row r="21121">
          <cell r="A21121">
            <v>8502309</v>
          </cell>
          <cell r="B21121">
            <v>116030</v>
          </cell>
          <cell r="C21121" t="str">
            <v>Northern Infant School</v>
          </cell>
          <cell r="D21121" t="str">
            <v>Hampshire</v>
          </cell>
          <cell r="E21121" t="str">
            <v>Community School</v>
          </cell>
          <cell r="F21121" t="str">
            <v>Primary</v>
          </cell>
        </row>
        <row r="21122">
          <cell r="A21122">
            <v>8502161</v>
          </cell>
          <cell r="B21122">
            <v>115935</v>
          </cell>
          <cell r="C21122" t="str">
            <v>Northern Junior Community School</v>
          </cell>
          <cell r="D21122" t="str">
            <v>Hampshire</v>
          </cell>
          <cell r="E21122" t="str">
            <v>Community School</v>
          </cell>
          <cell r="F21122" t="str">
            <v>Primary</v>
          </cell>
        </row>
        <row r="21123">
          <cell r="A21123">
            <v>8512659</v>
          </cell>
          <cell r="B21123">
            <v>116191</v>
          </cell>
          <cell r="C21123" t="str">
            <v>Northern Parade Infant School</v>
          </cell>
          <cell r="D21123" t="str">
            <v>Portsmouth</v>
          </cell>
          <cell r="E21123" t="str">
            <v>Community School</v>
          </cell>
          <cell r="F21123" t="str">
            <v>Primary</v>
          </cell>
        </row>
        <row r="21124">
          <cell r="A21124">
            <v>8512658</v>
          </cell>
          <cell r="B21124">
            <v>116190</v>
          </cell>
          <cell r="C21124" t="str">
            <v>Northern Parade Junior School</v>
          </cell>
          <cell r="D21124" t="str">
            <v>Portsmouth</v>
          </cell>
          <cell r="E21124" t="str">
            <v>Community School</v>
          </cell>
          <cell r="F21124" t="str">
            <v>Primary</v>
          </cell>
        </row>
        <row r="21125">
          <cell r="A21125">
            <v>8882111</v>
          </cell>
          <cell r="B21125">
            <v>119190</v>
          </cell>
          <cell r="C21125" t="str">
            <v>Northern Primary School</v>
          </cell>
          <cell r="D21125" t="str">
            <v>Lancashire</v>
          </cell>
          <cell r="E21125" t="str">
            <v>Community School</v>
          </cell>
          <cell r="F21125" t="str">
            <v>Primary</v>
          </cell>
        </row>
        <row r="21126">
          <cell r="A21126">
            <v>3838152</v>
          </cell>
          <cell r="B21126">
            <v>132857</v>
          </cell>
          <cell r="C21126" t="str">
            <v>Northern School of Contemporary Dance</v>
          </cell>
          <cell r="D21126" t="str">
            <v>Leeds</v>
          </cell>
          <cell r="E21126" t="str">
            <v>Miscellaneous</v>
          </cell>
          <cell r="F21126" t="str">
            <v>Not applicable</v>
          </cell>
        </row>
        <row r="21127">
          <cell r="A21127">
            <v>8562261</v>
          </cell>
          <cell r="B21127">
            <v>120020</v>
          </cell>
          <cell r="C21127" t="str">
            <v>Northfield House Primary School</v>
          </cell>
          <cell r="D21127" t="str">
            <v>Leicester</v>
          </cell>
          <cell r="E21127" t="str">
            <v>Community School</v>
          </cell>
          <cell r="F21127" t="str">
            <v>Primary</v>
          </cell>
        </row>
        <row r="21128">
          <cell r="A21128">
            <v>8912101</v>
          </cell>
          <cell r="B21128">
            <v>122448</v>
          </cell>
          <cell r="C21128" t="str">
            <v>Northfield Infant and Nursery School</v>
          </cell>
          <cell r="D21128" t="str">
            <v>Nottinghamshire</v>
          </cell>
          <cell r="E21128" t="str">
            <v>Community School</v>
          </cell>
          <cell r="F21128" t="str">
            <v>Primary</v>
          </cell>
        </row>
        <row r="21129">
          <cell r="A21129">
            <v>8112889</v>
          </cell>
          <cell r="B21129">
            <v>117916</v>
          </cell>
          <cell r="C21129" t="str">
            <v>Northfield Infant School</v>
          </cell>
          <cell r="D21129" t="str">
            <v>East Riding of Yorkshire</v>
          </cell>
          <cell r="E21129" t="str">
            <v>Community School</v>
          </cell>
          <cell r="F21129" t="str">
            <v>Primary</v>
          </cell>
        </row>
        <row r="21130">
          <cell r="A21130">
            <v>9072013</v>
          </cell>
          <cell r="B21130">
            <v>128489</v>
          </cell>
          <cell r="C21130" t="str">
            <v>Northfield Infant School</v>
          </cell>
          <cell r="D21130" t="str">
            <v>Pre LGR (1996) Cleveland</v>
          </cell>
          <cell r="E21130" t="str">
            <v>Community School</v>
          </cell>
          <cell r="F21130" t="str">
            <v>Primary</v>
          </cell>
        </row>
        <row r="21131">
          <cell r="A21131">
            <v>8302332</v>
          </cell>
          <cell r="B21131">
            <v>112685</v>
          </cell>
          <cell r="C21131" t="str">
            <v>Northfield Junior School</v>
          </cell>
          <cell r="D21131" t="str">
            <v>Derbyshire</v>
          </cell>
          <cell r="E21131" t="str">
            <v>Community School</v>
          </cell>
          <cell r="F21131" t="str">
            <v>Primary</v>
          </cell>
        </row>
        <row r="21132">
          <cell r="A21132">
            <v>8912100</v>
          </cell>
          <cell r="B21132">
            <v>122447</v>
          </cell>
          <cell r="C21132" t="str">
            <v>Northfield Junior School</v>
          </cell>
          <cell r="D21132" t="str">
            <v>Nottinghamshire</v>
          </cell>
          <cell r="E21132" t="str">
            <v>Community School</v>
          </cell>
          <cell r="F21132" t="str">
            <v>Primary</v>
          </cell>
        </row>
        <row r="21133">
          <cell r="A21133">
            <v>3302263</v>
          </cell>
          <cell r="B21133">
            <v>103304</v>
          </cell>
          <cell r="C21133" t="str">
            <v>Northfield Manor Primary School</v>
          </cell>
          <cell r="D21133" t="str">
            <v>Birmingham</v>
          </cell>
          <cell r="E21133" t="str">
            <v>Community School</v>
          </cell>
          <cell r="F21133" t="str">
            <v>Primary</v>
          </cell>
        </row>
        <row r="21134">
          <cell r="A21134">
            <v>3714038</v>
          </cell>
          <cell r="B21134">
            <v>106793</v>
          </cell>
          <cell r="C21134" t="str">
            <v>Northfield Middle School</v>
          </cell>
          <cell r="D21134" t="str">
            <v>Doncaster</v>
          </cell>
          <cell r="E21134" t="str">
            <v>Community School</v>
          </cell>
          <cell r="F21134" t="str">
            <v>Middle Deemed Secondary</v>
          </cell>
        </row>
        <row r="21135">
          <cell r="A21135">
            <v>3844040</v>
          </cell>
          <cell r="B21135">
            <v>108290</v>
          </cell>
          <cell r="C21135" t="str">
            <v>Northfield Middle School</v>
          </cell>
          <cell r="D21135" t="str">
            <v>Wakefield</v>
          </cell>
          <cell r="E21135" t="str">
            <v>Community School</v>
          </cell>
          <cell r="F21135" t="str">
            <v>Middle Deemed Secondary</v>
          </cell>
        </row>
        <row r="21136">
          <cell r="A21136">
            <v>8913293</v>
          </cell>
          <cell r="B21136">
            <v>132770</v>
          </cell>
          <cell r="C21136" t="str">
            <v>Northfield Primary and Nursery School</v>
          </cell>
          <cell r="D21136" t="str">
            <v>Nottinghamshire</v>
          </cell>
          <cell r="E21136" t="str">
            <v>Community School</v>
          </cell>
          <cell r="F21136" t="str">
            <v>Primary</v>
          </cell>
        </row>
        <row r="21137">
          <cell r="A21137">
            <v>3842189</v>
          </cell>
          <cell r="B21137">
            <v>130859</v>
          </cell>
          <cell r="C21137" t="str">
            <v>Northfield Primary School: With Communication Resource</v>
          </cell>
          <cell r="D21137" t="str">
            <v>Wakefield</v>
          </cell>
          <cell r="E21137" t="str">
            <v>Community School</v>
          </cell>
          <cell r="F21137" t="str">
            <v>Primary</v>
          </cell>
        </row>
        <row r="21138">
          <cell r="A21138">
            <v>3322012</v>
          </cell>
          <cell r="B21138">
            <v>103775</v>
          </cell>
          <cell r="C21138" t="str">
            <v>Northfield Road Primary School</v>
          </cell>
          <cell r="D21138" t="str">
            <v>Dudley</v>
          </cell>
          <cell r="E21138" t="str">
            <v>Community School</v>
          </cell>
          <cell r="F21138" t="str">
            <v>Primary</v>
          </cell>
        </row>
        <row r="21139">
          <cell r="A21139">
            <v>9196044</v>
          </cell>
          <cell r="B21139">
            <v>117619</v>
          </cell>
          <cell r="C21139" t="str">
            <v>Northfield School</v>
          </cell>
          <cell r="D21139" t="str">
            <v>Hertfordshire</v>
          </cell>
          <cell r="E21139" t="str">
            <v>Other Independent School</v>
          </cell>
          <cell r="F21139" t="str">
            <v>Not applicable</v>
          </cell>
        </row>
        <row r="21140">
          <cell r="A21140">
            <v>8167005</v>
          </cell>
          <cell r="B21140">
            <v>121767</v>
          </cell>
          <cell r="C21140" t="str">
            <v>Northfield School</v>
          </cell>
          <cell r="D21140" t="str">
            <v>York</v>
          </cell>
          <cell r="E21140" t="str">
            <v>Community Special School</v>
          </cell>
          <cell r="F21140" t="str">
            <v>Special</v>
          </cell>
        </row>
        <row r="21141">
          <cell r="A21141">
            <v>9317031</v>
          </cell>
          <cell r="B21141">
            <v>123346</v>
          </cell>
          <cell r="C21141" t="str">
            <v>Northfield School</v>
          </cell>
          <cell r="D21141" t="str">
            <v>Oxfordshire</v>
          </cell>
          <cell r="E21141" t="str">
            <v>Community Special School</v>
          </cell>
          <cell r="F21141" t="str">
            <v>Special</v>
          </cell>
        </row>
        <row r="21142">
          <cell r="A21142">
            <v>3407001</v>
          </cell>
          <cell r="B21142">
            <v>127249</v>
          </cell>
          <cell r="C21142" t="str">
            <v>Northfield School</v>
          </cell>
          <cell r="D21142" t="str">
            <v>Knowsley</v>
          </cell>
          <cell r="E21142" t="str">
            <v>Community Special School</v>
          </cell>
          <cell r="F21142" t="str">
            <v>Special</v>
          </cell>
        </row>
        <row r="21143">
          <cell r="A21143">
            <v>8084102</v>
          </cell>
          <cell r="B21143">
            <v>111731</v>
          </cell>
          <cell r="C21143" t="str">
            <v>Northfield School and Sports College</v>
          </cell>
          <cell r="D21143" t="str">
            <v>Stockton-on-Tees</v>
          </cell>
          <cell r="E21143" t="str">
            <v>Community School</v>
          </cell>
          <cell r="F21143" t="str">
            <v>Secondary</v>
          </cell>
        </row>
        <row r="21144">
          <cell r="A21144">
            <v>9352139</v>
          </cell>
          <cell r="B21144">
            <v>124632</v>
          </cell>
          <cell r="C21144" t="str">
            <v>Northfield St Nicholas Primary School</v>
          </cell>
          <cell r="D21144" t="str">
            <v>Suffolk</v>
          </cell>
          <cell r="E21144" t="str">
            <v>Community School</v>
          </cell>
          <cell r="F21144" t="str">
            <v>Primary</v>
          </cell>
        </row>
        <row r="21145">
          <cell r="A21145">
            <v>9331114</v>
          </cell>
          <cell r="B21145">
            <v>134699</v>
          </cell>
          <cell r="C21145" t="str">
            <v>Northfields Education Centre</v>
          </cell>
          <cell r="D21145" t="str">
            <v>Somerset</v>
          </cell>
          <cell r="E21145" t="str">
            <v>Pupil Referral Unit</v>
          </cell>
          <cell r="F21145" t="str">
            <v>PRU</v>
          </cell>
        </row>
        <row r="21146">
          <cell r="A21146">
            <v>9262319</v>
          </cell>
          <cell r="B21146">
            <v>120956</v>
          </cell>
          <cell r="C21146" t="str">
            <v>Northfields First and Nursery School, Norwich</v>
          </cell>
          <cell r="D21146" t="str">
            <v>Norfolk</v>
          </cell>
          <cell r="E21146" t="str">
            <v>Community School</v>
          </cell>
          <cell r="F21146" t="str">
            <v>Primary</v>
          </cell>
        </row>
        <row r="21147">
          <cell r="A21147">
            <v>9192228</v>
          </cell>
          <cell r="B21147">
            <v>117223</v>
          </cell>
          <cell r="C21147" t="str">
            <v>Northfields Infants and Nursery School</v>
          </cell>
          <cell r="D21147" t="str">
            <v>Hertfordshire</v>
          </cell>
          <cell r="E21147" t="str">
            <v>Community School</v>
          </cell>
          <cell r="F21147" t="str">
            <v>Primary</v>
          </cell>
        </row>
        <row r="21148">
          <cell r="A21148">
            <v>9376103</v>
          </cell>
          <cell r="B21148">
            <v>134511</v>
          </cell>
          <cell r="C21148" t="str">
            <v>Northfields School</v>
          </cell>
          <cell r="D21148" t="str">
            <v>Warwickshire</v>
          </cell>
          <cell r="E21148" t="str">
            <v>Other Independent School</v>
          </cell>
          <cell r="F21148" t="str">
            <v>Not applicable</v>
          </cell>
        </row>
        <row r="21149">
          <cell r="A21149">
            <v>9224240</v>
          </cell>
          <cell r="B21149">
            <v>129438</v>
          </cell>
          <cell r="C21149" t="str">
            <v>Northfleet Grammar School</v>
          </cell>
          <cell r="D21149" t="str">
            <v>Pre LGR (1998) Kent</v>
          </cell>
          <cell r="E21149" t="str">
            <v>Community School</v>
          </cell>
          <cell r="F21149" t="str">
            <v>Secondary</v>
          </cell>
        </row>
        <row r="21150">
          <cell r="A21150">
            <v>8861001</v>
          </cell>
          <cell r="B21150">
            <v>118229</v>
          </cell>
          <cell r="C21150" t="str">
            <v>Northfleet Nursery School</v>
          </cell>
          <cell r="D21150" t="str">
            <v>Kent</v>
          </cell>
          <cell r="E21150" t="str">
            <v>LA Nursery School</v>
          </cell>
          <cell r="F21150" t="str">
            <v>Nursery</v>
          </cell>
        </row>
        <row r="21151">
          <cell r="A21151">
            <v>8864040</v>
          </cell>
          <cell r="B21151">
            <v>118788</v>
          </cell>
          <cell r="C21151" t="str">
            <v>Northfleet School for Girls</v>
          </cell>
          <cell r="D21151" t="str">
            <v>Kent</v>
          </cell>
          <cell r="E21151" t="str">
            <v>Foundation School</v>
          </cell>
          <cell r="F21151" t="str">
            <v>Secondary</v>
          </cell>
        </row>
        <row r="21152">
          <cell r="A21152">
            <v>8865456</v>
          </cell>
          <cell r="B21152">
            <v>118928</v>
          </cell>
          <cell r="C21152" t="str">
            <v>Northfleet Technology College</v>
          </cell>
          <cell r="D21152" t="str">
            <v>Kent</v>
          </cell>
          <cell r="E21152" t="str">
            <v>Foundation School</v>
          </cell>
          <cell r="F21152" t="str">
            <v>Secondary</v>
          </cell>
        </row>
        <row r="21153">
          <cell r="A21153">
            <v>8882492</v>
          </cell>
          <cell r="B21153">
            <v>119290</v>
          </cell>
          <cell r="C21153" t="str">
            <v>Northfold Community Primary School</v>
          </cell>
          <cell r="D21153" t="str">
            <v>Lancashire</v>
          </cell>
          <cell r="E21153" t="str">
            <v>Community School</v>
          </cell>
          <cell r="F21153" t="str">
            <v>Primary</v>
          </cell>
        </row>
        <row r="21154">
          <cell r="A21154">
            <v>9382149</v>
          </cell>
          <cell r="B21154">
            <v>125897</v>
          </cell>
          <cell r="C21154" t="str">
            <v>Northgate First School</v>
          </cell>
          <cell r="D21154" t="str">
            <v>West Sussex</v>
          </cell>
          <cell r="E21154" t="str">
            <v>Community School</v>
          </cell>
          <cell r="F21154" t="str">
            <v>Primary</v>
          </cell>
        </row>
        <row r="21155">
          <cell r="A21155">
            <v>9264002</v>
          </cell>
          <cell r="B21155">
            <v>121151</v>
          </cell>
          <cell r="C21155" t="str">
            <v>Northgate High School</v>
          </cell>
          <cell r="D21155" t="str">
            <v>Norfolk</v>
          </cell>
          <cell r="E21155" t="str">
            <v>Community School</v>
          </cell>
          <cell r="F21155" t="str">
            <v>Secondary</v>
          </cell>
        </row>
        <row r="21156">
          <cell r="A21156">
            <v>9354090</v>
          </cell>
          <cell r="B21156">
            <v>124840</v>
          </cell>
          <cell r="C21156" t="str">
            <v>Northgate High School</v>
          </cell>
          <cell r="D21156" t="str">
            <v>Suffolk</v>
          </cell>
          <cell r="E21156" t="str">
            <v>Community School</v>
          </cell>
          <cell r="F21156" t="str">
            <v>Secondary</v>
          </cell>
        </row>
        <row r="21157">
          <cell r="A21157">
            <v>9386055</v>
          </cell>
          <cell r="B21157">
            <v>126117</v>
          </cell>
          <cell r="C21157" t="str">
            <v>Northgate House School</v>
          </cell>
          <cell r="D21157" t="str">
            <v>West Sussex</v>
          </cell>
          <cell r="E21157" t="str">
            <v>Other Independent School</v>
          </cell>
          <cell r="F21157" t="str">
            <v>Not applicable</v>
          </cell>
        </row>
        <row r="21158">
          <cell r="A21158">
            <v>8072017</v>
          </cell>
          <cell r="B21158">
            <v>111532</v>
          </cell>
          <cell r="C21158" t="str">
            <v>Northgate Junior School</v>
          </cell>
          <cell r="D21158" t="str">
            <v>Redcar and Cleveland</v>
          </cell>
          <cell r="E21158" t="str">
            <v>Community School</v>
          </cell>
          <cell r="F21158" t="str">
            <v>Primary</v>
          </cell>
        </row>
        <row r="21159">
          <cell r="A21159">
            <v>6636038</v>
          </cell>
          <cell r="B21159">
            <v>401977</v>
          </cell>
          <cell r="C21159" t="str">
            <v>Northgate Preparatory School</v>
          </cell>
          <cell r="D21159" t="str">
            <v>Denbighshire</v>
          </cell>
          <cell r="E21159" t="str">
            <v>Welsh Establishment</v>
          </cell>
          <cell r="F21159" t="str">
            <v>Not applicable</v>
          </cell>
        </row>
        <row r="21160">
          <cell r="A21160">
            <v>9382160</v>
          </cell>
          <cell r="B21160">
            <v>125904</v>
          </cell>
          <cell r="C21160" t="str">
            <v>Northgate Primary</v>
          </cell>
          <cell r="D21160" t="str">
            <v>West Sussex</v>
          </cell>
          <cell r="E21160" t="str">
            <v>Community School</v>
          </cell>
          <cell r="F21160" t="str">
            <v>Middle Deemed Primary</v>
          </cell>
        </row>
        <row r="21161">
          <cell r="A21161">
            <v>8922081</v>
          </cell>
          <cell r="B21161">
            <v>122428</v>
          </cell>
          <cell r="C21161" t="str">
            <v>Northgate Primary and Nursery School</v>
          </cell>
          <cell r="D21161" t="str">
            <v>Nottingham</v>
          </cell>
          <cell r="E21161" t="str">
            <v>Community School</v>
          </cell>
          <cell r="F21161" t="str">
            <v>Primary</v>
          </cell>
        </row>
        <row r="21162">
          <cell r="A21162">
            <v>8922081</v>
          </cell>
          <cell r="B21162">
            <v>137182</v>
          </cell>
          <cell r="C21162" t="str">
            <v>Northgate Primary and Nursery School</v>
          </cell>
          <cell r="D21162" t="str">
            <v>Nottingham</v>
          </cell>
          <cell r="E21162" t="str">
            <v>Academy Converters</v>
          </cell>
          <cell r="F21162" t="str">
            <v>Primary</v>
          </cell>
        </row>
        <row r="21163">
          <cell r="A21163">
            <v>9192009</v>
          </cell>
          <cell r="B21163">
            <v>117085</v>
          </cell>
          <cell r="C21163" t="str">
            <v>Northgate Primary School</v>
          </cell>
          <cell r="D21163" t="str">
            <v>Hertfordshire</v>
          </cell>
          <cell r="E21163" t="str">
            <v>Community School</v>
          </cell>
          <cell r="F21163" t="str">
            <v>Primary</v>
          </cell>
        </row>
        <row r="21164">
          <cell r="A21164">
            <v>9383364</v>
          </cell>
          <cell r="B21164">
            <v>133973</v>
          </cell>
          <cell r="C21164" t="str">
            <v>Northgate Primary School</v>
          </cell>
          <cell r="D21164" t="str">
            <v>West Sussex</v>
          </cell>
          <cell r="E21164" t="str">
            <v>Community School</v>
          </cell>
          <cell r="F21164" t="str">
            <v>Primary</v>
          </cell>
        </row>
        <row r="21165">
          <cell r="A21165">
            <v>3021102</v>
          </cell>
          <cell r="B21165">
            <v>133749</v>
          </cell>
          <cell r="C21165" t="str">
            <v>Northgate School</v>
          </cell>
          <cell r="D21165" t="str">
            <v>Barnet</v>
          </cell>
          <cell r="E21165" t="str">
            <v>Pupil Referral Unit</v>
          </cell>
          <cell r="F21165" t="str">
            <v>PRU</v>
          </cell>
        </row>
        <row r="21166">
          <cell r="A21166">
            <v>9287017</v>
          </cell>
          <cell r="B21166">
            <v>122161</v>
          </cell>
          <cell r="C21166" t="str">
            <v>Northgate School Arts College</v>
          </cell>
          <cell r="D21166" t="str">
            <v>Northamptonshire</v>
          </cell>
          <cell r="E21166" t="str">
            <v>Community Special School</v>
          </cell>
          <cell r="F21166" t="str">
            <v>Special</v>
          </cell>
        </row>
        <row r="21167">
          <cell r="A21167">
            <v>9287017</v>
          </cell>
          <cell r="B21167">
            <v>137354</v>
          </cell>
          <cell r="C21167" t="str">
            <v>Northgate School Arts College</v>
          </cell>
          <cell r="D21167" t="str">
            <v>Northamptonshire</v>
          </cell>
          <cell r="E21167" t="str">
            <v>Academy Converters</v>
          </cell>
          <cell r="F21167" t="str">
            <v>Not applicable</v>
          </cell>
        </row>
        <row r="21168">
          <cell r="A21168">
            <v>9262354</v>
          </cell>
          <cell r="B21168">
            <v>120981</v>
          </cell>
          <cell r="C21168" t="str">
            <v>Northgate St Andrews First School, Great Yarmouth</v>
          </cell>
          <cell r="D21168" t="str">
            <v>Norfolk</v>
          </cell>
          <cell r="E21168" t="str">
            <v>Community School</v>
          </cell>
          <cell r="F21168" t="str">
            <v>Primary</v>
          </cell>
        </row>
        <row r="21169">
          <cell r="A21169">
            <v>8453047</v>
          </cell>
          <cell r="B21169">
            <v>114516</v>
          </cell>
          <cell r="C21169" t="str">
            <v>Northiam Church of England Primary School</v>
          </cell>
          <cell r="D21169" t="str">
            <v>East Sussex</v>
          </cell>
          <cell r="E21169" t="str">
            <v>Voluntary Controlled School</v>
          </cell>
          <cell r="F21169" t="str">
            <v>Primary</v>
          </cell>
        </row>
        <row r="21170">
          <cell r="A21170">
            <v>8233323</v>
          </cell>
          <cell r="B21170">
            <v>109621</v>
          </cell>
          <cell r="C21170" t="str">
            <v>Northill CofE VA Lower School</v>
          </cell>
          <cell r="D21170" t="str">
            <v>Central Bedfordshire</v>
          </cell>
          <cell r="E21170" t="str">
            <v>Voluntary Aided School</v>
          </cell>
          <cell r="F21170" t="str">
            <v>Primary</v>
          </cell>
        </row>
        <row r="21171">
          <cell r="A21171">
            <v>9234051</v>
          </cell>
          <cell r="B21171">
            <v>129492</v>
          </cell>
          <cell r="C21171" t="str">
            <v>Northlands High School</v>
          </cell>
          <cell r="D21171" t="str">
            <v>Pre LGR (1998) Lancashire</v>
          </cell>
          <cell r="E21171" t="str">
            <v>Community School</v>
          </cell>
          <cell r="F21171" t="str">
            <v>Secondary</v>
          </cell>
        </row>
        <row r="21172">
          <cell r="A21172">
            <v>8812786</v>
          </cell>
          <cell r="B21172">
            <v>114995</v>
          </cell>
          <cell r="C21172" t="str">
            <v>Northlands Infant School and Nursery</v>
          </cell>
          <cell r="D21172" t="str">
            <v>Essex</v>
          </cell>
          <cell r="E21172" t="str">
            <v>Community School</v>
          </cell>
          <cell r="F21172" t="str">
            <v>Primary</v>
          </cell>
        </row>
        <row r="21173">
          <cell r="A21173">
            <v>8815203</v>
          </cell>
          <cell r="B21173">
            <v>115243</v>
          </cell>
          <cell r="C21173" t="str">
            <v>Northlands Junior School</v>
          </cell>
          <cell r="D21173" t="str">
            <v>Essex</v>
          </cell>
          <cell r="E21173" t="str">
            <v>Foundation School</v>
          </cell>
          <cell r="F21173" t="str">
            <v>Primary</v>
          </cell>
        </row>
        <row r="21174">
          <cell r="A21174">
            <v>9372417</v>
          </cell>
          <cell r="B21174">
            <v>125576</v>
          </cell>
          <cell r="C21174" t="str">
            <v>Northlands Primary School</v>
          </cell>
          <cell r="D21174" t="str">
            <v>Warwickshire</v>
          </cell>
          <cell r="E21174" t="str">
            <v>Community School</v>
          </cell>
          <cell r="F21174" t="str">
            <v>Primary</v>
          </cell>
        </row>
        <row r="21175">
          <cell r="A21175">
            <v>9382223</v>
          </cell>
          <cell r="B21175">
            <v>125948</v>
          </cell>
          <cell r="C21175" t="str">
            <v>Northlands Wood Community Primary School</v>
          </cell>
          <cell r="D21175" t="str">
            <v>West Sussex</v>
          </cell>
          <cell r="E21175" t="str">
            <v>Community School</v>
          </cell>
          <cell r="F21175" t="str">
            <v>Primary</v>
          </cell>
        </row>
        <row r="21176">
          <cell r="A21176">
            <v>9163056</v>
          </cell>
          <cell r="B21176">
            <v>115641</v>
          </cell>
          <cell r="C21176" t="str">
            <v>Northleach Church of England Primary School</v>
          </cell>
          <cell r="D21176" t="str">
            <v>Gloucestershire</v>
          </cell>
          <cell r="E21176" t="str">
            <v>Voluntary Controlled School</v>
          </cell>
          <cell r="F21176" t="str">
            <v>Primary</v>
          </cell>
        </row>
        <row r="21177">
          <cell r="A21177">
            <v>8023095</v>
          </cell>
          <cell r="B21177">
            <v>109198</v>
          </cell>
          <cell r="C21177" t="str">
            <v>Northleaze Church of England Primary School</v>
          </cell>
          <cell r="D21177" t="str">
            <v>North Somerset</v>
          </cell>
          <cell r="E21177" t="str">
            <v>Voluntary Controlled School</v>
          </cell>
          <cell r="F21177" t="str">
            <v>Primary</v>
          </cell>
        </row>
        <row r="21178">
          <cell r="A21178">
            <v>8853210</v>
          </cell>
          <cell r="B21178">
            <v>116863</v>
          </cell>
          <cell r="C21178" t="str">
            <v>Northleigh CofE Primary School</v>
          </cell>
          <cell r="D21178" t="str">
            <v>Worcestershire</v>
          </cell>
          <cell r="E21178" t="str">
            <v>Voluntary Controlled School</v>
          </cell>
          <cell r="F21178" t="str">
            <v>Primary</v>
          </cell>
        </row>
        <row r="21179">
          <cell r="A21179">
            <v>8783157</v>
          </cell>
          <cell r="B21179">
            <v>113414</v>
          </cell>
          <cell r="C21179" t="str">
            <v>Northlew and Ashbury Parochial Church of England Primary School</v>
          </cell>
          <cell r="D21179" t="str">
            <v>Devon</v>
          </cell>
          <cell r="E21179" t="str">
            <v>Voluntary Controlled School</v>
          </cell>
          <cell r="F21179" t="str">
            <v>Primary</v>
          </cell>
        </row>
        <row r="21180">
          <cell r="A21180">
            <v>9365212</v>
          </cell>
          <cell r="B21180">
            <v>125294</v>
          </cell>
          <cell r="C21180" t="str">
            <v>Northmead Junior School</v>
          </cell>
          <cell r="D21180" t="str">
            <v>Surrey</v>
          </cell>
          <cell r="E21180" t="str">
            <v>Foundation School</v>
          </cell>
          <cell r="F21180" t="str">
            <v>Primary</v>
          </cell>
        </row>
        <row r="21181">
          <cell r="A21181">
            <v>9332174</v>
          </cell>
          <cell r="B21181">
            <v>123688</v>
          </cell>
          <cell r="C21181" t="str">
            <v>Northmoor Green Primary School</v>
          </cell>
          <cell r="D21181" t="str">
            <v>Somerset</v>
          </cell>
          <cell r="E21181" t="str">
            <v>Community School</v>
          </cell>
          <cell r="F21181" t="str">
            <v>Primary</v>
          </cell>
        </row>
        <row r="21182">
          <cell r="A21182">
            <v>9256669</v>
          </cell>
          <cell r="B21182">
            <v>135733</v>
          </cell>
          <cell r="C21182" t="str">
            <v>Northmoor Primary School - Lincoln Campus</v>
          </cell>
          <cell r="D21182" t="str">
            <v>Lincolnshire</v>
          </cell>
          <cell r="E21182" t="str">
            <v>Other Independent School</v>
          </cell>
          <cell r="F21182" t="str">
            <v>Not applicable</v>
          </cell>
        </row>
        <row r="21183">
          <cell r="A21183">
            <v>8116007</v>
          </cell>
          <cell r="B21183">
            <v>134589</v>
          </cell>
          <cell r="C21183" t="str">
            <v>Northmoor School</v>
          </cell>
          <cell r="D21183" t="str">
            <v>East Riding of Yorkshire</v>
          </cell>
          <cell r="E21183" t="str">
            <v>Other Independent School</v>
          </cell>
          <cell r="F21183" t="str">
            <v>Not applicable</v>
          </cell>
        </row>
        <row r="21184">
          <cell r="A21184">
            <v>9382036</v>
          </cell>
          <cell r="B21184">
            <v>125836</v>
          </cell>
          <cell r="C21184" t="str">
            <v>Northolmes Junior School, Horsham</v>
          </cell>
          <cell r="D21184" t="str">
            <v>West Sussex</v>
          </cell>
          <cell r="E21184" t="str">
            <v>Community School</v>
          </cell>
          <cell r="F21184" t="str">
            <v>Primary</v>
          </cell>
        </row>
        <row r="21185">
          <cell r="A21185">
            <v>3075404</v>
          </cell>
          <cell r="B21185">
            <v>101943</v>
          </cell>
          <cell r="C21185" t="str">
            <v>Northolt High School</v>
          </cell>
          <cell r="D21185" t="str">
            <v>Ealing</v>
          </cell>
          <cell r="E21185" t="str">
            <v>Foundation School</v>
          </cell>
          <cell r="F21185" t="str">
            <v>Secondary</v>
          </cell>
        </row>
        <row r="21186">
          <cell r="A21186">
            <v>3072048</v>
          </cell>
          <cell r="B21186">
            <v>101872</v>
          </cell>
          <cell r="C21186" t="str">
            <v>Northolt Park Infant School</v>
          </cell>
          <cell r="D21186" t="str">
            <v>Ealing</v>
          </cell>
          <cell r="E21186" t="str">
            <v>Community School</v>
          </cell>
          <cell r="F21186" t="str">
            <v>Primary</v>
          </cell>
        </row>
        <row r="21187">
          <cell r="A21187">
            <v>3072047</v>
          </cell>
          <cell r="B21187">
            <v>101871</v>
          </cell>
          <cell r="C21187" t="str">
            <v>Northolt Primary School</v>
          </cell>
          <cell r="D21187" t="str">
            <v>Ealing</v>
          </cell>
          <cell r="E21187" t="str">
            <v>Community School</v>
          </cell>
          <cell r="F21187" t="str">
            <v>Primary</v>
          </cell>
        </row>
        <row r="21188">
          <cell r="A21188">
            <v>6642032</v>
          </cell>
          <cell r="B21188">
            <v>400333</v>
          </cell>
          <cell r="C21188" t="str">
            <v>Northop Hall C.P. School</v>
          </cell>
          <cell r="D21188" t="str">
            <v>Flintshire</v>
          </cell>
          <cell r="E21188" t="str">
            <v>Welsh Establishment</v>
          </cell>
          <cell r="F21188" t="str">
            <v>Primary</v>
          </cell>
        </row>
        <row r="21189">
          <cell r="A21189">
            <v>3812015</v>
          </cell>
          <cell r="B21189">
            <v>107486</v>
          </cell>
          <cell r="C21189" t="str">
            <v>Northowram Primary School</v>
          </cell>
          <cell r="D21189" t="str">
            <v>Calderdale</v>
          </cell>
          <cell r="E21189" t="str">
            <v>Community School</v>
          </cell>
          <cell r="F21189" t="str">
            <v>Primary</v>
          </cell>
        </row>
        <row r="21190">
          <cell r="A21190">
            <v>9262119</v>
          </cell>
          <cell r="B21190">
            <v>120836</v>
          </cell>
          <cell r="C21190" t="str">
            <v>Northrepps Primary School</v>
          </cell>
          <cell r="D21190" t="str">
            <v>Norfolk</v>
          </cell>
          <cell r="E21190" t="str">
            <v>Community School</v>
          </cell>
          <cell r="F21190" t="str">
            <v>Primary</v>
          </cell>
        </row>
        <row r="21191">
          <cell r="A21191">
            <v>3022045</v>
          </cell>
          <cell r="B21191">
            <v>101296</v>
          </cell>
          <cell r="C21191" t="str">
            <v>Northside Primary School</v>
          </cell>
          <cell r="D21191" t="str">
            <v>Barnet</v>
          </cell>
          <cell r="E21191" t="str">
            <v>Community School</v>
          </cell>
          <cell r="F21191" t="str">
            <v>Primary</v>
          </cell>
        </row>
        <row r="21192">
          <cell r="A21192">
            <v>9092136</v>
          </cell>
          <cell r="B21192">
            <v>112142</v>
          </cell>
          <cell r="C21192" t="str">
            <v>Northside Primary School</v>
          </cell>
          <cell r="D21192" t="str">
            <v>Cumbria</v>
          </cell>
          <cell r="E21192" t="str">
            <v>Community School</v>
          </cell>
          <cell r="F21192" t="str">
            <v>Primary</v>
          </cell>
        </row>
        <row r="21193">
          <cell r="A21193">
            <v>9296906</v>
          </cell>
          <cell r="B21193">
            <v>135886</v>
          </cell>
          <cell r="C21193" t="str">
            <v>Northumberland CofE Academy</v>
          </cell>
          <cell r="D21193" t="str">
            <v>Northumberland</v>
          </cell>
          <cell r="E21193" t="str">
            <v>Academy Sponsor Led</v>
          </cell>
          <cell r="F21193" t="str">
            <v>Not applicable</v>
          </cell>
        </row>
        <row r="21194">
          <cell r="A21194">
            <v>9298000</v>
          </cell>
          <cell r="B21194">
            <v>130773</v>
          </cell>
          <cell r="C21194" t="str">
            <v>Northumberland College</v>
          </cell>
          <cell r="D21194" t="str">
            <v>Northumberland</v>
          </cell>
          <cell r="E21194" t="str">
            <v>Further Education</v>
          </cell>
          <cell r="F21194" t="str">
            <v>16 Plus</v>
          </cell>
        </row>
        <row r="21195">
          <cell r="A21195">
            <v>3032037</v>
          </cell>
          <cell r="B21195">
            <v>126749</v>
          </cell>
          <cell r="C21195" t="str">
            <v>Northumberland Heath Infant School</v>
          </cell>
          <cell r="D21195" t="str">
            <v>Bexley</v>
          </cell>
          <cell r="E21195" t="str">
            <v>Community School</v>
          </cell>
          <cell r="F21195" t="str">
            <v>Primary</v>
          </cell>
        </row>
        <row r="21196">
          <cell r="A21196">
            <v>3032036</v>
          </cell>
          <cell r="B21196">
            <v>126748</v>
          </cell>
          <cell r="C21196" t="str">
            <v>Northumberland Heath Junior School</v>
          </cell>
          <cell r="D21196" t="str">
            <v>Bexley</v>
          </cell>
          <cell r="E21196" t="str">
            <v>Community School</v>
          </cell>
          <cell r="F21196" t="str">
            <v>Primary</v>
          </cell>
        </row>
        <row r="21197">
          <cell r="A21197">
            <v>3032081</v>
          </cell>
          <cell r="B21197">
            <v>101447</v>
          </cell>
          <cell r="C21197" t="str">
            <v>Northumberland Heath Primary School</v>
          </cell>
          <cell r="D21197" t="str">
            <v>Bexley</v>
          </cell>
          <cell r="E21197" t="str">
            <v>Community School</v>
          </cell>
          <cell r="F21197" t="str">
            <v>Primary</v>
          </cell>
        </row>
        <row r="21198">
          <cell r="A21198">
            <v>3032081</v>
          </cell>
          <cell r="B21198">
            <v>137380</v>
          </cell>
          <cell r="C21198" t="str">
            <v>Northumberland Heath Primary School</v>
          </cell>
          <cell r="D21198" t="str">
            <v>Bexley</v>
          </cell>
          <cell r="E21198" t="str">
            <v>Academy Converters</v>
          </cell>
          <cell r="F21198" t="str">
            <v>Primary</v>
          </cell>
        </row>
        <row r="21199">
          <cell r="A21199">
            <v>3094031</v>
          </cell>
          <cell r="B21199">
            <v>102155</v>
          </cell>
          <cell r="C21199" t="str">
            <v>Northumberland Park Community School</v>
          </cell>
          <cell r="D21199" t="str">
            <v>Haringey</v>
          </cell>
          <cell r="E21199" t="str">
            <v>Community School</v>
          </cell>
          <cell r="F21199" t="str">
            <v>Secondary</v>
          </cell>
        </row>
        <row r="21200">
          <cell r="A21200">
            <v>9291100</v>
          </cell>
          <cell r="B21200">
            <v>132130</v>
          </cell>
          <cell r="C21200" t="str">
            <v>Northumberland Pupil Referral Unit</v>
          </cell>
          <cell r="D21200" t="str">
            <v>Northumberland</v>
          </cell>
          <cell r="E21200" t="str">
            <v>Pupil Referral Unit</v>
          </cell>
          <cell r="F21200" t="str">
            <v>PRU</v>
          </cell>
        </row>
        <row r="21201">
          <cell r="A21201">
            <v>3042034</v>
          </cell>
          <cell r="B21201">
            <v>101508</v>
          </cell>
          <cell r="C21201" t="str">
            <v>Northview Junior and Infant School</v>
          </cell>
          <cell r="D21201" t="str">
            <v>Brent</v>
          </cell>
          <cell r="E21201" t="str">
            <v>Community School</v>
          </cell>
          <cell r="F21201" t="str">
            <v>Primary</v>
          </cell>
        </row>
        <row r="21202">
          <cell r="A21202">
            <v>8662206</v>
          </cell>
          <cell r="B21202">
            <v>126277</v>
          </cell>
          <cell r="C21202" t="str">
            <v>Northview Primary School</v>
          </cell>
          <cell r="D21202" t="str">
            <v>Swindon</v>
          </cell>
          <cell r="E21202" t="str">
            <v>Community School</v>
          </cell>
          <cell r="F21202" t="str">
            <v>Primary</v>
          </cell>
        </row>
        <row r="21203">
          <cell r="A21203">
            <v>9162119</v>
          </cell>
          <cell r="B21203">
            <v>115563</v>
          </cell>
          <cell r="C21203" t="str">
            <v>Northway Infant School</v>
          </cell>
          <cell r="D21203" t="str">
            <v>Gloucestershire</v>
          </cell>
          <cell r="E21203" t="str">
            <v>Community School</v>
          </cell>
          <cell r="F21203" t="str">
            <v>Primary</v>
          </cell>
        </row>
        <row r="21204">
          <cell r="A21204">
            <v>3412114</v>
          </cell>
          <cell r="B21204">
            <v>127271</v>
          </cell>
          <cell r="C21204" t="str">
            <v>Northway Infant School</v>
          </cell>
          <cell r="D21204" t="str">
            <v>Liverpool</v>
          </cell>
          <cell r="E21204" t="str">
            <v>Community School</v>
          </cell>
          <cell r="F21204" t="str">
            <v>Primary</v>
          </cell>
        </row>
        <row r="21205">
          <cell r="A21205">
            <v>3412113</v>
          </cell>
          <cell r="B21205">
            <v>104565</v>
          </cell>
          <cell r="C21205" t="str">
            <v>Northway Primary and Nursery School</v>
          </cell>
          <cell r="D21205" t="str">
            <v>Liverpool</v>
          </cell>
          <cell r="E21205" t="str">
            <v>Community School</v>
          </cell>
          <cell r="F21205" t="str">
            <v>Primary</v>
          </cell>
        </row>
        <row r="21206">
          <cell r="A21206">
            <v>3432067</v>
          </cell>
          <cell r="B21206">
            <v>104879</v>
          </cell>
          <cell r="C21206" t="str">
            <v>Northway Primary School</v>
          </cell>
          <cell r="D21206" t="str">
            <v>Sefton</v>
          </cell>
          <cell r="E21206" t="str">
            <v>Community School</v>
          </cell>
          <cell r="F21206" t="str">
            <v>Primary</v>
          </cell>
        </row>
        <row r="21207">
          <cell r="A21207">
            <v>3027005</v>
          </cell>
          <cell r="B21207">
            <v>101395</v>
          </cell>
          <cell r="C21207" t="str">
            <v>Northway School</v>
          </cell>
          <cell r="D21207" t="str">
            <v>Barnet</v>
          </cell>
          <cell r="E21207" t="str">
            <v>Community Special School</v>
          </cell>
          <cell r="F21207" t="str">
            <v>Special</v>
          </cell>
        </row>
        <row r="21208">
          <cell r="A21208">
            <v>3837066</v>
          </cell>
          <cell r="B21208">
            <v>108127</v>
          </cell>
          <cell r="C21208" t="str">
            <v>Northways School</v>
          </cell>
          <cell r="D21208" t="str">
            <v>Leeds</v>
          </cell>
          <cell r="E21208" t="str">
            <v>Community Special School</v>
          </cell>
          <cell r="F21208" t="str">
            <v>Special</v>
          </cell>
        </row>
        <row r="21209">
          <cell r="A21209">
            <v>3837038</v>
          </cell>
          <cell r="B21209">
            <v>128061</v>
          </cell>
          <cell r="C21209" t="str">
            <v>Northways School</v>
          </cell>
          <cell r="D21209" t="str">
            <v>Leeds</v>
          </cell>
          <cell r="E21209" t="str">
            <v>Community Special School</v>
          </cell>
          <cell r="F21209" t="str">
            <v>Special</v>
          </cell>
        </row>
        <row r="21210">
          <cell r="A21210">
            <v>8856037</v>
          </cell>
          <cell r="B21210">
            <v>134569</v>
          </cell>
          <cell r="C21210" t="str">
            <v>Northwick Education</v>
          </cell>
          <cell r="D21210" t="str">
            <v>Worcestershire</v>
          </cell>
          <cell r="E21210" t="str">
            <v>Other Independent School</v>
          </cell>
          <cell r="F21210" t="str">
            <v>Not applicable</v>
          </cell>
        </row>
        <row r="21211">
          <cell r="A21211">
            <v>8853401</v>
          </cell>
          <cell r="B21211">
            <v>135523</v>
          </cell>
          <cell r="C21211" t="str">
            <v>Northwick Manor Primary School</v>
          </cell>
          <cell r="D21211" t="str">
            <v>Worcestershire</v>
          </cell>
          <cell r="E21211" t="str">
            <v>Community School</v>
          </cell>
          <cell r="F21211" t="str">
            <v>Primary</v>
          </cell>
        </row>
        <row r="21212">
          <cell r="A21212">
            <v>8815209</v>
          </cell>
          <cell r="B21212">
            <v>115249</v>
          </cell>
          <cell r="C21212" t="str">
            <v>Northwick Park Infant and Nursery School</v>
          </cell>
          <cell r="D21212" t="str">
            <v>Essex</v>
          </cell>
          <cell r="E21212" t="str">
            <v>Foundation School</v>
          </cell>
          <cell r="F21212" t="str">
            <v>Primary</v>
          </cell>
        </row>
        <row r="21213">
          <cell r="A21213">
            <v>8815210</v>
          </cell>
          <cell r="B21213">
            <v>115250</v>
          </cell>
          <cell r="C21213" t="str">
            <v>Northwick Park Junior School</v>
          </cell>
          <cell r="D21213" t="str">
            <v>Essex</v>
          </cell>
          <cell r="E21213" t="str">
            <v>Foundation School</v>
          </cell>
          <cell r="F21213" t="str">
            <v>Primary</v>
          </cell>
        </row>
        <row r="21214">
          <cell r="A21214">
            <v>8813834</v>
          </cell>
          <cell r="B21214">
            <v>131346</v>
          </cell>
          <cell r="C21214" t="str">
            <v>Northwick Park Primary School</v>
          </cell>
          <cell r="D21214" t="str">
            <v>Essex</v>
          </cell>
          <cell r="E21214" t="str">
            <v>Foundation School</v>
          </cell>
          <cell r="F21214" t="str">
            <v>Primary</v>
          </cell>
        </row>
        <row r="21215">
          <cell r="A21215">
            <v>2042443</v>
          </cell>
          <cell r="B21215">
            <v>126601</v>
          </cell>
          <cell r="C21215" t="str">
            <v>Northwold Infants' School</v>
          </cell>
          <cell r="D21215" t="str">
            <v>Hackney</v>
          </cell>
          <cell r="E21215" t="str">
            <v>Community School</v>
          </cell>
          <cell r="F21215" t="str">
            <v>Primary</v>
          </cell>
        </row>
        <row r="21216">
          <cell r="A21216">
            <v>2042442</v>
          </cell>
          <cell r="B21216">
            <v>126600</v>
          </cell>
          <cell r="C21216" t="str">
            <v>Northwold Junior School</v>
          </cell>
          <cell r="D21216" t="str">
            <v>Hackney</v>
          </cell>
          <cell r="E21216" t="str">
            <v>Community School</v>
          </cell>
          <cell r="F21216" t="str">
            <v>Primary</v>
          </cell>
        </row>
        <row r="21217">
          <cell r="A21217">
            <v>2042444</v>
          </cell>
          <cell r="B21217">
            <v>100233</v>
          </cell>
          <cell r="C21217" t="str">
            <v>Northwold Primary School</v>
          </cell>
          <cell r="D21217" t="str">
            <v>Hackney</v>
          </cell>
          <cell r="E21217" t="str">
            <v>Community School</v>
          </cell>
          <cell r="F21217" t="str">
            <v>Primary</v>
          </cell>
        </row>
        <row r="21218">
          <cell r="A21218">
            <v>8611002</v>
          </cell>
          <cell r="B21218">
            <v>123948</v>
          </cell>
          <cell r="C21218" t="str">
            <v>Northwood and Broom Community Nursery School</v>
          </cell>
          <cell r="D21218" t="str">
            <v>Stoke-on-Trent</v>
          </cell>
          <cell r="E21218" t="str">
            <v>LA Nursery School</v>
          </cell>
          <cell r="F21218" t="str">
            <v>Nursery</v>
          </cell>
        </row>
        <row r="21219">
          <cell r="A21219">
            <v>8612050</v>
          </cell>
          <cell r="B21219">
            <v>123995</v>
          </cell>
          <cell r="C21219" t="str">
            <v>Northwood Broom Community School</v>
          </cell>
          <cell r="D21219" t="str">
            <v>Stoke-on-Trent</v>
          </cell>
          <cell r="E21219" t="str">
            <v>Community School</v>
          </cell>
          <cell r="F21219" t="str">
            <v>Primary</v>
          </cell>
        </row>
        <row r="21220">
          <cell r="A21220">
            <v>8861103</v>
          </cell>
          <cell r="B21220">
            <v>118233</v>
          </cell>
          <cell r="C21220" t="str">
            <v>Northwood Centre</v>
          </cell>
          <cell r="D21220" t="str">
            <v>Kent</v>
          </cell>
          <cell r="E21220" t="str">
            <v>Pupil Referral Unit</v>
          </cell>
          <cell r="F21220" t="str">
            <v>PRU</v>
          </cell>
        </row>
        <row r="21221">
          <cell r="A21221">
            <v>3126001</v>
          </cell>
          <cell r="B21221">
            <v>102452</v>
          </cell>
          <cell r="C21221" t="str">
            <v>Northwood College</v>
          </cell>
          <cell r="D21221" t="str">
            <v>Hillingdon</v>
          </cell>
          <cell r="E21221" t="str">
            <v>Other Independent School</v>
          </cell>
          <cell r="F21221" t="str">
            <v>Not applicable</v>
          </cell>
        </row>
        <row r="21222">
          <cell r="A21222">
            <v>3403364</v>
          </cell>
          <cell r="B21222">
            <v>135807</v>
          </cell>
          <cell r="C21222" t="str">
            <v>Northwood Community Primary School</v>
          </cell>
          <cell r="D21222" t="str">
            <v>Knowsley</v>
          </cell>
          <cell r="E21222" t="str">
            <v>Community School</v>
          </cell>
          <cell r="F21222" t="str">
            <v>Primary</v>
          </cell>
        </row>
        <row r="21223">
          <cell r="A21223">
            <v>8611007</v>
          </cell>
          <cell r="B21223">
            <v>123953</v>
          </cell>
          <cell r="C21223" t="str">
            <v>Northwood Nursery School</v>
          </cell>
          <cell r="D21223" t="str">
            <v>Stoke-on-Trent</v>
          </cell>
          <cell r="E21223" t="str">
            <v>LA Nursery School</v>
          </cell>
          <cell r="F21223" t="str">
            <v>Nursery</v>
          </cell>
        </row>
        <row r="21224">
          <cell r="A21224">
            <v>3363317</v>
          </cell>
          <cell r="B21224">
            <v>134720</v>
          </cell>
          <cell r="C21224" t="str">
            <v>Northwood Park Primary School</v>
          </cell>
          <cell r="D21224" t="str">
            <v>Wolverhampton</v>
          </cell>
          <cell r="E21224" t="str">
            <v>Community School</v>
          </cell>
          <cell r="F21224" t="str">
            <v>Primary</v>
          </cell>
        </row>
        <row r="21225">
          <cell r="A21225">
            <v>9196225</v>
          </cell>
          <cell r="B21225">
            <v>117651</v>
          </cell>
          <cell r="C21225" t="str">
            <v>Northwood Preparatory School</v>
          </cell>
          <cell r="D21225" t="str">
            <v>Hertfordshire</v>
          </cell>
          <cell r="E21225" t="str">
            <v>Other Independent School</v>
          </cell>
          <cell r="F21225" t="str">
            <v>Not applicable</v>
          </cell>
        </row>
        <row r="21226">
          <cell r="A21226">
            <v>3032065</v>
          </cell>
          <cell r="B21226">
            <v>101441</v>
          </cell>
          <cell r="C21226" t="str">
            <v>Northwood Primary School</v>
          </cell>
          <cell r="D21226" t="str">
            <v>Bexley</v>
          </cell>
          <cell r="E21226" t="str">
            <v>Community School</v>
          </cell>
          <cell r="F21226" t="str">
            <v>Primary</v>
          </cell>
        </row>
        <row r="21227">
          <cell r="A21227">
            <v>8412660</v>
          </cell>
          <cell r="B21227">
            <v>114175</v>
          </cell>
          <cell r="C21227" t="str">
            <v>Northwood Primary School</v>
          </cell>
          <cell r="D21227" t="str">
            <v>Darlington</v>
          </cell>
          <cell r="E21227" t="str">
            <v>Community School</v>
          </cell>
          <cell r="F21227" t="str">
            <v>Primary</v>
          </cell>
        </row>
        <row r="21228">
          <cell r="A21228">
            <v>9212016</v>
          </cell>
          <cell r="B21228">
            <v>118166</v>
          </cell>
          <cell r="C21228" t="str">
            <v>Northwood Primary School</v>
          </cell>
          <cell r="D21228" t="str">
            <v>Isle of Wight</v>
          </cell>
          <cell r="E21228" t="str">
            <v>Community School</v>
          </cell>
          <cell r="F21228" t="str">
            <v>Primary</v>
          </cell>
        </row>
        <row r="21229">
          <cell r="A21229">
            <v>3125405</v>
          </cell>
          <cell r="B21229">
            <v>102445</v>
          </cell>
          <cell r="C21229" t="str">
            <v>Northwood School</v>
          </cell>
          <cell r="D21229" t="str">
            <v>Hillingdon</v>
          </cell>
          <cell r="E21229" t="str">
            <v>Foundation School</v>
          </cell>
          <cell r="F21229" t="str">
            <v>Secondary</v>
          </cell>
        </row>
        <row r="21230">
          <cell r="A21230">
            <v>9183080</v>
          </cell>
          <cell r="B21230">
            <v>129083</v>
          </cell>
          <cell r="C21230" t="str">
            <v>Norton and Lenchwick CofE First School</v>
          </cell>
          <cell r="D21230" t="str">
            <v>Pre LGR (1998) Hereford &amp; Worcester</v>
          </cell>
          <cell r="E21230" t="str">
            <v>Voluntary Controlled School</v>
          </cell>
          <cell r="F21230" t="str">
            <v>Primary</v>
          </cell>
        </row>
        <row r="21231">
          <cell r="A21231">
            <v>8604066</v>
          </cell>
          <cell r="B21231">
            <v>124395</v>
          </cell>
          <cell r="C21231" t="str">
            <v>Norton Canes High School</v>
          </cell>
          <cell r="D21231" t="str">
            <v>Staffordshire</v>
          </cell>
          <cell r="E21231" t="str">
            <v>Community School</v>
          </cell>
          <cell r="F21231" t="str">
            <v>Secondary</v>
          </cell>
        </row>
        <row r="21232">
          <cell r="A21232">
            <v>8602169</v>
          </cell>
          <cell r="B21232">
            <v>124064</v>
          </cell>
          <cell r="C21232" t="str">
            <v>Norton Canes Primary School</v>
          </cell>
          <cell r="D21232" t="str">
            <v>Staffordshire</v>
          </cell>
          <cell r="E21232" t="str">
            <v>Community School</v>
          </cell>
          <cell r="F21232" t="str">
            <v>Primary</v>
          </cell>
        </row>
        <row r="21233">
          <cell r="A21233">
            <v>9183364</v>
          </cell>
          <cell r="B21233">
            <v>129086</v>
          </cell>
          <cell r="C21233" t="str">
            <v>Norton Canon Primary School</v>
          </cell>
          <cell r="D21233" t="str">
            <v>Pre LGR (1998) Hereford &amp; Worcester</v>
          </cell>
          <cell r="E21233" t="str">
            <v>Voluntary Aided School</v>
          </cell>
          <cell r="F21233" t="str">
            <v>Primary</v>
          </cell>
        </row>
        <row r="21234">
          <cell r="A21234">
            <v>9353049</v>
          </cell>
          <cell r="B21234">
            <v>124710</v>
          </cell>
          <cell r="C21234" t="str">
            <v>Norton CEVC Primary School</v>
          </cell>
          <cell r="D21234" t="str">
            <v>Suffolk</v>
          </cell>
          <cell r="E21234" t="str">
            <v>Voluntary Controlled School</v>
          </cell>
          <cell r="F21234" t="str">
            <v>Primary</v>
          </cell>
        </row>
        <row r="21235">
          <cell r="A21235">
            <v>9163057</v>
          </cell>
          <cell r="B21235">
            <v>115642</v>
          </cell>
          <cell r="C21235" t="str">
            <v>Norton Church of England Primary School</v>
          </cell>
          <cell r="D21235" t="str">
            <v>Gloucestershire</v>
          </cell>
          <cell r="E21235" t="str">
            <v>Voluntary Controlled School</v>
          </cell>
          <cell r="F21235" t="str">
            <v>Primary</v>
          </cell>
        </row>
        <row r="21236">
          <cell r="A21236">
            <v>8154152</v>
          </cell>
          <cell r="B21236">
            <v>121683</v>
          </cell>
          <cell r="C21236" t="str">
            <v>Norton College</v>
          </cell>
          <cell r="D21236" t="str">
            <v>North Yorkshire</v>
          </cell>
          <cell r="E21236" t="str">
            <v>Community School</v>
          </cell>
          <cell r="F21236" t="str">
            <v>Secondary</v>
          </cell>
        </row>
        <row r="21237">
          <cell r="A21237">
            <v>8856040</v>
          </cell>
          <cell r="B21237">
            <v>136262</v>
          </cell>
          <cell r="C21237" t="str">
            <v>Norton College</v>
          </cell>
          <cell r="D21237" t="str">
            <v>Worcestershire</v>
          </cell>
          <cell r="E21237" t="str">
            <v>Other Independent Special School</v>
          </cell>
          <cell r="F21237" t="str">
            <v>Not applicable</v>
          </cell>
        </row>
        <row r="21238">
          <cell r="A21238">
            <v>8154152</v>
          </cell>
          <cell r="B21238">
            <v>136728</v>
          </cell>
          <cell r="C21238" t="str">
            <v>Norton College</v>
          </cell>
          <cell r="D21238" t="str">
            <v>North Yorkshire</v>
          </cell>
          <cell r="E21238" t="str">
            <v>Academy Converters</v>
          </cell>
          <cell r="F21238" t="str">
            <v>Secondary</v>
          </cell>
        </row>
        <row r="21239">
          <cell r="A21239">
            <v>8152408</v>
          </cell>
          <cell r="B21239">
            <v>121456</v>
          </cell>
          <cell r="C21239" t="str">
            <v>Norton Community Primary School</v>
          </cell>
          <cell r="D21239" t="str">
            <v>North Yorkshire</v>
          </cell>
          <cell r="E21239" t="str">
            <v>Community School</v>
          </cell>
          <cell r="F21239" t="str">
            <v>Primary</v>
          </cell>
        </row>
        <row r="21240">
          <cell r="A21240">
            <v>9333184</v>
          </cell>
          <cell r="B21240">
            <v>123798</v>
          </cell>
          <cell r="C21240" t="str">
            <v>Norton Fitzwarren Church of England Voluntary Controlled Community School</v>
          </cell>
          <cell r="D21240" t="str">
            <v>Somerset</v>
          </cell>
          <cell r="E21240" t="str">
            <v>Voluntary Controlled School</v>
          </cell>
          <cell r="F21240" t="str">
            <v>Primary</v>
          </cell>
        </row>
        <row r="21241">
          <cell r="A21241">
            <v>3733010</v>
          </cell>
          <cell r="B21241">
            <v>107106</v>
          </cell>
          <cell r="C21241" t="str">
            <v>Norton Free Church of England Primary School</v>
          </cell>
          <cell r="D21241" t="str">
            <v>Sheffield</v>
          </cell>
          <cell r="E21241" t="str">
            <v>Voluntary Controlled School</v>
          </cell>
          <cell r="F21241" t="str">
            <v>Primary</v>
          </cell>
        </row>
        <row r="21242">
          <cell r="A21242">
            <v>8004128</v>
          </cell>
          <cell r="B21242">
            <v>136335</v>
          </cell>
          <cell r="C21242" t="str">
            <v>Norton Hill Academy</v>
          </cell>
          <cell r="D21242" t="str">
            <v>Bath and North East Somerset</v>
          </cell>
          <cell r="E21242" t="str">
            <v>Academy Converters</v>
          </cell>
          <cell r="F21242" t="str">
            <v>Secondary</v>
          </cell>
        </row>
        <row r="21243">
          <cell r="A21243">
            <v>8004128</v>
          </cell>
          <cell r="B21243">
            <v>109301</v>
          </cell>
          <cell r="C21243" t="str">
            <v>Norton Hill School</v>
          </cell>
          <cell r="D21243" t="str">
            <v>Bath and North East Somerset</v>
          </cell>
          <cell r="E21243" t="str">
            <v>Foundation School</v>
          </cell>
          <cell r="F21243" t="str">
            <v>Secondary</v>
          </cell>
        </row>
        <row r="21244">
          <cell r="A21244">
            <v>3712142</v>
          </cell>
          <cell r="B21244">
            <v>106713</v>
          </cell>
          <cell r="C21244" t="str">
            <v>Norton Infant School</v>
          </cell>
          <cell r="D21244" t="str">
            <v>Doncaster</v>
          </cell>
          <cell r="E21244" t="str">
            <v>Community School</v>
          </cell>
          <cell r="F21244" t="str">
            <v>Primary</v>
          </cell>
        </row>
        <row r="21245">
          <cell r="A21245">
            <v>3712088</v>
          </cell>
          <cell r="B21245">
            <v>106685</v>
          </cell>
          <cell r="C21245" t="str">
            <v>Norton Junior School</v>
          </cell>
          <cell r="D21245" t="str">
            <v>Doncaster</v>
          </cell>
          <cell r="E21245" t="str">
            <v>Community School</v>
          </cell>
          <cell r="F21245" t="str">
            <v>Primary</v>
          </cell>
        </row>
        <row r="21246">
          <cell r="A21246">
            <v>8853081</v>
          </cell>
          <cell r="B21246">
            <v>116834</v>
          </cell>
          <cell r="C21246" t="str">
            <v>Norton Juxta Kempsey First School</v>
          </cell>
          <cell r="D21246" t="str">
            <v>Worcestershire</v>
          </cell>
          <cell r="E21246" t="str">
            <v>Voluntary Controlled School</v>
          </cell>
          <cell r="F21246" t="str">
            <v>Primary</v>
          </cell>
        </row>
        <row r="21247">
          <cell r="A21247">
            <v>8082319</v>
          </cell>
          <cell r="B21247">
            <v>111623</v>
          </cell>
          <cell r="C21247" t="str">
            <v>Norton Primary School</v>
          </cell>
          <cell r="D21247" t="str">
            <v>Stockton-on-Tees</v>
          </cell>
          <cell r="E21247" t="str">
            <v>Community School</v>
          </cell>
          <cell r="F21247" t="str">
            <v>Primary</v>
          </cell>
        </row>
        <row r="21248">
          <cell r="A21248">
            <v>8612087</v>
          </cell>
          <cell r="B21248">
            <v>124014</v>
          </cell>
          <cell r="C21248" t="str">
            <v>Norton Primary School</v>
          </cell>
          <cell r="D21248" t="str">
            <v>Stoke-on-Trent</v>
          </cell>
          <cell r="E21248" t="str">
            <v>Community School</v>
          </cell>
          <cell r="F21248" t="str">
            <v>Primary</v>
          </cell>
        </row>
        <row r="21249">
          <cell r="A21249">
            <v>8764160</v>
          </cell>
          <cell r="B21249">
            <v>111425</v>
          </cell>
          <cell r="C21249" t="str">
            <v>Norton Priory High School</v>
          </cell>
          <cell r="D21249" t="str">
            <v>Halton</v>
          </cell>
          <cell r="E21249" t="str">
            <v>Community School</v>
          </cell>
          <cell r="F21249" t="str">
            <v>Secondary</v>
          </cell>
        </row>
        <row r="21250">
          <cell r="A21250">
            <v>8008015</v>
          </cell>
          <cell r="B21250">
            <v>130559</v>
          </cell>
          <cell r="C21250" t="str">
            <v>Norton Radstock College</v>
          </cell>
          <cell r="D21250" t="str">
            <v>Bath and North East Somerset</v>
          </cell>
          <cell r="E21250" t="str">
            <v>Further Education</v>
          </cell>
          <cell r="F21250" t="str">
            <v>16 Plus</v>
          </cell>
        </row>
        <row r="21251">
          <cell r="A21251">
            <v>8212239</v>
          </cell>
          <cell r="B21251">
            <v>109548</v>
          </cell>
          <cell r="C21251" t="str">
            <v>Norton Road Primary School</v>
          </cell>
          <cell r="D21251" t="str">
            <v>Luton</v>
          </cell>
          <cell r="E21251" t="str">
            <v>Community School</v>
          </cell>
          <cell r="F21251" t="str">
            <v>Primary</v>
          </cell>
        </row>
        <row r="21252">
          <cell r="A21252">
            <v>9194038</v>
          </cell>
          <cell r="B21252">
            <v>117513</v>
          </cell>
          <cell r="C21252" t="str">
            <v>Norton School</v>
          </cell>
          <cell r="D21252" t="str">
            <v>Hertfordshire</v>
          </cell>
          <cell r="E21252" t="str">
            <v>Community School</v>
          </cell>
          <cell r="F21252" t="str">
            <v>Secondary</v>
          </cell>
        </row>
        <row r="21253">
          <cell r="A21253">
            <v>9193350</v>
          </cell>
          <cell r="B21253">
            <v>117442</v>
          </cell>
          <cell r="C21253" t="str">
            <v>Norton St Nicholas CofE (VA) Primary School</v>
          </cell>
          <cell r="D21253" t="str">
            <v>Hertfordshire</v>
          </cell>
          <cell r="E21253" t="str">
            <v>Voluntary Aided School</v>
          </cell>
          <cell r="F21253" t="str">
            <v>Primary</v>
          </cell>
        </row>
        <row r="21254">
          <cell r="A21254">
            <v>9333342</v>
          </cell>
          <cell r="B21254">
            <v>123836</v>
          </cell>
          <cell r="C21254" t="str">
            <v>Norton St Philip Church of England First School</v>
          </cell>
          <cell r="D21254" t="str">
            <v>Somerset</v>
          </cell>
          <cell r="E21254" t="str">
            <v>Voluntary Aided School</v>
          </cell>
          <cell r="F21254" t="str">
            <v>Primary</v>
          </cell>
        </row>
        <row r="21255">
          <cell r="A21255">
            <v>3738020</v>
          </cell>
          <cell r="B21255">
            <v>133091</v>
          </cell>
          <cell r="C21255" t="str">
            <v>Norton Tertiary College</v>
          </cell>
          <cell r="D21255" t="str">
            <v>Sheffield</v>
          </cell>
          <cell r="E21255" t="str">
            <v>Miscellaneous</v>
          </cell>
          <cell r="F21255" t="str">
            <v>Not applicable</v>
          </cell>
        </row>
        <row r="21256">
          <cell r="A21256">
            <v>8933084</v>
          </cell>
          <cell r="B21256">
            <v>123491</v>
          </cell>
          <cell r="C21256" t="str">
            <v>Norton-in-Hales CofE Primary School</v>
          </cell>
          <cell r="D21256" t="str">
            <v>Shropshire</v>
          </cell>
          <cell r="E21256" t="str">
            <v>Voluntary Controlled School</v>
          </cell>
          <cell r="F21256" t="str">
            <v>Primary</v>
          </cell>
        </row>
        <row r="21257">
          <cell r="A21257">
            <v>9333281</v>
          </cell>
          <cell r="B21257">
            <v>123818</v>
          </cell>
          <cell r="C21257" t="str">
            <v>Norton-sub-Hamdon Church of England Primary School</v>
          </cell>
          <cell r="D21257" t="str">
            <v>Somerset</v>
          </cell>
          <cell r="E21257" t="str">
            <v>Voluntary Controlled School</v>
          </cell>
          <cell r="F21257" t="str">
            <v>Primary</v>
          </cell>
        </row>
        <row r="21258">
          <cell r="A21258">
            <v>3827013</v>
          </cell>
          <cell r="B21258">
            <v>107804</v>
          </cell>
          <cell r="C21258" t="str">
            <v>Nortonthorpe Hall School</v>
          </cell>
          <cell r="D21258" t="str">
            <v>Kirklees</v>
          </cell>
          <cell r="E21258" t="str">
            <v>Community Special School</v>
          </cell>
          <cell r="F21258" t="str">
            <v>Special</v>
          </cell>
        </row>
        <row r="21259">
          <cell r="A21259">
            <v>8913119</v>
          </cell>
          <cell r="B21259">
            <v>122766</v>
          </cell>
          <cell r="C21259" t="str">
            <v>Norwell CofE Primary School</v>
          </cell>
          <cell r="D21259" t="str">
            <v>Nottinghamshire</v>
          </cell>
          <cell r="E21259" t="str">
            <v>Voluntary Controlled School</v>
          </cell>
          <cell r="F21259" t="str">
            <v>Primary</v>
          </cell>
        </row>
        <row r="21260">
          <cell r="A21260">
            <v>9266149</v>
          </cell>
          <cell r="B21260">
            <v>134578</v>
          </cell>
          <cell r="C21260" t="str">
            <v>Norwich Academy School</v>
          </cell>
          <cell r="D21260" t="str">
            <v>Norfolk</v>
          </cell>
          <cell r="E21260" t="str">
            <v>Other Independent School</v>
          </cell>
          <cell r="F21260" t="str">
            <v>Not applicable</v>
          </cell>
        </row>
        <row r="21261">
          <cell r="A21261">
            <v>9268003</v>
          </cell>
          <cell r="B21261">
            <v>130764</v>
          </cell>
          <cell r="C21261" t="str">
            <v>Norwich City College of Further and Higher Education</v>
          </cell>
          <cell r="D21261" t="str">
            <v>Norfolk</v>
          </cell>
          <cell r="E21261" t="str">
            <v>Further Education</v>
          </cell>
          <cell r="F21261" t="str">
            <v>16 Plus</v>
          </cell>
        </row>
        <row r="21262">
          <cell r="A21262">
            <v>926940</v>
          </cell>
          <cell r="B21262">
            <v>132726</v>
          </cell>
          <cell r="C21262" t="str">
            <v>Norwich City Football Club Study Centre</v>
          </cell>
          <cell r="D21262" t="str">
            <v>Norfolk</v>
          </cell>
          <cell r="E21262" t="str">
            <v>Playing for Success Centres</v>
          </cell>
          <cell r="F21262" t="str">
            <v>Not applicable</v>
          </cell>
        </row>
        <row r="21263">
          <cell r="A21263">
            <v>9266123</v>
          </cell>
          <cell r="B21263">
            <v>121241</v>
          </cell>
          <cell r="C21263" t="str">
            <v>Norwich High School for Girls GDST</v>
          </cell>
          <cell r="D21263" t="str">
            <v>Norfolk</v>
          </cell>
          <cell r="E21263" t="str">
            <v>Other Independent School</v>
          </cell>
          <cell r="F21263" t="str">
            <v>Not applicable</v>
          </cell>
        </row>
        <row r="21264">
          <cell r="A21264">
            <v>9265204</v>
          </cell>
          <cell r="B21264">
            <v>121194</v>
          </cell>
          <cell r="C21264" t="str">
            <v>Norwich Road Community Primary School</v>
          </cell>
          <cell r="D21264" t="str">
            <v>Norfolk</v>
          </cell>
          <cell r="E21264" t="str">
            <v>Community School</v>
          </cell>
          <cell r="F21264" t="str">
            <v>Primary</v>
          </cell>
        </row>
        <row r="21265">
          <cell r="A21265">
            <v>9266124</v>
          </cell>
          <cell r="B21265">
            <v>121242</v>
          </cell>
          <cell r="C21265" t="str">
            <v>Norwich School</v>
          </cell>
          <cell r="D21265" t="str">
            <v>Norfolk</v>
          </cell>
          <cell r="E21265" t="str">
            <v>Other Independent School</v>
          </cell>
          <cell r="F21265" t="str">
            <v>Not applicable</v>
          </cell>
        </row>
        <row r="21266">
          <cell r="A21266">
            <v>926</v>
          </cell>
          <cell r="B21266">
            <v>133858</v>
          </cell>
          <cell r="C21266" t="str">
            <v>Norwich School of Art &amp; Design</v>
          </cell>
          <cell r="D21266" t="str">
            <v>Norfolk</v>
          </cell>
          <cell r="E21266" t="str">
            <v>Higher Education Institutions</v>
          </cell>
          <cell r="F21266" t="str">
            <v>Not applicable</v>
          </cell>
        </row>
        <row r="21267">
          <cell r="A21267">
            <v>9268152</v>
          </cell>
          <cell r="B21267">
            <v>132909</v>
          </cell>
          <cell r="C21267" t="str">
            <v>Norwich School of Art and Design</v>
          </cell>
          <cell r="D21267" t="str">
            <v>Norfolk</v>
          </cell>
          <cell r="E21267" t="str">
            <v>Miscellaneous</v>
          </cell>
          <cell r="F21267" t="str">
            <v>Not applicable</v>
          </cell>
        </row>
        <row r="21268">
          <cell r="A21268">
            <v>9266154</v>
          </cell>
          <cell r="B21268">
            <v>129511</v>
          </cell>
          <cell r="C21268" t="str">
            <v>Norwich Steiner School</v>
          </cell>
          <cell r="D21268" t="str">
            <v>Norfolk</v>
          </cell>
          <cell r="E21268" t="str">
            <v>Other Independent School</v>
          </cell>
          <cell r="F21268" t="str">
            <v>Not applicable</v>
          </cell>
        </row>
        <row r="21269">
          <cell r="A21269">
            <v>3132039</v>
          </cell>
          <cell r="B21269">
            <v>102496</v>
          </cell>
          <cell r="C21269" t="str">
            <v>Norwood Green Infant and Nursery School</v>
          </cell>
          <cell r="D21269" t="str">
            <v>Hounslow</v>
          </cell>
          <cell r="E21269" t="str">
            <v>Community School</v>
          </cell>
          <cell r="F21269" t="str">
            <v>Primary</v>
          </cell>
        </row>
        <row r="21270">
          <cell r="A21270">
            <v>3132038</v>
          </cell>
          <cell r="B21270">
            <v>102495</v>
          </cell>
          <cell r="C21270" t="str">
            <v>Norwood Green Junior School</v>
          </cell>
          <cell r="D21270" t="str">
            <v>Hounslow</v>
          </cell>
          <cell r="E21270" t="str">
            <v>Community School</v>
          </cell>
          <cell r="F21270" t="str">
            <v>Primary</v>
          </cell>
        </row>
        <row r="21271">
          <cell r="A21271">
            <v>2082253</v>
          </cell>
          <cell r="B21271">
            <v>100563</v>
          </cell>
          <cell r="C21271" t="str">
            <v>Norwood Park School</v>
          </cell>
          <cell r="D21271" t="str">
            <v>Lambeth</v>
          </cell>
          <cell r="E21271" t="str">
            <v>Community School</v>
          </cell>
          <cell r="F21271" t="str">
            <v>Primary</v>
          </cell>
        </row>
        <row r="21272">
          <cell r="A21272">
            <v>3432038</v>
          </cell>
          <cell r="B21272">
            <v>104865</v>
          </cell>
          <cell r="C21272" t="str">
            <v>Norwood Primary School</v>
          </cell>
          <cell r="D21272" t="str">
            <v>Sefton</v>
          </cell>
          <cell r="E21272" t="str">
            <v>Community School</v>
          </cell>
          <cell r="F21272" t="str">
            <v>Primary</v>
          </cell>
        </row>
        <row r="21273">
          <cell r="A21273">
            <v>8742295</v>
          </cell>
          <cell r="B21273">
            <v>110734</v>
          </cell>
          <cell r="C21273" t="str">
            <v>Norwood Primary School</v>
          </cell>
          <cell r="D21273" t="str">
            <v>Peterborough</v>
          </cell>
          <cell r="E21273" t="str">
            <v>Community School</v>
          </cell>
          <cell r="F21273" t="str">
            <v>Primary</v>
          </cell>
        </row>
        <row r="21274">
          <cell r="A21274">
            <v>8502387</v>
          </cell>
          <cell r="B21274">
            <v>116078</v>
          </cell>
          <cell r="C21274" t="str">
            <v>Norwood Primary School</v>
          </cell>
          <cell r="D21274" t="str">
            <v>Hampshire</v>
          </cell>
          <cell r="E21274" t="str">
            <v>Community School</v>
          </cell>
          <cell r="F21274" t="str">
            <v>Primary</v>
          </cell>
        </row>
        <row r="21275">
          <cell r="A21275">
            <v>9272417</v>
          </cell>
          <cell r="B21275">
            <v>129658</v>
          </cell>
          <cell r="C21275" t="str">
            <v>Norwood Primary School</v>
          </cell>
          <cell r="D21275" t="str">
            <v>Pre LGR (1996) North Yorkshire</v>
          </cell>
          <cell r="E21275" t="str">
            <v>Community School</v>
          </cell>
          <cell r="F21275" t="str">
            <v>Primary</v>
          </cell>
        </row>
        <row r="21276">
          <cell r="A21276">
            <v>2084223</v>
          </cell>
          <cell r="B21276">
            <v>100624</v>
          </cell>
          <cell r="C21276" t="str">
            <v>Norwood School</v>
          </cell>
          <cell r="D21276" t="str">
            <v>Lambeth</v>
          </cell>
          <cell r="E21276" t="str">
            <v>Community School</v>
          </cell>
          <cell r="F21276" t="str">
            <v>Secondary</v>
          </cell>
        </row>
        <row r="21277">
          <cell r="A21277">
            <v>2081100</v>
          </cell>
          <cell r="B21277">
            <v>100555</v>
          </cell>
          <cell r="C21277" t="str">
            <v>Norwood Secondary Centre</v>
          </cell>
          <cell r="D21277" t="str">
            <v>Lambeth</v>
          </cell>
          <cell r="E21277" t="str">
            <v>Pupil Referral Unit</v>
          </cell>
          <cell r="F21277" t="str">
            <v>PRU</v>
          </cell>
        </row>
        <row r="21278">
          <cell r="A21278">
            <v>3501104</v>
          </cell>
          <cell r="B21278">
            <v>134285</v>
          </cell>
          <cell r="C21278" t="str">
            <v>Not School.Net</v>
          </cell>
          <cell r="D21278" t="str">
            <v>Bolton</v>
          </cell>
          <cell r="E21278" t="str">
            <v>Pupil Referral Unit</v>
          </cell>
          <cell r="F21278" t="str">
            <v>PRU</v>
          </cell>
        </row>
        <row r="21279">
          <cell r="A21279">
            <v>8812000</v>
          </cell>
          <cell r="B21279">
            <v>132020</v>
          </cell>
          <cell r="C21279" t="str">
            <v>Notley Green Primary School</v>
          </cell>
          <cell r="D21279" t="str">
            <v>Essex</v>
          </cell>
          <cell r="E21279" t="str">
            <v>Community School</v>
          </cell>
          <cell r="F21279" t="str">
            <v>Primary</v>
          </cell>
        </row>
        <row r="21280">
          <cell r="A21280">
            <v>8814420</v>
          </cell>
          <cell r="B21280">
            <v>115227</v>
          </cell>
          <cell r="C21280" t="str">
            <v>Notley High School</v>
          </cell>
          <cell r="D21280" t="str">
            <v>Essex</v>
          </cell>
          <cell r="E21280" t="str">
            <v>Community School</v>
          </cell>
          <cell r="F21280" t="str">
            <v>Secondary</v>
          </cell>
        </row>
        <row r="21281">
          <cell r="A21281">
            <v>8814420</v>
          </cell>
          <cell r="B21281">
            <v>137013</v>
          </cell>
          <cell r="C21281" t="str">
            <v>Notley High School and Braintree Sixth Form</v>
          </cell>
          <cell r="D21281" t="str">
            <v>Essex</v>
          </cell>
          <cell r="E21281" t="str">
            <v>Academy Converters</v>
          </cell>
          <cell r="F21281" t="str">
            <v>Secondary</v>
          </cell>
        </row>
        <row r="21282">
          <cell r="A21282">
            <v>3414782</v>
          </cell>
          <cell r="B21282">
            <v>104706</v>
          </cell>
          <cell r="C21282" t="str">
            <v>Notre Dame Catholic College</v>
          </cell>
          <cell r="D21282" t="str">
            <v>Liverpool</v>
          </cell>
          <cell r="E21282" t="str">
            <v>Voluntary Aided School</v>
          </cell>
          <cell r="F21282" t="str">
            <v>Secondary</v>
          </cell>
        </row>
        <row r="21283">
          <cell r="A21283">
            <v>2033662</v>
          </cell>
          <cell r="B21283">
            <v>100179</v>
          </cell>
          <cell r="C21283" t="str">
            <v>Notre Dame Catholic Primary School</v>
          </cell>
          <cell r="D21283" t="str">
            <v>Greenwich</v>
          </cell>
          <cell r="E21283" t="str">
            <v>Voluntary Aided School</v>
          </cell>
          <cell r="F21283" t="str">
            <v>Primary</v>
          </cell>
        </row>
        <row r="21284">
          <cell r="A21284">
            <v>3838600</v>
          </cell>
          <cell r="B21284">
            <v>130548</v>
          </cell>
          <cell r="C21284" t="str">
            <v>Notre Dame Catholic Sixth Form College</v>
          </cell>
          <cell r="D21284" t="str">
            <v>Leeds</v>
          </cell>
          <cell r="E21284" t="str">
            <v>Further Education</v>
          </cell>
          <cell r="F21284" t="str">
            <v>16 Plus</v>
          </cell>
        </row>
        <row r="21285">
          <cell r="A21285">
            <v>7062013</v>
          </cell>
          <cell r="B21285">
            <v>132491</v>
          </cell>
          <cell r="C21285" t="str">
            <v>Notre Dame Du Rosaire Primary School</v>
          </cell>
          <cell r="D21285" t="str">
            <v>Guernsey Offshore Establishments</v>
          </cell>
          <cell r="E21285" t="str">
            <v>Offshore Schools</v>
          </cell>
          <cell r="F21285" t="str">
            <v>Not applicable</v>
          </cell>
        </row>
        <row r="21286">
          <cell r="A21286">
            <v>7086008</v>
          </cell>
          <cell r="B21286">
            <v>132401</v>
          </cell>
          <cell r="C21286" t="str">
            <v>Notre Dame First School</v>
          </cell>
          <cell r="D21286" t="str">
            <v>Gibraltar Overseas Establishments</v>
          </cell>
          <cell r="E21286" t="str">
            <v>Service Childrens Education</v>
          </cell>
          <cell r="F21286" t="str">
            <v>Not applicable</v>
          </cell>
        </row>
        <row r="21287">
          <cell r="A21287">
            <v>3735400</v>
          </cell>
          <cell r="B21287">
            <v>107159</v>
          </cell>
          <cell r="C21287" t="str">
            <v>Notre Dame High School</v>
          </cell>
          <cell r="D21287" t="str">
            <v>Sheffield</v>
          </cell>
          <cell r="E21287" t="str">
            <v>Voluntary Aided School</v>
          </cell>
          <cell r="F21287" t="str">
            <v>Secondary</v>
          </cell>
        </row>
        <row r="21288">
          <cell r="A21288">
            <v>3834747</v>
          </cell>
          <cell r="B21288">
            <v>128034</v>
          </cell>
          <cell r="C21288" t="str">
            <v>Notre Dame High School</v>
          </cell>
          <cell r="D21288" t="str">
            <v>Leeds</v>
          </cell>
          <cell r="E21288" t="str">
            <v>Voluntary Aided School</v>
          </cell>
          <cell r="F21288" t="str">
            <v>Secondary</v>
          </cell>
        </row>
        <row r="21289">
          <cell r="A21289">
            <v>9264605</v>
          </cell>
          <cell r="B21289">
            <v>121189</v>
          </cell>
          <cell r="C21289" t="str">
            <v>Notre Dame High School, Norwich</v>
          </cell>
          <cell r="D21289" t="str">
            <v>Norfolk</v>
          </cell>
          <cell r="E21289" t="str">
            <v>Voluntary Aided School</v>
          </cell>
          <cell r="F21289" t="str">
            <v>Secondary</v>
          </cell>
        </row>
        <row r="21290">
          <cell r="A21290">
            <v>9366515</v>
          </cell>
          <cell r="B21290">
            <v>130124</v>
          </cell>
          <cell r="C21290" t="str">
            <v>Notre Dame Junior School</v>
          </cell>
          <cell r="D21290" t="str">
            <v>Surrey</v>
          </cell>
          <cell r="E21290" t="str">
            <v>Other Independent School</v>
          </cell>
          <cell r="F21290" t="str">
            <v>Not applicable</v>
          </cell>
        </row>
        <row r="21291">
          <cell r="A21291">
            <v>9366570</v>
          </cell>
          <cell r="B21291">
            <v>125447</v>
          </cell>
          <cell r="C21291" t="str">
            <v>Notre Dame Preparatory School</v>
          </cell>
          <cell r="D21291" t="str">
            <v>Surrey</v>
          </cell>
          <cell r="E21291" t="str">
            <v>Other Independent School</v>
          </cell>
          <cell r="F21291" t="str">
            <v>Not applicable</v>
          </cell>
        </row>
        <row r="21292">
          <cell r="A21292">
            <v>9266114</v>
          </cell>
          <cell r="B21292">
            <v>121239</v>
          </cell>
          <cell r="C21292" t="str">
            <v>Notre Dame Preparatory School (Norwich) Limited</v>
          </cell>
          <cell r="D21292" t="str">
            <v>Norfolk</v>
          </cell>
          <cell r="E21292" t="str">
            <v>Other Independent School</v>
          </cell>
          <cell r="F21292" t="str">
            <v>Not applicable</v>
          </cell>
        </row>
        <row r="21293">
          <cell r="A21293">
            <v>8794605</v>
          </cell>
          <cell r="B21293">
            <v>113552</v>
          </cell>
          <cell r="C21293" t="str">
            <v>Notre Dame RC School</v>
          </cell>
          <cell r="D21293" t="str">
            <v>Plymouth</v>
          </cell>
          <cell r="E21293" t="str">
            <v>Voluntary Aided School</v>
          </cell>
          <cell r="F21293" t="str">
            <v>Secondary</v>
          </cell>
        </row>
        <row r="21294">
          <cell r="A21294">
            <v>9384607</v>
          </cell>
          <cell r="B21294">
            <v>126099</v>
          </cell>
          <cell r="C21294" t="str">
            <v>Notre Dame RC School</v>
          </cell>
          <cell r="D21294" t="str">
            <v>West Sussex</v>
          </cell>
          <cell r="E21294" t="str">
            <v>Voluntary Aided School</v>
          </cell>
          <cell r="F21294" t="str">
            <v>Middle Deemed Secondary</v>
          </cell>
        </row>
        <row r="21295">
          <cell r="A21295">
            <v>2105404</v>
          </cell>
          <cell r="B21295">
            <v>100859</v>
          </cell>
          <cell r="C21295" t="str">
            <v>Notre Dame Roman Catholic Girls' School</v>
          </cell>
          <cell r="D21295" t="str">
            <v>Southwark</v>
          </cell>
          <cell r="E21295" t="str">
            <v>Voluntary Aided School</v>
          </cell>
          <cell r="F21295" t="str">
            <v>Secondary</v>
          </cell>
        </row>
        <row r="21296">
          <cell r="A21296">
            <v>9366163</v>
          </cell>
          <cell r="B21296">
            <v>125375</v>
          </cell>
          <cell r="C21296" t="str">
            <v>Notre Dame Senior School</v>
          </cell>
          <cell r="D21296" t="str">
            <v>Surrey</v>
          </cell>
          <cell r="E21296" t="str">
            <v>Other Independent School</v>
          </cell>
          <cell r="F21296" t="str">
            <v>Not applicable</v>
          </cell>
        </row>
        <row r="21297">
          <cell r="A21297">
            <v>3834755</v>
          </cell>
          <cell r="B21297">
            <v>128038</v>
          </cell>
          <cell r="C21297" t="str">
            <v>Notre Dame Sixth Form College</v>
          </cell>
          <cell r="D21297" t="str">
            <v>Leeds</v>
          </cell>
          <cell r="E21297" t="str">
            <v>Voluntary Aided School</v>
          </cell>
          <cell r="F21297" t="str">
            <v>Secondary</v>
          </cell>
        </row>
        <row r="21298">
          <cell r="A21298">
            <v>6722194</v>
          </cell>
          <cell r="B21298">
            <v>401046</v>
          </cell>
          <cell r="C21298" t="str">
            <v>Nottage Primary School</v>
          </cell>
          <cell r="D21298" t="str">
            <v>Bridgend</v>
          </cell>
          <cell r="E21298" t="str">
            <v>Welsh Establishment</v>
          </cell>
          <cell r="F21298" t="str">
            <v>Primary</v>
          </cell>
        </row>
        <row r="21299">
          <cell r="A21299">
            <v>3076065</v>
          </cell>
          <cell r="B21299">
            <v>101954</v>
          </cell>
          <cell r="C21299" t="str">
            <v>Notting Hill and Ealing High School</v>
          </cell>
          <cell r="D21299" t="str">
            <v>Ealing</v>
          </cell>
          <cell r="E21299" t="str">
            <v>Other Independent School</v>
          </cell>
          <cell r="F21299" t="str">
            <v>Not applicable</v>
          </cell>
        </row>
        <row r="21300">
          <cell r="A21300">
            <v>2076401</v>
          </cell>
          <cell r="B21300">
            <v>134664</v>
          </cell>
          <cell r="C21300" t="str">
            <v>Notting Hill Preparatory School</v>
          </cell>
          <cell r="D21300" t="str">
            <v>Kensington and Chelsea</v>
          </cell>
          <cell r="E21300" t="str">
            <v>Other Independent School</v>
          </cell>
          <cell r="F21300" t="str">
            <v>Not applicable</v>
          </cell>
        </row>
        <row r="21301">
          <cell r="A21301">
            <v>8926907</v>
          </cell>
          <cell r="B21301">
            <v>135881</v>
          </cell>
          <cell r="C21301" t="str">
            <v>Nottingham Academy</v>
          </cell>
          <cell r="D21301" t="str">
            <v>Nottingham</v>
          </cell>
          <cell r="E21301" t="str">
            <v>Academy Sponsor Led</v>
          </cell>
          <cell r="F21301" t="str">
            <v>Not applicable</v>
          </cell>
        </row>
        <row r="21302">
          <cell r="A21302">
            <v>892940</v>
          </cell>
          <cell r="B21302">
            <v>132724</v>
          </cell>
          <cell r="C21302" t="str">
            <v>Nottingham Forest Study Support Centre</v>
          </cell>
          <cell r="D21302" t="str">
            <v>Nottingham</v>
          </cell>
          <cell r="E21302" t="str">
            <v>Playing for Success Centres</v>
          </cell>
          <cell r="F21302" t="str">
            <v>Not applicable</v>
          </cell>
        </row>
        <row r="21303">
          <cell r="A21303">
            <v>8924000</v>
          </cell>
          <cell r="B21303">
            <v>137184</v>
          </cell>
          <cell r="C21303" t="str">
            <v>Nottingham Girls' Academy</v>
          </cell>
          <cell r="D21303" t="str">
            <v>Nottingham</v>
          </cell>
          <cell r="E21303" t="str">
            <v>Academy Sponsor Led</v>
          </cell>
          <cell r="F21303" t="str">
            <v>Secondary</v>
          </cell>
        </row>
        <row r="21304">
          <cell r="A21304">
            <v>8926009</v>
          </cell>
          <cell r="B21304">
            <v>122936</v>
          </cell>
          <cell r="C21304" t="str">
            <v>Nottingham Girls' High School GDST</v>
          </cell>
          <cell r="D21304" t="str">
            <v>Nottingham</v>
          </cell>
          <cell r="E21304" t="str">
            <v>Other Independent School</v>
          </cell>
          <cell r="F21304" t="str">
            <v>Not applicable</v>
          </cell>
        </row>
        <row r="21305">
          <cell r="A21305">
            <v>8926004</v>
          </cell>
          <cell r="B21305">
            <v>122915</v>
          </cell>
          <cell r="C21305" t="str">
            <v>Nottingham High School</v>
          </cell>
          <cell r="D21305" t="str">
            <v>Nottingham</v>
          </cell>
          <cell r="E21305" t="str">
            <v>Other Independent School</v>
          </cell>
          <cell r="F21305" t="str">
            <v>Not applicable</v>
          </cell>
        </row>
        <row r="21306">
          <cell r="A21306">
            <v>8926906</v>
          </cell>
          <cell r="B21306">
            <v>135761</v>
          </cell>
          <cell r="C21306" t="str">
            <v>Nottingham University Samworth Academy</v>
          </cell>
          <cell r="D21306" t="str">
            <v>Nottingham</v>
          </cell>
          <cell r="E21306" t="str">
            <v>Academy Sponsor Led</v>
          </cell>
          <cell r="F21306" t="str">
            <v>Secondary</v>
          </cell>
        </row>
        <row r="21307">
          <cell r="A21307">
            <v>8911105</v>
          </cell>
          <cell r="B21307">
            <v>130241</v>
          </cell>
          <cell r="C21307" t="str">
            <v>Nottinghamshire Learning Centre</v>
          </cell>
          <cell r="D21307" t="str">
            <v>Nottinghamshire</v>
          </cell>
          <cell r="E21307" t="str">
            <v>Pupil Referral Unit</v>
          </cell>
          <cell r="F21307" t="str">
            <v>PRU</v>
          </cell>
        </row>
        <row r="21308">
          <cell r="A21308">
            <v>8017015</v>
          </cell>
          <cell r="B21308">
            <v>109394</v>
          </cell>
          <cell r="C21308" t="str">
            <v>Notton House School</v>
          </cell>
          <cell r="D21308" t="str">
            <v>Bristol City of</v>
          </cell>
          <cell r="E21308" t="str">
            <v>Community Special School</v>
          </cell>
          <cell r="F21308" t="str">
            <v>Special</v>
          </cell>
        </row>
        <row r="21309">
          <cell r="A21309">
            <v>8664084</v>
          </cell>
          <cell r="B21309">
            <v>126465</v>
          </cell>
          <cell r="C21309" t="str">
            <v>Nova Hreod</v>
          </cell>
          <cell r="D21309" t="str">
            <v>Swindon</v>
          </cell>
          <cell r="E21309" t="str">
            <v>Community School</v>
          </cell>
          <cell r="F21309" t="str">
            <v>Secondary</v>
          </cell>
        </row>
        <row r="21310">
          <cell r="A21310">
            <v>3326006</v>
          </cell>
          <cell r="B21310">
            <v>137332</v>
          </cell>
          <cell r="C21310" t="str">
            <v>Nova Training</v>
          </cell>
          <cell r="D21310" t="str">
            <v>Dudley</v>
          </cell>
          <cell r="E21310" t="str">
            <v>Other Independent Special School</v>
          </cell>
          <cell r="F21310" t="str">
            <v>Not applicable</v>
          </cell>
        </row>
        <row r="21311">
          <cell r="A21311">
            <v>8011006</v>
          </cell>
          <cell r="B21311">
            <v>108897</v>
          </cell>
          <cell r="C21311" t="str">
            <v>Novers Hill Nursery School</v>
          </cell>
          <cell r="D21311" t="str">
            <v>Bristol City of</v>
          </cell>
          <cell r="E21311" t="str">
            <v>LA Nursery School</v>
          </cell>
          <cell r="F21311" t="str">
            <v>Nursery</v>
          </cell>
        </row>
        <row r="21312">
          <cell r="A21312">
            <v>8012058</v>
          </cell>
          <cell r="B21312">
            <v>108948</v>
          </cell>
          <cell r="C21312" t="str">
            <v>Novers Lane Infant School</v>
          </cell>
          <cell r="D21312" t="str">
            <v>Bristol City of</v>
          </cell>
          <cell r="E21312" t="str">
            <v>Community School</v>
          </cell>
          <cell r="F21312" t="str">
            <v>Primary</v>
          </cell>
        </row>
        <row r="21313">
          <cell r="A21313">
            <v>8012057</v>
          </cell>
          <cell r="B21313">
            <v>108947</v>
          </cell>
          <cell r="C21313" t="str">
            <v>Novers Lane Junior School</v>
          </cell>
          <cell r="D21313" t="str">
            <v>Bristol City of</v>
          </cell>
          <cell r="E21313" t="str">
            <v>Community School</v>
          </cell>
          <cell r="F21313" t="str">
            <v>Primary</v>
          </cell>
        </row>
        <row r="21314">
          <cell r="A21314">
            <v>3837020</v>
          </cell>
          <cell r="B21314">
            <v>128055</v>
          </cell>
          <cell r="C21314" t="str">
            <v>Nowell School</v>
          </cell>
          <cell r="D21314" t="str">
            <v>Leeds</v>
          </cell>
          <cell r="E21314" t="str">
            <v>Community Special School</v>
          </cell>
          <cell r="F21314" t="str">
            <v>Special</v>
          </cell>
        </row>
        <row r="21315">
          <cell r="A21315">
            <v>3104024</v>
          </cell>
          <cell r="B21315">
            <v>102238</v>
          </cell>
          <cell r="C21315" t="str">
            <v>Nower Hill High School</v>
          </cell>
          <cell r="D21315" t="str">
            <v>Harrow</v>
          </cell>
          <cell r="E21315" t="str">
            <v>Community School</v>
          </cell>
          <cell r="F21315" t="str">
            <v>Secondary</v>
          </cell>
        </row>
        <row r="21316">
          <cell r="A21316">
            <v>3104024</v>
          </cell>
          <cell r="B21316">
            <v>137028</v>
          </cell>
          <cell r="C21316" t="str">
            <v>Nower Hill High School</v>
          </cell>
          <cell r="D21316" t="str">
            <v>Harrow</v>
          </cell>
          <cell r="E21316" t="str">
            <v>Academy Converters</v>
          </cell>
          <cell r="F21316" t="str">
            <v>Secondary</v>
          </cell>
        </row>
        <row r="21317">
          <cell r="A21317">
            <v>9366018</v>
          </cell>
          <cell r="B21317">
            <v>125324</v>
          </cell>
          <cell r="C21317" t="str">
            <v>Nower Lodge School</v>
          </cell>
          <cell r="D21317" t="str">
            <v>Surrey</v>
          </cell>
          <cell r="E21317" t="str">
            <v>Other Independent School</v>
          </cell>
          <cell r="F21317" t="str">
            <v>Not applicable</v>
          </cell>
        </row>
        <row r="21318">
          <cell r="A21318">
            <v>9356014</v>
          </cell>
          <cell r="B21318">
            <v>129994</v>
          </cell>
          <cell r="C21318" t="str">
            <v>Nowton Court School</v>
          </cell>
          <cell r="D21318" t="str">
            <v>Suffolk</v>
          </cell>
          <cell r="E21318" t="str">
            <v>Other Independent School</v>
          </cell>
          <cell r="F21318" t="str">
            <v>Not applicable</v>
          </cell>
        </row>
        <row r="21319">
          <cell r="A21319">
            <v>3926010</v>
          </cell>
          <cell r="B21319">
            <v>134565</v>
          </cell>
          <cell r="C21319" t="str">
            <v>Nty03 - North Tyneside Primary C.O.Suit 1.6</v>
          </cell>
          <cell r="D21319" t="str">
            <v>North Tyneside</v>
          </cell>
          <cell r="E21319" t="str">
            <v>Other Independent School</v>
          </cell>
          <cell r="F21319" t="str">
            <v>Not applicable</v>
          </cell>
        </row>
        <row r="21320">
          <cell r="A21320">
            <v>9312505</v>
          </cell>
          <cell r="B21320">
            <v>129751</v>
          </cell>
          <cell r="C21320" t="str">
            <v>Nuffield County Primary School</v>
          </cell>
          <cell r="D21320" t="str">
            <v>Oxfordshire</v>
          </cell>
          <cell r="E21320" t="str">
            <v>Community School</v>
          </cell>
          <cell r="F21320" t="str">
            <v>Primary</v>
          </cell>
        </row>
        <row r="21321">
          <cell r="A21321">
            <v>3426004</v>
          </cell>
          <cell r="B21321">
            <v>104839</v>
          </cell>
          <cell r="C21321" t="str">
            <v>Nugent House School</v>
          </cell>
          <cell r="D21321" t="str">
            <v>St. Helens</v>
          </cell>
          <cell r="E21321" t="str">
            <v>Other Independent Special School</v>
          </cell>
          <cell r="F21321" t="str">
            <v>Not applicable</v>
          </cell>
        </row>
        <row r="21322">
          <cell r="A21322">
            <v>3414786</v>
          </cell>
          <cell r="B21322">
            <v>104708</v>
          </cell>
          <cell r="C21322" t="str">
            <v>Nugent RC Boys' Comprehensive School</v>
          </cell>
          <cell r="D21322" t="str">
            <v>Liverpool</v>
          </cell>
          <cell r="E21322" t="str">
            <v>Voluntary Aided School</v>
          </cell>
          <cell r="F21322" t="str">
            <v>Secondary</v>
          </cell>
        </row>
        <row r="21323">
          <cell r="A21323">
            <v>8155200</v>
          </cell>
          <cell r="B21323">
            <v>121721</v>
          </cell>
          <cell r="C21323" t="str">
            <v>Nun Monkton Primary Foundation School</v>
          </cell>
          <cell r="D21323" t="str">
            <v>North Yorkshire</v>
          </cell>
          <cell r="E21323" t="str">
            <v>Foundation School</v>
          </cell>
          <cell r="F21323" t="str">
            <v>Primary</v>
          </cell>
        </row>
        <row r="21324">
          <cell r="A21324">
            <v>937947</v>
          </cell>
          <cell r="B21324">
            <v>135714</v>
          </cell>
          <cell r="C21324" t="str">
            <v>Nuneaton Town FC</v>
          </cell>
          <cell r="D21324" t="str">
            <v>Warwickshire</v>
          </cell>
          <cell r="E21324" t="str">
            <v>Playing for Success Centres</v>
          </cell>
          <cell r="F21324" t="str">
            <v>Not applicable</v>
          </cell>
        </row>
        <row r="21325">
          <cell r="A21325">
            <v>8854434</v>
          </cell>
          <cell r="B21325">
            <v>116979</v>
          </cell>
          <cell r="C21325" t="str">
            <v>Nunnery Wood High School</v>
          </cell>
          <cell r="D21325" t="str">
            <v>Worcestershire</v>
          </cell>
          <cell r="E21325" t="str">
            <v>Community School</v>
          </cell>
          <cell r="F21325" t="str">
            <v>Secondary</v>
          </cell>
        </row>
        <row r="21326">
          <cell r="A21326">
            <v>8854434</v>
          </cell>
          <cell r="B21326">
            <v>137051</v>
          </cell>
          <cell r="C21326" t="str">
            <v>Nunnery Wood High School</v>
          </cell>
          <cell r="D21326" t="str">
            <v>Worcestershire</v>
          </cell>
          <cell r="E21326" t="str">
            <v>Academy Converters</v>
          </cell>
          <cell r="F21326" t="str">
            <v>Secondary</v>
          </cell>
        </row>
        <row r="21327">
          <cell r="A21327">
            <v>8852172</v>
          </cell>
          <cell r="B21327">
            <v>116754</v>
          </cell>
          <cell r="C21327" t="str">
            <v>Nunnery Wood Primary School</v>
          </cell>
          <cell r="D21327" t="str">
            <v>Worcestershire</v>
          </cell>
          <cell r="E21327" t="str">
            <v>Community School</v>
          </cell>
          <cell r="F21327" t="str">
            <v>Primary</v>
          </cell>
        </row>
        <row r="21328">
          <cell r="A21328">
            <v>9332051</v>
          </cell>
          <cell r="B21328">
            <v>123657</v>
          </cell>
          <cell r="C21328" t="str">
            <v>Nunney First School</v>
          </cell>
          <cell r="D21328" t="str">
            <v>Somerset</v>
          </cell>
          <cell r="E21328" t="str">
            <v>Community School</v>
          </cell>
          <cell r="F21328" t="str">
            <v>Primary</v>
          </cell>
        </row>
        <row r="21329">
          <cell r="A21329">
            <v>9297023</v>
          </cell>
          <cell r="B21329">
            <v>122390</v>
          </cell>
          <cell r="C21329" t="str">
            <v>Nunnykirk Centre for Dyslexia</v>
          </cell>
          <cell r="D21329" t="str">
            <v>Northumberland</v>
          </cell>
          <cell r="E21329" t="str">
            <v>Non-Maintained Special School</v>
          </cell>
          <cell r="F21329" t="str">
            <v>Special</v>
          </cell>
        </row>
        <row r="21330">
          <cell r="A21330">
            <v>9296042</v>
          </cell>
          <cell r="B21330">
            <v>129708</v>
          </cell>
          <cell r="C21330" t="str">
            <v>Nunnykirk School</v>
          </cell>
          <cell r="D21330" t="str">
            <v>Northumberland</v>
          </cell>
          <cell r="E21330" t="str">
            <v>Other Independent School</v>
          </cell>
          <cell r="F21330" t="str">
            <v>Not applicable</v>
          </cell>
        </row>
        <row r="21331">
          <cell r="A21331">
            <v>8122003</v>
          </cell>
          <cell r="B21331">
            <v>133342</v>
          </cell>
          <cell r="C21331" t="str">
            <v>Nunsthorpe Community School</v>
          </cell>
          <cell r="D21331" t="str">
            <v>North East Lincolnshire</v>
          </cell>
          <cell r="E21331" t="str">
            <v>Community School</v>
          </cell>
          <cell r="F21331" t="str">
            <v>Primary</v>
          </cell>
        </row>
        <row r="21332">
          <cell r="A21332">
            <v>9202308</v>
          </cell>
          <cell r="B21332">
            <v>129205</v>
          </cell>
          <cell r="C21332" t="str">
            <v>Nunsthorpe First School</v>
          </cell>
          <cell r="D21332" t="str">
            <v>Pre LGR (1996) Humberside</v>
          </cell>
          <cell r="E21332" t="str">
            <v>Community School</v>
          </cell>
          <cell r="F21332" t="str">
            <v>Primary</v>
          </cell>
        </row>
        <row r="21333">
          <cell r="A21333">
            <v>8122927</v>
          </cell>
          <cell r="B21333">
            <v>117954</v>
          </cell>
          <cell r="C21333" t="str">
            <v>Nunsthorpe Infants' School</v>
          </cell>
          <cell r="D21333" t="str">
            <v>North East Lincolnshire</v>
          </cell>
          <cell r="E21333" t="str">
            <v>Community School</v>
          </cell>
          <cell r="F21333" t="str">
            <v>Primary</v>
          </cell>
        </row>
        <row r="21334">
          <cell r="A21334">
            <v>8122928</v>
          </cell>
          <cell r="B21334">
            <v>117955</v>
          </cell>
          <cell r="C21334" t="str">
            <v>Nunsthorpe Junior School</v>
          </cell>
          <cell r="D21334" t="str">
            <v>North East Lincolnshire</v>
          </cell>
          <cell r="E21334" t="str">
            <v>Community School</v>
          </cell>
          <cell r="F21334" t="str">
            <v>Primary</v>
          </cell>
        </row>
        <row r="21335">
          <cell r="A21335">
            <v>9202307</v>
          </cell>
          <cell r="B21335">
            <v>129204</v>
          </cell>
          <cell r="C21335" t="str">
            <v>Nunsthorpe Middle School</v>
          </cell>
          <cell r="D21335" t="str">
            <v>Pre LGR (1996) Humberside</v>
          </cell>
          <cell r="E21335" t="str">
            <v>Community School</v>
          </cell>
          <cell r="F21335" t="str">
            <v>Middle Deemed Primary</v>
          </cell>
        </row>
        <row r="21336">
          <cell r="A21336">
            <v>8121006</v>
          </cell>
          <cell r="B21336">
            <v>117696</v>
          </cell>
          <cell r="C21336" t="str">
            <v>Nunsthorpe Nursery and Early Excellence Centre</v>
          </cell>
          <cell r="D21336" t="str">
            <v>North East Lincolnshire</v>
          </cell>
          <cell r="E21336" t="str">
            <v>LA Nursery School</v>
          </cell>
          <cell r="F21336" t="str">
            <v>Nursery</v>
          </cell>
        </row>
        <row r="21337">
          <cell r="A21337">
            <v>8072166</v>
          </cell>
          <cell r="B21337">
            <v>111594</v>
          </cell>
          <cell r="C21337" t="str">
            <v>Nunthorpe Primary School</v>
          </cell>
          <cell r="D21337" t="str">
            <v>Redcar and Cleveland</v>
          </cell>
          <cell r="E21337" t="str">
            <v>Community School</v>
          </cell>
          <cell r="F21337" t="str">
            <v>Primary</v>
          </cell>
        </row>
        <row r="21338">
          <cell r="A21338">
            <v>8074121</v>
          </cell>
          <cell r="B21338">
            <v>111740</v>
          </cell>
          <cell r="C21338" t="str">
            <v>Nunthorpe School</v>
          </cell>
          <cell r="D21338" t="str">
            <v>Redcar and Cleveland</v>
          </cell>
          <cell r="E21338" t="str">
            <v>Foundation School</v>
          </cell>
          <cell r="F21338" t="str">
            <v>Secondary</v>
          </cell>
        </row>
        <row r="21339">
          <cell r="A21339">
            <v>8602175</v>
          </cell>
          <cell r="B21339">
            <v>124065</v>
          </cell>
          <cell r="C21339" t="str">
            <v>Nursery Fields Primary School</v>
          </cell>
          <cell r="D21339" t="str">
            <v>Staffordshire</v>
          </cell>
          <cell r="E21339" t="str">
            <v>Community School</v>
          </cell>
          <cell r="F21339" t="str">
            <v>Primary</v>
          </cell>
        </row>
        <row r="21340">
          <cell r="A21340">
            <v>9372001</v>
          </cell>
          <cell r="B21340">
            <v>125500</v>
          </cell>
          <cell r="C21340" t="str">
            <v>Nursery Hill Primary School</v>
          </cell>
          <cell r="D21340" t="str">
            <v>Warwickshire</v>
          </cell>
          <cell r="E21340" t="str">
            <v>Community School</v>
          </cell>
          <cell r="F21340" t="str">
            <v>Primary</v>
          </cell>
        </row>
        <row r="21341">
          <cell r="A21341">
            <v>8503112</v>
          </cell>
          <cell r="B21341">
            <v>116303</v>
          </cell>
          <cell r="C21341" t="str">
            <v>Nursling Church of England Primary School</v>
          </cell>
          <cell r="D21341" t="str">
            <v>Hampshire</v>
          </cell>
          <cell r="E21341" t="str">
            <v>Voluntary Controlled School</v>
          </cell>
          <cell r="F21341" t="str">
            <v>Primary</v>
          </cell>
        </row>
        <row r="21342">
          <cell r="A21342">
            <v>8652005</v>
          </cell>
          <cell r="B21342">
            <v>132832</v>
          </cell>
          <cell r="C21342" t="str">
            <v>Nursteed Community Primary School</v>
          </cell>
          <cell r="D21342" t="str">
            <v>Wiltshire</v>
          </cell>
          <cell r="E21342" t="str">
            <v>Community School</v>
          </cell>
          <cell r="F21342" t="str">
            <v>Primary</v>
          </cell>
        </row>
        <row r="21343">
          <cell r="A21343">
            <v>9363376</v>
          </cell>
          <cell r="B21343">
            <v>125193</v>
          </cell>
          <cell r="C21343" t="str">
            <v>Nutfield Church CofE Primary School</v>
          </cell>
          <cell r="D21343" t="str">
            <v>Surrey</v>
          </cell>
          <cell r="E21343" t="str">
            <v>Voluntary Aided School</v>
          </cell>
          <cell r="F21343" t="str">
            <v>Primary</v>
          </cell>
        </row>
        <row r="21344">
          <cell r="A21344">
            <v>3423501</v>
          </cell>
          <cell r="B21344">
            <v>104821</v>
          </cell>
          <cell r="C21344" t="str">
            <v>Nutgrove Methodist Aided Primary School</v>
          </cell>
          <cell r="D21344" t="str">
            <v>St. Helens</v>
          </cell>
          <cell r="E21344" t="str">
            <v>Voluntary Aided School</v>
          </cell>
          <cell r="F21344" t="str">
            <v>Primary</v>
          </cell>
        </row>
        <row r="21345">
          <cell r="A21345">
            <v>8453048</v>
          </cell>
          <cell r="B21345">
            <v>114517</v>
          </cell>
          <cell r="C21345" t="str">
            <v>Nutley Church of England Primary School</v>
          </cell>
          <cell r="D21345" t="str">
            <v>East Sussex</v>
          </cell>
          <cell r="E21345" t="str">
            <v>Voluntary Controlled School</v>
          </cell>
          <cell r="F21345" t="str">
            <v>Primary</v>
          </cell>
        </row>
        <row r="21346">
          <cell r="A21346">
            <v>9383348</v>
          </cell>
          <cell r="B21346">
            <v>126052</v>
          </cell>
          <cell r="C21346" t="str">
            <v>Nyewood CofE Infant School, Bognor Regis</v>
          </cell>
          <cell r="D21346" t="str">
            <v>West Sussex</v>
          </cell>
          <cell r="E21346" t="str">
            <v>Voluntary Aided School</v>
          </cell>
          <cell r="F21346" t="str">
            <v>Primary</v>
          </cell>
        </row>
        <row r="21347">
          <cell r="A21347">
            <v>9383303</v>
          </cell>
          <cell r="B21347">
            <v>126021</v>
          </cell>
          <cell r="C21347" t="str">
            <v>Nyewood CofE Junior School</v>
          </cell>
          <cell r="D21347" t="str">
            <v>West Sussex</v>
          </cell>
          <cell r="E21347" t="str">
            <v>Voluntary Aided School</v>
          </cell>
          <cell r="F21347" t="str">
            <v>Primary</v>
          </cell>
        </row>
        <row r="21348">
          <cell r="A21348">
            <v>8667000</v>
          </cell>
          <cell r="B21348">
            <v>126544</v>
          </cell>
          <cell r="C21348" t="str">
            <v>Nyland School</v>
          </cell>
          <cell r="D21348" t="str">
            <v>Swindon</v>
          </cell>
          <cell r="E21348" t="str">
            <v>Community Special School</v>
          </cell>
          <cell r="F21348" t="str">
            <v>Special</v>
          </cell>
        </row>
        <row r="21349">
          <cell r="A21349">
            <v>9333185</v>
          </cell>
          <cell r="B21349">
            <v>123799</v>
          </cell>
          <cell r="C21349" t="str">
            <v>Nynehead Church of England Primary School</v>
          </cell>
          <cell r="D21349" t="str">
            <v>Somerset</v>
          </cell>
          <cell r="E21349" t="str">
            <v>Voluntary Controlled School</v>
          </cell>
          <cell r="F21349" t="str">
            <v>Primary</v>
          </cell>
        </row>
        <row r="21350">
          <cell r="A21350">
            <v>8662161</v>
          </cell>
          <cell r="B21350">
            <v>126249</v>
          </cell>
          <cell r="C21350" t="str">
            <v>Nythe Primary School</v>
          </cell>
          <cell r="D21350" t="str">
            <v>Swindon</v>
          </cell>
          <cell r="E21350" t="str">
            <v>Community School</v>
          </cell>
          <cell r="F21350" t="str">
            <v>Primary</v>
          </cell>
        </row>
        <row r="21351">
          <cell r="A21351">
            <v>3066015</v>
          </cell>
          <cell r="B21351">
            <v>136075</v>
          </cell>
          <cell r="C21351" t="str">
            <v>NZO Academy of London &amp; Surrey</v>
          </cell>
          <cell r="D21351" t="str">
            <v>Croydon</v>
          </cell>
          <cell r="E21351" t="str">
            <v>Other Independent School</v>
          </cell>
          <cell r="F21351" t="str">
            <v>Not applicable</v>
          </cell>
        </row>
        <row r="21352">
          <cell r="A21352">
            <v>8237018</v>
          </cell>
          <cell r="B21352">
            <v>109747</v>
          </cell>
          <cell r="C21352" t="str">
            <v>Oak Bank School</v>
          </cell>
          <cell r="D21352" t="str">
            <v>Central Bedfordshire</v>
          </cell>
          <cell r="E21352" t="str">
            <v>Community Special School</v>
          </cell>
          <cell r="F21352" t="str">
            <v>Special</v>
          </cell>
        </row>
        <row r="21353">
          <cell r="A21353">
            <v>9227036</v>
          </cell>
          <cell r="B21353">
            <v>129462</v>
          </cell>
          <cell r="C21353" t="str">
            <v>Oak Bank School</v>
          </cell>
          <cell r="D21353" t="str">
            <v>Pre LGR (1998) Kent</v>
          </cell>
          <cell r="E21353" t="str">
            <v>Community Special School</v>
          </cell>
          <cell r="F21353" t="str">
            <v>Special</v>
          </cell>
        </row>
        <row r="21354">
          <cell r="A21354">
            <v>3342030</v>
          </cell>
          <cell r="B21354">
            <v>104056</v>
          </cell>
          <cell r="C21354" t="str">
            <v>Oak Cottage Primary School</v>
          </cell>
          <cell r="D21354" t="str">
            <v>Solihull</v>
          </cell>
          <cell r="E21354" t="str">
            <v>Community School</v>
          </cell>
          <cell r="F21354" t="str">
            <v>Primary</v>
          </cell>
        </row>
        <row r="21355">
          <cell r="A21355">
            <v>8504207</v>
          </cell>
          <cell r="B21355">
            <v>116449</v>
          </cell>
          <cell r="C21355" t="str">
            <v>Oak Farm Community School</v>
          </cell>
          <cell r="D21355" t="str">
            <v>Hampshire</v>
          </cell>
          <cell r="E21355" t="str">
            <v>Community School</v>
          </cell>
          <cell r="F21355" t="str">
            <v>Secondary</v>
          </cell>
        </row>
        <row r="21356">
          <cell r="A21356">
            <v>3125200</v>
          </cell>
          <cell r="B21356">
            <v>102430</v>
          </cell>
          <cell r="C21356" t="str">
            <v>Oak Farm Infant School</v>
          </cell>
          <cell r="D21356" t="str">
            <v>Hillingdon</v>
          </cell>
          <cell r="E21356" t="str">
            <v>Foundation School</v>
          </cell>
          <cell r="F21356" t="str">
            <v>Primary</v>
          </cell>
        </row>
        <row r="21357">
          <cell r="A21357">
            <v>3125201</v>
          </cell>
          <cell r="B21357">
            <v>102431</v>
          </cell>
          <cell r="C21357" t="str">
            <v>Oak Farm Junior School</v>
          </cell>
          <cell r="D21357" t="str">
            <v>Hillingdon</v>
          </cell>
          <cell r="E21357" t="str">
            <v>Foundation School</v>
          </cell>
          <cell r="F21357" t="str">
            <v>Primary</v>
          </cell>
        </row>
        <row r="21358">
          <cell r="A21358">
            <v>8927042</v>
          </cell>
          <cell r="B21358">
            <v>135573</v>
          </cell>
          <cell r="C21358" t="str">
            <v>Oak Field School and Specialist Sports College</v>
          </cell>
          <cell r="D21358" t="str">
            <v>Nottingham</v>
          </cell>
          <cell r="E21358" t="str">
            <v>Community Special School</v>
          </cell>
          <cell r="F21358" t="str">
            <v>Special</v>
          </cell>
        </row>
        <row r="21359">
          <cell r="A21359">
            <v>8252001</v>
          </cell>
          <cell r="B21359">
            <v>110206</v>
          </cell>
          <cell r="C21359" t="str">
            <v>Oak Green School</v>
          </cell>
          <cell r="D21359" t="str">
            <v>Buckinghamshire</v>
          </cell>
          <cell r="E21359" t="str">
            <v>Community School</v>
          </cell>
          <cell r="F21359" t="str">
            <v>Primary</v>
          </cell>
        </row>
        <row r="21360">
          <cell r="A21360">
            <v>9387010</v>
          </cell>
          <cell r="B21360">
            <v>126161</v>
          </cell>
          <cell r="C21360" t="str">
            <v>Oak Grove College</v>
          </cell>
          <cell r="D21360" t="str">
            <v>West Sussex</v>
          </cell>
          <cell r="E21360" t="str">
            <v>Community Special School</v>
          </cell>
          <cell r="F21360" t="str">
            <v>Special</v>
          </cell>
        </row>
        <row r="21361">
          <cell r="A21361">
            <v>3567510</v>
          </cell>
          <cell r="B21361">
            <v>131887</v>
          </cell>
          <cell r="C21361" t="str">
            <v>Oak Grove School</v>
          </cell>
          <cell r="D21361" t="str">
            <v>Stockport</v>
          </cell>
          <cell r="E21361" t="str">
            <v>Community Special School</v>
          </cell>
          <cell r="F21361" t="str">
            <v>Special</v>
          </cell>
        </row>
        <row r="21362">
          <cell r="A21362">
            <v>2077134</v>
          </cell>
          <cell r="B21362">
            <v>126649</v>
          </cell>
          <cell r="C21362" t="str">
            <v>Oak Hall School</v>
          </cell>
          <cell r="D21362" t="str">
            <v>Kensington and Chelsea</v>
          </cell>
          <cell r="E21362" t="str">
            <v>Community Special School</v>
          </cell>
          <cell r="F21362" t="str">
            <v>Special</v>
          </cell>
        </row>
        <row r="21363">
          <cell r="A21363">
            <v>3136081</v>
          </cell>
          <cell r="B21363">
            <v>135090</v>
          </cell>
          <cell r="C21363" t="str">
            <v>Oak Heights Independent School</v>
          </cell>
          <cell r="D21363" t="str">
            <v>Hounslow</v>
          </cell>
          <cell r="E21363" t="str">
            <v>Other Independent School</v>
          </cell>
          <cell r="F21363" t="str">
            <v>Not applicable</v>
          </cell>
        </row>
        <row r="21364">
          <cell r="A21364">
            <v>8021104</v>
          </cell>
          <cell r="B21364">
            <v>132139</v>
          </cell>
          <cell r="C21364" t="str">
            <v>Oak Hill</v>
          </cell>
          <cell r="D21364" t="str">
            <v>North Somerset</v>
          </cell>
          <cell r="E21364" t="str">
            <v>Pupil Referral Unit</v>
          </cell>
          <cell r="F21364" t="str">
            <v>PRU</v>
          </cell>
        </row>
        <row r="21365">
          <cell r="A21365">
            <v>9163099</v>
          </cell>
          <cell r="B21365">
            <v>115670</v>
          </cell>
          <cell r="C21365" t="str">
            <v>Oak Hill Church of England Primary School</v>
          </cell>
          <cell r="D21365" t="str">
            <v>Gloucestershire</v>
          </cell>
          <cell r="E21365" t="str">
            <v>Voluntary Controlled School</v>
          </cell>
          <cell r="F21365" t="str">
            <v>Primary</v>
          </cell>
        </row>
        <row r="21366">
          <cell r="A21366">
            <v>8852920</v>
          </cell>
          <cell r="B21366">
            <v>132820</v>
          </cell>
          <cell r="C21366" t="str">
            <v>Oak Hill First School</v>
          </cell>
          <cell r="D21366" t="str">
            <v>Worcestershire</v>
          </cell>
          <cell r="E21366" t="str">
            <v>Community School</v>
          </cell>
          <cell r="F21366" t="str">
            <v>Primary</v>
          </cell>
        </row>
        <row r="21367">
          <cell r="A21367">
            <v>8016017</v>
          </cell>
          <cell r="B21367">
            <v>109376</v>
          </cell>
          <cell r="C21367" t="str">
            <v>Oak Hill School</v>
          </cell>
          <cell r="D21367" t="str">
            <v>Bristol City of</v>
          </cell>
          <cell r="E21367" t="str">
            <v>Other Independent School</v>
          </cell>
          <cell r="F21367" t="str">
            <v>Not applicable</v>
          </cell>
        </row>
        <row r="21368">
          <cell r="A21368">
            <v>8736047</v>
          </cell>
          <cell r="B21368">
            <v>135991</v>
          </cell>
          <cell r="C21368" t="str">
            <v>Oak House</v>
          </cell>
          <cell r="D21368" t="str">
            <v>Cambridgeshire</v>
          </cell>
          <cell r="E21368" t="str">
            <v>Other Independent Special School</v>
          </cell>
          <cell r="F21368" t="str">
            <v>Not applicable</v>
          </cell>
        </row>
        <row r="21369">
          <cell r="A21369">
            <v>875611</v>
          </cell>
          <cell r="B21369">
            <v>133116</v>
          </cell>
          <cell r="C21369" t="str">
            <v>Oak House / Redsands</v>
          </cell>
          <cell r="D21369" t="str">
            <v>Pre LGR (2009) Cheshire</v>
          </cell>
          <cell r="E21369" t="str">
            <v>Secure Units</v>
          </cell>
          <cell r="F21369" t="str">
            <v>Not applicable</v>
          </cell>
        </row>
        <row r="21370">
          <cell r="A21370">
            <v>8816230</v>
          </cell>
          <cell r="B21370">
            <v>135692</v>
          </cell>
          <cell r="C21370" t="str">
            <v>Oak House Primary School</v>
          </cell>
          <cell r="D21370" t="str">
            <v>Essex</v>
          </cell>
          <cell r="E21370" t="str">
            <v>Other Independent School</v>
          </cell>
          <cell r="F21370" t="str">
            <v>Not applicable</v>
          </cell>
        </row>
        <row r="21371">
          <cell r="A21371">
            <v>3052010</v>
          </cell>
          <cell r="B21371">
            <v>101593</v>
          </cell>
          <cell r="C21371" t="str">
            <v>Oak Lodge Primary School</v>
          </cell>
          <cell r="D21371" t="str">
            <v>Bromley</v>
          </cell>
          <cell r="E21371" t="str">
            <v>Community School</v>
          </cell>
          <cell r="F21371" t="str">
            <v>Primary</v>
          </cell>
        </row>
        <row r="21372">
          <cell r="A21372">
            <v>2127068</v>
          </cell>
          <cell r="B21372">
            <v>101094</v>
          </cell>
          <cell r="C21372" t="str">
            <v>Oak Lodge School</v>
          </cell>
          <cell r="D21372" t="str">
            <v>Wandsworth</v>
          </cell>
          <cell r="E21372" t="str">
            <v>Community Special School</v>
          </cell>
          <cell r="F21372" t="str">
            <v>Special</v>
          </cell>
        </row>
        <row r="21373">
          <cell r="A21373">
            <v>3027000</v>
          </cell>
          <cell r="B21373">
            <v>101394</v>
          </cell>
          <cell r="C21373" t="str">
            <v>Oak Lodge School</v>
          </cell>
          <cell r="D21373" t="str">
            <v>Barnet</v>
          </cell>
          <cell r="E21373" t="str">
            <v>Community Special School</v>
          </cell>
          <cell r="F21373" t="str">
            <v>Special</v>
          </cell>
        </row>
        <row r="21374">
          <cell r="A21374">
            <v>8507070</v>
          </cell>
          <cell r="B21374">
            <v>116637</v>
          </cell>
          <cell r="C21374" t="str">
            <v>Oak Lodge School</v>
          </cell>
          <cell r="D21374" t="str">
            <v>Hampshire</v>
          </cell>
          <cell r="E21374" t="str">
            <v>Community Special School</v>
          </cell>
          <cell r="F21374" t="str">
            <v>Special</v>
          </cell>
        </row>
        <row r="21375">
          <cell r="A21375">
            <v>8503216</v>
          </cell>
          <cell r="B21375">
            <v>131419</v>
          </cell>
          <cell r="C21375" t="str">
            <v>Oak Meadow Church of England Controlled Primary School</v>
          </cell>
          <cell r="D21375" t="str">
            <v>Hampshire</v>
          </cell>
          <cell r="E21375" t="str">
            <v>Voluntary Controlled School</v>
          </cell>
          <cell r="F21375" t="str">
            <v>Primary</v>
          </cell>
        </row>
        <row r="21376">
          <cell r="A21376">
            <v>3362102</v>
          </cell>
          <cell r="B21376">
            <v>104341</v>
          </cell>
          <cell r="C21376" t="str">
            <v>Oak Meadow Primary School</v>
          </cell>
          <cell r="D21376" t="str">
            <v>Wolverhampton</v>
          </cell>
          <cell r="E21376" t="str">
            <v>Community School</v>
          </cell>
          <cell r="F21376" t="str">
            <v>Primary</v>
          </cell>
        </row>
        <row r="21377">
          <cell r="A21377">
            <v>9174178</v>
          </cell>
          <cell r="B21377">
            <v>129036</v>
          </cell>
          <cell r="C21377" t="str">
            <v>Oak Park Community School</v>
          </cell>
          <cell r="D21377" t="str">
            <v>Pre LGR (1997) Hampshire</v>
          </cell>
          <cell r="E21377" t="str">
            <v>Community School</v>
          </cell>
          <cell r="F21377" t="str">
            <v>Secondary</v>
          </cell>
        </row>
        <row r="21378">
          <cell r="A21378">
            <v>3736003</v>
          </cell>
          <cell r="B21378">
            <v>137568</v>
          </cell>
          <cell r="C21378" t="str">
            <v>Oak Tree High</v>
          </cell>
          <cell r="D21378" t="str">
            <v>Sheffield</v>
          </cell>
          <cell r="E21378" t="str">
            <v>Other Independent School</v>
          </cell>
          <cell r="F21378" t="str">
            <v>Not applicable</v>
          </cell>
        </row>
        <row r="21379">
          <cell r="A21379">
            <v>8912019</v>
          </cell>
          <cell r="B21379">
            <v>122406</v>
          </cell>
          <cell r="C21379" t="str">
            <v>Oak Tree Lane First and Nursery School</v>
          </cell>
          <cell r="D21379" t="str">
            <v>Nottinghamshire</v>
          </cell>
          <cell r="E21379" t="str">
            <v>Community School</v>
          </cell>
          <cell r="F21379" t="str">
            <v>Primary</v>
          </cell>
        </row>
        <row r="21380">
          <cell r="A21380">
            <v>3834241</v>
          </cell>
          <cell r="B21380">
            <v>127989</v>
          </cell>
          <cell r="C21380" t="str">
            <v>Oak Tree Middle School</v>
          </cell>
          <cell r="D21380" t="str">
            <v>Leeds</v>
          </cell>
          <cell r="E21380" t="str">
            <v>Community School</v>
          </cell>
          <cell r="F21380" t="str">
            <v>Middle Deemed Secondary</v>
          </cell>
        </row>
        <row r="21381">
          <cell r="A21381">
            <v>8662005</v>
          </cell>
          <cell r="B21381">
            <v>132064</v>
          </cell>
          <cell r="C21381" t="str">
            <v>Oak Tree Nursery and Primary School</v>
          </cell>
          <cell r="D21381" t="str">
            <v>Swindon</v>
          </cell>
          <cell r="E21381" t="str">
            <v>Community School</v>
          </cell>
          <cell r="F21381" t="str">
            <v>Primary</v>
          </cell>
        </row>
        <row r="21382">
          <cell r="A21382">
            <v>8862619</v>
          </cell>
          <cell r="B21382">
            <v>118543</v>
          </cell>
          <cell r="C21382" t="str">
            <v>Oak Tree Primary School</v>
          </cell>
          <cell r="D21382" t="str">
            <v>Kent</v>
          </cell>
          <cell r="E21382" t="str">
            <v>Community School</v>
          </cell>
          <cell r="F21382" t="str">
            <v>Primary</v>
          </cell>
        </row>
        <row r="21383">
          <cell r="A21383">
            <v>8913777</v>
          </cell>
          <cell r="B21383">
            <v>133276</v>
          </cell>
          <cell r="C21383" t="str">
            <v>Oak Tree Primary School</v>
          </cell>
          <cell r="D21383" t="str">
            <v>Nottinghamshire</v>
          </cell>
          <cell r="E21383" t="str">
            <v>Community School</v>
          </cell>
          <cell r="F21383" t="str">
            <v>Primary</v>
          </cell>
        </row>
        <row r="21384">
          <cell r="A21384">
            <v>8862173</v>
          </cell>
          <cell r="B21384">
            <v>118299</v>
          </cell>
          <cell r="C21384" t="str">
            <v>Oak Trees Community School</v>
          </cell>
          <cell r="D21384" t="str">
            <v>Kent</v>
          </cell>
          <cell r="E21384" t="str">
            <v>Community School</v>
          </cell>
          <cell r="F21384" t="str">
            <v>Primary</v>
          </cell>
        </row>
        <row r="21385">
          <cell r="A21385">
            <v>9193989</v>
          </cell>
          <cell r="B21385">
            <v>135223</v>
          </cell>
          <cell r="C21385" t="str">
            <v>Oak View Primary and Nursery School</v>
          </cell>
          <cell r="D21385" t="str">
            <v>Hertfordshire</v>
          </cell>
          <cell r="E21385" t="str">
            <v>Community School</v>
          </cell>
          <cell r="F21385" t="str">
            <v>Primary</v>
          </cell>
        </row>
        <row r="21386">
          <cell r="A21386">
            <v>8817044</v>
          </cell>
          <cell r="B21386">
            <v>115460</v>
          </cell>
          <cell r="C21386" t="str">
            <v>Oak View School</v>
          </cell>
          <cell r="D21386" t="str">
            <v>Essex</v>
          </cell>
          <cell r="E21386" t="str">
            <v>Community Special School</v>
          </cell>
          <cell r="F21386" t="str">
            <v>Special</v>
          </cell>
        </row>
        <row r="21387">
          <cell r="A21387">
            <v>9377002</v>
          </cell>
          <cell r="B21387">
            <v>134110</v>
          </cell>
          <cell r="C21387" t="str">
            <v>Oak Wood Primary School</v>
          </cell>
          <cell r="D21387" t="str">
            <v>Warwickshire</v>
          </cell>
          <cell r="E21387" t="str">
            <v>Community Special School</v>
          </cell>
          <cell r="F21387" t="str">
            <v>Special</v>
          </cell>
        </row>
        <row r="21388">
          <cell r="A21388">
            <v>9377046</v>
          </cell>
          <cell r="B21388">
            <v>123974</v>
          </cell>
          <cell r="C21388" t="str">
            <v>Oak Wood Secondary School</v>
          </cell>
          <cell r="D21388" t="str">
            <v>Warwickshire</v>
          </cell>
          <cell r="E21388" t="str">
            <v>Community Special School</v>
          </cell>
          <cell r="F21388" t="str">
            <v>Special</v>
          </cell>
        </row>
        <row r="21389">
          <cell r="A21389">
            <v>3805402</v>
          </cell>
          <cell r="B21389">
            <v>107441</v>
          </cell>
          <cell r="C21389" t="str">
            <v>Oakbank School</v>
          </cell>
          <cell r="D21389" t="str">
            <v>Bradford</v>
          </cell>
          <cell r="E21389" t="str">
            <v>Foundation School</v>
          </cell>
          <cell r="F21389" t="str">
            <v>Secondary</v>
          </cell>
        </row>
        <row r="21390">
          <cell r="A21390">
            <v>6764053</v>
          </cell>
          <cell r="B21390">
            <v>401833</v>
          </cell>
          <cell r="C21390" t="str">
            <v>Oakdale Comprehensive School</v>
          </cell>
          <cell r="D21390" t="str">
            <v>Caerphilly</v>
          </cell>
          <cell r="E21390" t="str">
            <v>Welsh Establishment</v>
          </cell>
          <cell r="F21390" t="str">
            <v>Secondary</v>
          </cell>
        </row>
        <row r="21391">
          <cell r="A21391">
            <v>8362159</v>
          </cell>
          <cell r="B21391">
            <v>113690</v>
          </cell>
          <cell r="C21391" t="str">
            <v>Oakdale County Middle School</v>
          </cell>
          <cell r="D21391" t="str">
            <v>Poole</v>
          </cell>
          <cell r="E21391" t="str">
            <v>Community School</v>
          </cell>
          <cell r="F21391" t="str">
            <v>Middle Deemed Primary</v>
          </cell>
        </row>
        <row r="21392">
          <cell r="A21392">
            <v>3802153</v>
          </cell>
          <cell r="B21392">
            <v>107278</v>
          </cell>
          <cell r="C21392" t="str">
            <v>Oakdale First School</v>
          </cell>
          <cell r="D21392" t="str">
            <v>Bradford</v>
          </cell>
          <cell r="E21392" t="str">
            <v>Community School</v>
          </cell>
          <cell r="F21392" t="str">
            <v>Primary</v>
          </cell>
        </row>
        <row r="21393">
          <cell r="A21393">
            <v>6762082</v>
          </cell>
          <cell r="B21393">
            <v>401306</v>
          </cell>
          <cell r="C21393" t="str">
            <v>Oakdale Infant School</v>
          </cell>
          <cell r="D21393" t="str">
            <v>Caerphilly</v>
          </cell>
          <cell r="E21393" t="str">
            <v>Welsh Establishment</v>
          </cell>
          <cell r="F21393" t="str">
            <v>Primary</v>
          </cell>
        </row>
        <row r="21394">
          <cell r="A21394">
            <v>3172048</v>
          </cell>
          <cell r="B21394">
            <v>102827</v>
          </cell>
          <cell r="C21394" t="str">
            <v>Oakdale Infants' School</v>
          </cell>
          <cell r="D21394" t="str">
            <v>Redbridge</v>
          </cell>
          <cell r="E21394" t="str">
            <v>Community School</v>
          </cell>
          <cell r="F21394" t="str">
            <v>Primary</v>
          </cell>
        </row>
        <row r="21395">
          <cell r="A21395">
            <v>3173517</v>
          </cell>
          <cell r="B21395">
            <v>133932</v>
          </cell>
          <cell r="C21395" t="str">
            <v>Oakdale Infants' School</v>
          </cell>
          <cell r="D21395" t="str">
            <v>Redbridge</v>
          </cell>
          <cell r="E21395" t="str">
            <v>Community School</v>
          </cell>
          <cell r="F21395" t="str">
            <v>Primary</v>
          </cell>
        </row>
        <row r="21396">
          <cell r="A21396">
            <v>3172047</v>
          </cell>
          <cell r="B21396">
            <v>102826</v>
          </cell>
          <cell r="C21396" t="str">
            <v>Oakdale Junior School</v>
          </cell>
          <cell r="D21396" t="str">
            <v>Redbridge</v>
          </cell>
          <cell r="E21396" t="str">
            <v>Community School</v>
          </cell>
          <cell r="F21396" t="str">
            <v>Primary</v>
          </cell>
        </row>
        <row r="21397">
          <cell r="A21397">
            <v>3173516</v>
          </cell>
          <cell r="B21397">
            <v>133931</v>
          </cell>
          <cell r="C21397" t="str">
            <v>Oakdale Junior School</v>
          </cell>
          <cell r="D21397" t="str">
            <v>Redbridge</v>
          </cell>
          <cell r="E21397" t="str">
            <v>Community School</v>
          </cell>
          <cell r="F21397" t="str">
            <v>Primary</v>
          </cell>
        </row>
        <row r="21398">
          <cell r="A21398">
            <v>2086385</v>
          </cell>
          <cell r="B21398">
            <v>126653</v>
          </cell>
          <cell r="C21398" t="str">
            <v>Oakdale Preparatory School</v>
          </cell>
          <cell r="D21398" t="str">
            <v>Lambeth</v>
          </cell>
          <cell r="E21398" t="str">
            <v>Other Independent School</v>
          </cell>
          <cell r="F21398" t="str">
            <v>Not applicable</v>
          </cell>
        </row>
        <row r="21399">
          <cell r="A21399">
            <v>8742251</v>
          </cell>
          <cell r="B21399">
            <v>110710</v>
          </cell>
          <cell r="C21399" t="str">
            <v>Oakdale Primary School</v>
          </cell>
          <cell r="D21399" t="str">
            <v>Peterborough</v>
          </cell>
          <cell r="E21399" t="str">
            <v>Community School</v>
          </cell>
          <cell r="F21399" t="str">
            <v>Primary</v>
          </cell>
        </row>
        <row r="21400">
          <cell r="A21400">
            <v>3577009</v>
          </cell>
          <cell r="B21400">
            <v>106281</v>
          </cell>
          <cell r="C21400" t="str">
            <v>Oakdale School and Acorn Nursery</v>
          </cell>
          <cell r="D21400" t="str">
            <v>Tameside</v>
          </cell>
          <cell r="E21400" t="str">
            <v>Community Special School</v>
          </cell>
          <cell r="F21400" t="str">
            <v>Special</v>
          </cell>
        </row>
        <row r="21401">
          <cell r="A21401">
            <v>8362259</v>
          </cell>
          <cell r="B21401">
            <v>131691</v>
          </cell>
          <cell r="C21401" t="str">
            <v>Oakdale South Road Middle School</v>
          </cell>
          <cell r="D21401" t="str">
            <v>Poole</v>
          </cell>
          <cell r="E21401" t="str">
            <v>Community School</v>
          </cell>
          <cell r="F21401" t="str">
            <v>Middle Deemed Primary</v>
          </cell>
        </row>
        <row r="21402">
          <cell r="A21402">
            <v>8911100</v>
          </cell>
          <cell r="B21402">
            <v>122397</v>
          </cell>
          <cell r="C21402" t="str">
            <v>Oakdale Support Centre</v>
          </cell>
          <cell r="D21402" t="str">
            <v>Nottinghamshire</v>
          </cell>
          <cell r="E21402" t="str">
            <v>Pupil Referral Unit</v>
          </cell>
          <cell r="F21402" t="str">
            <v>PRU</v>
          </cell>
        </row>
        <row r="21403">
          <cell r="A21403">
            <v>8789900</v>
          </cell>
          <cell r="B21403">
            <v>133236</v>
          </cell>
          <cell r="C21403" t="str">
            <v>Oakdene Education Trust</v>
          </cell>
          <cell r="D21403" t="str">
            <v>Devon</v>
          </cell>
          <cell r="E21403" t="str">
            <v>Miscellaneous</v>
          </cell>
          <cell r="F21403" t="str">
            <v>Not applicable</v>
          </cell>
        </row>
        <row r="21404">
          <cell r="A21404">
            <v>3422064</v>
          </cell>
          <cell r="B21404">
            <v>104781</v>
          </cell>
          <cell r="C21404" t="str">
            <v>Oakdene Primary School</v>
          </cell>
          <cell r="D21404" t="str">
            <v>St. Helens</v>
          </cell>
          <cell r="E21404" t="str">
            <v>Community School</v>
          </cell>
          <cell r="F21404" t="str">
            <v>Primary</v>
          </cell>
        </row>
        <row r="21405">
          <cell r="A21405">
            <v>8082000</v>
          </cell>
          <cell r="B21405">
            <v>131409</v>
          </cell>
          <cell r="C21405" t="str">
            <v>Oakdene Primary School</v>
          </cell>
          <cell r="D21405" t="str">
            <v>Stockton-on-Tees</v>
          </cell>
          <cell r="E21405" t="str">
            <v>Community School</v>
          </cell>
          <cell r="F21405" t="str">
            <v>Primary</v>
          </cell>
        </row>
        <row r="21406">
          <cell r="A21406">
            <v>9167016</v>
          </cell>
          <cell r="B21406">
            <v>115822</v>
          </cell>
          <cell r="C21406" t="str">
            <v>Oakdene School</v>
          </cell>
          <cell r="D21406" t="str">
            <v>Gloucestershire</v>
          </cell>
          <cell r="E21406" t="str">
            <v>Community Special School</v>
          </cell>
          <cell r="F21406" t="str">
            <v>Special</v>
          </cell>
        </row>
        <row r="21407">
          <cell r="A21407">
            <v>9046004</v>
          </cell>
          <cell r="B21407">
            <v>128352</v>
          </cell>
          <cell r="C21407" t="str">
            <v>Oakdene School</v>
          </cell>
          <cell r="D21407" t="str">
            <v>Pre LGR (1997) Buckinghamshire</v>
          </cell>
          <cell r="E21407" t="str">
            <v>Other Independent School</v>
          </cell>
          <cell r="F21407" t="str">
            <v>Not applicable</v>
          </cell>
        </row>
        <row r="21408">
          <cell r="A21408">
            <v>9332326</v>
          </cell>
          <cell r="B21408">
            <v>123734</v>
          </cell>
          <cell r="C21408" t="str">
            <v>Oake and Bradford Community Primary School</v>
          </cell>
          <cell r="D21408" t="str">
            <v>Somerset</v>
          </cell>
          <cell r="E21408" t="str">
            <v>Community School</v>
          </cell>
          <cell r="F21408" t="str">
            <v>Primary</v>
          </cell>
        </row>
        <row r="21409">
          <cell r="A21409">
            <v>9333290</v>
          </cell>
          <cell r="B21409">
            <v>135832</v>
          </cell>
          <cell r="C21409" t="str">
            <v>Oake, Bradford and Nynehead VC Primary</v>
          </cell>
          <cell r="D21409" t="str">
            <v>Somerset</v>
          </cell>
          <cell r="E21409" t="str">
            <v>Voluntary Controlled School</v>
          </cell>
          <cell r="F21409" t="str">
            <v>Primary</v>
          </cell>
        </row>
        <row r="21410">
          <cell r="A21410">
            <v>8953809</v>
          </cell>
          <cell r="B21410">
            <v>133314</v>
          </cell>
          <cell r="C21410" t="str">
            <v>Oakefield Primary and Nursery School</v>
          </cell>
          <cell r="D21410" t="str">
            <v>Cheshire East</v>
          </cell>
          <cell r="E21410" t="str">
            <v>Community School</v>
          </cell>
          <cell r="F21410" t="str">
            <v>Primary</v>
          </cell>
        </row>
        <row r="21411">
          <cell r="A21411">
            <v>8162215</v>
          </cell>
          <cell r="B21411">
            <v>121352</v>
          </cell>
          <cell r="C21411" t="str">
            <v>Oaken Grove Primary School</v>
          </cell>
          <cell r="D21411" t="str">
            <v>York</v>
          </cell>
          <cell r="E21411" t="str">
            <v>Community School</v>
          </cell>
          <cell r="F21411" t="str">
            <v>Primary</v>
          </cell>
        </row>
        <row r="21412">
          <cell r="A21412">
            <v>8752127</v>
          </cell>
          <cell r="B21412">
            <v>111007</v>
          </cell>
          <cell r="C21412" t="str">
            <v>Oakenclough Primary School</v>
          </cell>
          <cell r="D21412" t="str">
            <v>Pre LGR (2009) Cheshire</v>
          </cell>
          <cell r="E21412" t="str">
            <v>Community School</v>
          </cell>
          <cell r="F21412" t="str">
            <v>Primary</v>
          </cell>
        </row>
        <row r="21413">
          <cell r="A21413">
            <v>8941001</v>
          </cell>
          <cell r="B21413">
            <v>123348</v>
          </cell>
          <cell r="C21413" t="str">
            <v>Oakengates Childrens Centre</v>
          </cell>
          <cell r="D21413" t="str">
            <v>Telford and Wrekin</v>
          </cell>
          <cell r="E21413" t="str">
            <v>LA Nursery School</v>
          </cell>
          <cell r="F21413" t="str">
            <v>Nursery</v>
          </cell>
        </row>
        <row r="21414">
          <cell r="A21414">
            <v>3542019</v>
          </cell>
          <cell r="B21414">
            <v>105775</v>
          </cell>
          <cell r="C21414" t="str">
            <v>Oakenrod Primary School</v>
          </cell>
          <cell r="D21414" t="str">
            <v>Rochdale</v>
          </cell>
          <cell r="E21414" t="str">
            <v>Community School</v>
          </cell>
          <cell r="F21414" t="str">
            <v>Primary</v>
          </cell>
        </row>
        <row r="21415">
          <cell r="A21415">
            <v>3737018</v>
          </cell>
          <cell r="B21415">
            <v>107174</v>
          </cell>
          <cell r="C21415" t="str">
            <v>Oakes Park School</v>
          </cell>
          <cell r="D21415" t="str">
            <v>Sheffield</v>
          </cell>
          <cell r="E21415" t="str">
            <v>Community Special School</v>
          </cell>
          <cell r="F21415" t="str">
            <v>Special</v>
          </cell>
        </row>
        <row r="21416">
          <cell r="A21416">
            <v>8107007</v>
          </cell>
          <cell r="B21416">
            <v>118140</v>
          </cell>
          <cell r="C21416" t="str">
            <v>Oakfield</v>
          </cell>
          <cell r="D21416" t="str">
            <v>Kingston upon Hull City of</v>
          </cell>
          <cell r="E21416" t="str">
            <v>Community Special School</v>
          </cell>
          <cell r="F21416" t="str">
            <v>Special</v>
          </cell>
        </row>
        <row r="21417">
          <cell r="A21417">
            <v>9213303</v>
          </cell>
          <cell r="B21417">
            <v>118193</v>
          </cell>
          <cell r="C21417" t="str">
            <v>Oakfield Church of England Aided Primary School, Ryde</v>
          </cell>
          <cell r="D21417" t="str">
            <v>Isle of Wight</v>
          </cell>
          <cell r="E21417" t="str">
            <v>Voluntary Aided School</v>
          </cell>
          <cell r="F21417" t="str">
            <v>Primary</v>
          </cell>
        </row>
        <row r="21418">
          <cell r="A21418">
            <v>3917032</v>
          </cell>
          <cell r="B21418">
            <v>108561</v>
          </cell>
          <cell r="C21418" t="str">
            <v>Oakfield College</v>
          </cell>
          <cell r="D21418" t="str">
            <v>Newcastle upon Tyne</v>
          </cell>
          <cell r="E21418" t="str">
            <v>Community Special School</v>
          </cell>
          <cell r="F21418" t="str">
            <v>Special</v>
          </cell>
        </row>
        <row r="21419">
          <cell r="A21419">
            <v>3914497</v>
          </cell>
          <cell r="B21419">
            <v>128135</v>
          </cell>
          <cell r="C21419" t="str">
            <v>Oakfield College</v>
          </cell>
          <cell r="D21419" t="str">
            <v>Newcastle upon Tyne</v>
          </cell>
          <cell r="E21419" t="str">
            <v>Community School</v>
          </cell>
          <cell r="F21419" t="str">
            <v>Secondary</v>
          </cell>
        </row>
        <row r="21420">
          <cell r="A21420">
            <v>8762418</v>
          </cell>
          <cell r="B21420">
            <v>111190</v>
          </cell>
          <cell r="C21420" t="str">
            <v>Oakfield Community Infant School</v>
          </cell>
          <cell r="D21420" t="str">
            <v>Halton</v>
          </cell>
          <cell r="E21420" t="str">
            <v>Community School</v>
          </cell>
          <cell r="F21420" t="str">
            <v>Primary</v>
          </cell>
        </row>
        <row r="21421">
          <cell r="A21421">
            <v>8762727</v>
          </cell>
          <cell r="B21421">
            <v>133322</v>
          </cell>
          <cell r="C21421" t="str">
            <v>Oakfield Community Primary School</v>
          </cell>
          <cell r="D21421" t="str">
            <v>Halton</v>
          </cell>
          <cell r="E21421" t="str">
            <v>Community School</v>
          </cell>
          <cell r="F21421" t="str">
            <v>Primary</v>
          </cell>
        </row>
        <row r="21422">
          <cell r="A21422">
            <v>8863914</v>
          </cell>
          <cell r="B21422">
            <v>135179</v>
          </cell>
          <cell r="C21422" t="str">
            <v>Oakfield Community Primary School</v>
          </cell>
          <cell r="D21422" t="str">
            <v>Kent</v>
          </cell>
          <cell r="E21422" t="str">
            <v>Community School</v>
          </cell>
          <cell r="F21422" t="str">
            <v>Primary</v>
          </cell>
        </row>
        <row r="21423">
          <cell r="A21423">
            <v>8682176</v>
          </cell>
          <cell r="B21423">
            <v>109897</v>
          </cell>
          <cell r="C21423" t="str">
            <v>Oakfield First School</v>
          </cell>
          <cell r="D21423" t="str">
            <v>Windsor and Maidenhead</v>
          </cell>
          <cell r="E21423" t="str">
            <v>Community School</v>
          </cell>
          <cell r="F21423" t="str">
            <v>Primary</v>
          </cell>
        </row>
        <row r="21424">
          <cell r="A21424">
            <v>3597022</v>
          </cell>
          <cell r="B21424">
            <v>131530</v>
          </cell>
          <cell r="C21424" t="str">
            <v>Oakfield High School and College</v>
          </cell>
          <cell r="D21424" t="str">
            <v>Wigan</v>
          </cell>
          <cell r="E21424" t="str">
            <v>Community Special School</v>
          </cell>
          <cell r="F21424" t="str">
            <v>Special</v>
          </cell>
        </row>
        <row r="21425">
          <cell r="A21425">
            <v>8886037</v>
          </cell>
          <cell r="B21425">
            <v>131666</v>
          </cell>
          <cell r="C21425" t="str">
            <v>Oakfield House School</v>
          </cell>
          <cell r="D21425" t="str">
            <v>Lancashire</v>
          </cell>
          <cell r="E21425" t="str">
            <v>Other Independent Special School</v>
          </cell>
          <cell r="F21425" t="str">
            <v>Not applicable</v>
          </cell>
        </row>
        <row r="21426">
          <cell r="A21426">
            <v>8862068</v>
          </cell>
          <cell r="B21426">
            <v>118248</v>
          </cell>
          <cell r="C21426" t="str">
            <v>Oakfield Infant and Nursery School</v>
          </cell>
          <cell r="D21426" t="str">
            <v>Kent</v>
          </cell>
          <cell r="E21426" t="str">
            <v>Community School</v>
          </cell>
          <cell r="F21426" t="str">
            <v>Primary</v>
          </cell>
        </row>
        <row r="21427">
          <cell r="A21427">
            <v>3902055</v>
          </cell>
          <cell r="B21427">
            <v>108332</v>
          </cell>
          <cell r="C21427" t="str">
            <v>Oakfield Infant School</v>
          </cell>
          <cell r="D21427" t="str">
            <v>Gateshead</v>
          </cell>
          <cell r="E21427" t="str">
            <v>Community School</v>
          </cell>
          <cell r="F21427" t="str">
            <v>Primary</v>
          </cell>
        </row>
        <row r="21428">
          <cell r="A21428">
            <v>3902049</v>
          </cell>
          <cell r="B21428">
            <v>108329</v>
          </cell>
          <cell r="C21428" t="str">
            <v>Oakfield Junior School</v>
          </cell>
          <cell r="D21428" t="str">
            <v>Gateshead</v>
          </cell>
          <cell r="E21428" t="str">
            <v>Community School</v>
          </cell>
          <cell r="F21428" t="str">
            <v>Primary</v>
          </cell>
        </row>
        <row r="21429">
          <cell r="A21429">
            <v>8762413</v>
          </cell>
          <cell r="B21429">
            <v>111187</v>
          </cell>
          <cell r="C21429" t="str">
            <v>Oakfield Junior School</v>
          </cell>
          <cell r="D21429" t="str">
            <v>Halton</v>
          </cell>
          <cell r="E21429" t="str">
            <v>Community School</v>
          </cell>
          <cell r="F21429" t="str">
            <v>Primary</v>
          </cell>
        </row>
        <row r="21430">
          <cell r="A21430">
            <v>8862067</v>
          </cell>
          <cell r="B21430">
            <v>118247</v>
          </cell>
          <cell r="C21430" t="str">
            <v>Oakfield Junior School</v>
          </cell>
          <cell r="D21430" t="str">
            <v>Kent</v>
          </cell>
          <cell r="E21430" t="str">
            <v>Community School</v>
          </cell>
          <cell r="F21430" t="str">
            <v>Primary</v>
          </cell>
        </row>
        <row r="21431">
          <cell r="A21431">
            <v>9362335</v>
          </cell>
          <cell r="B21431">
            <v>125019</v>
          </cell>
          <cell r="C21431" t="str">
            <v>Oakfield Junior School</v>
          </cell>
          <cell r="D21431" t="str">
            <v>Surrey</v>
          </cell>
          <cell r="E21431" t="str">
            <v>Community School</v>
          </cell>
          <cell r="F21431" t="str">
            <v>Primary</v>
          </cell>
        </row>
        <row r="21432">
          <cell r="A21432">
            <v>9372577</v>
          </cell>
          <cell r="B21432">
            <v>125587</v>
          </cell>
          <cell r="C21432" t="str">
            <v>Oakfield Junior School</v>
          </cell>
          <cell r="D21432" t="str">
            <v>Warwickshire</v>
          </cell>
          <cell r="E21432" t="str">
            <v>Community School</v>
          </cell>
          <cell r="F21432" t="str">
            <v>Primary</v>
          </cell>
        </row>
        <row r="21433">
          <cell r="A21433">
            <v>9382100</v>
          </cell>
          <cell r="B21433">
            <v>125872</v>
          </cell>
          <cell r="C21433" t="str">
            <v>Oakfield Middle School</v>
          </cell>
          <cell r="D21433" t="str">
            <v>West Sussex</v>
          </cell>
          <cell r="E21433" t="str">
            <v>Community School</v>
          </cell>
          <cell r="F21433" t="str">
            <v>Middle Deemed Primary</v>
          </cell>
        </row>
        <row r="21434">
          <cell r="A21434">
            <v>3847055</v>
          </cell>
          <cell r="B21434">
            <v>133719</v>
          </cell>
          <cell r="C21434" t="str">
            <v>Oakfield Park School, Ackworth</v>
          </cell>
          <cell r="D21434" t="str">
            <v>Wakefield</v>
          </cell>
          <cell r="E21434" t="str">
            <v>Community Special School</v>
          </cell>
          <cell r="F21434" t="str">
            <v>Special</v>
          </cell>
        </row>
        <row r="21435">
          <cell r="A21435">
            <v>2086109</v>
          </cell>
          <cell r="B21435">
            <v>100644</v>
          </cell>
          <cell r="C21435" t="str">
            <v>Oakfield Preparatory School</v>
          </cell>
          <cell r="D21435" t="str">
            <v>Lambeth</v>
          </cell>
          <cell r="E21435" t="str">
            <v>Other Independent School</v>
          </cell>
          <cell r="F21435" t="str">
            <v>Not applicable</v>
          </cell>
        </row>
        <row r="21436">
          <cell r="A21436">
            <v>3572005</v>
          </cell>
          <cell r="B21436">
            <v>106180</v>
          </cell>
          <cell r="C21436" t="str">
            <v>Oakfield Primary and Moderate Learning Difficulties Resource Base</v>
          </cell>
          <cell r="D21436" t="str">
            <v>Tameside</v>
          </cell>
          <cell r="E21436" t="str">
            <v>Community School</v>
          </cell>
          <cell r="F21436" t="str">
            <v>Primary</v>
          </cell>
        </row>
        <row r="21437">
          <cell r="A21437">
            <v>8502256</v>
          </cell>
          <cell r="B21437">
            <v>115993</v>
          </cell>
          <cell r="C21437" t="str">
            <v>Oakfield Primary School</v>
          </cell>
          <cell r="D21437" t="str">
            <v>Hampshire</v>
          </cell>
          <cell r="E21437" t="str">
            <v>Community School</v>
          </cell>
          <cell r="F21437" t="str">
            <v>Primary</v>
          </cell>
        </row>
        <row r="21438">
          <cell r="A21438">
            <v>8132150</v>
          </cell>
          <cell r="B21438">
            <v>117763</v>
          </cell>
          <cell r="C21438" t="str">
            <v>Oakfield Primary School</v>
          </cell>
          <cell r="D21438" t="str">
            <v>North Lincolnshire</v>
          </cell>
          <cell r="E21438" t="str">
            <v>Community School</v>
          </cell>
          <cell r="F21438" t="str">
            <v>Primary</v>
          </cell>
        </row>
        <row r="21439">
          <cell r="A21439">
            <v>9372419</v>
          </cell>
          <cell r="B21439">
            <v>125578</v>
          </cell>
          <cell r="C21439" t="str">
            <v>Oakfield Primary School</v>
          </cell>
          <cell r="D21439" t="str">
            <v>Warwickshire</v>
          </cell>
          <cell r="E21439" t="str">
            <v>Community School</v>
          </cell>
          <cell r="F21439" t="str">
            <v>Primary</v>
          </cell>
        </row>
        <row r="21440">
          <cell r="A21440">
            <v>8812004</v>
          </cell>
          <cell r="B21440">
            <v>131806</v>
          </cell>
          <cell r="C21440" t="str">
            <v>Oakfield Primary School</v>
          </cell>
          <cell r="D21440" t="str">
            <v>Essex</v>
          </cell>
          <cell r="E21440" t="str">
            <v>Community School</v>
          </cell>
          <cell r="F21440" t="str">
            <v>Primary</v>
          </cell>
        </row>
        <row r="21441">
          <cell r="A21441">
            <v>8133508</v>
          </cell>
          <cell r="B21441">
            <v>134867</v>
          </cell>
          <cell r="C21441" t="str">
            <v>Oakfield Primary School</v>
          </cell>
          <cell r="D21441" t="str">
            <v>North Lincolnshire</v>
          </cell>
          <cell r="E21441" t="str">
            <v>Community School</v>
          </cell>
          <cell r="F21441" t="str">
            <v>Primary</v>
          </cell>
        </row>
        <row r="21442">
          <cell r="A21442">
            <v>6732163</v>
          </cell>
          <cell r="B21442">
            <v>401114</v>
          </cell>
          <cell r="C21442" t="str">
            <v>Oakfield Primary School</v>
          </cell>
          <cell r="D21442" t="str">
            <v>The Vale of Glamorgan</v>
          </cell>
          <cell r="E21442" t="str">
            <v>Welsh Establishment</v>
          </cell>
          <cell r="F21442" t="str">
            <v>Primary</v>
          </cell>
        </row>
        <row r="21443">
          <cell r="A21443">
            <v>6782205</v>
          </cell>
          <cell r="B21443">
            <v>401433</v>
          </cell>
          <cell r="C21443" t="str">
            <v>Oakfield Primary School</v>
          </cell>
          <cell r="D21443" t="str">
            <v>Torfaen</v>
          </cell>
          <cell r="E21443" t="str">
            <v>Welsh Establishment</v>
          </cell>
          <cell r="F21443" t="str">
            <v>Primary</v>
          </cell>
        </row>
        <row r="21444">
          <cell r="A21444">
            <v>6812164</v>
          </cell>
          <cell r="B21444">
            <v>401622</v>
          </cell>
          <cell r="C21444" t="str">
            <v>Oakfield Primary School</v>
          </cell>
          <cell r="D21444" t="str">
            <v>Cardiff</v>
          </cell>
          <cell r="E21444" t="str">
            <v>Welsh Establishment</v>
          </cell>
          <cell r="F21444" t="str">
            <v>Primary</v>
          </cell>
        </row>
        <row r="21445">
          <cell r="A21445">
            <v>3431101</v>
          </cell>
          <cell r="B21445">
            <v>104850</v>
          </cell>
          <cell r="C21445" t="str">
            <v>Oakfield Pupil Referral Unit</v>
          </cell>
          <cell r="D21445" t="str">
            <v>Sefton</v>
          </cell>
          <cell r="E21445" t="str">
            <v>Pupil Referral Unit</v>
          </cell>
          <cell r="F21445" t="str">
            <v>PRU</v>
          </cell>
        </row>
        <row r="21446">
          <cell r="A21446">
            <v>8851101</v>
          </cell>
          <cell r="B21446">
            <v>130983</v>
          </cell>
          <cell r="C21446" t="str">
            <v>Oakfield Pupil Referral Unit</v>
          </cell>
          <cell r="D21446" t="str">
            <v>Worcestershire</v>
          </cell>
          <cell r="E21446" t="str">
            <v>Pupil Referral Unit</v>
          </cell>
          <cell r="F21446" t="str">
            <v>PRU</v>
          </cell>
        </row>
        <row r="21447">
          <cell r="A21447">
            <v>9334257</v>
          </cell>
          <cell r="B21447">
            <v>123866</v>
          </cell>
          <cell r="C21447" t="str">
            <v>Oakfield School</v>
          </cell>
          <cell r="D21447" t="str">
            <v>Somerset</v>
          </cell>
          <cell r="E21447" t="str">
            <v>Community School</v>
          </cell>
          <cell r="F21447" t="str">
            <v>Middle Deemed Secondary</v>
          </cell>
        </row>
        <row r="21448">
          <cell r="A21448">
            <v>9366404</v>
          </cell>
          <cell r="B21448">
            <v>125401</v>
          </cell>
          <cell r="C21448" t="str">
            <v>Oakfield School</v>
          </cell>
          <cell r="D21448" t="str">
            <v>Surrey</v>
          </cell>
          <cell r="E21448" t="str">
            <v>Other Independent School</v>
          </cell>
          <cell r="F21448" t="str">
            <v>Not applicable</v>
          </cell>
        </row>
        <row r="21449">
          <cell r="A21449">
            <v>8664049</v>
          </cell>
          <cell r="B21449">
            <v>126449</v>
          </cell>
          <cell r="C21449" t="str">
            <v>Oakfield School</v>
          </cell>
          <cell r="D21449" t="str">
            <v>Swindon</v>
          </cell>
          <cell r="E21449" t="str">
            <v>Community School</v>
          </cell>
          <cell r="F21449" t="str">
            <v>Secondary</v>
          </cell>
        </row>
        <row r="21450">
          <cell r="A21450">
            <v>9334257</v>
          </cell>
          <cell r="B21450">
            <v>136970</v>
          </cell>
          <cell r="C21450" t="str">
            <v>Oakfield School</v>
          </cell>
          <cell r="D21450" t="str">
            <v>Somerset</v>
          </cell>
          <cell r="E21450" t="str">
            <v>Academy Converters</v>
          </cell>
          <cell r="F21450" t="str">
            <v>Middle Deemed Secondary</v>
          </cell>
        </row>
        <row r="21451">
          <cell r="A21451">
            <v>8064703</v>
          </cell>
          <cell r="B21451">
            <v>135856</v>
          </cell>
          <cell r="C21451" t="str">
            <v>Oakfields Community College</v>
          </cell>
          <cell r="D21451" t="str">
            <v>Middlesbrough</v>
          </cell>
          <cell r="E21451" t="str">
            <v>Foundation School</v>
          </cell>
          <cell r="F21451" t="str">
            <v>Secondary</v>
          </cell>
        </row>
        <row r="21452">
          <cell r="A21452">
            <v>8861123</v>
          </cell>
          <cell r="B21452">
            <v>135432</v>
          </cell>
          <cell r="C21452" t="str">
            <v>Oakfields Education Unit</v>
          </cell>
          <cell r="D21452" t="str">
            <v>Kent</v>
          </cell>
          <cell r="E21452" t="str">
            <v>Pupil Referral Unit</v>
          </cell>
          <cell r="F21452" t="str">
            <v>PRU</v>
          </cell>
        </row>
        <row r="21453">
          <cell r="A21453">
            <v>3116061</v>
          </cell>
          <cell r="B21453">
            <v>102361</v>
          </cell>
          <cell r="C21453" t="str">
            <v>Oakfields Montessori School</v>
          </cell>
          <cell r="D21453" t="str">
            <v>Havering</v>
          </cell>
          <cell r="E21453" t="str">
            <v>Other Independent School</v>
          </cell>
          <cell r="F21453" t="str">
            <v>Not applicable</v>
          </cell>
        </row>
        <row r="21454">
          <cell r="A21454">
            <v>9156247</v>
          </cell>
          <cell r="B21454">
            <v>128928</v>
          </cell>
          <cell r="C21454" t="str">
            <v>Oakfields Montessori School</v>
          </cell>
          <cell r="D21454" t="str">
            <v>Pre LGR (1998) Essex</v>
          </cell>
          <cell r="E21454" t="str">
            <v>Other Independent School</v>
          </cell>
          <cell r="F21454" t="str">
            <v>Not applicable</v>
          </cell>
        </row>
        <row r="21455">
          <cell r="A21455">
            <v>8264703</v>
          </cell>
          <cell r="B21455">
            <v>134630</v>
          </cell>
          <cell r="C21455" t="str">
            <v>Oakgrove School</v>
          </cell>
          <cell r="D21455" t="str">
            <v>Milton Keynes</v>
          </cell>
          <cell r="E21455" t="str">
            <v>Foundation School</v>
          </cell>
          <cell r="F21455" t="str">
            <v>Secondary</v>
          </cell>
        </row>
        <row r="21456">
          <cell r="A21456">
            <v>8264703</v>
          </cell>
          <cell r="B21456">
            <v>136454</v>
          </cell>
          <cell r="C21456" t="str">
            <v>Oakgrove School</v>
          </cell>
          <cell r="D21456" t="str">
            <v>Milton Keynes</v>
          </cell>
          <cell r="E21456" t="str">
            <v>Academy Converters</v>
          </cell>
          <cell r="F21456" t="str">
            <v>Secondary</v>
          </cell>
        </row>
        <row r="21457">
          <cell r="A21457">
            <v>8573115</v>
          </cell>
          <cell r="B21457">
            <v>120181</v>
          </cell>
          <cell r="C21457" t="str">
            <v>Oakham CofE Primary School</v>
          </cell>
          <cell r="D21457" t="str">
            <v>Rutland</v>
          </cell>
          <cell r="E21457" t="str">
            <v>Voluntary Controlled School</v>
          </cell>
          <cell r="F21457" t="str">
            <v>Primary</v>
          </cell>
        </row>
        <row r="21458">
          <cell r="A21458">
            <v>8569901</v>
          </cell>
          <cell r="B21458">
            <v>133002</v>
          </cell>
          <cell r="C21458" t="str">
            <v>Oakham House</v>
          </cell>
          <cell r="D21458" t="str">
            <v>Leicester</v>
          </cell>
          <cell r="E21458" t="str">
            <v>Miscellaneous</v>
          </cell>
          <cell r="F21458" t="str">
            <v>Not applicable</v>
          </cell>
        </row>
        <row r="21459">
          <cell r="A21459">
            <v>3332136</v>
          </cell>
          <cell r="B21459">
            <v>103950</v>
          </cell>
          <cell r="C21459" t="str">
            <v>Oakham Primary School</v>
          </cell>
          <cell r="D21459" t="str">
            <v>Sandwell</v>
          </cell>
          <cell r="E21459" t="str">
            <v>Community School</v>
          </cell>
          <cell r="F21459" t="str">
            <v>Primary</v>
          </cell>
        </row>
        <row r="21460">
          <cell r="A21460">
            <v>8576000</v>
          </cell>
          <cell r="B21460">
            <v>120322</v>
          </cell>
          <cell r="C21460" t="str">
            <v>Oakham School</v>
          </cell>
          <cell r="D21460" t="str">
            <v>Rutland</v>
          </cell>
          <cell r="E21460" t="str">
            <v>Other Independent School</v>
          </cell>
          <cell r="F21460" t="str">
            <v>Not applicable</v>
          </cell>
        </row>
        <row r="21461">
          <cell r="A21461">
            <v>9333085</v>
          </cell>
          <cell r="B21461">
            <v>123771</v>
          </cell>
          <cell r="C21461" t="str">
            <v>Oakhill Church of England Primary School</v>
          </cell>
          <cell r="D21461" t="str">
            <v>Somerset</v>
          </cell>
          <cell r="E21461" t="str">
            <v>Voluntary Controlled School</v>
          </cell>
          <cell r="F21461" t="str">
            <v>Primary</v>
          </cell>
        </row>
        <row r="21462">
          <cell r="A21462">
            <v>8886012</v>
          </cell>
          <cell r="B21462">
            <v>119833</v>
          </cell>
          <cell r="C21462" t="str">
            <v>Oakhill College</v>
          </cell>
          <cell r="D21462" t="str">
            <v>Lancashire</v>
          </cell>
          <cell r="E21462" t="str">
            <v>Other Independent School</v>
          </cell>
          <cell r="F21462" t="str">
            <v>Not applicable</v>
          </cell>
        </row>
        <row r="21463">
          <cell r="A21463">
            <v>3202062</v>
          </cell>
          <cell r="B21463">
            <v>103069</v>
          </cell>
          <cell r="C21463" t="str">
            <v>Oakhill Primary School</v>
          </cell>
          <cell r="D21463" t="str">
            <v>Waltham Forest</v>
          </cell>
          <cell r="E21463" t="str">
            <v>Community School</v>
          </cell>
          <cell r="F21463" t="str">
            <v>Primary</v>
          </cell>
        </row>
        <row r="21464">
          <cell r="A21464">
            <v>8612060</v>
          </cell>
          <cell r="B21464">
            <v>124000</v>
          </cell>
          <cell r="C21464" t="str">
            <v>Oakhill Primary School</v>
          </cell>
          <cell r="D21464" t="str">
            <v>Stoke-on-Trent</v>
          </cell>
          <cell r="E21464" t="str">
            <v>Community School</v>
          </cell>
          <cell r="F21464" t="str">
            <v>Primary</v>
          </cell>
        </row>
        <row r="21465">
          <cell r="A21465">
            <v>8602348</v>
          </cell>
          <cell r="B21465">
            <v>124166</v>
          </cell>
          <cell r="C21465" t="str">
            <v>Oakhill Primary School</v>
          </cell>
          <cell r="D21465" t="str">
            <v>Staffordshire</v>
          </cell>
          <cell r="E21465" t="str">
            <v>Community School</v>
          </cell>
          <cell r="F21465" t="str">
            <v>Primary</v>
          </cell>
        </row>
        <row r="21466">
          <cell r="A21466">
            <v>3702137</v>
          </cell>
          <cell r="B21466">
            <v>130341</v>
          </cell>
          <cell r="C21466" t="str">
            <v>Oakhill Primary School</v>
          </cell>
          <cell r="D21466" t="str">
            <v>Barnsley</v>
          </cell>
          <cell r="E21466" t="str">
            <v>Community School</v>
          </cell>
          <cell r="F21466" t="str">
            <v>Primary</v>
          </cell>
        </row>
        <row r="21467">
          <cell r="A21467">
            <v>826611</v>
          </cell>
          <cell r="B21467">
            <v>128768</v>
          </cell>
          <cell r="C21467" t="str">
            <v>Oakhill Secure Training Centre</v>
          </cell>
          <cell r="D21467" t="str">
            <v>Milton Keynes</v>
          </cell>
          <cell r="E21467" t="str">
            <v>Secure Units</v>
          </cell>
          <cell r="F21467" t="str">
            <v>Not applicable</v>
          </cell>
        </row>
        <row r="21468">
          <cell r="A21468">
            <v>8352053</v>
          </cell>
          <cell r="B21468">
            <v>113685</v>
          </cell>
          <cell r="C21468" t="str">
            <v>Oakhurst Community First School</v>
          </cell>
          <cell r="D21468" t="str">
            <v>Dorset</v>
          </cell>
          <cell r="E21468" t="str">
            <v>Community School</v>
          </cell>
          <cell r="F21468" t="str">
            <v>Primary</v>
          </cell>
        </row>
        <row r="21469">
          <cell r="A21469">
            <v>8665222</v>
          </cell>
          <cell r="B21469">
            <v>135797</v>
          </cell>
          <cell r="C21469" t="str">
            <v>Oakhurst Community Primary School</v>
          </cell>
          <cell r="D21469" t="str">
            <v>Swindon</v>
          </cell>
          <cell r="E21469" t="str">
            <v>Community School</v>
          </cell>
          <cell r="F21469" t="str">
            <v>Primary</v>
          </cell>
        </row>
        <row r="21470">
          <cell r="A21470">
            <v>9366139</v>
          </cell>
          <cell r="B21470">
            <v>125372</v>
          </cell>
          <cell r="C21470" t="str">
            <v>Oakhyrst Grange School</v>
          </cell>
          <cell r="D21470" t="str">
            <v>Surrey</v>
          </cell>
          <cell r="E21470" t="str">
            <v>Other Independent School</v>
          </cell>
          <cell r="F21470" t="str">
            <v>Not applicable</v>
          </cell>
        </row>
        <row r="21471">
          <cell r="A21471">
            <v>8733321</v>
          </cell>
          <cell r="B21471">
            <v>110833</v>
          </cell>
          <cell r="C21471" t="str">
            <v>Oakington CofE VA Primary School</v>
          </cell>
          <cell r="D21471" t="str">
            <v>Cambridgeshire</v>
          </cell>
          <cell r="E21471" t="str">
            <v>Voluntary Aided School</v>
          </cell>
          <cell r="F21471" t="str">
            <v>Primary</v>
          </cell>
        </row>
        <row r="21472">
          <cell r="A21472">
            <v>3045200</v>
          </cell>
          <cell r="B21472">
            <v>101552</v>
          </cell>
          <cell r="C21472" t="str">
            <v>Oakington Manor Primary School</v>
          </cell>
          <cell r="D21472" t="str">
            <v>Brent</v>
          </cell>
          <cell r="E21472" t="str">
            <v>Foundation School</v>
          </cell>
          <cell r="F21472" t="str">
            <v>Primary</v>
          </cell>
        </row>
        <row r="21473">
          <cell r="A21473">
            <v>3022046</v>
          </cell>
          <cell r="B21473">
            <v>126727</v>
          </cell>
          <cell r="C21473" t="str">
            <v>Oakland Infant School</v>
          </cell>
          <cell r="D21473" t="str">
            <v>Barnet</v>
          </cell>
          <cell r="E21473" t="str">
            <v>Community School</v>
          </cell>
          <cell r="F21473" t="str">
            <v>Primary</v>
          </cell>
        </row>
        <row r="21474">
          <cell r="A21474">
            <v>8932154</v>
          </cell>
          <cell r="B21474">
            <v>123430</v>
          </cell>
          <cell r="C21474" t="str">
            <v>Oakland Primary School</v>
          </cell>
          <cell r="D21474" t="str">
            <v>Shropshire</v>
          </cell>
          <cell r="E21474" t="str">
            <v>Community School</v>
          </cell>
          <cell r="F21474" t="str">
            <v>Primary</v>
          </cell>
        </row>
        <row r="21475">
          <cell r="A21475">
            <v>3347009</v>
          </cell>
          <cell r="B21475">
            <v>130960</v>
          </cell>
          <cell r="C21475" t="str">
            <v>Oaklands</v>
          </cell>
          <cell r="D21475" t="str">
            <v>Solihull</v>
          </cell>
          <cell r="E21475" t="str">
            <v>Community Special School</v>
          </cell>
          <cell r="F21475" t="str">
            <v>Special</v>
          </cell>
        </row>
        <row r="21476">
          <cell r="A21476">
            <v>8505411</v>
          </cell>
          <cell r="B21476">
            <v>116503</v>
          </cell>
          <cell r="C21476" t="str">
            <v>Oaklands Catholic School</v>
          </cell>
          <cell r="D21476" t="str">
            <v>Hampshire</v>
          </cell>
          <cell r="E21476" t="str">
            <v>Voluntary Aided School</v>
          </cell>
          <cell r="F21476" t="str">
            <v>Secondary</v>
          </cell>
        </row>
        <row r="21477">
          <cell r="A21477">
            <v>8505411</v>
          </cell>
          <cell r="B21477">
            <v>137345</v>
          </cell>
          <cell r="C21477" t="str">
            <v>Oaklands Catholic School</v>
          </cell>
          <cell r="D21477" t="str">
            <v>Hampshire</v>
          </cell>
          <cell r="E21477" t="str">
            <v>Academy Converters</v>
          </cell>
          <cell r="F21477" t="str">
            <v>Secondary</v>
          </cell>
        </row>
        <row r="21478">
          <cell r="A21478">
            <v>9198022</v>
          </cell>
          <cell r="B21478">
            <v>130723</v>
          </cell>
          <cell r="C21478" t="str">
            <v>Oaklands College</v>
          </cell>
          <cell r="D21478" t="str">
            <v>Hertfordshire</v>
          </cell>
          <cell r="E21478" t="str">
            <v>Further Education</v>
          </cell>
          <cell r="F21478" t="str">
            <v>16 Plus</v>
          </cell>
        </row>
        <row r="21479">
          <cell r="A21479">
            <v>8606029</v>
          </cell>
          <cell r="B21479">
            <v>131004</v>
          </cell>
          <cell r="C21479" t="str">
            <v>Oaklands College Hillcrest</v>
          </cell>
          <cell r="D21479" t="str">
            <v>Staffordshire</v>
          </cell>
          <cell r="E21479" t="str">
            <v>Other Independent Special School</v>
          </cell>
          <cell r="F21479" t="str">
            <v>Not applicable</v>
          </cell>
        </row>
        <row r="21480">
          <cell r="A21480">
            <v>8752315</v>
          </cell>
          <cell r="B21480">
            <v>111136</v>
          </cell>
          <cell r="C21480" t="str">
            <v>Oaklands Community Infant School</v>
          </cell>
          <cell r="D21480" t="str">
            <v>Pre LGR (2009) Cheshire</v>
          </cell>
          <cell r="E21480" t="str">
            <v>Community School</v>
          </cell>
          <cell r="F21480" t="str">
            <v>Primary</v>
          </cell>
        </row>
        <row r="21481">
          <cell r="A21481">
            <v>8524304</v>
          </cell>
          <cell r="B21481">
            <v>116464</v>
          </cell>
          <cell r="C21481" t="str">
            <v>Oaklands Community School</v>
          </cell>
          <cell r="D21481" t="str">
            <v>Southampton</v>
          </cell>
          <cell r="E21481" t="str">
            <v>Community School</v>
          </cell>
          <cell r="F21481" t="str">
            <v>Secondary</v>
          </cell>
        </row>
        <row r="21482">
          <cell r="A21482">
            <v>3072051</v>
          </cell>
          <cell r="B21482">
            <v>126830</v>
          </cell>
          <cell r="C21482" t="str">
            <v>Oaklands First School</v>
          </cell>
          <cell r="D21482" t="str">
            <v>Ealing</v>
          </cell>
          <cell r="E21482" t="str">
            <v>Community School</v>
          </cell>
          <cell r="F21482" t="str">
            <v>Primary</v>
          </cell>
        </row>
        <row r="21483">
          <cell r="A21483">
            <v>8722132</v>
          </cell>
          <cell r="B21483">
            <v>109865</v>
          </cell>
          <cell r="C21483" t="str">
            <v>Oaklands Infant School</v>
          </cell>
          <cell r="D21483" t="str">
            <v>Wokingham</v>
          </cell>
          <cell r="E21483" t="str">
            <v>Community School</v>
          </cell>
          <cell r="F21483" t="str">
            <v>Primary</v>
          </cell>
        </row>
        <row r="21484">
          <cell r="A21484">
            <v>8812529</v>
          </cell>
          <cell r="B21484">
            <v>114882</v>
          </cell>
          <cell r="C21484" t="str">
            <v>Oaklands Infant School</v>
          </cell>
          <cell r="D21484" t="str">
            <v>Essex</v>
          </cell>
          <cell r="E21484" t="str">
            <v>Community School</v>
          </cell>
          <cell r="F21484" t="str">
            <v>Primary</v>
          </cell>
        </row>
        <row r="21485">
          <cell r="A21485">
            <v>8872204</v>
          </cell>
          <cell r="B21485">
            <v>118322</v>
          </cell>
          <cell r="C21485" t="str">
            <v>Oaklands Infant School</v>
          </cell>
          <cell r="D21485" t="str">
            <v>Medway</v>
          </cell>
          <cell r="E21485" t="str">
            <v>Community School</v>
          </cell>
          <cell r="F21485" t="str">
            <v>Primary</v>
          </cell>
        </row>
        <row r="21486">
          <cell r="A21486">
            <v>3052033</v>
          </cell>
          <cell r="B21486">
            <v>101609</v>
          </cell>
          <cell r="C21486" t="str">
            <v>Oaklands Junior School</v>
          </cell>
          <cell r="D21486" t="str">
            <v>Bromley</v>
          </cell>
          <cell r="E21486" t="str">
            <v>Community School</v>
          </cell>
          <cell r="F21486" t="str">
            <v>Primary</v>
          </cell>
        </row>
        <row r="21487">
          <cell r="A21487">
            <v>8722062</v>
          </cell>
          <cell r="B21487">
            <v>109809</v>
          </cell>
          <cell r="C21487" t="str">
            <v>Oaklands Junior School</v>
          </cell>
          <cell r="D21487" t="str">
            <v>Wokingham</v>
          </cell>
          <cell r="E21487" t="str">
            <v>Community School</v>
          </cell>
          <cell r="F21487" t="str">
            <v>Primary</v>
          </cell>
        </row>
        <row r="21488">
          <cell r="A21488">
            <v>8872433</v>
          </cell>
          <cell r="B21488">
            <v>118437</v>
          </cell>
          <cell r="C21488" t="str">
            <v>Oaklands Junior School</v>
          </cell>
          <cell r="D21488" t="str">
            <v>Medway</v>
          </cell>
          <cell r="E21488" t="str">
            <v>Community School</v>
          </cell>
          <cell r="F21488" t="str">
            <v>Primary</v>
          </cell>
        </row>
        <row r="21489">
          <cell r="A21489">
            <v>3072050</v>
          </cell>
          <cell r="B21489">
            <v>126829</v>
          </cell>
          <cell r="C21489" t="str">
            <v>Oaklands Middle School</v>
          </cell>
          <cell r="D21489" t="str">
            <v>Ealing</v>
          </cell>
          <cell r="E21489" t="str">
            <v>Community School</v>
          </cell>
          <cell r="F21489" t="str">
            <v>Middle Deemed Primary</v>
          </cell>
        </row>
        <row r="21490">
          <cell r="A21490">
            <v>8601028</v>
          </cell>
          <cell r="B21490">
            <v>123967</v>
          </cell>
          <cell r="C21490" t="str">
            <v>Oaklands Nursery School</v>
          </cell>
          <cell r="D21490" t="str">
            <v>Staffordshire</v>
          </cell>
          <cell r="E21490" t="str">
            <v>LA Nursery School</v>
          </cell>
          <cell r="F21490" t="str">
            <v>Nursery</v>
          </cell>
        </row>
        <row r="21491">
          <cell r="A21491">
            <v>8787043</v>
          </cell>
          <cell r="B21491">
            <v>113642</v>
          </cell>
          <cell r="C21491" t="str">
            <v>Oaklands Park School</v>
          </cell>
          <cell r="D21491" t="str">
            <v>Devon</v>
          </cell>
          <cell r="E21491" t="str">
            <v>Community Special School</v>
          </cell>
          <cell r="F21491" t="str">
            <v>Special</v>
          </cell>
        </row>
        <row r="21492">
          <cell r="A21492">
            <v>9166076</v>
          </cell>
          <cell r="B21492">
            <v>133370</v>
          </cell>
          <cell r="C21492" t="str">
            <v>Oaklands Park School</v>
          </cell>
          <cell r="D21492" t="str">
            <v>Gloucestershire</v>
          </cell>
          <cell r="E21492" t="str">
            <v>Other Independent School</v>
          </cell>
          <cell r="F21492" t="str">
            <v>Not applicable</v>
          </cell>
        </row>
        <row r="21493">
          <cell r="A21493">
            <v>3526027</v>
          </cell>
          <cell r="B21493">
            <v>105589</v>
          </cell>
          <cell r="C21493" t="str">
            <v>Oaklands Preparatory School</v>
          </cell>
          <cell r="D21493" t="str">
            <v>Manchester</v>
          </cell>
          <cell r="E21493" t="str">
            <v>Other Independent School</v>
          </cell>
          <cell r="F21493" t="str">
            <v>Not applicable</v>
          </cell>
        </row>
        <row r="21494">
          <cell r="A21494">
            <v>3052072</v>
          </cell>
          <cell r="B21494">
            <v>101637</v>
          </cell>
          <cell r="C21494" t="str">
            <v>Oaklands Primary School</v>
          </cell>
          <cell r="D21494" t="str">
            <v>Bromley</v>
          </cell>
          <cell r="E21494" t="str">
            <v>Community School</v>
          </cell>
          <cell r="F21494" t="str">
            <v>Primary</v>
          </cell>
        </row>
        <row r="21495">
          <cell r="A21495">
            <v>3072175</v>
          </cell>
          <cell r="B21495">
            <v>101905</v>
          </cell>
          <cell r="C21495" t="str">
            <v>Oaklands Primary School</v>
          </cell>
          <cell r="D21495" t="str">
            <v>Ealing</v>
          </cell>
          <cell r="E21495" t="str">
            <v>Community School</v>
          </cell>
          <cell r="F21495" t="str">
            <v>Primary</v>
          </cell>
        </row>
        <row r="21496">
          <cell r="A21496">
            <v>9192302</v>
          </cell>
          <cell r="B21496">
            <v>117261</v>
          </cell>
          <cell r="C21496" t="str">
            <v>Oaklands Primary School</v>
          </cell>
          <cell r="D21496" t="str">
            <v>Hertfordshire</v>
          </cell>
          <cell r="E21496" t="str">
            <v>Community School</v>
          </cell>
          <cell r="F21496" t="str">
            <v>Primary</v>
          </cell>
        </row>
        <row r="21497">
          <cell r="A21497">
            <v>9333494</v>
          </cell>
          <cell r="B21497">
            <v>135612</v>
          </cell>
          <cell r="C21497" t="str">
            <v>Oaklands Primary School</v>
          </cell>
          <cell r="D21497" t="str">
            <v>Somerset</v>
          </cell>
          <cell r="E21497" t="str">
            <v>Community School</v>
          </cell>
          <cell r="F21497" t="str">
            <v>Primary</v>
          </cell>
        </row>
        <row r="21498">
          <cell r="A21498">
            <v>6742045</v>
          </cell>
          <cell r="B21498">
            <v>401134</v>
          </cell>
          <cell r="C21498" t="str">
            <v>Oaklands Primary School</v>
          </cell>
          <cell r="D21498" t="str">
            <v>Rhondda, Cynon, Taff</v>
          </cell>
          <cell r="E21498" t="str">
            <v>Welsh Establishment</v>
          </cell>
          <cell r="F21498" t="str">
            <v>Primary</v>
          </cell>
        </row>
        <row r="21499">
          <cell r="A21499">
            <v>3341106</v>
          </cell>
          <cell r="B21499">
            <v>135516</v>
          </cell>
          <cell r="C21499" t="str">
            <v>Oaklands PRU</v>
          </cell>
          <cell r="D21499" t="str">
            <v>Solihull</v>
          </cell>
          <cell r="E21499" t="str">
            <v>Pupil Referral Unit</v>
          </cell>
          <cell r="F21499" t="str">
            <v>PRU</v>
          </cell>
        </row>
        <row r="21500">
          <cell r="A21500">
            <v>2114296</v>
          </cell>
          <cell r="B21500">
            <v>100972</v>
          </cell>
          <cell r="C21500" t="str">
            <v>Oaklands School</v>
          </cell>
          <cell r="D21500" t="str">
            <v>Tower Hamlets</v>
          </cell>
          <cell r="E21500" t="str">
            <v>Community School</v>
          </cell>
          <cell r="F21500" t="str">
            <v>Secondary</v>
          </cell>
        </row>
        <row r="21501">
          <cell r="A21501">
            <v>3137006</v>
          </cell>
          <cell r="B21501">
            <v>102555</v>
          </cell>
          <cell r="C21501" t="str">
            <v>Oaklands School</v>
          </cell>
          <cell r="D21501" t="str">
            <v>Hounslow</v>
          </cell>
          <cell r="E21501" t="str">
            <v>Community Special School</v>
          </cell>
          <cell r="F21501" t="str">
            <v>Special</v>
          </cell>
        </row>
        <row r="21502">
          <cell r="A21502">
            <v>8967108</v>
          </cell>
          <cell r="B21502">
            <v>111504</v>
          </cell>
          <cell r="C21502" t="str">
            <v>Oaklands School</v>
          </cell>
          <cell r="D21502" t="str">
            <v>Cheshire West and Chester</v>
          </cell>
          <cell r="E21502" t="str">
            <v>Community Special School</v>
          </cell>
          <cell r="F21502" t="str">
            <v>Special</v>
          </cell>
        </row>
        <row r="21503">
          <cell r="A21503">
            <v>9116155</v>
          </cell>
          <cell r="B21503">
            <v>113628</v>
          </cell>
          <cell r="C21503" t="str">
            <v>Oaklands School</v>
          </cell>
          <cell r="D21503" t="str">
            <v>Pre LGR (1998) Devon</v>
          </cell>
          <cell r="E21503" t="str">
            <v>Other Independent School</v>
          </cell>
          <cell r="F21503" t="str">
            <v>Not applicable</v>
          </cell>
        </row>
        <row r="21504">
          <cell r="A21504">
            <v>8816025</v>
          </cell>
          <cell r="B21504">
            <v>115419</v>
          </cell>
          <cell r="C21504" t="str">
            <v>Oaklands School</v>
          </cell>
          <cell r="D21504" t="str">
            <v>Essex</v>
          </cell>
          <cell r="E21504" t="str">
            <v>Other Independent School</v>
          </cell>
          <cell r="F21504" t="str">
            <v>Not applicable</v>
          </cell>
        </row>
        <row r="21505">
          <cell r="A21505">
            <v>8164226</v>
          </cell>
          <cell r="B21505">
            <v>121703</v>
          </cell>
          <cell r="C21505" t="str">
            <v>Oaklands School</v>
          </cell>
          <cell r="D21505" t="str">
            <v>York</v>
          </cell>
          <cell r="E21505" t="str">
            <v>Community School</v>
          </cell>
          <cell r="F21505" t="str">
            <v>Secondary</v>
          </cell>
        </row>
        <row r="21506">
          <cell r="A21506">
            <v>9176293</v>
          </cell>
          <cell r="B21506">
            <v>129060</v>
          </cell>
          <cell r="C21506" t="str">
            <v>Oaklands School</v>
          </cell>
          <cell r="D21506" t="str">
            <v>Pre LGR (1997) Hampshire</v>
          </cell>
          <cell r="E21506" t="str">
            <v>Other Independent School</v>
          </cell>
          <cell r="F21506" t="str">
            <v>Not applicable</v>
          </cell>
        </row>
        <row r="21507">
          <cell r="A21507">
            <v>8567217</v>
          </cell>
          <cell r="B21507">
            <v>130353</v>
          </cell>
          <cell r="C21507" t="str">
            <v>Oaklands School</v>
          </cell>
          <cell r="D21507" t="str">
            <v>Leicester</v>
          </cell>
          <cell r="E21507" t="str">
            <v>Community Special School</v>
          </cell>
          <cell r="F21507" t="str">
            <v>Special</v>
          </cell>
        </row>
        <row r="21508">
          <cell r="A21508">
            <v>3306209</v>
          </cell>
          <cell r="B21508">
            <v>135982</v>
          </cell>
          <cell r="C21508" t="str">
            <v>Oaklands School</v>
          </cell>
          <cell r="D21508" t="str">
            <v>Birmingham</v>
          </cell>
          <cell r="E21508" t="str">
            <v>Other Independent Special School</v>
          </cell>
          <cell r="F21508" t="str">
            <v>Not applicable</v>
          </cell>
        </row>
        <row r="21509">
          <cell r="A21509">
            <v>8116005</v>
          </cell>
          <cell r="B21509">
            <v>118136</v>
          </cell>
          <cell r="C21509" t="str">
            <v>Oaklands Small School</v>
          </cell>
          <cell r="D21509" t="str">
            <v>East Riding of Yorkshire</v>
          </cell>
          <cell r="E21509" t="str">
            <v>Other Independent School</v>
          </cell>
          <cell r="F21509" t="str">
            <v>Not applicable</v>
          </cell>
        </row>
        <row r="21510">
          <cell r="A21510">
            <v>3937003</v>
          </cell>
          <cell r="B21510">
            <v>108740</v>
          </cell>
          <cell r="C21510" t="str">
            <v>Oakleigh Gardens School</v>
          </cell>
          <cell r="D21510" t="str">
            <v>South Tyneside</v>
          </cell>
          <cell r="E21510" t="str">
            <v>Community Special School</v>
          </cell>
          <cell r="F21510" t="str">
            <v>Special</v>
          </cell>
        </row>
        <row r="21511">
          <cell r="A21511">
            <v>3027007</v>
          </cell>
          <cell r="B21511">
            <v>126742</v>
          </cell>
          <cell r="C21511" t="str">
            <v>Oakleigh School</v>
          </cell>
          <cell r="D21511" t="str">
            <v>Barnet</v>
          </cell>
          <cell r="E21511" t="str">
            <v>Community Special School</v>
          </cell>
          <cell r="F21511" t="str">
            <v>Special</v>
          </cell>
        </row>
        <row r="21512">
          <cell r="A21512">
            <v>3027009</v>
          </cell>
          <cell r="B21512">
            <v>101396</v>
          </cell>
          <cell r="C21512" t="str">
            <v>Oakleigh School &amp; Acorn Assessment Centre</v>
          </cell>
          <cell r="D21512" t="str">
            <v>Barnet</v>
          </cell>
          <cell r="E21512" t="str">
            <v>Community Special School</v>
          </cell>
          <cell r="F21512" t="str">
            <v>Special</v>
          </cell>
        </row>
        <row r="21513">
          <cell r="A21513">
            <v>8253100</v>
          </cell>
          <cell r="B21513">
            <v>110448</v>
          </cell>
          <cell r="C21513" t="str">
            <v>Oakley Church of England Combined School</v>
          </cell>
          <cell r="D21513" t="str">
            <v>Buckinghamshire</v>
          </cell>
          <cell r="E21513" t="str">
            <v>Voluntary Controlled School</v>
          </cell>
          <cell r="F21513" t="str">
            <v>Primary</v>
          </cell>
        </row>
        <row r="21514">
          <cell r="A21514">
            <v>8503120</v>
          </cell>
          <cell r="B21514">
            <v>116306</v>
          </cell>
          <cell r="C21514" t="str">
            <v>Oakley Church of England Junior School</v>
          </cell>
          <cell r="D21514" t="str">
            <v>Hampshire</v>
          </cell>
          <cell r="E21514" t="str">
            <v>Voluntary Controlled School</v>
          </cell>
          <cell r="F21514" t="str">
            <v>Primary</v>
          </cell>
        </row>
        <row r="21515">
          <cell r="A21515">
            <v>8666000</v>
          </cell>
          <cell r="B21515">
            <v>126538</v>
          </cell>
          <cell r="C21515" t="str">
            <v>Oakley Court School</v>
          </cell>
          <cell r="D21515" t="str">
            <v>Swindon</v>
          </cell>
          <cell r="E21515" t="str">
            <v>Other Independent School</v>
          </cell>
          <cell r="F21515" t="str">
            <v>Not applicable</v>
          </cell>
        </row>
        <row r="21516">
          <cell r="A21516">
            <v>8402330</v>
          </cell>
          <cell r="B21516">
            <v>114069</v>
          </cell>
          <cell r="C21516" t="str">
            <v>Oakley Cross Primary School and Nursery</v>
          </cell>
          <cell r="D21516" t="str">
            <v>Durham</v>
          </cell>
          <cell r="E21516" t="str">
            <v>Community School</v>
          </cell>
          <cell r="F21516" t="str">
            <v>Primary</v>
          </cell>
        </row>
        <row r="21517">
          <cell r="A21517">
            <v>9166011</v>
          </cell>
          <cell r="B21517">
            <v>128963</v>
          </cell>
          <cell r="C21517" t="str">
            <v>Oakley Hall School</v>
          </cell>
          <cell r="D21517" t="str">
            <v>Gloucestershire</v>
          </cell>
          <cell r="E21517" t="str">
            <v>Other Independent School</v>
          </cell>
          <cell r="F21517" t="str">
            <v>Not applicable</v>
          </cell>
        </row>
        <row r="21518">
          <cell r="A21518">
            <v>9166074</v>
          </cell>
          <cell r="B21518">
            <v>128974</v>
          </cell>
          <cell r="C21518" t="str">
            <v>Oakley Hall School</v>
          </cell>
          <cell r="D21518" t="str">
            <v>Gloucestershire</v>
          </cell>
          <cell r="E21518" t="str">
            <v>Other Independent School</v>
          </cell>
          <cell r="F21518" t="str">
            <v>Not applicable</v>
          </cell>
        </row>
        <row r="21519">
          <cell r="A21519">
            <v>8502328</v>
          </cell>
          <cell r="B21519">
            <v>116047</v>
          </cell>
          <cell r="C21519" t="str">
            <v>Oakley Infant School</v>
          </cell>
          <cell r="D21519" t="str">
            <v>Hampshire</v>
          </cell>
          <cell r="E21519" t="str">
            <v>Community School</v>
          </cell>
          <cell r="F21519" t="str">
            <v>Primary</v>
          </cell>
        </row>
        <row r="21520">
          <cell r="A21520">
            <v>8222115</v>
          </cell>
          <cell r="B21520">
            <v>109474</v>
          </cell>
          <cell r="C21520" t="str">
            <v>Oakley Lower School</v>
          </cell>
          <cell r="D21520" t="str">
            <v>Bedford</v>
          </cell>
          <cell r="E21520" t="str">
            <v>Foundation School</v>
          </cell>
          <cell r="F21520" t="str">
            <v>Primary</v>
          </cell>
        </row>
        <row r="21521">
          <cell r="A21521">
            <v>6666049</v>
          </cell>
          <cell r="B21521">
            <v>402246</v>
          </cell>
          <cell r="C21521" t="str">
            <v>Oakley Park School</v>
          </cell>
          <cell r="D21521" t="str">
            <v>Powys</v>
          </cell>
          <cell r="E21521" t="str">
            <v>Welsh Establishment</v>
          </cell>
          <cell r="F21521" t="str">
            <v>Not applicable</v>
          </cell>
        </row>
        <row r="21522">
          <cell r="A21522">
            <v>8867070</v>
          </cell>
          <cell r="B21522">
            <v>132148</v>
          </cell>
          <cell r="C21522" t="str">
            <v>Oakley School</v>
          </cell>
          <cell r="D21522" t="str">
            <v>Kent</v>
          </cell>
          <cell r="E21522" t="str">
            <v>Community Special School</v>
          </cell>
          <cell r="F21522" t="str">
            <v>Special</v>
          </cell>
        </row>
        <row r="21523">
          <cell r="A21523">
            <v>9283513</v>
          </cell>
          <cell r="B21523">
            <v>133551</v>
          </cell>
          <cell r="C21523" t="str">
            <v>Oakley Vale Primary School</v>
          </cell>
          <cell r="D21523" t="str">
            <v>Northamptonshire</v>
          </cell>
          <cell r="E21523" t="str">
            <v>Foundation School</v>
          </cell>
          <cell r="F21523" t="str">
            <v>Primary</v>
          </cell>
        </row>
        <row r="21524">
          <cell r="A21524">
            <v>8374189</v>
          </cell>
          <cell r="B21524">
            <v>113881</v>
          </cell>
          <cell r="C21524" t="str">
            <v>Oakmead College of Technology</v>
          </cell>
          <cell r="D21524" t="str">
            <v>Bournemouth</v>
          </cell>
          <cell r="E21524" t="str">
            <v>Foundation School</v>
          </cell>
          <cell r="F21524" t="str">
            <v>Secondary</v>
          </cell>
        </row>
        <row r="21525">
          <cell r="A21525">
            <v>8935204</v>
          </cell>
          <cell r="B21525">
            <v>135787</v>
          </cell>
          <cell r="C21525" t="str">
            <v>Oakmeadow Church of England Primary and Nursery School</v>
          </cell>
          <cell r="D21525" t="str">
            <v>Shropshire</v>
          </cell>
          <cell r="E21525" t="str">
            <v>Voluntary Controlled School</v>
          </cell>
          <cell r="F21525" t="str">
            <v>Primary</v>
          </cell>
        </row>
        <row r="21526">
          <cell r="A21526">
            <v>9384100</v>
          </cell>
          <cell r="B21526">
            <v>126084</v>
          </cell>
          <cell r="C21526" t="str">
            <v>Oakmeeds Community College</v>
          </cell>
          <cell r="D21526" t="str">
            <v>West Sussex</v>
          </cell>
          <cell r="E21526" t="str">
            <v>Community School</v>
          </cell>
          <cell r="F21526" t="str">
            <v>Secondary</v>
          </cell>
        </row>
        <row r="21527">
          <cell r="A21527">
            <v>9192985</v>
          </cell>
          <cell r="B21527">
            <v>117371</v>
          </cell>
          <cell r="C21527" t="str">
            <v>Oakmere Primary School</v>
          </cell>
          <cell r="D21527" t="str">
            <v>Hertfordshire</v>
          </cell>
          <cell r="E21527" t="str">
            <v>Community School</v>
          </cell>
          <cell r="F21527" t="str">
            <v>Primary</v>
          </cell>
        </row>
        <row r="21528">
          <cell r="A21528">
            <v>9176299</v>
          </cell>
          <cell r="B21528">
            <v>129061</v>
          </cell>
          <cell r="C21528" t="str">
            <v>Oakmore School</v>
          </cell>
          <cell r="D21528" t="str">
            <v>Pre LGR (1997) Hampshire</v>
          </cell>
          <cell r="E21528" t="str">
            <v>Other Independent School</v>
          </cell>
          <cell r="F21528" t="str">
            <v>Not applicable</v>
          </cell>
        </row>
        <row r="21529">
          <cell r="A21529">
            <v>8152060</v>
          </cell>
          <cell r="B21529">
            <v>121300</v>
          </cell>
          <cell r="C21529" t="str">
            <v>Oakridge Community Primary School</v>
          </cell>
          <cell r="D21529" t="str">
            <v>North Yorkshire</v>
          </cell>
          <cell r="E21529" t="str">
            <v>Community School</v>
          </cell>
          <cell r="F21529" t="str">
            <v>Primary</v>
          </cell>
        </row>
        <row r="21530">
          <cell r="A21530">
            <v>8502012</v>
          </cell>
          <cell r="B21530">
            <v>115859</v>
          </cell>
          <cell r="C21530" t="str">
            <v>Oakridge Infant School</v>
          </cell>
          <cell r="D21530" t="str">
            <v>Hampshire</v>
          </cell>
          <cell r="E21530" t="str">
            <v>Community School</v>
          </cell>
          <cell r="F21530" t="str">
            <v>Primary</v>
          </cell>
        </row>
        <row r="21531">
          <cell r="A21531">
            <v>8502227</v>
          </cell>
          <cell r="B21531">
            <v>115974</v>
          </cell>
          <cell r="C21531" t="str">
            <v>Oakridge Junior School</v>
          </cell>
          <cell r="D21531" t="str">
            <v>Hampshire</v>
          </cell>
          <cell r="E21531" t="str">
            <v>Community School</v>
          </cell>
          <cell r="F21531" t="str">
            <v>Primary</v>
          </cell>
        </row>
        <row r="21532">
          <cell r="A21532">
            <v>9163310</v>
          </cell>
          <cell r="B21532">
            <v>115674</v>
          </cell>
          <cell r="C21532" t="str">
            <v>Oakridge Parochial School</v>
          </cell>
          <cell r="D21532" t="str">
            <v>Gloucestershire</v>
          </cell>
          <cell r="E21532" t="str">
            <v>Voluntary Aided School</v>
          </cell>
          <cell r="F21532" t="str">
            <v>Primary</v>
          </cell>
        </row>
        <row r="21533">
          <cell r="A21533">
            <v>8602293</v>
          </cell>
          <cell r="B21533">
            <v>124130</v>
          </cell>
          <cell r="C21533" t="str">
            <v>Oakridge Primary School</v>
          </cell>
          <cell r="D21533" t="str">
            <v>Staffordshire</v>
          </cell>
          <cell r="E21533" t="str">
            <v>Community School</v>
          </cell>
          <cell r="F21533" t="str">
            <v>Primary</v>
          </cell>
        </row>
        <row r="21534">
          <cell r="A21534">
            <v>8252184</v>
          </cell>
          <cell r="B21534">
            <v>110289</v>
          </cell>
          <cell r="C21534" t="str">
            <v>Oakridge School</v>
          </cell>
          <cell r="D21534" t="str">
            <v>Buckinghamshire</v>
          </cell>
          <cell r="E21534" t="str">
            <v>Community School</v>
          </cell>
          <cell r="F21534" t="str">
            <v>Primary</v>
          </cell>
        </row>
        <row r="21535">
          <cell r="A21535">
            <v>8456053</v>
          </cell>
          <cell r="B21535">
            <v>134505</v>
          </cell>
          <cell r="C21535" t="str">
            <v>Oakridge School</v>
          </cell>
          <cell r="D21535" t="str">
            <v>East Sussex</v>
          </cell>
          <cell r="E21535" t="str">
            <v>Other Independent School</v>
          </cell>
          <cell r="F21535" t="str">
            <v>Not applicable</v>
          </cell>
        </row>
        <row r="21536">
          <cell r="A21536">
            <v>3174040</v>
          </cell>
          <cell r="B21536">
            <v>133405</v>
          </cell>
          <cell r="C21536" t="str">
            <v>Oaks Park High School</v>
          </cell>
          <cell r="D21536" t="str">
            <v>Redbridge</v>
          </cell>
          <cell r="E21536" t="str">
            <v>Community School</v>
          </cell>
          <cell r="F21536" t="str">
            <v>Secondary</v>
          </cell>
        </row>
        <row r="21537">
          <cell r="A21537">
            <v>3704004</v>
          </cell>
          <cell r="B21537">
            <v>127591</v>
          </cell>
          <cell r="C21537" t="str">
            <v>Oaks School</v>
          </cell>
          <cell r="D21537" t="str">
            <v>Barnsley</v>
          </cell>
          <cell r="E21537" t="str">
            <v>Community School</v>
          </cell>
          <cell r="F21537" t="str">
            <v>Secondary</v>
          </cell>
        </row>
        <row r="21538">
          <cell r="A21538">
            <v>9369900</v>
          </cell>
          <cell r="B21538">
            <v>132985</v>
          </cell>
          <cell r="C21538" t="str">
            <v>Oaks School</v>
          </cell>
          <cell r="D21538" t="str">
            <v>Surrey</v>
          </cell>
          <cell r="E21538" t="str">
            <v>Miscellaneous</v>
          </cell>
          <cell r="F21538" t="str">
            <v>Not applicable</v>
          </cell>
        </row>
        <row r="21539">
          <cell r="A21539">
            <v>8653140</v>
          </cell>
          <cell r="B21539">
            <v>126345</v>
          </cell>
          <cell r="C21539" t="str">
            <v>Oaksey CofE Primary School</v>
          </cell>
          <cell r="D21539" t="str">
            <v>Wiltshire</v>
          </cell>
          <cell r="E21539" t="str">
            <v>Voluntary Controlled School</v>
          </cell>
          <cell r="F21539" t="str">
            <v>Primary</v>
          </cell>
        </row>
        <row r="21540">
          <cell r="A21540">
            <v>3082050</v>
          </cell>
          <cell r="B21540">
            <v>102001</v>
          </cell>
          <cell r="C21540" t="str">
            <v>Oakthorpe Infants' School</v>
          </cell>
          <cell r="D21540" t="str">
            <v>Enfield</v>
          </cell>
          <cell r="E21540" t="str">
            <v>Community School</v>
          </cell>
          <cell r="F21540" t="str">
            <v>Primary</v>
          </cell>
        </row>
        <row r="21541">
          <cell r="A21541">
            <v>3082049</v>
          </cell>
          <cell r="B21541">
            <v>102000</v>
          </cell>
          <cell r="C21541" t="str">
            <v>Oakthorpe Junior School</v>
          </cell>
          <cell r="D21541" t="str">
            <v>Enfield</v>
          </cell>
          <cell r="E21541" t="str">
            <v>Community School</v>
          </cell>
          <cell r="F21541" t="str">
            <v>Primary</v>
          </cell>
        </row>
        <row r="21542">
          <cell r="A21542">
            <v>8552083</v>
          </cell>
          <cell r="B21542">
            <v>119945</v>
          </cell>
          <cell r="C21542" t="str">
            <v>Oakthorpe Primary School</v>
          </cell>
          <cell r="D21542" t="str">
            <v>Leicestershire</v>
          </cell>
          <cell r="E21542" t="str">
            <v>Community School</v>
          </cell>
          <cell r="F21542" t="str">
            <v>Primary</v>
          </cell>
        </row>
        <row r="21543">
          <cell r="A21543">
            <v>3082090</v>
          </cell>
          <cell r="B21543">
            <v>131407</v>
          </cell>
          <cell r="C21543" t="str">
            <v>Oakthorpe Primary School</v>
          </cell>
          <cell r="D21543" t="str">
            <v>Enfield</v>
          </cell>
          <cell r="E21543" t="str">
            <v>Community School</v>
          </cell>
          <cell r="F21543" t="str">
            <v>Primary</v>
          </cell>
        </row>
        <row r="21544">
          <cell r="A21544">
            <v>3416042</v>
          </cell>
          <cell r="B21544">
            <v>104731</v>
          </cell>
          <cell r="C21544" t="str">
            <v>Oaktree Education Trust</v>
          </cell>
          <cell r="D21544" t="str">
            <v>Liverpool</v>
          </cell>
          <cell r="E21544" t="str">
            <v>Other Independent School</v>
          </cell>
          <cell r="F21544" t="str">
            <v>Not applicable</v>
          </cell>
        </row>
        <row r="21545">
          <cell r="A21545">
            <v>3087005</v>
          </cell>
          <cell r="B21545">
            <v>102069</v>
          </cell>
          <cell r="C21545" t="str">
            <v>Oaktree School</v>
          </cell>
          <cell r="D21545" t="str">
            <v>Enfield</v>
          </cell>
          <cell r="E21545" t="str">
            <v>Community Special School</v>
          </cell>
          <cell r="F21545" t="str">
            <v>Special</v>
          </cell>
        </row>
        <row r="21546">
          <cell r="A21546">
            <v>3847052</v>
          </cell>
          <cell r="B21546">
            <v>131321</v>
          </cell>
          <cell r="C21546" t="str">
            <v>Oaktree School</v>
          </cell>
          <cell r="D21546" t="str">
            <v>Wakefield</v>
          </cell>
          <cell r="E21546" t="str">
            <v>Community Special School</v>
          </cell>
          <cell r="F21546" t="str">
            <v>Special</v>
          </cell>
        </row>
        <row r="21547">
          <cell r="A21547">
            <v>9282141</v>
          </cell>
          <cell r="B21547">
            <v>121900</v>
          </cell>
          <cell r="C21547" t="str">
            <v>Oakway Infant School</v>
          </cell>
          <cell r="D21547" t="str">
            <v>Northamptonshire</v>
          </cell>
          <cell r="E21547" t="str">
            <v>Community School</v>
          </cell>
          <cell r="F21547" t="str">
            <v>Primary</v>
          </cell>
        </row>
        <row r="21548">
          <cell r="A21548">
            <v>9282149</v>
          </cell>
          <cell r="B21548">
            <v>121906</v>
          </cell>
          <cell r="C21548" t="str">
            <v>Oakway Junior School</v>
          </cell>
          <cell r="D21548" t="str">
            <v>Northamptonshire</v>
          </cell>
          <cell r="E21548" t="str">
            <v>Community School</v>
          </cell>
          <cell r="F21548" t="str">
            <v>Primary</v>
          </cell>
        </row>
        <row r="21549">
          <cell r="A21549">
            <v>8772728</v>
          </cell>
          <cell r="B21549">
            <v>131372</v>
          </cell>
          <cell r="C21549" t="str">
            <v>Oakwood Avenue Community Primary School</v>
          </cell>
          <cell r="D21549" t="str">
            <v>Warrington</v>
          </cell>
          <cell r="E21549" t="str">
            <v>Community School</v>
          </cell>
          <cell r="F21549" t="str">
            <v>Primary</v>
          </cell>
        </row>
        <row r="21550">
          <cell r="A21550">
            <v>9062010</v>
          </cell>
          <cell r="B21550">
            <v>110970</v>
          </cell>
          <cell r="C21550" t="str">
            <v>Oakwood Avenue County Infant School</v>
          </cell>
          <cell r="D21550" t="str">
            <v>Pre LGR (1998) Cheshire</v>
          </cell>
          <cell r="E21550" t="str">
            <v>Community School</v>
          </cell>
          <cell r="F21550" t="str">
            <v>Primary</v>
          </cell>
        </row>
        <row r="21551">
          <cell r="A21551">
            <v>9062009</v>
          </cell>
          <cell r="B21551">
            <v>110969</v>
          </cell>
          <cell r="C21551" t="str">
            <v>Oakwood Avenue Junior School</v>
          </cell>
          <cell r="D21551" t="str">
            <v>Pre LGR (1998) Cheshire</v>
          </cell>
          <cell r="E21551" t="str">
            <v>Community School</v>
          </cell>
          <cell r="F21551" t="str">
            <v>Primary</v>
          </cell>
        </row>
        <row r="21552">
          <cell r="A21552">
            <v>3311105</v>
          </cell>
          <cell r="B21552">
            <v>134156</v>
          </cell>
          <cell r="C21552" t="str">
            <v>Oakwood Centre</v>
          </cell>
          <cell r="D21552" t="str">
            <v>Coventry</v>
          </cell>
          <cell r="E21552" t="str">
            <v>Pupil Referral Unit</v>
          </cell>
          <cell r="F21552" t="str">
            <v>PRU</v>
          </cell>
        </row>
        <row r="21553">
          <cell r="A21553">
            <v>3582075</v>
          </cell>
          <cell r="B21553">
            <v>130937</v>
          </cell>
          <cell r="C21553" t="str">
            <v>Oakwood Community Primary School</v>
          </cell>
          <cell r="D21553" t="str">
            <v>Trafford</v>
          </cell>
          <cell r="E21553" t="str">
            <v>Community School</v>
          </cell>
          <cell r="F21553" t="str">
            <v>Primary</v>
          </cell>
        </row>
        <row r="21554">
          <cell r="A21554">
            <v>8787905</v>
          </cell>
          <cell r="B21554">
            <v>131947</v>
          </cell>
          <cell r="C21554" t="str">
            <v>Oakwood Court</v>
          </cell>
          <cell r="D21554" t="str">
            <v>Devon</v>
          </cell>
          <cell r="E21554" t="str">
            <v>Special College</v>
          </cell>
          <cell r="F21554" t="str">
            <v>16 Plus</v>
          </cell>
        </row>
        <row r="21555">
          <cell r="A21555">
            <v>3557025</v>
          </cell>
          <cell r="B21555">
            <v>106009</v>
          </cell>
          <cell r="C21555" t="str">
            <v>Oakwood High School</v>
          </cell>
          <cell r="D21555" t="str">
            <v>Salford</v>
          </cell>
          <cell r="E21555" t="str">
            <v>Foundation Special School</v>
          </cell>
          <cell r="F21555" t="str">
            <v>Special</v>
          </cell>
        </row>
        <row r="21556">
          <cell r="A21556">
            <v>8312473</v>
          </cell>
          <cell r="B21556">
            <v>112767</v>
          </cell>
          <cell r="C21556" t="str">
            <v>Oakwood Infant and Nursery School</v>
          </cell>
          <cell r="D21556" t="str">
            <v>Derby</v>
          </cell>
          <cell r="E21556" t="str">
            <v>Community School</v>
          </cell>
          <cell r="F21556" t="str">
            <v>Primary</v>
          </cell>
        </row>
        <row r="21557">
          <cell r="A21557">
            <v>8812027</v>
          </cell>
          <cell r="B21557">
            <v>114722</v>
          </cell>
          <cell r="C21557" t="str">
            <v>Oakwood Infant School</v>
          </cell>
          <cell r="D21557" t="str">
            <v>Essex</v>
          </cell>
          <cell r="E21557" t="str">
            <v>Community School</v>
          </cell>
          <cell r="F21557" t="str">
            <v>Primary</v>
          </cell>
        </row>
        <row r="21558">
          <cell r="A21558">
            <v>8502094</v>
          </cell>
          <cell r="B21558">
            <v>115903</v>
          </cell>
          <cell r="C21558" t="str">
            <v>Oakwood Infant School</v>
          </cell>
          <cell r="D21558" t="str">
            <v>Hampshire</v>
          </cell>
          <cell r="E21558" t="str">
            <v>Community School</v>
          </cell>
          <cell r="F21558" t="str">
            <v>Primary</v>
          </cell>
        </row>
        <row r="21559">
          <cell r="A21559">
            <v>8522468</v>
          </cell>
          <cell r="B21559">
            <v>116136</v>
          </cell>
          <cell r="C21559" t="str">
            <v>Oakwood Infant School</v>
          </cell>
          <cell r="D21559" t="str">
            <v>Southampton</v>
          </cell>
          <cell r="E21559" t="str">
            <v>Community School</v>
          </cell>
          <cell r="F21559" t="str">
            <v>Primary</v>
          </cell>
        </row>
        <row r="21560">
          <cell r="A21560">
            <v>3306007</v>
          </cell>
          <cell r="B21560">
            <v>136942</v>
          </cell>
          <cell r="C21560" t="str">
            <v>Oakwood Islamic School for Girls</v>
          </cell>
          <cell r="D21560" t="str">
            <v>Birmingham</v>
          </cell>
          <cell r="E21560" t="str">
            <v>Other Independent School</v>
          </cell>
          <cell r="F21560" t="str">
            <v>Not applicable</v>
          </cell>
        </row>
        <row r="21561">
          <cell r="A21561">
            <v>8312471</v>
          </cell>
          <cell r="B21561">
            <v>112766</v>
          </cell>
          <cell r="C21561" t="str">
            <v>Oakwood Junior School</v>
          </cell>
          <cell r="D21561" t="str">
            <v>Derby</v>
          </cell>
          <cell r="E21561" t="str">
            <v>Community School</v>
          </cell>
          <cell r="F21561" t="str">
            <v>Primary</v>
          </cell>
        </row>
        <row r="21562">
          <cell r="A21562">
            <v>8522471</v>
          </cell>
          <cell r="B21562">
            <v>116138</v>
          </cell>
          <cell r="C21562" t="str">
            <v>Oakwood Junior School</v>
          </cell>
          <cell r="D21562" t="str">
            <v>Southampton</v>
          </cell>
          <cell r="E21562" t="str">
            <v>Community School</v>
          </cell>
          <cell r="F21562" t="str">
            <v>Primary</v>
          </cell>
        </row>
        <row r="21563">
          <cell r="A21563">
            <v>8865422</v>
          </cell>
          <cell r="B21563">
            <v>118894</v>
          </cell>
          <cell r="C21563" t="str">
            <v>Oakwood Park Grammar School</v>
          </cell>
          <cell r="D21563" t="str">
            <v>Kent</v>
          </cell>
          <cell r="E21563" t="str">
            <v>Foundation School</v>
          </cell>
          <cell r="F21563" t="str">
            <v>Secondary</v>
          </cell>
        </row>
        <row r="21564">
          <cell r="A21564">
            <v>8865422</v>
          </cell>
          <cell r="B21564">
            <v>136727</v>
          </cell>
          <cell r="C21564" t="str">
            <v>Oakwood Park Grammar School</v>
          </cell>
          <cell r="D21564" t="str">
            <v>Kent</v>
          </cell>
          <cell r="E21564" t="str">
            <v>Academy Converters</v>
          </cell>
          <cell r="F21564" t="str">
            <v>Secondary</v>
          </cell>
        </row>
        <row r="21565">
          <cell r="A21565">
            <v>3832459</v>
          </cell>
          <cell r="B21565">
            <v>107935</v>
          </cell>
          <cell r="C21565" t="str">
            <v>Oakwood Primary School</v>
          </cell>
          <cell r="D21565" t="str">
            <v>Leeds</v>
          </cell>
          <cell r="E21565" t="str">
            <v>Community School</v>
          </cell>
          <cell r="F21565" t="str">
            <v>Primary</v>
          </cell>
        </row>
        <row r="21566">
          <cell r="A21566">
            <v>9192227</v>
          </cell>
          <cell r="B21566">
            <v>117222</v>
          </cell>
          <cell r="C21566" t="str">
            <v>Oakwood Primary School</v>
          </cell>
          <cell r="D21566" t="str">
            <v>Hertfordshire</v>
          </cell>
          <cell r="E21566" t="str">
            <v>Community School</v>
          </cell>
          <cell r="F21566" t="str">
            <v>Primary</v>
          </cell>
        </row>
        <row r="21567">
          <cell r="A21567">
            <v>8793769</v>
          </cell>
          <cell r="B21567">
            <v>135146</v>
          </cell>
          <cell r="C21567" t="str">
            <v>Oakwood Primary School</v>
          </cell>
          <cell r="D21567" t="str">
            <v>Plymouth</v>
          </cell>
          <cell r="E21567" t="str">
            <v>Community School</v>
          </cell>
          <cell r="F21567" t="str">
            <v>Primary</v>
          </cell>
        </row>
        <row r="21568">
          <cell r="A21568">
            <v>8216011</v>
          </cell>
          <cell r="B21568">
            <v>135539</v>
          </cell>
          <cell r="C21568" t="str">
            <v>Oakwood Primary School</v>
          </cell>
          <cell r="D21568" t="str">
            <v>Luton</v>
          </cell>
          <cell r="E21568" t="str">
            <v>Other Independent School</v>
          </cell>
          <cell r="F21568" t="str">
            <v>Not applicable</v>
          </cell>
        </row>
        <row r="21569">
          <cell r="A21569">
            <v>9165221</v>
          </cell>
          <cell r="B21569">
            <v>135857</v>
          </cell>
          <cell r="C21569" t="str">
            <v>Oakwood Primary School</v>
          </cell>
          <cell r="D21569" t="str">
            <v>Gloucestershire</v>
          </cell>
          <cell r="E21569" t="str">
            <v>Foundation School</v>
          </cell>
          <cell r="F21569" t="str">
            <v>Primary</v>
          </cell>
        </row>
        <row r="21570">
          <cell r="A21570">
            <v>3911102</v>
          </cell>
          <cell r="B21570">
            <v>108436</v>
          </cell>
          <cell r="C21570" t="str">
            <v>Oakwood Pupil Referral Unit</v>
          </cell>
          <cell r="D21570" t="str">
            <v>Newcastle upon Tyne</v>
          </cell>
          <cell r="E21570" t="str">
            <v>Pupil Referral Unit</v>
          </cell>
          <cell r="F21570" t="str">
            <v>PRU</v>
          </cell>
        </row>
        <row r="21571">
          <cell r="A21571">
            <v>3831110</v>
          </cell>
          <cell r="B21571">
            <v>134158</v>
          </cell>
          <cell r="C21571" t="str">
            <v>Oakwood Pupil Support Centre</v>
          </cell>
          <cell r="D21571" t="str">
            <v>Leeds</v>
          </cell>
          <cell r="E21571" t="str">
            <v>Pupil Referral Unit</v>
          </cell>
          <cell r="F21571" t="str">
            <v>PRU</v>
          </cell>
        </row>
        <row r="21572">
          <cell r="A21572">
            <v>3357011</v>
          </cell>
          <cell r="B21572">
            <v>104275</v>
          </cell>
          <cell r="C21572" t="str">
            <v>Oakwood School</v>
          </cell>
          <cell r="D21572" t="str">
            <v>Walsall</v>
          </cell>
          <cell r="E21572" t="str">
            <v>Community Special School</v>
          </cell>
          <cell r="F21572" t="str">
            <v>Special</v>
          </cell>
        </row>
        <row r="21573">
          <cell r="A21573">
            <v>8452150</v>
          </cell>
          <cell r="B21573">
            <v>114472</v>
          </cell>
          <cell r="C21573" t="str">
            <v>Oakwood School</v>
          </cell>
          <cell r="D21573" t="str">
            <v>East Sussex</v>
          </cell>
          <cell r="E21573" t="str">
            <v>Community School</v>
          </cell>
          <cell r="F21573" t="str">
            <v>Primary</v>
          </cell>
        </row>
        <row r="21574">
          <cell r="A21574">
            <v>9357010</v>
          </cell>
          <cell r="B21574">
            <v>124910</v>
          </cell>
          <cell r="C21574" t="str">
            <v>Oakwood School</v>
          </cell>
          <cell r="D21574" t="str">
            <v>Suffolk</v>
          </cell>
          <cell r="E21574" t="str">
            <v>Community Special School</v>
          </cell>
          <cell r="F21574" t="str">
            <v>Special</v>
          </cell>
        </row>
        <row r="21575">
          <cell r="A21575">
            <v>9364465</v>
          </cell>
          <cell r="B21575">
            <v>125273</v>
          </cell>
          <cell r="C21575" t="str">
            <v>Oakwood School</v>
          </cell>
          <cell r="D21575" t="str">
            <v>Surrey</v>
          </cell>
          <cell r="E21575" t="str">
            <v>Community School</v>
          </cell>
          <cell r="F21575" t="str">
            <v>Secondary</v>
          </cell>
        </row>
        <row r="21576">
          <cell r="A21576">
            <v>9386005</v>
          </cell>
          <cell r="B21576">
            <v>126104</v>
          </cell>
          <cell r="C21576" t="str">
            <v>Oakwood School</v>
          </cell>
          <cell r="D21576" t="str">
            <v>West Sussex</v>
          </cell>
          <cell r="E21576" t="str">
            <v>Other Independent School</v>
          </cell>
          <cell r="F21576" t="str">
            <v>Not applicable</v>
          </cell>
        </row>
        <row r="21577">
          <cell r="A21577">
            <v>8556021</v>
          </cell>
          <cell r="B21577">
            <v>128078</v>
          </cell>
          <cell r="C21577" t="str">
            <v>Oakwood School</v>
          </cell>
          <cell r="D21577" t="str">
            <v>Leicestershire</v>
          </cell>
          <cell r="E21577" t="str">
            <v>Other Independent Special School</v>
          </cell>
          <cell r="F21577" t="str">
            <v>Not applicable</v>
          </cell>
        </row>
        <row r="21578">
          <cell r="A21578">
            <v>3066088</v>
          </cell>
          <cell r="B21578">
            <v>131042</v>
          </cell>
          <cell r="C21578" t="str">
            <v>Oakwood School</v>
          </cell>
          <cell r="D21578" t="str">
            <v>Croydon</v>
          </cell>
          <cell r="E21578" t="str">
            <v>Other Independent School</v>
          </cell>
          <cell r="F21578" t="str">
            <v>Not applicable</v>
          </cell>
        </row>
        <row r="21579">
          <cell r="A21579">
            <v>3037004</v>
          </cell>
          <cell r="B21579">
            <v>131115</v>
          </cell>
          <cell r="C21579" t="str">
            <v>Oakwood School</v>
          </cell>
          <cell r="D21579" t="str">
            <v>Bexley</v>
          </cell>
          <cell r="E21579" t="str">
            <v>Community Special School</v>
          </cell>
          <cell r="F21579" t="str">
            <v>Special</v>
          </cell>
        </row>
        <row r="21580">
          <cell r="A21580">
            <v>8866080</v>
          </cell>
          <cell r="B21580">
            <v>131679</v>
          </cell>
          <cell r="C21580" t="str">
            <v>Oakwood School</v>
          </cell>
          <cell r="D21580" t="str">
            <v>Kent</v>
          </cell>
          <cell r="E21580" t="str">
            <v>Other Independent School</v>
          </cell>
          <cell r="F21580" t="str">
            <v>Not applicable</v>
          </cell>
        </row>
        <row r="21581">
          <cell r="A21581">
            <v>7016008</v>
          </cell>
          <cell r="B21581">
            <v>135026</v>
          </cell>
          <cell r="C21581" t="str">
            <v>Oakwood School</v>
          </cell>
          <cell r="D21581" t="str">
            <v>Scotland Offshore Establishments</v>
          </cell>
          <cell r="E21581" t="str">
            <v>Offshore Schools</v>
          </cell>
          <cell r="F21581" t="str">
            <v>Not applicable</v>
          </cell>
        </row>
        <row r="21582">
          <cell r="A21582">
            <v>6646000</v>
          </cell>
          <cell r="B21582">
            <v>401980</v>
          </cell>
          <cell r="C21582" t="str">
            <v>Oakwood Small School</v>
          </cell>
          <cell r="D21582" t="str">
            <v>Flintshire</v>
          </cell>
          <cell r="E21582" t="str">
            <v>Welsh Establishment</v>
          </cell>
          <cell r="F21582" t="str">
            <v>Not applicable</v>
          </cell>
        </row>
        <row r="21583">
          <cell r="A21583">
            <v>3724003</v>
          </cell>
          <cell r="B21583">
            <v>106949</v>
          </cell>
          <cell r="C21583" t="str">
            <v>Oakwood Technology College</v>
          </cell>
          <cell r="D21583" t="str">
            <v>Rotherham</v>
          </cell>
          <cell r="E21583" t="str">
            <v>Community School</v>
          </cell>
          <cell r="F21583" t="str">
            <v>Secondary</v>
          </cell>
        </row>
        <row r="21584">
          <cell r="A21584">
            <v>3805205</v>
          </cell>
          <cell r="B21584">
            <v>107436</v>
          </cell>
          <cell r="C21584" t="str">
            <v>Oakworth Primary School</v>
          </cell>
          <cell r="D21584" t="str">
            <v>Bradford</v>
          </cell>
          <cell r="E21584" t="str">
            <v>Foundation School</v>
          </cell>
          <cell r="F21584" t="str">
            <v>Primary</v>
          </cell>
        </row>
        <row r="21585">
          <cell r="A21585">
            <v>8653141</v>
          </cell>
          <cell r="B21585">
            <v>126346</v>
          </cell>
          <cell r="C21585" t="str">
            <v>Oare Church of England Primary School</v>
          </cell>
          <cell r="D21585" t="str">
            <v>Wiltshire</v>
          </cell>
          <cell r="E21585" t="str">
            <v>Voluntary Controlled School</v>
          </cell>
          <cell r="F21585" t="str">
            <v>Primary</v>
          </cell>
        </row>
        <row r="21586">
          <cell r="A21586">
            <v>8826054</v>
          </cell>
          <cell r="B21586">
            <v>136216</v>
          </cell>
          <cell r="C21586" t="str">
            <v>Oasis</v>
          </cell>
          <cell r="D21586" t="str">
            <v>Southend-on-Sea</v>
          </cell>
          <cell r="E21586" t="str">
            <v>Other Independent Special School</v>
          </cell>
          <cell r="F21586" t="str">
            <v>Not applicable</v>
          </cell>
        </row>
        <row r="21587">
          <cell r="A21587">
            <v>8016912</v>
          </cell>
          <cell r="B21587">
            <v>135671</v>
          </cell>
          <cell r="C21587" t="str">
            <v>Oasis Academy Brightstowe</v>
          </cell>
          <cell r="D21587" t="str">
            <v>Bristol City of</v>
          </cell>
          <cell r="E21587" t="str">
            <v>Academy Sponsor Led</v>
          </cell>
          <cell r="F21587" t="str">
            <v>Secondary</v>
          </cell>
        </row>
        <row r="21588">
          <cell r="A21588">
            <v>8016911</v>
          </cell>
          <cell r="B21588">
            <v>135663</v>
          </cell>
          <cell r="C21588" t="str">
            <v>Oasis Academy Bristol</v>
          </cell>
          <cell r="D21588" t="str">
            <v>Bristol City of</v>
          </cell>
          <cell r="E21588" t="str">
            <v>Academy Sponsor Led</v>
          </cell>
          <cell r="F21588" t="str">
            <v>Secondary</v>
          </cell>
        </row>
        <row r="21589">
          <cell r="A21589">
            <v>3066907</v>
          </cell>
          <cell r="B21589">
            <v>135654</v>
          </cell>
          <cell r="C21589" t="str">
            <v>Oasis Academy Coulsdon</v>
          </cell>
          <cell r="D21589" t="str">
            <v>Croydon</v>
          </cell>
          <cell r="E21589" t="str">
            <v>Academy Sponsor Led</v>
          </cell>
          <cell r="F21589" t="str">
            <v>Secondary</v>
          </cell>
        </row>
        <row r="21590">
          <cell r="A21590">
            <v>3086905</v>
          </cell>
          <cell r="B21590">
            <v>134311</v>
          </cell>
          <cell r="C21590" t="str">
            <v>Oasis Academy Enfield</v>
          </cell>
          <cell r="D21590" t="str">
            <v>Enfield</v>
          </cell>
          <cell r="E21590" t="str">
            <v>Academy Sponsor Led</v>
          </cell>
          <cell r="F21590" t="str">
            <v>Secondary</v>
          </cell>
        </row>
        <row r="21591">
          <cell r="A21591">
            <v>3086906</v>
          </cell>
          <cell r="B21591">
            <v>135958</v>
          </cell>
          <cell r="C21591" t="str">
            <v>Oasis Academy Hadley</v>
          </cell>
          <cell r="D21591" t="str">
            <v>Enfield</v>
          </cell>
          <cell r="E21591" t="str">
            <v>Academy Sponsor Led</v>
          </cell>
          <cell r="F21591" t="str">
            <v>Not applicable</v>
          </cell>
        </row>
        <row r="21592">
          <cell r="A21592">
            <v>8126905</v>
          </cell>
          <cell r="B21592">
            <v>135176</v>
          </cell>
          <cell r="C21592" t="str">
            <v>Oasis Academy Immingham</v>
          </cell>
          <cell r="D21592" t="str">
            <v>North East Lincolnshire</v>
          </cell>
          <cell r="E21592" t="str">
            <v>Academy Sponsor Led</v>
          </cell>
          <cell r="F21592" t="str">
            <v>Secondary</v>
          </cell>
        </row>
        <row r="21593">
          <cell r="A21593">
            <v>8526905</v>
          </cell>
          <cell r="B21593">
            <v>135628</v>
          </cell>
          <cell r="C21593" t="str">
            <v>Oasis Academy Lord's Hill</v>
          </cell>
          <cell r="D21593" t="str">
            <v>Southampton</v>
          </cell>
          <cell r="E21593" t="str">
            <v>Academy Sponsor Led</v>
          </cell>
          <cell r="F21593" t="str">
            <v>Secondary</v>
          </cell>
        </row>
        <row r="21594">
          <cell r="A21594">
            <v>8526906</v>
          </cell>
          <cell r="B21594">
            <v>135629</v>
          </cell>
          <cell r="C21594" t="str">
            <v>Oasis Academy Mayfield</v>
          </cell>
          <cell r="D21594" t="str">
            <v>Southampton</v>
          </cell>
          <cell r="E21594" t="str">
            <v>Academy Sponsor Led</v>
          </cell>
          <cell r="F21594" t="str">
            <v>Secondary</v>
          </cell>
        </row>
        <row r="21595">
          <cell r="A21595">
            <v>3556906</v>
          </cell>
          <cell r="B21595">
            <v>135661</v>
          </cell>
          <cell r="C21595" t="str">
            <v>Oasis Academy MediaCityUK</v>
          </cell>
          <cell r="D21595" t="str">
            <v>Salford</v>
          </cell>
          <cell r="E21595" t="str">
            <v>Academy Sponsor Led</v>
          </cell>
          <cell r="F21595" t="str">
            <v>Secondary</v>
          </cell>
        </row>
        <row r="21596">
          <cell r="A21596">
            <v>3536905</v>
          </cell>
          <cell r="B21596">
            <v>136027</v>
          </cell>
          <cell r="C21596" t="str">
            <v>Oasis Academy Oldham</v>
          </cell>
          <cell r="D21596" t="str">
            <v>Oldham</v>
          </cell>
          <cell r="E21596" t="str">
            <v>Academy Sponsor Led</v>
          </cell>
          <cell r="F21596" t="str">
            <v>Secondary</v>
          </cell>
        </row>
        <row r="21597">
          <cell r="A21597">
            <v>3066909</v>
          </cell>
          <cell r="B21597">
            <v>135968</v>
          </cell>
          <cell r="C21597" t="str">
            <v>Oasis Academy Shirley Park</v>
          </cell>
          <cell r="D21597" t="str">
            <v>Croydon</v>
          </cell>
          <cell r="E21597" t="str">
            <v>Academy Sponsor Led</v>
          </cell>
          <cell r="F21597" t="str">
            <v>Not applicable</v>
          </cell>
        </row>
        <row r="21598">
          <cell r="A21598">
            <v>8126906</v>
          </cell>
          <cell r="B21598">
            <v>135209</v>
          </cell>
          <cell r="C21598" t="str">
            <v>Oasis Academy Wintringham</v>
          </cell>
          <cell r="D21598" t="str">
            <v>North East Lincolnshire</v>
          </cell>
          <cell r="E21598" t="str">
            <v>Academy Sponsor Led</v>
          </cell>
          <cell r="F21598" t="str">
            <v>Secondary</v>
          </cell>
        </row>
        <row r="21599">
          <cell r="A21599">
            <v>3161007</v>
          </cell>
          <cell r="B21599">
            <v>102707</v>
          </cell>
          <cell r="C21599" t="str">
            <v>Oasis Nursery School</v>
          </cell>
          <cell r="D21599" t="str">
            <v>Newham</v>
          </cell>
          <cell r="E21599" t="str">
            <v>LA Nursery School</v>
          </cell>
          <cell r="F21599" t="str">
            <v>Nursery</v>
          </cell>
        </row>
        <row r="21600">
          <cell r="A21600">
            <v>8816057</v>
          </cell>
          <cell r="B21600">
            <v>135514</v>
          </cell>
          <cell r="C21600" t="str">
            <v>Oasis School</v>
          </cell>
          <cell r="D21600" t="str">
            <v>Essex</v>
          </cell>
          <cell r="E21600" t="str">
            <v>Other Independent Special School</v>
          </cell>
          <cell r="F21600" t="str">
            <v>Not applicable</v>
          </cell>
        </row>
        <row r="21601">
          <cell r="A21601">
            <v>8016006</v>
          </cell>
          <cell r="B21601">
            <v>109340</v>
          </cell>
          <cell r="C21601" t="str">
            <v>Oasis School Westbury</v>
          </cell>
          <cell r="D21601" t="str">
            <v>Bristol City of</v>
          </cell>
          <cell r="E21601" t="str">
            <v>Other Independent School</v>
          </cell>
          <cell r="F21601" t="str">
            <v>Not applicable</v>
          </cell>
        </row>
        <row r="21602">
          <cell r="A21602">
            <v>9384102</v>
          </cell>
          <cell r="B21602">
            <v>126085</v>
          </cell>
          <cell r="C21602" t="str">
            <v>Oathall Community College</v>
          </cell>
          <cell r="D21602" t="str">
            <v>West Sussex</v>
          </cell>
          <cell r="E21602" t="str">
            <v>Community School</v>
          </cell>
          <cell r="F21602" t="str">
            <v>Secondary</v>
          </cell>
        </row>
        <row r="21603">
          <cell r="A21603">
            <v>8152331</v>
          </cell>
          <cell r="B21603">
            <v>121397</v>
          </cell>
          <cell r="C21603" t="str">
            <v>Oatlands Community Infant School</v>
          </cell>
          <cell r="D21603" t="str">
            <v>North Yorkshire</v>
          </cell>
          <cell r="E21603" t="str">
            <v>Community School</v>
          </cell>
          <cell r="F21603" t="str">
            <v>Primary</v>
          </cell>
        </row>
        <row r="21604">
          <cell r="A21604">
            <v>8152376</v>
          </cell>
          <cell r="B21604">
            <v>121431</v>
          </cell>
          <cell r="C21604" t="str">
            <v>Oatlands Community Junior School</v>
          </cell>
          <cell r="D21604" t="str">
            <v>North Yorkshire</v>
          </cell>
          <cell r="E21604" t="str">
            <v>Community School</v>
          </cell>
          <cell r="F21604" t="str">
            <v>Primary</v>
          </cell>
        </row>
        <row r="21605">
          <cell r="A21605">
            <v>9362257</v>
          </cell>
          <cell r="B21605">
            <v>124994</v>
          </cell>
          <cell r="C21605" t="str">
            <v>Oatlands School</v>
          </cell>
          <cell r="D21605" t="str">
            <v>Surrey</v>
          </cell>
          <cell r="E21605" t="str">
            <v>Community School</v>
          </cell>
          <cell r="F21605" t="str">
            <v>Primary</v>
          </cell>
        </row>
        <row r="21606">
          <cell r="A21606">
            <v>9352100</v>
          </cell>
          <cell r="B21606">
            <v>124601</v>
          </cell>
          <cell r="C21606" t="str">
            <v>Occold Primary School</v>
          </cell>
          <cell r="D21606" t="str">
            <v>Suffolk</v>
          </cell>
          <cell r="E21606" t="str">
            <v>Community School</v>
          </cell>
          <cell r="F21606" t="str">
            <v>Primary</v>
          </cell>
        </row>
        <row r="21607">
          <cell r="A21607">
            <v>8826010</v>
          </cell>
          <cell r="B21607">
            <v>137562</v>
          </cell>
          <cell r="C21607" t="str">
            <v>Ocean Lodge Independent School</v>
          </cell>
          <cell r="D21607" t="str">
            <v>Southend-on-Sea</v>
          </cell>
          <cell r="E21607" t="str">
            <v>Other Independent Special School</v>
          </cell>
          <cell r="F21607" t="str">
            <v>Not applicable</v>
          </cell>
        </row>
        <row r="21608">
          <cell r="A21608">
            <v>8306002</v>
          </cell>
          <cell r="B21608">
            <v>113007</v>
          </cell>
          <cell r="C21608" t="str">
            <v>Ockbrook School</v>
          </cell>
          <cell r="D21608" t="str">
            <v>Derbyshire</v>
          </cell>
          <cell r="E21608" t="str">
            <v>Other Independent School</v>
          </cell>
          <cell r="F21608" t="str">
            <v>Not applicable</v>
          </cell>
        </row>
        <row r="21609">
          <cell r="A21609">
            <v>3332060</v>
          </cell>
          <cell r="B21609">
            <v>103919</v>
          </cell>
          <cell r="C21609" t="str">
            <v>Ocker Hill Infant School</v>
          </cell>
          <cell r="D21609" t="str">
            <v>Sandwell</v>
          </cell>
          <cell r="E21609" t="str">
            <v>Community School</v>
          </cell>
          <cell r="F21609" t="str">
            <v>Primary</v>
          </cell>
        </row>
        <row r="21610">
          <cell r="A21610">
            <v>3332061</v>
          </cell>
          <cell r="B21610">
            <v>103920</v>
          </cell>
          <cell r="C21610" t="str">
            <v>Ocker Hill Junior School</v>
          </cell>
          <cell r="D21610" t="str">
            <v>Sandwell</v>
          </cell>
          <cell r="E21610" t="str">
            <v>Community School</v>
          </cell>
          <cell r="F21610" t="str">
            <v>Primary</v>
          </cell>
        </row>
        <row r="21611">
          <cell r="A21611">
            <v>9363379</v>
          </cell>
          <cell r="B21611">
            <v>130083</v>
          </cell>
          <cell r="C21611" t="str">
            <v>Ockley CofE First School</v>
          </cell>
          <cell r="D21611" t="str">
            <v>Surrey</v>
          </cell>
          <cell r="E21611" t="str">
            <v>Voluntary Aided School</v>
          </cell>
          <cell r="F21611" t="str">
            <v>Primary</v>
          </cell>
        </row>
        <row r="21612">
          <cell r="A21612">
            <v>8452138</v>
          </cell>
          <cell r="B21612">
            <v>114462</v>
          </cell>
          <cell r="C21612" t="str">
            <v>Ocklynge Junior School</v>
          </cell>
          <cell r="D21612" t="str">
            <v>East Sussex</v>
          </cell>
          <cell r="E21612" t="str">
            <v>Community School</v>
          </cell>
          <cell r="F21612" t="str">
            <v>Primary</v>
          </cell>
        </row>
        <row r="21613">
          <cell r="A21613">
            <v>9333483</v>
          </cell>
          <cell r="B21613">
            <v>123853</v>
          </cell>
          <cell r="C21613" t="str">
            <v>Odcombe CofE VA Primary School</v>
          </cell>
          <cell r="D21613" t="str">
            <v>Somerset</v>
          </cell>
          <cell r="E21613" t="str">
            <v>Voluntary Aided School</v>
          </cell>
          <cell r="F21613" t="str">
            <v>Primary</v>
          </cell>
        </row>
        <row r="21614">
          <cell r="A21614">
            <v>3162049</v>
          </cell>
          <cell r="B21614">
            <v>102735</v>
          </cell>
          <cell r="C21614" t="str">
            <v>Odessa Infant School</v>
          </cell>
          <cell r="D21614" t="str">
            <v>Newham</v>
          </cell>
          <cell r="E21614" t="str">
            <v>Community School</v>
          </cell>
          <cell r="F21614" t="str">
            <v>Primary</v>
          </cell>
        </row>
        <row r="21615">
          <cell r="A21615">
            <v>8652076</v>
          </cell>
          <cell r="B21615">
            <v>126203</v>
          </cell>
          <cell r="C21615" t="str">
            <v>Odstock Primary School</v>
          </cell>
          <cell r="D21615" t="str">
            <v>Wiltshire</v>
          </cell>
          <cell r="E21615" t="str">
            <v>Community School</v>
          </cell>
          <cell r="F21615" t="str">
            <v>Primary</v>
          </cell>
        </row>
        <row r="21616">
          <cell r="A21616">
            <v>9162126</v>
          </cell>
          <cell r="B21616">
            <v>115567</v>
          </cell>
          <cell r="C21616" t="str">
            <v>Offa's Mead Primary School</v>
          </cell>
          <cell r="D21616" t="str">
            <v>Gloucestershire</v>
          </cell>
          <cell r="E21616" t="str">
            <v>Community School</v>
          </cell>
          <cell r="F21616" t="str">
            <v>Primary</v>
          </cell>
        </row>
        <row r="21617">
          <cell r="A21617">
            <v>8853082</v>
          </cell>
          <cell r="B21617">
            <v>116835</v>
          </cell>
          <cell r="C21617" t="str">
            <v>Offenham CofE First School</v>
          </cell>
          <cell r="D21617" t="str">
            <v>Worcestershire</v>
          </cell>
          <cell r="E21617" t="str">
            <v>Voluntary Controlled School</v>
          </cell>
          <cell r="F21617" t="str">
            <v>Primary</v>
          </cell>
        </row>
        <row r="21618">
          <cell r="A21618">
            <v>3561006</v>
          </cell>
          <cell r="B21618">
            <v>106019</v>
          </cell>
          <cell r="C21618" t="str">
            <v>Offerton Hall Nursery School</v>
          </cell>
          <cell r="D21618" t="str">
            <v>Stockport</v>
          </cell>
          <cell r="E21618" t="str">
            <v>LA Nursery School</v>
          </cell>
          <cell r="F21618" t="str">
            <v>Nursery</v>
          </cell>
        </row>
        <row r="21619">
          <cell r="A21619">
            <v>3562110</v>
          </cell>
          <cell r="B21619">
            <v>106096</v>
          </cell>
          <cell r="C21619" t="str">
            <v>Offerton Hall Primary School</v>
          </cell>
          <cell r="D21619" t="str">
            <v>Stockport</v>
          </cell>
          <cell r="E21619" t="str">
            <v>Community School</v>
          </cell>
          <cell r="F21619" t="str">
            <v>Primary</v>
          </cell>
        </row>
        <row r="21620">
          <cell r="A21620">
            <v>3564031</v>
          </cell>
          <cell r="B21620">
            <v>106132</v>
          </cell>
          <cell r="C21620" t="str">
            <v>Offerton School</v>
          </cell>
          <cell r="D21620" t="str">
            <v>Stockport</v>
          </cell>
          <cell r="E21620" t="str">
            <v>Community School</v>
          </cell>
          <cell r="F21620" t="str">
            <v>Secondary</v>
          </cell>
        </row>
        <row r="21621">
          <cell r="A21621">
            <v>8862187</v>
          </cell>
          <cell r="B21621">
            <v>118308</v>
          </cell>
          <cell r="C21621" t="str">
            <v>Offham Primary School</v>
          </cell>
          <cell r="D21621" t="str">
            <v>Kent</v>
          </cell>
          <cell r="E21621" t="str">
            <v>Community School</v>
          </cell>
          <cell r="F21621" t="str">
            <v>Primary</v>
          </cell>
        </row>
        <row r="21622">
          <cell r="A21622">
            <v>9193357</v>
          </cell>
          <cell r="B21622">
            <v>117445</v>
          </cell>
          <cell r="C21622" t="str">
            <v>Offley Endowed Primary School</v>
          </cell>
          <cell r="D21622" t="str">
            <v>Hertfordshire</v>
          </cell>
          <cell r="E21622" t="str">
            <v>Voluntary Aided School</v>
          </cell>
          <cell r="F21622" t="str">
            <v>Primary</v>
          </cell>
        </row>
        <row r="21623">
          <cell r="A21623">
            <v>8752287</v>
          </cell>
          <cell r="B21623">
            <v>111118</v>
          </cell>
          <cell r="C21623" t="str">
            <v>Offley Infant School</v>
          </cell>
          <cell r="D21623" t="str">
            <v>Pre LGR (2009) Cheshire</v>
          </cell>
          <cell r="E21623" t="str">
            <v>Community School</v>
          </cell>
          <cell r="F21623" t="str">
            <v>Primary</v>
          </cell>
        </row>
        <row r="21624">
          <cell r="A21624">
            <v>8752177</v>
          </cell>
          <cell r="B21624">
            <v>111046</v>
          </cell>
          <cell r="C21624" t="str">
            <v>Offley Junior School</v>
          </cell>
          <cell r="D21624" t="str">
            <v>Pre LGR (2009) Cheshire</v>
          </cell>
          <cell r="E21624" t="str">
            <v>Community School</v>
          </cell>
          <cell r="F21624" t="str">
            <v>Primary</v>
          </cell>
        </row>
        <row r="21625">
          <cell r="A21625">
            <v>8953811</v>
          </cell>
          <cell r="B21625">
            <v>133418</v>
          </cell>
          <cell r="C21625" t="str">
            <v>Offley Primary School</v>
          </cell>
          <cell r="D21625" t="str">
            <v>Cheshire East</v>
          </cell>
          <cell r="E21625" t="str">
            <v>Community School</v>
          </cell>
          <cell r="F21625" t="str">
            <v>Primary</v>
          </cell>
        </row>
        <row r="21626">
          <cell r="A21626">
            <v>8852911</v>
          </cell>
          <cell r="B21626">
            <v>135052</v>
          </cell>
          <cell r="C21626" t="str">
            <v>Offmore Primary School</v>
          </cell>
          <cell r="D21626" t="str">
            <v>Worcestershire</v>
          </cell>
          <cell r="E21626" t="str">
            <v>Community School</v>
          </cell>
          <cell r="F21626" t="str">
            <v>Primary</v>
          </cell>
        </row>
        <row r="21627">
          <cell r="A21627">
            <v>8732214</v>
          </cell>
          <cell r="B21627">
            <v>110682</v>
          </cell>
          <cell r="C21627" t="str">
            <v>Offord Primary School</v>
          </cell>
          <cell r="D21627" t="str">
            <v>Cambridgeshire</v>
          </cell>
          <cell r="E21627" t="str">
            <v>Community School</v>
          </cell>
          <cell r="F21627" t="str">
            <v>Primary</v>
          </cell>
        </row>
        <row r="21628">
          <cell r="A21628">
            <v>8783015</v>
          </cell>
          <cell r="B21628">
            <v>113359</v>
          </cell>
          <cell r="C21628" t="str">
            <v>Offwell Church of England Primary School</v>
          </cell>
          <cell r="D21628" t="str">
            <v>Devon</v>
          </cell>
          <cell r="E21628" t="str">
            <v>Voluntary Controlled School</v>
          </cell>
          <cell r="F21628" t="str">
            <v>Primary</v>
          </cell>
        </row>
        <row r="21629">
          <cell r="A21629">
            <v>8653143</v>
          </cell>
          <cell r="B21629">
            <v>126347</v>
          </cell>
          <cell r="C21629" t="str">
            <v>Ogbourne St George and St Andrew Church of England Controlled Primary School</v>
          </cell>
          <cell r="D21629" t="str">
            <v>Wiltshire</v>
          </cell>
          <cell r="E21629" t="str">
            <v>Voluntary Controlled School</v>
          </cell>
          <cell r="F21629" t="str">
            <v>Primary</v>
          </cell>
        </row>
        <row r="21630">
          <cell r="A21630">
            <v>9157015</v>
          </cell>
          <cell r="B21630">
            <v>128933</v>
          </cell>
          <cell r="C21630" t="str">
            <v>Ogilvie School</v>
          </cell>
          <cell r="D21630" t="str">
            <v>Pre LGR (1998) Essex</v>
          </cell>
          <cell r="E21630" t="str">
            <v>Community Special School</v>
          </cell>
          <cell r="F21630" t="str">
            <v>Special</v>
          </cell>
        </row>
        <row r="21631">
          <cell r="A21631">
            <v>3111102</v>
          </cell>
          <cell r="B21631">
            <v>102265</v>
          </cell>
          <cell r="C21631" t="str">
            <v>Oglethorpe Unit</v>
          </cell>
          <cell r="D21631" t="str">
            <v>Havering</v>
          </cell>
          <cell r="E21631" t="str">
            <v>Pupil Referral Unit</v>
          </cell>
          <cell r="F21631" t="str">
            <v>PRU</v>
          </cell>
        </row>
        <row r="21632">
          <cell r="A21632">
            <v>3352216</v>
          </cell>
          <cell r="B21632">
            <v>104200</v>
          </cell>
          <cell r="C21632" t="str">
            <v>Ogley Hay Infant School</v>
          </cell>
          <cell r="D21632" t="str">
            <v>Walsall</v>
          </cell>
          <cell r="E21632" t="str">
            <v>Community School</v>
          </cell>
          <cell r="F21632" t="str">
            <v>Primary</v>
          </cell>
        </row>
        <row r="21633">
          <cell r="A21633">
            <v>3352215</v>
          </cell>
          <cell r="B21633">
            <v>104199</v>
          </cell>
          <cell r="C21633" t="str">
            <v>Ogley Hay Junior School</v>
          </cell>
          <cell r="D21633" t="str">
            <v>Walsall</v>
          </cell>
          <cell r="E21633" t="str">
            <v>Community School</v>
          </cell>
          <cell r="F21633" t="str">
            <v>Primary</v>
          </cell>
        </row>
        <row r="21634">
          <cell r="A21634">
            <v>3351009</v>
          </cell>
          <cell r="B21634">
            <v>104141</v>
          </cell>
          <cell r="C21634" t="str">
            <v>Ogley Hay Nursery School</v>
          </cell>
          <cell r="D21634" t="str">
            <v>Walsall</v>
          </cell>
          <cell r="E21634" t="str">
            <v>LA Nursery School</v>
          </cell>
          <cell r="F21634" t="str">
            <v>Nursery</v>
          </cell>
        </row>
        <row r="21635">
          <cell r="A21635">
            <v>6724084</v>
          </cell>
          <cell r="B21635">
            <v>401796</v>
          </cell>
          <cell r="C21635" t="str">
            <v>Ogmore Comprehensive School</v>
          </cell>
          <cell r="D21635" t="str">
            <v>Bridgend</v>
          </cell>
          <cell r="E21635" t="str">
            <v>Welsh Establishment</v>
          </cell>
          <cell r="F21635" t="str">
            <v>Secondary</v>
          </cell>
        </row>
        <row r="21636">
          <cell r="A21636">
            <v>6721020</v>
          </cell>
          <cell r="B21636">
            <v>400009</v>
          </cell>
          <cell r="C21636" t="str">
            <v>Ogmore Vale Nursery School</v>
          </cell>
          <cell r="D21636" t="str">
            <v>Bridgend</v>
          </cell>
          <cell r="E21636" t="str">
            <v>Welsh Establishment</v>
          </cell>
          <cell r="F21636" t="str">
            <v>Not applicable</v>
          </cell>
        </row>
        <row r="21637">
          <cell r="A21637">
            <v>6722369</v>
          </cell>
          <cell r="B21637">
            <v>402056</v>
          </cell>
          <cell r="C21637" t="str">
            <v>Ogmore Vale Primary</v>
          </cell>
          <cell r="D21637" t="str">
            <v>Bridgend</v>
          </cell>
          <cell r="E21637" t="str">
            <v>Welsh Establishment</v>
          </cell>
          <cell r="F21637" t="str">
            <v>Primary</v>
          </cell>
        </row>
        <row r="21638">
          <cell r="A21638">
            <v>7046006</v>
          </cell>
          <cell r="B21638">
            <v>132590</v>
          </cell>
          <cell r="C21638" t="str">
            <v>Ogunu School</v>
          </cell>
          <cell r="D21638" t="str">
            <v>Fieldwork Overseas Establishments</v>
          </cell>
          <cell r="E21638" t="str">
            <v>Service Childrens Education</v>
          </cell>
          <cell r="F21638" t="str">
            <v>Not applicable</v>
          </cell>
        </row>
        <row r="21639">
          <cell r="A21639">
            <v>2046073</v>
          </cell>
          <cell r="B21639">
            <v>136015</v>
          </cell>
          <cell r="C21639" t="str">
            <v>Ohel Blima Rochel Bobov Girls School</v>
          </cell>
          <cell r="D21639" t="str">
            <v>Hackney</v>
          </cell>
          <cell r="E21639" t="str">
            <v>Other Independent School</v>
          </cell>
          <cell r="F21639" t="str">
            <v>Not applicable</v>
          </cell>
        </row>
        <row r="21640">
          <cell r="A21640">
            <v>3556018</v>
          </cell>
          <cell r="B21640">
            <v>105998</v>
          </cell>
          <cell r="C21640" t="str">
            <v>Ohelei Yossef Yitzchok School</v>
          </cell>
          <cell r="D21640" t="str">
            <v>Salford</v>
          </cell>
          <cell r="E21640" t="str">
            <v>Other Independent School</v>
          </cell>
          <cell r="F21640" t="str">
            <v>Not applicable</v>
          </cell>
        </row>
        <row r="21641">
          <cell r="A21641">
            <v>3556033</v>
          </cell>
          <cell r="B21641">
            <v>131199</v>
          </cell>
          <cell r="C21641" t="str">
            <v>Oholei Yosef Yitzchok Lubavitch Boys' School</v>
          </cell>
          <cell r="D21641" t="str">
            <v>Salford</v>
          </cell>
          <cell r="E21641" t="str">
            <v>Other Independent School</v>
          </cell>
          <cell r="F21641" t="str">
            <v>Not applicable</v>
          </cell>
        </row>
        <row r="21642">
          <cell r="A21642">
            <v>8353348</v>
          </cell>
          <cell r="B21642">
            <v>113810</v>
          </cell>
          <cell r="C21642" t="str">
            <v>Okeford Fitzpaine Church of England Voluntary Aided School</v>
          </cell>
          <cell r="D21642" t="str">
            <v>Dorset</v>
          </cell>
          <cell r="E21642" t="str">
            <v>Voluntary Aided School</v>
          </cell>
          <cell r="F21642" t="str">
            <v>Primary</v>
          </cell>
        </row>
        <row r="21643">
          <cell r="A21643">
            <v>8784183</v>
          </cell>
          <cell r="B21643">
            <v>113540</v>
          </cell>
          <cell r="C21643" t="str">
            <v>Okehampton College</v>
          </cell>
          <cell r="D21643" t="str">
            <v>Devon</v>
          </cell>
          <cell r="E21643" t="str">
            <v>Community School</v>
          </cell>
          <cell r="F21643" t="str">
            <v>Secondary</v>
          </cell>
        </row>
        <row r="21644">
          <cell r="A21644">
            <v>8782616</v>
          </cell>
          <cell r="B21644">
            <v>113260</v>
          </cell>
          <cell r="C21644" t="str">
            <v>Okehampton Primary School and Foundation Unit</v>
          </cell>
          <cell r="D21644" t="str">
            <v>Devon</v>
          </cell>
          <cell r="E21644" t="str">
            <v>Community School</v>
          </cell>
          <cell r="F21644" t="str">
            <v>Primary</v>
          </cell>
        </row>
        <row r="21645">
          <cell r="A21645">
            <v>9363000</v>
          </cell>
          <cell r="B21645">
            <v>130068</v>
          </cell>
          <cell r="C21645" t="str">
            <v>Okewood District CofE First School</v>
          </cell>
          <cell r="D21645" t="str">
            <v>Surrey</v>
          </cell>
          <cell r="E21645" t="str">
            <v>Voluntary Controlled School</v>
          </cell>
          <cell r="F21645" t="str">
            <v>Primary</v>
          </cell>
        </row>
        <row r="21646">
          <cell r="A21646">
            <v>6704032</v>
          </cell>
          <cell r="B21646">
            <v>401765</v>
          </cell>
          <cell r="C21646" t="str">
            <v>Olchfa School</v>
          </cell>
          <cell r="D21646" t="str">
            <v>Swansea</v>
          </cell>
          <cell r="E21646" t="str">
            <v>Welsh Establishment</v>
          </cell>
          <cell r="F21646" t="str">
            <v>Secondary</v>
          </cell>
        </row>
        <row r="21647">
          <cell r="A21647">
            <v>3822138</v>
          </cell>
          <cell r="B21647">
            <v>107687</v>
          </cell>
          <cell r="C21647" t="str">
            <v>Old Bank Junior Infant and Nursery School</v>
          </cell>
          <cell r="D21647" t="str">
            <v>Kirklees</v>
          </cell>
          <cell r="E21647" t="str">
            <v>Community School</v>
          </cell>
          <cell r="F21647" t="str">
            <v>Primary</v>
          </cell>
        </row>
        <row r="21648">
          <cell r="A21648">
            <v>8922152</v>
          </cell>
          <cell r="B21648">
            <v>122475</v>
          </cell>
          <cell r="C21648" t="str">
            <v>Old Basford Primary and Nursery School</v>
          </cell>
          <cell r="D21648" t="str">
            <v>Nottingham</v>
          </cell>
          <cell r="E21648" t="str">
            <v>Community School</v>
          </cell>
          <cell r="F21648" t="str">
            <v>Primary</v>
          </cell>
        </row>
        <row r="21649">
          <cell r="A21649">
            <v>8502319</v>
          </cell>
          <cell r="B21649">
            <v>116039</v>
          </cell>
          <cell r="C21649" t="str">
            <v>Old Basing Infant School</v>
          </cell>
          <cell r="D21649" t="str">
            <v>Hampshire</v>
          </cell>
          <cell r="E21649" t="str">
            <v>Community School</v>
          </cell>
          <cell r="F21649" t="str">
            <v>Primary</v>
          </cell>
        </row>
        <row r="21650">
          <cell r="A21650">
            <v>3033008</v>
          </cell>
          <cell r="B21650">
            <v>101452</v>
          </cell>
          <cell r="C21650" t="str">
            <v>Old Bexley Church of England Primary School</v>
          </cell>
          <cell r="D21650" t="str">
            <v>Bexley</v>
          </cell>
          <cell r="E21650" t="str">
            <v>Voluntary Controlled School</v>
          </cell>
          <cell r="F21650" t="str">
            <v>Primary</v>
          </cell>
        </row>
        <row r="21651">
          <cell r="A21651">
            <v>9262123</v>
          </cell>
          <cell r="B21651">
            <v>120839</v>
          </cell>
          <cell r="C21651" t="str">
            <v>Old Buckenham Community Primary School</v>
          </cell>
          <cell r="D21651" t="str">
            <v>Norfolk</v>
          </cell>
          <cell r="E21651" t="str">
            <v>Community School</v>
          </cell>
          <cell r="F21651" t="str">
            <v>Primary</v>
          </cell>
        </row>
        <row r="21652">
          <cell r="A21652">
            <v>9356019</v>
          </cell>
          <cell r="B21652">
            <v>124873</v>
          </cell>
          <cell r="C21652" t="str">
            <v>Old Buckenham Hall School</v>
          </cell>
          <cell r="D21652" t="str">
            <v>Suffolk</v>
          </cell>
          <cell r="E21652" t="str">
            <v>Other Independent School</v>
          </cell>
          <cell r="F21652" t="str">
            <v>Not applicable</v>
          </cell>
        </row>
        <row r="21653">
          <cell r="A21653">
            <v>9264054</v>
          </cell>
          <cell r="B21653">
            <v>121169</v>
          </cell>
          <cell r="C21653" t="str">
            <v>Old Buckenham High School</v>
          </cell>
          <cell r="D21653" t="str">
            <v>Norfolk</v>
          </cell>
          <cell r="E21653" t="str">
            <v>Community School</v>
          </cell>
          <cell r="F21653" t="str">
            <v>Secondary</v>
          </cell>
        </row>
        <row r="21654">
          <cell r="A21654">
            <v>9263060</v>
          </cell>
          <cell r="B21654">
            <v>121050</v>
          </cell>
          <cell r="C21654" t="str">
            <v>Old Catton CofE VC Junior School</v>
          </cell>
          <cell r="D21654" t="str">
            <v>Norfolk</v>
          </cell>
          <cell r="E21654" t="str">
            <v>Voluntary Controlled School</v>
          </cell>
          <cell r="F21654" t="str">
            <v>Primary</v>
          </cell>
        </row>
        <row r="21655">
          <cell r="A21655">
            <v>3353100</v>
          </cell>
          <cell r="B21655">
            <v>104224</v>
          </cell>
          <cell r="C21655" t="str">
            <v>Old Church Church of England C Primary School</v>
          </cell>
          <cell r="D21655" t="str">
            <v>Walsall</v>
          </cell>
          <cell r="E21655" t="str">
            <v>Voluntary Controlled School</v>
          </cell>
          <cell r="F21655" t="str">
            <v>Primary</v>
          </cell>
        </row>
        <row r="21656">
          <cell r="A21656">
            <v>2111031</v>
          </cell>
          <cell r="B21656">
            <v>100885</v>
          </cell>
          <cell r="C21656" t="str">
            <v>Old Church Nursery School</v>
          </cell>
          <cell r="D21656" t="str">
            <v>Tower Hamlets</v>
          </cell>
          <cell r="E21656" t="str">
            <v>LA Nursery School</v>
          </cell>
          <cell r="F21656" t="str">
            <v>Nursery</v>
          </cell>
        </row>
        <row r="21657">
          <cell r="A21657">
            <v>9202310</v>
          </cell>
          <cell r="B21657">
            <v>129207</v>
          </cell>
          <cell r="C21657" t="str">
            <v>Old Clee First School</v>
          </cell>
          <cell r="D21657" t="str">
            <v>Pre LGR (1996) Humberside</v>
          </cell>
          <cell r="E21657" t="str">
            <v>Community School</v>
          </cell>
          <cell r="F21657" t="str">
            <v>Primary</v>
          </cell>
        </row>
        <row r="21658">
          <cell r="A21658">
            <v>8122935</v>
          </cell>
          <cell r="B21658">
            <v>117962</v>
          </cell>
          <cell r="C21658" t="str">
            <v>Old Clee Infants' School</v>
          </cell>
          <cell r="D21658" t="str">
            <v>North East Lincolnshire</v>
          </cell>
          <cell r="E21658" t="str">
            <v>Community School</v>
          </cell>
          <cell r="F21658" t="str">
            <v>Primary</v>
          </cell>
        </row>
        <row r="21659">
          <cell r="A21659">
            <v>8122936</v>
          </cell>
          <cell r="B21659">
            <v>117963</v>
          </cell>
          <cell r="C21659" t="str">
            <v>Old Clee Junior School</v>
          </cell>
          <cell r="D21659" t="str">
            <v>North East Lincolnshire</v>
          </cell>
          <cell r="E21659" t="str">
            <v>Community School</v>
          </cell>
          <cell r="F21659" t="str">
            <v>Primary</v>
          </cell>
        </row>
        <row r="21660">
          <cell r="A21660">
            <v>9202309</v>
          </cell>
          <cell r="B21660">
            <v>129206</v>
          </cell>
          <cell r="C21660" t="str">
            <v>Old Clee Middle School</v>
          </cell>
          <cell r="D21660" t="str">
            <v>Pre LGR (1996) Humberside</v>
          </cell>
          <cell r="E21660" t="str">
            <v>Community School</v>
          </cell>
          <cell r="F21660" t="str">
            <v>Middle Deemed Primary</v>
          </cell>
        </row>
        <row r="21661">
          <cell r="A21661">
            <v>8123522</v>
          </cell>
          <cell r="B21661">
            <v>131256</v>
          </cell>
          <cell r="C21661" t="str">
            <v>Old Clee Primary School</v>
          </cell>
          <cell r="D21661" t="str">
            <v>North East Lincolnshire</v>
          </cell>
          <cell r="E21661" t="str">
            <v>Community School</v>
          </cell>
          <cell r="F21661" t="str">
            <v>Primary</v>
          </cell>
        </row>
        <row r="21662">
          <cell r="A21662">
            <v>9333086</v>
          </cell>
          <cell r="B21662">
            <v>123772</v>
          </cell>
          <cell r="C21662" t="str">
            <v>Old Cleeve CofE School, Washford</v>
          </cell>
          <cell r="D21662" t="str">
            <v>Somerset</v>
          </cell>
          <cell r="E21662" t="str">
            <v>Voluntary Controlled School</v>
          </cell>
          <cell r="F21662" t="str">
            <v>Primary</v>
          </cell>
        </row>
        <row r="21663">
          <cell r="A21663">
            <v>6622267</v>
          </cell>
          <cell r="B21663">
            <v>400240</v>
          </cell>
          <cell r="C21663" t="str">
            <v>Old Colwyn Junior C.P. School</v>
          </cell>
          <cell r="D21663" t="str">
            <v>Conwy</v>
          </cell>
          <cell r="E21663" t="str">
            <v>Welsh Establishment</v>
          </cell>
          <cell r="F21663" t="str">
            <v>Primary</v>
          </cell>
        </row>
        <row r="21664">
          <cell r="A21664">
            <v>8553067</v>
          </cell>
          <cell r="B21664">
            <v>120150</v>
          </cell>
          <cell r="C21664" t="str">
            <v>Old Dalby Church of England Primary School</v>
          </cell>
          <cell r="D21664" t="str">
            <v>Leicestershire</v>
          </cell>
          <cell r="E21664" t="str">
            <v>Voluntary Controlled School</v>
          </cell>
          <cell r="F21664" t="str">
            <v>Primary</v>
          </cell>
        </row>
        <row r="21665">
          <cell r="A21665">
            <v>9361105</v>
          </cell>
          <cell r="B21665">
            <v>124921</v>
          </cell>
          <cell r="C21665" t="str">
            <v>Old Dean Tuition Centre</v>
          </cell>
          <cell r="D21665" t="str">
            <v>Surrey</v>
          </cell>
          <cell r="E21665" t="str">
            <v>Pupil Referral Unit</v>
          </cell>
          <cell r="F21665" t="str">
            <v>PRU</v>
          </cell>
        </row>
        <row r="21666">
          <cell r="A21666">
            <v>3812083</v>
          </cell>
          <cell r="B21666">
            <v>107530</v>
          </cell>
          <cell r="C21666" t="str">
            <v>Old Earth Primary School</v>
          </cell>
          <cell r="D21666" t="str">
            <v>Calderdale</v>
          </cell>
          <cell r="E21666" t="str">
            <v>Community School</v>
          </cell>
          <cell r="F21666" t="str">
            <v>Primary</v>
          </cell>
        </row>
        <row r="21667">
          <cell r="A21667">
            <v>3812083</v>
          </cell>
          <cell r="B21667">
            <v>137398</v>
          </cell>
          <cell r="C21667" t="str">
            <v>Old Earth Primary School</v>
          </cell>
          <cell r="D21667" t="str">
            <v>Calderdale</v>
          </cell>
          <cell r="E21667" t="str">
            <v>Academy Converters</v>
          </cell>
          <cell r="F21667" t="str">
            <v>Primary</v>
          </cell>
        </row>
        <row r="21668">
          <cell r="A21668">
            <v>3362014</v>
          </cell>
          <cell r="B21668">
            <v>104293</v>
          </cell>
          <cell r="C21668" t="str">
            <v>Old Fallings Junior School</v>
          </cell>
          <cell r="D21668" t="str">
            <v>Wolverhampton</v>
          </cell>
          <cell r="E21668" t="str">
            <v>Community School</v>
          </cell>
          <cell r="F21668" t="str">
            <v>Primary</v>
          </cell>
        </row>
        <row r="21669">
          <cell r="A21669">
            <v>3832229</v>
          </cell>
          <cell r="B21669">
            <v>127865</v>
          </cell>
          <cell r="C21669" t="str">
            <v>Old Farnley First School</v>
          </cell>
          <cell r="D21669" t="str">
            <v>Leeds</v>
          </cell>
          <cell r="E21669" t="str">
            <v>Community School</v>
          </cell>
          <cell r="F21669" t="str">
            <v>Primary</v>
          </cell>
        </row>
        <row r="21670">
          <cell r="A21670">
            <v>8742215</v>
          </cell>
          <cell r="B21670">
            <v>110683</v>
          </cell>
          <cell r="C21670" t="str">
            <v>Old Fletton Primary School</v>
          </cell>
          <cell r="D21670" t="str">
            <v>Peterborough</v>
          </cell>
          <cell r="E21670" t="str">
            <v>Community School</v>
          </cell>
          <cell r="F21670" t="str">
            <v>Primary</v>
          </cell>
        </row>
        <row r="21671">
          <cell r="A21671">
            <v>2112520</v>
          </cell>
          <cell r="B21671">
            <v>100919</v>
          </cell>
          <cell r="C21671" t="str">
            <v>Old Ford Infants' School</v>
          </cell>
          <cell r="D21671" t="str">
            <v>Tower Hamlets</v>
          </cell>
          <cell r="E21671" t="str">
            <v>Community School</v>
          </cell>
          <cell r="F21671" t="str">
            <v>Primary</v>
          </cell>
        </row>
        <row r="21672">
          <cell r="A21672">
            <v>2112905</v>
          </cell>
          <cell r="B21672">
            <v>100933</v>
          </cell>
          <cell r="C21672" t="str">
            <v>Old Ford Junior Mixed School</v>
          </cell>
          <cell r="D21672" t="str">
            <v>Tower Hamlets</v>
          </cell>
          <cell r="E21672" t="str">
            <v>Community School</v>
          </cell>
          <cell r="F21672" t="str">
            <v>Primary</v>
          </cell>
        </row>
        <row r="21673">
          <cell r="A21673">
            <v>2112001</v>
          </cell>
          <cell r="B21673">
            <v>131858</v>
          </cell>
          <cell r="C21673" t="str">
            <v>Old Ford Primary School</v>
          </cell>
          <cell r="D21673" t="str">
            <v>Tower Hamlets</v>
          </cell>
          <cell r="E21673" t="str">
            <v>Community School</v>
          </cell>
          <cell r="F21673" t="str">
            <v>Primary</v>
          </cell>
        </row>
        <row r="21674">
          <cell r="A21674">
            <v>9202786</v>
          </cell>
          <cell r="B21674">
            <v>129242</v>
          </cell>
          <cell r="C21674" t="str">
            <v>Old Goole First School</v>
          </cell>
          <cell r="D21674" t="str">
            <v>Pre LGR (1996) Humberside</v>
          </cell>
          <cell r="E21674" t="str">
            <v>Community School</v>
          </cell>
          <cell r="F21674" t="str">
            <v>Primary</v>
          </cell>
        </row>
        <row r="21675">
          <cell r="A21675">
            <v>3522197</v>
          </cell>
          <cell r="B21675">
            <v>105436</v>
          </cell>
          <cell r="C21675" t="str">
            <v>Old Hall Drive Infant School</v>
          </cell>
          <cell r="D21675" t="str">
            <v>Manchester</v>
          </cell>
          <cell r="E21675" t="str">
            <v>Community School</v>
          </cell>
          <cell r="F21675" t="str">
            <v>Primary</v>
          </cell>
        </row>
        <row r="21676">
          <cell r="A21676">
            <v>3522196</v>
          </cell>
          <cell r="B21676">
            <v>105435</v>
          </cell>
          <cell r="C21676" t="str">
            <v>Old Hall Drive Junior School</v>
          </cell>
          <cell r="D21676" t="str">
            <v>Manchester</v>
          </cell>
          <cell r="E21676" t="str">
            <v>Community School</v>
          </cell>
          <cell r="F21676" t="str">
            <v>Primary</v>
          </cell>
        </row>
        <row r="21677">
          <cell r="A21677">
            <v>3522329</v>
          </cell>
          <cell r="B21677">
            <v>130394</v>
          </cell>
          <cell r="C21677" t="str">
            <v>Old Hall Drive Primary School</v>
          </cell>
          <cell r="D21677" t="str">
            <v>Manchester</v>
          </cell>
          <cell r="E21677" t="str">
            <v>Community School</v>
          </cell>
          <cell r="F21677" t="str">
            <v>Primary</v>
          </cell>
        </row>
        <row r="21678">
          <cell r="A21678">
            <v>8302295</v>
          </cell>
          <cell r="B21678">
            <v>112669</v>
          </cell>
          <cell r="C21678" t="str">
            <v>Old Hall Junior School</v>
          </cell>
          <cell r="D21678" t="str">
            <v>Derbyshire</v>
          </cell>
          <cell r="E21678" t="str">
            <v>Community School</v>
          </cell>
          <cell r="F21678" t="str">
            <v>Primary</v>
          </cell>
        </row>
        <row r="21679">
          <cell r="A21679">
            <v>3512019</v>
          </cell>
          <cell r="B21679">
            <v>105294</v>
          </cell>
          <cell r="C21679" t="str">
            <v>Old Hall Primary School</v>
          </cell>
          <cell r="D21679" t="str">
            <v>Bury</v>
          </cell>
          <cell r="E21679" t="str">
            <v>Community School</v>
          </cell>
          <cell r="F21679" t="str">
            <v>Primary</v>
          </cell>
        </row>
        <row r="21680">
          <cell r="A21680">
            <v>3357007</v>
          </cell>
          <cell r="B21680">
            <v>104274</v>
          </cell>
          <cell r="C21680" t="str">
            <v>Old Hall School</v>
          </cell>
          <cell r="D21680" t="str">
            <v>Walsall</v>
          </cell>
          <cell r="E21680" t="str">
            <v>Community Special School</v>
          </cell>
          <cell r="F21680" t="str">
            <v>Special</v>
          </cell>
        </row>
        <row r="21681">
          <cell r="A21681">
            <v>8812010</v>
          </cell>
          <cell r="B21681">
            <v>114710</v>
          </cell>
          <cell r="C21681" t="str">
            <v>Old Heath Community Primary School</v>
          </cell>
          <cell r="D21681" t="str">
            <v>Essex</v>
          </cell>
          <cell r="E21681" t="str">
            <v>Community School</v>
          </cell>
          <cell r="F21681" t="str">
            <v>Primary</v>
          </cell>
        </row>
        <row r="21682">
          <cell r="A21682">
            <v>3332138</v>
          </cell>
          <cell r="B21682">
            <v>103952</v>
          </cell>
          <cell r="C21682" t="str">
            <v>Old Hill Primary School</v>
          </cell>
          <cell r="D21682" t="str">
            <v>Sandwell</v>
          </cell>
          <cell r="E21682" t="str">
            <v>Community School</v>
          </cell>
          <cell r="F21682" t="str">
            <v>Primary</v>
          </cell>
        </row>
        <row r="21683">
          <cell r="A21683">
            <v>9093056</v>
          </cell>
          <cell r="B21683">
            <v>112263</v>
          </cell>
          <cell r="C21683" t="str">
            <v>Old Hutton CofE School</v>
          </cell>
          <cell r="D21683" t="str">
            <v>Cumbria</v>
          </cell>
          <cell r="E21683" t="str">
            <v>Voluntary Controlled School</v>
          </cell>
          <cell r="F21683" t="str">
            <v>Primary</v>
          </cell>
        </row>
        <row r="21684">
          <cell r="A21684">
            <v>8552330</v>
          </cell>
          <cell r="B21684">
            <v>120058</v>
          </cell>
          <cell r="C21684" t="str">
            <v>Old Mill Primary School Broughton Astley</v>
          </cell>
          <cell r="D21684" t="str">
            <v>Leicestershire</v>
          </cell>
          <cell r="E21684" t="str">
            <v>Community School</v>
          </cell>
          <cell r="F21684" t="str">
            <v>Primary</v>
          </cell>
        </row>
        <row r="21685">
          <cell r="A21685">
            <v>3522338</v>
          </cell>
          <cell r="B21685">
            <v>131431</v>
          </cell>
          <cell r="C21685" t="str">
            <v>Old Moat Community Primary School</v>
          </cell>
          <cell r="D21685" t="str">
            <v>Manchester</v>
          </cell>
          <cell r="E21685" t="str">
            <v>Community School</v>
          </cell>
          <cell r="F21685" t="str">
            <v>Primary</v>
          </cell>
        </row>
        <row r="21686">
          <cell r="A21686">
            <v>3522199</v>
          </cell>
          <cell r="B21686">
            <v>105438</v>
          </cell>
          <cell r="C21686" t="str">
            <v>Old Moat Infant School</v>
          </cell>
          <cell r="D21686" t="str">
            <v>Manchester</v>
          </cell>
          <cell r="E21686" t="str">
            <v>Community School</v>
          </cell>
          <cell r="F21686" t="str">
            <v>Primary</v>
          </cell>
        </row>
        <row r="21687">
          <cell r="A21687">
            <v>3522198</v>
          </cell>
          <cell r="B21687">
            <v>105437</v>
          </cell>
          <cell r="C21687" t="str">
            <v>Old Moat Junior School</v>
          </cell>
          <cell r="D21687" t="str">
            <v>Manchester</v>
          </cell>
          <cell r="E21687" t="str">
            <v>Community School</v>
          </cell>
          <cell r="F21687" t="str">
            <v>Primary</v>
          </cell>
        </row>
        <row r="21688">
          <cell r="A21688">
            <v>9353098</v>
          </cell>
          <cell r="B21688">
            <v>124739</v>
          </cell>
          <cell r="C21688" t="str">
            <v>Old Newton Church of England Voluntary Controlled Primary School</v>
          </cell>
          <cell r="D21688" t="str">
            <v>Suffolk</v>
          </cell>
          <cell r="E21688" t="str">
            <v>Voluntary Controlled School</v>
          </cell>
          <cell r="F21688" t="str">
            <v>Primary</v>
          </cell>
        </row>
        <row r="21689">
          <cell r="A21689">
            <v>2052444</v>
          </cell>
          <cell r="B21689">
            <v>100335</v>
          </cell>
          <cell r="C21689" t="str">
            <v>Old Oak Primary School</v>
          </cell>
          <cell r="D21689" t="str">
            <v>Hammersmith and Fulham</v>
          </cell>
          <cell r="E21689" t="str">
            <v>Community School</v>
          </cell>
          <cell r="F21689" t="str">
            <v>Primary</v>
          </cell>
        </row>
        <row r="21690">
          <cell r="A21690">
            <v>3066082</v>
          </cell>
          <cell r="B21690">
            <v>101846</v>
          </cell>
          <cell r="C21690" t="str">
            <v>Old Palace of John Whitgift School</v>
          </cell>
          <cell r="D21690" t="str">
            <v>Croydon</v>
          </cell>
          <cell r="E21690" t="str">
            <v>Other Independent School</v>
          </cell>
          <cell r="F21690" t="str">
            <v>Not applicable</v>
          </cell>
        </row>
        <row r="21691">
          <cell r="A21691">
            <v>2112059</v>
          </cell>
          <cell r="B21691">
            <v>100892</v>
          </cell>
          <cell r="C21691" t="str">
            <v>Old Palace Primary School</v>
          </cell>
          <cell r="D21691" t="str">
            <v>Tower Hamlets</v>
          </cell>
          <cell r="E21691" t="str">
            <v>Community School</v>
          </cell>
          <cell r="F21691" t="str">
            <v>Primary</v>
          </cell>
        </row>
        <row r="21692">
          <cell r="A21692">
            <v>3332047</v>
          </cell>
          <cell r="B21692">
            <v>103909</v>
          </cell>
          <cell r="C21692" t="str">
            <v>Old Park Primary School</v>
          </cell>
          <cell r="D21692" t="str">
            <v>Sandwell</v>
          </cell>
          <cell r="E21692" t="str">
            <v>Foundation School</v>
          </cell>
          <cell r="F21692" t="str">
            <v>Primary</v>
          </cell>
        </row>
        <row r="21693">
          <cell r="A21693">
            <v>8943366</v>
          </cell>
          <cell r="B21693">
            <v>133270</v>
          </cell>
          <cell r="C21693" t="str">
            <v>Old Park Primary School</v>
          </cell>
          <cell r="D21693" t="str">
            <v>Telford and Wrekin</v>
          </cell>
          <cell r="E21693" t="str">
            <v>Community School</v>
          </cell>
          <cell r="F21693" t="str">
            <v>Primary</v>
          </cell>
        </row>
        <row r="21694">
          <cell r="A21694">
            <v>8792699</v>
          </cell>
          <cell r="B21694">
            <v>113320</v>
          </cell>
          <cell r="C21694" t="str">
            <v>Old Priory Junior School</v>
          </cell>
          <cell r="D21694" t="str">
            <v>Plymouth</v>
          </cell>
          <cell r="E21694" t="str">
            <v>Community School</v>
          </cell>
          <cell r="F21694" t="str">
            <v>Primary</v>
          </cell>
        </row>
        <row r="21695">
          <cell r="A21695">
            <v>8921101</v>
          </cell>
          <cell r="B21695">
            <v>122398</v>
          </cell>
          <cell r="C21695" t="str">
            <v>Old Rectory</v>
          </cell>
          <cell r="D21695" t="str">
            <v>Nottingham</v>
          </cell>
          <cell r="E21695" t="str">
            <v>Pupil Referral Unit</v>
          </cell>
          <cell r="F21695" t="str">
            <v>PRU</v>
          </cell>
        </row>
        <row r="21696">
          <cell r="A21696">
            <v>6692159</v>
          </cell>
          <cell r="B21696">
            <v>400803</v>
          </cell>
          <cell r="C21696" t="str">
            <v>Old Road C.P. Primary School</v>
          </cell>
          <cell r="D21696" t="str">
            <v>Carmarthenshire</v>
          </cell>
          <cell r="E21696" t="str">
            <v>Welsh Establishment</v>
          </cell>
          <cell r="F21696" t="str">
            <v>Primary</v>
          </cell>
        </row>
        <row r="21697">
          <cell r="A21697">
            <v>8306038</v>
          </cell>
          <cell r="B21697">
            <v>136168</v>
          </cell>
          <cell r="C21697" t="str">
            <v>Old Sams Farm Independent School</v>
          </cell>
          <cell r="D21697" t="str">
            <v>Derbyshire</v>
          </cell>
          <cell r="E21697" t="str">
            <v>Other Independent Special School</v>
          </cell>
          <cell r="F21697" t="str">
            <v>Not applicable</v>
          </cell>
        </row>
        <row r="21698">
          <cell r="A21698">
            <v>8653464</v>
          </cell>
          <cell r="B21698">
            <v>134788</v>
          </cell>
          <cell r="C21698" t="str">
            <v>Old Sarum Primary School</v>
          </cell>
          <cell r="D21698" t="str">
            <v>Wiltshire</v>
          </cell>
          <cell r="E21698" t="str">
            <v>Community School</v>
          </cell>
          <cell r="F21698" t="str">
            <v>Primary</v>
          </cell>
        </row>
        <row r="21699">
          <cell r="A21699">
            <v>8033061</v>
          </cell>
          <cell r="B21699">
            <v>109175</v>
          </cell>
          <cell r="C21699" t="str">
            <v>Old Sodbury Church of England Primary School</v>
          </cell>
          <cell r="D21699" t="str">
            <v>South Gloucestershire</v>
          </cell>
          <cell r="E21699" t="str">
            <v>Voluntary Controlled School</v>
          </cell>
          <cell r="F21699" t="str">
            <v>Primary</v>
          </cell>
        </row>
        <row r="21700">
          <cell r="A21700">
            <v>9282131</v>
          </cell>
          <cell r="B21700">
            <v>121892</v>
          </cell>
          <cell r="C21700" t="str">
            <v>Old Stratford Primary School</v>
          </cell>
          <cell r="D21700" t="str">
            <v>Northamptonshire</v>
          </cell>
          <cell r="E21700" t="str">
            <v>Community School</v>
          </cell>
          <cell r="F21700" t="str">
            <v>Primary</v>
          </cell>
        </row>
        <row r="21701">
          <cell r="A21701">
            <v>3325400</v>
          </cell>
          <cell r="B21701">
            <v>103870</v>
          </cell>
          <cell r="C21701" t="str">
            <v>Old Swinford Hospital</v>
          </cell>
          <cell r="D21701" t="str">
            <v>Dudley</v>
          </cell>
          <cell r="E21701" t="str">
            <v>Voluntary Aided School</v>
          </cell>
          <cell r="F21701" t="str">
            <v>Secondary</v>
          </cell>
        </row>
        <row r="21702">
          <cell r="A21702">
            <v>8362260</v>
          </cell>
          <cell r="B21702">
            <v>131694</v>
          </cell>
          <cell r="C21702" t="str">
            <v>Old Town First School and Nursery</v>
          </cell>
          <cell r="D21702" t="str">
            <v>Poole</v>
          </cell>
          <cell r="E21702" t="str">
            <v>Community School</v>
          </cell>
          <cell r="F21702" t="str">
            <v>Primary</v>
          </cell>
        </row>
        <row r="21703">
          <cell r="A21703">
            <v>3812075</v>
          </cell>
          <cell r="B21703">
            <v>107524</v>
          </cell>
          <cell r="C21703" t="str">
            <v>Old Town Primary School</v>
          </cell>
          <cell r="D21703" t="str">
            <v>Calderdale</v>
          </cell>
          <cell r="E21703" t="str">
            <v>Community School</v>
          </cell>
          <cell r="F21703" t="str">
            <v>Primary</v>
          </cell>
        </row>
        <row r="21704">
          <cell r="A21704">
            <v>3582076</v>
          </cell>
          <cell r="B21704">
            <v>131045</v>
          </cell>
          <cell r="C21704" t="str">
            <v>Old Trafford Community School</v>
          </cell>
          <cell r="D21704" t="str">
            <v>Trafford</v>
          </cell>
          <cell r="E21704" t="str">
            <v>Community School</v>
          </cell>
          <cell r="F21704" t="str">
            <v>Primary</v>
          </cell>
        </row>
        <row r="21705">
          <cell r="A21705">
            <v>3582062</v>
          </cell>
          <cell r="B21705">
            <v>106333</v>
          </cell>
          <cell r="C21705" t="str">
            <v>Old Trafford Infants' School</v>
          </cell>
          <cell r="D21705" t="str">
            <v>Trafford</v>
          </cell>
          <cell r="E21705" t="str">
            <v>Community School</v>
          </cell>
          <cell r="F21705" t="str">
            <v>Primary</v>
          </cell>
        </row>
        <row r="21706">
          <cell r="A21706">
            <v>3582054</v>
          </cell>
          <cell r="B21706">
            <v>106326</v>
          </cell>
          <cell r="C21706" t="str">
            <v>Old Trafford Junior School</v>
          </cell>
          <cell r="D21706" t="str">
            <v>Trafford</v>
          </cell>
          <cell r="E21706" t="str">
            <v>Community School</v>
          </cell>
          <cell r="F21706" t="str">
            <v>Primary</v>
          </cell>
        </row>
        <row r="21707">
          <cell r="A21707">
            <v>8316002</v>
          </cell>
          <cell r="B21707">
            <v>113013</v>
          </cell>
          <cell r="C21707" t="str">
            <v>Old Vicarage School</v>
          </cell>
          <cell r="D21707" t="str">
            <v>Derby</v>
          </cell>
          <cell r="E21707" t="str">
            <v>Other Independent School</v>
          </cell>
          <cell r="F21707" t="str">
            <v>Not applicable</v>
          </cell>
        </row>
        <row r="21708">
          <cell r="A21708">
            <v>9351100</v>
          </cell>
          <cell r="B21708">
            <v>124526</v>
          </cell>
          <cell r="C21708" t="str">
            <v>Old Warren House School</v>
          </cell>
          <cell r="D21708" t="str">
            <v>Suffolk</v>
          </cell>
          <cell r="E21708" t="str">
            <v>Pupil Referral Unit</v>
          </cell>
          <cell r="F21708" t="str">
            <v>PRU</v>
          </cell>
        </row>
        <row r="21709">
          <cell r="A21709">
            <v>8865413</v>
          </cell>
          <cell r="B21709">
            <v>118885</v>
          </cell>
          <cell r="C21709" t="str">
            <v>Oldborough Manor Community School</v>
          </cell>
          <cell r="D21709" t="str">
            <v>Kent</v>
          </cell>
          <cell r="E21709" t="str">
            <v>Foundation School</v>
          </cell>
          <cell r="F21709" t="str">
            <v>Secondary</v>
          </cell>
        </row>
        <row r="21710">
          <cell r="A21710">
            <v>8262062</v>
          </cell>
          <cell r="B21710">
            <v>110240</v>
          </cell>
          <cell r="C21710" t="str">
            <v>Oldbrook First School</v>
          </cell>
          <cell r="D21710" t="str">
            <v>Milton Keynes</v>
          </cell>
          <cell r="E21710" t="str">
            <v>Community School</v>
          </cell>
          <cell r="F21710" t="str">
            <v>Primary</v>
          </cell>
        </row>
        <row r="21711">
          <cell r="A21711">
            <v>3334110</v>
          </cell>
          <cell r="B21711">
            <v>104011</v>
          </cell>
          <cell r="C21711" t="str">
            <v>Oldbury College of Sport</v>
          </cell>
          <cell r="D21711" t="str">
            <v>Sandwell</v>
          </cell>
          <cell r="E21711" t="str">
            <v>Community School</v>
          </cell>
          <cell r="F21711" t="str">
            <v>Secondary</v>
          </cell>
        </row>
        <row r="21712">
          <cell r="A21712">
            <v>3334110</v>
          </cell>
          <cell r="B21712">
            <v>137701</v>
          </cell>
          <cell r="C21712" t="str">
            <v>Oldbury College of Sport</v>
          </cell>
          <cell r="D21712" t="str">
            <v>Sandwell</v>
          </cell>
          <cell r="E21712" t="str">
            <v>Academy Converters</v>
          </cell>
          <cell r="F21712" t="str">
            <v>Secondary</v>
          </cell>
        </row>
        <row r="21713">
          <cell r="A21713">
            <v>8012060</v>
          </cell>
          <cell r="B21713">
            <v>108950</v>
          </cell>
          <cell r="C21713" t="str">
            <v>Oldbury Court Infant School</v>
          </cell>
          <cell r="D21713" t="str">
            <v>Bristol City of</v>
          </cell>
          <cell r="E21713" t="str">
            <v>Community School</v>
          </cell>
          <cell r="F21713" t="str">
            <v>Primary</v>
          </cell>
        </row>
        <row r="21714">
          <cell r="A21714">
            <v>8012059</v>
          </cell>
          <cell r="B21714">
            <v>108949</v>
          </cell>
          <cell r="C21714" t="str">
            <v>Oldbury Court Junior School</v>
          </cell>
          <cell r="D21714" t="str">
            <v>Bristol City of</v>
          </cell>
          <cell r="E21714" t="str">
            <v>Community School</v>
          </cell>
          <cell r="F21714" t="str">
            <v>Primary</v>
          </cell>
        </row>
        <row r="21715">
          <cell r="A21715">
            <v>8012016</v>
          </cell>
          <cell r="B21715">
            <v>131499</v>
          </cell>
          <cell r="C21715" t="str">
            <v>Oldbury Court Primary School</v>
          </cell>
          <cell r="D21715" t="str">
            <v>Bristol City of</v>
          </cell>
          <cell r="E21715" t="str">
            <v>Community School</v>
          </cell>
          <cell r="F21715" t="str">
            <v>Primary</v>
          </cell>
        </row>
        <row r="21716">
          <cell r="A21716">
            <v>8033054</v>
          </cell>
          <cell r="B21716">
            <v>109169</v>
          </cell>
          <cell r="C21716" t="str">
            <v>Oldbury on Severn Church of England Primary School</v>
          </cell>
          <cell r="D21716" t="str">
            <v>South Gloucestershire</v>
          </cell>
          <cell r="E21716" t="str">
            <v>Voluntary Controlled School</v>
          </cell>
          <cell r="F21716" t="str">
            <v>Primary</v>
          </cell>
        </row>
        <row r="21717">
          <cell r="A21717">
            <v>8852202</v>
          </cell>
          <cell r="B21717">
            <v>116770</v>
          </cell>
          <cell r="C21717" t="str">
            <v>Oldbury Park Primary School</v>
          </cell>
          <cell r="D21717" t="str">
            <v>Worcestershire</v>
          </cell>
          <cell r="E21717" t="str">
            <v>Community School</v>
          </cell>
          <cell r="F21717" t="str">
            <v>Primary</v>
          </cell>
        </row>
        <row r="21718">
          <cell r="A21718">
            <v>8934427</v>
          </cell>
          <cell r="B21718">
            <v>123583</v>
          </cell>
          <cell r="C21718" t="str">
            <v>Oldbury Wells School</v>
          </cell>
          <cell r="D21718" t="str">
            <v>Shropshire</v>
          </cell>
          <cell r="E21718" t="str">
            <v>Community School</v>
          </cell>
          <cell r="F21718" t="str">
            <v>Secondary</v>
          </cell>
        </row>
        <row r="21719">
          <cell r="A21719">
            <v>6722202</v>
          </cell>
          <cell r="B21719">
            <v>401048</v>
          </cell>
          <cell r="C21719" t="str">
            <v>Oldcastle Infants School</v>
          </cell>
          <cell r="D21719" t="str">
            <v>Bridgend</v>
          </cell>
          <cell r="E21719" t="str">
            <v>Welsh Establishment</v>
          </cell>
          <cell r="F21719" t="str">
            <v>Primary</v>
          </cell>
        </row>
        <row r="21720">
          <cell r="A21720">
            <v>6722198</v>
          </cell>
          <cell r="B21720">
            <v>401047</v>
          </cell>
          <cell r="C21720" t="str">
            <v>Oldcastle Junior School</v>
          </cell>
          <cell r="D21720" t="str">
            <v>Bridgend</v>
          </cell>
          <cell r="E21720" t="str">
            <v>Welsh Establishment</v>
          </cell>
          <cell r="F21720" t="str">
            <v>Primary</v>
          </cell>
        </row>
        <row r="21721">
          <cell r="A21721">
            <v>6722371</v>
          </cell>
          <cell r="B21721">
            <v>402209</v>
          </cell>
          <cell r="C21721" t="str">
            <v>Oldcastle Primary School</v>
          </cell>
          <cell r="D21721" t="str">
            <v>Bridgend</v>
          </cell>
          <cell r="E21721" t="str">
            <v>Welsh Establishment</v>
          </cell>
          <cell r="F21721" t="str">
            <v>Primary</v>
          </cell>
        </row>
        <row r="21722">
          <cell r="A21722">
            <v>3582002</v>
          </cell>
          <cell r="B21722">
            <v>106284</v>
          </cell>
          <cell r="C21722" t="str">
            <v>Oldfield Brow Primary School</v>
          </cell>
          <cell r="D21722" t="str">
            <v>Trafford</v>
          </cell>
          <cell r="E21722" t="str">
            <v>Community School</v>
          </cell>
          <cell r="F21722" t="str">
            <v>Primary</v>
          </cell>
        </row>
        <row r="21723">
          <cell r="A21723">
            <v>9062266</v>
          </cell>
          <cell r="B21723">
            <v>128419</v>
          </cell>
          <cell r="C21723" t="str">
            <v>Oldfield County Infant School</v>
          </cell>
          <cell r="D21723" t="str">
            <v>Pre LGR (1998) Cheshire</v>
          </cell>
          <cell r="E21723" t="str">
            <v>Community School</v>
          </cell>
          <cell r="F21723" t="str">
            <v>Primary</v>
          </cell>
        </row>
        <row r="21724">
          <cell r="A21724">
            <v>9062265</v>
          </cell>
          <cell r="B21724">
            <v>128418</v>
          </cell>
          <cell r="C21724" t="str">
            <v>Oldfield County Junior School</v>
          </cell>
          <cell r="D21724" t="str">
            <v>Pre LGR (1998) Cheshire</v>
          </cell>
          <cell r="E21724" t="str">
            <v>Community School</v>
          </cell>
          <cell r="F21724" t="str">
            <v>Primary</v>
          </cell>
        </row>
        <row r="21725">
          <cell r="A21725">
            <v>3187001</v>
          </cell>
          <cell r="B21725">
            <v>102953</v>
          </cell>
          <cell r="C21725" t="str">
            <v>Oldfield House School</v>
          </cell>
          <cell r="D21725" t="str">
            <v>Richmond upon Thames</v>
          </cell>
          <cell r="E21725" t="str">
            <v>Community Special School</v>
          </cell>
          <cell r="F21725" t="str">
            <v>Special</v>
          </cell>
        </row>
        <row r="21726">
          <cell r="A21726">
            <v>8002150</v>
          </cell>
          <cell r="B21726">
            <v>108997</v>
          </cell>
          <cell r="C21726" t="str">
            <v>Oldfield Park Infant School</v>
          </cell>
          <cell r="D21726" t="str">
            <v>Bath and North East Somerset</v>
          </cell>
          <cell r="E21726" t="str">
            <v>Community School</v>
          </cell>
          <cell r="F21726" t="str">
            <v>Primary</v>
          </cell>
        </row>
        <row r="21727">
          <cell r="A21727">
            <v>8002159</v>
          </cell>
          <cell r="B21727">
            <v>109006</v>
          </cell>
          <cell r="C21727" t="str">
            <v>Oldfield Park Junior School</v>
          </cell>
          <cell r="D21727" t="str">
            <v>Bath and North East Somerset</v>
          </cell>
          <cell r="E21727" t="str">
            <v>Community School</v>
          </cell>
          <cell r="F21727" t="str">
            <v>Primary</v>
          </cell>
        </row>
        <row r="21728">
          <cell r="A21728">
            <v>3072033</v>
          </cell>
          <cell r="B21728">
            <v>101869</v>
          </cell>
          <cell r="C21728" t="str">
            <v>Oldfield Primary School</v>
          </cell>
          <cell r="D21728" t="str">
            <v>Ealing</v>
          </cell>
          <cell r="E21728" t="str">
            <v>Community School</v>
          </cell>
          <cell r="F21728" t="str">
            <v>Primary</v>
          </cell>
        </row>
        <row r="21729">
          <cell r="A21729">
            <v>3802130</v>
          </cell>
          <cell r="B21729">
            <v>107266</v>
          </cell>
          <cell r="C21729" t="str">
            <v>Oldfield Primary School</v>
          </cell>
          <cell r="D21729" t="str">
            <v>Bradford</v>
          </cell>
          <cell r="E21729" t="str">
            <v>Community School</v>
          </cell>
          <cell r="F21729" t="str">
            <v>Primary</v>
          </cell>
        </row>
        <row r="21730">
          <cell r="A21730">
            <v>8682159</v>
          </cell>
          <cell r="B21730">
            <v>109888</v>
          </cell>
          <cell r="C21730" t="str">
            <v>Oldfield Primary School</v>
          </cell>
          <cell r="D21730" t="str">
            <v>Windsor and Maidenhead</v>
          </cell>
          <cell r="E21730" t="str">
            <v>Community School</v>
          </cell>
          <cell r="F21730" t="str">
            <v>Primary</v>
          </cell>
        </row>
        <row r="21731">
          <cell r="A21731">
            <v>8962713</v>
          </cell>
          <cell r="B21731">
            <v>111230</v>
          </cell>
          <cell r="C21731" t="str">
            <v>Oldfield Primary School</v>
          </cell>
          <cell r="D21731" t="str">
            <v>Cheshire West and Chester</v>
          </cell>
          <cell r="E21731" t="str">
            <v>Community School</v>
          </cell>
          <cell r="F21731" t="str">
            <v>Primary</v>
          </cell>
        </row>
        <row r="21732">
          <cell r="A21732">
            <v>8005401</v>
          </cell>
          <cell r="B21732">
            <v>109333</v>
          </cell>
          <cell r="C21732" t="str">
            <v>Oldfield School</v>
          </cell>
          <cell r="D21732" t="str">
            <v>Bath and North East Somerset</v>
          </cell>
          <cell r="E21732" t="str">
            <v>Foundation School</v>
          </cell>
          <cell r="F21732" t="str">
            <v>Secondary</v>
          </cell>
        </row>
        <row r="21733">
          <cell r="A21733">
            <v>8005401</v>
          </cell>
          <cell r="B21733">
            <v>136483</v>
          </cell>
          <cell r="C21733" t="str">
            <v>Oldfield School</v>
          </cell>
          <cell r="D21733" t="str">
            <v>Bath and North East Somerset</v>
          </cell>
          <cell r="E21733" t="str">
            <v>Academy Converters</v>
          </cell>
          <cell r="F21733" t="str">
            <v>Secondary</v>
          </cell>
        </row>
        <row r="21734">
          <cell r="A21734">
            <v>8604145</v>
          </cell>
          <cell r="B21734">
            <v>124429</v>
          </cell>
          <cell r="C21734" t="str">
            <v>Oldfields Hall Middle School</v>
          </cell>
          <cell r="D21734" t="str">
            <v>Staffordshire</v>
          </cell>
          <cell r="E21734" t="str">
            <v>Community School</v>
          </cell>
          <cell r="F21734" t="str">
            <v>Middle Deemed Secondary</v>
          </cell>
        </row>
        <row r="21735">
          <cell r="A21735">
            <v>8102490</v>
          </cell>
          <cell r="B21735">
            <v>117807</v>
          </cell>
          <cell r="C21735" t="str">
            <v>Oldfleet Primary School</v>
          </cell>
          <cell r="D21735" t="str">
            <v>Kingston upon Hull City of</v>
          </cell>
          <cell r="E21735" t="str">
            <v>Community School</v>
          </cell>
          <cell r="F21735" t="str">
            <v>Primary</v>
          </cell>
        </row>
        <row r="21736">
          <cell r="A21736">
            <v>6662061</v>
          </cell>
          <cell r="B21736">
            <v>400497</v>
          </cell>
          <cell r="C21736" t="str">
            <v>Oldford  Infant School</v>
          </cell>
          <cell r="D21736" t="str">
            <v>Powys</v>
          </cell>
          <cell r="E21736" t="str">
            <v>Welsh Establishment</v>
          </cell>
          <cell r="F21736" t="str">
            <v>Primary</v>
          </cell>
        </row>
        <row r="21737">
          <cell r="A21737">
            <v>3536012</v>
          </cell>
          <cell r="B21737">
            <v>105745</v>
          </cell>
          <cell r="C21737" t="str">
            <v>Oldham Hulme Grammar Schools</v>
          </cell>
          <cell r="D21737" t="str">
            <v>Oldham</v>
          </cell>
          <cell r="E21737" t="str">
            <v>Other Independent School</v>
          </cell>
          <cell r="F21737" t="str">
            <v>Not applicable</v>
          </cell>
        </row>
        <row r="21738">
          <cell r="A21738">
            <v>3536005</v>
          </cell>
          <cell r="B21738">
            <v>105743</v>
          </cell>
          <cell r="C21738" t="str">
            <v>Oldham Hulme Kindergarten</v>
          </cell>
          <cell r="D21738" t="str">
            <v>Oldham</v>
          </cell>
          <cell r="E21738" t="str">
            <v>Other Independent School</v>
          </cell>
          <cell r="F21738" t="str">
            <v>Not applicable</v>
          </cell>
        </row>
        <row r="21739">
          <cell r="A21739">
            <v>3534029</v>
          </cell>
          <cell r="B21739">
            <v>127434</v>
          </cell>
          <cell r="C21739" t="str">
            <v>Oldham Sixth Form College</v>
          </cell>
          <cell r="D21739" t="str">
            <v>Oldham</v>
          </cell>
          <cell r="E21739" t="str">
            <v>Community School</v>
          </cell>
          <cell r="F21739" t="str">
            <v>Secondary</v>
          </cell>
        </row>
        <row r="21740">
          <cell r="A21740">
            <v>3538600</v>
          </cell>
          <cell r="B21740">
            <v>130506</v>
          </cell>
          <cell r="C21740" t="str">
            <v>Oldham Sixth Form College</v>
          </cell>
          <cell r="D21740" t="str">
            <v>Oldham</v>
          </cell>
          <cell r="E21740" t="str">
            <v>Further Education</v>
          </cell>
          <cell r="F21740" t="str">
            <v>16 Plus</v>
          </cell>
        </row>
        <row r="21741">
          <cell r="A21741">
            <v>3502034</v>
          </cell>
          <cell r="B21741">
            <v>105167</v>
          </cell>
          <cell r="C21741" t="str">
            <v>Oldhams Primary School</v>
          </cell>
          <cell r="D21741" t="str">
            <v>Bolton</v>
          </cell>
          <cell r="E21741" t="str">
            <v>Community School</v>
          </cell>
          <cell r="F21741" t="str">
            <v>Primary</v>
          </cell>
        </row>
        <row r="21742">
          <cell r="A21742">
            <v>3302182</v>
          </cell>
          <cell r="B21742">
            <v>103260</v>
          </cell>
          <cell r="C21742" t="str">
            <v>Oldknow Junior School</v>
          </cell>
          <cell r="D21742" t="str">
            <v>Birmingham</v>
          </cell>
          <cell r="E21742" t="str">
            <v>Community School</v>
          </cell>
          <cell r="F21742" t="str">
            <v>Primary</v>
          </cell>
        </row>
        <row r="21743">
          <cell r="A21743">
            <v>8022287</v>
          </cell>
          <cell r="B21743">
            <v>109104</v>
          </cell>
          <cell r="C21743" t="str">
            <v>Oldmixon Primary School</v>
          </cell>
          <cell r="D21743" t="str">
            <v>North Somerset</v>
          </cell>
          <cell r="E21743" t="str">
            <v>Community School</v>
          </cell>
          <cell r="F21743" t="str">
            <v>Primary</v>
          </cell>
        </row>
        <row r="21744">
          <cell r="A21744">
            <v>3156160</v>
          </cell>
          <cell r="B21744">
            <v>135011</v>
          </cell>
          <cell r="C21744" t="str">
            <v>Oldridge Preparatory School</v>
          </cell>
          <cell r="D21744" t="str">
            <v>Merton</v>
          </cell>
          <cell r="E21744" t="str">
            <v>Other Independent School</v>
          </cell>
          <cell r="F21744" t="str">
            <v>Not applicable</v>
          </cell>
        </row>
        <row r="21745">
          <cell r="A21745">
            <v>3323050</v>
          </cell>
          <cell r="B21745">
            <v>103839</v>
          </cell>
          <cell r="C21745" t="str">
            <v>Oldswinford CofE Primary School</v>
          </cell>
          <cell r="D21745" t="str">
            <v>Dudley</v>
          </cell>
          <cell r="E21745" t="str">
            <v>Voluntary Controlled School</v>
          </cell>
          <cell r="F21745" t="str">
            <v>Primary</v>
          </cell>
        </row>
        <row r="21746">
          <cell r="A21746">
            <v>8802438</v>
          </cell>
          <cell r="B21746">
            <v>113215</v>
          </cell>
          <cell r="C21746" t="str">
            <v>Oldway Primary School</v>
          </cell>
          <cell r="D21746" t="str">
            <v>Torbay</v>
          </cell>
          <cell r="E21746" t="str">
            <v>Community School</v>
          </cell>
          <cell r="F21746" t="str">
            <v>Primary</v>
          </cell>
        </row>
        <row r="21747">
          <cell r="A21747">
            <v>3522335</v>
          </cell>
          <cell r="B21747">
            <v>131365</v>
          </cell>
          <cell r="C21747" t="str">
            <v>Oldwood County Primary School</v>
          </cell>
          <cell r="D21747" t="str">
            <v>Manchester</v>
          </cell>
          <cell r="E21747" t="str">
            <v>Community School</v>
          </cell>
          <cell r="F21747" t="str">
            <v>Primary</v>
          </cell>
        </row>
        <row r="21748">
          <cell r="A21748">
            <v>3522201</v>
          </cell>
          <cell r="B21748">
            <v>105440</v>
          </cell>
          <cell r="C21748" t="str">
            <v>Oldwood Infant School</v>
          </cell>
          <cell r="D21748" t="str">
            <v>Manchester</v>
          </cell>
          <cell r="E21748" t="str">
            <v>Community School</v>
          </cell>
          <cell r="F21748" t="str">
            <v>Primary</v>
          </cell>
        </row>
        <row r="21749">
          <cell r="A21749">
            <v>3522200</v>
          </cell>
          <cell r="B21749">
            <v>105439</v>
          </cell>
          <cell r="C21749" t="str">
            <v>Oldwood Junior School</v>
          </cell>
          <cell r="D21749" t="str">
            <v>Manchester</v>
          </cell>
          <cell r="E21749" t="str">
            <v>Community School</v>
          </cell>
          <cell r="F21749" t="str">
            <v>Primary</v>
          </cell>
        </row>
        <row r="21750">
          <cell r="A21750">
            <v>2086411</v>
          </cell>
          <cell r="B21750">
            <v>136256</v>
          </cell>
          <cell r="C21750" t="str">
            <v>Oleander Preparatory School</v>
          </cell>
          <cell r="D21750" t="str">
            <v>Lambeth</v>
          </cell>
          <cell r="E21750" t="str">
            <v>Other Independent School</v>
          </cell>
          <cell r="F21750" t="str">
            <v>Not applicable</v>
          </cell>
        </row>
        <row r="21751">
          <cell r="A21751">
            <v>2112446</v>
          </cell>
          <cell r="B21751">
            <v>100916</v>
          </cell>
          <cell r="C21751" t="str">
            <v>Olga Primary School</v>
          </cell>
          <cell r="D21751" t="str">
            <v>Tower Hamlets</v>
          </cell>
          <cell r="E21751" t="str">
            <v>Community School</v>
          </cell>
          <cell r="F21751" t="str">
            <v>Primary</v>
          </cell>
        </row>
        <row r="21752">
          <cell r="A21752">
            <v>3322106</v>
          </cell>
          <cell r="B21752">
            <v>103796</v>
          </cell>
          <cell r="C21752" t="str">
            <v>Olive Hill Primary School</v>
          </cell>
          <cell r="D21752" t="str">
            <v>Dudley</v>
          </cell>
          <cell r="E21752" t="str">
            <v>Community School</v>
          </cell>
          <cell r="F21752" t="str">
            <v>Primary</v>
          </cell>
        </row>
        <row r="21753">
          <cell r="A21753">
            <v>3806119</v>
          </cell>
          <cell r="B21753">
            <v>130245</v>
          </cell>
          <cell r="C21753" t="str">
            <v>Olive Secondary</v>
          </cell>
          <cell r="D21753" t="str">
            <v>Bradford</v>
          </cell>
          <cell r="E21753" t="str">
            <v>Other Independent School</v>
          </cell>
          <cell r="F21753" t="str">
            <v>Not applicable</v>
          </cell>
        </row>
        <row r="21754">
          <cell r="A21754">
            <v>8216004</v>
          </cell>
          <cell r="B21754">
            <v>131825</v>
          </cell>
          <cell r="C21754" t="str">
            <v>Olive Tree Primary School</v>
          </cell>
          <cell r="D21754" t="str">
            <v>Luton</v>
          </cell>
          <cell r="E21754" t="str">
            <v>Other Independent School</v>
          </cell>
          <cell r="F21754" t="str">
            <v>Not applicable</v>
          </cell>
        </row>
        <row r="21755">
          <cell r="A21755">
            <v>2096363</v>
          </cell>
          <cell r="B21755">
            <v>134400</v>
          </cell>
          <cell r="C21755" t="str">
            <v>Olive Tree School</v>
          </cell>
          <cell r="D21755" t="str">
            <v>Lewisham</v>
          </cell>
          <cell r="E21755" t="str">
            <v>Other Independent School</v>
          </cell>
          <cell r="F21755" t="str">
            <v>Not applicable</v>
          </cell>
        </row>
        <row r="21756">
          <cell r="A21756">
            <v>2102449</v>
          </cell>
          <cell r="B21756">
            <v>126669</v>
          </cell>
          <cell r="C21756" t="str">
            <v>Oliver Goldsmith Infant School</v>
          </cell>
          <cell r="D21756" t="str">
            <v>Southwark</v>
          </cell>
          <cell r="E21756" t="str">
            <v>Community School</v>
          </cell>
          <cell r="F21756" t="str">
            <v>Primary</v>
          </cell>
        </row>
        <row r="21757">
          <cell r="A21757">
            <v>3042026</v>
          </cell>
          <cell r="B21757">
            <v>126771</v>
          </cell>
          <cell r="C21757" t="str">
            <v>Oliver Goldsmith Infant School</v>
          </cell>
          <cell r="D21757" t="str">
            <v>Brent</v>
          </cell>
          <cell r="E21757" t="str">
            <v>Community School</v>
          </cell>
          <cell r="F21757" t="str">
            <v>Primary</v>
          </cell>
        </row>
        <row r="21758">
          <cell r="A21758">
            <v>2102448</v>
          </cell>
          <cell r="B21758">
            <v>126668</v>
          </cell>
          <cell r="C21758" t="str">
            <v>Oliver Goldsmith Junior School</v>
          </cell>
          <cell r="D21758" t="str">
            <v>Southwark</v>
          </cell>
          <cell r="E21758" t="str">
            <v>Community School</v>
          </cell>
          <cell r="F21758" t="str">
            <v>Primary</v>
          </cell>
        </row>
        <row r="21759">
          <cell r="A21759">
            <v>3042025</v>
          </cell>
          <cell r="B21759">
            <v>126770</v>
          </cell>
          <cell r="C21759" t="str">
            <v>Oliver Goldsmith Junior School</v>
          </cell>
          <cell r="D21759" t="str">
            <v>Brent</v>
          </cell>
          <cell r="E21759" t="str">
            <v>Community School</v>
          </cell>
          <cell r="F21759" t="str">
            <v>Primary</v>
          </cell>
        </row>
        <row r="21760">
          <cell r="A21760">
            <v>2102855</v>
          </cell>
          <cell r="B21760">
            <v>100821</v>
          </cell>
          <cell r="C21760" t="str">
            <v>Oliver Goldsmith Primary School</v>
          </cell>
          <cell r="D21760" t="str">
            <v>Southwark</v>
          </cell>
          <cell r="E21760" t="str">
            <v>Community School</v>
          </cell>
          <cell r="F21760" t="str">
            <v>Primary</v>
          </cell>
        </row>
        <row r="21761">
          <cell r="A21761">
            <v>3042071</v>
          </cell>
          <cell r="B21761">
            <v>101528</v>
          </cell>
          <cell r="C21761" t="str">
            <v>Oliver Goldsmith Primary School</v>
          </cell>
          <cell r="D21761" t="str">
            <v>Brent</v>
          </cell>
          <cell r="E21761" t="str">
            <v>Community School</v>
          </cell>
          <cell r="F21761" t="str">
            <v>Primary</v>
          </cell>
        </row>
        <row r="21762">
          <cell r="A21762">
            <v>2126409</v>
          </cell>
          <cell r="B21762">
            <v>134808</v>
          </cell>
          <cell r="C21762" t="str">
            <v>Oliver House Preparatory School</v>
          </cell>
          <cell r="D21762" t="str">
            <v>Wandsworth</v>
          </cell>
          <cell r="E21762" t="str">
            <v>Other Independent School</v>
          </cell>
          <cell r="F21762" t="str">
            <v>Not applicable</v>
          </cell>
        </row>
        <row r="21763">
          <cell r="A21763">
            <v>8886094</v>
          </cell>
          <cell r="B21763">
            <v>131575</v>
          </cell>
          <cell r="C21763" t="str">
            <v>Oliver House School</v>
          </cell>
          <cell r="D21763" t="str">
            <v>Lancashire</v>
          </cell>
          <cell r="E21763" t="str">
            <v>Other Independent Special School</v>
          </cell>
          <cell r="F21763" t="str">
            <v>Not applicable</v>
          </cell>
        </row>
        <row r="21764">
          <cell r="A21764">
            <v>8912527</v>
          </cell>
          <cell r="B21764">
            <v>122594</v>
          </cell>
          <cell r="C21764" t="str">
            <v>Oliver Quibell Infant School</v>
          </cell>
          <cell r="D21764" t="str">
            <v>Nottinghamshire</v>
          </cell>
          <cell r="E21764" t="str">
            <v>Community School</v>
          </cell>
          <cell r="F21764" t="str">
            <v>Primary</v>
          </cell>
        </row>
        <row r="21765">
          <cell r="A21765">
            <v>3161006</v>
          </cell>
          <cell r="B21765">
            <v>102706</v>
          </cell>
          <cell r="C21765" t="str">
            <v>Oliver Thomas Nursery School</v>
          </cell>
          <cell r="D21765" t="str">
            <v>Newham</v>
          </cell>
          <cell r="E21765" t="str">
            <v>LA Nursery School</v>
          </cell>
          <cell r="F21765" t="str">
            <v>Nursery</v>
          </cell>
        </row>
        <row r="21766">
          <cell r="A21766">
            <v>8663458</v>
          </cell>
          <cell r="B21766">
            <v>126443</v>
          </cell>
          <cell r="C21766" t="str">
            <v>Oliver Tomkins Church of England Infant School</v>
          </cell>
          <cell r="D21766" t="str">
            <v>Swindon</v>
          </cell>
          <cell r="E21766" t="str">
            <v>Voluntary Aided School</v>
          </cell>
          <cell r="F21766" t="str">
            <v>Primary</v>
          </cell>
        </row>
        <row r="21767">
          <cell r="A21767">
            <v>8663455</v>
          </cell>
          <cell r="B21767">
            <v>126440</v>
          </cell>
          <cell r="C21767" t="str">
            <v>Oliver Tomkins Church of England Junior School</v>
          </cell>
          <cell r="D21767" t="str">
            <v>Swindon</v>
          </cell>
          <cell r="E21767" t="str">
            <v>Voluntary Aided School</v>
          </cell>
          <cell r="F21767" t="str">
            <v>Primary</v>
          </cell>
        </row>
        <row r="21768">
          <cell r="A21768">
            <v>9047025</v>
          </cell>
          <cell r="B21768">
            <v>128356</v>
          </cell>
          <cell r="C21768" t="str">
            <v>Oliver Wells School</v>
          </cell>
          <cell r="D21768" t="str">
            <v>Pre LGR (1997) Buckinghamshire</v>
          </cell>
          <cell r="E21768" t="str">
            <v>Community Special School</v>
          </cell>
          <cell r="F21768" t="str">
            <v>Special</v>
          </cell>
        </row>
        <row r="21769">
          <cell r="A21769">
            <v>8502326</v>
          </cell>
          <cell r="B21769">
            <v>116046</v>
          </cell>
          <cell r="C21769" t="str">
            <v>Olivers Battery Primary School</v>
          </cell>
          <cell r="D21769" t="str">
            <v>Hampshire</v>
          </cell>
          <cell r="E21769" t="str">
            <v>Community School</v>
          </cell>
          <cell r="F21769" t="str">
            <v>Primary</v>
          </cell>
        </row>
        <row r="21770">
          <cell r="A21770">
            <v>9063158</v>
          </cell>
          <cell r="B21770">
            <v>128450</v>
          </cell>
          <cell r="C21770" t="str">
            <v>Ollerton CofE Primary School</v>
          </cell>
          <cell r="D21770" t="str">
            <v>Pre LGR (1998) Cheshire</v>
          </cell>
          <cell r="E21770" t="str">
            <v>Voluntary Controlled School</v>
          </cell>
          <cell r="F21770" t="str">
            <v>Primary</v>
          </cell>
        </row>
        <row r="21771">
          <cell r="A21771">
            <v>8912800</v>
          </cell>
          <cell r="B21771">
            <v>122665</v>
          </cell>
          <cell r="C21771" t="str">
            <v>Ollerton Community Primary School</v>
          </cell>
          <cell r="D21771" t="str">
            <v>Nottinghamshire</v>
          </cell>
          <cell r="E21771" t="str">
            <v>Community School</v>
          </cell>
          <cell r="F21771" t="str">
            <v>Primary</v>
          </cell>
        </row>
        <row r="21772">
          <cell r="A21772">
            <v>8912799</v>
          </cell>
          <cell r="B21772">
            <v>122664</v>
          </cell>
          <cell r="C21772" t="str">
            <v>Ollerton Junior School</v>
          </cell>
          <cell r="D21772" t="str">
            <v>Nottinghamshire</v>
          </cell>
          <cell r="E21772" t="str">
            <v>Community School</v>
          </cell>
          <cell r="F21772" t="str">
            <v>Primary</v>
          </cell>
        </row>
        <row r="21773">
          <cell r="A21773">
            <v>8262082</v>
          </cell>
          <cell r="B21773">
            <v>136792</v>
          </cell>
          <cell r="C21773" t="str">
            <v>Olney Infant Academy</v>
          </cell>
          <cell r="D21773" t="str">
            <v>Milton Keynes</v>
          </cell>
          <cell r="E21773" t="str">
            <v>Academy Converters</v>
          </cell>
          <cell r="F21773" t="str">
            <v>Primary</v>
          </cell>
        </row>
        <row r="21774">
          <cell r="A21774">
            <v>8262082</v>
          </cell>
          <cell r="B21774">
            <v>110246</v>
          </cell>
          <cell r="C21774" t="str">
            <v>Olney Infant School</v>
          </cell>
          <cell r="D21774" t="str">
            <v>Milton Keynes</v>
          </cell>
          <cell r="E21774" t="str">
            <v>Foundation School</v>
          </cell>
          <cell r="F21774" t="str">
            <v>Primary</v>
          </cell>
        </row>
        <row r="21775">
          <cell r="A21775">
            <v>8262281</v>
          </cell>
          <cell r="B21775">
            <v>110352</v>
          </cell>
          <cell r="C21775" t="str">
            <v>Olney Middle School</v>
          </cell>
          <cell r="D21775" t="str">
            <v>Milton Keynes</v>
          </cell>
          <cell r="E21775" t="str">
            <v>Community School</v>
          </cell>
          <cell r="F21775" t="str">
            <v>Primary</v>
          </cell>
        </row>
        <row r="21776">
          <cell r="A21776">
            <v>3436134</v>
          </cell>
          <cell r="B21776">
            <v>136088</v>
          </cell>
          <cell r="C21776" t="str">
            <v>Olsen House School</v>
          </cell>
          <cell r="D21776" t="str">
            <v>Sefton</v>
          </cell>
          <cell r="E21776" t="str">
            <v>Other Independent Special School</v>
          </cell>
          <cell r="F21776" t="str">
            <v>Not applicable</v>
          </cell>
        </row>
        <row r="21777">
          <cell r="A21777">
            <v>8033055</v>
          </cell>
          <cell r="B21777">
            <v>109170</v>
          </cell>
          <cell r="C21777" t="str">
            <v>Olveston Church of England Primary School</v>
          </cell>
          <cell r="D21777" t="str">
            <v>South Gloucestershire</v>
          </cell>
          <cell r="E21777" t="str">
            <v>Voluntary Controlled School</v>
          </cell>
          <cell r="F21777" t="str">
            <v>Primary</v>
          </cell>
        </row>
        <row r="21778">
          <cell r="A21778">
            <v>9282154</v>
          </cell>
          <cell r="B21778">
            <v>121908</v>
          </cell>
          <cell r="C21778" t="str">
            <v>Olympic Primary School</v>
          </cell>
          <cell r="D21778" t="str">
            <v>Northamptonshire</v>
          </cell>
          <cell r="E21778" t="str">
            <v>Community School</v>
          </cell>
          <cell r="F21778" t="str">
            <v>Primary</v>
          </cell>
        </row>
        <row r="21779">
          <cell r="A21779">
            <v>7046014</v>
          </cell>
          <cell r="B21779">
            <v>132574</v>
          </cell>
          <cell r="C21779" t="str">
            <v>Oman Lng LLC School</v>
          </cell>
          <cell r="D21779" t="str">
            <v>Fieldwork Overseas Establishments</v>
          </cell>
          <cell r="E21779" t="str">
            <v>Service Childrens Education</v>
          </cell>
          <cell r="F21779" t="str">
            <v>Not applicable</v>
          </cell>
        </row>
        <row r="21780">
          <cell r="A21780">
            <v>8853365</v>
          </cell>
          <cell r="B21780">
            <v>116905</v>
          </cell>
          <cell r="C21780" t="str">
            <v>Ombersley Endowed First School</v>
          </cell>
          <cell r="D21780" t="str">
            <v>Worcestershire</v>
          </cell>
          <cell r="E21780" t="str">
            <v>Voluntary Aided School</v>
          </cell>
          <cell r="F21780" t="str">
            <v>Primary</v>
          </cell>
        </row>
        <row r="21781">
          <cell r="A21781">
            <v>925941</v>
          </cell>
          <cell r="B21781">
            <v>132146</v>
          </cell>
          <cell r="C21781" t="str">
            <v>On Target!@Lincoln City</v>
          </cell>
          <cell r="D21781" t="str">
            <v>Lincolnshire</v>
          </cell>
          <cell r="E21781" t="str">
            <v>Playing for Success Centres</v>
          </cell>
          <cell r="F21781" t="str">
            <v>Not applicable</v>
          </cell>
        </row>
        <row r="21782">
          <cell r="A21782">
            <v>9356083</v>
          </cell>
          <cell r="B21782">
            <v>127003</v>
          </cell>
          <cell r="C21782" t="str">
            <v>On Track Education Centre (Mildenhall)</v>
          </cell>
          <cell r="D21782" t="str">
            <v>Suffolk</v>
          </cell>
          <cell r="E21782" t="str">
            <v>Other Independent Special School</v>
          </cell>
          <cell r="F21782" t="str">
            <v>Not applicable</v>
          </cell>
        </row>
        <row r="21783">
          <cell r="A21783">
            <v>8236005</v>
          </cell>
          <cell r="B21783">
            <v>134137</v>
          </cell>
          <cell r="C21783" t="str">
            <v>On Track Education Centre (Silsoe)</v>
          </cell>
          <cell r="D21783" t="str">
            <v>Central Bedfordshire</v>
          </cell>
          <cell r="E21783" t="str">
            <v>Other Independent School</v>
          </cell>
          <cell r="F21783" t="str">
            <v>Not applicable</v>
          </cell>
        </row>
        <row r="21784">
          <cell r="A21784">
            <v>9286073</v>
          </cell>
          <cell r="B21784">
            <v>136227</v>
          </cell>
          <cell r="C21784" t="str">
            <v>On Track Education Centre Northants</v>
          </cell>
          <cell r="D21784" t="str">
            <v>Northamptonshire</v>
          </cell>
          <cell r="E21784" t="str">
            <v>Other Independent Special School</v>
          </cell>
          <cell r="F21784" t="str">
            <v>Not applicable</v>
          </cell>
        </row>
        <row r="21785">
          <cell r="A21785">
            <v>8786060</v>
          </cell>
          <cell r="B21785">
            <v>131715</v>
          </cell>
          <cell r="C21785" t="str">
            <v>On Track Education Centre Totnes</v>
          </cell>
          <cell r="D21785" t="str">
            <v>Devon</v>
          </cell>
          <cell r="E21785" t="str">
            <v>Other Independent Special School</v>
          </cell>
          <cell r="F21785" t="str">
            <v>Not applicable</v>
          </cell>
        </row>
        <row r="21786">
          <cell r="A21786">
            <v>8656043</v>
          </cell>
          <cell r="B21786">
            <v>136019</v>
          </cell>
          <cell r="C21786" t="str">
            <v>On Track Education Centre Westbury</v>
          </cell>
          <cell r="D21786" t="str">
            <v>Wiltshire</v>
          </cell>
          <cell r="E21786" t="str">
            <v>Other Independent Special School</v>
          </cell>
          <cell r="F21786" t="str">
            <v>Not applicable</v>
          </cell>
        </row>
        <row r="21787">
          <cell r="A21787">
            <v>8736041</v>
          </cell>
          <cell r="B21787">
            <v>133570</v>
          </cell>
          <cell r="C21787" t="str">
            <v>On Track Training Centre</v>
          </cell>
          <cell r="D21787" t="str">
            <v>Cambridgeshire</v>
          </cell>
          <cell r="E21787" t="str">
            <v>Other Independent Special School</v>
          </cell>
          <cell r="F21787" t="str">
            <v>Not applicable</v>
          </cell>
        </row>
        <row r="21788">
          <cell r="A21788">
            <v>7052011</v>
          </cell>
          <cell r="B21788">
            <v>132464</v>
          </cell>
          <cell r="C21788" t="str">
            <v>Onchan Primary School</v>
          </cell>
          <cell r="D21788" t="str">
            <v>Isle of Man Offshore Establishments</v>
          </cell>
          <cell r="E21788" t="str">
            <v>Offshore Schools</v>
          </cell>
          <cell r="F21788" t="str">
            <v>Not applicable</v>
          </cell>
        </row>
        <row r="21789">
          <cell r="A21789">
            <v>2021103</v>
          </cell>
          <cell r="B21789">
            <v>134643</v>
          </cell>
          <cell r="C21789" t="str">
            <v>One One Five Behaviour Support Service Resource Base</v>
          </cell>
          <cell r="D21789" t="str">
            <v>Camden</v>
          </cell>
          <cell r="E21789" t="str">
            <v>Pupil Referral Unit</v>
          </cell>
          <cell r="F21789" t="str">
            <v>PRU</v>
          </cell>
        </row>
        <row r="21790">
          <cell r="A21790">
            <v>2056403</v>
          </cell>
          <cell r="B21790">
            <v>132851</v>
          </cell>
          <cell r="C21790" t="str">
            <v>One World Montessori Nursery and Pre-Preparartory School</v>
          </cell>
          <cell r="D21790" t="str">
            <v>Hammersmith and Fulham</v>
          </cell>
          <cell r="E21790" t="str">
            <v>Other Independent School</v>
          </cell>
          <cell r="F21790" t="str">
            <v>Not applicable</v>
          </cell>
        </row>
        <row r="21791">
          <cell r="A21791">
            <v>3076400</v>
          </cell>
          <cell r="B21791">
            <v>135764</v>
          </cell>
          <cell r="C21791" t="str">
            <v>One World Preparatory School</v>
          </cell>
          <cell r="D21791" t="str">
            <v>Ealing</v>
          </cell>
          <cell r="E21791" t="str">
            <v>Other Independent School</v>
          </cell>
          <cell r="F21791" t="str">
            <v>Not applicable</v>
          </cell>
        </row>
        <row r="21792">
          <cell r="A21792">
            <v>2086398</v>
          </cell>
          <cell r="B21792">
            <v>131804</v>
          </cell>
          <cell r="C21792" t="str">
            <v>One World Pre-School</v>
          </cell>
          <cell r="D21792" t="str">
            <v>Lambeth</v>
          </cell>
          <cell r="E21792" t="str">
            <v>Other Independent Special School</v>
          </cell>
          <cell r="F21792" t="str">
            <v>Not applicable</v>
          </cell>
        </row>
        <row r="21793">
          <cell r="A21793">
            <v>9154250</v>
          </cell>
          <cell r="B21793">
            <v>128907</v>
          </cell>
          <cell r="C21793" t="str">
            <v>Ongar Comprehensive School</v>
          </cell>
          <cell r="D21793" t="str">
            <v>Pre LGR (1998) Essex</v>
          </cell>
          <cell r="E21793" t="str">
            <v>Community School</v>
          </cell>
          <cell r="F21793" t="str">
            <v>Secondary</v>
          </cell>
        </row>
        <row r="21794">
          <cell r="A21794">
            <v>9362394</v>
          </cell>
          <cell r="B21794">
            <v>125042</v>
          </cell>
          <cell r="C21794" t="str">
            <v>Ongar Place Primary School</v>
          </cell>
          <cell r="D21794" t="str">
            <v>Surrey</v>
          </cell>
          <cell r="E21794" t="str">
            <v>Community School</v>
          </cell>
          <cell r="F21794" t="str">
            <v>Primary</v>
          </cell>
        </row>
        <row r="21795">
          <cell r="A21795">
            <v>8933361</v>
          </cell>
          <cell r="B21795">
            <v>123560</v>
          </cell>
          <cell r="C21795" t="str">
            <v>Onny CofE (A) Primary School</v>
          </cell>
          <cell r="D21795" t="str">
            <v>Shropshire</v>
          </cell>
          <cell r="E21795" t="str">
            <v>Voluntary Aided School</v>
          </cell>
          <cell r="F21795" t="str">
            <v>Primary</v>
          </cell>
        </row>
        <row r="21796">
          <cell r="A21796">
            <v>925940</v>
          </cell>
          <cell r="B21796">
            <v>133455</v>
          </cell>
          <cell r="C21796" t="str">
            <v>Onside@Bostonunited</v>
          </cell>
          <cell r="D21796" t="str">
            <v>Lincolnshire</v>
          </cell>
          <cell r="E21796" t="str">
            <v>Playing for Success Centres</v>
          </cell>
          <cell r="F21796" t="str">
            <v>Not applicable</v>
          </cell>
        </row>
        <row r="21797">
          <cell r="A21797">
            <v>9362448</v>
          </cell>
          <cell r="B21797">
            <v>125067</v>
          </cell>
          <cell r="C21797" t="str">
            <v>Onslow Infant School</v>
          </cell>
          <cell r="D21797" t="str">
            <v>Surrey</v>
          </cell>
          <cell r="E21797" t="str">
            <v>Community School</v>
          </cell>
          <cell r="F21797" t="str">
            <v>Primary</v>
          </cell>
        </row>
        <row r="21798">
          <cell r="A21798">
            <v>9194154</v>
          </cell>
          <cell r="B21798">
            <v>117547</v>
          </cell>
          <cell r="C21798" t="str">
            <v>Onslow St Audrey's School</v>
          </cell>
          <cell r="D21798" t="str">
            <v>Hertfordshire</v>
          </cell>
          <cell r="E21798" t="str">
            <v>Community School</v>
          </cell>
          <cell r="F21798" t="str">
            <v>Secondary</v>
          </cell>
        </row>
        <row r="21799">
          <cell r="A21799">
            <v>2116001</v>
          </cell>
          <cell r="B21799">
            <v>137501</v>
          </cell>
          <cell r="C21799" t="str">
            <v>Opal College London</v>
          </cell>
          <cell r="D21799" t="str">
            <v>Tower Hamlets</v>
          </cell>
          <cell r="E21799" t="str">
            <v>Other Independent School</v>
          </cell>
          <cell r="F21799" t="str">
            <v>Not applicable</v>
          </cell>
        </row>
        <row r="21800">
          <cell r="A21800">
            <v>3111108</v>
          </cell>
          <cell r="B21800">
            <v>134969</v>
          </cell>
          <cell r="C21800" t="str">
            <v>Opening Opportunities</v>
          </cell>
          <cell r="D21800" t="str">
            <v>Havering</v>
          </cell>
          <cell r="E21800" t="str">
            <v>Pupil Referral Unit</v>
          </cell>
          <cell r="F21800" t="str">
            <v>PRU</v>
          </cell>
        </row>
        <row r="21801">
          <cell r="A21801">
            <v>9264902</v>
          </cell>
          <cell r="B21801">
            <v>135368</v>
          </cell>
          <cell r="C21801" t="str">
            <v>Openopportunity</v>
          </cell>
          <cell r="D21801" t="str">
            <v>Norfolk</v>
          </cell>
          <cell r="E21801" t="str">
            <v>Sixth Form Centres</v>
          </cell>
          <cell r="F21801" t="str">
            <v>16 Plus</v>
          </cell>
        </row>
        <row r="21802">
          <cell r="A21802">
            <v>6751103</v>
          </cell>
          <cell r="B21802">
            <v>402160</v>
          </cell>
          <cell r="C21802" t="str">
            <v>Options Education Programme</v>
          </cell>
          <cell r="D21802" t="str">
            <v>Merthyr Tydfil</v>
          </cell>
          <cell r="E21802" t="str">
            <v>Welsh Establishment</v>
          </cell>
          <cell r="F21802" t="str">
            <v>Not applicable</v>
          </cell>
        </row>
        <row r="21803">
          <cell r="A21803">
            <v>8956035</v>
          </cell>
          <cell r="B21803">
            <v>134725</v>
          </cell>
          <cell r="C21803" t="str">
            <v>Oracle</v>
          </cell>
          <cell r="D21803" t="str">
            <v>Cheshire East</v>
          </cell>
          <cell r="E21803" t="str">
            <v>Other Independent Special School</v>
          </cell>
          <cell r="F21803" t="str">
            <v>Not applicable</v>
          </cell>
        </row>
        <row r="21804">
          <cell r="A21804">
            <v>8226013</v>
          </cell>
          <cell r="B21804">
            <v>135987</v>
          </cell>
          <cell r="C21804" t="str">
            <v>Oracle</v>
          </cell>
          <cell r="D21804" t="str">
            <v>Bedford</v>
          </cell>
          <cell r="E21804" t="str">
            <v>Other Independent Special School</v>
          </cell>
          <cell r="F21804" t="str">
            <v>Not applicable</v>
          </cell>
        </row>
        <row r="21805">
          <cell r="A21805">
            <v>2073379</v>
          </cell>
          <cell r="B21805">
            <v>100491</v>
          </cell>
          <cell r="C21805" t="str">
            <v>Oratory Roman Catholic Primary School</v>
          </cell>
          <cell r="D21805" t="str">
            <v>Kensington and Chelsea</v>
          </cell>
          <cell r="E21805" t="str">
            <v>Voluntary Aided School</v>
          </cell>
          <cell r="F21805" t="str">
            <v>Primary</v>
          </cell>
        </row>
        <row r="21806">
          <cell r="A21806">
            <v>3081102</v>
          </cell>
          <cell r="B21806">
            <v>101974</v>
          </cell>
          <cell r="C21806" t="str">
            <v>Orchard Centre</v>
          </cell>
          <cell r="D21806" t="str">
            <v>Enfield</v>
          </cell>
          <cell r="E21806" t="str">
            <v>Pupil Referral Unit</v>
          </cell>
          <cell r="F21806" t="str">
            <v>PRU</v>
          </cell>
        </row>
        <row r="21807">
          <cell r="A21807">
            <v>8211100</v>
          </cell>
          <cell r="B21807">
            <v>109425</v>
          </cell>
          <cell r="C21807" t="str">
            <v>Orchard Centre</v>
          </cell>
          <cell r="D21807" t="str">
            <v>Luton</v>
          </cell>
          <cell r="E21807" t="str">
            <v>Pupil Referral Unit</v>
          </cell>
          <cell r="F21807" t="str">
            <v>PRU</v>
          </cell>
        </row>
        <row r="21808">
          <cell r="A21808">
            <v>2081101</v>
          </cell>
          <cell r="B21808">
            <v>131142</v>
          </cell>
          <cell r="C21808" t="str">
            <v>Orchard Centre</v>
          </cell>
          <cell r="D21808" t="str">
            <v>Lambeth</v>
          </cell>
          <cell r="E21808" t="str">
            <v>Pupil Referral Unit</v>
          </cell>
          <cell r="F21808" t="str">
            <v>PRU</v>
          </cell>
        </row>
        <row r="21809">
          <cell r="A21809">
            <v>8553017</v>
          </cell>
          <cell r="B21809">
            <v>120120</v>
          </cell>
          <cell r="C21809" t="str">
            <v>Orchard Church of England Primary School, Broughton Astley</v>
          </cell>
          <cell r="D21809" t="str">
            <v>Leicestershire</v>
          </cell>
          <cell r="E21809" t="str">
            <v>Voluntary Controlled School</v>
          </cell>
          <cell r="F21809" t="str">
            <v>Primary</v>
          </cell>
        </row>
        <row r="21810">
          <cell r="A21810">
            <v>8552178</v>
          </cell>
          <cell r="B21810">
            <v>119982</v>
          </cell>
          <cell r="C21810" t="str">
            <v>Orchard Community Primary School</v>
          </cell>
          <cell r="D21810" t="str">
            <v>Leicestershire</v>
          </cell>
          <cell r="E21810" t="str">
            <v>Community School</v>
          </cell>
          <cell r="F21810" t="str">
            <v>Primary</v>
          </cell>
        </row>
        <row r="21811">
          <cell r="A21811">
            <v>9312055</v>
          </cell>
          <cell r="B21811">
            <v>122994</v>
          </cell>
          <cell r="C21811" t="str">
            <v>Orchard Fields Community School</v>
          </cell>
          <cell r="D21811" t="str">
            <v>Oxfordshire</v>
          </cell>
          <cell r="E21811" t="str">
            <v>Community School</v>
          </cell>
          <cell r="F21811" t="str">
            <v>Primary</v>
          </cell>
        </row>
        <row r="21812">
          <cell r="A21812">
            <v>3197904</v>
          </cell>
          <cell r="B21812">
            <v>131948</v>
          </cell>
          <cell r="C21812" t="str">
            <v>Orchard Hill College of Further Education</v>
          </cell>
          <cell r="D21812" t="str">
            <v>Sutton</v>
          </cell>
          <cell r="E21812" t="str">
            <v>Special College</v>
          </cell>
          <cell r="F21812" t="str">
            <v>16 Plus</v>
          </cell>
        </row>
        <row r="21813">
          <cell r="A21813">
            <v>9062302</v>
          </cell>
          <cell r="B21813">
            <v>128427</v>
          </cell>
          <cell r="C21813" t="str">
            <v>Orchard House County Infant School</v>
          </cell>
          <cell r="D21813" t="str">
            <v>Pre LGR (1998) Cheshire</v>
          </cell>
          <cell r="E21813" t="str">
            <v>Community School</v>
          </cell>
          <cell r="F21813" t="str">
            <v>Primary</v>
          </cell>
        </row>
        <row r="21814">
          <cell r="A21814">
            <v>3076074</v>
          </cell>
          <cell r="B21814">
            <v>101961</v>
          </cell>
          <cell r="C21814" t="str">
            <v>Orchard House School</v>
          </cell>
          <cell r="D21814" t="str">
            <v>Ealing</v>
          </cell>
          <cell r="E21814" t="str">
            <v>Other Independent School</v>
          </cell>
          <cell r="F21814" t="str">
            <v>Not applicable</v>
          </cell>
        </row>
        <row r="21815">
          <cell r="A21815">
            <v>8502230</v>
          </cell>
          <cell r="B21815">
            <v>115977</v>
          </cell>
          <cell r="C21815" t="str">
            <v>Orchard Infant School</v>
          </cell>
          <cell r="D21815" t="str">
            <v>Hampshire</v>
          </cell>
          <cell r="E21815" t="str">
            <v>Community School</v>
          </cell>
          <cell r="F21815" t="str">
            <v>Primary</v>
          </cell>
        </row>
        <row r="21816">
          <cell r="A21816">
            <v>8502248</v>
          </cell>
          <cell r="B21816">
            <v>115988</v>
          </cell>
          <cell r="C21816" t="str">
            <v>Orchard Junior School</v>
          </cell>
          <cell r="D21816" t="str">
            <v>Hampshire</v>
          </cell>
          <cell r="E21816" t="str">
            <v>Community School</v>
          </cell>
          <cell r="F21816" t="str">
            <v>Primary</v>
          </cell>
        </row>
        <row r="21817">
          <cell r="A21817">
            <v>8502717</v>
          </cell>
          <cell r="B21817">
            <v>116224</v>
          </cell>
          <cell r="C21817" t="str">
            <v>Orchard Lea Infant School</v>
          </cell>
          <cell r="D21817" t="str">
            <v>Hampshire</v>
          </cell>
          <cell r="E21817" t="str">
            <v>Community School</v>
          </cell>
          <cell r="F21817" t="str">
            <v>Primary</v>
          </cell>
        </row>
        <row r="21818">
          <cell r="A21818">
            <v>8502718</v>
          </cell>
          <cell r="B21818">
            <v>116225</v>
          </cell>
          <cell r="C21818" t="str">
            <v>Orchard Lea Junior School</v>
          </cell>
          <cell r="D21818" t="str">
            <v>Hampshire</v>
          </cell>
          <cell r="E21818" t="str">
            <v>Community School</v>
          </cell>
          <cell r="F21818" t="str">
            <v>Primary</v>
          </cell>
        </row>
        <row r="21819">
          <cell r="A21819">
            <v>210611</v>
          </cell>
          <cell r="B21819">
            <v>133064</v>
          </cell>
          <cell r="C21819" t="str">
            <v>Orchard Lodge</v>
          </cell>
          <cell r="D21819" t="str">
            <v>Southwark</v>
          </cell>
          <cell r="E21819" t="str">
            <v>Secure Units</v>
          </cell>
          <cell r="F21819" t="str">
            <v>Not applicable</v>
          </cell>
        </row>
        <row r="21820">
          <cell r="A21820">
            <v>9312539</v>
          </cell>
          <cell r="B21820">
            <v>123052</v>
          </cell>
          <cell r="C21820" t="str">
            <v>Orchard Meadow Primary School</v>
          </cell>
          <cell r="D21820" t="str">
            <v>Oxfordshire</v>
          </cell>
          <cell r="E21820" t="str">
            <v>Community School</v>
          </cell>
          <cell r="F21820" t="str">
            <v>Primary</v>
          </cell>
        </row>
        <row r="21821">
          <cell r="A21821">
            <v>9146181</v>
          </cell>
          <cell r="B21821">
            <v>114671</v>
          </cell>
          <cell r="C21821" t="str">
            <v>Orchard Open School</v>
          </cell>
          <cell r="D21821" t="str">
            <v>Pre LGR (1997) East Sussex</v>
          </cell>
          <cell r="E21821" t="str">
            <v>Other Independent School</v>
          </cell>
          <cell r="F21821" t="str">
            <v>Not applicable</v>
          </cell>
        </row>
        <row r="21822">
          <cell r="A21822">
            <v>8733390</v>
          </cell>
          <cell r="B21822">
            <v>134979</v>
          </cell>
          <cell r="C21822" t="str">
            <v>Orchard Park Community Primary School</v>
          </cell>
          <cell r="D21822" t="str">
            <v>Cambridgeshire</v>
          </cell>
          <cell r="E21822" t="str">
            <v>Community School</v>
          </cell>
          <cell r="F21822" t="str">
            <v>Primary</v>
          </cell>
        </row>
        <row r="21823">
          <cell r="A21823">
            <v>2042450</v>
          </cell>
          <cell r="B21823">
            <v>100234</v>
          </cell>
          <cell r="C21823" t="str">
            <v>Orchard Primary School</v>
          </cell>
          <cell r="D21823" t="str">
            <v>Hackney</v>
          </cell>
          <cell r="E21823" t="str">
            <v>Community School</v>
          </cell>
          <cell r="F21823" t="str">
            <v>Primary</v>
          </cell>
        </row>
        <row r="21824">
          <cell r="A21824">
            <v>2086408</v>
          </cell>
          <cell r="B21824">
            <v>134470</v>
          </cell>
          <cell r="C21824" t="str">
            <v>Orchard Primary School</v>
          </cell>
          <cell r="D21824" t="str">
            <v>Lambeth</v>
          </cell>
          <cell r="E21824" t="str">
            <v>Other Independent School</v>
          </cell>
          <cell r="F21824" t="str">
            <v>Not applicable</v>
          </cell>
        </row>
        <row r="21825">
          <cell r="A21825">
            <v>3133942</v>
          </cell>
          <cell r="B21825">
            <v>135562</v>
          </cell>
          <cell r="C21825" t="str">
            <v>Orchard Primary School</v>
          </cell>
          <cell r="D21825" t="str">
            <v>Hounslow</v>
          </cell>
          <cell r="E21825" t="str">
            <v>Community School</v>
          </cell>
          <cell r="F21825" t="str">
            <v>Primary</v>
          </cell>
        </row>
        <row r="21826">
          <cell r="A21826">
            <v>8912918</v>
          </cell>
          <cell r="B21826">
            <v>122722</v>
          </cell>
          <cell r="C21826" t="str">
            <v>Orchard Primary School and Nursery</v>
          </cell>
          <cell r="D21826" t="str">
            <v>Nottinghamshire</v>
          </cell>
          <cell r="E21826" t="str">
            <v>Community School</v>
          </cell>
          <cell r="F21826" t="str">
            <v>Primary</v>
          </cell>
        </row>
        <row r="21827">
          <cell r="A21827">
            <v>9311105</v>
          </cell>
          <cell r="B21827">
            <v>122990</v>
          </cell>
          <cell r="C21827" t="str">
            <v>Orchard Pupil Referral Unit</v>
          </cell>
          <cell r="D21827" t="str">
            <v>Oxfordshire</v>
          </cell>
          <cell r="E21827" t="str">
            <v>Pupil Referral Unit</v>
          </cell>
          <cell r="F21827" t="str">
            <v>PRU</v>
          </cell>
        </row>
        <row r="21828">
          <cell r="A21828">
            <v>8014036</v>
          </cell>
          <cell r="B21828">
            <v>109282</v>
          </cell>
          <cell r="C21828" t="str">
            <v>Orchard School</v>
          </cell>
          <cell r="D21828" t="str">
            <v>Bristol City of</v>
          </cell>
          <cell r="E21828" t="str">
            <v>Foundation School</v>
          </cell>
          <cell r="F21828" t="str">
            <v>Secondary</v>
          </cell>
        </row>
        <row r="21829">
          <cell r="A21829">
            <v>8262310</v>
          </cell>
          <cell r="B21829">
            <v>110370</v>
          </cell>
          <cell r="C21829" t="str">
            <v>Orchard School</v>
          </cell>
          <cell r="D21829" t="str">
            <v>Milton Keynes</v>
          </cell>
          <cell r="E21829" t="str">
            <v>Community School</v>
          </cell>
          <cell r="F21829" t="str">
            <v>Primary</v>
          </cell>
        </row>
        <row r="21830">
          <cell r="A21830">
            <v>8916015</v>
          </cell>
          <cell r="B21830">
            <v>122933</v>
          </cell>
          <cell r="C21830" t="str">
            <v>Orchard School</v>
          </cell>
          <cell r="D21830" t="str">
            <v>Nottinghamshire</v>
          </cell>
          <cell r="E21830" t="str">
            <v>Other Independent School</v>
          </cell>
          <cell r="F21830" t="str">
            <v>Not applicable</v>
          </cell>
        </row>
        <row r="21831">
          <cell r="A21831">
            <v>8936027</v>
          </cell>
          <cell r="B21831">
            <v>134111</v>
          </cell>
          <cell r="C21831" t="str">
            <v>Orchard School</v>
          </cell>
          <cell r="D21831" t="str">
            <v>Shropshire</v>
          </cell>
          <cell r="E21831" t="str">
            <v>Other Independent School</v>
          </cell>
          <cell r="F21831" t="str">
            <v>Not applicable</v>
          </cell>
        </row>
        <row r="21832">
          <cell r="A21832">
            <v>3032019</v>
          </cell>
          <cell r="B21832">
            <v>134185</v>
          </cell>
          <cell r="C21832" t="str">
            <v>Orchard School</v>
          </cell>
          <cell r="D21832" t="str">
            <v>Bexley</v>
          </cell>
          <cell r="E21832" t="str">
            <v>Community School</v>
          </cell>
          <cell r="F21832" t="str">
            <v>Primary</v>
          </cell>
        </row>
        <row r="21833">
          <cell r="A21833">
            <v>8936028</v>
          </cell>
          <cell r="B21833">
            <v>134566</v>
          </cell>
          <cell r="C21833" t="str">
            <v>Orchard School</v>
          </cell>
          <cell r="D21833" t="str">
            <v>Shropshire</v>
          </cell>
          <cell r="E21833" t="str">
            <v>Other Independent School</v>
          </cell>
          <cell r="F21833" t="str">
            <v>Not applicable</v>
          </cell>
        </row>
        <row r="21834">
          <cell r="A21834">
            <v>8236018</v>
          </cell>
          <cell r="B21834">
            <v>133596</v>
          </cell>
          <cell r="C21834" t="str">
            <v>Orchard School and Nursery</v>
          </cell>
          <cell r="D21834" t="str">
            <v>Central Bedfordshire</v>
          </cell>
          <cell r="E21834" t="str">
            <v>Other Independent School</v>
          </cell>
          <cell r="F21834" t="str">
            <v>Not applicable</v>
          </cell>
        </row>
        <row r="21835">
          <cell r="A21835">
            <v>8782727</v>
          </cell>
          <cell r="B21835">
            <v>131273</v>
          </cell>
          <cell r="C21835" t="str">
            <v>Orchard Vale Community School</v>
          </cell>
          <cell r="D21835" t="str">
            <v>Devon</v>
          </cell>
          <cell r="E21835" t="str">
            <v>Community School</v>
          </cell>
          <cell r="F21835" t="str">
            <v>Primary</v>
          </cell>
        </row>
        <row r="21836">
          <cell r="A21836">
            <v>8782727</v>
          </cell>
          <cell r="B21836">
            <v>137644</v>
          </cell>
          <cell r="C21836" t="str">
            <v>Orchard Vale Community School</v>
          </cell>
          <cell r="D21836" t="str">
            <v>Devon</v>
          </cell>
          <cell r="E21836" t="str">
            <v>Academy Converters</v>
          </cell>
          <cell r="F21836" t="str">
            <v>Primary</v>
          </cell>
        </row>
        <row r="21837">
          <cell r="A21837">
            <v>3062083</v>
          </cell>
          <cell r="B21837">
            <v>101772</v>
          </cell>
          <cell r="C21837" t="str">
            <v>Orchard Way Primary School</v>
          </cell>
          <cell r="D21837" t="str">
            <v>Croydon</v>
          </cell>
          <cell r="E21837" t="str">
            <v>Community School</v>
          </cell>
          <cell r="F21837" t="str">
            <v>Primary</v>
          </cell>
        </row>
        <row r="21838">
          <cell r="A21838">
            <v>8864031</v>
          </cell>
          <cell r="B21838">
            <v>136304</v>
          </cell>
          <cell r="C21838" t="str">
            <v>Orchards Academy</v>
          </cell>
          <cell r="D21838" t="str">
            <v>Kent</v>
          </cell>
          <cell r="E21838" t="str">
            <v>Academy Converters</v>
          </cell>
          <cell r="F21838" t="str">
            <v>Secondary</v>
          </cell>
        </row>
        <row r="21839">
          <cell r="A21839">
            <v>8733885</v>
          </cell>
          <cell r="B21839">
            <v>133782</v>
          </cell>
          <cell r="C21839" t="str">
            <v>Orchards Church of England Primary School</v>
          </cell>
          <cell r="D21839" t="str">
            <v>Cambridgeshire</v>
          </cell>
          <cell r="E21839" t="str">
            <v>Voluntary Controlled School</v>
          </cell>
          <cell r="F21839" t="str">
            <v>Primary</v>
          </cell>
        </row>
        <row r="21840">
          <cell r="A21840">
            <v>9362215</v>
          </cell>
          <cell r="B21840">
            <v>124991</v>
          </cell>
          <cell r="C21840" t="str">
            <v>Orchards School</v>
          </cell>
          <cell r="D21840" t="str">
            <v>Surrey</v>
          </cell>
          <cell r="E21840" t="str">
            <v>Community School</v>
          </cell>
          <cell r="F21840" t="str">
            <v>Primary</v>
          </cell>
        </row>
        <row r="21841">
          <cell r="A21841">
            <v>8663463</v>
          </cell>
          <cell r="B21841">
            <v>131378</v>
          </cell>
          <cell r="C21841" t="str">
            <v>Orchid Vale Primary School</v>
          </cell>
          <cell r="D21841" t="str">
            <v>Swindon</v>
          </cell>
          <cell r="E21841" t="str">
            <v>Community School</v>
          </cell>
          <cell r="F21841" t="str">
            <v>Primary</v>
          </cell>
        </row>
        <row r="21842">
          <cell r="A21842">
            <v>3551007</v>
          </cell>
          <cell r="B21842">
            <v>105871</v>
          </cell>
          <cell r="C21842" t="str">
            <v>Ordsall Community Nursery Centre</v>
          </cell>
          <cell r="D21842" t="str">
            <v>Salford</v>
          </cell>
          <cell r="E21842" t="str">
            <v>LA Nursery School</v>
          </cell>
          <cell r="F21842" t="str">
            <v>Nursery</v>
          </cell>
        </row>
        <row r="21843">
          <cell r="A21843">
            <v>8914455</v>
          </cell>
          <cell r="B21843">
            <v>122884</v>
          </cell>
          <cell r="C21843" t="str">
            <v>Ordsall Hall School</v>
          </cell>
          <cell r="D21843" t="str">
            <v>Nottinghamshire</v>
          </cell>
          <cell r="E21843" t="str">
            <v>Community School</v>
          </cell>
          <cell r="F21843" t="str">
            <v>Secondary</v>
          </cell>
        </row>
        <row r="21844">
          <cell r="A21844">
            <v>8912349</v>
          </cell>
          <cell r="B21844">
            <v>122558</v>
          </cell>
          <cell r="C21844" t="str">
            <v>Ordsall Junior School</v>
          </cell>
          <cell r="D21844" t="str">
            <v>Nottinghamshire</v>
          </cell>
          <cell r="E21844" t="str">
            <v>Community School</v>
          </cell>
          <cell r="F21844" t="str">
            <v>Primary</v>
          </cell>
        </row>
        <row r="21845">
          <cell r="A21845">
            <v>8913772</v>
          </cell>
          <cell r="B21845">
            <v>134028</v>
          </cell>
          <cell r="C21845" t="str">
            <v>Ordsall Primary School</v>
          </cell>
          <cell r="D21845" t="str">
            <v>Nottinghamshire</v>
          </cell>
          <cell r="E21845" t="str">
            <v>Community School</v>
          </cell>
          <cell r="F21845" t="str">
            <v>Primary</v>
          </cell>
        </row>
        <row r="21846">
          <cell r="A21846">
            <v>8912348</v>
          </cell>
          <cell r="B21846">
            <v>122557</v>
          </cell>
          <cell r="C21846" t="str">
            <v>Ordsall Village Nursery and Infant School</v>
          </cell>
          <cell r="D21846" t="str">
            <v>Nottinghamshire</v>
          </cell>
          <cell r="E21846" t="str">
            <v>Community School</v>
          </cell>
          <cell r="F21846" t="str">
            <v>Primary</v>
          </cell>
        </row>
        <row r="21847">
          <cell r="A21847">
            <v>8792693</v>
          </cell>
          <cell r="B21847">
            <v>136380</v>
          </cell>
          <cell r="C21847" t="str">
            <v>Oreston Community Academy</v>
          </cell>
          <cell r="D21847" t="str">
            <v>Plymouth</v>
          </cell>
          <cell r="E21847" t="str">
            <v>Academy Converters</v>
          </cell>
          <cell r="F21847" t="str">
            <v>Primary</v>
          </cell>
        </row>
        <row r="21848">
          <cell r="A21848">
            <v>8792693</v>
          </cell>
          <cell r="B21848">
            <v>113314</v>
          </cell>
          <cell r="C21848" t="str">
            <v>Oreston Community Primary School</v>
          </cell>
          <cell r="D21848" t="str">
            <v>Plymouth</v>
          </cell>
          <cell r="E21848" t="str">
            <v>Community School</v>
          </cell>
          <cell r="F21848" t="str">
            <v>Primary</v>
          </cell>
        </row>
        <row r="21849">
          <cell r="A21849">
            <v>9353332</v>
          </cell>
          <cell r="B21849">
            <v>124777</v>
          </cell>
          <cell r="C21849" t="str">
            <v>Orford Church of England Voluntary Aided Primary School</v>
          </cell>
          <cell r="D21849" t="str">
            <v>Suffolk</v>
          </cell>
          <cell r="E21849" t="str">
            <v>Voluntary Aided School</v>
          </cell>
          <cell r="F21849" t="str">
            <v>Primary</v>
          </cell>
        </row>
        <row r="21850">
          <cell r="A21850">
            <v>9092236</v>
          </cell>
          <cell r="B21850">
            <v>112174</v>
          </cell>
          <cell r="C21850" t="str">
            <v>Orgill Infant School</v>
          </cell>
          <cell r="D21850" t="str">
            <v>Cumbria</v>
          </cell>
          <cell r="E21850" t="str">
            <v>Community School</v>
          </cell>
          <cell r="F21850" t="str">
            <v>Primary</v>
          </cell>
        </row>
        <row r="21851">
          <cell r="A21851">
            <v>9092206</v>
          </cell>
          <cell r="B21851">
            <v>112154</v>
          </cell>
          <cell r="C21851" t="str">
            <v>Orgill Junior School</v>
          </cell>
          <cell r="D21851" t="str">
            <v>Cumbria</v>
          </cell>
          <cell r="E21851" t="str">
            <v>Community School</v>
          </cell>
          <cell r="F21851" t="str">
            <v>Primary</v>
          </cell>
        </row>
        <row r="21852">
          <cell r="A21852">
            <v>9092714</v>
          </cell>
          <cell r="B21852">
            <v>131443</v>
          </cell>
          <cell r="C21852" t="str">
            <v>Orgill Primary School</v>
          </cell>
          <cell r="D21852" t="str">
            <v>Cumbria</v>
          </cell>
          <cell r="E21852" t="str">
            <v>Community School</v>
          </cell>
          <cell r="F21852" t="str">
            <v>Primary</v>
          </cell>
        </row>
        <row r="21853">
          <cell r="A21853">
            <v>3566011</v>
          </cell>
          <cell r="B21853">
            <v>106153</v>
          </cell>
          <cell r="C21853" t="str">
            <v>Oriel Bank</v>
          </cell>
          <cell r="D21853" t="str">
            <v>Stockport</v>
          </cell>
          <cell r="E21853" t="str">
            <v>Other Independent School</v>
          </cell>
          <cell r="F21853" t="str">
            <v>Not applicable</v>
          </cell>
        </row>
        <row r="21854">
          <cell r="A21854">
            <v>9384003</v>
          </cell>
          <cell r="B21854">
            <v>134042</v>
          </cell>
          <cell r="C21854" t="str">
            <v>Oriel High School</v>
          </cell>
          <cell r="D21854" t="str">
            <v>West Sussex</v>
          </cell>
          <cell r="E21854" t="str">
            <v>Community School</v>
          </cell>
          <cell r="F21854" t="str">
            <v>Secondary</v>
          </cell>
        </row>
        <row r="21855">
          <cell r="A21855">
            <v>3132057</v>
          </cell>
          <cell r="B21855">
            <v>102509</v>
          </cell>
          <cell r="C21855" t="str">
            <v>Oriel Primary School</v>
          </cell>
          <cell r="D21855" t="str">
            <v>Hounslow</v>
          </cell>
          <cell r="E21855" t="str">
            <v>Community School</v>
          </cell>
          <cell r="F21855" t="str">
            <v>Primary</v>
          </cell>
        </row>
        <row r="21856">
          <cell r="A21856">
            <v>9326088</v>
          </cell>
          <cell r="B21856">
            <v>129825</v>
          </cell>
          <cell r="C21856" t="str">
            <v>Oriel School</v>
          </cell>
          <cell r="D21856" t="str">
            <v>Pre LGR (1998) Shropshire</v>
          </cell>
          <cell r="E21856" t="str">
            <v>Other Independent School</v>
          </cell>
          <cell r="F21856" t="str">
            <v>Not applicable</v>
          </cell>
        </row>
        <row r="21857">
          <cell r="A21857">
            <v>9264077</v>
          </cell>
          <cell r="B21857">
            <v>121177</v>
          </cell>
          <cell r="C21857" t="str">
            <v>Oriel Specialist Mathematics &amp; Computing College</v>
          </cell>
          <cell r="D21857" t="str">
            <v>Norfolk</v>
          </cell>
          <cell r="E21857" t="str">
            <v>Community School</v>
          </cell>
          <cell r="F21857" t="str">
            <v>Secondary</v>
          </cell>
        </row>
        <row r="21858">
          <cell r="A21858">
            <v>6682219</v>
          </cell>
          <cell r="B21858">
            <v>400657</v>
          </cell>
          <cell r="C21858" t="str">
            <v>Orielton C.P. School</v>
          </cell>
          <cell r="D21858" t="str">
            <v>Pembrokeshire</v>
          </cell>
          <cell r="E21858" t="str">
            <v>Welsh Establishment</v>
          </cell>
          <cell r="F21858" t="str">
            <v>Primary</v>
          </cell>
        </row>
        <row r="21859">
          <cell r="A21859">
            <v>3182018</v>
          </cell>
          <cell r="B21859">
            <v>102895</v>
          </cell>
          <cell r="C21859" t="str">
            <v>Orleans Infant School</v>
          </cell>
          <cell r="D21859" t="str">
            <v>Richmond upon Thames</v>
          </cell>
          <cell r="E21859" t="str">
            <v>Community School</v>
          </cell>
          <cell r="F21859" t="str">
            <v>Primary</v>
          </cell>
        </row>
        <row r="21860">
          <cell r="A21860">
            <v>3184010</v>
          </cell>
          <cell r="B21860">
            <v>102923</v>
          </cell>
          <cell r="C21860" t="str">
            <v>Orleans Park School</v>
          </cell>
          <cell r="D21860" t="str">
            <v>Richmond upon Thames</v>
          </cell>
          <cell r="E21860" t="str">
            <v>Community School</v>
          </cell>
          <cell r="F21860" t="str">
            <v>Secondary</v>
          </cell>
        </row>
        <row r="21861">
          <cell r="A21861">
            <v>8843083</v>
          </cell>
          <cell r="B21861">
            <v>116836</v>
          </cell>
          <cell r="C21861" t="str">
            <v>Orleton CofE Primary School</v>
          </cell>
          <cell r="D21861" t="str">
            <v>Herefordshire</v>
          </cell>
          <cell r="E21861" t="str">
            <v>Voluntary Controlled School</v>
          </cell>
          <cell r="F21861" t="str">
            <v>Primary</v>
          </cell>
        </row>
        <row r="21862">
          <cell r="A21862">
            <v>8942106</v>
          </cell>
          <cell r="B21862">
            <v>123401</v>
          </cell>
          <cell r="C21862" t="str">
            <v>Orleton Lane Infant School</v>
          </cell>
          <cell r="D21862" t="str">
            <v>Telford and Wrekin</v>
          </cell>
          <cell r="E21862" t="str">
            <v>Community School</v>
          </cell>
          <cell r="F21862" t="str">
            <v>Primary</v>
          </cell>
        </row>
        <row r="21863">
          <cell r="A21863">
            <v>3106003</v>
          </cell>
          <cell r="B21863">
            <v>102248</v>
          </cell>
          <cell r="C21863" t="str">
            <v>Orley Farm School</v>
          </cell>
          <cell r="D21863" t="str">
            <v>Harrow</v>
          </cell>
          <cell r="E21863" t="str">
            <v>Other Independent School</v>
          </cell>
          <cell r="F21863" t="str">
            <v>Not applicable</v>
          </cell>
        </row>
        <row r="21864">
          <cell r="A21864">
            <v>7066007</v>
          </cell>
          <cell r="B21864">
            <v>132539</v>
          </cell>
          <cell r="C21864" t="str">
            <v>Ormer House Preparatory School</v>
          </cell>
          <cell r="D21864" t="str">
            <v>Guernsey Offshore Establishments</v>
          </cell>
          <cell r="E21864" t="str">
            <v>Offshore Schools</v>
          </cell>
          <cell r="F21864" t="str">
            <v>Not applicable</v>
          </cell>
        </row>
        <row r="21865">
          <cell r="A21865">
            <v>9317015</v>
          </cell>
          <cell r="B21865">
            <v>123335</v>
          </cell>
          <cell r="C21865" t="str">
            <v>Ormerod School</v>
          </cell>
          <cell r="D21865" t="str">
            <v>Oxfordshire</v>
          </cell>
          <cell r="E21865" t="str">
            <v>Community Special School</v>
          </cell>
          <cell r="F21865" t="str">
            <v>Special</v>
          </cell>
        </row>
        <row r="21866">
          <cell r="A21866">
            <v>8072329</v>
          </cell>
          <cell r="B21866">
            <v>111629</v>
          </cell>
          <cell r="C21866" t="str">
            <v>Ormesby Primary School</v>
          </cell>
          <cell r="D21866" t="str">
            <v>Redcar and Cleveland</v>
          </cell>
          <cell r="E21866" t="str">
            <v>Community School</v>
          </cell>
          <cell r="F21866" t="str">
            <v>Primary</v>
          </cell>
        </row>
        <row r="21867">
          <cell r="A21867">
            <v>8064122</v>
          </cell>
          <cell r="B21867">
            <v>111741</v>
          </cell>
          <cell r="C21867" t="str">
            <v>Ormesby School</v>
          </cell>
          <cell r="D21867" t="str">
            <v>Middlesbrough</v>
          </cell>
          <cell r="E21867" t="str">
            <v>Community School</v>
          </cell>
          <cell r="F21867" t="str">
            <v>Secondary</v>
          </cell>
        </row>
        <row r="21868">
          <cell r="A21868">
            <v>9262124</v>
          </cell>
          <cell r="B21868">
            <v>120840</v>
          </cell>
          <cell r="C21868" t="str">
            <v>Ormesby Village Infant School</v>
          </cell>
          <cell r="D21868" t="str">
            <v>Norfolk</v>
          </cell>
          <cell r="E21868" t="str">
            <v>Community School</v>
          </cell>
          <cell r="F21868" t="str">
            <v>Primary</v>
          </cell>
        </row>
        <row r="21869">
          <cell r="A21869">
            <v>9262272</v>
          </cell>
          <cell r="B21869">
            <v>120917</v>
          </cell>
          <cell r="C21869" t="str">
            <v>Ormesby Village Junior School</v>
          </cell>
          <cell r="D21869" t="str">
            <v>Norfolk</v>
          </cell>
          <cell r="E21869" t="str">
            <v>Community School</v>
          </cell>
          <cell r="F21869" t="str">
            <v>Primary</v>
          </cell>
        </row>
        <row r="21870">
          <cell r="A21870">
            <v>8766905</v>
          </cell>
          <cell r="B21870">
            <v>136185</v>
          </cell>
          <cell r="C21870" t="str">
            <v>Ormiston Bolingbroke Academy</v>
          </cell>
          <cell r="D21870" t="str">
            <v>Halton</v>
          </cell>
          <cell r="E21870" t="str">
            <v>Academy Sponsor Led</v>
          </cell>
          <cell r="F21870" t="str">
            <v>Secondary</v>
          </cell>
        </row>
        <row r="21871">
          <cell r="A21871">
            <v>8746906</v>
          </cell>
          <cell r="B21871">
            <v>135980</v>
          </cell>
          <cell r="C21871" t="str">
            <v>Ormiston Bushfield Academy</v>
          </cell>
          <cell r="D21871" t="str">
            <v>Peterborough</v>
          </cell>
          <cell r="E21871" t="str">
            <v>Academy Sponsor Led</v>
          </cell>
          <cell r="F21871" t="str">
            <v>Secondary</v>
          </cell>
        </row>
        <row r="21872">
          <cell r="A21872">
            <v>9354006</v>
          </cell>
          <cell r="B21872">
            <v>137674</v>
          </cell>
          <cell r="C21872" t="str">
            <v>Ormiston Endeavour Academy</v>
          </cell>
          <cell r="D21872" t="str">
            <v>Suffolk</v>
          </cell>
          <cell r="E21872" t="str">
            <v>Academy Sponsor Led</v>
          </cell>
          <cell r="F21872" t="str">
            <v>Secondary</v>
          </cell>
        </row>
        <row r="21873">
          <cell r="A21873">
            <v>8304002</v>
          </cell>
          <cell r="B21873">
            <v>137109</v>
          </cell>
          <cell r="C21873" t="str">
            <v>Ormiston Enterprise Academy</v>
          </cell>
          <cell r="D21873" t="str">
            <v>Derbyshire</v>
          </cell>
          <cell r="E21873" t="str">
            <v>Academy Sponsor Led</v>
          </cell>
          <cell r="F21873" t="str">
            <v>Secondary</v>
          </cell>
        </row>
        <row r="21874">
          <cell r="A21874">
            <v>3334000</v>
          </cell>
          <cell r="B21874">
            <v>137673</v>
          </cell>
          <cell r="C21874" t="str">
            <v>Ormiston Forge Academy</v>
          </cell>
          <cell r="D21874" t="str">
            <v>Sandwell</v>
          </cell>
          <cell r="E21874" t="str">
            <v>Academy Sponsor Led</v>
          </cell>
          <cell r="F21874" t="str">
            <v>Secondary</v>
          </cell>
        </row>
        <row r="21875">
          <cell r="A21875">
            <v>8614712</v>
          </cell>
          <cell r="B21875">
            <v>136680</v>
          </cell>
          <cell r="C21875" t="str">
            <v>Ormiston Horizon Academy</v>
          </cell>
          <cell r="D21875" t="str">
            <v>Stoke-on-Trent</v>
          </cell>
          <cell r="E21875" t="str">
            <v>Academy Sponsor Led</v>
          </cell>
          <cell r="F21875" t="str">
            <v>Secondary</v>
          </cell>
        </row>
        <row r="21876">
          <cell r="A21876">
            <v>8124009</v>
          </cell>
          <cell r="B21876">
            <v>137196</v>
          </cell>
          <cell r="C21876" t="str">
            <v>Ormiston Maritime Academy</v>
          </cell>
          <cell r="D21876" t="str">
            <v>North East Lincolnshire</v>
          </cell>
          <cell r="E21876" t="str">
            <v>Academy Converters</v>
          </cell>
          <cell r="F21876" t="str">
            <v>Secondary</v>
          </cell>
        </row>
        <row r="21877">
          <cell r="A21877">
            <v>8836906</v>
          </cell>
          <cell r="B21877">
            <v>135960</v>
          </cell>
          <cell r="C21877" t="str">
            <v>Ormiston Park Academy</v>
          </cell>
          <cell r="D21877" t="str">
            <v>Thurrock</v>
          </cell>
          <cell r="E21877" t="str">
            <v>Academy Sponsor Led</v>
          </cell>
          <cell r="F21877" t="str">
            <v>Secondary</v>
          </cell>
        </row>
        <row r="21878">
          <cell r="A21878">
            <v>8814004</v>
          </cell>
          <cell r="B21878">
            <v>137152</v>
          </cell>
          <cell r="C21878" t="str">
            <v>Ormiston Rivers Academy</v>
          </cell>
          <cell r="D21878" t="str">
            <v>Essex</v>
          </cell>
          <cell r="E21878" t="str">
            <v>Academy Sponsor Led</v>
          </cell>
          <cell r="F21878" t="str">
            <v>Secondary</v>
          </cell>
        </row>
        <row r="21879">
          <cell r="A21879">
            <v>3336910</v>
          </cell>
          <cell r="B21879">
            <v>135979</v>
          </cell>
          <cell r="C21879" t="str">
            <v>Ormiston Sandwell Community Academy</v>
          </cell>
          <cell r="D21879" t="str">
            <v>Sandwell</v>
          </cell>
          <cell r="E21879" t="str">
            <v>Academy Sponsor Led</v>
          </cell>
          <cell r="F21879" t="str">
            <v>Secondary</v>
          </cell>
        </row>
        <row r="21880">
          <cell r="A21880">
            <v>8616906</v>
          </cell>
          <cell r="B21880">
            <v>136145</v>
          </cell>
          <cell r="C21880" t="str">
            <v>Ormiston Sir Stanley Matthews Academy</v>
          </cell>
          <cell r="D21880" t="str">
            <v>Stoke-on-Trent</v>
          </cell>
          <cell r="E21880" t="str">
            <v>Academy Sponsor Led</v>
          </cell>
          <cell r="F21880" t="str">
            <v>Secondary</v>
          </cell>
        </row>
        <row r="21881">
          <cell r="A21881">
            <v>9266908</v>
          </cell>
          <cell r="B21881">
            <v>136187</v>
          </cell>
          <cell r="C21881" t="str">
            <v>Ormiston Venture Academy</v>
          </cell>
          <cell r="D21881" t="str">
            <v>Norfolk</v>
          </cell>
          <cell r="E21881" t="str">
            <v>Academy Sponsor Led</v>
          </cell>
          <cell r="F21881" t="str">
            <v>Secondary</v>
          </cell>
        </row>
        <row r="21882">
          <cell r="A21882">
            <v>9266907</v>
          </cell>
          <cell r="B21882">
            <v>136186</v>
          </cell>
          <cell r="C21882" t="str">
            <v>Ormiston Victory Academy</v>
          </cell>
          <cell r="D21882" t="str">
            <v>Norfolk</v>
          </cell>
          <cell r="E21882" t="str">
            <v>Academy Sponsor Led</v>
          </cell>
          <cell r="F21882" t="str">
            <v>Secondary</v>
          </cell>
        </row>
        <row r="21883">
          <cell r="A21883">
            <v>9092505</v>
          </cell>
          <cell r="B21883">
            <v>112202</v>
          </cell>
          <cell r="C21883" t="str">
            <v>Ormsgill Infant School</v>
          </cell>
          <cell r="D21883" t="str">
            <v>Cumbria</v>
          </cell>
          <cell r="E21883" t="str">
            <v>Community School</v>
          </cell>
          <cell r="F21883" t="str">
            <v>Primary</v>
          </cell>
        </row>
        <row r="21884">
          <cell r="A21884">
            <v>9092506</v>
          </cell>
          <cell r="B21884">
            <v>112203</v>
          </cell>
          <cell r="C21884" t="str">
            <v>Ormsgill Junior School</v>
          </cell>
          <cell r="D21884" t="str">
            <v>Cumbria</v>
          </cell>
          <cell r="E21884" t="str">
            <v>Community School</v>
          </cell>
          <cell r="F21884" t="str">
            <v>Primary</v>
          </cell>
        </row>
        <row r="21885">
          <cell r="A21885">
            <v>9092715</v>
          </cell>
          <cell r="B21885">
            <v>131761</v>
          </cell>
          <cell r="C21885" t="str">
            <v>Ormsgill Primary School</v>
          </cell>
          <cell r="D21885" t="str">
            <v>Cumbria</v>
          </cell>
          <cell r="E21885" t="str">
            <v>Community School</v>
          </cell>
          <cell r="F21885" t="str">
            <v>Primary</v>
          </cell>
        </row>
        <row r="21886">
          <cell r="A21886">
            <v>8882597</v>
          </cell>
          <cell r="B21886">
            <v>119314</v>
          </cell>
          <cell r="C21886" t="str">
            <v>Ormskirk Asmall Primary School</v>
          </cell>
          <cell r="D21886" t="str">
            <v>Lancashire</v>
          </cell>
          <cell r="E21886" t="str">
            <v>Community School</v>
          </cell>
          <cell r="F21886" t="str">
            <v>Primary</v>
          </cell>
        </row>
        <row r="21887">
          <cell r="A21887">
            <v>8883031</v>
          </cell>
          <cell r="B21887">
            <v>119372</v>
          </cell>
          <cell r="C21887" t="str">
            <v>Ormskirk Church of England Primary School</v>
          </cell>
          <cell r="D21887" t="str">
            <v>Lancashire</v>
          </cell>
          <cell r="E21887" t="str">
            <v>Voluntary Controlled School</v>
          </cell>
          <cell r="F21887" t="str">
            <v>Primary</v>
          </cell>
        </row>
        <row r="21888">
          <cell r="A21888">
            <v>8884038</v>
          </cell>
          <cell r="B21888">
            <v>119724</v>
          </cell>
          <cell r="C21888" t="str">
            <v>Ormskirk Cross Hall High School</v>
          </cell>
          <cell r="D21888" t="str">
            <v>Lancashire</v>
          </cell>
          <cell r="E21888" t="str">
            <v>Community School</v>
          </cell>
          <cell r="F21888" t="str">
            <v>Secondary</v>
          </cell>
        </row>
        <row r="21889">
          <cell r="A21889">
            <v>8884582</v>
          </cell>
          <cell r="B21889">
            <v>119777</v>
          </cell>
          <cell r="C21889" t="str">
            <v>Ormskirk Grammar School</v>
          </cell>
          <cell r="D21889" t="str">
            <v>Lancashire</v>
          </cell>
          <cell r="E21889" t="str">
            <v>Voluntary Controlled School</v>
          </cell>
          <cell r="F21889" t="str">
            <v>Secondary</v>
          </cell>
        </row>
        <row r="21890">
          <cell r="A21890">
            <v>8883029</v>
          </cell>
          <cell r="B21890">
            <v>119371</v>
          </cell>
          <cell r="C21890" t="str">
            <v>Ormskirk Lathom Park Church of England Primary School</v>
          </cell>
          <cell r="D21890" t="str">
            <v>Lancashire</v>
          </cell>
          <cell r="E21890" t="str">
            <v>Voluntary Controlled School</v>
          </cell>
          <cell r="F21890" t="str">
            <v>Primary</v>
          </cell>
        </row>
        <row r="21891">
          <cell r="A21891">
            <v>9237101</v>
          </cell>
          <cell r="B21891">
            <v>119896</v>
          </cell>
          <cell r="C21891" t="str">
            <v>Ormskirk Parkside Special School</v>
          </cell>
          <cell r="D21891" t="str">
            <v>Pre LGR (1998) Lancashire</v>
          </cell>
          <cell r="E21891" t="str">
            <v>Community Special School</v>
          </cell>
          <cell r="F21891" t="str">
            <v>Special</v>
          </cell>
        </row>
        <row r="21892">
          <cell r="A21892">
            <v>8884412</v>
          </cell>
          <cell r="B21892">
            <v>132834</v>
          </cell>
          <cell r="C21892" t="str">
            <v>Ormskirk School</v>
          </cell>
          <cell r="D21892" t="str">
            <v>Lancashire</v>
          </cell>
          <cell r="E21892" t="str">
            <v>Voluntary Controlled School</v>
          </cell>
          <cell r="F21892" t="str">
            <v>Secondary</v>
          </cell>
        </row>
        <row r="21893">
          <cell r="A21893">
            <v>8883801</v>
          </cell>
          <cell r="B21893">
            <v>119682</v>
          </cell>
          <cell r="C21893" t="str">
            <v>Ormskirk St Anne's Catholic Primary School</v>
          </cell>
          <cell r="D21893" t="str">
            <v>Lancashire</v>
          </cell>
          <cell r="E21893" t="str">
            <v>Voluntary Aided School</v>
          </cell>
          <cell r="F21893" t="str">
            <v>Primary</v>
          </cell>
        </row>
        <row r="21894">
          <cell r="A21894">
            <v>8882415</v>
          </cell>
          <cell r="B21894">
            <v>119282</v>
          </cell>
          <cell r="C21894" t="str">
            <v>Ormskirk West End Primary School</v>
          </cell>
          <cell r="D21894" t="str">
            <v>Lancashire</v>
          </cell>
          <cell r="E21894" t="str">
            <v>Community School</v>
          </cell>
          <cell r="F21894" t="str">
            <v>Primary</v>
          </cell>
        </row>
        <row r="21895">
          <cell r="A21895">
            <v>9367904</v>
          </cell>
          <cell r="B21895">
            <v>131950</v>
          </cell>
          <cell r="C21895" t="str">
            <v>Orpheus Centre</v>
          </cell>
          <cell r="D21895" t="str">
            <v>Surrey</v>
          </cell>
          <cell r="E21895" t="str">
            <v>Special College</v>
          </cell>
          <cell r="F21895" t="str">
            <v>16 Plus</v>
          </cell>
        </row>
        <row r="21896">
          <cell r="A21896">
            <v>3058001</v>
          </cell>
          <cell r="B21896">
            <v>130431</v>
          </cell>
          <cell r="C21896" t="str">
            <v>Orpington College of Further Education</v>
          </cell>
          <cell r="D21896" t="str">
            <v>Bromley</v>
          </cell>
          <cell r="E21896" t="str">
            <v>Further Education</v>
          </cell>
          <cell r="F21896" t="str">
            <v>16 Plus</v>
          </cell>
        </row>
        <row r="21897">
          <cell r="A21897">
            <v>3592023</v>
          </cell>
          <cell r="B21897">
            <v>106409</v>
          </cell>
          <cell r="C21897" t="str">
            <v>Orrell Holgate Primary School</v>
          </cell>
          <cell r="D21897" t="str">
            <v>Wigan</v>
          </cell>
          <cell r="E21897" t="str">
            <v>Community School</v>
          </cell>
          <cell r="F21897" t="str">
            <v>Primary</v>
          </cell>
        </row>
        <row r="21898">
          <cell r="A21898">
            <v>3592064</v>
          </cell>
          <cell r="B21898">
            <v>130385</v>
          </cell>
          <cell r="C21898" t="str">
            <v>Orrell Lamberhead Green Community Primary School</v>
          </cell>
          <cell r="D21898" t="str">
            <v>Wigan</v>
          </cell>
          <cell r="E21898" t="str">
            <v>Community School</v>
          </cell>
          <cell r="F21898" t="str">
            <v>Primary</v>
          </cell>
        </row>
        <row r="21899">
          <cell r="A21899">
            <v>3592026</v>
          </cell>
          <cell r="B21899">
            <v>106412</v>
          </cell>
          <cell r="C21899" t="str">
            <v>Orrell Newfold Community Primary School</v>
          </cell>
          <cell r="D21899" t="str">
            <v>Wigan</v>
          </cell>
          <cell r="E21899" t="str">
            <v>Community School</v>
          </cell>
          <cell r="F21899" t="str">
            <v>Primary</v>
          </cell>
        </row>
        <row r="21900">
          <cell r="A21900">
            <v>3432005</v>
          </cell>
          <cell r="B21900">
            <v>104852</v>
          </cell>
          <cell r="C21900" t="str">
            <v>Orrell Primary School</v>
          </cell>
          <cell r="D21900" t="str">
            <v>Sefton</v>
          </cell>
          <cell r="E21900" t="str">
            <v>Community School</v>
          </cell>
          <cell r="F21900" t="str">
            <v>Primary</v>
          </cell>
        </row>
        <row r="21901">
          <cell r="A21901">
            <v>3426005</v>
          </cell>
          <cell r="B21901">
            <v>127359</v>
          </cell>
          <cell r="C21901" t="str">
            <v>Orrell School</v>
          </cell>
          <cell r="D21901" t="str">
            <v>St. Helens</v>
          </cell>
          <cell r="E21901" t="str">
            <v>Other Independent School</v>
          </cell>
          <cell r="F21901" t="str">
            <v>Not applicable</v>
          </cell>
        </row>
        <row r="21902">
          <cell r="A21902">
            <v>3447020</v>
          </cell>
          <cell r="B21902">
            <v>105140</v>
          </cell>
          <cell r="C21902" t="str">
            <v>Orrets Meadow School</v>
          </cell>
          <cell r="D21902" t="str">
            <v>Wirral</v>
          </cell>
          <cell r="E21902" t="str">
            <v>Community Special School</v>
          </cell>
          <cell r="F21902" t="str">
            <v>Special</v>
          </cell>
        </row>
        <row r="21903">
          <cell r="A21903">
            <v>3562073</v>
          </cell>
          <cell r="B21903">
            <v>106069</v>
          </cell>
          <cell r="C21903" t="str">
            <v>Orrishmere Primary School</v>
          </cell>
          <cell r="D21903" t="str">
            <v>Stockport</v>
          </cell>
          <cell r="E21903" t="str">
            <v>Community School</v>
          </cell>
          <cell r="F21903" t="str">
            <v>Primary</v>
          </cell>
        </row>
        <row r="21904">
          <cell r="A21904">
            <v>8833502</v>
          </cell>
          <cell r="B21904">
            <v>115171</v>
          </cell>
          <cell r="C21904" t="str">
            <v>Orsett Church of England Voluntary Aided Primary School</v>
          </cell>
          <cell r="D21904" t="str">
            <v>Thurrock</v>
          </cell>
          <cell r="E21904" t="str">
            <v>Voluntary Aided School</v>
          </cell>
          <cell r="F21904" t="str">
            <v>Primary</v>
          </cell>
        </row>
        <row r="21905">
          <cell r="A21905">
            <v>8912806</v>
          </cell>
          <cell r="B21905">
            <v>122668</v>
          </cell>
          <cell r="C21905" t="str">
            <v>Orston Primary School</v>
          </cell>
          <cell r="D21905" t="str">
            <v>Nottinghamshire</v>
          </cell>
          <cell r="E21905" t="str">
            <v>Community School</v>
          </cell>
          <cell r="F21905" t="str">
            <v>Primary</v>
          </cell>
        </row>
        <row r="21906">
          <cell r="A21906">
            <v>9095217</v>
          </cell>
          <cell r="B21906">
            <v>112419</v>
          </cell>
          <cell r="C21906" t="str">
            <v>Orton CofE School</v>
          </cell>
          <cell r="D21906" t="str">
            <v>Cumbria</v>
          </cell>
          <cell r="E21906" t="str">
            <v>Voluntary Aided School</v>
          </cell>
          <cell r="F21906" t="str">
            <v>Primary</v>
          </cell>
        </row>
        <row r="21907">
          <cell r="A21907">
            <v>8744901</v>
          </cell>
          <cell r="B21907">
            <v>133202</v>
          </cell>
          <cell r="C21907" t="str">
            <v>Orton Community Sixth Form</v>
          </cell>
          <cell r="D21907" t="str">
            <v>Peterborough</v>
          </cell>
          <cell r="E21907" t="str">
            <v>Sixth Form Centres</v>
          </cell>
          <cell r="F21907" t="str">
            <v>16 Plus</v>
          </cell>
        </row>
        <row r="21908">
          <cell r="A21908">
            <v>9057011</v>
          </cell>
          <cell r="B21908">
            <v>128391</v>
          </cell>
          <cell r="C21908" t="str">
            <v>Orton Hall School</v>
          </cell>
          <cell r="D21908" t="str">
            <v>Pre LGR (1998) Cambridgeshire</v>
          </cell>
          <cell r="E21908" t="str">
            <v>Community Special School</v>
          </cell>
          <cell r="F21908" t="str">
            <v>Special</v>
          </cell>
        </row>
        <row r="21909">
          <cell r="A21909">
            <v>8745414</v>
          </cell>
          <cell r="B21909">
            <v>110908</v>
          </cell>
          <cell r="C21909" t="str">
            <v>Orton Longueville School</v>
          </cell>
          <cell r="D21909" t="str">
            <v>Peterborough</v>
          </cell>
          <cell r="E21909" t="str">
            <v>Foundation School</v>
          </cell>
          <cell r="F21909" t="str">
            <v>Secondary</v>
          </cell>
        </row>
        <row r="21910">
          <cell r="A21910">
            <v>8745205</v>
          </cell>
          <cell r="B21910">
            <v>110893</v>
          </cell>
          <cell r="C21910" t="str">
            <v>Orton Wistow Primary School</v>
          </cell>
          <cell r="D21910" t="str">
            <v>Peterborough</v>
          </cell>
          <cell r="E21910" t="str">
            <v>Foundation School</v>
          </cell>
          <cell r="F21910" t="str">
            <v>Primary</v>
          </cell>
        </row>
        <row r="21911">
          <cell r="A21911">
            <v>3582036</v>
          </cell>
          <cell r="B21911">
            <v>106311</v>
          </cell>
          <cell r="C21911" t="str">
            <v>Ortonbrook Primary School</v>
          </cell>
          <cell r="D21911" t="str">
            <v>Trafford</v>
          </cell>
          <cell r="E21911" t="str">
            <v>Community School</v>
          </cell>
          <cell r="F21911" t="str">
            <v>Primary</v>
          </cell>
        </row>
        <row r="21912">
          <cell r="A21912">
            <v>9354038</v>
          </cell>
          <cell r="B21912">
            <v>124812</v>
          </cell>
          <cell r="C21912" t="str">
            <v>Orwell High School</v>
          </cell>
          <cell r="D21912" t="str">
            <v>Suffolk</v>
          </cell>
          <cell r="E21912" t="str">
            <v>Foundation School</v>
          </cell>
          <cell r="F21912" t="str">
            <v>Secondary</v>
          </cell>
        </row>
        <row r="21913">
          <cell r="A21913">
            <v>9352164</v>
          </cell>
          <cell r="B21913">
            <v>124652</v>
          </cell>
          <cell r="C21913" t="str">
            <v>Orwell Junior School</v>
          </cell>
          <cell r="D21913" t="str">
            <v>Suffolk</v>
          </cell>
          <cell r="E21913" t="str">
            <v>Community School</v>
          </cell>
          <cell r="F21913" t="str">
            <v>Primary</v>
          </cell>
        </row>
        <row r="21914">
          <cell r="A21914">
            <v>9356005</v>
          </cell>
          <cell r="B21914">
            <v>124866</v>
          </cell>
          <cell r="C21914" t="str">
            <v>Orwell Park School</v>
          </cell>
          <cell r="D21914" t="str">
            <v>Suffolk</v>
          </cell>
          <cell r="E21914" t="str">
            <v>Other Independent School</v>
          </cell>
          <cell r="F21914" t="str">
            <v>Not applicable</v>
          </cell>
        </row>
        <row r="21915">
          <cell r="A21915">
            <v>7046009</v>
          </cell>
          <cell r="B21915">
            <v>132591</v>
          </cell>
          <cell r="C21915" t="str">
            <v>OSA School</v>
          </cell>
          <cell r="D21915" t="str">
            <v>Fieldwork Overseas Establishments</v>
          </cell>
          <cell r="E21915" t="str">
            <v>Service Childrens Education</v>
          </cell>
          <cell r="F21915" t="str">
            <v>Not applicable</v>
          </cell>
        </row>
        <row r="21916">
          <cell r="A21916">
            <v>8162176</v>
          </cell>
          <cell r="B21916">
            <v>121339</v>
          </cell>
          <cell r="C21916" t="str">
            <v>Osbaldwick Primary School</v>
          </cell>
          <cell r="D21916" t="str">
            <v>York</v>
          </cell>
          <cell r="E21916" t="str">
            <v>Community School</v>
          </cell>
          <cell r="F21916" t="str">
            <v>Primary</v>
          </cell>
        </row>
        <row r="21917">
          <cell r="A21917">
            <v>6793030</v>
          </cell>
          <cell r="B21917">
            <v>401497</v>
          </cell>
          <cell r="C21917" t="str">
            <v>Osbaston C.V.Junior School</v>
          </cell>
          <cell r="D21917" t="str">
            <v>Monmouthshire</v>
          </cell>
          <cell r="E21917" t="str">
            <v>Welsh Establishment</v>
          </cell>
          <cell r="F21917" t="str">
            <v>Primary</v>
          </cell>
        </row>
        <row r="21918">
          <cell r="A21918">
            <v>6792148</v>
          </cell>
          <cell r="B21918">
            <v>401467</v>
          </cell>
          <cell r="C21918" t="str">
            <v>Osbaston Infants School</v>
          </cell>
          <cell r="D21918" t="str">
            <v>Monmouthshire</v>
          </cell>
          <cell r="E21918" t="str">
            <v>Welsh Establishment</v>
          </cell>
          <cell r="F21918" t="str">
            <v>Primary</v>
          </cell>
        </row>
        <row r="21919">
          <cell r="A21919">
            <v>6793032</v>
          </cell>
          <cell r="B21919">
            <v>402094</v>
          </cell>
          <cell r="C21919" t="str">
            <v>Osbaston V.C. Primary</v>
          </cell>
          <cell r="D21919" t="str">
            <v>Monmouthshire</v>
          </cell>
          <cell r="E21919" t="str">
            <v>Welsh Establishment</v>
          </cell>
          <cell r="F21919" t="str">
            <v>Primary</v>
          </cell>
        </row>
        <row r="21920">
          <cell r="A21920">
            <v>9214023</v>
          </cell>
          <cell r="B21920">
            <v>118213</v>
          </cell>
          <cell r="C21920" t="str">
            <v>Osborne Middle School</v>
          </cell>
          <cell r="D21920" t="str">
            <v>Isle of Wight</v>
          </cell>
          <cell r="E21920" t="str">
            <v>Community School</v>
          </cell>
          <cell r="F21920" t="str">
            <v>Middle Deemed Secondary</v>
          </cell>
        </row>
        <row r="21921">
          <cell r="A21921">
            <v>3301049</v>
          </cell>
          <cell r="B21921">
            <v>103145</v>
          </cell>
          <cell r="C21921" t="str">
            <v>Osborne Nursery School</v>
          </cell>
          <cell r="D21921" t="str">
            <v>Birmingham</v>
          </cell>
          <cell r="E21921" t="str">
            <v>LA Nursery School</v>
          </cell>
          <cell r="F21921" t="str">
            <v>Nursery</v>
          </cell>
        </row>
        <row r="21922">
          <cell r="A21922">
            <v>3302436</v>
          </cell>
          <cell r="B21922">
            <v>103363</v>
          </cell>
          <cell r="C21922" t="str">
            <v>Osborne Primary School</v>
          </cell>
          <cell r="D21922" t="str">
            <v>Birmingham</v>
          </cell>
          <cell r="E21922" t="str">
            <v>Community School</v>
          </cell>
          <cell r="F21922" t="str">
            <v>Primary</v>
          </cell>
        </row>
        <row r="21923">
          <cell r="A21923">
            <v>8505950</v>
          </cell>
          <cell r="B21923">
            <v>116511</v>
          </cell>
          <cell r="C21923" t="str">
            <v>Osborne School</v>
          </cell>
          <cell r="D21923" t="str">
            <v>Hampshire</v>
          </cell>
          <cell r="E21923" t="str">
            <v>Community Special School</v>
          </cell>
          <cell r="F21923" t="str">
            <v>Special</v>
          </cell>
        </row>
        <row r="21924">
          <cell r="A21924">
            <v>9252034</v>
          </cell>
          <cell r="B21924">
            <v>120386</v>
          </cell>
          <cell r="C21924" t="str">
            <v>Osbournby Primary School</v>
          </cell>
          <cell r="D21924" t="str">
            <v>Lincolnshire</v>
          </cell>
          <cell r="E21924" t="str">
            <v>Community School</v>
          </cell>
          <cell r="F21924" t="str">
            <v>Primary</v>
          </cell>
        </row>
        <row r="21925">
          <cell r="A21925">
            <v>3307053</v>
          </cell>
          <cell r="B21925">
            <v>103628</v>
          </cell>
          <cell r="C21925" t="str">
            <v>Oscott Manor School</v>
          </cell>
          <cell r="D21925" t="str">
            <v>Birmingham</v>
          </cell>
          <cell r="E21925" t="str">
            <v>Community Special School</v>
          </cell>
          <cell r="F21925" t="str">
            <v>Special</v>
          </cell>
        </row>
        <row r="21926">
          <cell r="A21926">
            <v>9252185</v>
          </cell>
          <cell r="B21926">
            <v>120471</v>
          </cell>
          <cell r="C21926" t="str">
            <v>Osgodby Primary School</v>
          </cell>
          <cell r="D21926" t="str">
            <v>Lincolnshire</v>
          </cell>
          <cell r="E21926" t="str">
            <v>Community School</v>
          </cell>
          <cell r="F21926" t="str">
            <v>Primary</v>
          </cell>
        </row>
        <row r="21927">
          <cell r="A21927">
            <v>8786041</v>
          </cell>
          <cell r="B21927">
            <v>113618</v>
          </cell>
          <cell r="C21927" t="str">
            <v>Osho Ko Hsuan School</v>
          </cell>
          <cell r="D21927" t="str">
            <v>Devon</v>
          </cell>
          <cell r="E21927" t="str">
            <v>Other Independent School</v>
          </cell>
          <cell r="F21927" t="str">
            <v>Not applicable</v>
          </cell>
        </row>
        <row r="21928">
          <cell r="A21928">
            <v>3025201</v>
          </cell>
          <cell r="B21928">
            <v>101356</v>
          </cell>
          <cell r="C21928" t="str">
            <v>Osidge Primary School</v>
          </cell>
          <cell r="D21928" t="str">
            <v>Barnet</v>
          </cell>
          <cell r="E21928" t="str">
            <v>Foundation School</v>
          </cell>
          <cell r="F21928" t="str">
            <v>Primary</v>
          </cell>
        </row>
        <row r="21929">
          <cell r="A21929">
            <v>2112908</v>
          </cell>
          <cell r="B21929">
            <v>100934</v>
          </cell>
          <cell r="C21929" t="str">
            <v>Osmani Primary School</v>
          </cell>
          <cell r="D21929" t="str">
            <v>Tower Hamlets</v>
          </cell>
          <cell r="E21929" t="str">
            <v>Community School</v>
          </cell>
          <cell r="F21929" t="str">
            <v>Primary</v>
          </cell>
        </row>
        <row r="21930">
          <cell r="A21930">
            <v>3834013</v>
          </cell>
          <cell r="B21930">
            <v>127959</v>
          </cell>
          <cell r="C21930" t="str">
            <v>Osmanthorpe Middle School</v>
          </cell>
          <cell r="D21930" t="str">
            <v>Leeds</v>
          </cell>
          <cell r="E21930" t="str">
            <v>Community School</v>
          </cell>
          <cell r="F21930" t="str">
            <v>Middle Deemed Secondary</v>
          </cell>
        </row>
        <row r="21931">
          <cell r="A21931">
            <v>8303077</v>
          </cell>
          <cell r="B21931">
            <v>112847</v>
          </cell>
          <cell r="C21931" t="str">
            <v>Osmaston CofE (VC) Primary School</v>
          </cell>
          <cell r="D21931" t="str">
            <v>Derbyshire</v>
          </cell>
          <cell r="E21931" t="str">
            <v>Voluntary Controlled School</v>
          </cell>
          <cell r="F21931" t="str">
            <v>Primary</v>
          </cell>
        </row>
        <row r="21932">
          <cell r="A21932">
            <v>8312420</v>
          </cell>
          <cell r="B21932">
            <v>112725</v>
          </cell>
          <cell r="C21932" t="str">
            <v>Osmaston Primary School</v>
          </cell>
          <cell r="D21932" t="str">
            <v>Derby</v>
          </cell>
          <cell r="E21932" t="str">
            <v>Community School</v>
          </cell>
          <cell r="F21932" t="str">
            <v>Primary</v>
          </cell>
        </row>
        <row r="21933">
          <cell r="A21933">
            <v>3832256</v>
          </cell>
          <cell r="B21933">
            <v>127876</v>
          </cell>
          <cell r="C21933" t="str">
            <v>Osmondthorpe First School</v>
          </cell>
          <cell r="D21933" t="str">
            <v>Leeds</v>
          </cell>
          <cell r="E21933" t="str">
            <v>Community School</v>
          </cell>
          <cell r="F21933" t="str">
            <v>Primary</v>
          </cell>
        </row>
        <row r="21934">
          <cell r="A21934">
            <v>3832460</v>
          </cell>
          <cell r="B21934">
            <v>107936</v>
          </cell>
          <cell r="C21934" t="str">
            <v>Osmondthorpe Primary School</v>
          </cell>
          <cell r="D21934" t="str">
            <v>Leeds</v>
          </cell>
          <cell r="E21934" t="str">
            <v>Community School</v>
          </cell>
          <cell r="F21934" t="str">
            <v>Primary</v>
          </cell>
        </row>
        <row r="21935">
          <cell r="A21935">
            <v>8152083</v>
          </cell>
          <cell r="B21935">
            <v>121310</v>
          </cell>
          <cell r="C21935" t="str">
            <v>Osmotherley Primary School</v>
          </cell>
          <cell r="D21935" t="str">
            <v>North Yorkshire</v>
          </cell>
          <cell r="E21935" t="str">
            <v>Community School</v>
          </cell>
          <cell r="F21935" t="str">
            <v>Primary</v>
          </cell>
        </row>
        <row r="21936">
          <cell r="A21936">
            <v>8863108</v>
          </cell>
          <cell r="B21936">
            <v>118646</v>
          </cell>
          <cell r="C21936" t="str">
            <v>Ospringe Church of England Primary School</v>
          </cell>
          <cell r="D21936" t="str">
            <v>Kent</v>
          </cell>
          <cell r="E21936" t="str">
            <v>Voluntary Controlled School</v>
          </cell>
          <cell r="F21936" t="str">
            <v>Primary</v>
          </cell>
        </row>
        <row r="21937">
          <cell r="A21937">
            <v>3844023</v>
          </cell>
          <cell r="B21937">
            <v>136462</v>
          </cell>
          <cell r="C21937" t="str">
            <v>Ossett Academy and Sixth Form College</v>
          </cell>
          <cell r="D21937" t="str">
            <v>Wakefield</v>
          </cell>
          <cell r="E21937" t="str">
            <v>Academy Converters</v>
          </cell>
          <cell r="F21937" t="str">
            <v>Secondary</v>
          </cell>
        </row>
        <row r="21938">
          <cell r="A21938">
            <v>3842060</v>
          </cell>
          <cell r="B21938">
            <v>108152</v>
          </cell>
          <cell r="C21938" t="str">
            <v>Ossett Flushdyke Junior and Infant School</v>
          </cell>
          <cell r="D21938" t="str">
            <v>Wakefield</v>
          </cell>
          <cell r="E21938" t="str">
            <v>Foundation School</v>
          </cell>
          <cell r="F21938" t="str">
            <v>Primary</v>
          </cell>
        </row>
        <row r="21939">
          <cell r="A21939">
            <v>3843319</v>
          </cell>
          <cell r="B21939">
            <v>108260</v>
          </cell>
          <cell r="C21939" t="str">
            <v>Ossett Holy Trinity CofE VA Primary School</v>
          </cell>
          <cell r="D21939" t="str">
            <v>Wakefield</v>
          </cell>
          <cell r="E21939" t="str">
            <v>Voluntary Aided School</v>
          </cell>
          <cell r="F21939" t="str">
            <v>Primary</v>
          </cell>
        </row>
        <row r="21940">
          <cell r="A21940">
            <v>3844023</v>
          </cell>
          <cell r="B21940">
            <v>108276</v>
          </cell>
          <cell r="C21940" t="str">
            <v>Ossett School</v>
          </cell>
          <cell r="D21940" t="str">
            <v>Wakefield</v>
          </cell>
          <cell r="E21940" t="str">
            <v>Foundation School</v>
          </cell>
          <cell r="F21940" t="str">
            <v>Secondary</v>
          </cell>
        </row>
        <row r="21941">
          <cell r="A21941">
            <v>3842110</v>
          </cell>
          <cell r="B21941">
            <v>108184</v>
          </cell>
          <cell r="C21941" t="str">
            <v>Ossett South Parade Infant School</v>
          </cell>
          <cell r="D21941" t="str">
            <v>Wakefield</v>
          </cell>
          <cell r="E21941" t="str">
            <v>Community School</v>
          </cell>
          <cell r="F21941" t="str">
            <v>Primary</v>
          </cell>
        </row>
        <row r="21942">
          <cell r="A21942">
            <v>3842114</v>
          </cell>
          <cell r="B21942">
            <v>108187</v>
          </cell>
          <cell r="C21942" t="str">
            <v>Ossett South Parade Junior School</v>
          </cell>
          <cell r="D21942" t="str">
            <v>Wakefield</v>
          </cell>
          <cell r="E21942" t="str">
            <v>Community School</v>
          </cell>
          <cell r="F21942" t="str">
            <v>Primary</v>
          </cell>
        </row>
        <row r="21943">
          <cell r="A21943">
            <v>3843341</v>
          </cell>
          <cell r="B21943">
            <v>134376</v>
          </cell>
          <cell r="C21943" t="str">
            <v>Ossett South Parade Primary</v>
          </cell>
          <cell r="D21943" t="str">
            <v>Wakefield</v>
          </cell>
          <cell r="E21943" t="str">
            <v>Community School</v>
          </cell>
          <cell r="F21943" t="str">
            <v>Primary</v>
          </cell>
        </row>
        <row r="21944">
          <cell r="A21944">
            <v>3843010</v>
          </cell>
          <cell r="B21944">
            <v>108246</v>
          </cell>
          <cell r="C21944" t="str">
            <v>Ossett Southdale Church of England Voluntary Controlled Junior School</v>
          </cell>
          <cell r="D21944" t="str">
            <v>Wakefield</v>
          </cell>
          <cell r="E21944" t="str">
            <v>Voluntary Controlled School</v>
          </cell>
          <cell r="F21944" t="str">
            <v>Primary</v>
          </cell>
        </row>
        <row r="21945">
          <cell r="A21945">
            <v>3814005</v>
          </cell>
          <cell r="B21945">
            <v>127766</v>
          </cell>
          <cell r="C21945" t="str">
            <v>Ostler School</v>
          </cell>
          <cell r="D21945" t="str">
            <v>Calderdale</v>
          </cell>
          <cell r="E21945" t="str">
            <v>Community School</v>
          </cell>
          <cell r="F21945" t="str">
            <v>Secondary</v>
          </cell>
        </row>
        <row r="21946">
          <cell r="A21946">
            <v>3522203</v>
          </cell>
          <cell r="B21946">
            <v>105442</v>
          </cell>
          <cell r="C21946" t="str">
            <v>Oswald Road Infant School</v>
          </cell>
          <cell r="D21946" t="str">
            <v>Manchester</v>
          </cell>
          <cell r="E21946" t="str">
            <v>Community School</v>
          </cell>
          <cell r="F21946" t="str">
            <v>Primary</v>
          </cell>
        </row>
        <row r="21947">
          <cell r="A21947">
            <v>3522202</v>
          </cell>
          <cell r="B21947">
            <v>105441</v>
          </cell>
          <cell r="C21947" t="str">
            <v>Oswald Road Junior School</v>
          </cell>
          <cell r="D21947" t="str">
            <v>Manchester</v>
          </cell>
          <cell r="E21947" t="str">
            <v>Community School</v>
          </cell>
          <cell r="F21947" t="str">
            <v>Primary</v>
          </cell>
        </row>
        <row r="21948">
          <cell r="A21948">
            <v>3522330</v>
          </cell>
          <cell r="B21948">
            <v>131030</v>
          </cell>
          <cell r="C21948" t="str">
            <v>Oswald Road Primary School</v>
          </cell>
          <cell r="D21948" t="str">
            <v>Manchester</v>
          </cell>
          <cell r="E21948" t="str">
            <v>Community School</v>
          </cell>
          <cell r="F21948" t="str">
            <v>Primary</v>
          </cell>
        </row>
        <row r="21949">
          <cell r="A21949">
            <v>8883134</v>
          </cell>
          <cell r="B21949">
            <v>119398</v>
          </cell>
          <cell r="C21949" t="str">
            <v>Oswaldtwistle Hippings Methodist Voluntary Controlled Primary School</v>
          </cell>
          <cell r="D21949" t="str">
            <v>Lancashire</v>
          </cell>
          <cell r="E21949" t="str">
            <v>Voluntary Controlled School</v>
          </cell>
          <cell r="F21949" t="str">
            <v>Primary</v>
          </cell>
        </row>
        <row r="21950">
          <cell r="A21950">
            <v>8882107</v>
          </cell>
          <cell r="B21950">
            <v>119187</v>
          </cell>
          <cell r="C21950" t="str">
            <v>Oswaldtwistle Moor End Primary School</v>
          </cell>
          <cell r="D21950" t="str">
            <v>Lancashire</v>
          </cell>
          <cell r="E21950" t="str">
            <v>Community School</v>
          </cell>
          <cell r="F21950" t="str">
            <v>Primary</v>
          </cell>
        </row>
        <row r="21951">
          <cell r="A21951">
            <v>8883195</v>
          </cell>
          <cell r="B21951">
            <v>119413</v>
          </cell>
          <cell r="C21951" t="str">
            <v>Oswaldtwistle St Andrew's Church of England Primary School</v>
          </cell>
          <cell r="D21951" t="str">
            <v>Lancashire</v>
          </cell>
          <cell r="E21951" t="str">
            <v>Voluntary Controlled School</v>
          </cell>
          <cell r="F21951" t="str">
            <v>Primary</v>
          </cell>
        </row>
        <row r="21952">
          <cell r="A21952">
            <v>8883355</v>
          </cell>
          <cell r="B21952">
            <v>119451</v>
          </cell>
          <cell r="C21952" t="str">
            <v>Oswaldtwistle St Paul's Church of England Voluntary Aided Primary School</v>
          </cell>
          <cell r="D21952" t="str">
            <v>Lancashire</v>
          </cell>
          <cell r="E21952" t="str">
            <v>Voluntary Aided School</v>
          </cell>
          <cell r="F21952" t="str">
            <v>Primary</v>
          </cell>
        </row>
        <row r="21953">
          <cell r="A21953">
            <v>8882108</v>
          </cell>
          <cell r="B21953">
            <v>119188</v>
          </cell>
          <cell r="C21953" t="str">
            <v>Oswaldtwistle West End Primary School</v>
          </cell>
          <cell r="D21953" t="str">
            <v>Lancashire</v>
          </cell>
          <cell r="E21953" t="str">
            <v>Community School</v>
          </cell>
          <cell r="F21953" t="str">
            <v>Primary</v>
          </cell>
        </row>
        <row r="21954">
          <cell r="A21954">
            <v>8887099</v>
          </cell>
          <cell r="B21954">
            <v>119894</v>
          </cell>
          <cell r="C21954" t="str">
            <v>Oswaldtwistle White Ash School</v>
          </cell>
          <cell r="D21954" t="str">
            <v>Lancashire</v>
          </cell>
          <cell r="E21954" t="str">
            <v>Community Special School</v>
          </cell>
          <cell r="F21954" t="str">
            <v>Special</v>
          </cell>
        </row>
        <row r="21955">
          <cell r="A21955">
            <v>8932076</v>
          </cell>
          <cell r="B21955">
            <v>123386</v>
          </cell>
          <cell r="C21955" t="str">
            <v>Oswestry Infant School</v>
          </cell>
          <cell r="D21955" t="str">
            <v>Shropshire</v>
          </cell>
          <cell r="E21955" t="str">
            <v>Community School</v>
          </cell>
          <cell r="F21955" t="str">
            <v>Primary</v>
          </cell>
        </row>
        <row r="21956">
          <cell r="A21956">
            <v>8936011</v>
          </cell>
          <cell r="B21956">
            <v>123613</v>
          </cell>
          <cell r="C21956" t="str">
            <v>Oswestry School</v>
          </cell>
          <cell r="D21956" t="str">
            <v>Shropshire</v>
          </cell>
          <cell r="E21956" t="str">
            <v>Other Independent School</v>
          </cell>
          <cell r="F21956" t="str">
            <v>Not applicable</v>
          </cell>
        </row>
        <row r="21957">
          <cell r="A21957">
            <v>8936004</v>
          </cell>
          <cell r="B21957">
            <v>123603</v>
          </cell>
          <cell r="C21957" t="str">
            <v>Oswestry School Bellan House</v>
          </cell>
          <cell r="D21957" t="str">
            <v>Shropshire</v>
          </cell>
          <cell r="E21957" t="str">
            <v>Other Independent School</v>
          </cell>
          <cell r="F21957" t="str">
            <v>Not applicable</v>
          </cell>
        </row>
        <row r="21958">
          <cell r="A21958">
            <v>8862138</v>
          </cell>
          <cell r="B21958">
            <v>118279</v>
          </cell>
          <cell r="C21958" t="str">
            <v>Otford Primary School</v>
          </cell>
          <cell r="D21958" t="str">
            <v>Kent</v>
          </cell>
          <cell r="E21958" t="str">
            <v>Community School</v>
          </cell>
          <cell r="F21958" t="str">
            <v>Primary</v>
          </cell>
        </row>
        <row r="21959">
          <cell r="A21959">
            <v>9332177</v>
          </cell>
          <cell r="B21959">
            <v>123691</v>
          </cell>
          <cell r="C21959" t="str">
            <v>Othery Village School</v>
          </cell>
          <cell r="D21959" t="str">
            <v>Somerset</v>
          </cell>
          <cell r="E21959" t="str">
            <v>Foundation School</v>
          </cell>
          <cell r="F21959" t="str">
            <v>Primary</v>
          </cell>
        </row>
        <row r="21960">
          <cell r="A21960">
            <v>3833049</v>
          </cell>
          <cell r="B21960">
            <v>107998</v>
          </cell>
          <cell r="C21960" t="str">
            <v>Otley All Saints' Church of England Voluntary Controlled Infant School</v>
          </cell>
          <cell r="D21960" t="str">
            <v>Leeds</v>
          </cell>
          <cell r="E21960" t="str">
            <v>Voluntary Controlled School</v>
          </cell>
          <cell r="F21960" t="str">
            <v>Primary</v>
          </cell>
        </row>
        <row r="21961">
          <cell r="A21961">
            <v>3833050</v>
          </cell>
          <cell r="B21961">
            <v>107999</v>
          </cell>
          <cell r="C21961" t="str">
            <v>Otley All Saints' Church of England Voluntary Controlled Junior School</v>
          </cell>
          <cell r="D21961" t="str">
            <v>Leeds</v>
          </cell>
          <cell r="E21961" t="str">
            <v>Voluntary Controlled School</v>
          </cell>
          <cell r="F21961" t="str">
            <v>Primary</v>
          </cell>
        </row>
        <row r="21962">
          <cell r="A21962">
            <v>9358351</v>
          </cell>
          <cell r="B21962">
            <v>130821</v>
          </cell>
          <cell r="C21962" t="str">
            <v>Otley College of Agriculture and Horticulture</v>
          </cell>
          <cell r="D21962" t="str">
            <v>Suffolk</v>
          </cell>
          <cell r="E21962" t="str">
            <v>Further Education</v>
          </cell>
          <cell r="F21962" t="str">
            <v>16 Plus</v>
          </cell>
        </row>
        <row r="21963">
          <cell r="A21963">
            <v>3832402</v>
          </cell>
          <cell r="B21963">
            <v>107878</v>
          </cell>
          <cell r="C21963" t="str">
            <v>Otley Newall Infant School</v>
          </cell>
          <cell r="D21963" t="str">
            <v>Leeds</v>
          </cell>
          <cell r="E21963" t="str">
            <v>Community School</v>
          </cell>
          <cell r="F21963" t="str">
            <v>Primary</v>
          </cell>
        </row>
        <row r="21964">
          <cell r="A21964">
            <v>9352101</v>
          </cell>
          <cell r="B21964">
            <v>124602</v>
          </cell>
          <cell r="C21964" t="str">
            <v>Otley Primary School</v>
          </cell>
          <cell r="D21964" t="str">
            <v>Suffolk</v>
          </cell>
          <cell r="E21964" t="str">
            <v>Community School</v>
          </cell>
          <cell r="F21964" t="str">
            <v>Primary</v>
          </cell>
        </row>
        <row r="21965">
          <cell r="A21965">
            <v>3834501</v>
          </cell>
          <cell r="B21965">
            <v>108093</v>
          </cell>
          <cell r="C21965" t="str">
            <v>Otley Prince Henry's Grammar School Specialist Language College</v>
          </cell>
          <cell r="D21965" t="str">
            <v>Leeds</v>
          </cell>
          <cell r="E21965" t="str">
            <v>Voluntary Controlled School</v>
          </cell>
          <cell r="F21965" t="str">
            <v>Secondary</v>
          </cell>
        </row>
        <row r="21966">
          <cell r="A21966">
            <v>3834501</v>
          </cell>
          <cell r="B21966">
            <v>137704</v>
          </cell>
          <cell r="C21966" t="str">
            <v>Otley Prince Henry's Grammar School Specialist Language College</v>
          </cell>
          <cell r="D21966" t="str">
            <v>Leeds</v>
          </cell>
          <cell r="E21966" t="str">
            <v>Academy Converters</v>
          </cell>
          <cell r="F21966" t="str">
            <v>Secondary</v>
          </cell>
        </row>
        <row r="21967">
          <cell r="A21967">
            <v>8151003</v>
          </cell>
          <cell r="B21967">
            <v>121269</v>
          </cell>
          <cell r="C21967" t="str">
            <v>Otley Street Community Nursery School</v>
          </cell>
          <cell r="D21967" t="str">
            <v>North Yorkshire</v>
          </cell>
          <cell r="E21967" t="str">
            <v>LA Nursery School</v>
          </cell>
          <cell r="F21967" t="str">
            <v>Nursery</v>
          </cell>
        </row>
        <row r="21968">
          <cell r="A21968">
            <v>3832405</v>
          </cell>
          <cell r="B21968">
            <v>107881</v>
          </cell>
          <cell r="C21968" t="str">
            <v>Otley the Whartons Primary School</v>
          </cell>
          <cell r="D21968" t="str">
            <v>Leeds</v>
          </cell>
          <cell r="E21968" t="str">
            <v>Community School</v>
          </cell>
          <cell r="F21968" t="str">
            <v>Primary</v>
          </cell>
        </row>
        <row r="21969">
          <cell r="A21969">
            <v>8503118</v>
          </cell>
          <cell r="B21969">
            <v>116304</v>
          </cell>
          <cell r="C21969" t="str">
            <v>Otterbourne Church of England Primary School</v>
          </cell>
          <cell r="D21969" t="str">
            <v>Hampshire</v>
          </cell>
          <cell r="E21969" t="str">
            <v>Voluntary Controlled School</v>
          </cell>
          <cell r="F21969" t="str">
            <v>Primary</v>
          </cell>
        </row>
        <row r="21970">
          <cell r="A21970">
            <v>9292209</v>
          </cell>
          <cell r="B21970">
            <v>122215</v>
          </cell>
          <cell r="C21970" t="str">
            <v>Otterburn First School</v>
          </cell>
          <cell r="D21970" t="str">
            <v>Northumberland</v>
          </cell>
          <cell r="E21970" t="str">
            <v>Community School</v>
          </cell>
          <cell r="F21970" t="str">
            <v>Primary</v>
          </cell>
        </row>
        <row r="21971">
          <cell r="A21971">
            <v>9082617</v>
          </cell>
          <cell r="B21971">
            <v>111935</v>
          </cell>
          <cell r="C21971" t="str">
            <v>Otterham Community Primary School</v>
          </cell>
          <cell r="D21971" t="str">
            <v>Cornwall</v>
          </cell>
          <cell r="E21971" t="str">
            <v>Community School</v>
          </cell>
          <cell r="F21971" t="str">
            <v>Primary</v>
          </cell>
        </row>
        <row r="21972">
          <cell r="A21972">
            <v>9332178</v>
          </cell>
          <cell r="B21972">
            <v>123692</v>
          </cell>
          <cell r="C21972" t="str">
            <v>Otterhampton Primary School</v>
          </cell>
          <cell r="D21972" t="str">
            <v>Somerset</v>
          </cell>
          <cell r="E21972" t="str">
            <v>Community School</v>
          </cell>
          <cell r="F21972" t="str">
            <v>Primary</v>
          </cell>
        </row>
        <row r="21973">
          <cell r="A21973">
            <v>9363052</v>
          </cell>
          <cell r="B21973">
            <v>125155</v>
          </cell>
          <cell r="C21973" t="str">
            <v>Ottershaw CofE Infant School</v>
          </cell>
          <cell r="D21973" t="str">
            <v>Surrey</v>
          </cell>
          <cell r="E21973" t="str">
            <v>Voluntary Controlled School</v>
          </cell>
          <cell r="F21973" t="str">
            <v>Primary</v>
          </cell>
        </row>
        <row r="21974">
          <cell r="A21974">
            <v>9363012</v>
          </cell>
          <cell r="B21974">
            <v>125138</v>
          </cell>
          <cell r="C21974" t="str">
            <v>Ottershaw CofE Junior School</v>
          </cell>
          <cell r="D21974" t="str">
            <v>Surrey</v>
          </cell>
          <cell r="E21974" t="str">
            <v>Voluntary Controlled School</v>
          </cell>
          <cell r="F21974" t="str">
            <v>Primary</v>
          </cell>
        </row>
        <row r="21975">
          <cell r="A21975">
            <v>8783316</v>
          </cell>
          <cell r="B21975">
            <v>113435</v>
          </cell>
          <cell r="C21975" t="str">
            <v>Otterton Church of England Primary School</v>
          </cell>
          <cell r="D21975" t="str">
            <v>Devon</v>
          </cell>
          <cell r="E21975" t="str">
            <v>Voluntary Aided School</v>
          </cell>
          <cell r="F21975" t="str">
            <v>Primary</v>
          </cell>
        </row>
        <row r="21976">
          <cell r="A21976">
            <v>8782056</v>
          </cell>
          <cell r="B21976">
            <v>113105</v>
          </cell>
          <cell r="C21976" t="str">
            <v>Ottery St Mary Primary School</v>
          </cell>
          <cell r="D21976" t="str">
            <v>Devon</v>
          </cell>
          <cell r="E21976" t="str">
            <v>Community School</v>
          </cell>
          <cell r="F21976" t="str">
            <v>Primary</v>
          </cell>
        </row>
        <row r="21977">
          <cell r="A21977">
            <v>9095226</v>
          </cell>
          <cell r="B21977">
            <v>112138</v>
          </cell>
          <cell r="C21977" t="str">
            <v>Oughterside Primary School</v>
          </cell>
          <cell r="D21977" t="str">
            <v>Cumbria</v>
          </cell>
          <cell r="E21977" t="str">
            <v>Foundation School</v>
          </cell>
          <cell r="F21977" t="str">
            <v>Primary</v>
          </cell>
        </row>
        <row r="21978">
          <cell r="A21978">
            <v>3732313</v>
          </cell>
          <cell r="B21978">
            <v>107061</v>
          </cell>
          <cell r="C21978" t="str">
            <v>Oughtibridge Primary School</v>
          </cell>
          <cell r="D21978" t="str">
            <v>Sheffield</v>
          </cell>
          <cell r="E21978" t="str">
            <v>Community School</v>
          </cell>
          <cell r="F21978" t="str">
            <v>Primary</v>
          </cell>
        </row>
        <row r="21979">
          <cell r="A21979">
            <v>9192026</v>
          </cell>
          <cell r="B21979">
            <v>133323</v>
          </cell>
          <cell r="C21979" t="str">
            <v>Oughton Primary and Nursery School</v>
          </cell>
          <cell r="D21979" t="str">
            <v>Hertfordshire</v>
          </cell>
          <cell r="E21979" t="str">
            <v>Community School</v>
          </cell>
          <cell r="F21979" t="str">
            <v>Primary</v>
          </cell>
        </row>
        <row r="21980">
          <cell r="A21980">
            <v>9192307</v>
          </cell>
          <cell r="B21980">
            <v>117265</v>
          </cell>
          <cell r="C21980" t="str">
            <v>Oughtonhead Infants' School</v>
          </cell>
          <cell r="D21980" t="str">
            <v>Hertfordshire</v>
          </cell>
          <cell r="E21980" t="str">
            <v>Community School</v>
          </cell>
          <cell r="F21980" t="str">
            <v>Primary</v>
          </cell>
        </row>
        <row r="21981">
          <cell r="A21981">
            <v>9192306</v>
          </cell>
          <cell r="B21981">
            <v>117264</v>
          </cell>
          <cell r="C21981" t="str">
            <v>Oughtonhead Junior School</v>
          </cell>
          <cell r="D21981" t="str">
            <v>Hertfordshire</v>
          </cell>
          <cell r="E21981" t="str">
            <v>Community School</v>
          </cell>
          <cell r="F21981" t="str">
            <v>Primary</v>
          </cell>
        </row>
        <row r="21982">
          <cell r="A21982">
            <v>8772313</v>
          </cell>
          <cell r="B21982">
            <v>111135</v>
          </cell>
          <cell r="C21982" t="str">
            <v>Oughtrington Community Primary School</v>
          </cell>
          <cell r="D21982" t="str">
            <v>Warrington</v>
          </cell>
          <cell r="E21982" t="str">
            <v>Community School</v>
          </cell>
          <cell r="F21982" t="str">
            <v>Primary</v>
          </cell>
        </row>
        <row r="21983">
          <cell r="A21983">
            <v>3544089</v>
          </cell>
          <cell r="B21983">
            <v>105840</v>
          </cell>
          <cell r="C21983" t="str">
            <v>Oulder Hill Community School and Language College</v>
          </cell>
          <cell r="D21983" t="str">
            <v>Rochdale</v>
          </cell>
          <cell r="E21983" t="str">
            <v>Community School</v>
          </cell>
          <cell r="F21983" t="str">
            <v>Secondary</v>
          </cell>
        </row>
        <row r="21984">
          <cell r="A21984">
            <v>3544063</v>
          </cell>
          <cell r="B21984">
            <v>127447</v>
          </cell>
          <cell r="C21984" t="str">
            <v>Oulder Hill Upper School</v>
          </cell>
          <cell r="D21984" t="str">
            <v>Rochdale</v>
          </cell>
          <cell r="E21984" t="str">
            <v>Community School</v>
          </cell>
          <cell r="F21984" t="str">
            <v>Secondary</v>
          </cell>
        </row>
        <row r="21985">
          <cell r="A21985">
            <v>9352144</v>
          </cell>
          <cell r="B21985">
            <v>129969</v>
          </cell>
          <cell r="C21985" t="str">
            <v>Oulton Broad County Primary School</v>
          </cell>
          <cell r="D21985" t="str">
            <v>Suffolk</v>
          </cell>
          <cell r="E21985" t="str">
            <v>Community School</v>
          </cell>
          <cell r="F21985" t="str">
            <v>Primary</v>
          </cell>
        </row>
        <row r="21986">
          <cell r="A21986">
            <v>9352919</v>
          </cell>
          <cell r="B21986">
            <v>124676</v>
          </cell>
          <cell r="C21986" t="str">
            <v>Oulton Broad Primary School</v>
          </cell>
          <cell r="D21986" t="str">
            <v>Suffolk</v>
          </cell>
          <cell r="E21986" t="str">
            <v>Community School</v>
          </cell>
          <cell r="F21986" t="str">
            <v>Primary</v>
          </cell>
        </row>
        <row r="21987">
          <cell r="A21987">
            <v>8603113</v>
          </cell>
          <cell r="B21987">
            <v>124276</v>
          </cell>
          <cell r="C21987" t="str">
            <v>Oulton CofE (C) First School</v>
          </cell>
          <cell r="D21987" t="str">
            <v>Staffordshire</v>
          </cell>
          <cell r="E21987" t="str">
            <v>Voluntary Controlled School</v>
          </cell>
          <cell r="F21987" t="str">
            <v>Primary</v>
          </cell>
        </row>
        <row r="21988">
          <cell r="A21988">
            <v>9093025</v>
          </cell>
          <cell r="B21988">
            <v>128589</v>
          </cell>
          <cell r="C21988" t="str">
            <v>Oulton CofE Primary School</v>
          </cell>
          <cell r="D21988" t="str">
            <v>Cumbria</v>
          </cell>
          <cell r="E21988" t="str">
            <v>Voluntary Controlled School</v>
          </cell>
          <cell r="F21988" t="str">
            <v>Primary</v>
          </cell>
        </row>
        <row r="21989">
          <cell r="A21989">
            <v>3832327</v>
          </cell>
          <cell r="B21989">
            <v>107842</v>
          </cell>
          <cell r="C21989" t="str">
            <v>Oulton Primary School</v>
          </cell>
          <cell r="D21989" t="str">
            <v>Leeds</v>
          </cell>
          <cell r="E21989" t="str">
            <v>Community School</v>
          </cell>
          <cell r="F21989" t="str">
            <v>Primary</v>
          </cell>
        </row>
        <row r="21990">
          <cell r="A21990">
            <v>9284093</v>
          </cell>
          <cell r="B21990">
            <v>122089</v>
          </cell>
          <cell r="C21990" t="str">
            <v>Oundle and King's Cliffe Middle School</v>
          </cell>
          <cell r="D21990" t="str">
            <v>Northamptonshire</v>
          </cell>
          <cell r="E21990" t="str">
            <v>Community School</v>
          </cell>
          <cell r="F21990" t="str">
            <v>Middle Deemed Secondary</v>
          </cell>
        </row>
        <row r="21991">
          <cell r="A21991">
            <v>9283048</v>
          </cell>
          <cell r="B21991">
            <v>121984</v>
          </cell>
          <cell r="C21991" t="str">
            <v>Oundle Church of England Primary School</v>
          </cell>
          <cell r="D21991" t="str">
            <v>Northamptonshire</v>
          </cell>
          <cell r="E21991" t="str">
            <v>Voluntary Controlled School</v>
          </cell>
          <cell r="F21991" t="str">
            <v>Primary</v>
          </cell>
        </row>
        <row r="21992">
          <cell r="A21992">
            <v>9286007</v>
          </cell>
          <cell r="B21992">
            <v>122129</v>
          </cell>
          <cell r="C21992" t="str">
            <v>Oundle School</v>
          </cell>
          <cell r="D21992" t="str">
            <v>Northamptonshire</v>
          </cell>
          <cell r="E21992" t="str">
            <v>Other Independent School</v>
          </cell>
          <cell r="F21992" t="str">
            <v>Not applicable</v>
          </cell>
        </row>
        <row r="21993">
          <cell r="A21993">
            <v>8604122</v>
          </cell>
          <cell r="B21993">
            <v>124419</v>
          </cell>
          <cell r="C21993" t="str">
            <v>Ounsdale High School</v>
          </cell>
          <cell r="D21993" t="str">
            <v>Staffordshire</v>
          </cell>
          <cell r="E21993" t="str">
            <v>Community School</v>
          </cell>
          <cell r="F21993" t="str">
            <v>Secondary</v>
          </cell>
        </row>
        <row r="21994">
          <cell r="A21994">
            <v>6793317</v>
          </cell>
          <cell r="B21994">
            <v>401500</v>
          </cell>
          <cell r="C21994" t="str">
            <v>Our Lady &amp; St Michael's School</v>
          </cell>
          <cell r="D21994" t="str">
            <v>Monmouthshire</v>
          </cell>
          <cell r="E21994" t="str">
            <v>Welsh Establishment</v>
          </cell>
          <cell r="F21994" t="str">
            <v>Primary</v>
          </cell>
        </row>
        <row r="21995">
          <cell r="A21995">
            <v>8883831</v>
          </cell>
          <cell r="B21995">
            <v>119694</v>
          </cell>
          <cell r="C21995" t="str">
            <v>Our Lady and All Saints Roman Catholic Primary School, Parbold</v>
          </cell>
          <cell r="D21995" t="str">
            <v>Lancashire</v>
          </cell>
          <cell r="E21995" t="str">
            <v>Voluntary Aided School</v>
          </cell>
          <cell r="F21995" t="str">
            <v>Primary</v>
          </cell>
        </row>
        <row r="21996">
          <cell r="A21996">
            <v>3553524</v>
          </cell>
          <cell r="B21996">
            <v>105960</v>
          </cell>
          <cell r="C21996" t="str">
            <v>Our Lady and Lancashire Martyrs' RC Primary School</v>
          </cell>
          <cell r="D21996" t="str">
            <v>Salford</v>
          </cell>
          <cell r="E21996" t="str">
            <v>Voluntary Aided School</v>
          </cell>
          <cell r="F21996" t="str">
            <v>Primary</v>
          </cell>
        </row>
        <row r="21997">
          <cell r="A21997">
            <v>9284701</v>
          </cell>
          <cell r="B21997">
            <v>122098</v>
          </cell>
          <cell r="C21997" t="str">
            <v>Our Lady and Pope John Catholic Secondary School</v>
          </cell>
          <cell r="D21997" t="str">
            <v>Northamptonshire</v>
          </cell>
          <cell r="E21997" t="str">
            <v>Voluntary Aided School</v>
          </cell>
          <cell r="F21997" t="str">
            <v>Secondary</v>
          </cell>
        </row>
        <row r="21998">
          <cell r="A21998">
            <v>3913799</v>
          </cell>
          <cell r="B21998">
            <v>108510</v>
          </cell>
          <cell r="C21998" t="str">
            <v>Our Lady and St Anne's RC Primary School</v>
          </cell>
          <cell r="D21998" t="str">
            <v>Newcastle upon Tyne</v>
          </cell>
          <cell r="E21998" t="str">
            <v>Voluntary Aided School</v>
          </cell>
          <cell r="F21998" t="str">
            <v>Primary</v>
          </cell>
        </row>
        <row r="21999">
          <cell r="A21999">
            <v>8883889</v>
          </cell>
          <cell r="B21999">
            <v>119697</v>
          </cell>
          <cell r="C21999" t="str">
            <v>Our Lady and St Anselm's Roman Catholic Primary School, Whitworth</v>
          </cell>
          <cell r="D21999" t="str">
            <v>Lancashire</v>
          </cell>
          <cell r="E21999" t="str">
            <v>Voluntary Aided School</v>
          </cell>
          <cell r="F21999" t="str">
            <v>Primary</v>
          </cell>
        </row>
        <row r="22000">
          <cell r="A22000">
            <v>8084631</v>
          </cell>
          <cell r="B22000">
            <v>111758</v>
          </cell>
          <cell r="C22000" t="str">
            <v>Our Lady and St Bede RC School</v>
          </cell>
          <cell r="D22000" t="str">
            <v>Stockton-on-Tees</v>
          </cell>
          <cell r="E22000" t="str">
            <v>Voluntary Aided School</v>
          </cell>
          <cell r="F22000" t="str">
            <v>Secondary</v>
          </cell>
        </row>
        <row r="22001">
          <cell r="A22001">
            <v>8613405</v>
          </cell>
          <cell r="B22001">
            <v>124317</v>
          </cell>
          <cell r="C22001" t="str">
            <v>Our Lady and St Benedict Catholic Primary School</v>
          </cell>
          <cell r="D22001" t="str">
            <v>Stoke-on-Trent</v>
          </cell>
          <cell r="E22001" t="str">
            <v>Voluntary Aided School</v>
          </cell>
          <cell r="F22001" t="str">
            <v>Primary</v>
          </cell>
        </row>
        <row r="22002">
          <cell r="A22002">
            <v>3803353</v>
          </cell>
          <cell r="B22002">
            <v>107334</v>
          </cell>
          <cell r="C22002" t="str">
            <v>Our Lady and St Brendan's Catholic Primary School</v>
          </cell>
          <cell r="D22002" t="str">
            <v>Bradford</v>
          </cell>
          <cell r="E22002" t="str">
            <v>Voluntary Aided School</v>
          </cell>
          <cell r="F22002" t="str">
            <v>Primary</v>
          </cell>
        </row>
        <row r="22003">
          <cell r="A22003">
            <v>3364606</v>
          </cell>
          <cell r="B22003">
            <v>104401</v>
          </cell>
          <cell r="C22003" t="str">
            <v>Our Lady and St Chad Catholic Sports College</v>
          </cell>
          <cell r="D22003" t="str">
            <v>Wolverhampton</v>
          </cell>
          <cell r="E22003" t="str">
            <v>Voluntary Aided School</v>
          </cell>
          <cell r="F22003" t="str">
            <v>Secondary</v>
          </cell>
        </row>
        <row r="22004">
          <cell r="A22004">
            <v>3443367</v>
          </cell>
          <cell r="B22004">
            <v>105086</v>
          </cell>
          <cell r="C22004" t="str">
            <v>Our Lady and St Edward's Catholic Primary School</v>
          </cell>
          <cell r="D22004" t="str">
            <v>Wirral</v>
          </cell>
          <cell r="E22004" t="str">
            <v>Voluntary Aided School</v>
          </cell>
          <cell r="F22004" t="str">
            <v>Primary</v>
          </cell>
        </row>
        <row r="22005">
          <cell r="A22005">
            <v>8923320</v>
          </cell>
          <cell r="B22005">
            <v>122784</v>
          </cell>
          <cell r="C22005" t="str">
            <v>Our Lady and St Edward's Catholic Primary School</v>
          </cell>
          <cell r="D22005" t="str">
            <v>Nottingham</v>
          </cell>
          <cell r="E22005" t="str">
            <v>Voluntary Aided School</v>
          </cell>
          <cell r="F22005" t="str">
            <v>Primary</v>
          </cell>
        </row>
        <row r="22006">
          <cell r="A22006">
            <v>8923320</v>
          </cell>
          <cell r="B22006">
            <v>137439</v>
          </cell>
          <cell r="C22006" t="str">
            <v>Our Lady and St Edward's Catholic Primary School</v>
          </cell>
          <cell r="D22006" t="str">
            <v>Nottingham</v>
          </cell>
          <cell r="E22006" t="str">
            <v>Academy Converters</v>
          </cell>
          <cell r="F22006" t="str">
            <v>Primary</v>
          </cell>
        </row>
        <row r="22007">
          <cell r="A22007">
            <v>8883601</v>
          </cell>
          <cell r="B22007">
            <v>119579</v>
          </cell>
          <cell r="C22007" t="str">
            <v>Our Lady and St Edward's Catholic Primary School, Preston</v>
          </cell>
          <cell r="D22007" t="str">
            <v>Lancashire</v>
          </cell>
          <cell r="E22007" t="str">
            <v>Voluntary Aided School</v>
          </cell>
          <cell r="F22007" t="str">
            <v>Primary</v>
          </cell>
        </row>
        <row r="22008">
          <cell r="A22008">
            <v>3203311</v>
          </cell>
          <cell r="B22008">
            <v>135193</v>
          </cell>
          <cell r="C22008" t="str">
            <v>Our Lady and St George's Catholic Primary School</v>
          </cell>
          <cell r="D22008" t="str">
            <v>Waltham Forest</v>
          </cell>
          <cell r="E22008" t="str">
            <v>Voluntary Aided School</v>
          </cell>
          <cell r="F22008" t="str">
            <v>Primary</v>
          </cell>
        </row>
        <row r="22009">
          <cell r="A22009">
            <v>8883736</v>
          </cell>
          <cell r="B22009">
            <v>119639</v>
          </cell>
          <cell r="C22009" t="str">
            <v>Our Lady and St Gerard's Roman Catholic Primary School, Lostock Hall</v>
          </cell>
          <cell r="D22009" t="str">
            <v>Lancashire</v>
          </cell>
          <cell r="E22009" t="str">
            <v>Voluntary Aided School</v>
          </cell>
          <cell r="F22009" t="str">
            <v>Primary</v>
          </cell>
        </row>
        <row r="22010">
          <cell r="A22010">
            <v>8883746</v>
          </cell>
          <cell r="B22010">
            <v>119645</v>
          </cell>
          <cell r="C22010" t="str">
            <v>Our Lady and St Hubert's Roman Catholic Primary School, Great Harwood</v>
          </cell>
          <cell r="D22010" t="str">
            <v>Lancashire</v>
          </cell>
          <cell r="E22010" t="str">
            <v>Voluntary Aided School</v>
          </cell>
          <cell r="F22010" t="str">
            <v>Primary</v>
          </cell>
        </row>
        <row r="22011">
          <cell r="A22011">
            <v>8894629</v>
          </cell>
          <cell r="B22011">
            <v>119790</v>
          </cell>
          <cell r="C22011" t="str">
            <v>Our Lady and St John Catholic College</v>
          </cell>
          <cell r="D22011" t="str">
            <v>Blackburn with Darwen</v>
          </cell>
          <cell r="E22011" t="str">
            <v>Voluntary Aided School</v>
          </cell>
          <cell r="F22011" t="str">
            <v>Secondary</v>
          </cell>
        </row>
        <row r="22012">
          <cell r="A22012">
            <v>3133502</v>
          </cell>
          <cell r="B22012">
            <v>102526</v>
          </cell>
          <cell r="C22012" t="str">
            <v>Our Lady and St John's RC Primary School</v>
          </cell>
          <cell r="D22012" t="str">
            <v>Hounslow</v>
          </cell>
          <cell r="E22012" t="str">
            <v>Voluntary Aided School</v>
          </cell>
          <cell r="F22012" t="str">
            <v>Primary</v>
          </cell>
        </row>
        <row r="22013">
          <cell r="A22013">
            <v>8503409</v>
          </cell>
          <cell r="B22013">
            <v>116378</v>
          </cell>
          <cell r="C22013" t="str">
            <v>Our Lady and St Joseph Catholic Primary School</v>
          </cell>
          <cell r="D22013" t="str">
            <v>Hampshire</v>
          </cell>
          <cell r="E22013" t="str">
            <v>Voluntary Aided School</v>
          </cell>
          <cell r="F22013" t="str">
            <v>Primary</v>
          </cell>
        </row>
        <row r="22014">
          <cell r="A22014">
            <v>2043371</v>
          </cell>
          <cell r="B22014">
            <v>100264</v>
          </cell>
          <cell r="C22014" t="str">
            <v>Our Lady and St Joseph Roman Catholic Primary School</v>
          </cell>
          <cell r="D22014" t="str">
            <v>Hackney</v>
          </cell>
          <cell r="E22014" t="str">
            <v>Voluntary Aided School</v>
          </cell>
          <cell r="F22014" t="str">
            <v>Primary</v>
          </cell>
        </row>
        <row r="22015">
          <cell r="A22015">
            <v>3723337</v>
          </cell>
          <cell r="B22015">
            <v>106942</v>
          </cell>
          <cell r="C22015" t="str">
            <v>Our Lady and St Joseph's Catholic Primary School</v>
          </cell>
          <cell r="D22015" t="str">
            <v>Rotherham</v>
          </cell>
          <cell r="E22015" t="str">
            <v>Voluntary Aided School</v>
          </cell>
          <cell r="F22015" t="str">
            <v>Primary</v>
          </cell>
        </row>
        <row r="22016">
          <cell r="A22016">
            <v>8403409</v>
          </cell>
          <cell r="B22016">
            <v>114253</v>
          </cell>
          <cell r="C22016" t="str">
            <v>Our Lady and St Joseph's Roman Catholic Voluntary Aided Primary School, Brooms</v>
          </cell>
          <cell r="D22016" t="str">
            <v>Durham</v>
          </cell>
          <cell r="E22016" t="str">
            <v>Voluntary Aided School</v>
          </cell>
          <cell r="F22016" t="str">
            <v>Primary</v>
          </cell>
        </row>
        <row r="22017">
          <cell r="A22017">
            <v>3323357</v>
          </cell>
          <cell r="B22017">
            <v>103850</v>
          </cell>
          <cell r="C22017" t="str">
            <v>Our Lady and St Kenelm RC School</v>
          </cell>
          <cell r="D22017" t="str">
            <v>Dudley</v>
          </cell>
          <cell r="E22017" t="str">
            <v>Voluntary Aided School</v>
          </cell>
          <cell r="F22017" t="str">
            <v>Primary</v>
          </cell>
        </row>
        <row r="22018">
          <cell r="A22018">
            <v>3413308</v>
          </cell>
          <cell r="B22018">
            <v>127291</v>
          </cell>
          <cell r="C22018" t="str">
            <v>Our Lady and St Nicholas CofE School</v>
          </cell>
          <cell r="D22018" t="str">
            <v>Liverpool</v>
          </cell>
          <cell r="E22018" t="str">
            <v>Voluntary Aided School</v>
          </cell>
          <cell r="F22018" t="str">
            <v>Primary</v>
          </cell>
        </row>
        <row r="22019">
          <cell r="A22019">
            <v>8933353</v>
          </cell>
          <cell r="B22019">
            <v>123553</v>
          </cell>
          <cell r="C22019" t="str">
            <v>Our Lady and St Oswald's Catholic Primary School</v>
          </cell>
          <cell r="D22019" t="str">
            <v>Shropshire</v>
          </cell>
          <cell r="E22019" t="str">
            <v>Voluntary Aided School</v>
          </cell>
          <cell r="F22019" t="str">
            <v>Primary</v>
          </cell>
        </row>
        <row r="22020">
          <cell r="A22020">
            <v>8783611</v>
          </cell>
          <cell r="B22020">
            <v>113468</v>
          </cell>
          <cell r="C22020" t="str">
            <v>Our Lady and St Patrick's Roman Catholic Primary School</v>
          </cell>
          <cell r="D22020" t="str">
            <v>Devon</v>
          </cell>
          <cell r="E22020" t="str">
            <v>Voluntary Aided School</v>
          </cell>
          <cell r="F22020" t="str">
            <v>Primary</v>
          </cell>
        </row>
        <row r="22021">
          <cell r="A22021">
            <v>9093410</v>
          </cell>
          <cell r="B22021">
            <v>112337</v>
          </cell>
          <cell r="C22021" t="str">
            <v>Our Lady and St Patrick's, Catholic Primary</v>
          </cell>
          <cell r="D22021" t="str">
            <v>Cumbria</v>
          </cell>
          <cell r="E22021" t="str">
            <v>Voluntary Aided School</v>
          </cell>
          <cell r="F22021" t="str">
            <v>Primary</v>
          </cell>
        </row>
        <row r="22022">
          <cell r="A22022">
            <v>3543314</v>
          </cell>
          <cell r="B22022">
            <v>105819</v>
          </cell>
          <cell r="C22022" t="str">
            <v>Our Lady and St Paul's Roman Catholic Primary School, Heywood</v>
          </cell>
          <cell r="D22022" t="str">
            <v>Rochdale</v>
          </cell>
          <cell r="E22022" t="str">
            <v>Voluntary Aided School</v>
          </cell>
          <cell r="F22022" t="str">
            <v>Primary</v>
          </cell>
        </row>
        <row r="22023">
          <cell r="A22023">
            <v>2093588</v>
          </cell>
          <cell r="B22023">
            <v>100732</v>
          </cell>
          <cell r="C22023" t="str">
            <v>Our Lady and St Philip Neri Roman Catholic Primary School</v>
          </cell>
          <cell r="D22023" t="str">
            <v>Lewisham</v>
          </cell>
          <cell r="E22023" t="str">
            <v>Voluntary Aided School</v>
          </cell>
          <cell r="F22023" t="str">
            <v>Primary</v>
          </cell>
        </row>
        <row r="22024">
          <cell r="A22024">
            <v>3413960</v>
          </cell>
          <cell r="B22024">
            <v>131837</v>
          </cell>
          <cell r="C22024" t="str">
            <v>Our Lady and St Philomena's Catholic Primary School</v>
          </cell>
          <cell r="D22024" t="str">
            <v>Liverpool</v>
          </cell>
          <cell r="E22024" t="str">
            <v>Voluntary Aided School</v>
          </cell>
          <cell r="F22024" t="str">
            <v>Primary</v>
          </cell>
        </row>
        <row r="22025">
          <cell r="A22025">
            <v>3303351</v>
          </cell>
          <cell r="B22025">
            <v>103443</v>
          </cell>
          <cell r="C22025" t="str">
            <v>Our Lady and St Rose of Lima Catholic Primary School</v>
          </cell>
          <cell r="D22025" t="str">
            <v>Birmingham</v>
          </cell>
          <cell r="E22025" t="str">
            <v>Voluntary Aided School</v>
          </cell>
          <cell r="F22025" t="str">
            <v>Primary</v>
          </cell>
        </row>
        <row r="22026">
          <cell r="A22026">
            <v>3413620</v>
          </cell>
          <cell r="B22026">
            <v>127317</v>
          </cell>
          <cell r="C22026" t="str">
            <v>Our Lady and St Swithin Infant and Nursery School</v>
          </cell>
          <cell r="D22026" t="str">
            <v>Liverpool</v>
          </cell>
          <cell r="E22026" t="str">
            <v>Voluntary Aided School</v>
          </cell>
          <cell r="F22026" t="str">
            <v>Primary</v>
          </cell>
        </row>
        <row r="22027">
          <cell r="A22027">
            <v>3413511</v>
          </cell>
          <cell r="B22027">
            <v>104632</v>
          </cell>
          <cell r="C22027" t="str">
            <v>Our Lady and St Swithin's Catholic Primary School</v>
          </cell>
          <cell r="D22027" t="str">
            <v>Liverpool</v>
          </cell>
          <cell r="E22027" t="str">
            <v>Voluntary Aided School</v>
          </cell>
          <cell r="F22027" t="str">
            <v>Primary</v>
          </cell>
        </row>
        <row r="22028">
          <cell r="A22028">
            <v>9373546</v>
          </cell>
          <cell r="B22028">
            <v>125718</v>
          </cell>
          <cell r="C22028" t="str">
            <v>Our Lady and St Teresa's Catholic Primary School</v>
          </cell>
          <cell r="D22028" t="str">
            <v>Warwickshire</v>
          </cell>
          <cell r="E22028" t="str">
            <v>Voluntary Aided School</v>
          </cell>
          <cell r="F22028" t="str">
            <v>Primary</v>
          </cell>
        </row>
        <row r="22029">
          <cell r="A22029">
            <v>8403425</v>
          </cell>
          <cell r="B22029">
            <v>114257</v>
          </cell>
          <cell r="C22029" t="str">
            <v>Our Lady and St Thomas Roman Catholic Voluntary Aided Primary</v>
          </cell>
          <cell r="D22029" t="str">
            <v>Durham</v>
          </cell>
          <cell r="E22029" t="str">
            <v>Voluntary Aided School</v>
          </cell>
          <cell r="F22029" t="str">
            <v>Primary</v>
          </cell>
        </row>
        <row r="22030">
          <cell r="A22030">
            <v>8603476</v>
          </cell>
          <cell r="B22030">
            <v>124367</v>
          </cell>
          <cell r="C22030" t="str">
            <v>Our Lady and St Werburgh's Catholic Primary School</v>
          </cell>
          <cell r="D22030" t="str">
            <v>Staffordshire</v>
          </cell>
          <cell r="E22030" t="str">
            <v>Voluntary Aided School</v>
          </cell>
          <cell r="F22030" t="str">
            <v>Primary</v>
          </cell>
        </row>
        <row r="22031">
          <cell r="A22031">
            <v>3143501</v>
          </cell>
          <cell r="B22031">
            <v>102595</v>
          </cell>
          <cell r="C22031" t="str">
            <v>Our Lady Immaculate Catholic Primary School</v>
          </cell>
          <cell r="D22031" t="str">
            <v>Kingston upon Thames</v>
          </cell>
          <cell r="E22031" t="str">
            <v>Voluntary Aided School</v>
          </cell>
          <cell r="F22031" t="str">
            <v>Primary</v>
          </cell>
        </row>
        <row r="22032">
          <cell r="A22032">
            <v>3413523</v>
          </cell>
          <cell r="B22032">
            <v>104638</v>
          </cell>
          <cell r="C22032" t="str">
            <v>Our Lady Immaculate Catholic Primary School</v>
          </cell>
          <cell r="D22032" t="str">
            <v>Liverpool</v>
          </cell>
          <cell r="E22032" t="str">
            <v>Voluntary Aided School</v>
          </cell>
          <cell r="F22032" t="str">
            <v>Primary</v>
          </cell>
        </row>
        <row r="22033">
          <cell r="A22033">
            <v>3593383</v>
          </cell>
          <cell r="B22033">
            <v>106489</v>
          </cell>
          <cell r="C22033" t="str">
            <v>Our Lady Immaculate Catholic Primary School</v>
          </cell>
          <cell r="D22033" t="str">
            <v>Wigan</v>
          </cell>
          <cell r="E22033" t="str">
            <v>Voluntary Aided School</v>
          </cell>
          <cell r="F22033" t="str">
            <v>Primary</v>
          </cell>
        </row>
        <row r="22034">
          <cell r="A22034">
            <v>8815250</v>
          </cell>
          <cell r="B22034">
            <v>115290</v>
          </cell>
          <cell r="C22034" t="str">
            <v>Our Lady Immaculate Catholic Primary School</v>
          </cell>
          <cell r="D22034" t="str">
            <v>Essex</v>
          </cell>
          <cell r="E22034" t="str">
            <v>Voluntary Aided School</v>
          </cell>
          <cell r="F22034" t="str">
            <v>Primary</v>
          </cell>
        </row>
        <row r="22035">
          <cell r="A22035">
            <v>3413525</v>
          </cell>
          <cell r="B22035">
            <v>127297</v>
          </cell>
          <cell r="C22035" t="str">
            <v>Our Lady Immaculate RC Infant School</v>
          </cell>
          <cell r="D22035" t="str">
            <v>Liverpool</v>
          </cell>
          <cell r="E22035" t="str">
            <v>Voluntary Aided School</v>
          </cell>
          <cell r="F22035" t="str">
            <v>Primary</v>
          </cell>
        </row>
        <row r="22036">
          <cell r="A22036">
            <v>3423433</v>
          </cell>
          <cell r="B22036">
            <v>104811</v>
          </cell>
          <cell r="C22036" t="str">
            <v>Our Lady Mother of God Catholic Primary School</v>
          </cell>
          <cell r="D22036" t="str">
            <v>St. Helens</v>
          </cell>
          <cell r="E22036" t="str">
            <v>Voluntary Aided School</v>
          </cell>
          <cell r="F22036" t="str">
            <v>Primary</v>
          </cell>
        </row>
        <row r="22037">
          <cell r="A22037">
            <v>8763632</v>
          </cell>
          <cell r="B22037">
            <v>111378</v>
          </cell>
          <cell r="C22037" t="str">
            <v>Our Lady Mother of the Saviour Catholic Primary School</v>
          </cell>
          <cell r="D22037" t="str">
            <v>Halton</v>
          </cell>
          <cell r="E22037" t="str">
            <v>Voluntary Aided School</v>
          </cell>
          <cell r="F22037" t="str">
            <v>Primary</v>
          </cell>
        </row>
        <row r="22038">
          <cell r="A22038">
            <v>3413621</v>
          </cell>
          <cell r="B22038">
            <v>104674</v>
          </cell>
          <cell r="C22038" t="str">
            <v>Our Lady of Assumption Infant School</v>
          </cell>
          <cell r="D22038" t="str">
            <v>Liverpool</v>
          </cell>
          <cell r="E22038" t="str">
            <v>Voluntary Aided School</v>
          </cell>
          <cell r="F22038" t="str">
            <v>Primary</v>
          </cell>
        </row>
        <row r="22039">
          <cell r="A22039">
            <v>3413600</v>
          </cell>
          <cell r="B22039">
            <v>104671</v>
          </cell>
          <cell r="C22039" t="str">
            <v>Our Lady of Assumption Junior School</v>
          </cell>
          <cell r="D22039" t="str">
            <v>Liverpool</v>
          </cell>
          <cell r="E22039" t="str">
            <v>Voluntary Aided School</v>
          </cell>
          <cell r="F22039" t="str">
            <v>Primary</v>
          </cell>
        </row>
        <row r="22040">
          <cell r="A22040">
            <v>3343504</v>
          </cell>
          <cell r="B22040">
            <v>104102</v>
          </cell>
          <cell r="C22040" t="str">
            <v>Our Lady of Compassion Catholic Primary School</v>
          </cell>
          <cell r="D22040" t="str">
            <v>Solihull</v>
          </cell>
          <cell r="E22040" t="str">
            <v>Voluntary Aided School</v>
          </cell>
          <cell r="F22040" t="str">
            <v>Primary</v>
          </cell>
        </row>
        <row r="22041">
          <cell r="A22041">
            <v>3433359</v>
          </cell>
          <cell r="B22041">
            <v>104930</v>
          </cell>
          <cell r="C22041" t="str">
            <v>Our Lady of Compassion Catholic Primary School</v>
          </cell>
          <cell r="D22041" t="str">
            <v>Sefton</v>
          </cell>
          <cell r="E22041" t="str">
            <v>Voluntary Aided School</v>
          </cell>
          <cell r="F22041" t="str">
            <v>Primary</v>
          </cell>
        </row>
        <row r="22042">
          <cell r="A22042">
            <v>2133381</v>
          </cell>
          <cell r="B22042">
            <v>101124</v>
          </cell>
          <cell r="C22042" t="str">
            <v>Our Lady of Dolours RC Primary School</v>
          </cell>
          <cell r="D22042" t="str">
            <v>Westminster</v>
          </cell>
          <cell r="E22042" t="str">
            <v>Voluntary Aided School</v>
          </cell>
          <cell r="F22042" t="str">
            <v>Primary</v>
          </cell>
        </row>
        <row r="22043">
          <cell r="A22043">
            <v>3303374</v>
          </cell>
          <cell r="B22043">
            <v>103461</v>
          </cell>
          <cell r="C22043" t="str">
            <v>Our Lady of Fatima Catholic Primary School</v>
          </cell>
          <cell r="D22043" t="str">
            <v>Birmingham</v>
          </cell>
          <cell r="E22043" t="str">
            <v>Voluntary Aided School</v>
          </cell>
          <cell r="F22043" t="str">
            <v>Primary</v>
          </cell>
        </row>
        <row r="22044">
          <cell r="A22044">
            <v>3833376</v>
          </cell>
          <cell r="B22044">
            <v>108030</v>
          </cell>
          <cell r="C22044" t="str">
            <v>Our Lady of Good Counsel Catholic Primary School</v>
          </cell>
          <cell r="D22044" t="str">
            <v>Leeds</v>
          </cell>
          <cell r="E22044" t="str">
            <v>Voluntary Aided School</v>
          </cell>
          <cell r="F22044" t="str">
            <v>Primary</v>
          </cell>
        </row>
        <row r="22045">
          <cell r="A22045">
            <v>9253331</v>
          </cell>
          <cell r="B22045">
            <v>120609</v>
          </cell>
          <cell r="C22045" t="str">
            <v>Our Lady of Good Counsel Catholic Primary School</v>
          </cell>
          <cell r="D22045" t="str">
            <v>Lincolnshire</v>
          </cell>
          <cell r="E22045" t="str">
            <v>Voluntary Aided School</v>
          </cell>
          <cell r="F22045" t="str">
            <v>Primary</v>
          </cell>
        </row>
        <row r="22046">
          <cell r="A22046">
            <v>3833625</v>
          </cell>
          <cell r="B22046">
            <v>127939</v>
          </cell>
          <cell r="C22046" t="str">
            <v>Our Lady of Good Counsel RC First School</v>
          </cell>
          <cell r="D22046" t="str">
            <v>Leeds</v>
          </cell>
          <cell r="E22046" t="str">
            <v>Voluntary Aided School</v>
          </cell>
          <cell r="F22046" t="str">
            <v>Primary</v>
          </cell>
        </row>
        <row r="22047">
          <cell r="A22047">
            <v>3413599</v>
          </cell>
          <cell r="B22047">
            <v>104670</v>
          </cell>
          <cell r="C22047" t="str">
            <v>Our Lady of Good Help Catholic Primary School</v>
          </cell>
          <cell r="D22047" t="str">
            <v>Liverpool</v>
          </cell>
          <cell r="E22047" t="str">
            <v>Voluntary Aided School</v>
          </cell>
          <cell r="F22047" t="str">
            <v>Primary</v>
          </cell>
        </row>
        <row r="22048">
          <cell r="A22048">
            <v>2033382</v>
          </cell>
          <cell r="B22048">
            <v>100168</v>
          </cell>
          <cell r="C22048" t="str">
            <v>Our Lady of Grace Catholic Primary School</v>
          </cell>
          <cell r="D22048" t="str">
            <v>Greenwich</v>
          </cell>
          <cell r="E22048" t="str">
            <v>Voluntary Aided School</v>
          </cell>
          <cell r="F22048" t="str">
            <v>Primary</v>
          </cell>
        </row>
        <row r="22049">
          <cell r="A22049">
            <v>3043510</v>
          </cell>
          <cell r="B22049">
            <v>101547</v>
          </cell>
          <cell r="C22049" t="str">
            <v>Our Lady of Grace RC Infant and Nursery School</v>
          </cell>
          <cell r="D22049" t="str">
            <v>Brent</v>
          </cell>
          <cell r="E22049" t="str">
            <v>Voluntary Aided School</v>
          </cell>
          <cell r="F22049" t="str">
            <v>Primary</v>
          </cell>
        </row>
        <row r="22050">
          <cell r="A22050">
            <v>3043500</v>
          </cell>
          <cell r="B22050">
            <v>101538</v>
          </cell>
          <cell r="C22050" t="str">
            <v>Our Lady of Grace RC Junior School</v>
          </cell>
          <cell r="D22050" t="str">
            <v>Brent</v>
          </cell>
          <cell r="E22050" t="str">
            <v>Voluntary Aided School</v>
          </cell>
          <cell r="F22050" t="str">
            <v>Primary</v>
          </cell>
        </row>
        <row r="22051">
          <cell r="A22051">
            <v>3513337</v>
          </cell>
          <cell r="B22051">
            <v>105345</v>
          </cell>
          <cell r="C22051" t="str">
            <v>Our Lady of Grace RC Primary School</v>
          </cell>
          <cell r="D22051" t="str">
            <v>Bury</v>
          </cell>
          <cell r="E22051" t="str">
            <v>Voluntary Aided School</v>
          </cell>
          <cell r="F22051" t="str">
            <v>Primary</v>
          </cell>
        </row>
        <row r="22052">
          <cell r="A22052">
            <v>8865217</v>
          </cell>
          <cell r="B22052">
            <v>118863</v>
          </cell>
          <cell r="C22052" t="str">
            <v>Our Lady of Hartley Catholic Primary School, Hartley, Longfield</v>
          </cell>
          <cell r="D22052" t="str">
            <v>Kent</v>
          </cell>
          <cell r="E22052" t="str">
            <v>Voluntary Aided School</v>
          </cell>
          <cell r="F22052" t="str">
            <v>Primary</v>
          </cell>
        </row>
        <row r="22053">
          <cell r="A22053">
            <v>9253347</v>
          </cell>
          <cell r="B22053">
            <v>120618</v>
          </cell>
          <cell r="C22053" t="str">
            <v>Our Lady of Lincoln Catholic Primary School</v>
          </cell>
          <cell r="D22053" t="str">
            <v>Lincolnshire</v>
          </cell>
          <cell r="E22053" t="str">
            <v>Voluntary Aided School</v>
          </cell>
          <cell r="F22053" t="str">
            <v>Primary</v>
          </cell>
        </row>
        <row r="22054">
          <cell r="A22054">
            <v>2093642</v>
          </cell>
          <cell r="B22054">
            <v>100736</v>
          </cell>
          <cell r="C22054" t="str">
            <v>Our Lady of Lourdes Catholic Primary School</v>
          </cell>
          <cell r="D22054" t="str">
            <v>Lewisham</v>
          </cell>
          <cell r="E22054" t="str">
            <v>Voluntary Aided School</v>
          </cell>
          <cell r="F22054" t="str">
            <v>Primary</v>
          </cell>
        </row>
        <row r="22055">
          <cell r="A22055">
            <v>3083504</v>
          </cell>
          <cell r="B22055">
            <v>102040</v>
          </cell>
          <cell r="C22055" t="str">
            <v>Our Lady of Lourdes Catholic Primary School</v>
          </cell>
          <cell r="D22055" t="str">
            <v>Enfield</v>
          </cell>
          <cell r="E22055" t="str">
            <v>Voluntary Aided School</v>
          </cell>
          <cell r="F22055" t="str">
            <v>Primary</v>
          </cell>
        </row>
        <row r="22056">
          <cell r="A22056">
            <v>3433337</v>
          </cell>
          <cell r="B22056">
            <v>104916</v>
          </cell>
          <cell r="C22056" t="str">
            <v>Our Lady of Lourdes Catholic Primary School</v>
          </cell>
          <cell r="D22056" t="str">
            <v>Sefton</v>
          </cell>
          <cell r="E22056" t="str">
            <v>Voluntary Aided School</v>
          </cell>
          <cell r="F22056" t="str">
            <v>Primary</v>
          </cell>
        </row>
        <row r="22057">
          <cell r="A22057">
            <v>3443336</v>
          </cell>
          <cell r="B22057">
            <v>105075</v>
          </cell>
          <cell r="C22057" t="str">
            <v>Our Lady of Lourdes Catholic Primary School</v>
          </cell>
          <cell r="D22057" t="str">
            <v>Wirral</v>
          </cell>
          <cell r="E22057" t="str">
            <v>Voluntary Aided School</v>
          </cell>
          <cell r="F22057" t="str">
            <v>Primary</v>
          </cell>
        </row>
        <row r="22058">
          <cell r="A22058">
            <v>3583310</v>
          </cell>
          <cell r="B22058">
            <v>106346</v>
          </cell>
          <cell r="C22058" t="str">
            <v>Our Lady of Lourdes Catholic Primary School</v>
          </cell>
          <cell r="D22058" t="str">
            <v>Trafford</v>
          </cell>
          <cell r="E22058" t="str">
            <v>Voluntary Aided School</v>
          </cell>
          <cell r="F22058" t="str">
            <v>Primary</v>
          </cell>
        </row>
        <row r="22059">
          <cell r="A22059">
            <v>3823402</v>
          </cell>
          <cell r="B22059">
            <v>107751</v>
          </cell>
          <cell r="C22059" t="str">
            <v>Our Lady of Lourdes Catholic Primary School</v>
          </cell>
          <cell r="D22059" t="str">
            <v>Kirklees</v>
          </cell>
          <cell r="E22059" t="str">
            <v>Voluntary Aided School</v>
          </cell>
          <cell r="F22059" t="str">
            <v>Primary</v>
          </cell>
        </row>
        <row r="22060">
          <cell r="A22060">
            <v>8033434</v>
          </cell>
          <cell r="B22060">
            <v>109265</v>
          </cell>
          <cell r="C22060" t="str">
            <v>Our Lady of Lourdes Catholic Primary School</v>
          </cell>
          <cell r="D22060" t="str">
            <v>South Gloucestershire</v>
          </cell>
          <cell r="E22060" t="str">
            <v>Voluntary Aided School</v>
          </cell>
          <cell r="F22060" t="str">
            <v>Primary</v>
          </cell>
        </row>
        <row r="22061">
          <cell r="A22061">
            <v>8823328</v>
          </cell>
          <cell r="B22061">
            <v>115148</v>
          </cell>
          <cell r="C22061" t="str">
            <v>Our Lady of Lourdes Catholic Primary School</v>
          </cell>
          <cell r="D22061" t="str">
            <v>Southend-on-Sea</v>
          </cell>
          <cell r="E22061" t="str">
            <v>Voluntary Aided School</v>
          </cell>
          <cell r="F22061" t="str">
            <v>Primary</v>
          </cell>
        </row>
        <row r="22062">
          <cell r="A22062">
            <v>3303328</v>
          </cell>
          <cell r="B22062">
            <v>103430</v>
          </cell>
          <cell r="C22062" t="str">
            <v>Our Lady of Lourdes Catholic Primary School (NC)</v>
          </cell>
          <cell r="D22062" t="str">
            <v>Birmingham</v>
          </cell>
          <cell r="E22062" t="str">
            <v>Voluntary Aided School</v>
          </cell>
          <cell r="F22062" t="str">
            <v>Primary</v>
          </cell>
        </row>
        <row r="22063">
          <cell r="A22063">
            <v>8883703</v>
          </cell>
          <cell r="B22063">
            <v>119618</v>
          </cell>
          <cell r="C22063" t="str">
            <v>Our Lady of Lourdes Catholic Primary School, Carnforth</v>
          </cell>
          <cell r="D22063" t="str">
            <v>Lancashire</v>
          </cell>
          <cell r="E22063" t="str">
            <v>Voluntary Aided School</v>
          </cell>
          <cell r="F22063" t="str">
            <v>Primary</v>
          </cell>
        </row>
        <row r="22064">
          <cell r="A22064">
            <v>9313822</v>
          </cell>
          <cell r="B22064">
            <v>123205</v>
          </cell>
          <cell r="C22064" t="str">
            <v>Our Lady of Lourdes Catholic Primary School, Witney</v>
          </cell>
          <cell r="D22064" t="str">
            <v>Oxfordshire</v>
          </cell>
          <cell r="E22064" t="str">
            <v>Voluntary Aided School</v>
          </cell>
          <cell r="F22064" t="str">
            <v>Primary</v>
          </cell>
        </row>
        <row r="22065">
          <cell r="A22065">
            <v>3043508</v>
          </cell>
          <cell r="B22065">
            <v>101545</v>
          </cell>
          <cell r="C22065" t="str">
            <v>Our Lady of Lourdes RC Primary School</v>
          </cell>
          <cell r="D22065" t="str">
            <v>Brent</v>
          </cell>
          <cell r="E22065" t="str">
            <v>Voluntary Aided School</v>
          </cell>
          <cell r="F22065" t="str">
            <v>Primary</v>
          </cell>
        </row>
        <row r="22066">
          <cell r="A22066">
            <v>3173504</v>
          </cell>
          <cell r="B22066">
            <v>102843</v>
          </cell>
          <cell r="C22066" t="str">
            <v>Our Lady of Lourdes RC Primary School</v>
          </cell>
          <cell r="D22066" t="str">
            <v>Redbridge</v>
          </cell>
          <cell r="E22066" t="str">
            <v>Voluntary Aided School</v>
          </cell>
          <cell r="F22066" t="str">
            <v>Primary</v>
          </cell>
        </row>
        <row r="22067">
          <cell r="A22067">
            <v>3503362</v>
          </cell>
          <cell r="B22067">
            <v>105245</v>
          </cell>
          <cell r="C22067" t="str">
            <v>Our Lady of Lourdes RC Primary School</v>
          </cell>
          <cell r="D22067" t="str">
            <v>Bolton</v>
          </cell>
          <cell r="E22067" t="str">
            <v>Voluntary Aided School</v>
          </cell>
          <cell r="F22067" t="str">
            <v>Primary</v>
          </cell>
        </row>
        <row r="22068">
          <cell r="A22068">
            <v>3023501</v>
          </cell>
          <cell r="B22068">
            <v>101331</v>
          </cell>
          <cell r="C22068" t="str">
            <v>Our Lady of Lourdes RC School</v>
          </cell>
          <cell r="D22068" t="str">
            <v>Barnet</v>
          </cell>
          <cell r="E22068" t="str">
            <v>Voluntary Aided School</v>
          </cell>
          <cell r="F22068" t="str">
            <v>Primary</v>
          </cell>
        </row>
        <row r="22069">
          <cell r="A22069">
            <v>8463316</v>
          </cell>
          <cell r="B22069">
            <v>114544</v>
          </cell>
          <cell r="C22069" t="str">
            <v>Our Lady of Lourdes RC School</v>
          </cell>
          <cell r="D22069" t="str">
            <v>Brighton and Hove</v>
          </cell>
          <cell r="E22069" t="str">
            <v>Voluntary Aided School</v>
          </cell>
          <cell r="F22069" t="str">
            <v>Primary</v>
          </cell>
        </row>
        <row r="22070">
          <cell r="A22070">
            <v>3513328</v>
          </cell>
          <cell r="B22070">
            <v>105337</v>
          </cell>
          <cell r="C22070" t="str">
            <v>Our Lady of Lourdes Roman Catholic Primary School, Bury</v>
          </cell>
          <cell r="D22070" t="str">
            <v>Bury</v>
          </cell>
          <cell r="E22070" t="str">
            <v>Voluntary Aided School</v>
          </cell>
          <cell r="F22070" t="str">
            <v>Primary</v>
          </cell>
        </row>
        <row r="22071">
          <cell r="A22071">
            <v>8403504</v>
          </cell>
          <cell r="B22071">
            <v>114278</v>
          </cell>
          <cell r="C22071" t="str">
            <v>Our Lady of Lourdes Roman Catholic Voluntary Aided Primary</v>
          </cell>
          <cell r="D22071" t="str">
            <v>Durham</v>
          </cell>
          <cell r="E22071" t="str">
            <v>Voluntary Aided School</v>
          </cell>
          <cell r="F22071" t="str">
            <v>Primary</v>
          </cell>
        </row>
        <row r="22072">
          <cell r="A22072">
            <v>8855200</v>
          </cell>
          <cell r="B22072">
            <v>116909</v>
          </cell>
          <cell r="C22072" t="str">
            <v>Our Lady of Mount Carmel Catholic First School</v>
          </cell>
          <cell r="D22072" t="str">
            <v>Worcestershire</v>
          </cell>
          <cell r="E22072" t="str">
            <v>Voluntary Aided School</v>
          </cell>
          <cell r="F22072" t="str">
            <v>Primary</v>
          </cell>
        </row>
        <row r="22073">
          <cell r="A22073">
            <v>3413526</v>
          </cell>
          <cell r="B22073">
            <v>104639</v>
          </cell>
          <cell r="C22073" t="str">
            <v>Our Lady of Mount Carmel Catholic Primary School</v>
          </cell>
          <cell r="D22073" t="str">
            <v>Liverpool</v>
          </cell>
          <cell r="E22073" t="str">
            <v>Voluntary Aided School</v>
          </cell>
          <cell r="F22073" t="str">
            <v>Primary</v>
          </cell>
        </row>
        <row r="22074">
          <cell r="A22074">
            <v>3713301</v>
          </cell>
          <cell r="B22074">
            <v>106761</v>
          </cell>
          <cell r="C22074" t="str">
            <v>Our Lady of Mount Carmel Catholic Primary School</v>
          </cell>
          <cell r="D22074" t="str">
            <v>Doncaster</v>
          </cell>
          <cell r="E22074" t="str">
            <v>Voluntary Aided School</v>
          </cell>
          <cell r="F22074" t="str">
            <v>Primary</v>
          </cell>
        </row>
        <row r="22075">
          <cell r="A22075">
            <v>9333488</v>
          </cell>
          <cell r="B22075">
            <v>123858</v>
          </cell>
          <cell r="C22075" t="str">
            <v>Our Lady of Mount Carmel Catholic Primary School, Wincanton</v>
          </cell>
          <cell r="D22075" t="str">
            <v>Somerset</v>
          </cell>
          <cell r="E22075" t="str">
            <v>Voluntary Aided School</v>
          </cell>
          <cell r="F22075" t="str">
            <v>Primary</v>
          </cell>
        </row>
        <row r="22076">
          <cell r="A22076">
            <v>3554619</v>
          </cell>
          <cell r="B22076">
            <v>105988</v>
          </cell>
          <cell r="C22076" t="str">
            <v>Our Lady of Mount Carmel RC High School</v>
          </cell>
          <cell r="D22076" t="str">
            <v>Salford</v>
          </cell>
          <cell r="E22076" t="str">
            <v>Voluntary Aided School</v>
          </cell>
          <cell r="F22076" t="str">
            <v>Secondary</v>
          </cell>
        </row>
        <row r="22077">
          <cell r="A22077">
            <v>3573331</v>
          </cell>
          <cell r="B22077">
            <v>131285</v>
          </cell>
          <cell r="C22077" t="str">
            <v>Our Lady of Mount Carmel RC Primary School, Ashton-under-Lyne</v>
          </cell>
          <cell r="D22077" t="str">
            <v>Tameside</v>
          </cell>
          <cell r="E22077" t="str">
            <v>Voluntary Aided School</v>
          </cell>
          <cell r="F22077" t="str">
            <v>Primary</v>
          </cell>
        </row>
        <row r="22078">
          <cell r="A22078">
            <v>3093500</v>
          </cell>
          <cell r="B22078">
            <v>102142</v>
          </cell>
          <cell r="C22078" t="str">
            <v>Our Lady of Muswell RC Primary School</v>
          </cell>
          <cell r="D22078" t="str">
            <v>Haringey</v>
          </cell>
          <cell r="E22078" t="str">
            <v>Voluntary Aided School</v>
          </cell>
          <cell r="F22078" t="str">
            <v>Primary</v>
          </cell>
        </row>
        <row r="22079">
          <cell r="A22079">
            <v>8713353</v>
          </cell>
          <cell r="B22079">
            <v>110035</v>
          </cell>
          <cell r="C22079" t="str">
            <v>Our Lady of Peace Catholic Infant and Nursery School</v>
          </cell>
          <cell r="D22079" t="str">
            <v>Slough</v>
          </cell>
          <cell r="E22079" t="str">
            <v>Voluntary Aided School</v>
          </cell>
          <cell r="F22079" t="str">
            <v>Primary</v>
          </cell>
        </row>
        <row r="22080">
          <cell r="A22080">
            <v>8713357</v>
          </cell>
          <cell r="B22080">
            <v>110036</v>
          </cell>
          <cell r="C22080" t="str">
            <v>Our Lady of Peace Catholic Junior School</v>
          </cell>
          <cell r="D22080" t="str">
            <v>Slough</v>
          </cell>
          <cell r="E22080" t="str">
            <v>Voluntary Aided School</v>
          </cell>
          <cell r="F22080" t="str">
            <v>Primary</v>
          </cell>
        </row>
        <row r="22081">
          <cell r="A22081">
            <v>3713315</v>
          </cell>
          <cell r="B22081">
            <v>106770</v>
          </cell>
          <cell r="C22081" t="str">
            <v>Our Lady of Perpetual Help Catholic Primary School</v>
          </cell>
          <cell r="D22081" t="str">
            <v>Doncaster</v>
          </cell>
          <cell r="E22081" t="str">
            <v>Voluntary Aided School</v>
          </cell>
          <cell r="F22081" t="str">
            <v>Primary</v>
          </cell>
        </row>
        <row r="22082">
          <cell r="A22082">
            <v>8763623</v>
          </cell>
          <cell r="B22082">
            <v>111374</v>
          </cell>
          <cell r="C22082" t="str">
            <v>Our Lady of Perpetual Succour Catholic Infant School</v>
          </cell>
          <cell r="D22082" t="str">
            <v>Halton</v>
          </cell>
          <cell r="E22082" t="str">
            <v>Voluntary Aided School</v>
          </cell>
          <cell r="F22082" t="str">
            <v>Primary</v>
          </cell>
        </row>
        <row r="22083">
          <cell r="A22083">
            <v>8763625</v>
          </cell>
          <cell r="B22083">
            <v>111375</v>
          </cell>
          <cell r="C22083" t="str">
            <v>Our Lady of Perpetual Succour Catholic Junior School</v>
          </cell>
          <cell r="D22083" t="str">
            <v>Halton</v>
          </cell>
          <cell r="E22083" t="str">
            <v>Voluntary Aided School</v>
          </cell>
          <cell r="F22083" t="str">
            <v>Primary</v>
          </cell>
        </row>
        <row r="22084">
          <cell r="A22084">
            <v>8923318</v>
          </cell>
          <cell r="B22084">
            <v>122782</v>
          </cell>
          <cell r="C22084" t="str">
            <v>Our Lady of Perpetual Succour Catholic Primary School</v>
          </cell>
          <cell r="D22084" t="str">
            <v>Nottingham</v>
          </cell>
          <cell r="E22084" t="str">
            <v>Voluntary Aided School</v>
          </cell>
          <cell r="F22084" t="str">
            <v>Primary</v>
          </cell>
        </row>
        <row r="22085">
          <cell r="A22085">
            <v>8762726</v>
          </cell>
          <cell r="B22085">
            <v>133320</v>
          </cell>
          <cell r="C22085" t="str">
            <v>Our Lady of Perpetual Succour Catholic Primary School</v>
          </cell>
          <cell r="D22085" t="str">
            <v>Halton</v>
          </cell>
          <cell r="E22085" t="str">
            <v>Voluntary Aided School</v>
          </cell>
          <cell r="F22085" t="str">
            <v>Primary</v>
          </cell>
        </row>
        <row r="22086">
          <cell r="A22086">
            <v>8893505</v>
          </cell>
          <cell r="B22086">
            <v>119512</v>
          </cell>
          <cell r="C22086" t="str">
            <v>Our Lady of Perpetual Succour Roman Catholic Primary School Blackburn</v>
          </cell>
          <cell r="D22086" t="str">
            <v>Blackburn with Darwen</v>
          </cell>
          <cell r="E22086" t="str">
            <v>Voluntary Aided School</v>
          </cell>
          <cell r="F22086" t="str">
            <v>Primary</v>
          </cell>
        </row>
        <row r="22087">
          <cell r="A22087">
            <v>3443364</v>
          </cell>
          <cell r="B22087">
            <v>105083</v>
          </cell>
          <cell r="C22087" t="str">
            <v>Our Lady of Pity Catholic Primary School</v>
          </cell>
          <cell r="D22087" t="str">
            <v>Wirral</v>
          </cell>
          <cell r="E22087" t="str">
            <v>Voluntary Aided School</v>
          </cell>
          <cell r="F22087" t="str">
            <v>Primary</v>
          </cell>
        </row>
        <row r="22088">
          <cell r="A22088">
            <v>8813461</v>
          </cell>
          <cell r="B22088">
            <v>115163</v>
          </cell>
          <cell r="C22088" t="str">
            <v>Our Lady of Ransom Catholic Primary School</v>
          </cell>
          <cell r="D22088" t="str">
            <v>Essex</v>
          </cell>
          <cell r="E22088" t="str">
            <v>Voluntary Aided School</v>
          </cell>
          <cell r="F22088" t="str">
            <v>Primary</v>
          </cell>
        </row>
        <row r="22089">
          <cell r="A22089">
            <v>3413520</v>
          </cell>
          <cell r="B22089">
            <v>104637</v>
          </cell>
          <cell r="C22089" t="str">
            <v>Our Lady of Reconciliation Catholic Primary School</v>
          </cell>
          <cell r="D22089" t="str">
            <v>Liverpool</v>
          </cell>
          <cell r="E22089" t="str">
            <v>Voluntary Aided School</v>
          </cell>
          <cell r="F22089" t="str">
            <v>Primary</v>
          </cell>
        </row>
        <row r="22090">
          <cell r="A22090">
            <v>3413522</v>
          </cell>
          <cell r="B22090">
            <v>127296</v>
          </cell>
          <cell r="C22090" t="str">
            <v>Our Lady of Reconciliation RC Infant School</v>
          </cell>
          <cell r="D22090" t="str">
            <v>Liverpool</v>
          </cell>
          <cell r="E22090" t="str">
            <v>Voluntary Aided School</v>
          </cell>
          <cell r="F22090" t="str">
            <v>Primary</v>
          </cell>
        </row>
        <row r="22091">
          <cell r="A22091">
            <v>9386030</v>
          </cell>
          <cell r="B22091">
            <v>126115</v>
          </cell>
          <cell r="C22091" t="str">
            <v>Our Lady of Sion School</v>
          </cell>
          <cell r="D22091" t="str">
            <v>West Sussex</v>
          </cell>
          <cell r="E22091" t="str">
            <v>Other Independent School</v>
          </cell>
          <cell r="F22091" t="str">
            <v>Not applicable</v>
          </cell>
        </row>
        <row r="22092">
          <cell r="A22092">
            <v>3713319</v>
          </cell>
          <cell r="B22092">
            <v>106774</v>
          </cell>
          <cell r="C22092" t="str">
            <v>Our Lady of Sorrows Catholic Primary School</v>
          </cell>
          <cell r="D22092" t="str">
            <v>Doncaster</v>
          </cell>
          <cell r="E22092" t="str">
            <v>Voluntary Aided School</v>
          </cell>
          <cell r="F22092" t="str">
            <v>Primary</v>
          </cell>
        </row>
        <row r="22093">
          <cell r="A22093">
            <v>9373520</v>
          </cell>
          <cell r="B22093">
            <v>125712</v>
          </cell>
          <cell r="C22093" t="str">
            <v>Our Lady of the Angels Catholic Infant School</v>
          </cell>
          <cell r="D22093" t="str">
            <v>Warwickshire</v>
          </cell>
          <cell r="E22093" t="str">
            <v>Voluntary Aided School</v>
          </cell>
          <cell r="F22093" t="str">
            <v>Primary</v>
          </cell>
        </row>
        <row r="22094">
          <cell r="A22094">
            <v>6783321</v>
          </cell>
          <cell r="B22094">
            <v>401456</v>
          </cell>
          <cell r="C22094" t="str">
            <v>Our Lady of the Angels R.C School</v>
          </cell>
          <cell r="D22094" t="str">
            <v>Torfaen</v>
          </cell>
          <cell r="E22094" t="str">
            <v>Welsh Establishment</v>
          </cell>
          <cell r="F22094" t="str">
            <v>Primary</v>
          </cell>
        </row>
        <row r="22095">
          <cell r="A22095">
            <v>3313408</v>
          </cell>
          <cell r="B22095">
            <v>103712</v>
          </cell>
          <cell r="C22095" t="str">
            <v>Our Lady of the Assumption Catholic Primary School</v>
          </cell>
          <cell r="D22095" t="str">
            <v>Coventry</v>
          </cell>
          <cell r="E22095" t="str">
            <v>Voluntary Aided School</v>
          </cell>
          <cell r="F22095" t="str">
            <v>Primary</v>
          </cell>
        </row>
        <row r="22096">
          <cell r="A22096">
            <v>8903622</v>
          </cell>
          <cell r="B22096">
            <v>119596</v>
          </cell>
          <cell r="C22096" t="str">
            <v>Our Lady of the Assumption Catholic Primary School</v>
          </cell>
          <cell r="D22096" t="str">
            <v>Blackpool</v>
          </cell>
          <cell r="E22096" t="str">
            <v>Voluntary Aided School</v>
          </cell>
          <cell r="F22096" t="str">
            <v>Primary</v>
          </cell>
        </row>
        <row r="22097">
          <cell r="A22097">
            <v>3412239</v>
          </cell>
          <cell r="B22097">
            <v>133337</v>
          </cell>
          <cell r="C22097" t="str">
            <v>Our Lady of the Assumption Catholic Primary School</v>
          </cell>
          <cell r="D22097" t="str">
            <v>Liverpool</v>
          </cell>
          <cell r="E22097" t="str">
            <v>Voluntary Aided School</v>
          </cell>
          <cell r="F22097" t="str">
            <v>Primary</v>
          </cell>
        </row>
        <row r="22098">
          <cell r="A22098">
            <v>3413958</v>
          </cell>
          <cell r="B22098">
            <v>131834</v>
          </cell>
          <cell r="C22098" t="str">
            <v>Our Lady of the Assumption Infant School</v>
          </cell>
          <cell r="D22098" t="str">
            <v>Liverpool</v>
          </cell>
          <cell r="E22098" t="str">
            <v>Voluntary Aided School</v>
          </cell>
          <cell r="F22098" t="str">
            <v>Primary</v>
          </cell>
        </row>
        <row r="22099">
          <cell r="A22099">
            <v>3413959</v>
          </cell>
          <cell r="B22099">
            <v>131835</v>
          </cell>
          <cell r="C22099" t="str">
            <v>Our Lady of the Assumption Junior School</v>
          </cell>
          <cell r="D22099" t="str">
            <v>Liverpool</v>
          </cell>
          <cell r="E22099" t="str">
            <v>Voluntary Aided School</v>
          </cell>
          <cell r="F22099" t="str">
            <v>Primary</v>
          </cell>
        </row>
        <row r="22100">
          <cell r="A22100">
            <v>3413957</v>
          </cell>
          <cell r="B22100">
            <v>131312</v>
          </cell>
          <cell r="C22100" t="str">
            <v>Our Lady of the Assumption Primary School</v>
          </cell>
          <cell r="D22100" t="str">
            <v>Liverpool</v>
          </cell>
          <cell r="E22100" t="str">
            <v>Voluntary Aided School</v>
          </cell>
          <cell r="F22100" t="str">
            <v>Primary</v>
          </cell>
        </row>
        <row r="22101">
          <cell r="A22101">
            <v>2113383</v>
          </cell>
          <cell r="B22101">
            <v>100947</v>
          </cell>
          <cell r="C22101" t="str">
            <v>Our Lady of the Assumption Roman Catholic Primary School</v>
          </cell>
          <cell r="D22101" t="str">
            <v>Tower Hamlets</v>
          </cell>
          <cell r="E22101" t="str">
            <v>Voluntary Aided School</v>
          </cell>
          <cell r="F22101" t="str">
            <v>Primary</v>
          </cell>
        </row>
        <row r="22102">
          <cell r="A22102">
            <v>8083303</v>
          </cell>
          <cell r="B22102">
            <v>111676</v>
          </cell>
          <cell r="C22102" t="str">
            <v>Our Lady of the Most Holy Rosary RC Primary School</v>
          </cell>
          <cell r="D22102" t="str">
            <v>Stockton-on-Tees</v>
          </cell>
          <cell r="E22102" t="str">
            <v>Voluntary Aided School</v>
          </cell>
          <cell r="F22102" t="str">
            <v>Primary</v>
          </cell>
        </row>
        <row r="22103">
          <cell r="A22103">
            <v>3033501</v>
          </cell>
          <cell r="B22103">
            <v>101456</v>
          </cell>
          <cell r="C22103" t="str">
            <v>Our Lady of the Rosary Catholic Primary School</v>
          </cell>
          <cell r="D22103" t="str">
            <v>Bexley</v>
          </cell>
          <cell r="E22103" t="str">
            <v>Voluntary Aided School</v>
          </cell>
          <cell r="F22103" t="str">
            <v>Primary</v>
          </cell>
        </row>
        <row r="22104">
          <cell r="A22104">
            <v>3593399</v>
          </cell>
          <cell r="B22104">
            <v>106500</v>
          </cell>
          <cell r="C22104" t="str">
            <v>Our Lady of the Rosary Catholic Primary School</v>
          </cell>
          <cell r="D22104" t="str">
            <v>Wigan</v>
          </cell>
          <cell r="E22104" t="str">
            <v>Voluntary Aided School</v>
          </cell>
          <cell r="F22104" t="str">
            <v>Primary</v>
          </cell>
        </row>
        <row r="22105">
          <cell r="A22105">
            <v>9093551</v>
          </cell>
          <cell r="B22105">
            <v>112357</v>
          </cell>
          <cell r="C22105" t="str">
            <v>Our Lady of the Rosary Catholic Primary School</v>
          </cell>
          <cell r="D22105" t="str">
            <v>Cumbria</v>
          </cell>
          <cell r="E22105" t="str">
            <v>Voluntary Aided School</v>
          </cell>
          <cell r="F22105" t="str">
            <v>Primary</v>
          </cell>
        </row>
        <row r="22106">
          <cell r="A22106">
            <v>8013412</v>
          </cell>
          <cell r="B22106">
            <v>109251</v>
          </cell>
          <cell r="C22106" t="str">
            <v>Our Lady of the Rosary Catholic Primary School, Bristol</v>
          </cell>
          <cell r="D22106" t="str">
            <v>Bristol City of</v>
          </cell>
          <cell r="E22106" t="str">
            <v>Voluntary Aided School</v>
          </cell>
          <cell r="F22106" t="str">
            <v>Primary</v>
          </cell>
        </row>
        <row r="22107">
          <cell r="A22107">
            <v>3583327</v>
          </cell>
          <cell r="B22107">
            <v>106358</v>
          </cell>
          <cell r="C22107" t="str">
            <v>Our Lady of the Rosary RC Primary School</v>
          </cell>
          <cell r="D22107" t="str">
            <v>Trafford</v>
          </cell>
          <cell r="E22107" t="str">
            <v>Voluntary Aided School</v>
          </cell>
          <cell r="F22107" t="str">
            <v>Primary</v>
          </cell>
        </row>
        <row r="22108">
          <cell r="A22108">
            <v>9363461</v>
          </cell>
          <cell r="B22108">
            <v>125215</v>
          </cell>
          <cell r="C22108" t="str">
            <v>Our Lady of the Rosary RC Primary School</v>
          </cell>
          <cell r="D22108" t="str">
            <v>Surrey</v>
          </cell>
          <cell r="E22108" t="str">
            <v>Voluntary Aided School</v>
          </cell>
          <cell r="F22108" t="str">
            <v>Primary</v>
          </cell>
        </row>
        <row r="22109">
          <cell r="A22109">
            <v>3503358</v>
          </cell>
          <cell r="B22109">
            <v>127399</v>
          </cell>
          <cell r="C22109" t="str">
            <v>Our Lady of the Rosary RC Primary School</v>
          </cell>
          <cell r="D22109" t="str">
            <v>Bolton</v>
          </cell>
          <cell r="E22109" t="str">
            <v>Voluntary Aided School</v>
          </cell>
          <cell r="F22109" t="str">
            <v>Primary</v>
          </cell>
        </row>
        <row r="22110">
          <cell r="A22110">
            <v>8403510</v>
          </cell>
          <cell r="B22110">
            <v>114282</v>
          </cell>
          <cell r="C22110" t="str">
            <v>Our Lady of the Rosary Roman Catholic Voluntary Aided Primary</v>
          </cell>
          <cell r="D22110" t="str">
            <v>Durham</v>
          </cell>
          <cell r="E22110" t="str">
            <v>Voluntary Aided School</v>
          </cell>
          <cell r="F22110" t="str">
            <v>Primary</v>
          </cell>
        </row>
        <row r="22111">
          <cell r="A22111">
            <v>3073503</v>
          </cell>
          <cell r="B22111">
            <v>101920</v>
          </cell>
          <cell r="C22111" t="str">
            <v>Our Lady of the Visitation Catholic Primary School</v>
          </cell>
          <cell r="D22111" t="str">
            <v>Ealing</v>
          </cell>
          <cell r="E22111" t="str">
            <v>Voluntary Aided School</v>
          </cell>
          <cell r="F22111" t="str">
            <v>Primary</v>
          </cell>
        </row>
        <row r="22112">
          <cell r="A22112">
            <v>3343500</v>
          </cell>
          <cell r="B22112">
            <v>104098</v>
          </cell>
          <cell r="C22112" t="str">
            <v>Our Lady of the Wayside Catholic Primary School</v>
          </cell>
          <cell r="D22112" t="str">
            <v>Solihull</v>
          </cell>
          <cell r="E22112" t="str">
            <v>Voluntary Aided School</v>
          </cell>
          <cell r="F22112" t="str">
            <v>Primary</v>
          </cell>
        </row>
        <row r="22113">
          <cell r="A22113">
            <v>2123387</v>
          </cell>
          <cell r="B22113">
            <v>101037</v>
          </cell>
          <cell r="C22113" t="str">
            <v>Our Lady of Victories Catholic Primary School</v>
          </cell>
          <cell r="D22113" t="str">
            <v>Wandsworth</v>
          </cell>
          <cell r="E22113" t="str">
            <v>Voluntary Aided School</v>
          </cell>
          <cell r="F22113" t="str">
            <v>Primary</v>
          </cell>
        </row>
        <row r="22114">
          <cell r="A22114">
            <v>3803372</v>
          </cell>
          <cell r="B22114">
            <v>107347</v>
          </cell>
          <cell r="C22114" t="str">
            <v>Our Lady of Victories Catholic School</v>
          </cell>
          <cell r="D22114" t="str">
            <v>Bradford</v>
          </cell>
          <cell r="E22114" t="str">
            <v>Voluntary Aided School</v>
          </cell>
          <cell r="F22114" t="str">
            <v>Primary</v>
          </cell>
        </row>
        <row r="22115">
          <cell r="A22115">
            <v>2075200</v>
          </cell>
          <cell r="B22115">
            <v>100504</v>
          </cell>
          <cell r="C22115" t="str">
            <v>Our Lady of Victories RC Primary School</v>
          </cell>
          <cell r="D22115" t="str">
            <v>Kensington and Chelsea</v>
          </cell>
          <cell r="E22115" t="str">
            <v>Voluntary Aided School</v>
          </cell>
          <cell r="F22115" t="str">
            <v>Primary</v>
          </cell>
        </row>
        <row r="22116">
          <cell r="A22116">
            <v>3433326</v>
          </cell>
          <cell r="B22116">
            <v>104913</v>
          </cell>
          <cell r="C22116" t="str">
            <v>Our Lady of Walsingham Catholic Infant School</v>
          </cell>
          <cell r="D22116" t="str">
            <v>Sefton</v>
          </cell>
          <cell r="E22116" t="str">
            <v>Voluntary Aided School</v>
          </cell>
          <cell r="F22116" t="str">
            <v>Primary</v>
          </cell>
        </row>
        <row r="22117">
          <cell r="A22117">
            <v>9283402</v>
          </cell>
          <cell r="B22117">
            <v>122042</v>
          </cell>
          <cell r="C22117" t="str">
            <v>Our Lady of Walsingham Catholic Infant School, Corby</v>
          </cell>
          <cell r="D22117" t="str">
            <v>Northamptonshire</v>
          </cell>
          <cell r="E22117" t="str">
            <v>Voluntary Aided School</v>
          </cell>
          <cell r="F22117" t="str">
            <v>Primary</v>
          </cell>
        </row>
        <row r="22118">
          <cell r="A22118">
            <v>3433323</v>
          </cell>
          <cell r="B22118">
            <v>104911</v>
          </cell>
          <cell r="C22118" t="str">
            <v>Our Lady of Walsingham Catholic Junior School</v>
          </cell>
          <cell r="D22118" t="str">
            <v>Sefton</v>
          </cell>
          <cell r="E22118" t="str">
            <v>Voluntary Aided School</v>
          </cell>
          <cell r="F22118" t="str">
            <v>Primary</v>
          </cell>
        </row>
        <row r="22119">
          <cell r="A22119">
            <v>9283401</v>
          </cell>
          <cell r="B22119">
            <v>122041</v>
          </cell>
          <cell r="C22119" t="str">
            <v>Our Lady of Walsingham Catholic Junior School</v>
          </cell>
          <cell r="D22119" t="str">
            <v>Northamptonshire</v>
          </cell>
          <cell r="E22119" t="str">
            <v>Voluntary Aided School</v>
          </cell>
          <cell r="F22119" t="str">
            <v>Primary</v>
          </cell>
        </row>
        <row r="22120">
          <cell r="A22120">
            <v>3433383</v>
          </cell>
          <cell r="B22120">
            <v>132198</v>
          </cell>
          <cell r="C22120" t="str">
            <v>Our Lady of Walsingham Catholic Primary School</v>
          </cell>
          <cell r="D22120" t="str">
            <v>Sefton</v>
          </cell>
          <cell r="E22120" t="str">
            <v>Voluntary Aided School</v>
          </cell>
          <cell r="F22120" t="str">
            <v>Primary</v>
          </cell>
        </row>
        <row r="22121">
          <cell r="A22121">
            <v>9283509</v>
          </cell>
          <cell r="B22121">
            <v>134877</v>
          </cell>
          <cell r="C22121" t="str">
            <v>Our Lady of Walsingham Catholic Primary School</v>
          </cell>
          <cell r="D22121" t="str">
            <v>Northamptonshire</v>
          </cell>
          <cell r="E22121" t="str">
            <v>Voluntary Aided School</v>
          </cell>
          <cell r="F22121" t="str">
            <v>Primary</v>
          </cell>
        </row>
        <row r="22122">
          <cell r="A22122">
            <v>8163904</v>
          </cell>
          <cell r="B22122">
            <v>136435</v>
          </cell>
          <cell r="C22122" t="str">
            <v>Our Lady Queen Martyrs</v>
          </cell>
          <cell r="D22122" t="str">
            <v>York</v>
          </cell>
          <cell r="E22122" t="str">
            <v>Voluntary Aided School</v>
          </cell>
          <cell r="F22122" t="str">
            <v>Primary</v>
          </cell>
        </row>
        <row r="22123">
          <cell r="A22123">
            <v>9383338</v>
          </cell>
          <cell r="B22123">
            <v>126044</v>
          </cell>
          <cell r="C22123" t="str">
            <v>Our Lady Queen of Heaven Catholic Primary School, Crawley</v>
          </cell>
          <cell r="D22123" t="str">
            <v>West Sussex</v>
          </cell>
          <cell r="E22123" t="str">
            <v>Voluntary Aided School</v>
          </cell>
          <cell r="F22123" t="str">
            <v>Primary</v>
          </cell>
        </row>
        <row r="22124">
          <cell r="A22124">
            <v>2123636</v>
          </cell>
          <cell r="B22124">
            <v>101051</v>
          </cell>
          <cell r="C22124" t="str">
            <v>Our Lady Queen of Heaven RC School</v>
          </cell>
          <cell r="D22124" t="str">
            <v>Wandsworth</v>
          </cell>
          <cell r="E22124" t="str">
            <v>Voluntary Aided School</v>
          </cell>
          <cell r="F22124" t="str">
            <v>Primary</v>
          </cell>
        </row>
        <row r="22125">
          <cell r="A22125">
            <v>8403483</v>
          </cell>
          <cell r="B22125">
            <v>114269</v>
          </cell>
          <cell r="C22125" t="str">
            <v>Our Lady Queen of Martyrs Roman Catholic Voluntary Aided Primary School, Newhouse</v>
          </cell>
          <cell r="D22125" t="str">
            <v>Durham</v>
          </cell>
          <cell r="E22125" t="str">
            <v>Voluntary Aided School</v>
          </cell>
          <cell r="F22125" t="str">
            <v>Primary</v>
          </cell>
        </row>
        <row r="22126">
          <cell r="A22126">
            <v>8884621</v>
          </cell>
          <cell r="B22126">
            <v>119782</v>
          </cell>
          <cell r="C22126" t="str">
            <v>Our Lady Queen of Peace Catholic Engineering College</v>
          </cell>
          <cell r="D22126" t="str">
            <v>Lancashire</v>
          </cell>
          <cell r="E22126" t="str">
            <v>Voluntary Aided School</v>
          </cell>
          <cell r="F22126" t="str">
            <v>Secondary</v>
          </cell>
        </row>
        <row r="22127">
          <cell r="A22127">
            <v>8853387</v>
          </cell>
          <cell r="B22127">
            <v>116921</v>
          </cell>
          <cell r="C22127" t="str">
            <v>Our Lady Queen of Peace Catholic Primary</v>
          </cell>
          <cell r="D22127" t="str">
            <v>Worcestershire</v>
          </cell>
          <cell r="E22127" t="str">
            <v>Voluntary Aided School</v>
          </cell>
          <cell r="F22127" t="str">
            <v>Primary</v>
          </cell>
        </row>
        <row r="22128">
          <cell r="A22128">
            <v>3433366</v>
          </cell>
          <cell r="B22128">
            <v>104935</v>
          </cell>
          <cell r="C22128" t="str">
            <v>Our Lady Queen of Peace Catholic Primary School</v>
          </cell>
          <cell r="D22128" t="str">
            <v>Sefton</v>
          </cell>
          <cell r="E22128" t="str">
            <v>Voluntary Aided School</v>
          </cell>
          <cell r="F22128" t="str">
            <v>Primary</v>
          </cell>
        </row>
        <row r="22129">
          <cell r="A22129">
            <v>3943327</v>
          </cell>
          <cell r="B22129">
            <v>108851</v>
          </cell>
          <cell r="C22129" t="str">
            <v>Our Lady Queen of Peace Roman Catholic Voluntary Aided Primary School</v>
          </cell>
          <cell r="D22129" t="str">
            <v>Sunderland</v>
          </cell>
          <cell r="E22129" t="str">
            <v>Voluntary Aided School</v>
          </cell>
          <cell r="F22129" t="str">
            <v>Primary</v>
          </cell>
        </row>
        <row r="22130">
          <cell r="A22130">
            <v>2023655</v>
          </cell>
          <cell r="B22130">
            <v>100048</v>
          </cell>
          <cell r="C22130" t="str">
            <v>Our Lady Roman Catholic Primary School</v>
          </cell>
          <cell r="D22130" t="str">
            <v>Camden</v>
          </cell>
          <cell r="E22130" t="str">
            <v>Voluntary Aided School</v>
          </cell>
          <cell r="F22130" t="str">
            <v>Primary</v>
          </cell>
        </row>
        <row r="22131">
          <cell r="A22131">
            <v>2113385</v>
          </cell>
          <cell r="B22131">
            <v>100948</v>
          </cell>
          <cell r="C22131" t="str">
            <v>Our Lady Roman Catholic Primary School</v>
          </cell>
          <cell r="D22131" t="str">
            <v>Tower Hamlets</v>
          </cell>
          <cell r="E22131" t="str">
            <v>Voluntary Aided School</v>
          </cell>
          <cell r="F22131" t="str">
            <v>Primary</v>
          </cell>
        </row>
        <row r="22132">
          <cell r="A22132">
            <v>9193382</v>
          </cell>
          <cell r="B22132">
            <v>117464</v>
          </cell>
          <cell r="C22132" t="str">
            <v>Our Lady Roman Catholic Primary School</v>
          </cell>
          <cell r="D22132" t="str">
            <v>Hertfordshire</v>
          </cell>
          <cell r="E22132" t="str">
            <v>Voluntary Aided School</v>
          </cell>
          <cell r="F22132" t="str">
            <v>Primary</v>
          </cell>
        </row>
        <row r="22133">
          <cell r="A22133">
            <v>9193399</v>
          </cell>
          <cell r="B22133">
            <v>117476</v>
          </cell>
          <cell r="C22133" t="str">
            <v>Our Lady Roman Catholic Primary School</v>
          </cell>
          <cell r="D22133" t="str">
            <v>Hertfordshire</v>
          </cell>
          <cell r="E22133" t="str">
            <v>Voluntary Aided School</v>
          </cell>
          <cell r="F22133" t="str">
            <v>Primary</v>
          </cell>
        </row>
        <row r="22134">
          <cell r="A22134">
            <v>3433357</v>
          </cell>
          <cell r="B22134">
            <v>104929</v>
          </cell>
          <cell r="C22134" t="str">
            <v>Our Lady Star of the Sea Catholic Primary School</v>
          </cell>
          <cell r="D22134" t="str">
            <v>Sefton</v>
          </cell>
          <cell r="E22134" t="str">
            <v>Voluntary Aided School</v>
          </cell>
          <cell r="F22134" t="str">
            <v>Primary</v>
          </cell>
        </row>
        <row r="22135">
          <cell r="A22135">
            <v>8883715</v>
          </cell>
          <cell r="B22135">
            <v>119627</v>
          </cell>
          <cell r="C22135" t="str">
            <v>Our Lady Star of the Sea Catholic Primary School</v>
          </cell>
          <cell r="D22135" t="str">
            <v>Lancashire</v>
          </cell>
          <cell r="E22135" t="str">
            <v>Voluntary Aided School</v>
          </cell>
          <cell r="F22135" t="str">
            <v>Primary</v>
          </cell>
        </row>
        <row r="22136">
          <cell r="A22136">
            <v>8963815</v>
          </cell>
          <cell r="B22136">
            <v>135246</v>
          </cell>
          <cell r="C22136" t="str">
            <v>Our Lady Star of the Sea Catholic Primary School</v>
          </cell>
          <cell r="D22136" t="str">
            <v>Cheshire West and Chester</v>
          </cell>
          <cell r="E22136" t="str">
            <v>Voluntary Aided School</v>
          </cell>
          <cell r="F22136" t="str">
            <v>Primary</v>
          </cell>
        </row>
        <row r="22137">
          <cell r="A22137">
            <v>8403507</v>
          </cell>
          <cell r="B22137">
            <v>114281</v>
          </cell>
          <cell r="C22137" t="str">
            <v>Our Lady Star of the Sea Roman Catholic Voluntary Aided Primary</v>
          </cell>
          <cell r="D22137" t="str">
            <v>Durham</v>
          </cell>
          <cell r="E22137" t="str">
            <v>Voluntary Aided School</v>
          </cell>
          <cell r="F22137" t="str">
            <v>Primary</v>
          </cell>
        </row>
        <row r="22138">
          <cell r="A22138">
            <v>9316076</v>
          </cell>
          <cell r="B22138">
            <v>123298</v>
          </cell>
          <cell r="C22138" t="str">
            <v>Our Lady's Abingdon</v>
          </cell>
          <cell r="D22138" t="str">
            <v>Oxfordshire</v>
          </cell>
          <cell r="E22138" t="str">
            <v>Other Independent School</v>
          </cell>
          <cell r="F22138" t="str">
            <v>Not applicable</v>
          </cell>
        </row>
        <row r="22139">
          <cell r="A22139">
            <v>3413541</v>
          </cell>
          <cell r="B22139">
            <v>104642</v>
          </cell>
          <cell r="C22139" t="str">
            <v>Our Lady's Bishop Eton Catholic Primary School</v>
          </cell>
          <cell r="D22139" t="str">
            <v>Liverpool</v>
          </cell>
          <cell r="E22139" t="str">
            <v>Voluntary Aided School</v>
          </cell>
          <cell r="F22139" t="str">
            <v>Primary</v>
          </cell>
        </row>
        <row r="22140">
          <cell r="A22140">
            <v>8884717</v>
          </cell>
          <cell r="B22140">
            <v>119798</v>
          </cell>
          <cell r="C22140" t="str">
            <v>Our Lady's Catholic College</v>
          </cell>
          <cell r="D22140" t="str">
            <v>Lancashire</v>
          </cell>
          <cell r="E22140" t="str">
            <v>Voluntary Aided School</v>
          </cell>
          <cell r="F22140" t="str">
            <v>Secondary</v>
          </cell>
        </row>
        <row r="22141">
          <cell r="A22141">
            <v>3415401</v>
          </cell>
          <cell r="B22141">
            <v>104719</v>
          </cell>
          <cell r="C22141" t="str">
            <v>Our Lady's Catholic High School</v>
          </cell>
          <cell r="D22141" t="str">
            <v>Liverpool</v>
          </cell>
          <cell r="E22141" t="str">
            <v>Voluntary Aided School</v>
          </cell>
          <cell r="F22141" t="str">
            <v>Secondary</v>
          </cell>
        </row>
        <row r="22142">
          <cell r="A22142">
            <v>8884606</v>
          </cell>
          <cell r="B22142">
            <v>119779</v>
          </cell>
          <cell r="C22142" t="str">
            <v>Our Lady's Catholic High School</v>
          </cell>
          <cell r="D22142" t="str">
            <v>Lancashire</v>
          </cell>
          <cell r="E22142" t="str">
            <v>Voluntary Aided School</v>
          </cell>
          <cell r="F22142" t="str">
            <v>Secondary</v>
          </cell>
        </row>
        <row r="22143">
          <cell r="A22143">
            <v>8753554</v>
          </cell>
          <cell r="B22143">
            <v>111353</v>
          </cell>
          <cell r="C22143" t="str">
            <v>Our Lady's Catholic Infant School</v>
          </cell>
          <cell r="D22143" t="str">
            <v>Pre LGR (2009) Cheshire</v>
          </cell>
          <cell r="E22143" t="str">
            <v>Voluntary Aided School</v>
          </cell>
          <cell r="F22143" t="str">
            <v>Primary</v>
          </cell>
        </row>
        <row r="22144">
          <cell r="A22144">
            <v>9283501</v>
          </cell>
          <cell r="B22144">
            <v>122049</v>
          </cell>
          <cell r="C22144" t="str">
            <v>Our Lady's Catholic Infant School, Wellingborough</v>
          </cell>
          <cell r="D22144" t="str">
            <v>Northamptonshire</v>
          </cell>
          <cell r="E22144" t="str">
            <v>Voluntary Aided School</v>
          </cell>
          <cell r="F22144" t="str">
            <v>Primary</v>
          </cell>
        </row>
        <row r="22145">
          <cell r="A22145">
            <v>8753553</v>
          </cell>
          <cell r="B22145">
            <v>111352</v>
          </cell>
          <cell r="C22145" t="str">
            <v>Our Lady's Catholic Junior School</v>
          </cell>
          <cell r="D22145" t="str">
            <v>Pre LGR (2009) Cheshire</v>
          </cell>
          <cell r="E22145" t="str">
            <v>Voluntary Aided School</v>
          </cell>
          <cell r="F22145" t="str">
            <v>Primary</v>
          </cell>
        </row>
        <row r="22146">
          <cell r="A22146">
            <v>9283407</v>
          </cell>
          <cell r="B22146">
            <v>122046</v>
          </cell>
          <cell r="C22146" t="str">
            <v>Our Lady's Catholic Junior School</v>
          </cell>
          <cell r="D22146" t="str">
            <v>Northamptonshire</v>
          </cell>
          <cell r="E22146" t="str">
            <v>Voluntary Aided School</v>
          </cell>
          <cell r="F22146" t="str">
            <v>Primary</v>
          </cell>
        </row>
        <row r="22147">
          <cell r="A22147">
            <v>3303357</v>
          </cell>
          <cell r="B22147">
            <v>103449</v>
          </cell>
          <cell r="C22147" t="str">
            <v>Our Lady's Catholic Primary School</v>
          </cell>
          <cell r="D22147" t="str">
            <v>Birmingham</v>
          </cell>
          <cell r="E22147" t="str">
            <v>Voluntary Aided School</v>
          </cell>
          <cell r="F22147" t="str">
            <v>Primary</v>
          </cell>
        </row>
        <row r="22148">
          <cell r="A22148">
            <v>3403314</v>
          </cell>
          <cell r="B22148">
            <v>104459</v>
          </cell>
          <cell r="C22148" t="str">
            <v>Our Lady's Catholic Primary School</v>
          </cell>
          <cell r="D22148" t="str">
            <v>Knowsley</v>
          </cell>
          <cell r="E22148" t="str">
            <v>Voluntary Aided School</v>
          </cell>
          <cell r="F22148" t="str">
            <v>Primary</v>
          </cell>
        </row>
        <row r="22149">
          <cell r="A22149">
            <v>3563506</v>
          </cell>
          <cell r="B22149">
            <v>106114</v>
          </cell>
          <cell r="C22149" t="str">
            <v>Our Lady's Catholic Primary School</v>
          </cell>
          <cell r="D22149" t="str">
            <v>Stockport</v>
          </cell>
          <cell r="E22149" t="str">
            <v>Voluntary Aided School</v>
          </cell>
          <cell r="F22149" t="str">
            <v>Primary</v>
          </cell>
        </row>
        <row r="22150">
          <cell r="A22150">
            <v>8253375</v>
          </cell>
          <cell r="B22150">
            <v>110479</v>
          </cell>
          <cell r="C22150" t="str">
            <v>Our Lady's Catholic Primary School</v>
          </cell>
          <cell r="D22150" t="str">
            <v>Buckinghamshire</v>
          </cell>
          <cell r="E22150" t="str">
            <v>Voluntary Aided School</v>
          </cell>
          <cell r="F22150" t="str">
            <v>Primary</v>
          </cell>
        </row>
        <row r="22151">
          <cell r="A22151">
            <v>8773400</v>
          </cell>
          <cell r="B22151">
            <v>111305</v>
          </cell>
          <cell r="C22151" t="str">
            <v>Our Lady's Catholic Primary School</v>
          </cell>
          <cell r="D22151" t="str">
            <v>Warrington</v>
          </cell>
          <cell r="E22151" t="str">
            <v>Voluntary Aided School</v>
          </cell>
          <cell r="F22151" t="str">
            <v>Primary</v>
          </cell>
        </row>
        <row r="22152">
          <cell r="A22152">
            <v>9313836</v>
          </cell>
          <cell r="B22152">
            <v>123215</v>
          </cell>
          <cell r="C22152" t="str">
            <v>Our Lady's Catholic Primary School</v>
          </cell>
          <cell r="D22152" t="str">
            <v>Oxfordshire</v>
          </cell>
          <cell r="E22152" t="str">
            <v>Voluntary Aided School</v>
          </cell>
          <cell r="F22152" t="str">
            <v>Primary</v>
          </cell>
        </row>
        <row r="22153">
          <cell r="A22153">
            <v>8613411</v>
          </cell>
          <cell r="B22153">
            <v>124321</v>
          </cell>
          <cell r="C22153" t="str">
            <v>Our Lady's Catholic Primary School</v>
          </cell>
          <cell r="D22153" t="str">
            <v>Stoke-on-Trent</v>
          </cell>
          <cell r="E22153" t="str">
            <v>Voluntary Aided School</v>
          </cell>
          <cell r="F22153" t="str">
            <v>Primary</v>
          </cell>
        </row>
        <row r="22154">
          <cell r="A22154">
            <v>8603471</v>
          </cell>
          <cell r="B22154">
            <v>124364</v>
          </cell>
          <cell r="C22154" t="str">
            <v>Our Lady's Catholic Primary School</v>
          </cell>
          <cell r="D22154" t="str">
            <v>Staffordshire</v>
          </cell>
          <cell r="E22154" t="str">
            <v>Voluntary Aided School</v>
          </cell>
          <cell r="F22154" t="str">
            <v>Primary</v>
          </cell>
        </row>
        <row r="22155">
          <cell r="A22155">
            <v>9373500</v>
          </cell>
          <cell r="B22155">
            <v>125704</v>
          </cell>
          <cell r="C22155" t="str">
            <v>Our Lady's Catholic Primary School, Alcester</v>
          </cell>
          <cell r="D22155" t="str">
            <v>Warwickshire</v>
          </cell>
          <cell r="E22155" t="str">
            <v>Voluntary Aided School</v>
          </cell>
          <cell r="F22155" t="str">
            <v>Primary</v>
          </cell>
        </row>
        <row r="22156">
          <cell r="A22156">
            <v>8783452</v>
          </cell>
          <cell r="B22156">
            <v>113448</v>
          </cell>
          <cell r="C22156" t="str">
            <v>Our Lady's Catholic Primary School, Barnstaple</v>
          </cell>
          <cell r="D22156" t="str">
            <v>Devon</v>
          </cell>
          <cell r="E22156" t="str">
            <v>Voluntary Aided School</v>
          </cell>
          <cell r="F22156" t="str">
            <v>Primary</v>
          </cell>
        </row>
        <row r="22157">
          <cell r="A22157">
            <v>8863733</v>
          </cell>
          <cell r="B22157">
            <v>118768</v>
          </cell>
          <cell r="C22157" t="str">
            <v>Our Lady's Catholic Primary School, Dartford</v>
          </cell>
          <cell r="D22157" t="str">
            <v>Kent</v>
          </cell>
          <cell r="E22157" t="str">
            <v>Voluntary Aided School</v>
          </cell>
          <cell r="F22157" t="str">
            <v>Primary</v>
          </cell>
        </row>
        <row r="22158">
          <cell r="A22158">
            <v>9373561</v>
          </cell>
          <cell r="B22158">
            <v>125721</v>
          </cell>
          <cell r="C22158" t="str">
            <v>Our Lady's Catholic Primary School, Princethorpe</v>
          </cell>
          <cell r="D22158" t="str">
            <v>Warwickshire</v>
          </cell>
          <cell r="E22158" t="str">
            <v>Voluntary Aided School</v>
          </cell>
          <cell r="F22158" t="str">
            <v>Primary</v>
          </cell>
        </row>
        <row r="22159">
          <cell r="A22159">
            <v>9316091</v>
          </cell>
          <cell r="B22159">
            <v>123309</v>
          </cell>
          <cell r="C22159" t="str">
            <v>Our Lady's Convent Junior School</v>
          </cell>
          <cell r="D22159" t="str">
            <v>Oxfordshire</v>
          </cell>
          <cell r="E22159" t="str">
            <v>Other Independent School</v>
          </cell>
          <cell r="F22159" t="str">
            <v>Not applicable</v>
          </cell>
        </row>
        <row r="22160">
          <cell r="A22160">
            <v>2044641</v>
          </cell>
          <cell r="B22160">
            <v>100282</v>
          </cell>
          <cell r="C22160" t="str">
            <v>Our Lady's Convent Roman Catholic High School</v>
          </cell>
          <cell r="D22160" t="str">
            <v>Hackney</v>
          </cell>
          <cell r="E22160" t="str">
            <v>Voluntary Aided School</v>
          </cell>
          <cell r="F22160" t="str">
            <v>Secondary</v>
          </cell>
        </row>
        <row r="22161">
          <cell r="A22161">
            <v>8556008</v>
          </cell>
          <cell r="B22161">
            <v>120317</v>
          </cell>
          <cell r="C22161" t="str">
            <v>Our Lady's Convent School</v>
          </cell>
          <cell r="D22161" t="str">
            <v>Leicestershire</v>
          </cell>
          <cell r="E22161" t="str">
            <v>Other Independent School</v>
          </cell>
          <cell r="F22161" t="str">
            <v>Not applicable</v>
          </cell>
        </row>
        <row r="22162">
          <cell r="A22162">
            <v>9286016</v>
          </cell>
          <cell r="B22162">
            <v>122132</v>
          </cell>
          <cell r="C22162" t="str">
            <v>Our Lady's Convent School</v>
          </cell>
          <cell r="D22162" t="str">
            <v>Northamptonshire</v>
          </cell>
          <cell r="E22162" t="str">
            <v>Other Independent School</v>
          </cell>
          <cell r="F22162" t="str">
            <v>Not applicable</v>
          </cell>
        </row>
        <row r="22163">
          <cell r="A22163">
            <v>8726007</v>
          </cell>
          <cell r="B22163">
            <v>110154</v>
          </cell>
          <cell r="C22163" t="str">
            <v>Our Lady's Preparatory School</v>
          </cell>
          <cell r="D22163" t="str">
            <v>Wokingham</v>
          </cell>
          <cell r="E22163" t="str">
            <v>Other Independent School</v>
          </cell>
          <cell r="F22163" t="str">
            <v>Not applicable</v>
          </cell>
        </row>
        <row r="22164">
          <cell r="A22164">
            <v>6743309</v>
          </cell>
          <cell r="B22164">
            <v>401263</v>
          </cell>
          <cell r="C22164" t="str">
            <v>Our Lady's R.C. Primary School</v>
          </cell>
          <cell r="D22164" t="str">
            <v>Rhondda, Cynon, Taff</v>
          </cell>
          <cell r="E22164" t="str">
            <v>Welsh Establishment</v>
          </cell>
          <cell r="F22164" t="str">
            <v>Primary</v>
          </cell>
        </row>
        <row r="22165">
          <cell r="A22165">
            <v>3833616</v>
          </cell>
          <cell r="B22165">
            <v>127936</v>
          </cell>
          <cell r="C22165" t="str">
            <v>Our Lady's RC First School</v>
          </cell>
          <cell r="D22165" t="str">
            <v>Leeds</v>
          </cell>
          <cell r="E22165" t="str">
            <v>Voluntary Aided School</v>
          </cell>
          <cell r="F22165" t="str">
            <v>Primary</v>
          </cell>
        </row>
        <row r="22166">
          <cell r="A22166">
            <v>3534607</v>
          </cell>
          <cell r="B22166">
            <v>105742</v>
          </cell>
          <cell r="C22166" t="str">
            <v>Our Lady's RC High School</v>
          </cell>
          <cell r="D22166" t="str">
            <v>Oldham</v>
          </cell>
          <cell r="E22166" t="str">
            <v>Voluntary Aided School</v>
          </cell>
          <cell r="F22166" t="str">
            <v>Secondary</v>
          </cell>
        </row>
        <row r="22167">
          <cell r="A22167">
            <v>3533334</v>
          </cell>
          <cell r="B22167">
            <v>105706</v>
          </cell>
          <cell r="C22167" t="str">
            <v>Our Lady's RC Primary School</v>
          </cell>
          <cell r="D22167" t="str">
            <v>Oldham</v>
          </cell>
          <cell r="E22167" t="str">
            <v>Voluntary Aided School</v>
          </cell>
          <cell r="F22167" t="str">
            <v>Primary</v>
          </cell>
        </row>
        <row r="22168">
          <cell r="A22168">
            <v>8843330</v>
          </cell>
          <cell r="B22168">
            <v>116883</v>
          </cell>
          <cell r="C22168" t="str">
            <v>Our Lady's RC Primary School</v>
          </cell>
          <cell r="D22168" t="str">
            <v>Herefordshire</v>
          </cell>
          <cell r="E22168" t="str">
            <v>Voluntary Aided School</v>
          </cell>
          <cell r="F22168" t="str">
            <v>Primary</v>
          </cell>
        </row>
        <row r="22169">
          <cell r="A22169">
            <v>9363466</v>
          </cell>
          <cell r="B22169">
            <v>130092</v>
          </cell>
          <cell r="C22169" t="str">
            <v>Our Lady's RC Primary School</v>
          </cell>
          <cell r="D22169" t="str">
            <v>Surrey</v>
          </cell>
          <cell r="E22169" t="str">
            <v>Voluntary Aided School</v>
          </cell>
          <cell r="F22169" t="str">
            <v>Primary</v>
          </cell>
        </row>
        <row r="22170">
          <cell r="A22170">
            <v>3523475</v>
          </cell>
          <cell r="B22170">
            <v>105543</v>
          </cell>
          <cell r="C22170" t="str">
            <v>Our Lady's RC Primary School Manchester</v>
          </cell>
          <cell r="D22170" t="str">
            <v>Manchester</v>
          </cell>
          <cell r="E22170" t="str">
            <v>Voluntary Aided School</v>
          </cell>
          <cell r="F22170" t="str">
            <v>Primary</v>
          </cell>
        </row>
        <row r="22171">
          <cell r="A22171">
            <v>3593386</v>
          </cell>
          <cell r="B22171">
            <v>106490</v>
          </cell>
          <cell r="C22171" t="str">
            <v>Our Lady's RC Primary School Wigan</v>
          </cell>
          <cell r="D22171" t="str">
            <v>Wigan</v>
          </cell>
          <cell r="E22171" t="str">
            <v>Voluntary Aided School</v>
          </cell>
          <cell r="F22171" t="str">
            <v>Primary</v>
          </cell>
        </row>
        <row r="22172">
          <cell r="A22172">
            <v>3524761</v>
          </cell>
          <cell r="B22172">
            <v>105576</v>
          </cell>
          <cell r="C22172" t="str">
            <v>Our Lady's RC Sports College</v>
          </cell>
          <cell r="D22172" t="str">
            <v>Manchester</v>
          </cell>
          <cell r="E22172" t="str">
            <v>Voluntary Aided School</v>
          </cell>
          <cell r="F22172" t="str">
            <v>Secondary</v>
          </cell>
        </row>
        <row r="22173">
          <cell r="A22173">
            <v>8163404</v>
          </cell>
          <cell r="B22173">
            <v>121649</v>
          </cell>
          <cell r="C22173" t="str">
            <v>Our Lady's Roman Catholic Primary School, Acomb, York</v>
          </cell>
          <cell r="D22173" t="str">
            <v>York</v>
          </cell>
          <cell r="E22173" t="str">
            <v>Voluntary Aided School</v>
          </cell>
          <cell r="F22173" t="str">
            <v>Primary</v>
          </cell>
        </row>
        <row r="22174">
          <cell r="A22174">
            <v>8856039</v>
          </cell>
          <cell r="B22174">
            <v>136260</v>
          </cell>
          <cell r="C22174" t="str">
            <v>Our Place</v>
          </cell>
          <cell r="D22174" t="str">
            <v>Worcestershire</v>
          </cell>
          <cell r="E22174" t="str">
            <v>Other Independent Special School</v>
          </cell>
          <cell r="F22174" t="str">
            <v>Not applicable</v>
          </cell>
        </row>
        <row r="22175">
          <cell r="A22175">
            <v>8264018</v>
          </cell>
          <cell r="B22175">
            <v>110487</v>
          </cell>
          <cell r="C22175" t="str">
            <v>Ousedale School</v>
          </cell>
          <cell r="D22175" t="str">
            <v>Milton Keynes</v>
          </cell>
          <cell r="E22175" t="str">
            <v>Foundation School</v>
          </cell>
          <cell r="F22175" t="str">
            <v>Secondary</v>
          </cell>
        </row>
        <row r="22176">
          <cell r="A22176">
            <v>8264018</v>
          </cell>
          <cell r="B22176">
            <v>137052</v>
          </cell>
          <cell r="C22176" t="str">
            <v>Ousedale School</v>
          </cell>
          <cell r="D22176" t="str">
            <v>Milton Keynes</v>
          </cell>
          <cell r="E22176" t="str">
            <v>Academy Converters</v>
          </cell>
          <cell r="F22176" t="str">
            <v>Secondary</v>
          </cell>
        </row>
        <row r="22177">
          <cell r="A22177">
            <v>8402137</v>
          </cell>
          <cell r="B22177">
            <v>114014</v>
          </cell>
          <cell r="C22177" t="str">
            <v>Ouston Infant School</v>
          </cell>
          <cell r="D22177" t="str">
            <v>Durham</v>
          </cell>
          <cell r="E22177" t="str">
            <v>Community School</v>
          </cell>
          <cell r="F22177" t="str">
            <v>Primary</v>
          </cell>
        </row>
        <row r="22178">
          <cell r="A22178">
            <v>8402136</v>
          </cell>
          <cell r="B22178">
            <v>114013</v>
          </cell>
          <cell r="C22178" t="str">
            <v>Ouston Junior School</v>
          </cell>
          <cell r="D22178" t="str">
            <v>Durham</v>
          </cell>
          <cell r="E22178" t="str">
            <v>Community School</v>
          </cell>
          <cell r="F22178" t="str">
            <v>Primary</v>
          </cell>
        </row>
        <row r="22179">
          <cell r="A22179">
            <v>8883567</v>
          </cell>
          <cell r="B22179">
            <v>119554</v>
          </cell>
          <cell r="C22179" t="str">
            <v>Out Rawcliffe Church of England Primary School</v>
          </cell>
          <cell r="D22179" t="str">
            <v>Lancashire</v>
          </cell>
          <cell r="E22179" t="str">
            <v>Voluntary Aided School</v>
          </cell>
          <cell r="F22179" t="str">
            <v>Primary</v>
          </cell>
        </row>
        <row r="22180">
          <cell r="A22180">
            <v>3822040</v>
          </cell>
          <cell r="B22180">
            <v>107625</v>
          </cell>
          <cell r="C22180" t="str">
            <v>Outlane Infant School</v>
          </cell>
          <cell r="D22180" t="str">
            <v>Kirklees</v>
          </cell>
          <cell r="E22180" t="str">
            <v>Community School</v>
          </cell>
          <cell r="F22180" t="str">
            <v>Primary</v>
          </cell>
        </row>
        <row r="22181">
          <cell r="A22181">
            <v>3822039</v>
          </cell>
          <cell r="B22181">
            <v>107624</v>
          </cell>
          <cell r="C22181" t="str">
            <v>Outlane Junior School</v>
          </cell>
          <cell r="D22181" t="str">
            <v>Kirklees</v>
          </cell>
          <cell r="E22181" t="str">
            <v>Community School</v>
          </cell>
          <cell r="F22181" t="str">
            <v>Primary</v>
          </cell>
        </row>
        <row r="22182">
          <cell r="A22182">
            <v>6681106</v>
          </cell>
          <cell r="B22182">
            <v>402178</v>
          </cell>
          <cell r="C22182" t="str">
            <v>Outreach Unit (SAGE)</v>
          </cell>
          <cell r="D22182" t="str">
            <v>Pembrokeshire</v>
          </cell>
          <cell r="E22182" t="str">
            <v>Welsh Establishment</v>
          </cell>
          <cell r="F22182" t="str">
            <v>Not applicable</v>
          </cell>
        </row>
        <row r="22183">
          <cell r="A22183">
            <v>3716907</v>
          </cell>
          <cell r="B22183">
            <v>135963</v>
          </cell>
          <cell r="C22183" t="str">
            <v>Outwood Academy Adwick</v>
          </cell>
          <cell r="D22183" t="str">
            <v>Doncaster</v>
          </cell>
          <cell r="E22183" t="str">
            <v>Academy Sponsor Led</v>
          </cell>
          <cell r="F22183" t="str">
            <v>Secondary</v>
          </cell>
        </row>
        <row r="22184">
          <cell r="A22184">
            <v>8154203</v>
          </cell>
          <cell r="B22184">
            <v>137412</v>
          </cell>
          <cell r="C22184" t="str">
            <v>Outwood Academy Ripon</v>
          </cell>
          <cell r="D22184" t="str">
            <v>North Yorkshire</v>
          </cell>
          <cell r="E22184" t="str">
            <v>Academy Converters</v>
          </cell>
          <cell r="F22184" t="str">
            <v>Secondary</v>
          </cell>
        </row>
        <row r="22185">
          <cell r="A22185">
            <v>3846905</v>
          </cell>
          <cell r="B22185">
            <v>135961</v>
          </cell>
          <cell r="C22185" t="str">
            <v>Outwood Grange Academy</v>
          </cell>
          <cell r="D22185" t="str">
            <v>Wakefield</v>
          </cell>
          <cell r="E22185" t="str">
            <v>Academy Sponsor Led</v>
          </cell>
          <cell r="F22185" t="str">
            <v>Secondary</v>
          </cell>
        </row>
        <row r="22186">
          <cell r="A22186">
            <v>3844024</v>
          </cell>
          <cell r="B22186">
            <v>108277</v>
          </cell>
          <cell r="C22186" t="str">
            <v>Outwood Grange College of Technology</v>
          </cell>
          <cell r="D22186" t="str">
            <v>Wakefield</v>
          </cell>
          <cell r="E22186" t="str">
            <v>Foundation School</v>
          </cell>
          <cell r="F22186" t="str">
            <v>Secondary</v>
          </cell>
        </row>
        <row r="22187">
          <cell r="A22187">
            <v>3842080</v>
          </cell>
          <cell r="B22187">
            <v>108165</v>
          </cell>
          <cell r="C22187" t="str">
            <v>Outwood Ledger Lane Junior and Infant School</v>
          </cell>
          <cell r="D22187" t="str">
            <v>Wakefield</v>
          </cell>
          <cell r="E22187" t="str">
            <v>Community School</v>
          </cell>
          <cell r="F22187" t="str">
            <v>Primary</v>
          </cell>
        </row>
        <row r="22188">
          <cell r="A22188">
            <v>3562108</v>
          </cell>
          <cell r="B22188">
            <v>106094</v>
          </cell>
          <cell r="C22188" t="str">
            <v>Outwood Primary School</v>
          </cell>
          <cell r="D22188" t="str">
            <v>Stockport</v>
          </cell>
          <cell r="E22188" t="str">
            <v>Community School</v>
          </cell>
          <cell r="F22188" t="str">
            <v>Primary</v>
          </cell>
        </row>
        <row r="22189">
          <cell r="A22189">
            <v>8552169</v>
          </cell>
          <cell r="B22189">
            <v>119977</v>
          </cell>
          <cell r="C22189" t="str">
            <v>Outwoods Edge Primary School</v>
          </cell>
          <cell r="D22189" t="str">
            <v>Leicestershire</v>
          </cell>
          <cell r="E22189" t="str">
            <v>Community School</v>
          </cell>
          <cell r="F22189" t="str">
            <v>Primary</v>
          </cell>
        </row>
        <row r="22190">
          <cell r="A22190">
            <v>8603501</v>
          </cell>
          <cell r="B22190">
            <v>135282</v>
          </cell>
          <cell r="C22190" t="str">
            <v>Outwoods Primary School</v>
          </cell>
          <cell r="D22190" t="str">
            <v>Staffordshire</v>
          </cell>
          <cell r="E22190" t="str">
            <v>Foundation School</v>
          </cell>
          <cell r="F22190" t="str">
            <v>Primary</v>
          </cell>
        </row>
        <row r="22191">
          <cell r="A22191">
            <v>9372083</v>
          </cell>
          <cell r="B22191">
            <v>136061</v>
          </cell>
          <cell r="C22191" t="str">
            <v>Outwoods Primary School</v>
          </cell>
          <cell r="D22191" t="str">
            <v>Warwickshire</v>
          </cell>
          <cell r="E22191" t="str">
            <v>Community School</v>
          </cell>
          <cell r="F22191" t="str">
            <v>Primary</v>
          </cell>
        </row>
        <row r="22192">
          <cell r="A22192">
            <v>3062030</v>
          </cell>
          <cell r="B22192">
            <v>101731</v>
          </cell>
          <cell r="C22192" t="str">
            <v>Oval Primary School</v>
          </cell>
          <cell r="D22192" t="str">
            <v>Croydon</v>
          </cell>
          <cell r="E22192" t="str">
            <v>Community School</v>
          </cell>
          <cell r="F22192" t="str">
            <v>Primary</v>
          </cell>
        </row>
        <row r="22193">
          <cell r="A22193">
            <v>8962307</v>
          </cell>
          <cell r="B22193">
            <v>111130</v>
          </cell>
          <cell r="C22193" t="str">
            <v>Over Hall Community School</v>
          </cell>
          <cell r="D22193" t="str">
            <v>Cheshire West and Chester</v>
          </cell>
          <cell r="E22193" t="str">
            <v>Community School</v>
          </cell>
          <cell r="F22193" t="str">
            <v>Primary</v>
          </cell>
        </row>
        <row r="22194">
          <cell r="A22194">
            <v>8883670</v>
          </cell>
          <cell r="B22194">
            <v>119614</v>
          </cell>
          <cell r="C22194" t="str">
            <v>Over Kellet Wilson's Endowed Church of England Primary School</v>
          </cell>
          <cell r="D22194" t="str">
            <v>Lancashire</v>
          </cell>
          <cell r="E22194" t="str">
            <v>Voluntary Aided School</v>
          </cell>
          <cell r="F22194" t="str">
            <v>Primary</v>
          </cell>
        </row>
        <row r="22195">
          <cell r="A22195">
            <v>8732031</v>
          </cell>
          <cell r="B22195">
            <v>110616</v>
          </cell>
          <cell r="C22195" t="str">
            <v>Over Primary School</v>
          </cell>
          <cell r="D22195" t="str">
            <v>Cambridgeshire</v>
          </cell>
          <cell r="E22195" t="str">
            <v>Community School</v>
          </cell>
          <cell r="F22195" t="str">
            <v>Primary</v>
          </cell>
        </row>
        <row r="22196">
          <cell r="A22196">
            <v>8963135</v>
          </cell>
          <cell r="B22196">
            <v>111263</v>
          </cell>
          <cell r="C22196" t="str">
            <v>Over St John's CofE Primary School</v>
          </cell>
          <cell r="D22196" t="str">
            <v>Cheshire West and Chester</v>
          </cell>
          <cell r="E22196" t="str">
            <v>Voluntary Controlled School</v>
          </cell>
          <cell r="F22196" t="str">
            <v>Primary</v>
          </cell>
        </row>
        <row r="22197">
          <cell r="A22197">
            <v>8853084</v>
          </cell>
          <cell r="B22197">
            <v>116837</v>
          </cell>
          <cell r="C22197" t="str">
            <v>Overbury CofE First School</v>
          </cell>
          <cell r="D22197" t="str">
            <v>Worcestershire</v>
          </cell>
          <cell r="E22197" t="str">
            <v>Voluntary Controlled School</v>
          </cell>
          <cell r="F22197" t="str">
            <v>Primary</v>
          </cell>
        </row>
        <row r="22198">
          <cell r="A22198">
            <v>3442256</v>
          </cell>
          <cell r="B22198">
            <v>105043</v>
          </cell>
          <cell r="C22198" t="str">
            <v>Overchurch Infant School</v>
          </cell>
          <cell r="D22198" t="str">
            <v>Wirral</v>
          </cell>
          <cell r="E22198" t="str">
            <v>Community School</v>
          </cell>
          <cell r="F22198" t="str">
            <v>Primary</v>
          </cell>
        </row>
        <row r="22199">
          <cell r="A22199">
            <v>3442270</v>
          </cell>
          <cell r="B22199">
            <v>105056</v>
          </cell>
          <cell r="C22199" t="str">
            <v>Overchurch Junior School</v>
          </cell>
          <cell r="D22199" t="str">
            <v>Wirral</v>
          </cell>
          <cell r="E22199" t="str">
            <v>Community School</v>
          </cell>
          <cell r="F22199" t="str">
            <v>Primary</v>
          </cell>
        </row>
        <row r="22200">
          <cell r="A22200">
            <v>3402020</v>
          </cell>
          <cell r="B22200">
            <v>127236</v>
          </cell>
          <cell r="C22200" t="str">
            <v>Overdale County Junior School</v>
          </cell>
          <cell r="D22200" t="str">
            <v>Knowsley</v>
          </cell>
          <cell r="E22200" t="str">
            <v>Community School</v>
          </cell>
          <cell r="F22200" t="str">
            <v>Primary</v>
          </cell>
        </row>
        <row r="22201">
          <cell r="A22201">
            <v>8562262</v>
          </cell>
          <cell r="B22201">
            <v>120021</v>
          </cell>
          <cell r="C22201" t="str">
            <v>Overdale Infant School</v>
          </cell>
          <cell r="D22201" t="str">
            <v>Leicester</v>
          </cell>
          <cell r="E22201" t="str">
            <v>Community School</v>
          </cell>
          <cell r="F22201" t="str">
            <v>Primary</v>
          </cell>
        </row>
        <row r="22202">
          <cell r="A22202">
            <v>8562263</v>
          </cell>
          <cell r="B22202">
            <v>120022</v>
          </cell>
          <cell r="C22202" t="str">
            <v>Overdale Junior School</v>
          </cell>
          <cell r="D22202" t="str">
            <v>Leicester</v>
          </cell>
          <cell r="E22202" t="str">
            <v>Community School</v>
          </cell>
          <cell r="F22202" t="str">
            <v>Primary</v>
          </cell>
        </row>
        <row r="22203">
          <cell r="A22203">
            <v>3402030</v>
          </cell>
          <cell r="B22203">
            <v>104437</v>
          </cell>
          <cell r="C22203" t="str">
            <v>Overdale Primary School</v>
          </cell>
          <cell r="D22203" t="str">
            <v>Knowsley</v>
          </cell>
          <cell r="E22203" t="str">
            <v>Community School</v>
          </cell>
          <cell r="F22203" t="str">
            <v>Primary</v>
          </cell>
        </row>
        <row r="22204">
          <cell r="A22204">
            <v>3567507</v>
          </cell>
          <cell r="B22204">
            <v>106171</v>
          </cell>
          <cell r="C22204" t="str">
            <v>Overdale School</v>
          </cell>
          <cell r="D22204" t="str">
            <v>Stockport</v>
          </cell>
          <cell r="E22204" t="str">
            <v>Community Special School</v>
          </cell>
          <cell r="F22204" t="str">
            <v>Special</v>
          </cell>
        </row>
        <row r="22205">
          <cell r="A22205">
            <v>8072330</v>
          </cell>
          <cell r="B22205">
            <v>111630</v>
          </cell>
          <cell r="C22205" t="str">
            <v>Overfields Primary School</v>
          </cell>
          <cell r="D22205" t="str">
            <v>Redcar and Cleveland</v>
          </cell>
          <cell r="E22205" t="str">
            <v>Community School</v>
          </cell>
          <cell r="F22205" t="str">
            <v>Primary</v>
          </cell>
        </row>
        <row r="22206">
          <cell r="A22206">
            <v>8732213</v>
          </cell>
          <cell r="B22206">
            <v>110681</v>
          </cell>
          <cell r="C22206" t="str">
            <v>Overhills Primary School</v>
          </cell>
          <cell r="D22206" t="str">
            <v>Cambridgeshire</v>
          </cell>
          <cell r="E22206" t="str">
            <v>Community School</v>
          </cell>
          <cell r="F22206" t="str">
            <v>Primary</v>
          </cell>
        </row>
        <row r="22207">
          <cell r="A22207">
            <v>8963172</v>
          </cell>
          <cell r="B22207">
            <v>111290</v>
          </cell>
          <cell r="C22207" t="str">
            <v>Overleigh St Mary's CofE Primary School</v>
          </cell>
          <cell r="D22207" t="str">
            <v>Cheshire West and Chester</v>
          </cell>
          <cell r="E22207" t="str">
            <v>Voluntary Controlled School</v>
          </cell>
          <cell r="F22207" t="str">
            <v>Primary</v>
          </cell>
        </row>
        <row r="22208">
          <cell r="A22208">
            <v>8946003</v>
          </cell>
          <cell r="B22208">
            <v>123621</v>
          </cell>
          <cell r="C22208" t="str">
            <v>Overley Hall School</v>
          </cell>
          <cell r="D22208" t="str">
            <v>Telford and Wrekin</v>
          </cell>
          <cell r="E22208" t="str">
            <v>Other Independent Special School</v>
          </cell>
          <cell r="F22208" t="str">
            <v>Not applicable</v>
          </cell>
        </row>
        <row r="22209">
          <cell r="A22209">
            <v>6792304</v>
          </cell>
          <cell r="B22209">
            <v>401489</v>
          </cell>
          <cell r="C22209" t="str">
            <v>Overmonnow C.P. School</v>
          </cell>
          <cell r="D22209" t="str">
            <v>Monmouthshire</v>
          </cell>
          <cell r="E22209" t="str">
            <v>Welsh Establishment</v>
          </cell>
          <cell r="F22209" t="str">
            <v>Primary</v>
          </cell>
        </row>
        <row r="22210">
          <cell r="A22210">
            <v>8036003</v>
          </cell>
          <cell r="B22210">
            <v>109356</v>
          </cell>
          <cell r="C22210" t="str">
            <v>Overndale School</v>
          </cell>
          <cell r="D22210" t="str">
            <v>South Gloucestershire</v>
          </cell>
          <cell r="E22210" t="str">
            <v>Other Independent School</v>
          </cell>
          <cell r="F22210" t="str">
            <v>Not applicable</v>
          </cell>
        </row>
        <row r="22211">
          <cell r="A22211">
            <v>9062243</v>
          </cell>
          <cell r="B22211">
            <v>111090</v>
          </cell>
          <cell r="C22211" t="str">
            <v>Overpool County Junior School</v>
          </cell>
          <cell r="D22211" t="str">
            <v>Pre LGR (1998) Cheshire</v>
          </cell>
          <cell r="E22211" t="str">
            <v>Community School</v>
          </cell>
          <cell r="F22211" t="str">
            <v>Primary</v>
          </cell>
        </row>
        <row r="22212">
          <cell r="A22212">
            <v>8307011</v>
          </cell>
          <cell r="B22212">
            <v>113035</v>
          </cell>
          <cell r="C22212" t="str">
            <v>Overseal Manor School</v>
          </cell>
          <cell r="D22212" t="str">
            <v>Derbyshire</v>
          </cell>
          <cell r="E22212" t="str">
            <v>Community Special School</v>
          </cell>
          <cell r="F22212" t="str">
            <v>Special</v>
          </cell>
        </row>
        <row r="22213">
          <cell r="A22213">
            <v>8302186</v>
          </cell>
          <cell r="B22213">
            <v>112603</v>
          </cell>
          <cell r="C22213" t="str">
            <v>Overseal Primary School</v>
          </cell>
          <cell r="D22213" t="str">
            <v>Derbyshire</v>
          </cell>
          <cell r="E22213" t="str">
            <v>Community School</v>
          </cell>
          <cell r="F22213" t="str">
            <v>Primary</v>
          </cell>
        </row>
        <row r="22214">
          <cell r="A22214">
            <v>8255201</v>
          </cell>
          <cell r="B22214">
            <v>110519</v>
          </cell>
          <cell r="C22214" t="str">
            <v>Overstone Combined School</v>
          </cell>
          <cell r="D22214" t="str">
            <v>Buckinghamshire</v>
          </cell>
          <cell r="E22214" t="str">
            <v>Foundation School</v>
          </cell>
          <cell r="F22214" t="str">
            <v>Primary</v>
          </cell>
        </row>
        <row r="22215">
          <cell r="A22215">
            <v>9286063</v>
          </cell>
          <cell r="B22215">
            <v>122150</v>
          </cell>
          <cell r="C22215" t="str">
            <v>Overstone Park School</v>
          </cell>
          <cell r="D22215" t="str">
            <v>Northamptonshire</v>
          </cell>
          <cell r="E22215" t="str">
            <v>Other Independent School</v>
          </cell>
          <cell r="F22215" t="str">
            <v>Not applicable</v>
          </cell>
        </row>
        <row r="22216">
          <cell r="A22216">
            <v>9282074</v>
          </cell>
          <cell r="B22216">
            <v>121849</v>
          </cell>
          <cell r="C22216" t="str">
            <v>Overstone Primary School</v>
          </cell>
          <cell r="D22216" t="str">
            <v>Northamptonshire</v>
          </cell>
          <cell r="E22216" t="str">
            <v>Community School</v>
          </cell>
          <cell r="F22216" t="str">
            <v>Primary</v>
          </cell>
        </row>
        <row r="22217">
          <cell r="A22217">
            <v>9263349</v>
          </cell>
          <cell r="B22217">
            <v>121123</v>
          </cell>
          <cell r="C22217" t="str">
            <v>Overstrand, the Belfry, Church of England Voluntary Aided Primary School</v>
          </cell>
          <cell r="D22217" t="str">
            <v>Norfolk</v>
          </cell>
          <cell r="E22217" t="str">
            <v>Voluntary Aided School</v>
          </cell>
          <cell r="F22217" t="str">
            <v>Primary</v>
          </cell>
        </row>
        <row r="22218">
          <cell r="A22218">
            <v>3823011</v>
          </cell>
          <cell r="B22218">
            <v>107708</v>
          </cell>
          <cell r="C22218" t="str">
            <v>Overthorpe Church of England Voluntary Controlled Junior, Infant and Nursery School</v>
          </cell>
          <cell r="D22218" t="str">
            <v>Kirklees</v>
          </cell>
          <cell r="E22218" t="str">
            <v>Voluntary Controlled School</v>
          </cell>
          <cell r="F22218" t="str">
            <v>Primary</v>
          </cell>
        </row>
        <row r="22219">
          <cell r="A22219">
            <v>3822027</v>
          </cell>
          <cell r="B22219">
            <v>127777</v>
          </cell>
          <cell r="C22219" t="str">
            <v>Overthorpe County Infant School</v>
          </cell>
          <cell r="D22219" t="str">
            <v>Kirklees</v>
          </cell>
          <cell r="E22219" t="str">
            <v>Community School</v>
          </cell>
          <cell r="F22219" t="str">
            <v>Primary</v>
          </cell>
        </row>
        <row r="22220">
          <cell r="A22220">
            <v>9286033</v>
          </cell>
          <cell r="B22220">
            <v>122134</v>
          </cell>
          <cell r="C22220" t="str">
            <v>Overthorpe Preparatory School</v>
          </cell>
          <cell r="D22220" t="str">
            <v>Northamptonshire</v>
          </cell>
          <cell r="E22220" t="str">
            <v>Other Independent School</v>
          </cell>
          <cell r="F22220" t="str">
            <v>Not applicable</v>
          </cell>
        </row>
        <row r="22221">
          <cell r="A22221">
            <v>8503119</v>
          </cell>
          <cell r="B22221">
            <v>116305</v>
          </cell>
          <cell r="C22221" t="str">
            <v>Overton Church of England Primary School</v>
          </cell>
          <cell r="D22221" t="str">
            <v>Hampshire</v>
          </cell>
          <cell r="E22221" t="str">
            <v>Voluntary Controlled School</v>
          </cell>
          <cell r="F22221" t="str">
            <v>Primary</v>
          </cell>
        </row>
        <row r="22222">
          <cell r="A22222">
            <v>3194019</v>
          </cell>
          <cell r="B22222">
            <v>131104</v>
          </cell>
          <cell r="C22222" t="str">
            <v>Overton Grange School</v>
          </cell>
          <cell r="D22222" t="str">
            <v>Sutton</v>
          </cell>
          <cell r="E22222" t="str">
            <v>Community School</v>
          </cell>
          <cell r="F22222" t="str">
            <v>Secondary</v>
          </cell>
        </row>
        <row r="22223">
          <cell r="A22223">
            <v>3194019</v>
          </cell>
          <cell r="B22223">
            <v>136756</v>
          </cell>
          <cell r="C22223" t="str">
            <v>Overton Grange School</v>
          </cell>
          <cell r="D22223" t="str">
            <v>Sutton</v>
          </cell>
          <cell r="E22223" t="str">
            <v>Academy Converters</v>
          </cell>
          <cell r="F22223" t="str">
            <v>Secondary</v>
          </cell>
        </row>
        <row r="22224">
          <cell r="A22224">
            <v>8883538</v>
          </cell>
          <cell r="B22224">
            <v>119539</v>
          </cell>
          <cell r="C22224" t="str">
            <v>Overton St Helen's Church of England Primary School</v>
          </cell>
          <cell r="D22224" t="str">
            <v>Lancashire</v>
          </cell>
          <cell r="E22224" t="str">
            <v>Voluntary Aided School</v>
          </cell>
          <cell r="F22224" t="str">
            <v>Primary</v>
          </cell>
        </row>
        <row r="22225">
          <cell r="A22225">
            <v>8467001</v>
          </cell>
          <cell r="B22225">
            <v>114676</v>
          </cell>
          <cell r="C22225" t="str">
            <v>Ovingdean Hall School</v>
          </cell>
          <cell r="D22225" t="str">
            <v>Brighton and Hove</v>
          </cell>
          <cell r="E22225" t="str">
            <v>Non-Maintained Special School</v>
          </cell>
          <cell r="F22225" t="str">
            <v>Special</v>
          </cell>
        </row>
        <row r="22226">
          <cell r="A22226">
            <v>9293210</v>
          </cell>
          <cell r="B22226">
            <v>122278</v>
          </cell>
          <cell r="C22226" t="str">
            <v>Ovingham Church of England First School</v>
          </cell>
          <cell r="D22226" t="str">
            <v>Northumberland</v>
          </cell>
          <cell r="E22226" t="str">
            <v>Voluntary Controlled School</v>
          </cell>
          <cell r="F22226" t="str">
            <v>Primary</v>
          </cell>
        </row>
        <row r="22227">
          <cell r="A22227">
            <v>9294199</v>
          </cell>
          <cell r="B22227">
            <v>122341</v>
          </cell>
          <cell r="C22227" t="str">
            <v>Ovingham Middle School</v>
          </cell>
          <cell r="D22227" t="str">
            <v>Northumberland</v>
          </cell>
          <cell r="E22227" t="str">
            <v>Community School</v>
          </cell>
          <cell r="F22227" t="str">
            <v>Middle Deemed Secondary</v>
          </cell>
        </row>
        <row r="22228">
          <cell r="A22228">
            <v>3732093</v>
          </cell>
          <cell r="B22228">
            <v>107007</v>
          </cell>
          <cell r="C22228" t="str">
            <v>Owler Brook Nursery Infants' School</v>
          </cell>
          <cell r="D22228" t="str">
            <v>Sheffield</v>
          </cell>
          <cell r="E22228" t="str">
            <v>Community School</v>
          </cell>
          <cell r="F22228" t="str">
            <v>Primary</v>
          </cell>
        </row>
        <row r="22229">
          <cell r="A22229">
            <v>8456033</v>
          </cell>
          <cell r="B22229">
            <v>130311</v>
          </cell>
          <cell r="C22229" t="str">
            <v>Owlets Montessori School</v>
          </cell>
          <cell r="D22229" t="str">
            <v>East Sussex</v>
          </cell>
          <cell r="E22229" t="str">
            <v>Other Independent School</v>
          </cell>
          <cell r="F22229" t="str">
            <v>Not applicable</v>
          </cell>
        </row>
        <row r="22230">
          <cell r="A22230">
            <v>8672138</v>
          </cell>
          <cell r="B22230">
            <v>109870</v>
          </cell>
          <cell r="C22230" t="str">
            <v>Owlsmoor Primary School</v>
          </cell>
          <cell r="D22230" t="str">
            <v>Bracknell Forest</v>
          </cell>
          <cell r="E22230" t="str">
            <v>Community School</v>
          </cell>
          <cell r="F22230" t="str">
            <v>Primary</v>
          </cell>
        </row>
        <row r="22231">
          <cell r="A22231">
            <v>8456007</v>
          </cell>
          <cell r="B22231">
            <v>114660</v>
          </cell>
          <cell r="C22231" t="str">
            <v>Owlswick School</v>
          </cell>
          <cell r="D22231" t="str">
            <v>East Sussex</v>
          </cell>
          <cell r="E22231" t="str">
            <v>Other Independent Special School</v>
          </cell>
          <cell r="F22231" t="str">
            <v>Not applicable</v>
          </cell>
        </row>
        <row r="22232">
          <cell r="A22232">
            <v>8502157</v>
          </cell>
          <cell r="B22232">
            <v>115934</v>
          </cell>
          <cell r="C22232" t="str">
            <v>Owslebury Primary School</v>
          </cell>
          <cell r="D22232" t="str">
            <v>Hampshire</v>
          </cell>
          <cell r="E22232" t="str">
            <v>Community School</v>
          </cell>
          <cell r="F22232" t="str">
            <v>Primary</v>
          </cell>
        </row>
        <row r="22233">
          <cell r="A22233">
            <v>3713326</v>
          </cell>
          <cell r="B22233">
            <v>134538</v>
          </cell>
          <cell r="C22233" t="str">
            <v>Owston Park Primary</v>
          </cell>
          <cell r="D22233" t="str">
            <v>Doncaster</v>
          </cell>
          <cell r="E22233" t="str">
            <v>Community School</v>
          </cell>
          <cell r="F22233" t="str">
            <v>Primary</v>
          </cell>
        </row>
        <row r="22234">
          <cell r="A22234">
            <v>3712089</v>
          </cell>
          <cell r="B22234">
            <v>106686</v>
          </cell>
          <cell r="C22234" t="str">
            <v>Owston Skellow Infant School</v>
          </cell>
          <cell r="D22234" t="str">
            <v>Doncaster</v>
          </cell>
          <cell r="E22234" t="str">
            <v>Community School</v>
          </cell>
          <cell r="F22234" t="str">
            <v>Primary</v>
          </cell>
        </row>
        <row r="22235">
          <cell r="A22235">
            <v>3712146</v>
          </cell>
          <cell r="B22235">
            <v>106716</v>
          </cell>
          <cell r="C22235" t="str">
            <v>Owston Skellow Junior School</v>
          </cell>
          <cell r="D22235" t="str">
            <v>Doncaster</v>
          </cell>
          <cell r="E22235" t="str">
            <v>Community School</v>
          </cell>
          <cell r="F22235" t="str">
            <v>Primary</v>
          </cell>
        </row>
        <row r="22236">
          <cell r="A22236">
            <v>8052182</v>
          </cell>
          <cell r="B22236">
            <v>111599</v>
          </cell>
          <cell r="C22236" t="str">
            <v>Owton Manor Primary School</v>
          </cell>
          <cell r="D22236" t="str">
            <v>Hartlepool</v>
          </cell>
          <cell r="E22236" t="str">
            <v>Community School</v>
          </cell>
          <cell r="F22236" t="str">
            <v>Primary</v>
          </cell>
        </row>
        <row r="22237">
          <cell r="A22237">
            <v>8402394</v>
          </cell>
          <cell r="B22237">
            <v>114091</v>
          </cell>
          <cell r="C22237" t="str">
            <v>Ox Close Primary School</v>
          </cell>
          <cell r="D22237" t="str">
            <v>Durham</v>
          </cell>
          <cell r="E22237" t="str">
            <v>Community School</v>
          </cell>
          <cell r="F22237" t="str">
            <v>Primary</v>
          </cell>
        </row>
        <row r="22238">
          <cell r="A22238">
            <v>8082345</v>
          </cell>
          <cell r="B22238">
            <v>111644</v>
          </cell>
          <cell r="C22238" t="str">
            <v>Oxbridge Lane Primary School</v>
          </cell>
          <cell r="D22238" t="str">
            <v>Stockton-on-Tees</v>
          </cell>
          <cell r="E22238" t="str">
            <v>Community School</v>
          </cell>
          <cell r="F22238" t="str">
            <v>Primary</v>
          </cell>
        </row>
        <row r="22239">
          <cell r="A22239">
            <v>3944063</v>
          </cell>
          <cell r="B22239">
            <v>108864</v>
          </cell>
          <cell r="C22239" t="str">
            <v>Oxclose Community School</v>
          </cell>
          <cell r="D22239" t="str">
            <v>Sunderland</v>
          </cell>
          <cell r="E22239" t="str">
            <v>Community School</v>
          </cell>
          <cell r="F22239" t="str">
            <v>Secondary</v>
          </cell>
        </row>
        <row r="22240">
          <cell r="A22240">
            <v>3942149</v>
          </cell>
          <cell r="B22240">
            <v>108814</v>
          </cell>
          <cell r="C22240" t="str">
            <v>Oxclose Infant School</v>
          </cell>
          <cell r="D22240" t="str">
            <v>Sunderland</v>
          </cell>
          <cell r="E22240" t="str">
            <v>Community School</v>
          </cell>
          <cell r="F22240" t="str">
            <v>Primary</v>
          </cell>
        </row>
        <row r="22241">
          <cell r="A22241">
            <v>3942148</v>
          </cell>
          <cell r="B22241">
            <v>108813</v>
          </cell>
          <cell r="C22241" t="str">
            <v>Oxclose Junior School</v>
          </cell>
          <cell r="D22241" t="str">
            <v>Sunderland</v>
          </cell>
          <cell r="E22241" t="str">
            <v>Community School</v>
          </cell>
          <cell r="F22241" t="str">
            <v>Primary</v>
          </cell>
        </row>
        <row r="22242">
          <cell r="A22242">
            <v>3941009</v>
          </cell>
          <cell r="B22242">
            <v>108751</v>
          </cell>
          <cell r="C22242" t="str">
            <v>Oxclose Nursery School</v>
          </cell>
          <cell r="D22242" t="str">
            <v>Sunderland</v>
          </cell>
          <cell r="E22242" t="str">
            <v>LA Nursery School</v>
          </cell>
          <cell r="F22242" t="str">
            <v>Nursery</v>
          </cell>
        </row>
        <row r="22243">
          <cell r="A22243">
            <v>8401021</v>
          </cell>
          <cell r="B22243">
            <v>113973</v>
          </cell>
          <cell r="C22243" t="str">
            <v>Oxclose Nursery School</v>
          </cell>
          <cell r="D22243" t="str">
            <v>Durham</v>
          </cell>
          <cell r="E22243" t="str">
            <v>LA Nursery School</v>
          </cell>
          <cell r="F22243" t="str">
            <v>Nursery</v>
          </cell>
        </row>
        <row r="22244">
          <cell r="A22244">
            <v>3942183</v>
          </cell>
          <cell r="B22244">
            <v>131035</v>
          </cell>
          <cell r="C22244" t="str">
            <v>Oxclose Village Primary School</v>
          </cell>
          <cell r="D22244" t="str">
            <v>Sunderland</v>
          </cell>
          <cell r="E22244" t="str">
            <v>Community School</v>
          </cell>
          <cell r="F22244" t="str">
            <v>Primary</v>
          </cell>
        </row>
        <row r="22245">
          <cell r="A22245">
            <v>3803375</v>
          </cell>
          <cell r="B22245">
            <v>107349</v>
          </cell>
          <cell r="C22245" t="str">
            <v>Oxenhope CofE Primary School</v>
          </cell>
          <cell r="D22245" t="str">
            <v>Bradford</v>
          </cell>
          <cell r="E22245" t="str">
            <v>Voluntary Aided School</v>
          </cell>
          <cell r="F22245" t="str">
            <v>Primary</v>
          </cell>
        </row>
        <row r="22246">
          <cell r="A22246">
            <v>9318002</v>
          </cell>
          <cell r="B22246">
            <v>130790</v>
          </cell>
          <cell r="C22246" t="str">
            <v>Oxford and Cherwell College, Rycotewood Centre</v>
          </cell>
          <cell r="D22246" t="str">
            <v>Oxfordshire</v>
          </cell>
          <cell r="E22246" t="str">
            <v>Further Education</v>
          </cell>
          <cell r="F22246" t="str">
            <v>16 Plus</v>
          </cell>
        </row>
        <row r="22247">
          <cell r="A22247">
            <v>9318004</v>
          </cell>
          <cell r="B22247">
            <v>134153</v>
          </cell>
          <cell r="C22247" t="str">
            <v>Oxford and Cherwell Valley College</v>
          </cell>
          <cell r="D22247" t="str">
            <v>Oxfordshire</v>
          </cell>
          <cell r="E22247" t="str">
            <v>Further Education</v>
          </cell>
          <cell r="F22247" t="str">
            <v>16 Plus</v>
          </cell>
        </row>
        <row r="22248">
          <cell r="A22248">
            <v>931</v>
          </cell>
          <cell r="B22248">
            <v>133864</v>
          </cell>
          <cell r="C22248" t="str">
            <v>Oxford Brookes University</v>
          </cell>
          <cell r="D22248" t="str">
            <v>Oxfordshire</v>
          </cell>
          <cell r="E22248" t="str">
            <v>Higher Education Institutions</v>
          </cell>
          <cell r="F22248" t="str">
            <v>Not applicable</v>
          </cell>
        </row>
        <row r="22249">
          <cell r="A22249">
            <v>9318005</v>
          </cell>
          <cell r="B22249">
            <v>130792</v>
          </cell>
          <cell r="C22249" t="str">
            <v>Oxford College of Further Education</v>
          </cell>
          <cell r="D22249" t="str">
            <v>Oxfordshire</v>
          </cell>
          <cell r="E22249" t="str">
            <v>Further Education</v>
          </cell>
          <cell r="F22249" t="str">
            <v>16 Plus</v>
          </cell>
        </row>
        <row r="22250">
          <cell r="A22250">
            <v>2072452</v>
          </cell>
          <cell r="B22250">
            <v>100485</v>
          </cell>
          <cell r="C22250" t="str">
            <v>Oxford Gardens Primary School</v>
          </cell>
          <cell r="D22250" t="str">
            <v>Kensington and Chelsea</v>
          </cell>
          <cell r="E22250" t="str">
            <v>Community School</v>
          </cell>
          <cell r="F22250" t="str">
            <v>Primary</v>
          </cell>
        </row>
        <row r="22251">
          <cell r="A22251">
            <v>3502020</v>
          </cell>
          <cell r="B22251">
            <v>105160</v>
          </cell>
          <cell r="C22251" t="str">
            <v>Oxford Grove Primary School</v>
          </cell>
          <cell r="D22251" t="str">
            <v>Bolton</v>
          </cell>
          <cell r="E22251" t="str">
            <v>Community School</v>
          </cell>
          <cell r="F22251" t="str">
            <v>Primary</v>
          </cell>
        </row>
        <row r="22252">
          <cell r="A22252">
            <v>9316093</v>
          </cell>
          <cell r="B22252">
            <v>123310</v>
          </cell>
          <cell r="C22252" t="str">
            <v>Oxford High School GDST</v>
          </cell>
          <cell r="D22252" t="str">
            <v>Oxfordshire</v>
          </cell>
          <cell r="E22252" t="str">
            <v>Other Independent School</v>
          </cell>
          <cell r="F22252" t="str">
            <v>Not applicable</v>
          </cell>
        </row>
        <row r="22253">
          <cell r="A22253">
            <v>8816030</v>
          </cell>
          <cell r="B22253">
            <v>115424</v>
          </cell>
          <cell r="C22253" t="str">
            <v>Oxford House School</v>
          </cell>
          <cell r="D22253" t="str">
            <v>Essex</v>
          </cell>
          <cell r="E22253" t="str">
            <v>Other Independent School</v>
          </cell>
          <cell r="F22253" t="str">
            <v>Not applicable</v>
          </cell>
        </row>
        <row r="22254">
          <cell r="A22254">
            <v>931940</v>
          </cell>
          <cell r="B22254">
            <v>133566</v>
          </cell>
          <cell r="C22254" t="str">
            <v>Oxford Learning United</v>
          </cell>
          <cell r="D22254" t="str">
            <v>Oxfordshire</v>
          </cell>
          <cell r="E22254" t="str">
            <v>Playing for Success Centres</v>
          </cell>
          <cell r="F22254" t="str">
            <v>Not applicable</v>
          </cell>
        </row>
        <row r="22255">
          <cell r="A22255">
            <v>9318236</v>
          </cell>
          <cell r="B22255">
            <v>133175</v>
          </cell>
          <cell r="C22255" t="str">
            <v>Oxford Media &amp; Business School</v>
          </cell>
          <cell r="D22255" t="str">
            <v>Oxfordshire</v>
          </cell>
          <cell r="E22255" t="str">
            <v>Miscellaneous</v>
          </cell>
          <cell r="F22255" t="str">
            <v>Not applicable</v>
          </cell>
        </row>
        <row r="22256">
          <cell r="A22256">
            <v>9316119</v>
          </cell>
          <cell r="B22256">
            <v>132048</v>
          </cell>
          <cell r="C22256" t="str">
            <v>Oxford Montessori Schools</v>
          </cell>
          <cell r="D22256" t="str">
            <v>Oxfordshire</v>
          </cell>
          <cell r="E22256" t="str">
            <v>Other Independent School</v>
          </cell>
          <cell r="F22256" t="str">
            <v>Not applicable</v>
          </cell>
        </row>
        <row r="22257">
          <cell r="A22257">
            <v>7022046</v>
          </cell>
          <cell r="B22257">
            <v>132413</v>
          </cell>
          <cell r="C22257" t="str">
            <v>Oxford Primary School</v>
          </cell>
          <cell r="D22257" t="str">
            <v>BFPO Overseas Establishments</v>
          </cell>
          <cell r="E22257" t="str">
            <v>Service Childrens Education</v>
          </cell>
          <cell r="F22257" t="str">
            <v>Not applicable</v>
          </cell>
        </row>
        <row r="22258">
          <cell r="A22258">
            <v>8702016</v>
          </cell>
          <cell r="B22258">
            <v>109786</v>
          </cell>
          <cell r="C22258" t="str">
            <v>Oxford Road Community School</v>
          </cell>
          <cell r="D22258" t="str">
            <v>Reading</v>
          </cell>
          <cell r="E22258" t="str">
            <v>Community School</v>
          </cell>
          <cell r="F22258" t="str">
            <v>Primary</v>
          </cell>
        </row>
        <row r="22259">
          <cell r="A22259">
            <v>9314117</v>
          </cell>
          <cell r="B22259">
            <v>123252</v>
          </cell>
          <cell r="C22259" t="str">
            <v>Oxford School</v>
          </cell>
          <cell r="D22259" t="str">
            <v>Oxfordshire</v>
          </cell>
          <cell r="E22259" t="str">
            <v>Foundation School</v>
          </cell>
          <cell r="F22259" t="str">
            <v>Secondary</v>
          </cell>
        </row>
        <row r="22260">
          <cell r="A22260">
            <v>9316907</v>
          </cell>
          <cell r="B22260">
            <v>136261</v>
          </cell>
          <cell r="C22260" t="str">
            <v>Oxford Spires Academy</v>
          </cell>
          <cell r="D22260" t="str">
            <v>Oxfordshire</v>
          </cell>
          <cell r="E22260" t="str">
            <v>Academy Sponsor Led</v>
          </cell>
          <cell r="F22260" t="str">
            <v>Secondary</v>
          </cell>
        </row>
        <row r="22261">
          <cell r="A22261">
            <v>9316114</v>
          </cell>
          <cell r="B22261">
            <v>129783</v>
          </cell>
          <cell r="C22261" t="str">
            <v>Oxford Tutorial College</v>
          </cell>
          <cell r="D22261" t="str">
            <v>Oxfordshire</v>
          </cell>
          <cell r="E22261" t="str">
            <v>Other Independent School</v>
          </cell>
          <cell r="F22261" t="str">
            <v>Not applicable</v>
          </cell>
        </row>
        <row r="22262">
          <cell r="A22262">
            <v>9317017</v>
          </cell>
          <cell r="B22262">
            <v>123337</v>
          </cell>
          <cell r="C22262" t="str">
            <v>Oxfordshire Hospital School</v>
          </cell>
          <cell r="D22262" t="str">
            <v>Oxfordshire</v>
          </cell>
          <cell r="E22262" t="str">
            <v>Community Special School</v>
          </cell>
          <cell r="F22262" t="str">
            <v>Special</v>
          </cell>
        </row>
        <row r="22263">
          <cell r="A22263">
            <v>9191017</v>
          </cell>
          <cell r="B22263">
            <v>117077</v>
          </cell>
          <cell r="C22263" t="str">
            <v>Oxhey Early Years Centre</v>
          </cell>
          <cell r="D22263" t="str">
            <v>Hertfordshire</v>
          </cell>
          <cell r="E22263" t="str">
            <v>LA Nursery School</v>
          </cell>
          <cell r="F22263" t="str">
            <v>Nursery</v>
          </cell>
        </row>
        <row r="22264">
          <cell r="A22264">
            <v>8602325</v>
          </cell>
          <cell r="B22264">
            <v>124149</v>
          </cell>
          <cell r="C22264" t="str">
            <v>Oxhey First School</v>
          </cell>
          <cell r="D22264" t="str">
            <v>Staffordshire</v>
          </cell>
          <cell r="E22264" t="str">
            <v>Community School</v>
          </cell>
          <cell r="F22264" t="str">
            <v>Primary</v>
          </cell>
        </row>
        <row r="22265">
          <cell r="A22265">
            <v>9192137</v>
          </cell>
          <cell r="B22265">
            <v>117170</v>
          </cell>
          <cell r="C22265" t="str">
            <v>Oxhey Wood Primary School</v>
          </cell>
          <cell r="D22265" t="str">
            <v>Hertfordshire</v>
          </cell>
          <cell r="E22265" t="str">
            <v>Community School</v>
          </cell>
          <cell r="F22265" t="str">
            <v>Primary</v>
          </cell>
        </row>
        <row r="22266">
          <cell r="A22266">
            <v>8401014</v>
          </cell>
          <cell r="B22266">
            <v>113970</v>
          </cell>
          <cell r="C22266" t="str">
            <v>Oxhill Nursery School</v>
          </cell>
          <cell r="D22266" t="str">
            <v>Durham</v>
          </cell>
          <cell r="E22266" t="str">
            <v>LA Nursery School</v>
          </cell>
          <cell r="F22266" t="str">
            <v>Nursery</v>
          </cell>
        </row>
        <row r="22267">
          <cell r="A22267">
            <v>8263388</v>
          </cell>
          <cell r="B22267">
            <v>134717</v>
          </cell>
          <cell r="C22267" t="str">
            <v>Oxley Park Primary School</v>
          </cell>
          <cell r="D22267" t="str">
            <v>Milton Keynes</v>
          </cell>
          <cell r="E22267" t="str">
            <v>Foundation School</v>
          </cell>
          <cell r="F22267" t="str">
            <v>Primary</v>
          </cell>
        </row>
        <row r="22268">
          <cell r="A22268">
            <v>8263388</v>
          </cell>
          <cell r="B22268">
            <v>136853</v>
          </cell>
          <cell r="C22268" t="str">
            <v>Oxley Park Primary School</v>
          </cell>
          <cell r="D22268" t="str">
            <v>Milton Keynes</v>
          </cell>
          <cell r="E22268" t="str">
            <v>Academy Converters</v>
          </cell>
          <cell r="F22268" t="str">
            <v>Primary</v>
          </cell>
        </row>
        <row r="22269">
          <cell r="A22269">
            <v>8817016</v>
          </cell>
          <cell r="B22269">
            <v>115447</v>
          </cell>
          <cell r="C22269" t="str">
            <v>Oxley Parker School</v>
          </cell>
          <cell r="D22269" t="str">
            <v>Essex</v>
          </cell>
          <cell r="E22269" t="str">
            <v>Non-Maintained Special School</v>
          </cell>
          <cell r="F22269" t="str">
            <v>Special</v>
          </cell>
        </row>
        <row r="22270">
          <cell r="A22270">
            <v>3362016</v>
          </cell>
          <cell r="B22270">
            <v>104295</v>
          </cell>
          <cell r="C22270" t="str">
            <v>Oxley Primary School</v>
          </cell>
          <cell r="D22270" t="str">
            <v>Wolverhampton</v>
          </cell>
          <cell r="E22270" t="str">
            <v>Community School</v>
          </cell>
          <cell r="F22270" t="str">
            <v>Primary</v>
          </cell>
        </row>
        <row r="22271">
          <cell r="A22271">
            <v>8552137</v>
          </cell>
          <cell r="B22271">
            <v>119961</v>
          </cell>
          <cell r="C22271" t="str">
            <v>Oxley Primary School Shepshed</v>
          </cell>
          <cell r="D22271" t="str">
            <v>Leicestershire</v>
          </cell>
          <cell r="E22271" t="str">
            <v>Community School</v>
          </cell>
          <cell r="F22271" t="str">
            <v>Primary</v>
          </cell>
        </row>
        <row r="22272">
          <cell r="A22272">
            <v>3444068</v>
          </cell>
          <cell r="B22272">
            <v>127387</v>
          </cell>
          <cell r="C22272" t="str">
            <v>Oxley School</v>
          </cell>
          <cell r="D22272" t="str">
            <v>Wirral</v>
          </cell>
          <cell r="E22272" t="str">
            <v>Community School</v>
          </cell>
          <cell r="F22272" t="str">
            <v>Secondary</v>
          </cell>
        </row>
        <row r="22273">
          <cell r="A22273">
            <v>8933103</v>
          </cell>
          <cell r="B22273">
            <v>123502</v>
          </cell>
          <cell r="C22273" t="str">
            <v>Oxon CofE Primary School</v>
          </cell>
          <cell r="D22273" t="str">
            <v>Shropshire</v>
          </cell>
          <cell r="E22273" t="str">
            <v>Voluntary Controlled School</v>
          </cell>
          <cell r="F22273" t="str">
            <v>Primary</v>
          </cell>
        </row>
        <row r="22274">
          <cell r="A22274">
            <v>3702075</v>
          </cell>
          <cell r="B22274">
            <v>106584</v>
          </cell>
          <cell r="C22274" t="str">
            <v>Oxspring Primary School</v>
          </cell>
          <cell r="D22274" t="str">
            <v>Barnsley</v>
          </cell>
          <cell r="E22274" t="str">
            <v>Community School</v>
          </cell>
          <cell r="F22274" t="str">
            <v>Primary</v>
          </cell>
        </row>
        <row r="22275">
          <cell r="A22275">
            <v>9164008</v>
          </cell>
          <cell r="B22275">
            <v>115719</v>
          </cell>
          <cell r="C22275" t="str">
            <v>Oxstalls Community School</v>
          </cell>
          <cell r="D22275" t="str">
            <v>Gloucestershire</v>
          </cell>
          <cell r="E22275" t="str">
            <v>Community School</v>
          </cell>
          <cell r="F22275" t="str">
            <v>Secondary</v>
          </cell>
        </row>
        <row r="22276">
          <cell r="A22276">
            <v>9364098</v>
          </cell>
          <cell r="B22276">
            <v>125253</v>
          </cell>
          <cell r="C22276" t="str">
            <v>Oxted School</v>
          </cell>
          <cell r="D22276" t="str">
            <v>Surrey</v>
          </cell>
          <cell r="E22276" t="str">
            <v>Community School</v>
          </cell>
          <cell r="F22276" t="str">
            <v>Secondary</v>
          </cell>
        </row>
        <row r="22277">
          <cell r="A22277">
            <v>3443300</v>
          </cell>
          <cell r="B22277">
            <v>105066</v>
          </cell>
          <cell r="C22277" t="str">
            <v>Oxton St Saviour's CofE Aided Primary School</v>
          </cell>
          <cell r="D22277" t="str">
            <v>Wirral</v>
          </cell>
          <cell r="E22277" t="str">
            <v>Voluntary Aided School</v>
          </cell>
          <cell r="F22277" t="str">
            <v>Primary</v>
          </cell>
        </row>
        <row r="22278">
          <cell r="A22278">
            <v>6702042</v>
          </cell>
          <cell r="B22278">
            <v>400879</v>
          </cell>
          <cell r="C22278" t="str">
            <v>Oystermouth Primary School</v>
          </cell>
          <cell r="D22278" t="str">
            <v>Swansea</v>
          </cell>
          <cell r="E22278" t="str">
            <v>Welsh Establishment</v>
          </cell>
          <cell r="F22278" t="str">
            <v>Primary</v>
          </cell>
        </row>
        <row r="22279">
          <cell r="A22279">
            <v>3556028</v>
          </cell>
          <cell r="B22279">
            <v>106004</v>
          </cell>
          <cell r="C22279" t="str">
            <v>OYY Lubavitch Girls' School</v>
          </cell>
          <cell r="D22279" t="str">
            <v>Salford</v>
          </cell>
          <cell r="E22279" t="str">
            <v>Other Independent School</v>
          </cell>
          <cell r="F22279" t="str">
            <v>Not applicable</v>
          </cell>
        </row>
        <row r="22280">
          <cell r="A22280">
            <v>3421100</v>
          </cell>
          <cell r="B22280">
            <v>104757</v>
          </cell>
          <cell r="C22280" t="str">
            <v>Pace</v>
          </cell>
          <cell r="D22280" t="str">
            <v>St. Helens</v>
          </cell>
          <cell r="E22280" t="str">
            <v>Pupil Referral Unit</v>
          </cell>
          <cell r="F22280" t="str">
            <v>PRU</v>
          </cell>
        </row>
        <row r="22281">
          <cell r="A22281">
            <v>8606443</v>
          </cell>
          <cell r="B22281">
            <v>136245</v>
          </cell>
          <cell r="C22281" t="str">
            <v>Pace Education Ltd</v>
          </cell>
          <cell r="D22281" t="str">
            <v>Staffordshire</v>
          </cell>
          <cell r="E22281" t="str">
            <v>Other Independent Special School</v>
          </cell>
          <cell r="F22281" t="str">
            <v>Not applicable</v>
          </cell>
        </row>
        <row r="22282">
          <cell r="A22282">
            <v>3736029</v>
          </cell>
          <cell r="B22282">
            <v>131686</v>
          </cell>
          <cell r="C22282" t="str">
            <v>Paces High Green School for Conductive Education</v>
          </cell>
          <cell r="D22282" t="str">
            <v>Sheffield</v>
          </cell>
          <cell r="E22282" t="str">
            <v>Independent School Approved for SEN Pupils</v>
          </cell>
          <cell r="F22282" t="str">
            <v>Not applicable</v>
          </cell>
        </row>
        <row r="22283">
          <cell r="A22283">
            <v>3737044</v>
          </cell>
          <cell r="B22283">
            <v>135815</v>
          </cell>
          <cell r="C22283" t="str">
            <v>Paces High Green School for Conductive Education</v>
          </cell>
          <cell r="D22283" t="str">
            <v>Sheffield</v>
          </cell>
          <cell r="E22283" t="str">
            <v>Non-Maintained Special School</v>
          </cell>
          <cell r="F22283" t="str">
            <v>Special</v>
          </cell>
        </row>
        <row r="22284">
          <cell r="A22284">
            <v>8553068</v>
          </cell>
          <cell r="B22284">
            <v>120151</v>
          </cell>
          <cell r="C22284" t="str">
            <v>Packington Church of England Primary School</v>
          </cell>
          <cell r="D22284" t="str">
            <v>Leicestershire</v>
          </cell>
          <cell r="E22284" t="str">
            <v>Voluntary Controlled School</v>
          </cell>
          <cell r="F22284" t="str">
            <v>Primary</v>
          </cell>
        </row>
        <row r="22285">
          <cell r="A22285">
            <v>8612012</v>
          </cell>
          <cell r="B22285">
            <v>123979</v>
          </cell>
          <cell r="C22285" t="str">
            <v>Packmoor Primary School</v>
          </cell>
          <cell r="D22285" t="str">
            <v>Stoke-on-Trent</v>
          </cell>
          <cell r="E22285" t="str">
            <v>Community School</v>
          </cell>
          <cell r="F22285" t="str">
            <v>Primary</v>
          </cell>
        </row>
        <row r="22286">
          <cell r="A22286">
            <v>8936006</v>
          </cell>
          <cell r="B22286">
            <v>123605</v>
          </cell>
          <cell r="C22286" t="str">
            <v>Packwood Haugh School</v>
          </cell>
          <cell r="D22286" t="str">
            <v>Shropshire</v>
          </cell>
          <cell r="E22286" t="str">
            <v>Other Independent School</v>
          </cell>
          <cell r="F22286" t="str">
            <v>Not applicable</v>
          </cell>
        </row>
        <row r="22287">
          <cell r="A22287">
            <v>8253015</v>
          </cell>
          <cell r="B22287">
            <v>110413</v>
          </cell>
          <cell r="C22287" t="str">
            <v>Padbury Church of England School</v>
          </cell>
          <cell r="D22287" t="str">
            <v>Buckinghamshire</v>
          </cell>
          <cell r="E22287" t="str">
            <v>Voluntary Controlled School</v>
          </cell>
          <cell r="F22287" t="str">
            <v>Primary</v>
          </cell>
        </row>
        <row r="22288">
          <cell r="A22288">
            <v>2136905</v>
          </cell>
          <cell r="B22288">
            <v>130912</v>
          </cell>
          <cell r="C22288" t="str">
            <v>Paddington Academy</v>
          </cell>
          <cell r="D22288" t="str">
            <v>Westminster</v>
          </cell>
          <cell r="E22288" t="str">
            <v>Academy Sponsor Led</v>
          </cell>
          <cell r="F22288" t="str">
            <v>Secondary</v>
          </cell>
        </row>
        <row r="22289">
          <cell r="A22289">
            <v>2132087</v>
          </cell>
          <cell r="B22289">
            <v>101108</v>
          </cell>
          <cell r="C22289" t="str">
            <v>Paddington Green Primary School</v>
          </cell>
          <cell r="D22289" t="str">
            <v>Westminster</v>
          </cell>
          <cell r="E22289" t="str">
            <v>Community School</v>
          </cell>
          <cell r="F22289" t="str">
            <v>Primary</v>
          </cell>
        </row>
        <row r="22290">
          <cell r="A22290">
            <v>3822025</v>
          </cell>
          <cell r="B22290">
            <v>107615</v>
          </cell>
          <cell r="C22290" t="str">
            <v>Paddock Junior Infant and Nursery School</v>
          </cell>
          <cell r="D22290" t="str">
            <v>Kirklees</v>
          </cell>
          <cell r="E22290" t="str">
            <v>Community School</v>
          </cell>
          <cell r="F22290" t="str">
            <v>Primary</v>
          </cell>
        </row>
        <row r="22291">
          <cell r="A22291">
            <v>2127183</v>
          </cell>
          <cell r="B22291">
            <v>101102</v>
          </cell>
          <cell r="C22291" t="str">
            <v>Paddock School</v>
          </cell>
          <cell r="D22291" t="str">
            <v>Wandsworth</v>
          </cell>
          <cell r="E22291" t="str">
            <v>Community Special School</v>
          </cell>
          <cell r="F22291" t="str">
            <v>Special</v>
          </cell>
        </row>
        <row r="22292">
          <cell r="A22292">
            <v>8862127</v>
          </cell>
          <cell r="B22292">
            <v>118270</v>
          </cell>
          <cell r="C22292" t="str">
            <v>Paddock Wood Primary School</v>
          </cell>
          <cell r="D22292" t="str">
            <v>Kent</v>
          </cell>
          <cell r="E22292" t="str">
            <v>Community School</v>
          </cell>
          <cell r="F22292" t="str">
            <v>Primary</v>
          </cell>
        </row>
        <row r="22293">
          <cell r="A22293">
            <v>9352055</v>
          </cell>
          <cell r="B22293">
            <v>124565</v>
          </cell>
          <cell r="C22293" t="str">
            <v>Paddocks Primary School</v>
          </cell>
          <cell r="D22293" t="str">
            <v>Suffolk</v>
          </cell>
          <cell r="E22293" t="str">
            <v>Community School</v>
          </cell>
          <cell r="F22293" t="str">
            <v>Primary</v>
          </cell>
        </row>
        <row r="22294">
          <cell r="A22294">
            <v>9372404</v>
          </cell>
          <cell r="B22294">
            <v>125569</v>
          </cell>
          <cell r="C22294" t="str">
            <v>Paddox First School</v>
          </cell>
          <cell r="D22294" t="str">
            <v>Warwickshire</v>
          </cell>
          <cell r="E22294" t="str">
            <v>Community School</v>
          </cell>
          <cell r="F22294" t="str">
            <v>Primary</v>
          </cell>
        </row>
        <row r="22295">
          <cell r="A22295">
            <v>9372612</v>
          </cell>
          <cell r="B22295">
            <v>125614</v>
          </cell>
          <cell r="C22295" t="str">
            <v>Paddox Middle School</v>
          </cell>
          <cell r="D22295" t="str">
            <v>Warwickshire</v>
          </cell>
          <cell r="E22295" t="str">
            <v>Community School</v>
          </cell>
          <cell r="F22295" t="str">
            <v>Middle Deemed Primary</v>
          </cell>
        </row>
        <row r="22296">
          <cell r="A22296">
            <v>9372625</v>
          </cell>
          <cell r="B22296">
            <v>130885</v>
          </cell>
          <cell r="C22296" t="str">
            <v>Paddox Primary School</v>
          </cell>
          <cell r="D22296" t="str">
            <v>Warwickshire</v>
          </cell>
          <cell r="E22296" t="str">
            <v>Community School</v>
          </cell>
          <cell r="F22296" t="str">
            <v>Primary</v>
          </cell>
        </row>
        <row r="22297">
          <cell r="A22297">
            <v>8302109</v>
          </cell>
          <cell r="B22297">
            <v>112552</v>
          </cell>
          <cell r="C22297" t="str">
            <v>Padfield Community Primary School</v>
          </cell>
          <cell r="D22297" t="str">
            <v>Derbyshire</v>
          </cell>
          <cell r="E22297" t="str">
            <v>Community School</v>
          </cell>
          <cell r="F22297" t="str">
            <v>Primary</v>
          </cell>
        </row>
        <row r="22298">
          <cell r="A22298">
            <v>8884194</v>
          </cell>
          <cell r="B22298">
            <v>119756</v>
          </cell>
          <cell r="C22298" t="str">
            <v>Padiham Gawthorpe High School</v>
          </cell>
          <cell r="D22298" t="str">
            <v>Lancashire</v>
          </cell>
          <cell r="E22298" t="str">
            <v>Community School</v>
          </cell>
          <cell r="F22298" t="str">
            <v>Secondary</v>
          </cell>
        </row>
        <row r="22299">
          <cell r="A22299">
            <v>8883021</v>
          </cell>
          <cell r="B22299">
            <v>119366</v>
          </cell>
          <cell r="C22299" t="str">
            <v>Padiham Green Church of England Primary School</v>
          </cell>
          <cell r="D22299" t="str">
            <v>Lancashire</v>
          </cell>
          <cell r="E22299" t="str">
            <v>Voluntary Controlled School</v>
          </cell>
          <cell r="F22299" t="str">
            <v>Primary</v>
          </cell>
        </row>
        <row r="22300">
          <cell r="A22300">
            <v>8882071</v>
          </cell>
          <cell r="B22300">
            <v>119164</v>
          </cell>
          <cell r="C22300" t="str">
            <v>Padiham Primary School</v>
          </cell>
          <cell r="D22300" t="str">
            <v>Lancashire</v>
          </cell>
          <cell r="E22300" t="str">
            <v>Community School</v>
          </cell>
          <cell r="F22300" t="str">
            <v>Primary</v>
          </cell>
        </row>
        <row r="22301">
          <cell r="A22301">
            <v>8883313</v>
          </cell>
          <cell r="B22301">
            <v>119425</v>
          </cell>
          <cell r="C22301" t="str">
            <v>Padiham St Leonard's Voluntary Aided Church of England Primary School</v>
          </cell>
          <cell r="D22301" t="str">
            <v>Lancashire</v>
          </cell>
          <cell r="E22301" t="str">
            <v>Voluntary Aided School</v>
          </cell>
          <cell r="F22301" t="str">
            <v>Primary</v>
          </cell>
        </row>
        <row r="22302">
          <cell r="A22302">
            <v>8502214</v>
          </cell>
          <cell r="B22302">
            <v>115965</v>
          </cell>
          <cell r="C22302" t="str">
            <v>Padnell Infant School</v>
          </cell>
          <cell r="D22302" t="str">
            <v>Hampshire</v>
          </cell>
          <cell r="E22302" t="str">
            <v>Community School</v>
          </cell>
          <cell r="F22302" t="str">
            <v>Primary</v>
          </cell>
        </row>
        <row r="22303">
          <cell r="A22303">
            <v>8502213</v>
          </cell>
          <cell r="B22303">
            <v>115964</v>
          </cell>
          <cell r="C22303" t="str">
            <v>Padnell Junior School</v>
          </cell>
          <cell r="D22303" t="str">
            <v>Hampshire</v>
          </cell>
          <cell r="E22303" t="str">
            <v>Community School</v>
          </cell>
          <cell r="F22303" t="str">
            <v>Primary</v>
          </cell>
        </row>
        <row r="22304">
          <cell r="A22304">
            <v>6783331</v>
          </cell>
          <cell r="B22304">
            <v>402200</v>
          </cell>
          <cell r="C22304" t="str">
            <v>Padre Pio RC Primary</v>
          </cell>
          <cell r="D22304" t="str">
            <v>Torfaen</v>
          </cell>
          <cell r="E22304" t="str">
            <v>Welsh Establishment</v>
          </cell>
          <cell r="F22304" t="str">
            <v>Primary</v>
          </cell>
        </row>
        <row r="22305">
          <cell r="A22305">
            <v>9082511</v>
          </cell>
          <cell r="B22305">
            <v>111918</v>
          </cell>
          <cell r="C22305" t="str">
            <v>Padstow School</v>
          </cell>
          <cell r="D22305" t="str">
            <v>Cornwall</v>
          </cell>
          <cell r="E22305" t="str">
            <v>Community School</v>
          </cell>
          <cell r="F22305" t="str">
            <v>Primary</v>
          </cell>
        </row>
        <row r="22306">
          <cell r="A22306">
            <v>8925403</v>
          </cell>
          <cell r="B22306">
            <v>122905</v>
          </cell>
          <cell r="C22306" t="str">
            <v>Padstow School</v>
          </cell>
          <cell r="D22306" t="str">
            <v>Nottingham</v>
          </cell>
          <cell r="E22306" t="str">
            <v>Foundation School</v>
          </cell>
          <cell r="F22306" t="str">
            <v>Secondary</v>
          </cell>
        </row>
        <row r="22307">
          <cell r="A22307">
            <v>9082511</v>
          </cell>
          <cell r="B22307">
            <v>137183</v>
          </cell>
          <cell r="C22307" t="str">
            <v>Padstow School</v>
          </cell>
          <cell r="D22307" t="str">
            <v>Cornwall</v>
          </cell>
          <cell r="E22307" t="str">
            <v>Academy Converters</v>
          </cell>
          <cell r="F22307" t="str">
            <v>Primary</v>
          </cell>
        </row>
        <row r="22308">
          <cell r="A22308">
            <v>8696009</v>
          </cell>
          <cell r="B22308">
            <v>110169</v>
          </cell>
          <cell r="C22308" t="str">
            <v>Padworth College</v>
          </cell>
          <cell r="D22308" t="str">
            <v>West Berkshire</v>
          </cell>
          <cell r="E22308" t="str">
            <v>Other Independent School</v>
          </cell>
          <cell r="F22308" t="str">
            <v>Not applicable</v>
          </cell>
        </row>
        <row r="22309">
          <cell r="A22309">
            <v>3302148</v>
          </cell>
          <cell r="B22309">
            <v>103239</v>
          </cell>
          <cell r="C22309" t="str">
            <v>Paganel Infant School (NC)(SU)</v>
          </cell>
          <cell r="D22309" t="str">
            <v>Birmingham</v>
          </cell>
          <cell r="E22309" t="str">
            <v>Community School</v>
          </cell>
          <cell r="F22309" t="str">
            <v>Primary</v>
          </cell>
        </row>
        <row r="22310">
          <cell r="A22310">
            <v>3302147</v>
          </cell>
          <cell r="B22310">
            <v>103238</v>
          </cell>
          <cell r="C22310" t="str">
            <v>Paganel Junior School</v>
          </cell>
          <cell r="D22310" t="str">
            <v>Birmingham</v>
          </cell>
          <cell r="E22310" t="str">
            <v>Community School</v>
          </cell>
          <cell r="F22310" t="str">
            <v>Primary</v>
          </cell>
        </row>
        <row r="22311">
          <cell r="A22311">
            <v>3302021</v>
          </cell>
          <cell r="B22311">
            <v>134281</v>
          </cell>
          <cell r="C22311" t="str">
            <v>Paganel Primary School</v>
          </cell>
          <cell r="D22311" t="str">
            <v>Birmingham</v>
          </cell>
          <cell r="E22311" t="str">
            <v>Community School</v>
          </cell>
          <cell r="F22311" t="str">
            <v>Primary</v>
          </cell>
        </row>
        <row r="22312">
          <cell r="A22312">
            <v>8252232</v>
          </cell>
          <cell r="B22312">
            <v>110323</v>
          </cell>
          <cell r="C22312" t="str">
            <v>Page Hill Infant School</v>
          </cell>
          <cell r="D22312" t="str">
            <v>Buckinghamshire</v>
          </cell>
          <cell r="E22312" t="str">
            <v>Community School</v>
          </cell>
          <cell r="F22312" t="str">
            <v>Primary</v>
          </cell>
        </row>
        <row r="22313">
          <cell r="A22313">
            <v>8604055</v>
          </cell>
          <cell r="B22313">
            <v>124392</v>
          </cell>
          <cell r="C22313" t="str">
            <v>Paget High School, Business and Enterprise College</v>
          </cell>
          <cell r="D22313" t="str">
            <v>Staffordshire</v>
          </cell>
          <cell r="E22313" t="str">
            <v>Community School</v>
          </cell>
          <cell r="F22313" t="str">
            <v>Secondary</v>
          </cell>
        </row>
        <row r="22314">
          <cell r="A22314">
            <v>3302149</v>
          </cell>
          <cell r="B22314">
            <v>103240</v>
          </cell>
          <cell r="C22314" t="str">
            <v>Paget Primary School</v>
          </cell>
          <cell r="D22314" t="str">
            <v>Birmingham</v>
          </cell>
          <cell r="E22314" t="str">
            <v>Community School</v>
          </cell>
          <cell r="F22314" t="str">
            <v>Primary</v>
          </cell>
        </row>
        <row r="22315">
          <cell r="A22315">
            <v>8804119</v>
          </cell>
          <cell r="B22315">
            <v>113528</v>
          </cell>
          <cell r="C22315" t="str">
            <v>Paignton Community and Sports College</v>
          </cell>
          <cell r="D22315" t="str">
            <v>Torbay</v>
          </cell>
          <cell r="E22315" t="str">
            <v>Community School</v>
          </cell>
          <cell r="F22315" t="str">
            <v>Secondary</v>
          </cell>
        </row>
        <row r="22316">
          <cell r="A22316">
            <v>8604610</v>
          </cell>
          <cell r="B22316">
            <v>124456</v>
          </cell>
          <cell r="C22316" t="str">
            <v>Painsley Catholic College</v>
          </cell>
          <cell r="D22316" t="str">
            <v>Staffordshire</v>
          </cell>
          <cell r="E22316" t="str">
            <v>Voluntary Aided School</v>
          </cell>
          <cell r="F22316" t="str">
            <v>Secondary</v>
          </cell>
        </row>
        <row r="22317">
          <cell r="A22317">
            <v>8862525</v>
          </cell>
          <cell r="B22317">
            <v>118491</v>
          </cell>
          <cell r="C22317" t="str">
            <v>Painters Ash Primary School</v>
          </cell>
          <cell r="D22317" t="str">
            <v>Kent</v>
          </cell>
          <cell r="E22317" t="str">
            <v>Community School</v>
          </cell>
          <cell r="F22317" t="str">
            <v>Primary</v>
          </cell>
        </row>
        <row r="22318">
          <cell r="A22318">
            <v>9012233</v>
          </cell>
          <cell r="B22318">
            <v>128226</v>
          </cell>
          <cell r="C22318" t="str">
            <v>Painters Mead Infant School</v>
          </cell>
          <cell r="D22318" t="str">
            <v>Pre LGR (1996) Avon</v>
          </cell>
          <cell r="E22318" t="str">
            <v>Community School</v>
          </cell>
          <cell r="F22318" t="str">
            <v>Primary</v>
          </cell>
        </row>
        <row r="22319">
          <cell r="A22319">
            <v>8102560</v>
          </cell>
          <cell r="B22319">
            <v>117809</v>
          </cell>
          <cell r="C22319" t="str">
            <v>Paisley Primary School</v>
          </cell>
          <cell r="D22319" t="str">
            <v>Kingston upon Hull City of</v>
          </cell>
          <cell r="E22319" t="str">
            <v>Community School</v>
          </cell>
          <cell r="F22319" t="str">
            <v>Primary</v>
          </cell>
        </row>
        <row r="22320">
          <cell r="A22320">
            <v>9354605</v>
          </cell>
          <cell r="B22320">
            <v>136438</v>
          </cell>
          <cell r="C22320" t="str">
            <v>Pakefield</v>
          </cell>
          <cell r="D22320" t="str">
            <v>Suffolk</v>
          </cell>
          <cell r="E22320" t="str">
            <v>Foundation School</v>
          </cell>
          <cell r="F22320" t="str">
            <v>Secondary</v>
          </cell>
        </row>
        <row r="22321">
          <cell r="A22321">
            <v>9354071</v>
          </cell>
          <cell r="B22321">
            <v>124831</v>
          </cell>
          <cell r="C22321" t="str">
            <v>Pakefield Middle School</v>
          </cell>
          <cell r="D22321" t="str">
            <v>Suffolk</v>
          </cell>
          <cell r="E22321" t="str">
            <v>Community School</v>
          </cell>
          <cell r="F22321" t="str">
            <v>Middle Deemed Secondary</v>
          </cell>
        </row>
        <row r="22322">
          <cell r="A22322">
            <v>9352145</v>
          </cell>
          <cell r="B22322">
            <v>124637</v>
          </cell>
          <cell r="C22322" t="str">
            <v>Pakefield Primary School</v>
          </cell>
          <cell r="D22322" t="str">
            <v>Suffolk</v>
          </cell>
          <cell r="E22322" t="str">
            <v>Community School</v>
          </cell>
          <cell r="F22322" t="str">
            <v>Primary</v>
          </cell>
        </row>
        <row r="22323">
          <cell r="A22323">
            <v>2062455</v>
          </cell>
          <cell r="B22323">
            <v>100418</v>
          </cell>
          <cell r="C22323" t="str">
            <v>Pakeman Primary School</v>
          </cell>
          <cell r="D22323" t="str">
            <v>Islington</v>
          </cell>
          <cell r="E22323" t="str">
            <v>Community School</v>
          </cell>
          <cell r="F22323" t="str">
            <v>Primary</v>
          </cell>
        </row>
        <row r="22324">
          <cell r="A22324">
            <v>9353052</v>
          </cell>
          <cell r="B22324">
            <v>129982</v>
          </cell>
          <cell r="C22324" t="str">
            <v>Pakenham VC Primary School</v>
          </cell>
          <cell r="D22324" t="str">
            <v>Suffolk</v>
          </cell>
          <cell r="E22324" t="str">
            <v>Voluntary Controlled School</v>
          </cell>
          <cell r="F22324" t="str">
            <v>Primary</v>
          </cell>
        </row>
        <row r="22325">
          <cell r="A22325">
            <v>8762724</v>
          </cell>
          <cell r="B22325">
            <v>137301</v>
          </cell>
          <cell r="C22325" t="str">
            <v>Palace Fields Primary Academy</v>
          </cell>
          <cell r="D22325" t="str">
            <v>Halton</v>
          </cell>
          <cell r="E22325" t="str">
            <v>Academy Converters</v>
          </cell>
          <cell r="F22325" t="str">
            <v>Primary</v>
          </cell>
        </row>
        <row r="22326">
          <cell r="A22326">
            <v>8762724</v>
          </cell>
          <cell r="B22326">
            <v>130271</v>
          </cell>
          <cell r="C22326" t="str">
            <v>Palace Fields Primary School</v>
          </cell>
          <cell r="D22326" t="str">
            <v>Halton</v>
          </cell>
          <cell r="E22326" t="str">
            <v>Community School</v>
          </cell>
          <cell r="F22326" t="str">
            <v>Primary</v>
          </cell>
        </row>
        <row r="22327">
          <cell r="A22327">
            <v>8862563</v>
          </cell>
          <cell r="B22327">
            <v>118517</v>
          </cell>
          <cell r="C22327" t="str">
            <v>Palace Wood Infant School</v>
          </cell>
          <cell r="D22327" t="str">
            <v>Kent</v>
          </cell>
          <cell r="E22327" t="str">
            <v>Community School</v>
          </cell>
          <cell r="F22327" t="str">
            <v>Primary</v>
          </cell>
        </row>
        <row r="22328">
          <cell r="A22328">
            <v>8862475</v>
          </cell>
          <cell r="B22328">
            <v>118462</v>
          </cell>
          <cell r="C22328" t="str">
            <v>Palace Wood Junior School</v>
          </cell>
          <cell r="D22328" t="str">
            <v>Kent</v>
          </cell>
          <cell r="E22328" t="str">
            <v>Community School</v>
          </cell>
          <cell r="F22328" t="str">
            <v>Primary</v>
          </cell>
        </row>
        <row r="22329">
          <cell r="A22329">
            <v>8863906</v>
          </cell>
          <cell r="B22329">
            <v>135106</v>
          </cell>
          <cell r="C22329" t="str">
            <v>Palace Wood Primary School</v>
          </cell>
          <cell r="D22329" t="str">
            <v>Kent</v>
          </cell>
          <cell r="E22329" t="str">
            <v>Community School</v>
          </cell>
          <cell r="F22329" t="str">
            <v>Primary</v>
          </cell>
        </row>
        <row r="22330">
          <cell r="A22330">
            <v>9062351</v>
          </cell>
          <cell r="B22330">
            <v>111161</v>
          </cell>
          <cell r="C22330" t="str">
            <v>Palacefields County Infant School</v>
          </cell>
          <cell r="D22330" t="str">
            <v>Pre LGR (1998) Cheshire</v>
          </cell>
          <cell r="E22330" t="str">
            <v>Community School</v>
          </cell>
          <cell r="F22330" t="str">
            <v>Primary</v>
          </cell>
        </row>
        <row r="22331">
          <cell r="A22331">
            <v>9062330</v>
          </cell>
          <cell r="B22331">
            <v>111145</v>
          </cell>
          <cell r="C22331" t="str">
            <v>Palacefields County Junior School</v>
          </cell>
          <cell r="D22331" t="str">
            <v>Pre LGR (1998) Cheshire</v>
          </cell>
          <cell r="E22331" t="str">
            <v>Community School</v>
          </cell>
          <cell r="F22331" t="str">
            <v>Primary</v>
          </cell>
        </row>
        <row r="22332">
          <cell r="A22332">
            <v>8904404</v>
          </cell>
          <cell r="B22332">
            <v>119769</v>
          </cell>
          <cell r="C22332" t="str">
            <v>Palatine Community Sports College</v>
          </cell>
          <cell r="D22332" t="str">
            <v>Blackpool</v>
          </cell>
          <cell r="E22332" t="str">
            <v>Foundation School</v>
          </cell>
          <cell r="F22332" t="str">
            <v>Secondary</v>
          </cell>
        </row>
        <row r="22333">
          <cell r="A22333">
            <v>9387008</v>
          </cell>
          <cell r="B22333">
            <v>126159</v>
          </cell>
          <cell r="C22333" t="str">
            <v>Palatine School</v>
          </cell>
          <cell r="D22333" t="str">
            <v>West Sussex</v>
          </cell>
          <cell r="E22333" t="str">
            <v>Community Special School</v>
          </cell>
          <cell r="F22333" t="str">
            <v>Special</v>
          </cell>
        </row>
        <row r="22334">
          <cell r="A22334">
            <v>3356008</v>
          </cell>
          <cell r="B22334">
            <v>104267</v>
          </cell>
          <cell r="C22334" t="str">
            <v>Palfrey Girls School</v>
          </cell>
          <cell r="D22334" t="str">
            <v>Walsall</v>
          </cell>
          <cell r="E22334" t="str">
            <v>Other Independent School</v>
          </cell>
          <cell r="F22334" t="str">
            <v>Not applicable</v>
          </cell>
        </row>
        <row r="22335">
          <cell r="A22335">
            <v>3352030</v>
          </cell>
          <cell r="B22335">
            <v>104161</v>
          </cell>
          <cell r="C22335" t="str">
            <v>Palfrey Infant School</v>
          </cell>
          <cell r="D22335" t="str">
            <v>Walsall</v>
          </cell>
          <cell r="E22335" t="str">
            <v>Community School</v>
          </cell>
          <cell r="F22335" t="str">
            <v>Primary</v>
          </cell>
        </row>
        <row r="22336">
          <cell r="A22336">
            <v>3352028</v>
          </cell>
          <cell r="B22336">
            <v>104160</v>
          </cell>
          <cell r="C22336" t="str">
            <v>Palfrey Junior School</v>
          </cell>
          <cell r="D22336" t="str">
            <v>Walsall</v>
          </cell>
          <cell r="E22336" t="str">
            <v>Community School</v>
          </cell>
          <cell r="F22336" t="str">
            <v>Primary</v>
          </cell>
        </row>
        <row r="22337">
          <cell r="A22337">
            <v>9353099</v>
          </cell>
          <cell r="B22337">
            <v>124740</v>
          </cell>
          <cell r="C22337" t="str">
            <v>Palgrave Church of England Voluntary Controlled Primary School</v>
          </cell>
          <cell r="D22337" t="str">
            <v>Suffolk</v>
          </cell>
          <cell r="E22337" t="str">
            <v>Voluntary Controlled School</v>
          </cell>
          <cell r="F22337" t="str">
            <v>Primary</v>
          </cell>
        </row>
        <row r="22338">
          <cell r="A22338">
            <v>3942055</v>
          </cell>
          <cell r="B22338">
            <v>108773</v>
          </cell>
          <cell r="C22338" t="str">
            <v>Pallion Primary School</v>
          </cell>
          <cell r="D22338" t="str">
            <v>Sunderland</v>
          </cell>
          <cell r="E22338" t="str">
            <v>Community School</v>
          </cell>
          <cell r="F22338" t="str">
            <v>Primary</v>
          </cell>
        </row>
        <row r="22339">
          <cell r="A22339">
            <v>8062331</v>
          </cell>
          <cell r="B22339">
            <v>111631</v>
          </cell>
          <cell r="C22339" t="str">
            <v>Pallister Park Primary School</v>
          </cell>
          <cell r="D22339" t="str">
            <v>Middlesbrough</v>
          </cell>
          <cell r="E22339" t="str">
            <v>Community School</v>
          </cell>
          <cell r="F22339" t="str">
            <v>Primary</v>
          </cell>
        </row>
        <row r="22340">
          <cell r="A22340">
            <v>8862672</v>
          </cell>
          <cell r="B22340">
            <v>118583</v>
          </cell>
          <cell r="C22340" t="str">
            <v>Palm Bay Primary School</v>
          </cell>
          <cell r="D22340" t="str">
            <v>Kent</v>
          </cell>
          <cell r="E22340" t="str">
            <v>Community School</v>
          </cell>
          <cell r="F22340" t="str">
            <v>Primary</v>
          </cell>
        </row>
        <row r="22341">
          <cell r="A22341">
            <v>8862524</v>
          </cell>
          <cell r="B22341">
            <v>118490</v>
          </cell>
          <cell r="C22341" t="str">
            <v>Palmarsh Primary School</v>
          </cell>
          <cell r="D22341" t="str">
            <v>Kent</v>
          </cell>
          <cell r="E22341" t="str">
            <v>Community School</v>
          </cell>
          <cell r="F22341" t="str">
            <v>Primary</v>
          </cell>
        </row>
        <row r="22342">
          <cell r="A22342">
            <v>8838602</v>
          </cell>
          <cell r="B22342">
            <v>130682</v>
          </cell>
          <cell r="C22342" t="str">
            <v>Palmer's College</v>
          </cell>
          <cell r="D22342" t="str">
            <v>Thurrock</v>
          </cell>
          <cell r="E22342" t="str">
            <v>Further Education</v>
          </cell>
          <cell r="F22342" t="str">
            <v>16 Plus</v>
          </cell>
        </row>
        <row r="22343">
          <cell r="A22343">
            <v>3362041</v>
          </cell>
          <cell r="B22343">
            <v>104309</v>
          </cell>
          <cell r="C22343" t="str">
            <v>Palmers Cross Primary School</v>
          </cell>
          <cell r="D22343" t="str">
            <v>Wolverhampton</v>
          </cell>
          <cell r="E22343" t="str">
            <v>Community School</v>
          </cell>
          <cell r="F22343" t="str">
            <v>Primary</v>
          </cell>
        </row>
        <row r="22344">
          <cell r="A22344">
            <v>3086001</v>
          </cell>
          <cell r="B22344">
            <v>102061</v>
          </cell>
          <cell r="C22344" t="str">
            <v>Palmers Green High School</v>
          </cell>
          <cell r="D22344" t="str">
            <v>Enfield</v>
          </cell>
          <cell r="E22344" t="str">
            <v>Other Independent School</v>
          </cell>
          <cell r="F22344" t="str">
            <v>Not applicable</v>
          </cell>
        </row>
        <row r="22345">
          <cell r="A22345">
            <v>9154522</v>
          </cell>
          <cell r="B22345">
            <v>128910</v>
          </cell>
          <cell r="C22345" t="str">
            <v>Palmers Sixth Form College</v>
          </cell>
          <cell r="D22345" t="str">
            <v>Pre LGR (1998) Essex</v>
          </cell>
          <cell r="E22345" t="str">
            <v>Voluntary Controlled School</v>
          </cell>
          <cell r="F22345" t="str">
            <v>Secondary</v>
          </cell>
        </row>
        <row r="22346">
          <cell r="A22346">
            <v>6732131</v>
          </cell>
          <cell r="B22346">
            <v>401099</v>
          </cell>
          <cell r="C22346" t="str">
            <v>Palmerston Primary School</v>
          </cell>
          <cell r="D22346" t="str">
            <v>The Vale of Glamorgan</v>
          </cell>
          <cell r="E22346" t="str">
            <v>Welsh Establishment</v>
          </cell>
          <cell r="F22346" t="str">
            <v>Primary</v>
          </cell>
        </row>
        <row r="22347">
          <cell r="A22347">
            <v>3417051</v>
          </cell>
          <cell r="B22347">
            <v>104748</v>
          </cell>
          <cell r="C22347" t="str">
            <v>Palmerston School</v>
          </cell>
          <cell r="D22347" t="str">
            <v>Liverpool</v>
          </cell>
          <cell r="E22347" t="str">
            <v>Community Special School</v>
          </cell>
          <cell r="F22347" t="str">
            <v>Special</v>
          </cell>
        </row>
        <row r="22348">
          <cell r="A22348">
            <v>8302213</v>
          </cell>
          <cell r="B22348">
            <v>112617</v>
          </cell>
          <cell r="C22348" t="str">
            <v>Palterton Primary School</v>
          </cell>
          <cell r="D22348" t="str">
            <v>Derbyshire</v>
          </cell>
          <cell r="E22348" t="str">
            <v>Community School</v>
          </cell>
          <cell r="F22348" t="str">
            <v>Primary</v>
          </cell>
        </row>
        <row r="22349">
          <cell r="A22349">
            <v>9196206</v>
          </cell>
          <cell r="B22349">
            <v>129174</v>
          </cell>
          <cell r="C22349" t="str">
            <v>Pamela Gardens School</v>
          </cell>
          <cell r="D22349" t="str">
            <v>Hertfordshire</v>
          </cell>
          <cell r="E22349" t="str">
            <v>Other Independent School</v>
          </cell>
          <cell r="F22349" t="str">
            <v>Not applicable</v>
          </cell>
        </row>
        <row r="22350">
          <cell r="A22350">
            <v>8353025</v>
          </cell>
          <cell r="B22350">
            <v>113764</v>
          </cell>
          <cell r="C22350" t="str">
            <v>Pamphill Voluntary Controlled Church of England First School</v>
          </cell>
          <cell r="D22350" t="str">
            <v>Dorset</v>
          </cell>
          <cell r="E22350" t="str">
            <v>Voluntary Controlled School</v>
          </cell>
          <cell r="F22350" t="str">
            <v>Primary</v>
          </cell>
        </row>
        <row r="22351">
          <cell r="A22351">
            <v>7046001</v>
          </cell>
          <cell r="B22351">
            <v>132552</v>
          </cell>
          <cell r="C22351" t="str">
            <v>Panaga School</v>
          </cell>
          <cell r="D22351" t="str">
            <v>Fieldwork Overseas Establishments</v>
          </cell>
          <cell r="E22351" t="str">
            <v>Service Childrens Education</v>
          </cell>
          <cell r="F22351" t="str">
            <v>Not applicable</v>
          </cell>
        </row>
        <row r="22352">
          <cell r="A22352">
            <v>6722205</v>
          </cell>
          <cell r="B22352">
            <v>401049</v>
          </cell>
          <cell r="C22352" t="str">
            <v>Pandy Infants School</v>
          </cell>
          <cell r="D22352" t="str">
            <v>Bridgend</v>
          </cell>
          <cell r="E22352" t="str">
            <v>Welsh Establishment</v>
          </cell>
          <cell r="F22352" t="str">
            <v>Primary</v>
          </cell>
        </row>
        <row r="22353">
          <cell r="A22353">
            <v>8696005</v>
          </cell>
          <cell r="B22353">
            <v>110132</v>
          </cell>
          <cell r="C22353" t="str">
            <v>Pangbourne College</v>
          </cell>
          <cell r="D22353" t="str">
            <v>West Berkshire</v>
          </cell>
          <cell r="E22353" t="str">
            <v>Other Independent School</v>
          </cell>
          <cell r="F22353" t="str">
            <v>Not applicable</v>
          </cell>
        </row>
        <row r="22354">
          <cell r="A22354">
            <v>9032179</v>
          </cell>
          <cell r="B22354">
            <v>128281</v>
          </cell>
          <cell r="C22354" t="str">
            <v>Pangbourne Infant School</v>
          </cell>
          <cell r="D22354" t="str">
            <v>Pre LGR (1998) Berkshire</v>
          </cell>
          <cell r="E22354" t="str">
            <v>Community School</v>
          </cell>
          <cell r="F22354" t="str">
            <v>Primary</v>
          </cell>
        </row>
        <row r="22355">
          <cell r="A22355">
            <v>9032086</v>
          </cell>
          <cell r="B22355">
            <v>128276</v>
          </cell>
          <cell r="C22355" t="str">
            <v>Pangbourne Junior School</v>
          </cell>
          <cell r="D22355" t="str">
            <v>Pre LGR (1998) Berkshire</v>
          </cell>
          <cell r="E22355" t="str">
            <v>Community School</v>
          </cell>
          <cell r="F22355" t="str">
            <v>Primary</v>
          </cell>
        </row>
        <row r="22356">
          <cell r="A22356">
            <v>8692249</v>
          </cell>
          <cell r="B22356">
            <v>109940</v>
          </cell>
          <cell r="C22356" t="str">
            <v>Pangbourne Primary School</v>
          </cell>
          <cell r="D22356" t="str">
            <v>West Berkshire</v>
          </cell>
          <cell r="E22356" t="str">
            <v>Community School</v>
          </cell>
          <cell r="F22356" t="str">
            <v>Primary</v>
          </cell>
        </row>
        <row r="22357">
          <cell r="A22357">
            <v>8152372</v>
          </cell>
          <cell r="B22357">
            <v>121429</v>
          </cell>
          <cell r="C22357" t="str">
            <v>Pannal Primary School</v>
          </cell>
          <cell r="D22357" t="str">
            <v>North Yorkshire</v>
          </cell>
          <cell r="E22357" t="str">
            <v>Community School</v>
          </cell>
          <cell r="F22357" t="str">
            <v>Primary</v>
          </cell>
        </row>
        <row r="22358">
          <cell r="A22358">
            <v>9192356</v>
          </cell>
          <cell r="B22358">
            <v>117294</v>
          </cell>
          <cell r="C22358" t="str">
            <v>Panshanger Primary School</v>
          </cell>
          <cell r="D22358" t="str">
            <v>Hertfordshire</v>
          </cell>
          <cell r="E22358" t="str">
            <v>Community School</v>
          </cell>
          <cell r="F22358" t="str">
            <v>Primary</v>
          </cell>
        </row>
        <row r="22359">
          <cell r="A22359">
            <v>6762207</v>
          </cell>
          <cell r="B22359">
            <v>401329</v>
          </cell>
          <cell r="C22359" t="str">
            <v>Pantside Primary School</v>
          </cell>
          <cell r="D22359" t="str">
            <v>Caerphilly</v>
          </cell>
          <cell r="E22359" t="str">
            <v>Welsh Establishment</v>
          </cell>
          <cell r="F22359" t="str">
            <v>Primary</v>
          </cell>
        </row>
        <row r="22360">
          <cell r="A22360">
            <v>6752015</v>
          </cell>
          <cell r="B22360">
            <v>401276</v>
          </cell>
          <cell r="C22360" t="str">
            <v>Pantysgallog Primary School</v>
          </cell>
          <cell r="D22360" t="str">
            <v>Merthyr Tydfil</v>
          </cell>
          <cell r="E22360" t="str">
            <v>Welsh Establishment</v>
          </cell>
          <cell r="F22360" t="str">
            <v>Primary</v>
          </cell>
        </row>
        <row r="22361">
          <cell r="A22361">
            <v>9366590</v>
          </cell>
          <cell r="B22361">
            <v>135407</v>
          </cell>
          <cell r="C22361" t="str">
            <v>Papillon House</v>
          </cell>
          <cell r="D22361" t="str">
            <v>Surrey</v>
          </cell>
          <cell r="E22361" t="str">
            <v>Other Independent Special School</v>
          </cell>
          <cell r="F22361" t="str">
            <v>Not applicable</v>
          </cell>
        </row>
        <row r="22362">
          <cell r="A22362">
            <v>8686000</v>
          </cell>
          <cell r="B22362">
            <v>110118</v>
          </cell>
          <cell r="C22362" t="str">
            <v>Papplewick School</v>
          </cell>
          <cell r="D22362" t="str">
            <v>Windsor and Maidenhead</v>
          </cell>
          <cell r="E22362" t="str">
            <v>Other Independent School</v>
          </cell>
          <cell r="F22362" t="str">
            <v>Not applicable</v>
          </cell>
        </row>
        <row r="22363">
          <cell r="A22363">
            <v>3316024</v>
          </cell>
          <cell r="B22363">
            <v>131965</v>
          </cell>
          <cell r="C22363" t="str">
            <v>Paradise Muslim School</v>
          </cell>
          <cell r="D22363" t="str">
            <v>Coventry</v>
          </cell>
          <cell r="E22363" t="str">
            <v>Other Independent School</v>
          </cell>
          <cell r="F22363" t="str">
            <v>Not applicable</v>
          </cell>
        </row>
        <row r="22364">
          <cell r="A22364">
            <v>3311008</v>
          </cell>
          <cell r="B22364">
            <v>127074</v>
          </cell>
          <cell r="C22364" t="str">
            <v>Paradise Nursery School</v>
          </cell>
          <cell r="D22364" t="str">
            <v>Coventry</v>
          </cell>
          <cell r="E22364" t="str">
            <v>LA Nursery School</v>
          </cell>
          <cell r="F22364" t="str">
            <v>Nursery</v>
          </cell>
        </row>
        <row r="22365">
          <cell r="A22365">
            <v>2061101</v>
          </cell>
          <cell r="B22365">
            <v>100388</v>
          </cell>
          <cell r="C22365" t="str">
            <v>Paradise Park Pupil Referral Unit</v>
          </cell>
          <cell r="D22365" t="str">
            <v>Islington</v>
          </cell>
          <cell r="E22365" t="str">
            <v>Pupil Referral Unit</v>
          </cell>
          <cell r="F22365" t="str">
            <v>PRU</v>
          </cell>
        </row>
        <row r="22366">
          <cell r="A22366">
            <v>3826021</v>
          </cell>
          <cell r="B22366">
            <v>132099</v>
          </cell>
          <cell r="C22366" t="str">
            <v>Paradise Primary School</v>
          </cell>
          <cell r="D22366" t="str">
            <v>Kirklees</v>
          </cell>
          <cell r="E22366" t="str">
            <v>Other Independent School</v>
          </cell>
          <cell r="F22366" t="str">
            <v>Not applicable</v>
          </cell>
        </row>
        <row r="22367">
          <cell r="A22367">
            <v>2046389</v>
          </cell>
          <cell r="B22367">
            <v>100301</v>
          </cell>
          <cell r="C22367" t="str">
            <v>Paragon Christian Academy</v>
          </cell>
          <cell r="D22367" t="str">
            <v>Hackney</v>
          </cell>
          <cell r="E22367" t="str">
            <v>Other Independent School</v>
          </cell>
          <cell r="F22367" t="str">
            <v>Not applicable</v>
          </cell>
        </row>
        <row r="22368">
          <cell r="A22368">
            <v>2056397</v>
          </cell>
          <cell r="B22368">
            <v>100525</v>
          </cell>
          <cell r="C22368" t="str">
            <v>Parayhouse School</v>
          </cell>
          <cell r="D22368" t="str">
            <v>Hammersmith and Fulham</v>
          </cell>
          <cell r="E22368" t="str">
            <v>Independent School Approved for SEN Pupils</v>
          </cell>
          <cell r="F22368" t="str">
            <v>Not applicable</v>
          </cell>
        </row>
        <row r="22369">
          <cell r="A22369">
            <v>2057206</v>
          </cell>
          <cell r="B22369">
            <v>135175</v>
          </cell>
          <cell r="C22369" t="str">
            <v>Parayhouse School</v>
          </cell>
          <cell r="D22369" t="str">
            <v>Hammersmith and Fulham</v>
          </cell>
          <cell r="E22369" t="str">
            <v>Non-Maintained Special School</v>
          </cell>
          <cell r="F22369" t="str">
            <v>Special</v>
          </cell>
        </row>
        <row r="22370">
          <cell r="A22370">
            <v>8883451</v>
          </cell>
          <cell r="B22370">
            <v>137127</v>
          </cell>
          <cell r="C22370" t="str">
            <v>Parbold Douglas Church of England Academy</v>
          </cell>
          <cell r="D22370" t="str">
            <v>Lancashire</v>
          </cell>
          <cell r="E22370" t="str">
            <v>Academy Converters</v>
          </cell>
          <cell r="F22370" t="str">
            <v>Primary</v>
          </cell>
        </row>
        <row r="22371">
          <cell r="A22371">
            <v>8883451</v>
          </cell>
          <cell r="B22371">
            <v>119494</v>
          </cell>
          <cell r="C22371" t="str">
            <v>Parbold Douglas Church of England Primary School</v>
          </cell>
          <cell r="D22371" t="str">
            <v>Lancashire</v>
          </cell>
          <cell r="E22371" t="str">
            <v>Voluntary Aided School</v>
          </cell>
          <cell r="F22371" t="str">
            <v>Primary</v>
          </cell>
        </row>
        <row r="22372">
          <cell r="A22372">
            <v>9082133</v>
          </cell>
          <cell r="B22372">
            <v>111831</v>
          </cell>
          <cell r="C22372" t="str">
            <v>Parc Eglos School</v>
          </cell>
          <cell r="D22372" t="str">
            <v>Cornwall</v>
          </cell>
          <cell r="E22372" t="str">
            <v>Community School</v>
          </cell>
          <cell r="F22372" t="str">
            <v>Primary</v>
          </cell>
        </row>
        <row r="22373">
          <cell r="A22373">
            <v>6742161</v>
          </cell>
          <cell r="B22373">
            <v>401192</v>
          </cell>
          <cell r="C22373" t="str">
            <v>Parc Primary School</v>
          </cell>
          <cell r="D22373" t="str">
            <v>Rhondda, Cynon, Taff</v>
          </cell>
          <cell r="E22373" t="str">
            <v>Welsh Establishment</v>
          </cell>
          <cell r="F22373" t="str">
            <v>Primary</v>
          </cell>
        </row>
        <row r="22374">
          <cell r="A22374">
            <v>6692177</v>
          </cell>
          <cell r="B22374">
            <v>400815</v>
          </cell>
          <cell r="C22374" t="str">
            <v>Parc y Tywyn</v>
          </cell>
          <cell r="D22374" t="str">
            <v>Carmarthenshire</v>
          </cell>
          <cell r="E22374" t="str">
            <v>Welsh Establishment</v>
          </cell>
          <cell r="F22374" t="str">
            <v>Primary</v>
          </cell>
        </row>
        <row r="22375">
          <cell r="A22375">
            <v>6742137</v>
          </cell>
          <cell r="B22375">
            <v>401180</v>
          </cell>
          <cell r="C22375" t="str">
            <v>Parclewis Primary School</v>
          </cell>
          <cell r="D22375" t="str">
            <v>Rhondda, Cynon, Taff</v>
          </cell>
          <cell r="E22375" t="str">
            <v>Welsh Establishment</v>
          </cell>
          <cell r="F22375" t="str">
            <v>Primary</v>
          </cell>
        </row>
        <row r="22376">
          <cell r="A22376">
            <v>9332315</v>
          </cell>
          <cell r="B22376">
            <v>123727</v>
          </cell>
          <cell r="C22376" t="str">
            <v>Parcroft Community Junior School</v>
          </cell>
          <cell r="D22376" t="str">
            <v>Somerset</v>
          </cell>
          <cell r="E22376" t="str">
            <v>Community School</v>
          </cell>
          <cell r="F22376" t="str">
            <v>Primary</v>
          </cell>
        </row>
        <row r="22377">
          <cell r="A22377">
            <v>3026084</v>
          </cell>
          <cell r="B22377">
            <v>101385</v>
          </cell>
          <cell r="C22377" t="str">
            <v>Pardes House Grammar School</v>
          </cell>
          <cell r="D22377" t="str">
            <v>Barnet</v>
          </cell>
          <cell r="E22377" t="str">
            <v>Other Independent School</v>
          </cell>
          <cell r="F22377" t="str">
            <v>Not applicable</v>
          </cell>
        </row>
        <row r="22378">
          <cell r="A22378">
            <v>3026070</v>
          </cell>
          <cell r="B22378">
            <v>101382</v>
          </cell>
          <cell r="C22378" t="str">
            <v>Pardes House Primary School</v>
          </cell>
          <cell r="D22378" t="str">
            <v>Barnet</v>
          </cell>
          <cell r="E22378" t="str">
            <v>Other Independent School</v>
          </cell>
          <cell r="F22378" t="str">
            <v>Not applicable</v>
          </cell>
        </row>
        <row r="22379">
          <cell r="A22379">
            <v>3022078</v>
          </cell>
          <cell r="B22379">
            <v>133364</v>
          </cell>
          <cell r="C22379" t="str">
            <v>Pardes House Primary School</v>
          </cell>
          <cell r="D22379" t="str">
            <v>Barnet</v>
          </cell>
          <cell r="E22379" t="str">
            <v>Voluntary Aided School</v>
          </cell>
          <cell r="F22379" t="str">
            <v>Primary</v>
          </cell>
        </row>
        <row r="22380">
          <cell r="A22380">
            <v>3063006</v>
          </cell>
          <cell r="B22380">
            <v>101790</v>
          </cell>
          <cell r="C22380" t="str">
            <v>Parish Church CofE Junior School</v>
          </cell>
          <cell r="D22380" t="str">
            <v>Croydon</v>
          </cell>
          <cell r="E22380" t="str">
            <v>Voluntary Controlled School</v>
          </cell>
          <cell r="F22380" t="str">
            <v>Primary</v>
          </cell>
        </row>
        <row r="22381">
          <cell r="A22381">
            <v>3063007</v>
          </cell>
          <cell r="B22381">
            <v>101791</v>
          </cell>
          <cell r="C22381" t="str">
            <v>Parish Church CofE Nursery and Infant School</v>
          </cell>
          <cell r="D22381" t="str">
            <v>Croydon</v>
          </cell>
          <cell r="E22381" t="str">
            <v>Voluntary Controlled School</v>
          </cell>
          <cell r="F22381" t="str">
            <v>Primary</v>
          </cell>
        </row>
        <row r="22382">
          <cell r="A22382">
            <v>3053001</v>
          </cell>
          <cell r="B22382">
            <v>101644</v>
          </cell>
          <cell r="C22382" t="str">
            <v>Parish Church of England Primary School</v>
          </cell>
          <cell r="D22382" t="str">
            <v>Bromley</v>
          </cell>
          <cell r="E22382" t="str">
            <v>Voluntary Controlled School</v>
          </cell>
          <cell r="F22382" t="str">
            <v>Primary</v>
          </cell>
        </row>
        <row r="22383">
          <cell r="A22383">
            <v>3423304</v>
          </cell>
          <cell r="B22383">
            <v>104793</v>
          </cell>
          <cell r="C22383" t="str">
            <v>Parish CofE Primary School</v>
          </cell>
          <cell r="D22383" t="str">
            <v>St. Helens</v>
          </cell>
          <cell r="E22383" t="str">
            <v>Voluntary Aided School</v>
          </cell>
          <cell r="F22383" t="str">
            <v>Primary</v>
          </cell>
        </row>
        <row r="22384">
          <cell r="A22384">
            <v>3563004</v>
          </cell>
          <cell r="B22384">
            <v>127504</v>
          </cell>
          <cell r="C22384" t="str">
            <v>Parish CofE Primary School</v>
          </cell>
          <cell r="D22384" t="str">
            <v>Stockport</v>
          </cell>
          <cell r="E22384" t="str">
            <v>Voluntary Controlled School</v>
          </cell>
          <cell r="F22384" t="str">
            <v>Primary</v>
          </cell>
        </row>
        <row r="22385">
          <cell r="A22385">
            <v>3402015</v>
          </cell>
          <cell r="B22385">
            <v>104429</v>
          </cell>
          <cell r="C22385" t="str">
            <v>Park Brow Community Primary School</v>
          </cell>
          <cell r="D22385" t="str">
            <v>Knowsley</v>
          </cell>
          <cell r="E22385" t="str">
            <v>Community School</v>
          </cell>
          <cell r="F22385" t="str">
            <v>Primary</v>
          </cell>
        </row>
        <row r="22386">
          <cell r="A22386">
            <v>6652184</v>
          </cell>
          <cell r="B22386">
            <v>400413</v>
          </cell>
          <cell r="C22386" t="str">
            <v>Park C.P. Infants School</v>
          </cell>
          <cell r="D22386" t="str">
            <v>Wrexham</v>
          </cell>
          <cell r="E22386" t="str">
            <v>Welsh Establishment</v>
          </cell>
          <cell r="F22386" t="str">
            <v>Primary</v>
          </cell>
        </row>
        <row r="22387">
          <cell r="A22387">
            <v>2081106</v>
          </cell>
          <cell r="B22387">
            <v>129762</v>
          </cell>
          <cell r="C22387" t="str">
            <v>Park Campus</v>
          </cell>
          <cell r="D22387" t="str">
            <v>Lambeth</v>
          </cell>
          <cell r="E22387" t="str">
            <v>Pupil Referral Unit</v>
          </cell>
          <cell r="F22387" t="str">
            <v>PRU</v>
          </cell>
        </row>
        <row r="22388">
          <cell r="A22388">
            <v>3591100</v>
          </cell>
          <cell r="B22388">
            <v>133737</v>
          </cell>
          <cell r="C22388" t="str">
            <v>Park Centre</v>
          </cell>
          <cell r="D22388" t="str">
            <v>Wigan</v>
          </cell>
          <cell r="E22388" t="str">
            <v>Pupil Referral Unit</v>
          </cell>
          <cell r="F22388" t="str">
            <v>PRU</v>
          </cell>
        </row>
        <row r="22389">
          <cell r="A22389">
            <v>6652271</v>
          </cell>
          <cell r="B22389">
            <v>402150</v>
          </cell>
          <cell r="C22389" t="str">
            <v>Park Community Primary School</v>
          </cell>
          <cell r="D22389" t="str">
            <v>Wrexham</v>
          </cell>
          <cell r="E22389" t="str">
            <v>Welsh Establishment</v>
          </cell>
          <cell r="F22389" t="str">
            <v>Primary</v>
          </cell>
        </row>
        <row r="22390">
          <cell r="A22390">
            <v>8504316</v>
          </cell>
          <cell r="B22390">
            <v>116473</v>
          </cell>
          <cell r="C22390" t="str">
            <v>Park Community School</v>
          </cell>
          <cell r="D22390" t="str">
            <v>Hampshire</v>
          </cell>
          <cell r="E22390" t="str">
            <v>Community School</v>
          </cell>
          <cell r="F22390" t="str">
            <v>Secondary</v>
          </cell>
        </row>
        <row r="22391">
          <cell r="A22391">
            <v>8257030</v>
          </cell>
          <cell r="B22391">
            <v>110589</v>
          </cell>
          <cell r="C22391" t="str">
            <v>Park Crescent School</v>
          </cell>
          <cell r="D22391" t="str">
            <v>Buckinghamshire</v>
          </cell>
          <cell r="E22391" t="str">
            <v>Community Special School</v>
          </cell>
          <cell r="F22391" t="str">
            <v>Special</v>
          </cell>
        </row>
        <row r="22392">
          <cell r="A22392">
            <v>3537006</v>
          </cell>
          <cell r="B22392">
            <v>105752</v>
          </cell>
          <cell r="C22392" t="str">
            <v>Park Dean Community Special School</v>
          </cell>
          <cell r="D22392" t="str">
            <v>Oldham</v>
          </cell>
          <cell r="E22392" t="str">
            <v>Community Special School</v>
          </cell>
          <cell r="F22392" t="str">
            <v>Special</v>
          </cell>
        </row>
        <row r="22393">
          <cell r="A22393">
            <v>8062332</v>
          </cell>
          <cell r="B22393">
            <v>111632</v>
          </cell>
          <cell r="C22393" t="str">
            <v>Park End Primary School</v>
          </cell>
          <cell r="D22393" t="str">
            <v>Middlesbrough</v>
          </cell>
          <cell r="E22393" t="str">
            <v>Community School</v>
          </cell>
          <cell r="F22393" t="str">
            <v>Primary</v>
          </cell>
        </row>
        <row r="22394">
          <cell r="A22394">
            <v>8865227</v>
          </cell>
          <cell r="B22394">
            <v>118506</v>
          </cell>
          <cell r="C22394" t="str">
            <v>Park Farm Primary School</v>
          </cell>
          <cell r="D22394" t="str">
            <v>Kent</v>
          </cell>
          <cell r="E22394" t="str">
            <v>Foundation School</v>
          </cell>
          <cell r="F22394" t="str">
            <v>Primary</v>
          </cell>
        </row>
        <row r="22395">
          <cell r="A22395">
            <v>8502313</v>
          </cell>
          <cell r="B22395">
            <v>116033</v>
          </cell>
          <cell r="C22395" t="str">
            <v>Park Gate Primary School</v>
          </cell>
          <cell r="D22395" t="str">
            <v>Hampshire</v>
          </cell>
          <cell r="E22395" t="str">
            <v>Community School</v>
          </cell>
          <cell r="F22395" t="str">
            <v>Primary</v>
          </cell>
        </row>
        <row r="22396">
          <cell r="A22396">
            <v>8162012</v>
          </cell>
          <cell r="B22396">
            <v>121280</v>
          </cell>
          <cell r="C22396" t="str">
            <v>Park Grove Primary School</v>
          </cell>
          <cell r="D22396" t="str">
            <v>York</v>
          </cell>
          <cell r="E22396" t="str">
            <v>Community School</v>
          </cell>
          <cell r="F22396" t="str">
            <v>Primary</v>
          </cell>
        </row>
        <row r="22397">
          <cell r="A22397">
            <v>3346906</v>
          </cell>
          <cell r="B22397">
            <v>135971</v>
          </cell>
          <cell r="C22397" t="str">
            <v>Park Hall Academy</v>
          </cell>
          <cell r="D22397" t="str">
            <v>Solihull</v>
          </cell>
          <cell r="E22397" t="str">
            <v>Academy Sponsor Led</v>
          </cell>
          <cell r="F22397" t="str">
            <v>Secondary</v>
          </cell>
        </row>
        <row r="22398">
          <cell r="A22398">
            <v>3355200</v>
          </cell>
          <cell r="B22398">
            <v>136303</v>
          </cell>
          <cell r="C22398" t="str">
            <v>Park Hall Infant Academy</v>
          </cell>
          <cell r="D22398" t="str">
            <v>Walsall</v>
          </cell>
          <cell r="E22398" t="str">
            <v>Academy Converters</v>
          </cell>
          <cell r="F22398" t="str">
            <v>Primary</v>
          </cell>
        </row>
        <row r="22399">
          <cell r="A22399">
            <v>3355200</v>
          </cell>
          <cell r="B22399">
            <v>104256</v>
          </cell>
          <cell r="C22399" t="str">
            <v>Park Hall Infant School</v>
          </cell>
          <cell r="D22399" t="str">
            <v>Walsall</v>
          </cell>
          <cell r="E22399" t="str">
            <v>Foundation School</v>
          </cell>
          <cell r="F22399" t="str">
            <v>Primary</v>
          </cell>
        </row>
        <row r="22400">
          <cell r="A22400">
            <v>3355201</v>
          </cell>
          <cell r="B22400">
            <v>104257</v>
          </cell>
          <cell r="C22400" t="str">
            <v>Park Hall Junior School</v>
          </cell>
          <cell r="D22400" t="str">
            <v>Walsall</v>
          </cell>
          <cell r="E22400" t="str">
            <v>Foundation School</v>
          </cell>
          <cell r="F22400" t="str">
            <v>Primary</v>
          </cell>
        </row>
        <row r="22401">
          <cell r="A22401">
            <v>8612115</v>
          </cell>
          <cell r="B22401">
            <v>124029</v>
          </cell>
          <cell r="C22401" t="str">
            <v>Park Hall Primary School</v>
          </cell>
          <cell r="D22401" t="str">
            <v>Stoke-on-Trent</v>
          </cell>
          <cell r="E22401" t="str">
            <v>Community School</v>
          </cell>
          <cell r="F22401" t="str">
            <v>Primary</v>
          </cell>
        </row>
        <row r="22402">
          <cell r="A22402">
            <v>3344031</v>
          </cell>
          <cell r="B22402">
            <v>104116</v>
          </cell>
          <cell r="C22402" t="str">
            <v>Park Hall School</v>
          </cell>
          <cell r="D22402" t="str">
            <v>Solihull</v>
          </cell>
          <cell r="E22402" t="str">
            <v>Community School</v>
          </cell>
          <cell r="F22402" t="str">
            <v>Secondary</v>
          </cell>
        </row>
        <row r="22403">
          <cell r="A22403">
            <v>3104021</v>
          </cell>
          <cell r="B22403">
            <v>102236</v>
          </cell>
          <cell r="C22403" t="str">
            <v>Park High School</v>
          </cell>
          <cell r="D22403" t="str">
            <v>Harrow</v>
          </cell>
          <cell r="E22403" t="str">
            <v>Community School</v>
          </cell>
          <cell r="F22403" t="str">
            <v>Secondary</v>
          </cell>
        </row>
        <row r="22404">
          <cell r="A22404">
            <v>3444017</v>
          </cell>
          <cell r="B22404">
            <v>105096</v>
          </cell>
          <cell r="C22404" t="str">
            <v>Park High School</v>
          </cell>
          <cell r="D22404" t="str">
            <v>Wirral</v>
          </cell>
          <cell r="E22404" t="str">
            <v>Community School</v>
          </cell>
          <cell r="F22404" t="str">
            <v>Secondary</v>
          </cell>
        </row>
        <row r="22405">
          <cell r="A22405">
            <v>3104021</v>
          </cell>
          <cell r="B22405">
            <v>137075</v>
          </cell>
          <cell r="C22405" t="str">
            <v>Park High School</v>
          </cell>
          <cell r="D22405" t="str">
            <v>Harrow</v>
          </cell>
          <cell r="E22405" t="str">
            <v>Academy Converters</v>
          </cell>
          <cell r="F22405" t="str">
            <v>Secondary</v>
          </cell>
        </row>
        <row r="22406">
          <cell r="A22406">
            <v>3546016</v>
          </cell>
          <cell r="B22406">
            <v>131383</v>
          </cell>
          <cell r="C22406" t="str">
            <v>Park Hill - Green Corns</v>
          </cell>
          <cell r="D22406" t="str">
            <v>Rochdale</v>
          </cell>
          <cell r="E22406" t="str">
            <v>Other Independent Special School</v>
          </cell>
          <cell r="F22406" t="str">
            <v>Not applicable</v>
          </cell>
        </row>
        <row r="22407">
          <cell r="A22407">
            <v>3732237</v>
          </cell>
          <cell r="B22407">
            <v>127687</v>
          </cell>
          <cell r="C22407" t="str">
            <v>Park Hill First School</v>
          </cell>
          <cell r="D22407" t="str">
            <v>Sheffield</v>
          </cell>
          <cell r="E22407" t="str">
            <v>Community School</v>
          </cell>
          <cell r="F22407" t="str">
            <v>Primary</v>
          </cell>
        </row>
        <row r="22408">
          <cell r="A22408">
            <v>3062094</v>
          </cell>
          <cell r="B22408">
            <v>101779</v>
          </cell>
          <cell r="C22408" t="str">
            <v>Park Hill Infant School</v>
          </cell>
          <cell r="D22408" t="str">
            <v>Croydon</v>
          </cell>
          <cell r="E22408" t="str">
            <v>Community School</v>
          </cell>
          <cell r="F22408" t="str">
            <v>Primary</v>
          </cell>
        </row>
        <row r="22409">
          <cell r="A22409">
            <v>3062076</v>
          </cell>
          <cell r="B22409">
            <v>101767</v>
          </cell>
          <cell r="C22409" t="str">
            <v>Park Hill Junior School</v>
          </cell>
          <cell r="D22409" t="str">
            <v>Croydon</v>
          </cell>
          <cell r="E22409" t="str">
            <v>Foundation School</v>
          </cell>
          <cell r="F22409" t="str">
            <v>Primary</v>
          </cell>
        </row>
        <row r="22410">
          <cell r="A22410">
            <v>9372309</v>
          </cell>
          <cell r="B22410">
            <v>125552</v>
          </cell>
          <cell r="C22410" t="str">
            <v>Park Hill Junior School</v>
          </cell>
          <cell r="D22410" t="str">
            <v>Warwickshire</v>
          </cell>
          <cell r="E22410" t="str">
            <v>Community School</v>
          </cell>
          <cell r="F22410" t="str">
            <v>Primary</v>
          </cell>
        </row>
        <row r="22411">
          <cell r="A22411">
            <v>3732094</v>
          </cell>
          <cell r="B22411">
            <v>127659</v>
          </cell>
          <cell r="C22411" t="str">
            <v>Park Hill Middle School</v>
          </cell>
          <cell r="D22411" t="str">
            <v>Sheffield</v>
          </cell>
          <cell r="E22411" t="str">
            <v>Community School</v>
          </cell>
          <cell r="F22411" t="str">
            <v>Middle Deemed Primary</v>
          </cell>
        </row>
        <row r="22412">
          <cell r="A22412">
            <v>3302150</v>
          </cell>
          <cell r="B22412">
            <v>103241</v>
          </cell>
          <cell r="C22412" t="str">
            <v>Park Hill Primary School</v>
          </cell>
          <cell r="D22412" t="str">
            <v>Birmingham</v>
          </cell>
          <cell r="E22412" t="str">
            <v>Community School</v>
          </cell>
          <cell r="F22412" t="str">
            <v>Primary</v>
          </cell>
        </row>
        <row r="22413">
          <cell r="A22413">
            <v>3312101</v>
          </cell>
          <cell r="B22413">
            <v>103666</v>
          </cell>
          <cell r="C22413" t="str">
            <v>Park Hill Primary School</v>
          </cell>
          <cell r="D22413" t="str">
            <v>Coventry</v>
          </cell>
          <cell r="E22413" t="str">
            <v>Community School</v>
          </cell>
          <cell r="F22413" t="str">
            <v>Primary</v>
          </cell>
        </row>
        <row r="22414">
          <cell r="A22414">
            <v>3332048</v>
          </cell>
          <cell r="B22414">
            <v>103910</v>
          </cell>
          <cell r="C22414" t="str">
            <v>Park Hill Primary School</v>
          </cell>
          <cell r="D22414" t="str">
            <v>Sandwell</v>
          </cell>
          <cell r="E22414" t="str">
            <v>Foundation School</v>
          </cell>
          <cell r="F22414" t="str">
            <v>Primary</v>
          </cell>
        </row>
        <row r="22415">
          <cell r="A22415">
            <v>3732336</v>
          </cell>
          <cell r="B22415">
            <v>107079</v>
          </cell>
          <cell r="C22415" t="str">
            <v>Park Hill Primary School</v>
          </cell>
          <cell r="D22415" t="str">
            <v>Sheffield</v>
          </cell>
          <cell r="E22415" t="str">
            <v>Community School</v>
          </cell>
          <cell r="F22415" t="str">
            <v>Primary</v>
          </cell>
        </row>
        <row r="22416">
          <cell r="A22416">
            <v>3146059</v>
          </cell>
          <cell r="B22416">
            <v>102616</v>
          </cell>
          <cell r="C22416" t="str">
            <v>Park Hill School</v>
          </cell>
          <cell r="D22416" t="str">
            <v>Kingston upon Thames</v>
          </cell>
          <cell r="E22416" t="str">
            <v>Other Independent School</v>
          </cell>
          <cell r="F22416" t="str">
            <v>Not applicable</v>
          </cell>
        </row>
        <row r="22417">
          <cell r="A22417">
            <v>8746035</v>
          </cell>
          <cell r="B22417">
            <v>134893</v>
          </cell>
          <cell r="C22417" t="str">
            <v>Park House</v>
          </cell>
          <cell r="D22417" t="str">
            <v>Peterborough</v>
          </cell>
          <cell r="E22417" t="str">
            <v>Other Independent Special School</v>
          </cell>
          <cell r="F22417" t="str">
            <v>Not applicable</v>
          </cell>
        </row>
        <row r="22418">
          <cell r="A22418">
            <v>9172087</v>
          </cell>
          <cell r="B22418">
            <v>128979</v>
          </cell>
          <cell r="C22418" t="str">
            <v>Park House First School</v>
          </cell>
          <cell r="D22418" t="str">
            <v>Pre LGR (1997) Hampshire</v>
          </cell>
          <cell r="E22418" t="str">
            <v>Community School</v>
          </cell>
          <cell r="F22418" t="str">
            <v>Primary</v>
          </cell>
        </row>
        <row r="22419">
          <cell r="A22419">
            <v>3152088</v>
          </cell>
          <cell r="B22419">
            <v>102659</v>
          </cell>
          <cell r="C22419" t="str">
            <v>Park House Middle School</v>
          </cell>
          <cell r="D22419" t="str">
            <v>Merton</v>
          </cell>
          <cell r="E22419" t="str">
            <v>Community School</v>
          </cell>
          <cell r="F22419" t="str">
            <v>Middle Deemed Primary</v>
          </cell>
        </row>
        <row r="22420">
          <cell r="A22420">
            <v>3154038</v>
          </cell>
          <cell r="B22420">
            <v>126960</v>
          </cell>
          <cell r="C22420" t="str">
            <v>Park House Middle School</v>
          </cell>
          <cell r="D22420" t="str">
            <v>Merton</v>
          </cell>
          <cell r="E22420" t="str">
            <v>Community School</v>
          </cell>
          <cell r="F22420" t="str">
            <v>Middle Deemed Secondary</v>
          </cell>
        </row>
        <row r="22421">
          <cell r="A22421">
            <v>9172118</v>
          </cell>
          <cell r="B22421">
            <v>128980</v>
          </cell>
          <cell r="C22421" t="str">
            <v>Park House Middle School</v>
          </cell>
          <cell r="D22421" t="str">
            <v>Pre LGR (1997) Hampshire</v>
          </cell>
          <cell r="E22421" t="str">
            <v>Community School</v>
          </cell>
          <cell r="F22421" t="str">
            <v>Middle Deemed Primary</v>
          </cell>
        </row>
        <row r="22422">
          <cell r="A22422">
            <v>8302191</v>
          </cell>
          <cell r="B22422">
            <v>112606</v>
          </cell>
          <cell r="C22422" t="str">
            <v>Park House Primary School</v>
          </cell>
          <cell r="D22422" t="str">
            <v>Derbyshire</v>
          </cell>
          <cell r="E22422" t="str">
            <v>Community School</v>
          </cell>
          <cell r="F22422" t="str">
            <v>Primary</v>
          </cell>
        </row>
        <row r="22423">
          <cell r="A22423">
            <v>8502773</v>
          </cell>
          <cell r="B22423">
            <v>116264</v>
          </cell>
          <cell r="C22423" t="str">
            <v>Park House Primary School</v>
          </cell>
          <cell r="D22423" t="str">
            <v>Hampshire</v>
          </cell>
          <cell r="E22423" t="str">
            <v>Community School</v>
          </cell>
          <cell r="F22423" t="str">
            <v>Primary</v>
          </cell>
        </row>
        <row r="22424">
          <cell r="A22424">
            <v>8694038</v>
          </cell>
          <cell r="B22424">
            <v>110052</v>
          </cell>
          <cell r="C22424" t="str">
            <v>Park House School</v>
          </cell>
          <cell r="D22424" t="str">
            <v>West Berkshire</v>
          </cell>
          <cell r="E22424" t="str">
            <v>Community School</v>
          </cell>
          <cell r="F22424" t="str">
            <v>Secondary</v>
          </cell>
        </row>
        <row r="22425">
          <cell r="A22425">
            <v>3734241</v>
          </cell>
          <cell r="B22425">
            <v>130269</v>
          </cell>
          <cell r="C22425" t="str">
            <v>Park House School</v>
          </cell>
          <cell r="D22425" t="str">
            <v>Sheffield</v>
          </cell>
          <cell r="E22425" t="str">
            <v>Community School</v>
          </cell>
          <cell r="F22425" t="str">
            <v>Middle Deemed Secondary</v>
          </cell>
        </row>
        <row r="22426">
          <cell r="A22426">
            <v>8694038</v>
          </cell>
          <cell r="B22426">
            <v>136733</v>
          </cell>
          <cell r="C22426" t="str">
            <v>Park House School</v>
          </cell>
          <cell r="D22426" t="str">
            <v>West Berkshire</v>
          </cell>
          <cell r="E22426" t="str">
            <v>Academy Converters</v>
          </cell>
          <cell r="F22426" t="str">
            <v>Secondary</v>
          </cell>
        </row>
        <row r="22427">
          <cell r="A22427">
            <v>3162052</v>
          </cell>
          <cell r="B22427">
            <v>126985</v>
          </cell>
          <cell r="C22427" t="str">
            <v>Park Infant School</v>
          </cell>
          <cell r="D22427" t="str">
            <v>Newham</v>
          </cell>
          <cell r="E22427" t="str">
            <v>Community School</v>
          </cell>
          <cell r="F22427" t="str">
            <v>Primary</v>
          </cell>
        </row>
        <row r="22428">
          <cell r="A22428">
            <v>9162090</v>
          </cell>
          <cell r="B22428">
            <v>115539</v>
          </cell>
          <cell r="C22428" t="str">
            <v>Park Junior School</v>
          </cell>
          <cell r="D22428" t="str">
            <v>Gloucestershire</v>
          </cell>
          <cell r="E22428" t="str">
            <v>Community School</v>
          </cell>
          <cell r="F22428" t="str">
            <v>Primary</v>
          </cell>
        </row>
        <row r="22429">
          <cell r="A22429">
            <v>8942118</v>
          </cell>
          <cell r="B22429">
            <v>123408</v>
          </cell>
          <cell r="C22429" t="str">
            <v>Park Junior School</v>
          </cell>
          <cell r="D22429" t="str">
            <v>Telford and Wrekin</v>
          </cell>
          <cell r="E22429" t="str">
            <v>Community School</v>
          </cell>
          <cell r="F22429" t="str">
            <v>Primary</v>
          </cell>
        </row>
        <row r="22430">
          <cell r="A22430">
            <v>6652183</v>
          </cell>
          <cell r="B22430">
            <v>400412</v>
          </cell>
          <cell r="C22430" t="str">
            <v>Park Junior School</v>
          </cell>
          <cell r="D22430" t="str">
            <v>Wrexham</v>
          </cell>
          <cell r="E22430" t="str">
            <v>Welsh Establishment</v>
          </cell>
          <cell r="F22430" t="str">
            <v>Primary</v>
          </cell>
        </row>
        <row r="22431">
          <cell r="A22431">
            <v>9282061</v>
          </cell>
          <cell r="B22431">
            <v>121839</v>
          </cell>
          <cell r="C22431" t="str">
            <v>Park Junior School, Kettering</v>
          </cell>
          <cell r="D22431" t="str">
            <v>Northamptonshire</v>
          </cell>
          <cell r="E22431" t="str">
            <v>Community School</v>
          </cell>
          <cell r="F22431" t="str">
            <v>Primary</v>
          </cell>
        </row>
        <row r="22432">
          <cell r="A22432">
            <v>9282099</v>
          </cell>
          <cell r="B22432">
            <v>121870</v>
          </cell>
          <cell r="C22432" t="str">
            <v>Park Junior School, Wellingborough</v>
          </cell>
          <cell r="D22432" t="str">
            <v>Northamptonshire</v>
          </cell>
          <cell r="E22432" t="str">
            <v>Community School</v>
          </cell>
          <cell r="F22432" t="str">
            <v>Primary</v>
          </cell>
        </row>
        <row r="22433">
          <cell r="A22433">
            <v>3838007</v>
          </cell>
          <cell r="B22433">
            <v>130541</v>
          </cell>
          <cell r="C22433" t="str">
            <v>Park Lane College, Leeds</v>
          </cell>
          <cell r="D22433" t="str">
            <v>Leeds</v>
          </cell>
          <cell r="E22433" t="str">
            <v>Further Education</v>
          </cell>
          <cell r="F22433" t="str">
            <v>16 Plus</v>
          </cell>
        </row>
        <row r="22434">
          <cell r="A22434">
            <v>3556038</v>
          </cell>
          <cell r="B22434">
            <v>134023</v>
          </cell>
          <cell r="C22434" t="str">
            <v>Park Lane High School</v>
          </cell>
          <cell r="D22434" t="str">
            <v>Salford</v>
          </cell>
          <cell r="E22434" t="str">
            <v>Other Independent School</v>
          </cell>
          <cell r="F22434" t="str">
            <v>Not applicable</v>
          </cell>
        </row>
        <row r="22435">
          <cell r="A22435">
            <v>8072026</v>
          </cell>
          <cell r="B22435">
            <v>111537</v>
          </cell>
          <cell r="C22435" t="str">
            <v>Park Lane Infant School</v>
          </cell>
          <cell r="D22435" t="str">
            <v>Redcar and Cleveland</v>
          </cell>
          <cell r="E22435" t="str">
            <v>Community School</v>
          </cell>
          <cell r="F22435" t="str">
            <v>Primary</v>
          </cell>
        </row>
        <row r="22436">
          <cell r="A22436">
            <v>3814001</v>
          </cell>
          <cell r="B22436">
            <v>107561</v>
          </cell>
          <cell r="C22436" t="str">
            <v>Park Lane Learning Trust</v>
          </cell>
          <cell r="D22436" t="str">
            <v>Calderdale</v>
          </cell>
          <cell r="E22436" t="str">
            <v>Foundation School</v>
          </cell>
          <cell r="F22436" t="str">
            <v>Secondary</v>
          </cell>
        </row>
        <row r="22437">
          <cell r="A22437">
            <v>3042038</v>
          </cell>
          <cell r="B22437">
            <v>101509</v>
          </cell>
          <cell r="C22437" t="str">
            <v>Park Lane Primary School</v>
          </cell>
          <cell r="D22437" t="str">
            <v>Brent</v>
          </cell>
          <cell r="E22437" t="str">
            <v>Community School</v>
          </cell>
          <cell r="F22437" t="str">
            <v>Primary</v>
          </cell>
        </row>
        <row r="22438">
          <cell r="A22438">
            <v>8702021</v>
          </cell>
          <cell r="B22438">
            <v>109790</v>
          </cell>
          <cell r="C22438" t="str">
            <v>Park Lane Primary School</v>
          </cell>
          <cell r="D22438" t="str">
            <v>Reading</v>
          </cell>
          <cell r="E22438" t="str">
            <v>Community School</v>
          </cell>
          <cell r="F22438" t="str">
            <v>Primary</v>
          </cell>
        </row>
        <row r="22439">
          <cell r="A22439">
            <v>9372636</v>
          </cell>
          <cell r="B22439">
            <v>130871</v>
          </cell>
          <cell r="C22439" t="str">
            <v>Park Lane Primary School Nursery and Parents' Centre</v>
          </cell>
          <cell r="D22439" t="str">
            <v>Warwickshire</v>
          </cell>
          <cell r="E22439" t="str">
            <v>Community School</v>
          </cell>
          <cell r="F22439" t="str">
            <v>Primary</v>
          </cell>
        </row>
        <row r="22440">
          <cell r="A22440">
            <v>8957112</v>
          </cell>
          <cell r="B22440">
            <v>111508</v>
          </cell>
          <cell r="C22440" t="str">
            <v>Park Lane School</v>
          </cell>
          <cell r="D22440" t="str">
            <v>Cheshire East</v>
          </cell>
          <cell r="E22440" t="str">
            <v>Community Special School</v>
          </cell>
          <cell r="F22440" t="str">
            <v>Special</v>
          </cell>
        </row>
        <row r="22441">
          <cell r="A22441">
            <v>6747008</v>
          </cell>
          <cell r="B22441">
            <v>401920</v>
          </cell>
          <cell r="C22441" t="str">
            <v>Park Lane Special School</v>
          </cell>
          <cell r="D22441" t="str">
            <v>Rhondda, Cynon, Taff</v>
          </cell>
          <cell r="E22441" t="str">
            <v>Welsh Establishment</v>
          </cell>
          <cell r="F22441" t="str">
            <v>Not applicable</v>
          </cell>
        </row>
        <row r="22442">
          <cell r="A22442">
            <v>9365205</v>
          </cell>
          <cell r="B22442">
            <v>125287</v>
          </cell>
          <cell r="C22442" t="str">
            <v>Park Mead Infant School</v>
          </cell>
          <cell r="D22442" t="str">
            <v>Surrey</v>
          </cell>
          <cell r="E22442" t="str">
            <v>Foundation School</v>
          </cell>
          <cell r="F22442" t="str">
            <v>Primary</v>
          </cell>
        </row>
        <row r="22443">
          <cell r="A22443">
            <v>9365211</v>
          </cell>
          <cell r="B22443">
            <v>125293</v>
          </cell>
          <cell r="C22443" t="str">
            <v>Park Mead Primary</v>
          </cell>
          <cell r="D22443" t="str">
            <v>Surrey</v>
          </cell>
          <cell r="E22443" t="str">
            <v>Foundation School</v>
          </cell>
          <cell r="F22443" t="str">
            <v>Primary</v>
          </cell>
        </row>
        <row r="22444">
          <cell r="A22444">
            <v>8452076</v>
          </cell>
          <cell r="B22444">
            <v>114408</v>
          </cell>
          <cell r="C22444" t="str">
            <v>Park Mead Primary School</v>
          </cell>
          <cell r="D22444" t="str">
            <v>East Sussex</v>
          </cell>
          <cell r="E22444" t="str">
            <v>Community School</v>
          </cell>
          <cell r="F22444" t="str">
            <v>Primary</v>
          </cell>
        </row>
        <row r="22445">
          <cell r="A22445">
            <v>3127008</v>
          </cell>
          <cell r="B22445">
            <v>126941</v>
          </cell>
          <cell r="C22445" t="str">
            <v>Park Place School</v>
          </cell>
          <cell r="D22445" t="str">
            <v>Hillingdon</v>
          </cell>
          <cell r="E22445" t="str">
            <v>Community Special School</v>
          </cell>
          <cell r="F22445" t="str">
            <v>Special</v>
          </cell>
        </row>
        <row r="22446">
          <cell r="A22446">
            <v>3162051</v>
          </cell>
          <cell r="B22446">
            <v>102736</v>
          </cell>
          <cell r="C22446" t="str">
            <v>Park Primary School</v>
          </cell>
          <cell r="D22446" t="str">
            <v>Newham</v>
          </cell>
          <cell r="E22446" t="str">
            <v>Community School</v>
          </cell>
          <cell r="F22446" t="str">
            <v>Primary</v>
          </cell>
        </row>
        <row r="22447">
          <cell r="A22447">
            <v>3442110</v>
          </cell>
          <cell r="B22447">
            <v>104999</v>
          </cell>
          <cell r="C22447" t="str">
            <v>Park Primary School</v>
          </cell>
          <cell r="D22447" t="str">
            <v>Wirral</v>
          </cell>
          <cell r="E22447" t="str">
            <v>Community School</v>
          </cell>
          <cell r="F22447" t="str">
            <v>Primary</v>
          </cell>
        </row>
        <row r="22448">
          <cell r="A22448">
            <v>3712165</v>
          </cell>
          <cell r="B22448">
            <v>106728</v>
          </cell>
          <cell r="C22448" t="str">
            <v>Park Primary School</v>
          </cell>
          <cell r="D22448" t="str">
            <v>Doncaster</v>
          </cell>
          <cell r="E22448" t="str">
            <v>Community School</v>
          </cell>
          <cell r="F22448" t="str">
            <v>Primary</v>
          </cell>
        </row>
        <row r="22449">
          <cell r="A22449">
            <v>8502728</v>
          </cell>
          <cell r="B22449">
            <v>116233</v>
          </cell>
          <cell r="C22449" t="str">
            <v>Park Primary School</v>
          </cell>
          <cell r="D22449" t="str">
            <v>Hampshire</v>
          </cell>
          <cell r="E22449" t="str">
            <v>Community School</v>
          </cell>
          <cell r="F22449" t="str">
            <v>Primary</v>
          </cell>
        </row>
        <row r="22450">
          <cell r="A22450">
            <v>8882082</v>
          </cell>
          <cell r="B22450">
            <v>119172</v>
          </cell>
          <cell r="C22450" t="str">
            <v>Park Primary School</v>
          </cell>
          <cell r="D22450" t="str">
            <v>Lancashire</v>
          </cell>
          <cell r="E22450" t="str">
            <v>Community School</v>
          </cell>
          <cell r="F22450" t="str">
            <v>Primary</v>
          </cell>
        </row>
        <row r="22451">
          <cell r="A22451">
            <v>9252237</v>
          </cell>
          <cell r="B22451">
            <v>120501</v>
          </cell>
          <cell r="C22451" t="str">
            <v>Park Primary School</v>
          </cell>
          <cell r="D22451" t="str">
            <v>Lincolnshire</v>
          </cell>
          <cell r="E22451" t="str">
            <v>Foundation School</v>
          </cell>
          <cell r="F22451" t="str">
            <v>Primary</v>
          </cell>
        </row>
        <row r="22452">
          <cell r="A22452">
            <v>8602417</v>
          </cell>
          <cell r="B22452">
            <v>124213</v>
          </cell>
          <cell r="C22452" t="str">
            <v>Park Primary School</v>
          </cell>
          <cell r="D22452" t="str">
            <v>Staffordshire</v>
          </cell>
          <cell r="E22452" t="str">
            <v>Community School</v>
          </cell>
          <cell r="F22452" t="str">
            <v>Primary</v>
          </cell>
        </row>
        <row r="22453">
          <cell r="A22453">
            <v>9202563</v>
          </cell>
          <cell r="B22453">
            <v>129238</v>
          </cell>
          <cell r="C22453" t="str">
            <v>Park Primary School</v>
          </cell>
          <cell r="D22453" t="str">
            <v>Pre LGR (1996) Humberside</v>
          </cell>
          <cell r="E22453" t="str">
            <v>Community School</v>
          </cell>
          <cell r="F22453" t="str">
            <v>Primary</v>
          </cell>
        </row>
        <row r="22454">
          <cell r="A22454">
            <v>6762381</v>
          </cell>
          <cell r="B22454">
            <v>402039</v>
          </cell>
          <cell r="C22454" t="str">
            <v>Park Primary School Bargoed</v>
          </cell>
          <cell r="D22454" t="str">
            <v>Caerphilly</v>
          </cell>
          <cell r="E22454" t="str">
            <v>Welsh Establishment</v>
          </cell>
          <cell r="F22454" t="str">
            <v>Primary</v>
          </cell>
        </row>
        <row r="22455">
          <cell r="A22455">
            <v>8772420</v>
          </cell>
          <cell r="B22455">
            <v>111192</v>
          </cell>
          <cell r="C22455" t="str">
            <v>Park Road Community Primary School</v>
          </cell>
          <cell r="D22455" t="str">
            <v>Warrington</v>
          </cell>
          <cell r="E22455" t="str">
            <v>Community School</v>
          </cell>
          <cell r="F22455" t="str">
            <v>Primary</v>
          </cell>
        </row>
        <row r="22456">
          <cell r="A22456">
            <v>3822066</v>
          </cell>
          <cell r="B22456">
            <v>107640</v>
          </cell>
          <cell r="C22456" t="str">
            <v>Park Road Junior Infant and Nursery School</v>
          </cell>
          <cell r="D22456" t="str">
            <v>Kirklees</v>
          </cell>
          <cell r="E22456" t="str">
            <v>Community School</v>
          </cell>
          <cell r="F22456" t="str">
            <v>Primary</v>
          </cell>
        </row>
        <row r="22457">
          <cell r="A22457">
            <v>3582005</v>
          </cell>
          <cell r="B22457">
            <v>106287</v>
          </cell>
          <cell r="C22457" t="str">
            <v>Park Road Primary School</v>
          </cell>
          <cell r="D22457" t="str">
            <v>Trafford</v>
          </cell>
          <cell r="E22457" t="str">
            <v>Community School</v>
          </cell>
          <cell r="F22457" t="str">
            <v>Primary</v>
          </cell>
        </row>
        <row r="22458">
          <cell r="A22458">
            <v>3582018</v>
          </cell>
          <cell r="B22458">
            <v>106297</v>
          </cell>
          <cell r="C22458" t="str">
            <v>Park Road Primary School</v>
          </cell>
          <cell r="D22458" t="str">
            <v>Trafford</v>
          </cell>
          <cell r="E22458" t="str">
            <v>Community School</v>
          </cell>
          <cell r="F22458" t="str">
            <v>Primary</v>
          </cell>
        </row>
        <row r="22459">
          <cell r="A22459">
            <v>3582005</v>
          </cell>
          <cell r="B22459">
            <v>136376</v>
          </cell>
          <cell r="C22459" t="str">
            <v>Park Road Primary School</v>
          </cell>
          <cell r="D22459" t="str">
            <v>Trafford</v>
          </cell>
          <cell r="E22459" t="str">
            <v>Academy Converters</v>
          </cell>
          <cell r="F22459" t="str">
            <v>Primary</v>
          </cell>
        </row>
        <row r="22460">
          <cell r="A22460">
            <v>3136067</v>
          </cell>
          <cell r="B22460">
            <v>102553</v>
          </cell>
          <cell r="C22460" t="str">
            <v>Park School</v>
          </cell>
          <cell r="D22460" t="str">
            <v>Hounslow</v>
          </cell>
          <cell r="E22460" t="str">
            <v>Other Independent School</v>
          </cell>
          <cell r="F22460" t="str">
            <v>Not applicable</v>
          </cell>
        </row>
        <row r="22461">
          <cell r="A22461">
            <v>3501100</v>
          </cell>
          <cell r="B22461">
            <v>105146</v>
          </cell>
          <cell r="C22461" t="str">
            <v>Park School</v>
          </cell>
          <cell r="D22461" t="str">
            <v>Bolton</v>
          </cell>
          <cell r="E22461" t="str">
            <v>Pupil Referral Unit</v>
          </cell>
          <cell r="F22461" t="str">
            <v>PRU</v>
          </cell>
        </row>
        <row r="22462">
          <cell r="A22462">
            <v>8786040</v>
          </cell>
          <cell r="B22462">
            <v>113617</v>
          </cell>
          <cell r="C22462" t="str">
            <v>Park School</v>
          </cell>
          <cell r="D22462" t="str">
            <v>Devon</v>
          </cell>
          <cell r="E22462" t="str">
            <v>Other Independent School</v>
          </cell>
          <cell r="F22462" t="str">
            <v>Not applicable</v>
          </cell>
        </row>
        <row r="22463">
          <cell r="A22463">
            <v>8907019</v>
          </cell>
          <cell r="B22463">
            <v>119867</v>
          </cell>
          <cell r="C22463" t="str">
            <v>Park School</v>
          </cell>
          <cell r="D22463" t="str">
            <v>Blackpool</v>
          </cell>
          <cell r="E22463" t="str">
            <v>Community Special School</v>
          </cell>
          <cell r="F22463" t="str">
            <v>Special</v>
          </cell>
        </row>
        <row r="22464">
          <cell r="A22464">
            <v>3176061</v>
          </cell>
          <cell r="B22464">
            <v>102873</v>
          </cell>
          <cell r="C22464" t="str">
            <v>Park School for Girls</v>
          </cell>
          <cell r="D22464" t="str">
            <v>Redbridge</v>
          </cell>
          <cell r="E22464" t="str">
            <v>Other Independent School</v>
          </cell>
          <cell r="F22464" t="str">
            <v>Not applicable</v>
          </cell>
        </row>
        <row r="22465">
          <cell r="A22465">
            <v>8662155</v>
          </cell>
          <cell r="B22465">
            <v>126244</v>
          </cell>
          <cell r="C22465" t="str">
            <v>Park South Junior School</v>
          </cell>
          <cell r="D22465" t="str">
            <v>Swindon</v>
          </cell>
          <cell r="E22465" t="str">
            <v>Community School</v>
          </cell>
          <cell r="F22465" t="str">
            <v>Primary</v>
          </cell>
        </row>
        <row r="22466">
          <cell r="A22466">
            <v>8662154</v>
          </cell>
          <cell r="B22466">
            <v>126243</v>
          </cell>
          <cell r="C22466" t="str">
            <v>Park South Nursery and Infant School</v>
          </cell>
          <cell r="D22466" t="str">
            <v>Swindon</v>
          </cell>
          <cell r="E22466" t="str">
            <v>Community School</v>
          </cell>
          <cell r="F22466" t="str">
            <v>Primary</v>
          </cell>
        </row>
        <row r="22467">
          <cell r="A22467">
            <v>3832232</v>
          </cell>
          <cell r="B22467">
            <v>127867</v>
          </cell>
          <cell r="C22467" t="str">
            <v>Park Spring First School</v>
          </cell>
          <cell r="D22467" t="str">
            <v>Leeds</v>
          </cell>
          <cell r="E22467" t="str">
            <v>Community School</v>
          </cell>
          <cell r="F22467" t="str">
            <v>Primary</v>
          </cell>
        </row>
        <row r="22468">
          <cell r="A22468">
            <v>3832488</v>
          </cell>
          <cell r="B22468">
            <v>107964</v>
          </cell>
          <cell r="C22468" t="str">
            <v>Park Spring Primary School</v>
          </cell>
          <cell r="D22468" t="str">
            <v>Leeds</v>
          </cell>
          <cell r="E22468" t="str">
            <v>Community School</v>
          </cell>
          <cell r="F22468" t="str">
            <v>Primary</v>
          </cell>
        </row>
        <row r="22469">
          <cell r="A22469">
            <v>9193364</v>
          </cell>
          <cell r="B22469">
            <v>117452</v>
          </cell>
          <cell r="C22469" t="str">
            <v>Park Street Church of England Voluntary Aided Primary School</v>
          </cell>
          <cell r="D22469" t="str">
            <v>Hertfordshire</v>
          </cell>
          <cell r="E22469" t="str">
            <v>Voluntary Aided School</v>
          </cell>
          <cell r="F22469" t="str">
            <v>Primary</v>
          </cell>
        </row>
        <row r="22470">
          <cell r="A22470">
            <v>8733350</v>
          </cell>
          <cell r="B22470">
            <v>110837</v>
          </cell>
          <cell r="C22470" t="str">
            <v>Park Street CofE Primary School</v>
          </cell>
          <cell r="D22470" t="str">
            <v>Cambridgeshire</v>
          </cell>
          <cell r="E22470" t="str">
            <v>Voluntary Aided School</v>
          </cell>
          <cell r="F22470" t="str">
            <v>Primary</v>
          </cell>
        </row>
        <row r="22471">
          <cell r="A22471">
            <v>6792139</v>
          </cell>
          <cell r="B22471">
            <v>401464</v>
          </cell>
          <cell r="C22471" t="str">
            <v>Park Street Infants School</v>
          </cell>
          <cell r="D22471" t="str">
            <v>Monmouthshire</v>
          </cell>
          <cell r="E22471" t="str">
            <v>Welsh Establishment</v>
          </cell>
          <cell r="F22471" t="str">
            <v>Primary</v>
          </cell>
        </row>
        <row r="22472">
          <cell r="A22472">
            <v>3071102</v>
          </cell>
          <cell r="B22472">
            <v>101865</v>
          </cell>
          <cell r="C22472" t="str">
            <v>Park Tutorial Centre</v>
          </cell>
          <cell r="D22472" t="str">
            <v>Ealing</v>
          </cell>
          <cell r="E22472" t="str">
            <v>Pupil Referral Unit</v>
          </cell>
          <cell r="F22472" t="str">
            <v>PRU</v>
          </cell>
        </row>
        <row r="22473">
          <cell r="A22473">
            <v>8776003</v>
          </cell>
          <cell r="B22473">
            <v>131713</v>
          </cell>
          <cell r="C22473" t="str">
            <v>Park View</v>
          </cell>
          <cell r="D22473" t="str">
            <v>Warrington</v>
          </cell>
          <cell r="E22473" t="str">
            <v>Other Independent Special School</v>
          </cell>
          <cell r="F22473" t="str">
            <v>Not applicable</v>
          </cell>
        </row>
        <row r="22474">
          <cell r="A22474">
            <v>3094037</v>
          </cell>
          <cell r="B22474">
            <v>131757</v>
          </cell>
          <cell r="C22474" t="str">
            <v>Park View</v>
          </cell>
          <cell r="D22474" t="str">
            <v>Haringey</v>
          </cell>
          <cell r="E22474" t="str">
            <v>Community School</v>
          </cell>
          <cell r="F22474" t="str">
            <v>Secondary</v>
          </cell>
        </row>
        <row r="22475">
          <cell r="A22475">
            <v>3304323</v>
          </cell>
          <cell r="B22475">
            <v>103524</v>
          </cell>
          <cell r="C22475" t="str">
            <v>Park View Business and Enterprise School</v>
          </cell>
          <cell r="D22475" t="str">
            <v>Birmingham</v>
          </cell>
          <cell r="E22475" t="str">
            <v>Community School</v>
          </cell>
          <cell r="F22475" t="str">
            <v>Secondary</v>
          </cell>
        </row>
        <row r="22476">
          <cell r="A22476">
            <v>3523506</v>
          </cell>
          <cell r="B22476">
            <v>135279</v>
          </cell>
          <cell r="C22476" t="str">
            <v>Park View Community Primary</v>
          </cell>
          <cell r="D22476" t="str">
            <v>Manchester</v>
          </cell>
          <cell r="E22476" t="str">
            <v>Community School</v>
          </cell>
          <cell r="F22476" t="str">
            <v>Primary</v>
          </cell>
        </row>
        <row r="22477">
          <cell r="A22477">
            <v>8404047</v>
          </cell>
          <cell r="B22477">
            <v>114288</v>
          </cell>
          <cell r="C22477" t="str">
            <v>Park View Community School</v>
          </cell>
          <cell r="D22477" t="str">
            <v>Durham</v>
          </cell>
          <cell r="E22477" t="str">
            <v>Community School</v>
          </cell>
          <cell r="F22477" t="str">
            <v>Secondary</v>
          </cell>
        </row>
        <row r="22478">
          <cell r="A22478">
            <v>3731102</v>
          </cell>
          <cell r="B22478">
            <v>106980</v>
          </cell>
          <cell r="C22478" t="str">
            <v>Park View House</v>
          </cell>
          <cell r="D22478" t="str">
            <v>Sheffield</v>
          </cell>
          <cell r="E22478" t="str">
            <v>Pupil Referral Unit</v>
          </cell>
          <cell r="F22478" t="str">
            <v>PRU</v>
          </cell>
        </row>
        <row r="22479">
          <cell r="A22479">
            <v>8502731</v>
          </cell>
          <cell r="B22479">
            <v>116236</v>
          </cell>
          <cell r="C22479" t="str">
            <v>Park View Infant School</v>
          </cell>
          <cell r="D22479" t="str">
            <v>Hampshire</v>
          </cell>
          <cell r="E22479" t="str">
            <v>Community School</v>
          </cell>
          <cell r="F22479" t="str">
            <v>Primary</v>
          </cell>
        </row>
        <row r="22480">
          <cell r="A22480">
            <v>3402004</v>
          </cell>
          <cell r="B22480">
            <v>127235</v>
          </cell>
          <cell r="C22480" t="str">
            <v>Park View Infant School</v>
          </cell>
          <cell r="D22480" t="str">
            <v>Knowsley</v>
          </cell>
          <cell r="E22480" t="str">
            <v>Community School</v>
          </cell>
          <cell r="F22480" t="str">
            <v>Primary</v>
          </cell>
        </row>
        <row r="22481">
          <cell r="A22481">
            <v>8502732</v>
          </cell>
          <cell r="B22481">
            <v>116237</v>
          </cell>
          <cell r="C22481" t="str">
            <v>Park View Junior School</v>
          </cell>
          <cell r="D22481" t="str">
            <v>Hampshire</v>
          </cell>
          <cell r="E22481" t="str">
            <v>Community School</v>
          </cell>
          <cell r="F22481" t="str">
            <v>Primary</v>
          </cell>
        </row>
        <row r="22482">
          <cell r="A22482">
            <v>3402003</v>
          </cell>
          <cell r="B22482">
            <v>104421</v>
          </cell>
          <cell r="C22482" t="str">
            <v>Park View Primary School</v>
          </cell>
          <cell r="D22482" t="str">
            <v>Knowsley</v>
          </cell>
          <cell r="E22482" t="str">
            <v>Community School</v>
          </cell>
          <cell r="F22482" t="str">
            <v>Primary</v>
          </cell>
        </row>
        <row r="22483">
          <cell r="A22483">
            <v>3512038</v>
          </cell>
          <cell r="B22483">
            <v>105307</v>
          </cell>
          <cell r="C22483" t="str">
            <v>Park View Primary School</v>
          </cell>
          <cell r="D22483" t="str">
            <v>Bury</v>
          </cell>
          <cell r="E22483" t="str">
            <v>Community School</v>
          </cell>
          <cell r="F22483" t="str">
            <v>Primary</v>
          </cell>
        </row>
        <row r="22484">
          <cell r="A22484">
            <v>9136026</v>
          </cell>
          <cell r="B22484">
            <v>128826</v>
          </cell>
          <cell r="C22484" t="str">
            <v>Park View School</v>
          </cell>
          <cell r="D22484" t="str">
            <v>Pre LGR (1997) Durham</v>
          </cell>
          <cell r="E22484" t="str">
            <v>Other Independent School</v>
          </cell>
          <cell r="F22484" t="str">
            <v>Not applicable</v>
          </cell>
        </row>
        <row r="22485">
          <cell r="A22485">
            <v>8886092</v>
          </cell>
          <cell r="B22485">
            <v>131063</v>
          </cell>
          <cell r="C22485" t="str">
            <v>Park View School</v>
          </cell>
          <cell r="D22485" t="str">
            <v>Lancashire</v>
          </cell>
          <cell r="E22485" t="str">
            <v>Other Independent Special School</v>
          </cell>
          <cell r="F22485" t="str">
            <v>Not applicable</v>
          </cell>
        </row>
        <row r="22486">
          <cell r="A22486">
            <v>8404047</v>
          </cell>
          <cell r="B22486">
            <v>136971</v>
          </cell>
          <cell r="C22486" t="str">
            <v>Park View School</v>
          </cell>
          <cell r="D22486" t="str">
            <v>Durham</v>
          </cell>
          <cell r="E22486" t="str">
            <v>Academy Converters</v>
          </cell>
          <cell r="F22486" t="str">
            <v>Secondary</v>
          </cell>
        </row>
        <row r="22487">
          <cell r="A22487">
            <v>2072456</v>
          </cell>
          <cell r="B22487">
            <v>100486</v>
          </cell>
          <cell r="C22487" t="str">
            <v>Park Walk Primary School</v>
          </cell>
          <cell r="D22487" t="str">
            <v>Kensington and Chelsea</v>
          </cell>
          <cell r="E22487" t="str">
            <v>Community School</v>
          </cell>
          <cell r="F22487" t="str">
            <v>Primary</v>
          </cell>
        </row>
        <row r="22488">
          <cell r="A22488">
            <v>8862176</v>
          </cell>
          <cell r="B22488">
            <v>118302</v>
          </cell>
          <cell r="C22488" t="str">
            <v>Park Way Primary School</v>
          </cell>
          <cell r="D22488" t="str">
            <v>Kent</v>
          </cell>
          <cell r="E22488" t="str">
            <v>Community School</v>
          </cell>
          <cell r="F22488" t="str">
            <v>Primary</v>
          </cell>
        </row>
        <row r="22489">
          <cell r="A22489">
            <v>8872494</v>
          </cell>
          <cell r="B22489">
            <v>118472</v>
          </cell>
          <cell r="C22489" t="str">
            <v>Park Wood Infant School</v>
          </cell>
          <cell r="D22489" t="str">
            <v>Medway</v>
          </cell>
          <cell r="E22489" t="str">
            <v>Community School</v>
          </cell>
          <cell r="F22489" t="str">
            <v>Primary</v>
          </cell>
        </row>
        <row r="22490">
          <cell r="A22490">
            <v>8872493</v>
          </cell>
          <cell r="B22490">
            <v>118471</v>
          </cell>
          <cell r="C22490" t="str">
            <v>Park Wood Junior School</v>
          </cell>
          <cell r="D22490" t="str">
            <v>Medway</v>
          </cell>
          <cell r="E22490" t="str">
            <v>Community School</v>
          </cell>
          <cell r="F22490" t="str">
            <v>Primary</v>
          </cell>
        </row>
        <row r="22491">
          <cell r="A22491">
            <v>9024095</v>
          </cell>
          <cell r="B22491">
            <v>128255</v>
          </cell>
          <cell r="C22491" t="str">
            <v>Park Wood Middle School</v>
          </cell>
          <cell r="D22491" t="str">
            <v>Pre LGR (1997) Bedfordshire</v>
          </cell>
          <cell r="E22491" t="str">
            <v>Community School</v>
          </cell>
          <cell r="F22491" t="str">
            <v>Middle Deemed Secondary</v>
          </cell>
        </row>
        <row r="22492">
          <cell r="A22492">
            <v>8912234</v>
          </cell>
          <cell r="B22492">
            <v>122528</v>
          </cell>
          <cell r="C22492" t="str">
            <v>Parkdale Primary School</v>
          </cell>
          <cell r="D22492" t="str">
            <v>Nottinghamshire</v>
          </cell>
          <cell r="E22492" t="str">
            <v>Community School</v>
          </cell>
          <cell r="F22492" t="str">
            <v>Primary</v>
          </cell>
        </row>
        <row r="22493">
          <cell r="A22493">
            <v>3366014</v>
          </cell>
          <cell r="B22493">
            <v>127232</v>
          </cell>
          <cell r="C22493" t="str">
            <v>Parkdale School</v>
          </cell>
          <cell r="D22493" t="str">
            <v>Wolverhampton</v>
          </cell>
          <cell r="E22493" t="str">
            <v>Other Independent School</v>
          </cell>
          <cell r="F22493" t="str">
            <v>Not applicable</v>
          </cell>
        </row>
        <row r="22494">
          <cell r="A22494">
            <v>9162108</v>
          </cell>
          <cell r="B22494">
            <v>115553</v>
          </cell>
          <cell r="C22494" t="str">
            <v>Parkend Primary School</v>
          </cell>
          <cell r="D22494" t="str">
            <v>Gloucestershire</v>
          </cell>
          <cell r="E22494" t="str">
            <v>Community School</v>
          </cell>
          <cell r="F22494" t="str">
            <v>Primary</v>
          </cell>
        </row>
        <row r="22495">
          <cell r="A22495">
            <v>9263144</v>
          </cell>
          <cell r="B22495">
            <v>121101</v>
          </cell>
          <cell r="C22495" t="str">
            <v>Parker's Church of England Primary School</v>
          </cell>
          <cell r="D22495" t="str">
            <v>Norfolk</v>
          </cell>
          <cell r="E22495" t="str">
            <v>Voluntary Controlled School</v>
          </cell>
          <cell r="F22495" t="str">
            <v>Primary</v>
          </cell>
        </row>
        <row r="22496">
          <cell r="A22496">
            <v>3557023</v>
          </cell>
          <cell r="B22496">
            <v>106007</v>
          </cell>
          <cell r="C22496" t="str">
            <v>Parkes Field School</v>
          </cell>
          <cell r="D22496" t="str">
            <v>Salford</v>
          </cell>
          <cell r="E22496" t="str">
            <v>Community Special School</v>
          </cell>
          <cell r="F22496" t="str">
            <v>Special</v>
          </cell>
        </row>
        <row r="22497">
          <cell r="A22497">
            <v>3302458</v>
          </cell>
          <cell r="B22497">
            <v>103385</v>
          </cell>
          <cell r="C22497" t="str">
            <v>Parkfield Community School</v>
          </cell>
          <cell r="D22497" t="str">
            <v>Birmingham</v>
          </cell>
          <cell r="E22497" t="str">
            <v>Community School</v>
          </cell>
          <cell r="F22497" t="str">
            <v>Primary</v>
          </cell>
        </row>
        <row r="22498">
          <cell r="A22498">
            <v>3364131</v>
          </cell>
          <cell r="B22498">
            <v>104393</v>
          </cell>
          <cell r="C22498" t="str">
            <v>Parkfield High School</v>
          </cell>
          <cell r="D22498" t="str">
            <v>Wolverhampton</v>
          </cell>
          <cell r="E22498" t="str">
            <v>Community School</v>
          </cell>
          <cell r="F22498" t="str">
            <v>Secondary</v>
          </cell>
        </row>
        <row r="22499">
          <cell r="A22499">
            <v>9342380</v>
          </cell>
          <cell r="B22499">
            <v>129907</v>
          </cell>
          <cell r="C22499" t="str">
            <v>Parkfield Infant School</v>
          </cell>
          <cell r="D22499" t="str">
            <v>Pre LGR (1997) Staffordshire</v>
          </cell>
          <cell r="E22499" t="str">
            <v>Community School</v>
          </cell>
          <cell r="F22499" t="str">
            <v>Primary</v>
          </cell>
        </row>
        <row r="22500">
          <cell r="A22500">
            <v>8561004</v>
          </cell>
          <cell r="B22500">
            <v>132192</v>
          </cell>
          <cell r="C22500" t="str">
            <v>Parkfield Nursery School</v>
          </cell>
          <cell r="D22500" t="str">
            <v>Leicester</v>
          </cell>
          <cell r="E22500" t="str">
            <v>LA Nursery School</v>
          </cell>
          <cell r="F22500" t="str">
            <v>Nursery</v>
          </cell>
        </row>
        <row r="22501">
          <cell r="A22501">
            <v>3022000</v>
          </cell>
          <cell r="B22501">
            <v>101257</v>
          </cell>
          <cell r="C22501" t="str">
            <v>Parkfield Primary School</v>
          </cell>
          <cell r="D22501" t="str">
            <v>Barnet</v>
          </cell>
          <cell r="E22501" t="str">
            <v>Community School</v>
          </cell>
          <cell r="F22501" t="str">
            <v>Primary</v>
          </cell>
        </row>
        <row r="22502">
          <cell r="A22502">
            <v>3362073</v>
          </cell>
          <cell r="B22502">
            <v>104329</v>
          </cell>
          <cell r="C22502" t="str">
            <v>Parkfield Primary School</v>
          </cell>
          <cell r="D22502" t="str">
            <v>Wolverhampton</v>
          </cell>
          <cell r="E22502" t="str">
            <v>Community School</v>
          </cell>
          <cell r="F22502" t="str">
            <v>Primary</v>
          </cell>
        </row>
        <row r="22503">
          <cell r="A22503">
            <v>3542064</v>
          </cell>
          <cell r="B22503">
            <v>105799</v>
          </cell>
          <cell r="C22503" t="str">
            <v>Parkfield Primary School</v>
          </cell>
          <cell r="D22503" t="str">
            <v>Rochdale</v>
          </cell>
          <cell r="E22503" t="str">
            <v>Community School</v>
          </cell>
          <cell r="F22503" t="str">
            <v>Primary</v>
          </cell>
        </row>
        <row r="22504">
          <cell r="A22504">
            <v>9332228</v>
          </cell>
          <cell r="B22504">
            <v>123714</v>
          </cell>
          <cell r="C22504" t="str">
            <v>Parkfield Primary School</v>
          </cell>
          <cell r="D22504" t="str">
            <v>Somerset</v>
          </cell>
          <cell r="E22504" t="str">
            <v>Community School</v>
          </cell>
          <cell r="F22504" t="str">
            <v>Primary</v>
          </cell>
        </row>
        <row r="22505">
          <cell r="A22505">
            <v>3407004</v>
          </cell>
          <cell r="B22505">
            <v>104494</v>
          </cell>
          <cell r="C22505" t="str">
            <v>Parkfield School</v>
          </cell>
          <cell r="D22505" t="str">
            <v>Knowsley</v>
          </cell>
          <cell r="E22505" t="str">
            <v>Community Special School</v>
          </cell>
          <cell r="F22505" t="str">
            <v>Special</v>
          </cell>
        </row>
        <row r="22506">
          <cell r="A22506">
            <v>8234054</v>
          </cell>
          <cell r="B22506">
            <v>109662</v>
          </cell>
          <cell r="C22506" t="str">
            <v>Parkfields Middle School</v>
          </cell>
          <cell r="D22506" t="str">
            <v>Central Bedfordshire</v>
          </cell>
          <cell r="E22506" t="str">
            <v>Foundation School</v>
          </cell>
          <cell r="F22506" t="str">
            <v>Middle Deemed Secondary</v>
          </cell>
        </row>
        <row r="22507">
          <cell r="A22507">
            <v>9104159</v>
          </cell>
          <cell r="B22507">
            <v>128660</v>
          </cell>
          <cell r="C22507" t="str">
            <v>Parkfields School</v>
          </cell>
          <cell r="D22507" t="str">
            <v>Pre LGR (1997) Derbyshire</v>
          </cell>
          <cell r="E22507" t="str">
            <v>Community School</v>
          </cell>
          <cell r="F22507" t="str">
            <v>Secondary</v>
          </cell>
        </row>
        <row r="22508">
          <cell r="A22508">
            <v>2126397</v>
          </cell>
          <cell r="B22508">
            <v>101091</v>
          </cell>
          <cell r="C22508" t="str">
            <v>Parkgate House School</v>
          </cell>
          <cell r="D22508" t="str">
            <v>Wandsworth</v>
          </cell>
          <cell r="E22508" t="str">
            <v>Other Independent School</v>
          </cell>
          <cell r="F22508" t="str">
            <v>Not applicable</v>
          </cell>
        </row>
        <row r="22509">
          <cell r="A22509">
            <v>3312045</v>
          </cell>
          <cell r="B22509">
            <v>127092</v>
          </cell>
          <cell r="C22509" t="str">
            <v>Parkgate Infant School</v>
          </cell>
          <cell r="D22509" t="str">
            <v>Coventry</v>
          </cell>
          <cell r="E22509" t="str">
            <v>Community School</v>
          </cell>
          <cell r="F22509" t="str">
            <v>Primary</v>
          </cell>
        </row>
        <row r="22510">
          <cell r="A22510">
            <v>9192126</v>
          </cell>
          <cell r="B22510">
            <v>117163</v>
          </cell>
          <cell r="C22510" t="str">
            <v>Parkgate Infants' and Nursery School</v>
          </cell>
          <cell r="D22510" t="str">
            <v>Hertfordshire</v>
          </cell>
          <cell r="E22510" t="str">
            <v>Community School</v>
          </cell>
          <cell r="F22510" t="str">
            <v>Primary</v>
          </cell>
        </row>
        <row r="22511">
          <cell r="A22511">
            <v>9192125</v>
          </cell>
          <cell r="B22511">
            <v>117162</v>
          </cell>
          <cell r="C22511" t="str">
            <v>Parkgate Junior School</v>
          </cell>
          <cell r="D22511" t="str">
            <v>Hertfordshire</v>
          </cell>
          <cell r="E22511" t="str">
            <v>Community School</v>
          </cell>
          <cell r="F22511" t="str">
            <v>Primary</v>
          </cell>
        </row>
        <row r="22512">
          <cell r="A22512">
            <v>3312044</v>
          </cell>
          <cell r="B22512">
            <v>127091</v>
          </cell>
          <cell r="C22512" t="str">
            <v>Parkgate Junior School</v>
          </cell>
          <cell r="D22512" t="str">
            <v>Coventry</v>
          </cell>
          <cell r="E22512" t="str">
            <v>Community School</v>
          </cell>
          <cell r="F22512" t="str">
            <v>Primary</v>
          </cell>
        </row>
        <row r="22513">
          <cell r="A22513">
            <v>3312138</v>
          </cell>
          <cell r="B22513">
            <v>103688</v>
          </cell>
          <cell r="C22513" t="str">
            <v>Parkgate Primary School</v>
          </cell>
          <cell r="D22513" t="str">
            <v>Coventry</v>
          </cell>
          <cell r="E22513" t="str">
            <v>Community School</v>
          </cell>
          <cell r="F22513" t="str">
            <v>Primary</v>
          </cell>
        </row>
        <row r="22514">
          <cell r="A22514">
            <v>8962298</v>
          </cell>
          <cell r="B22514">
            <v>111126</v>
          </cell>
          <cell r="C22514" t="str">
            <v>Parkgate Primary School</v>
          </cell>
          <cell r="D22514" t="str">
            <v>Cheshire West and Chester</v>
          </cell>
          <cell r="E22514" t="str">
            <v>Community School</v>
          </cell>
          <cell r="F22514" t="str">
            <v>Primary</v>
          </cell>
        </row>
        <row r="22515">
          <cell r="A22515">
            <v>8782241</v>
          </cell>
          <cell r="B22515">
            <v>113164</v>
          </cell>
          <cell r="C22515" t="str">
            <v>Parkham Primary School</v>
          </cell>
          <cell r="D22515" t="str">
            <v>Devon</v>
          </cell>
          <cell r="E22515" t="str">
            <v>Community School</v>
          </cell>
          <cell r="F22515" t="str">
            <v>Primary</v>
          </cell>
        </row>
        <row r="22516">
          <cell r="A22516">
            <v>3902236</v>
          </cell>
          <cell r="B22516">
            <v>131466</v>
          </cell>
          <cell r="C22516" t="str">
            <v>Parkhead Community Primary School</v>
          </cell>
          <cell r="D22516" t="str">
            <v>Gateshead</v>
          </cell>
          <cell r="E22516" t="str">
            <v>Community School</v>
          </cell>
          <cell r="F22516" t="str">
            <v>Primary</v>
          </cell>
        </row>
        <row r="22517">
          <cell r="A22517">
            <v>3172033</v>
          </cell>
          <cell r="B22517">
            <v>102814</v>
          </cell>
          <cell r="C22517" t="str">
            <v>Parkhill Infants' School</v>
          </cell>
          <cell r="D22517" t="str">
            <v>Redbridge</v>
          </cell>
          <cell r="E22517" t="str">
            <v>Community School</v>
          </cell>
          <cell r="F22517" t="str">
            <v>Primary</v>
          </cell>
        </row>
        <row r="22518">
          <cell r="A22518">
            <v>3173523</v>
          </cell>
          <cell r="B22518">
            <v>133938</v>
          </cell>
          <cell r="C22518" t="str">
            <v>Parkhill Infants' School</v>
          </cell>
          <cell r="D22518" t="str">
            <v>Redbridge</v>
          </cell>
          <cell r="E22518" t="str">
            <v>Community School</v>
          </cell>
          <cell r="F22518" t="str">
            <v>Primary</v>
          </cell>
        </row>
        <row r="22519">
          <cell r="A22519">
            <v>3172032</v>
          </cell>
          <cell r="B22519">
            <v>102813</v>
          </cell>
          <cell r="C22519" t="str">
            <v>Parkhill Junior School</v>
          </cell>
          <cell r="D22519" t="str">
            <v>Redbridge</v>
          </cell>
          <cell r="E22519" t="str">
            <v>Community School</v>
          </cell>
          <cell r="F22519" t="str">
            <v>Primary</v>
          </cell>
        </row>
        <row r="22520">
          <cell r="A22520">
            <v>3173524</v>
          </cell>
          <cell r="B22520">
            <v>133939</v>
          </cell>
          <cell r="C22520" t="str">
            <v>Parkhill Junior School</v>
          </cell>
          <cell r="D22520" t="str">
            <v>Redbridge</v>
          </cell>
          <cell r="E22520" t="str">
            <v>Community School</v>
          </cell>
          <cell r="F22520" t="str">
            <v>Primary</v>
          </cell>
        </row>
        <row r="22521">
          <cell r="A22521">
            <v>3412116</v>
          </cell>
          <cell r="B22521">
            <v>104566</v>
          </cell>
          <cell r="C22521" t="str">
            <v>Parkhill Primary School</v>
          </cell>
          <cell r="D22521" t="str">
            <v>Liverpool</v>
          </cell>
          <cell r="E22521" t="str">
            <v>Community School</v>
          </cell>
          <cell r="F22521" t="str">
            <v>Primary</v>
          </cell>
        </row>
        <row r="22522">
          <cell r="A22522">
            <v>8376007</v>
          </cell>
          <cell r="B22522">
            <v>134497</v>
          </cell>
          <cell r="C22522" t="str">
            <v>Parkhouse Education</v>
          </cell>
          <cell r="D22522" t="str">
            <v>Bournemouth</v>
          </cell>
          <cell r="E22522" t="str">
            <v>Other Independent School</v>
          </cell>
          <cell r="F22522" t="str">
            <v>Not applicable</v>
          </cell>
        </row>
        <row r="22523">
          <cell r="A22523">
            <v>3092036</v>
          </cell>
          <cell r="B22523">
            <v>102103</v>
          </cell>
          <cell r="C22523" t="str">
            <v>Parkhurst Infant School</v>
          </cell>
          <cell r="D22523" t="str">
            <v>Haringey</v>
          </cell>
          <cell r="E22523" t="str">
            <v>Community School</v>
          </cell>
          <cell r="F22523" t="str">
            <v>Primary</v>
          </cell>
        </row>
        <row r="22524">
          <cell r="A22524">
            <v>3812017</v>
          </cell>
          <cell r="B22524">
            <v>107487</v>
          </cell>
          <cell r="C22524" t="str">
            <v>Parkinson Lane Community Primary School</v>
          </cell>
          <cell r="D22524" t="str">
            <v>Calderdale</v>
          </cell>
          <cell r="E22524" t="str">
            <v>Community School</v>
          </cell>
          <cell r="F22524" t="str">
            <v>Primary</v>
          </cell>
        </row>
        <row r="22525">
          <cell r="A22525">
            <v>8452141</v>
          </cell>
          <cell r="B22525">
            <v>114465</v>
          </cell>
          <cell r="C22525" t="str">
            <v>Parkland Infant School</v>
          </cell>
          <cell r="D22525" t="str">
            <v>East Sussex</v>
          </cell>
          <cell r="E22525" t="str">
            <v>Community School</v>
          </cell>
          <cell r="F22525" t="str">
            <v>Primary</v>
          </cell>
        </row>
        <row r="22526">
          <cell r="A22526">
            <v>8452140</v>
          </cell>
          <cell r="B22526">
            <v>114464</v>
          </cell>
          <cell r="C22526" t="str">
            <v>Parkland Junior School</v>
          </cell>
          <cell r="D22526" t="str">
            <v>East Sussex</v>
          </cell>
          <cell r="E22526" t="str">
            <v>Community School</v>
          </cell>
          <cell r="F22526" t="str">
            <v>Primary</v>
          </cell>
        </row>
        <row r="22527">
          <cell r="A22527">
            <v>3804053</v>
          </cell>
          <cell r="B22527">
            <v>107377</v>
          </cell>
          <cell r="C22527" t="str">
            <v>Parkland Middle School</v>
          </cell>
          <cell r="D22527" t="str">
            <v>Bradford</v>
          </cell>
          <cell r="E22527" t="str">
            <v>Community School</v>
          </cell>
          <cell r="F22527" t="str">
            <v>Middle Deemed Secondary</v>
          </cell>
        </row>
        <row r="22528">
          <cell r="A22528">
            <v>3802064</v>
          </cell>
          <cell r="B22528">
            <v>107225</v>
          </cell>
          <cell r="C22528" t="str">
            <v>Parkland Primary School</v>
          </cell>
          <cell r="D22528" t="str">
            <v>Bradford</v>
          </cell>
          <cell r="E22528" t="str">
            <v>Community School</v>
          </cell>
          <cell r="F22528" t="str">
            <v>Primary</v>
          </cell>
        </row>
        <row r="22529">
          <cell r="A22529">
            <v>6702086</v>
          </cell>
          <cell r="B22529">
            <v>400900</v>
          </cell>
          <cell r="C22529" t="str">
            <v>Parkland Primary School</v>
          </cell>
          <cell r="D22529" t="str">
            <v>Swansea</v>
          </cell>
          <cell r="E22529" t="str">
            <v>Welsh Establishment</v>
          </cell>
          <cell r="F22529" t="str">
            <v>Primary</v>
          </cell>
        </row>
        <row r="22530">
          <cell r="A22530">
            <v>8552355</v>
          </cell>
          <cell r="B22530">
            <v>120080</v>
          </cell>
          <cell r="C22530" t="str">
            <v>Parkland Primary School South Wigston</v>
          </cell>
          <cell r="D22530" t="str">
            <v>Leicestershire</v>
          </cell>
          <cell r="E22530" t="str">
            <v>Community School</v>
          </cell>
          <cell r="F22530" t="str">
            <v>Primary</v>
          </cell>
        </row>
        <row r="22531">
          <cell r="A22531">
            <v>8962721</v>
          </cell>
          <cell r="B22531">
            <v>111238</v>
          </cell>
          <cell r="C22531" t="str">
            <v>Parklands Community Primary School</v>
          </cell>
          <cell r="D22531" t="str">
            <v>Cheshire West and Chester</v>
          </cell>
          <cell r="E22531" t="str">
            <v>Community School</v>
          </cell>
          <cell r="F22531" t="str">
            <v>Primary</v>
          </cell>
        </row>
        <row r="22532">
          <cell r="A22532">
            <v>9382185</v>
          </cell>
          <cell r="B22532">
            <v>125921</v>
          </cell>
          <cell r="C22532" t="str">
            <v>Parklands Community Primary School</v>
          </cell>
          <cell r="D22532" t="str">
            <v>West Sussex</v>
          </cell>
          <cell r="E22532" t="str">
            <v>Community School</v>
          </cell>
          <cell r="F22532" t="str">
            <v>Primary</v>
          </cell>
        </row>
        <row r="22533">
          <cell r="A22533">
            <v>9062294</v>
          </cell>
          <cell r="B22533">
            <v>128425</v>
          </cell>
          <cell r="C22533" t="str">
            <v>Parklands County Infant School</v>
          </cell>
          <cell r="D22533" t="str">
            <v>Pre LGR (1998) Cheshire</v>
          </cell>
          <cell r="E22533" t="str">
            <v>Community School</v>
          </cell>
          <cell r="F22533" t="str">
            <v>Primary</v>
          </cell>
        </row>
        <row r="22534">
          <cell r="A22534">
            <v>9062245</v>
          </cell>
          <cell r="B22534">
            <v>128409</v>
          </cell>
          <cell r="C22534" t="str">
            <v>Parklands County Junior School</v>
          </cell>
          <cell r="D22534" t="str">
            <v>Pre LGR (1998) Cheshire</v>
          </cell>
          <cell r="E22534" t="str">
            <v>Community School</v>
          </cell>
          <cell r="F22534" t="str">
            <v>Primary</v>
          </cell>
        </row>
        <row r="22535">
          <cell r="A22535">
            <v>3834059</v>
          </cell>
          <cell r="B22535">
            <v>108074</v>
          </cell>
          <cell r="C22535" t="str">
            <v>Parklands Girls' High School</v>
          </cell>
          <cell r="D22535" t="str">
            <v>Leeds</v>
          </cell>
          <cell r="E22535" t="str">
            <v>Community School</v>
          </cell>
          <cell r="F22535" t="str">
            <v>Secondary</v>
          </cell>
        </row>
        <row r="22536">
          <cell r="A22536">
            <v>3414431</v>
          </cell>
          <cell r="B22536">
            <v>104702</v>
          </cell>
          <cell r="C22536" t="str">
            <v>Parklands High School</v>
          </cell>
          <cell r="D22536" t="str">
            <v>Liverpool</v>
          </cell>
          <cell r="E22536" t="str">
            <v>Foundation School</v>
          </cell>
          <cell r="F22536" t="str">
            <v>Secondary</v>
          </cell>
        </row>
        <row r="22537">
          <cell r="A22537">
            <v>8884311</v>
          </cell>
          <cell r="B22537">
            <v>119764</v>
          </cell>
          <cell r="C22537" t="str">
            <v>Parklands High School</v>
          </cell>
          <cell r="D22537" t="str">
            <v>Lancashire</v>
          </cell>
          <cell r="E22537" t="str">
            <v>Community School</v>
          </cell>
          <cell r="F22537" t="str">
            <v>Secondary</v>
          </cell>
        </row>
        <row r="22538">
          <cell r="A22538">
            <v>3834036</v>
          </cell>
          <cell r="B22538">
            <v>127979</v>
          </cell>
          <cell r="C22538" t="str">
            <v>Parklands High School</v>
          </cell>
          <cell r="D22538" t="str">
            <v>Leeds</v>
          </cell>
          <cell r="E22538" t="str">
            <v>Community School</v>
          </cell>
          <cell r="F22538" t="str">
            <v>Secondary</v>
          </cell>
        </row>
        <row r="22539">
          <cell r="A22539">
            <v>9234014</v>
          </cell>
          <cell r="B22539">
            <v>129489</v>
          </cell>
          <cell r="C22539" t="str">
            <v>Parklands High School</v>
          </cell>
          <cell r="D22539" t="str">
            <v>Pre LGR (1998) Lancashire</v>
          </cell>
          <cell r="E22539" t="str">
            <v>Community School</v>
          </cell>
          <cell r="F22539" t="str">
            <v>Secondary</v>
          </cell>
        </row>
        <row r="22540">
          <cell r="A22540">
            <v>3524292</v>
          </cell>
          <cell r="B22540">
            <v>131883</v>
          </cell>
          <cell r="C22540" t="str">
            <v>Parklands High School</v>
          </cell>
          <cell r="D22540" t="str">
            <v>Manchester</v>
          </cell>
          <cell r="E22540" t="str">
            <v>Community School</v>
          </cell>
          <cell r="F22540" t="str">
            <v>Secondary</v>
          </cell>
        </row>
        <row r="22541">
          <cell r="A22541">
            <v>8302159</v>
          </cell>
          <cell r="B22541">
            <v>112583</v>
          </cell>
          <cell r="C22541" t="str">
            <v>Parklands Infant and Nursery School</v>
          </cell>
          <cell r="D22541" t="str">
            <v>Derbyshire</v>
          </cell>
          <cell r="E22541" t="str">
            <v>Community School</v>
          </cell>
          <cell r="F22541" t="str">
            <v>Primary</v>
          </cell>
        </row>
        <row r="22542">
          <cell r="A22542">
            <v>3112056</v>
          </cell>
          <cell r="B22542">
            <v>102300</v>
          </cell>
          <cell r="C22542" t="str">
            <v>Parklands Infant School</v>
          </cell>
          <cell r="D22542" t="str">
            <v>Havering</v>
          </cell>
          <cell r="E22542" t="str">
            <v>Community School</v>
          </cell>
          <cell r="F22542" t="str">
            <v>Primary</v>
          </cell>
        </row>
        <row r="22543">
          <cell r="A22543">
            <v>3112055</v>
          </cell>
          <cell r="B22543">
            <v>102299</v>
          </cell>
          <cell r="C22543" t="str">
            <v>Parklands Junior School</v>
          </cell>
          <cell r="D22543" t="str">
            <v>Havering</v>
          </cell>
          <cell r="E22543" t="str">
            <v>Community School</v>
          </cell>
          <cell r="F22543" t="str">
            <v>Primary</v>
          </cell>
        </row>
        <row r="22544">
          <cell r="A22544">
            <v>9284075</v>
          </cell>
          <cell r="B22544">
            <v>122082</v>
          </cell>
          <cell r="C22544" t="str">
            <v>Parklands Middle School</v>
          </cell>
          <cell r="D22544" t="str">
            <v>Northamptonshire</v>
          </cell>
          <cell r="E22544" t="str">
            <v>Community School</v>
          </cell>
          <cell r="F22544" t="str">
            <v>Middle Deemed Secondary</v>
          </cell>
        </row>
        <row r="22545">
          <cell r="A22545">
            <v>9281009</v>
          </cell>
          <cell r="B22545">
            <v>121788</v>
          </cell>
          <cell r="C22545" t="str">
            <v>Parklands Nursery School</v>
          </cell>
          <cell r="D22545" t="str">
            <v>Northamptonshire</v>
          </cell>
          <cell r="E22545" t="str">
            <v>LA Nursery School</v>
          </cell>
          <cell r="F22545" t="str">
            <v>Nursery</v>
          </cell>
        </row>
        <row r="22546">
          <cell r="A22546">
            <v>3832467</v>
          </cell>
          <cell r="B22546">
            <v>107943</v>
          </cell>
          <cell r="C22546" t="str">
            <v>Parklands Primary School</v>
          </cell>
          <cell r="D22546" t="str">
            <v>Leeds</v>
          </cell>
          <cell r="E22546" t="str">
            <v>Community School</v>
          </cell>
          <cell r="F22546" t="str">
            <v>Primary</v>
          </cell>
        </row>
        <row r="22547">
          <cell r="A22547">
            <v>9282182</v>
          </cell>
          <cell r="B22547">
            <v>121925</v>
          </cell>
          <cell r="C22547" t="str">
            <v>Parklands Primary School</v>
          </cell>
          <cell r="D22547" t="str">
            <v>Northamptonshire</v>
          </cell>
          <cell r="E22547" t="str">
            <v>Community School</v>
          </cell>
          <cell r="F22547" t="str">
            <v>Primary</v>
          </cell>
        </row>
        <row r="22548">
          <cell r="A22548">
            <v>3557022</v>
          </cell>
          <cell r="B22548">
            <v>133079</v>
          </cell>
          <cell r="C22548" t="str">
            <v>Parklands School</v>
          </cell>
          <cell r="D22548" t="str">
            <v>Salford</v>
          </cell>
          <cell r="E22548" t="str">
            <v>Community Special School</v>
          </cell>
          <cell r="F22548" t="str">
            <v>Special</v>
          </cell>
        </row>
        <row r="22549">
          <cell r="A22549">
            <v>8606034</v>
          </cell>
          <cell r="B22549">
            <v>136749</v>
          </cell>
          <cell r="C22549" t="str">
            <v>Parklands School</v>
          </cell>
          <cell r="D22549" t="str">
            <v>Staffordshire</v>
          </cell>
          <cell r="E22549" t="str">
            <v>Other Independent Special School</v>
          </cell>
          <cell r="F22549" t="str">
            <v>Not applicable</v>
          </cell>
        </row>
        <row r="22550">
          <cell r="A22550">
            <v>3592046</v>
          </cell>
          <cell r="B22550">
            <v>106426</v>
          </cell>
          <cell r="C22550" t="str">
            <v>Parklee Community School</v>
          </cell>
          <cell r="D22550" t="str">
            <v>Wigan</v>
          </cell>
          <cell r="E22550" t="str">
            <v>Community School</v>
          </cell>
          <cell r="F22550" t="str">
            <v>Primary</v>
          </cell>
        </row>
        <row r="22551">
          <cell r="A22551">
            <v>8952141</v>
          </cell>
          <cell r="B22551">
            <v>111016</v>
          </cell>
          <cell r="C22551" t="str">
            <v>Parkroyal Community School</v>
          </cell>
          <cell r="D22551" t="str">
            <v>Cheshire East</v>
          </cell>
          <cell r="E22551" t="str">
            <v>Community School</v>
          </cell>
          <cell r="F22551" t="str">
            <v>Primary</v>
          </cell>
        </row>
        <row r="22552">
          <cell r="A22552">
            <v>8562364</v>
          </cell>
          <cell r="B22552">
            <v>120088</v>
          </cell>
          <cell r="C22552" t="str">
            <v>Parks Primary School</v>
          </cell>
          <cell r="D22552" t="str">
            <v>Leicester</v>
          </cell>
          <cell r="E22552" t="str">
            <v>Community School</v>
          </cell>
          <cell r="F22552" t="str">
            <v>Primary</v>
          </cell>
        </row>
        <row r="22553">
          <cell r="A22553">
            <v>8734027</v>
          </cell>
          <cell r="B22553">
            <v>110864</v>
          </cell>
          <cell r="C22553" t="str">
            <v>Parkside Community College</v>
          </cell>
          <cell r="D22553" t="str">
            <v>Cambridgeshire</v>
          </cell>
          <cell r="E22553" t="str">
            <v>Foundation School</v>
          </cell>
          <cell r="F22553" t="str">
            <v>Secondary</v>
          </cell>
        </row>
        <row r="22554">
          <cell r="A22554">
            <v>8734027</v>
          </cell>
          <cell r="B22554">
            <v>136636</v>
          </cell>
          <cell r="C22554" t="str">
            <v>Parkside Community College</v>
          </cell>
          <cell r="D22554" t="str">
            <v>Cambridgeshire</v>
          </cell>
          <cell r="E22554" t="str">
            <v>Academy Converters</v>
          </cell>
          <cell r="F22554" t="str">
            <v>Secondary</v>
          </cell>
        </row>
        <row r="22555">
          <cell r="A22555">
            <v>8452160</v>
          </cell>
          <cell r="B22555">
            <v>114482</v>
          </cell>
          <cell r="C22555" t="str">
            <v>Parkside Community Primary School</v>
          </cell>
          <cell r="D22555" t="str">
            <v>East Sussex</v>
          </cell>
          <cell r="E22555" t="str">
            <v>Community School</v>
          </cell>
          <cell r="F22555" t="str">
            <v>Primary</v>
          </cell>
        </row>
        <row r="22556">
          <cell r="A22556">
            <v>9195202</v>
          </cell>
          <cell r="B22556">
            <v>117562</v>
          </cell>
          <cell r="C22556" t="str">
            <v>Parkside Community Primary School</v>
          </cell>
          <cell r="D22556" t="str">
            <v>Hertfordshire</v>
          </cell>
          <cell r="E22556" t="str">
            <v>Foundation School</v>
          </cell>
          <cell r="F22556" t="str">
            <v>Primary</v>
          </cell>
        </row>
        <row r="22557">
          <cell r="A22557">
            <v>8862607</v>
          </cell>
          <cell r="B22557">
            <v>118536</v>
          </cell>
          <cell r="C22557" t="str">
            <v>Parkside Community Primary School</v>
          </cell>
          <cell r="D22557" t="str">
            <v>Kent</v>
          </cell>
          <cell r="E22557" t="str">
            <v>Community School</v>
          </cell>
          <cell r="F22557" t="str">
            <v>Primary</v>
          </cell>
        </row>
        <row r="22558">
          <cell r="A22558">
            <v>8304195</v>
          </cell>
          <cell r="B22558">
            <v>112961</v>
          </cell>
          <cell r="C22558" t="str">
            <v>Parkside Community School</v>
          </cell>
          <cell r="D22558" t="str">
            <v>Derbyshire</v>
          </cell>
          <cell r="E22558" t="str">
            <v>Community School</v>
          </cell>
          <cell r="F22558" t="str">
            <v>Secondary</v>
          </cell>
        </row>
        <row r="22559">
          <cell r="A22559">
            <v>8794193</v>
          </cell>
          <cell r="B22559">
            <v>113549</v>
          </cell>
          <cell r="C22559" t="str">
            <v>Parkside Community Technology College</v>
          </cell>
          <cell r="D22559" t="str">
            <v>Plymouth</v>
          </cell>
          <cell r="E22559" t="str">
            <v>Community School</v>
          </cell>
          <cell r="F22559" t="str">
            <v>Secondary</v>
          </cell>
        </row>
        <row r="22560">
          <cell r="A22560">
            <v>9202795</v>
          </cell>
          <cell r="B22560">
            <v>129246</v>
          </cell>
          <cell r="C22560" t="str">
            <v>Parkside First School</v>
          </cell>
          <cell r="D22560" t="str">
            <v>Pre LGR (1996) Humberside</v>
          </cell>
          <cell r="E22560" t="str">
            <v>Community School</v>
          </cell>
          <cell r="F22560" t="str">
            <v>Primary</v>
          </cell>
        </row>
        <row r="22561">
          <cell r="A22561">
            <v>9342367</v>
          </cell>
          <cell r="B22561">
            <v>129905</v>
          </cell>
          <cell r="C22561" t="str">
            <v>Parkside First School</v>
          </cell>
          <cell r="D22561" t="str">
            <v>Pre LGR (1997) Staffordshire</v>
          </cell>
          <cell r="E22561" t="str">
            <v>Community School</v>
          </cell>
          <cell r="F22561" t="str">
            <v>Primary</v>
          </cell>
        </row>
        <row r="22562">
          <cell r="A22562">
            <v>3929900</v>
          </cell>
          <cell r="B22562">
            <v>133977</v>
          </cell>
          <cell r="C22562" t="str">
            <v>Parkside House School</v>
          </cell>
          <cell r="D22562" t="str">
            <v>North Tyneside</v>
          </cell>
          <cell r="E22562" t="str">
            <v>Miscellaneous</v>
          </cell>
          <cell r="F22562" t="str">
            <v>Not applicable</v>
          </cell>
        </row>
        <row r="22563">
          <cell r="A22563">
            <v>3926011</v>
          </cell>
          <cell r="B22563">
            <v>135001</v>
          </cell>
          <cell r="C22563" t="str">
            <v>Parkside House School</v>
          </cell>
          <cell r="D22563" t="str">
            <v>North Tyneside</v>
          </cell>
          <cell r="E22563" t="str">
            <v>Other Independent Special School</v>
          </cell>
          <cell r="F22563" t="str">
            <v>Not applicable</v>
          </cell>
        </row>
        <row r="22564">
          <cell r="A22564">
            <v>9286058</v>
          </cell>
          <cell r="B22564">
            <v>122145</v>
          </cell>
          <cell r="C22564" t="str">
            <v>Parkside Independent School</v>
          </cell>
          <cell r="D22564" t="str">
            <v>Northamptonshire</v>
          </cell>
          <cell r="E22564" t="str">
            <v>Other Independent School</v>
          </cell>
          <cell r="F22564" t="str">
            <v>Not applicable</v>
          </cell>
        </row>
        <row r="22565">
          <cell r="A22565">
            <v>8002156</v>
          </cell>
          <cell r="B22565">
            <v>109003</v>
          </cell>
          <cell r="C22565" t="str">
            <v>Parkside Infant School</v>
          </cell>
          <cell r="D22565" t="str">
            <v>Bath and North East Somerset</v>
          </cell>
          <cell r="E22565" t="str">
            <v>Community School</v>
          </cell>
          <cell r="F22565" t="str">
            <v>Primary</v>
          </cell>
        </row>
        <row r="22566">
          <cell r="A22566">
            <v>8402029</v>
          </cell>
          <cell r="B22566">
            <v>113997</v>
          </cell>
          <cell r="C22566" t="str">
            <v>Parkside Infant School</v>
          </cell>
          <cell r="D22566" t="str">
            <v>Durham</v>
          </cell>
          <cell r="E22566" t="str">
            <v>Community School</v>
          </cell>
          <cell r="F22566" t="str">
            <v>Primary</v>
          </cell>
        </row>
        <row r="22567">
          <cell r="A22567">
            <v>8302317</v>
          </cell>
          <cell r="B22567">
            <v>112678</v>
          </cell>
          <cell r="C22567" t="str">
            <v>Parkside Junior School</v>
          </cell>
          <cell r="D22567" t="str">
            <v>Derbyshire</v>
          </cell>
          <cell r="E22567" t="str">
            <v>Community School</v>
          </cell>
          <cell r="F22567" t="str">
            <v>Primary</v>
          </cell>
        </row>
        <row r="22568">
          <cell r="A22568">
            <v>3804078</v>
          </cell>
          <cell r="B22568">
            <v>107398</v>
          </cell>
          <cell r="C22568" t="str">
            <v>Parkside Middle School</v>
          </cell>
          <cell r="D22568" t="str">
            <v>Bradford</v>
          </cell>
          <cell r="E22568" t="str">
            <v>Community School</v>
          </cell>
          <cell r="F22568" t="str">
            <v>Middle Deemed Secondary</v>
          </cell>
        </row>
        <row r="22569">
          <cell r="A22569">
            <v>8854403</v>
          </cell>
          <cell r="B22569">
            <v>116959</v>
          </cell>
          <cell r="C22569" t="str">
            <v>Parkside Middle School</v>
          </cell>
          <cell r="D22569" t="str">
            <v>Worcestershire</v>
          </cell>
          <cell r="E22569" t="str">
            <v>Community School</v>
          </cell>
          <cell r="F22569" t="str">
            <v>Middle Deemed Secondary</v>
          </cell>
        </row>
        <row r="22570">
          <cell r="A22570">
            <v>9026059</v>
          </cell>
          <cell r="B22570">
            <v>128264</v>
          </cell>
          <cell r="C22570" t="str">
            <v>Parkside Prep School</v>
          </cell>
          <cell r="D22570" t="str">
            <v>Pre LGR (1997) Bedfordshire</v>
          </cell>
          <cell r="E22570" t="str">
            <v>Other Independent School</v>
          </cell>
          <cell r="F22570" t="str">
            <v>Not applicable</v>
          </cell>
        </row>
        <row r="22571">
          <cell r="A22571">
            <v>3096055</v>
          </cell>
          <cell r="B22571">
            <v>102166</v>
          </cell>
          <cell r="C22571" t="str">
            <v>Parkside Preparatory School</v>
          </cell>
          <cell r="D22571" t="str">
            <v>Haringey</v>
          </cell>
          <cell r="E22571" t="str">
            <v>Other Independent School</v>
          </cell>
          <cell r="F22571" t="str">
            <v>Not applicable</v>
          </cell>
        </row>
        <row r="22572">
          <cell r="A22572">
            <v>3202078</v>
          </cell>
          <cell r="B22572">
            <v>103081</v>
          </cell>
          <cell r="C22572" t="str">
            <v>Parkside Primary School</v>
          </cell>
          <cell r="D22572" t="str">
            <v>Waltham Forest</v>
          </cell>
          <cell r="E22572" t="str">
            <v>Community School</v>
          </cell>
          <cell r="F22572" t="str">
            <v>Primary</v>
          </cell>
        </row>
        <row r="22573">
          <cell r="A22573">
            <v>8112908</v>
          </cell>
          <cell r="B22573">
            <v>117935</v>
          </cell>
          <cell r="C22573" t="str">
            <v>Parkside Primary School</v>
          </cell>
          <cell r="D22573" t="str">
            <v>East Riding of Yorkshire</v>
          </cell>
          <cell r="E22573" t="str">
            <v>Community School</v>
          </cell>
          <cell r="F22573" t="str">
            <v>Primary</v>
          </cell>
        </row>
        <row r="22574">
          <cell r="A22574">
            <v>8602401</v>
          </cell>
          <cell r="B22574">
            <v>124197</v>
          </cell>
          <cell r="C22574" t="str">
            <v>Parkside Primary School</v>
          </cell>
          <cell r="D22574" t="str">
            <v>Staffordshire</v>
          </cell>
          <cell r="E22574" t="str">
            <v>Community School</v>
          </cell>
          <cell r="F22574" t="str">
            <v>Primary</v>
          </cell>
        </row>
        <row r="22575">
          <cell r="A22575">
            <v>9351101</v>
          </cell>
          <cell r="B22575">
            <v>124527</v>
          </cell>
          <cell r="C22575" t="str">
            <v>Parkside Pupil Referral Unit</v>
          </cell>
          <cell r="D22575" t="str">
            <v>Suffolk</v>
          </cell>
          <cell r="E22575" t="str">
            <v>Pupil Referral Unit</v>
          </cell>
          <cell r="F22575" t="str">
            <v>PRU</v>
          </cell>
        </row>
        <row r="22576">
          <cell r="A22576">
            <v>3927005</v>
          </cell>
          <cell r="B22576">
            <v>108656</v>
          </cell>
          <cell r="C22576" t="str">
            <v>Parkside School</v>
          </cell>
          <cell r="D22576" t="str">
            <v>North Tyneside</v>
          </cell>
          <cell r="E22576" t="str">
            <v>Community Special School</v>
          </cell>
          <cell r="F22576" t="str">
            <v>Special</v>
          </cell>
        </row>
        <row r="22577">
          <cell r="A22577">
            <v>9366020</v>
          </cell>
          <cell r="B22577">
            <v>125326</v>
          </cell>
          <cell r="C22577" t="str">
            <v>Parkside School</v>
          </cell>
          <cell r="D22577" t="str">
            <v>Surrey</v>
          </cell>
          <cell r="E22577" t="str">
            <v>Other Independent School</v>
          </cell>
          <cell r="F22577" t="str">
            <v>Not applicable</v>
          </cell>
        </row>
        <row r="22578">
          <cell r="A22578">
            <v>3804112</v>
          </cell>
          <cell r="B22578">
            <v>132217</v>
          </cell>
          <cell r="C22578" t="str">
            <v>Parkside School</v>
          </cell>
          <cell r="D22578" t="str">
            <v>Bradford</v>
          </cell>
          <cell r="E22578" t="str">
            <v>Foundation School</v>
          </cell>
          <cell r="F22578" t="str">
            <v>Secondary</v>
          </cell>
        </row>
        <row r="22579">
          <cell r="A22579">
            <v>9376000</v>
          </cell>
          <cell r="B22579">
            <v>137597</v>
          </cell>
          <cell r="C22579" t="str">
            <v>Parkside School</v>
          </cell>
          <cell r="D22579" t="str">
            <v>Warwickshire</v>
          </cell>
          <cell r="E22579" t="str">
            <v>Other Independent Special School</v>
          </cell>
          <cell r="F22579" t="str">
            <v>Not applicable</v>
          </cell>
        </row>
        <row r="22580">
          <cell r="A22580">
            <v>8404128</v>
          </cell>
          <cell r="B22580">
            <v>114296</v>
          </cell>
          <cell r="C22580" t="str">
            <v>Parkside Sports College</v>
          </cell>
          <cell r="D22580" t="str">
            <v>Durham</v>
          </cell>
          <cell r="E22580" t="str">
            <v>Community School</v>
          </cell>
          <cell r="F22580" t="str">
            <v>Secondary</v>
          </cell>
        </row>
        <row r="22581">
          <cell r="A22581">
            <v>8365403</v>
          </cell>
          <cell r="B22581">
            <v>113903</v>
          </cell>
          <cell r="C22581" t="str">
            <v>Parkstone Grammar School</v>
          </cell>
          <cell r="D22581" t="str">
            <v>Poole</v>
          </cell>
          <cell r="E22581" t="str">
            <v>Foundation School</v>
          </cell>
          <cell r="F22581" t="str">
            <v>Secondary</v>
          </cell>
        </row>
        <row r="22582">
          <cell r="A22582">
            <v>8365403</v>
          </cell>
          <cell r="B22582">
            <v>136368</v>
          </cell>
          <cell r="C22582" t="str">
            <v>Parkstone Grammar School</v>
          </cell>
          <cell r="D22582" t="str">
            <v>Poole</v>
          </cell>
          <cell r="E22582" t="str">
            <v>Academy Converters</v>
          </cell>
          <cell r="F22582" t="str">
            <v>Secondary</v>
          </cell>
        </row>
        <row r="22583">
          <cell r="A22583">
            <v>8102279</v>
          </cell>
          <cell r="B22583">
            <v>117795</v>
          </cell>
          <cell r="C22583" t="str">
            <v>Parkstone Primary School</v>
          </cell>
          <cell r="D22583" t="str">
            <v>Kingston upon Hull City of</v>
          </cell>
          <cell r="E22583" t="str">
            <v>Community School</v>
          </cell>
          <cell r="F22583" t="str">
            <v>Primary</v>
          </cell>
        </row>
        <row r="22584">
          <cell r="A22584">
            <v>9091002</v>
          </cell>
          <cell r="B22584">
            <v>112089</v>
          </cell>
          <cell r="C22584" t="str">
            <v>Parkview Nursery School</v>
          </cell>
          <cell r="D22584" t="str">
            <v>Cumbria</v>
          </cell>
          <cell r="E22584" t="str">
            <v>LA Nursery School</v>
          </cell>
          <cell r="F22584" t="str">
            <v>Nursery</v>
          </cell>
        </row>
        <row r="22585">
          <cell r="A22585">
            <v>8312003</v>
          </cell>
          <cell r="B22585">
            <v>131799</v>
          </cell>
          <cell r="C22585" t="str">
            <v>Parkview Primary School</v>
          </cell>
          <cell r="D22585" t="str">
            <v>Derby</v>
          </cell>
          <cell r="E22585" t="str">
            <v>Community School</v>
          </cell>
          <cell r="F22585" t="str">
            <v>Primary</v>
          </cell>
        </row>
        <row r="22586">
          <cell r="A22586">
            <v>9095409</v>
          </cell>
          <cell r="B22586">
            <v>112436</v>
          </cell>
          <cell r="C22586" t="str">
            <v>Parkview School</v>
          </cell>
          <cell r="D22586" t="str">
            <v>Cumbria</v>
          </cell>
          <cell r="E22586" t="str">
            <v>Foundation School</v>
          </cell>
          <cell r="F22586" t="str">
            <v>Secondary</v>
          </cell>
        </row>
        <row r="22587">
          <cell r="A22587">
            <v>8866134</v>
          </cell>
          <cell r="B22587">
            <v>135869</v>
          </cell>
          <cell r="C22587" t="str">
            <v>Parkview School</v>
          </cell>
          <cell r="D22587" t="str">
            <v>Kent</v>
          </cell>
          <cell r="E22587" t="str">
            <v>Other Independent Special School</v>
          </cell>
          <cell r="F22587" t="str">
            <v>Not applicable</v>
          </cell>
        </row>
        <row r="22588">
          <cell r="A22588">
            <v>8914901</v>
          </cell>
          <cell r="B22588">
            <v>132915</v>
          </cell>
          <cell r="C22588" t="str">
            <v>Parkview Sixth Form</v>
          </cell>
          <cell r="D22588" t="str">
            <v>Nottinghamshire</v>
          </cell>
          <cell r="E22588" t="str">
            <v>Sixth Form Centres</v>
          </cell>
          <cell r="F22588" t="str">
            <v>16 Plus</v>
          </cell>
        </row>
        <row r="22589">
          <cell r="A22589">
            <v>8032181</v>
          </cell>
          <cell r="B22589">
            <v>109020</v>
          </cell>
          <cell r="C22589" t="str">
            <v>Parkwall Primary School</v>
          </cell>
          <cell r="D22589" t="str">
            <v>South Gloucestershire</v>
          </cell>
          <cell r="E22589" t="str">
            <v>Community School</v>
          </cell>
          <cell r="F22589" t="str">
            <v>Primary</v>
          </cell>
        </row>
        <row r="22590">
          <cell r="A22590">
            <v>9354022</v>
          </cell>
          <cell r="B22590">
            <v>124800</v>
          </cell>
          <cell r="C22590" t="str">
            <v>Parkway Middle School</v>
          </cell>
          <cell r="D22590" t="str">
            <v>Suffolk</v>
          </cell>
          <cell r="E22590" t="str">
            <v>Community School</v>
          </cell>
          <cell r="F22590" t="str">
            <v>Middle Deemed Secondary</v>
          </cell>
        </row>
        <row r="22591">
          <cell r="A22591">
            <v>3032059</v>
          </cell>
          <cell r="B22591">
            <v>101437</v>
          </cell>
          <cell r="C22591" t="str">
            <v>Parkway Primary School</v>
          </cell>
          <cell r="D22591" t="str">
            <v>Bexley</v>
          </cell>
          <cell r="E22591" t="str">
            <v>Community School</v>
          </cell>
          <cell r="F22591" t="str">
            <v>Primary</v>
          </cell>
        </row>
        <row r="22592">
          <cell r="A22592">
            <v>3917026</v>
          </cell>
          <cell r="B22592">
            <v>108555</v>
          </cell>
          <cell r="C22592" t="str">
            <v>Parkway School</v>
          </cell>
          <cell r="D22592" t="str">
            <v>Newcastle upon Tyne</v>
          </cell>
          <cell r="E22592" t="str">
            <v>Community Special School</v>
          </cell>
          <cell r="F22592" t="str">
            <v>Special</v>
          </cell>
        </row>
        <row r="22593">
          <cell r="A22593">
            <v>8061100</v>
          </cell>
          <cell r="B22593">
            <v>133571</v>
          </cell>
          <cell r="C22593" t="str">
            <v>Parkwood</v>
          </cell>
          <cell r="D22593" t="str">
            <v>Middlesbrough</v>
          </cell>
          <cell r="E22593" t="str">
            <v>Pupil Referral Unit</v>
          </cell>
          <cell r="F22593" t="str">
            <v>PRU</v>
          </cell>
        </row>
        <row r="22594">
          <cell r="A22594">
            <v>3736907</v>
          </cell>
          <cell r="B22594">
            <v>135934</v>
          </cell>
          <cell r="C22594" t="str">
            <v>Parkwood Academy</v>
          </cell>
          <cell r="D22594" t="str">
            <v>Sheffield</v>
          </cell>
          <cell r="E22594" t="str">
            <v>Academy Sponsor Led</v>
          </cell>
          <cell r="F22594" t="str">
            <v>Secondary</v>
          </cell>
        </row>
        <row r="22595">
          <cell r="A22595">
            <v>3032054</v>
          </cell>
          <cell r="B22595">
            <v>126752</v>
          </cell>
          <cell r="C22595" t="str">
            <v>Parkwood County Primary School</v>
          </cell>
          <cell r="D22595" t="str">
            <v>Bexley</v>
          </cell>
          <cell r="E22595" t="str">
            <v>Community School</v>
          </cell>
          <cell r="F22595" t="str">
            <v>Primary</v>
          </cell>
        </row>
        <row r="22596">
          <cell r="A22596">
            <v>2077164</v>
          </cell>
          <cell r="B22596">
            <v>100548</v>
          </cell>
          <cell r="C22596" t="str">
            <v>Parkwood Hall School</v>
          </cell>
          <cell r="D22596" t="str">
            <v>Kensington and Chelsea</v>
          </cell>
          <cell r="E22596" t="str">
            <v>Community Special School</v>
          </cell>
          <cell r="F22596" t="str">
            <v>Special</v>
          </cell>
        </row>
        <row r="22597">
          <cell r="A22597">
            <v>3734281</v>
          </cell>
          <cell r="B22597">
            <v>132163</v>
          </cell>
          <cell r="C22597" t="str">
            <v>Parkwood High School</v>
          </cell>
          <cell r="D22597" t="str">
            <v>Sheffield</v>
          </cell>
          <cell r="E22597" t="str">
            <v>Community School</v>
          </cell>
          <cell r="F22597" t="str">
            <v>Secondary</v>
          </cell>
        </row>
        <row r="22598">
          <cell r="A22598">
            <v>8132168</v>
          </cell>
          <cell r="B22598">
            <v>117776</v>
          </cell>
          <cell r="C22598" t="str">
            <v>Parkwood Infant School</v>
          </cell>
          <cell r="D22598" t="str">
            <v>North Lincolnshire</v>
          </cell>
          <cell r="E22598" t="str">
            <v>Community School</v>
          </cell>
          <cell r="F22598" t="str">
            <v>Primary</v>
          </cell>
        </row>
        <row r="22599">
          <cell r="A22599">
            <v>8132169</v>
          </cell>
          <cell r="B22599">
            <v>117777</v>
          </cell>
          <cell r="C22599" t="str">
            <v>Parkwood Junior School</v>
          </cell>
          <cell r="D22599" t="str">
            <v>North Lincolnshire</v>
          </cell>
          <cell r="E22599" t="str">
            <v>Community School</v>
          </cell>
          <cell r="F22599" t="str">
            <v>Primary</v>
          </cell>
        </row>
        <row r="22600">
          <cell r="A22600">
            <v>2042865</v>
          </cell>
          <cell r="B22600">
            <v>100259</v>
          </cell>
          <cell r="C22600" t="str">
            <v>Parkwood Primary School</v>
          </cell>
          <cell r="D22600" t="str">
            <v>Hackney</v>
          </cell>
          <cell r="E22600" t="str">
            <v>Community School</v>
          </cell>
          <cell r="F22600" t="str">
            <v>Primary</v>
          </cell>
        </row>
        <row r="22601">
          <cell r="A22601">
            <v>3802132</v>
          </cell>
          <cell r="B22601">
            <v>107267</v>
          </cell>
          <cell r="C22601" t="str">
            <v>Parkwood Primary School</v>
          </cell>
          <cell r="D22601" t="str">
            <v>Bradford</v>
          </cell>
          <cell r="E22601" t="str">
            <v>Community School</v>
          </cell>
          <cell r="F22601" t="str">
            <v>Primary</v>
          </cell>
        </row>
        <row r="22602">
          <cell r="A22602">
            <v>8133509</v>
          </cell>
          <cell r="B22602">
            <v>131569</v>
          </cell>
          <cell r="C22602" t="str">
            <v>Parkwood Primary School</v>
          </cell>
          <cell r="D22602" t="str">
            <v>North Lincolnshire</v>
          </cell>
          <cell r="E22602" t="str">
            <v>Community School</v>
          </cell>
          <cell r="F22602" t="str">
            <v>Primary</v>
          </cell>
        </row>
        <row r="22603">
          <cell r="A22603">
            <v>3738007</v>
          </cell>
          <cell r="B22603">
            <v>133092</v>
          </cell>
          <cell r="C22603" t="str">
            <v>Parkwood Tertiary College</v>
          </cell>
          <cell r="D22603" t="str">
            <v>Sheffield</v>
          </cell>
          <cell r="E22603" t="str">
            <v>Miscellaneous</v>
          </cell>
          <cell r="F22603" t="str">
            <v>Not applicable</v>
          </cell>
        </row>
        <row r="22604">
          <cell r="A22604">
            <v>8712244</v>
          </cell>
          <cell r="B22604">
            <v>109935</v>
          </cell>
          <cell r="C22604" t="str">
            <v>Parlaunt Park Primary School</v>
          </cell>
          <cell r="D22604" t="str">
            <v>Slough</v>
          </cell>
          <cell r="E22604" t="str">
            <v>Community School</v>
          </cell>
          <cell r="F22604" t="str">
            <v>Primary</v>
          </cell>
        </row>
        <row r="22605">
          <cell r="A22605">
            <v>8352045</v>
          </cell>
          <cell r="B22605">
            <v>113682</v>
          </cell>
          <cell r="C22605" t="str">
            <v>Parley First School</v>
          </cell>
          <cell r="D22605" t="str">
            <v>Dorset</v>
          </cell>
          <cell r="E22605" t="str">
            <v>Community School</v>
          </cell>
          <cell r="F22605" t="str">
            <v>Primary</v>
          </cell>
        </row>
        <row r="22606">
          <cell r="A22606">
            <v>2024166</v>
          </cell>
          <cell r="B22606">
            <v>100050</v>
          </cell>
          <cell r="C22606" t="str">
            <v>Parliament Hill School</v>
          </cell>
          <cell r="D22606" t="str">
            <v>Camden</v>
          </cell>
          <cell r="E22606" t="str">
            <v>Community School</v>
          </cell>
          <cell r="F22606" t="str">
            <v>Secondary</v>
          </cell>
        </row>
        <row r="22607">
          <cell r="A22607">
            <v>9162096</v>
          </cell>
          <cell r="B22607">
            <v>115542</v>
          </cell>
          <cell r="C22607" t="str">
            <v>Parliament Primary School</v>
          </cell>
          <cell r="D22607" t="str">
            <v>Gloucestershire</v>
          </cell>
          <cell r="E22607" t="str">
            <v>Community School</v>
          </cell>
          <cell r="F22607" t="str">
            <v>Primary</v>
          </cell>
        </row>
        <row r="22608">
          <cell r="A22608">
            <v>9195404</v>
          </cell>
          <cell r="B22608">
            <v>117576</v>
          </cell>
          <cell r="C22608" t="str">
            <v>Parmiter's School</v>
          </cell>
          <cell r="D22608" t="str">
            <v>Hertfordshire</v>
          </cell>
          <cell r="E22608" t="str">
            <v>Voluntary Aided School</v>
          </cell>
          <cell r="F22608" t="str">
            <v>Secondary</v>
          </cell>
        </row>
        <row r="22609">
          <cell r="A22609">
            <v>9195404</v>
          </cell>
          <cell r="B22609">
            <v>136899</v>
          </cell>
          <cell r="C22609" t="str">
            <v>Parmiter's School</v>
          </cell>
          <cell r="D22609" t="str">
            <v>Hertfordshire</v>
          </cell>
          <cell r="E22609" t="str">
            <v>Academy Converters</v>
          </cell>
          <cell r="F22609" t="str">
            <v>Secondary</v>
          </cell>
        </row>
        <row r="22610">
          <cell r="A22610">
            <v>8742334</v>
          </cell>
          <cell r="B22610">
            <v>110764</v>
          </cell>
          <cell r="C22610" t="str">
            <v>Parnwell Primary School</v>
          </cell>
          <cell r="D22610" t="str">
            <v>Peterborough</v>
          </cell>
          <cell r="E22610" t="str">
            <v>Community School</v>
          </cell>
          <cell r="F22610" t="str">
            <v>Primary</v>
          </cell>
        </row>
        <row r="22611">
          <cell r="A22611">
            <v>3573020</v>
          </cell>
          <cell r="B22611">
            <v>106230</v>
          </cell>
          <cell r="C22611" t="str">
            <v>Parochial CofE Primary and Nursery School, Ashton-under-Lyne</v>
          </cell>
          <cell r="D22611" t="str">
            <v>Tameside</v>
          </cell>
          <cell r="E22611" t="str">
            <v>Voluntary Controlled School</v>
          </cell>
          <cell r="F22611" t="str">
            <v>Primary</v>
          </cell>
        </row>
        <row r="22612">
          <cell r="A22612">
            <v>3424005</v>
          </cell>
          <cell r="B22612">
            <v>104824</v>
          </cell>
          <cell r="C22612" t="str">
            <v>Parr Community High School</v>
          </cell>
          <cell r="D22612" t="str">
            <v>St. Helens</v>
          </cell>
          <cell r="E22612" t="str">
            <v>Community School</v>
          </cell>
          <cell r="F22612" t="str">
            <v>Secondary</v>
          </cell>
        </row>
        <row r="22613">
          <cell r="A22613">
            <v>3422016</v>
          </cell>
          <cell r="B22613">
            <v>104766</v>
          </cell>
          <cell r="C22613" t="str">
            <v>Parr Flat Community Infant School</v>
          </cell>
          <cell r="D22613" t="str">
            <v>St. Helens</v>
          </cell>
          <cell r="E22613" t="str">
            <v>Community School</v>
          </cell>
          <cell r="F22613" t="str">
            <v>Primary</v>
          </cell>
        </row>
        <row r="22614">
          <cell r="A22614">
            <v>3422006</v>
          </cell>
          <cell r="B22614">
            <v>104760</v>
          </cell>
          <cell r="C22614" t="str">
            <v>Parr Flat Community Junior School</v>
          </cell>
          <cell r="D22614" t="str">
            <v>St. Helens</v>
          </cell>
          <cell r="E22614" t="str">
            <v>Community School</v>
          </cell>
          <cell r="F22614" t="str">
            <v>Primary</v>
          </cell>
        </row>
        <row r="22615">
          <cell r="A22615">
            <v>8783066</v>
          </cell>
          <cell r="B22615">
            <v>113382</v>
          </cell>
          <cell r="C22615" t="str">
            <v>Parracombe Church of England Primary School</v>
          </cell>
          <cell r="D22615" t="str">
            <v>Devon</v>
          </cell>
          <cell r="E22615" t="str">
            <v>Voluntary Controlled School</v>
          </cell>
          <cell r="F22615" t="str">
            <v>Primary</v>
          </cell>
        </row>
        <row r="22616">
          <cell r="A22616">
            <v>3514022</v>
          </cell>
          <cell r="B22616">
            <v>105358</v>
          </cell>
          <cell r="C22616" t="str">
            <v>Parrenthorn High School</v>
          </cell>
          <cell r="D22616" t="str">
            <v>Bury</v>
          </cell>
          <cell r="E22616" t="str">
            <v>Community School</v>
          </cell>
          <cell r="F22616" t="str">
            <v>Secondary</v>
          </cell>
        </row>
        <row r="22617">
          <cell r="A22617">
            <v>8353342</v>
          </cell>
          <cell r="B22617">
            <v>113807</v>
          </cell>
          <cell r="C22617" t="str">
            <v>Parrett and Axe Church of England Voluntary Aided Primary School</v>
          </cell>
          <cell r="D22617" t="str">
            <v>Dorset</v>
          </cell>
          <cell r="E22617" t="str">
            <v>Voluntary Aided School</v>
          </cell>
          <cell r="F22617" t="str">
            <v>Primary</v>
          </cell>
        </row>
        <row r="22618">
          <cell r="A22618">
            <v>3524248</v>
          </cell>
          <cell r="B22618">
            <v>105556</v>
          </cell>
          <cell r="C22618" t="str">
            <v>Parrs Wood High School</v>
          </cell>
          <cell r="D22618" t="str">
            <v>Manchester</v>
          </cell>
          <cell r="E22618" t="str">
            <v>Community School</v>
          </cell>
          <cell r="F22618" t="str">
            <v>Secondary</v>
          </cell>
        </row>
        <row r="22619">
          <cell r="A22619">
            <v>3014026</v>
          </cell>
          <cell r="B22619">
            <v>126721</v>
          </cell>
          <cell r="C22619" t="str">
            <v>Parsloes Manor School</v>
          </cell>
          <cell r="D22619" t="str">
            <v>Barking and Dagenham</v>
          </cell>
          <cell r="E22619" t="str">
            <v>Community School</v>
          </cell>
          <cell r="F22619" t="str">
            <v>Secondary</v>
          </cell>
        </row>
        <row r="22620">
          <cell r="A22620">
            <v>3012064</v>
          </cell>
          <cell r="B22620">
            <v>101227</v>
          </cell>
          <cell r="C22620" t="str">
            <v>Parsloes Primary School</v>
          </cell>
          <cell r="D22620" t="str">
            <v>Barking and Dagenham</v>
          </cell>
          <cell r="E22620" t="str">
            <v>Community School</v>
          </cell>
          <cell r="F22620" t="str">
            <v>Primary</v>
          </cell>
        </row>
        <row r="22621">
          <cell r="A22621">
            <v>3733428</v>
          </cell>
          <cell r="B22621">
            <v>107107</v>
          </cell>
          <cell r="C22621" t="str">
            <v>Parson Cross Church of England Primary School</v>
          </cell>
          <cell r="D22621" t="str">
            <v>Sheffield</v>
          </cell>
          <cell r="E22621" t="str">
            <v>Voluntary Aided School</v>
          </cell>
          <cell r="F22621" t="str">
            <v>Primary</v>
          </cell>
        </row>
        <row r="22622">
          <cell r="A22622">
            <v>3738021</v>
          </cell>
          <cell r="B22622">
            <v>133093</v>
          </cell>
          <cell r="C22622" t="str">
            <v>Parson Cross Tertiary College</v>
          </cell>
          <cell r="D22622" t="str">
            <v>Sheffield</v>
          </cell>
          <cell r="E22622" t="str">
            <v>Miscellaneous</v>
          </cell>
          <cell r="F22622" t="str">
            <v>Not applicable</v>
          </cell>
        </row>
        <row r="22623">
          <cell r="A22623">
            <v>8012061</v>
          </cell>
          <cell r="B22623">
            <v>108951</v>
          </cell>
          <cell r="C22623" t="str">
            <v>Parson Street Primary School</v>
          </cell>
          <cell r="D22623" t="str">
            <v>Bristol City of</v>
          </cell>
          <cell r="E22623" t="str">
            <v>Community School</v>
          </cell>
          <cell r="F22623" t="str">
            <v>Primary</v>
          </cell>
        </row>
        <row r="22624">
          <cell r="A22624">
            <v>3112072</v>
          </cell>
          <cell r="B22624">
            <v>102311</v>
          </cell>
          <cell r="C22624" t="str">
            <v>Parsonage Farm Junior School</v>
          </cell>
          <cell r="D22624" t="str">
            <v>Havering</v>
          </cell>
          <cell r="E22624" t="str">
            <v>Community School</v>
          </cell>
          <cell r="F22624" t="str">
            <v>Primary</v>
          </cell>
        </row>
        <row r="22625">
          <cell r="A22625">
            <v>8502530</v>
          </cell>
          <cell r="B22625">
            <v>116154</v>
          </cell>
          <cell r="C22625" t="str">
            <v>Parsonage Farm Nursery and Infant School</v>
          </cell>
          <cell r="D22625" t="str">
            <v>Hampshire</v>
          </cell>
          <cell r="E22625" t="str">
            <v>Community School</v>
          </cell>
          <cell r="F22625" t="str">
            <v>Primary</v>
          </cell>
        </row>
        <row r="22626">
          <cell r="A22626">
            <v>3112073</v>
          </cell>
          <cell r="B22626">
            <v>102312</v>
          </cell>
          <cell r="C22626" t="str">
            <v>Parsonage Farm Primary School</v>
          </cell>
          <cell r="D22626" t="str">
            <v>Havering</v>
          </cell>
          <cell r="E22626" t="str">
            <v>Community School</v>
          </cell>
          <cell r="F22626" t="str">
            <v>Primary</v>
          </cell>
        </row>
        <row r="22627">
          <cell r="A22627">
            <v>8692145</v>
          </cell>
          <cell r="B22627">
            <v>109875</v>
          </cell>
          <cell r="C22627" t="str">
            <v>Parsons Down Infant School</v>
          </cell>
          <cell r="D22627" t="str">
            <v>West Berkshire</v>
          </cell>
          <cell r="E22627" t="str">
            <v>Community School</v>
          </cell>
          <cell r="F22627" t="str">
            <v>Primary</v>
          </cell>
        </row>
        <row r="22628">
          <cell r="A22628">
            <v>8692231</v>
          </cell>
          <cell r="B22628">
            <v>109923</v>
          </cell>
          <cell r="C22628" t="str">
            <v>Parsons Down Junior School</v>
          </cell>
          <cell r="D22628" t="str">
            <v>West Berkshire</v>
          </cell>
          <cell r="E22628" t="str">
            <v>Community School</v>
          </cell>
          <cell r="F22628" t="str">
            <v>Primary</v>
          </cell>
        </row>
        <row r="22629">
          <cell r="A22629">
            <v>8813040</v>
          </cell>
          <cell r="B22629">
            <v>115088</v>
          </cell>
          <cell r="C22629" t="str">
            <v>Parsons Heath Church of England Voluntary Controlled Primary School</v>
          </cell>
          <cell r="D22629" t="str">
            <v>Essex</v>
          </cell>
          <cell r="E22629" t="str">
            <v>Voluntary Controlled School</v>
          </cell>
          <cell r="F22629" t="str">
            <v>Primary</v>
          </cell>
        </row>
        <row r="22630">
          <cell r="A22630">
            <v>9366062</v>
          </cell>
          <cell r="B22630">
            <v>125350</v>
          </cell>
          <cell r="C22630" t="str">
            <v>Parsons Mead School</v>
          </cell>
          <cell r="D22630" t="str">
            <v>Surrey</v>
          </cell>
          <cell r="E22630" t="str">
            <v>Other Independent School</v>
          </cell>
          <cell r="F22630" t="str">
            <v>Not applicable</v>
          </cell>
        </row>
        <row r="22631">
          <cell r="A22631">
            <v>3026102</v>
          </cell>
          <cell r="B22631">
            <v>126739</v>
          </cell>
          <cell r="C22631" t="str">
            <v>Partingdale School</v>
          </cell>
          <cell r="D22631" t="str">
            <v>Barnet</v>
          </cell>
          <cell r="E22631" t="str">
            <v>Other Independent School</v>
          </cell>
          <cell r="F22631" t="str">
            <v>Not applicable</v>
          </cell>
        </row>
        <row r="22632">
          <cell r="A22632">
            <v>3582028</v>
          </cell>
          <cell r="B22632">
            <v>106305</v>
          </cell>
          <cell r="C22632" t="str">
            <v>Partington Primary School</v>
          </cell>
          <cell r="D22632" t="str">
            <v>Trafford</v>
          </cell>
          <cell r="E22632" t="str">
            <v>Community School</v>
          </cell>
          <cell r="F22632" t="str">
            <v>Primary</v>
          </cell>
        </row>
        <row r="22633">
          <cell r="A22633">
            <v>9216039</v>
          </cell>
          <cell r="B22633">
            <v>129341</v>
          </cell>
          <cell r="C22633" t="str">
            <v>Partlands School</v>
          </cell>
          <cell r="D22633" t="str">
            <v>Isle of Wight</v>
          </cell>
          <cell r="E22633" t="str">
            <v>Other Independent School</v>
          </cell>
          <cell r="F22633" t="str">
            <v>Not applicable</v>
          </cell>
        </row>
        <row r="22634">
          <cell r="A22634">
            <v>9253366</v>
          </cell>
          <cell r="B22634">
            <v>120627</v>
          </cell>
          <cell r="C22634" t="str">
            <v>Partney Church of England Aided Primary School</v>
          </cell>
          <cell r="D22634" t="str">
            <v>Lincolnshire</v>
          </cell>
          <cell r="E22634" t="str">
            <v>Voluntary Aided School</v>
          </cell>
          <cell r="F22634" t="str">
            <v>Primary</v>
          </cell>
        </row>
        <row r="22635">
          <cell r="A22635">
            <v>9162052</v>
          </cell>
          <cell r="B22635">
            <v>115511</v>
          </cell>
          <cell r="C22635" t="str">
            <v>Parton Manor Infant School</v>
          </cell>
          <cell r="D22635" t="str">
            <v>Gloucestershire</v>
          </cell>
          <cell r="E22635" t="str">
            <v>Community School</v>
          </cell>
          <cell r="F22635" t="str">
            <v>Primary</v>
          </cell>
        </row>
        <row r="22636">
          <cell r="A22636">
            <v>8302187</v>
          </cell>
          <cell r="B22636">
            <v>112604</v>
          </cell>
          <cell r="C22636" t="str">
            <v>Parwich Primary School</v>
          </cell>
          <cell r="D22636" t="str">
            <v>Derbyshire</v>
          </cell>
          <cell r="E22636" t="str">
            <v>Community School</v>
          </cell>
          <cell r="F22636" t="str">
            <v>Primary</v>
          </cell>
        </row>
        <row r="22637">
          <cell r="A22637">
            <v>8452137</v>
          </cell>
          <cell r="B22637">
            <v>114461</v>
          </cell>
          <cell r="C22637" t="str">
            <v>Pashley Down Infant School</v>
          </cell>
          <cell r="D22637" t="str">
            <v>East Sussex</v>
          </cell>
          <cell r="E22637" t="str">
            <v>Community School</v>
          </cell>
          <cell r="F22637" t="str">
            <v>Primary</v>
          </cell>
        </row>
        <row r="22638">
          <cell r="A22638">
            <v>8521100</v>
          </cell>
          <cell r="B22638">
            <v>133675</v>
          </cell>
          <cell r="C22638" t="str">
            <v>Pass: Positive Alternatives for Southampton Students</v>
          </cell>
          <cell r="D22638" t="str">
            <v>Southampton</v>
          </cell>
          <cell r="E22638" t="str">
            <v>Pupil Referral Unit</v>
          </cell>
          <cell r="F22638" t="str">
            <v>PRU</v>
          </cell>
        </row>
        <row r="22639">
          <cell r="A22639">
            <v>8814323</v>
          </cell>
          <cell r="B22639">
            <v>115218</v>
          </cell>
          <cell r="C22639" t="str">
            <v>Passmores School and Technology College</v>
          </cell>
          <cell r="D22639" t="str">
            <v>Essex</v>
          </cell>
          <cell r="E22639" t="str">
            <v>Foundation School</v>
          </cell>
          <cell r="F22639" t="str">
            <v>Secondary</v>
          </cell>
        </row>
        <row r="22640">
          <cell r="A22640">
            <v>8814323</v>
          </cell>
          <cell r="B22640">
            <v>137445</v>
          </cell>
          <cell r="C22640" t="str">
            <v>Passmores School and Technology College</v>
          </cell>
          <cell r="D22640" t="str">
            <v>Essex</v>
          </cell>
          <cell r="E22640" t="str">
            <v>Academy Converters</v>
          </cell>
          <cell r="F22640" t="str">
            <v>Secondary</v>
          </cell>
        </row>
        <row r="22641">
          <cell r="A22641">
            <v>9052285</v>
          </cell>
          <cell r="B22641">
            <v>128378</v>
          </cell>
          <cell r="C22641" t="str">
            <v>Paston Ridings Infant School</v>
          </cell>
          <cell r="D22641" t="str">
            <v>Pre LGR (1998) Cambridgeshire</v>
          </cell>
          <cell r="E22641" t="str">
            <v>Community School</v>
          </cell>
          <cell r="F22641" t="str">
            <v>Primary</v>
          </cell>
        </row>
        <row r="22642">
          <cell r="A22642">
            <v>9052284</v>
          </cell>
          <cell r="B22642">
            <v>128377</v>
          </cell>
          <cell r="C22642" t="str">
            <v>Paston Ridings Junior School</v>
          </cell>
          <cell r="D22642" t="str">
            <v>Pre LGR (1998) Cambridgeshire</v>
          </cell>
          <cell r="E22642" t="str">
            <v>Community School</v>
          </cell>
          <cell r="F22642" t="str">
            <v>Primary</v>
          </cell>
        </row>
        <row r="22643">
          <cell r="A22643">
            <v>8742449</v>
          </cell>
          <cell r="B22643">
            <v>110778</v>
          </cell>
          <cell r="C22643" t="str">
            <v>Paston Ridings Primary School</v>
          </cell>
          <cell r="D22643" t="str">
            <v>Peterborough</v>
          </cell>
          <cell r="E22643" t="str">
            <v>Community School</v>
          </cell>
          <cell r="F22643" t="str">
            <v>Primary</v>
          </cell>
        </row>
        <row r="22644">
          <cell r="A22644">
            <v>9264508</v>
          </cell>
          <cell r="B22644">
            <v>129629</v>
          </cell>
          <cell r="C22644" t="str">
            <v>Paston Sixth Form College</v>
          </cell>
          <cell r="D22644" t="str">
            <v>Norfolk</v>
          </cell>
          <cell r="E22644" t="str">
            <v>Voluntary Controlled School</v>
          </cell>
          <cell r="F22644" t="str">
            <v>Secondary</v>
          </cell>
        </row>
        <row r="22645">
          <cell r="A22645">
            <v>9268601</v>
          </cell>
          <cell r="B22645">
            <v>130768</v>
          </cell>
          <cell r="C22645" t="str">
            <v>Paston Sixth Form College</v>
          </cell>
          <cell r="D22645" t="str">
            <v>Norfolk</v>
          </cell>
          <cell r="E22645" t="str">
            <v>Further Education</v>
          </cell>
          <cell r="F22645" t="str">
            <v>16 Plus</v>
          </cell>
        </row>
        <row r="22646">
          <cell r="A22646">
            <v>8112911</v>
          </cell>
          <cell r="B22646">
            <v>117938</v>
          </cell>
          <cell r="C22646" t="str">
            <v>Pasture Primary School</v>
          </cell>
          <cell r="D22646" t="str">
            <v>East Riding of Yorkshire</v>
          </cell>
          <cell r="E22646" t="str">
            <v>Community School</v>
          </cell>
          <cell r="F22646" t="str">
            <v>Primary</v>
          </cell>
        </row>
        <row r="22647">
          <cell r="A22647">
            <v>9202787</v>
          </cell>
          <cell r="B22647">
            <v>129243</v>
          </cell>
          <cell r="C22647" t="str">
            <v>Pasture Road First School</v>
          </cell>
          <cell r="D22647" t="str">
            <v>Pre LGR (1996) Humberside</v>
          </cell>
          <cell r="E22647" t="str">
            <v>Community School</v>
          </cell>
          <cell r="F22647" t="str">
            <v>Primary</v>
          </cell>
        </row>
        <row r="22648">
          <cell r="A22648">
            <v>8211018</v>
          </cell>
          <cell r="B22648">
            <v>109423</v>
          </cell>
          <cell r="C22648" t="str">
            <v>Pastures Way Nursery School</v>
          </cell>
          <cell r="D22648" t="str">
            <v>Luton</v>
          </cell>
          <cell r="E22648" t="str">
            <v>LA Nursery School</v>
          </cell>
          <cell r="F22648" t="str">
            <v>Nursery</v>
          </cell>
        </row>
        <row r="22649">
          <cell r="A22649">
            <v>9144002</v>
          </cell>
          <cell r="B22649">
            <v>128843</v>
          </cell>
          <cell r="C22649" t="str">
            <v>Patcham Fawcett School</v>
          </cell>
          <cell r="D22649" t="str">
            <v>Pre LGR (1997) East Sussex</v>
          </cell>
          <cell r="E22649" t="str">
            <v>Community School</v>
          </cell>
          <cell r="F22649" t="str">
            <v>Secondary</v>
          </cell>
        </row>
        <row r="22650">
          <cell r="A22650">
            <v>8464072</v>
          </cell>
          <cell r="B22650">
            <v>114608</v>
          </cell>
          <cell r="C22650" t="str">
            <v>Patcham High School</v>
          </cell>
          <cell r="D22650" t="str">
            <v>Brighton and Hove</v>
          </cell>
          <cell r="E22650" t="str">
            <v>Community School</v>
          </cell>
          <cell r="F22650" t="str">
            <v>Secondary</v>
          </cell>
        </row>
        <row r="22651">
          <cell r="A22651">
            <v>8467005</v>
          </cell>
          <cell r="B22651">
            <v>114679</v>
          </cell>
          <cell r="C22651" t="str">
            <v>Patcham House Special School</v>
          </cell>
          <cell r="D22651" t="str">
            <v>Brighton and Hove</v>
          </cell>
          <cell r="E22651" t="str">
            <v>Community Special School</v>
          </cell>
          <cell r="F22651" t="str">
            <v>Special</v>
          </cell>
        </row>
        <row r="22652">
          <cell r="A22652">
            <v>8462022</v>
          </cell>
          <cell r="B22652">
            <v>114373</v>
          </cell>
          <cell r="C22652" t="str">
            <v>Patcham Infant School</v>
          </cell>
          <cell r="D22652" t="str">
            <v>Brighton and Hove</v>
          </cell>
          <cell r="E22652" t="str">
            <v>Community School</v>
          </cell>
          <cell r="F22652" t="str">
            <v>Primary</v>
          </cell>
        </row>
        <row r="22653">
          <cell r="A22653">
            <v>8462021</v>
          </cell>
          <cell r="B22653">
            <v>114372</v>
          </cell>
          <cell r="C22653" t="str">
            <v>Patcham Junior School</v>
          </cell>
          <cell r="D22653" t="str">
            <v>Brighton and Hove</v>
          </cell>
          <cell r="E22653" t="str">
            <v>Community School</v>
          </cell>
          <cell r="F22653" t="str">
            <v>Primary</v>
          </cell>
        </row>
        <row r="22654">
          <cell r="A22654">
            <v>8034117</v>
          </cell>
          <cell r="B22654">
            <v>109296</v>
          </cell>
          <cell r="C22654" t="str">
            <v>Patchway Community College</v>
          </cell>
          <cell r="D22654" t="str">
            <v>South Gloucestershire</v>
          </cell>
          <cell r="E22654" t="str">
            <v>Community School</v>
          </cell>
          <cell r="F22654" t="str">
            <v>Secondary</v>
          </cell>
        </row>
        <row r="22655">
          <cell r="A22655">
            <v>9167018</v>
          </cell>
          <cell r="B22655">
            <v>115824</v>
          </cell>
          <cell r="C22655" t="str">
            <v>Paternoster School</v>
          </cell>
          <cell r="D22655" t="str">
            <v>Gloucestershire</v>
          </cell>
          <cell r="E22655" t="str">
            <v>Community Special School</v>
          </cell>
          <cell r="F22655" t="str">
            <v>Special</v>
          </cell>
        </row>
        <row r="22656">
          <cell r="A22656">
            <v>9165403</v>
          </cell>
          <cell r="B22656">
            <v>115754</v>
          </cell>
          <cell r="C22656" t="str">
            <v>Pate's Grammar School</v>
          </cell>
          <cell r="D22656" t="str">
            <v>Gloucestershire</v>
          </cell>
          <cell r="E22656" t="str">
            <v>Voluntary Aided School</v>
          </cell>
          <cell r="F22656" t="str">
            <v>Secondary</v>
          </cell>
        </row>
        <row r="22657">
          <cell r="A22657">
            <v>9165403</v>
          </cell>
          <cell r="B22657">
            <v>136353</v>
          </cell>
          <cell r="C22657" t="str">
            <v>Pate's Grammar School</v>
          </cell>
          <cell r="D22657" t="str">
            <v>Gloucestershire</v>
          </cell>
          <cell r="E22657" t="str">
            <v>Academy Converters</v>
          </cell>
          <cell r="F22657" t="str">
            <v>Secondary</v>
          </cell>
        </row>
        <row r="22658">
          <cell r="A22658">
            <v>8787021</v>
          </cell>
          <cell r="B22658">
            <v>113638</v>
          </cell>
          <cell r="C22658" t="str">
            <v>Pathfield School</v>
          </cell>
          <cell r="D22658" t="str">
            <v>Devon</v>
          </cell>
          <cell r="E22658" t="str">
            <v>Community Special School</v>
          </cell>
          <cell r="F22658" t="str">
            <v>Special</v>
          </cell>
        </row>
        <row r="22659">
          <cell r="A22659">
            <v>3546032</v>
          </cell>
          <cell r="B22659">
            <v>135602</v>
          </cell>
          <cell r="C22659" t="str">
            <v>Pathfinders School</v>
          </cell>
          <cell r="D22659" t="str">
            <v>Rochdale</v>
          </cell>
          <cell r="E22659" t="str">
            <v>Other Independent Special School</v>
          </cell>
          <cell r="F22659" t="str">
            <v>Not applicable</v>
          </cell>
        </row>
        <row r="22660">
          <cell r="A22660">
            <v>3516014</v>
          </cell>
          <cell r="B22660">
            <v>135603</v>
          </cell>
          <cell r="C22660" t="str">
            <v>Pathfinders School</v>
          </cell>
          <cell r="D22660" t="str">
            <v>Bury</v>
          </cell>
          <cell r="E22660" t="str">
            <v>Other Independent Special School</v>
          </cell>
          <cell r="F22660" t="str">
            <v>Not applicable</v>
          </cell>
        </row>
        <row r="22661">
          <cell r="A22661">
            <v>3306208</v>
          </cell>
          <cell r="B22661">
            <v>135898</v>
          </cell>
          <cell r="C22661" t="str">
            <v>Pathway to Success at Kingsbury Training</v>
          </cell>
          <cell r="D22661" t="str">
            <v>Birmingham</v>
          </cell>
          <cell r="E22661" t="str">
            <v>Other Independent Special School</v>
          </cell>
          <cell r="F22661" t="str">
            <v>Not applicable</v>
          </cell>
        </row>
        <row r="22662">
          <cell r="A22662">
            <v>8941104</v>
          </cell>
          <cell r="B22662">
            <v>134060</v>
          </cell>
          <cell r="C22662" t="str">
            <v>Pathways (the Glebe Centre)</v>
          </cell>
          <cell r="D22662" t="str">
            <v>Telford and Wrekin</v>
          </cell>
          <cell r="E22662" t="str">
            <v>Pupil Referral Unit</v>
          </cell>
          <cell r="F22662" t="str">
            <v>PRU</v>
          </cell>
        </row>
        <row r="22663">
          <cell r="A22663">
            <v>8251104</v>
          </cell>
          <cell r="B22663">
            <v>133681</v>
          </cell>
          <cell r="C22663" t="str">
            <v>Pathways Primary Pupil Referral Unit</v>
          </cell>
          <cell r="D22663" t="str">
            <v>Buckinghamshire</v>
          </cell>
          <cell r="E22663" t="str">
            <v>Pupil Referral Unit</v>
          </cell>
          <cell r="F22663" t="str">
            <v>PRU</v>
          </cell>
        </row>
        <row r="22664">
          <cell r="A22664">
            <v>8077031</v>
          </cell>
          <cell r="B22664">
            <v>128190</v>
          </cell>
          <cell r="C22664" t="str">
            <v>Pathways Special School</v>
          </cell>
          <cell r="D22664" t="str">
            <v>Redcar and Cleveland</v>
          </cell>
          <cell r="E22664" t="str">
            <v>Community Special School</v>
          </cell>
          <cell r="F22664" t="str">
            <v>Special</v>
          </cell>
        </row>
        <row r="22665">
          <cell r="A22665">
            <v>8113033</v>
          </cell>
          <cell r="B22665">
            <v>117986</v>
          </cell>
          <cell r="C22665" t="str">
            <v>Patrington Church of England Voluntary Controlled Primary School</v>
          </cell>
          <cell r="D22665" t="str">
            <v>East Riding of Yorkshire</v>
          </cell>
          <cell r="E22665" t="str">
            <v>Voluntary Controlled School</v>
          </cell>
          <cell r="F22665" t="str">
            <v>Primary</v>
          </cell>
        </row>
        <row r="22666">
          <cell r="A22666">
            <v>9093372</v>
          </cell>
          <cell r="B22666">
            <v>112326</v>
          </cell>
          <cell r="C22666" t="str">
            <v>Patterdale CofE School</v>
          </cell>
          <cell r="D22666" t="str">
            <v>Cumbria</v>
          </cell>
          <cell r="E22666" t="str">
            <v>Voluntary Aided School</v>
          </cell>
          <cell r="F22666" t="str">
            <v>Primary</v>
          </cell>
        </row>
        <row r="22667">
          <cell r="A22667">
            <v>9283049</v>
          </cell>
          <cell r="B22667">
            <v>121985</v>
          </cell>
          <cell r="C22667" t="str">
            <v>Pattishall Church of England Primary School</v>
          </cell>
          <cell r="D22667" t="str">
            <v>Northamptonshire</v>
          </cell>
          <cell r="E22667" t="str">
            <v>Voluntary Controlled School</v>
          </cell>
          <cell r="F22667" t="str">
            <v>Primary</v>
          </cell>
        </row>
        <row r="22668">
          <cell r="A22668">
            <v>3316011</v>
          </cell>
          <cell r="B22668">
            <v>103747</v>
          </cell>
          <cell r="C22668" t="str">
            <v>Pattison College</v>
          </cell>
          <cell r="D22668" t="str">
            <v>Coventry</v>
          </cell>
          <cell r="E22668" t="str">
            <v>Other Independent School</v>
          </cell>
          <cell r="F22668" t="str">
            <v>Not applicable</v>
          </cell>
        </row>
        <row r="22669">
          <cell r="A22669">
            <v>9283050</v>
          </cell>
          <cell r="B22669">
            <v>121986</v>
          </cell>
          <cell r="C22669" t="str">
            <v>Paulerspury Church of England Primary School</v>
          </cell>
          <cell r="D22669" t="str">
            <v>Northamptonshire</v>
          </cell>
          <cell r="E22669" t="str">
            <v>Voluntary Controlled School</v>
          </cell>
          <cell r="F22669" t="str">
            <v>Primary</v>
          </cell>
        </row>
        <row r="22670">
          <cell r="A22670">
            <v>8604051</v>
          </cell>
          <cell r="B22670">
            <v>124391</v>
          </cell>
          <cell r="C22670" t="str">
            <v>Paulet High School</v>
          </cell>
          <cell r="D22670" t="str">
            <v>Staffordshire</v>
          </cell>
          <cell r="E22670" t="str">
            <v>Community School</v>
          </cell>
          <cell r="F22670" t="str">
            <v>Secondary</v>
          </cell>
        </row>
        <row r="22671">
          <cell r="A22671">
            <v>8112742</v>
          </cell>
          <cell r="B22671">
            <v>117862</v>
          </cell>
          <cell r="C22671" t="str">
            <v>Paull Primary School</v>
          </cell>
          <cell r="D22671" t="str">
            <v>East Riding of Yorkshire</v>
          </cell>
          <cell r="E22671" t="str">
            <v>Community School</v>
          </cell>
          <cell r="F22671" t="str">
            <v>Primary</v>
          </cell>
        </row>
        <row r="22672">
          <cell r="A22672">
            <v>9172660</v>
          </cell>
          <cell r="B22672">
            <v>129012</v>
          </cell>
          <cell r="C22672" t="str">
            <v>Paulsgrove East First School</v>
          </cell>
          <cell r="D22672" t="str">
            <v>Pre LGR (1997) Hampshire</v>
          </cell>
          <cell r="E22672" t="str">
            <v>Community School</v>
          </cell>
          <cell r="F22672" t="str">
            <v>Primary</v>
          </cell>
        </row>
        <row r="22673">
          <cell r="A22673">
            <v>8512764</v>
          </cell>
          <cell r="B22673">
            <v>116257</v>
          </cell>
          <cell r="C22673" t="str">
            <v>Paulsgrove Primary School</v>
          </cell>
          <cell r="D22673" t="str">
            <v>Portsmouth</v>
          </cell>
          <cell r="E22673" t="str">
            <v>Community School</v>
          </cell>
          <cell r="F22673" t="str">
            <v>Primary</v>
          </cell>
        </row>
        <row r="22674">
          <cell r="A22674">
            <v>8002243</v>
          </cell>
          <cell r="B22674">
            <v>109066</v>
          </cell>
          <cell r="C22674" t="str">
            <v>Paulton Infant School</v>
          </cell>
          <cell r="D22674" t="str">
            <v>Bath and North East Somerset</v>
          </cell>
          <cell r="E22674" t="str">
            <v>Community School</v>
          </cell>
          <cell r="F22674" t="str">
            <v>Primary</v>
          </cell>
        </row>
        <row r="22675">
          <cell r="A22675">
            <v>8002270</v>
          </cell>
          <cell r="B22675">
            <v>109089</v>
          </cell>
          <cell r="C22675" t="str">
            <v>Paulton Junior School</v>
          </cell>
          <cell r="D22675" t="str">
            <v>Bath and North East Somerset</v>
          </cell>
          <cell r="E22675" t="str">
            <v>Community School</v>
          </cell>
          <cell r="F22675" t="str">
            <v>Primary</v>
          </cell>
        </row>
        <row r="22676">
          <cell r="A22676">
            <v>9163060</v>
          </cell>
          <cell r="B22676">
            <v>115643</v>
          </cell>
          <cell r="C22676" t="str">
            <v>Pauntley Church of England Primary School</v>
          </cell>
          <cell r="D22676" t="str">
            <v>Gloucestershire</v>
          </cell>
          <cell r="E22676" t="str">
            <v>Voluntary Controlled School</v>
          </cell>
          <cell r="F22676" t="str">
            <v>Primary</v>
          </cell>
        </row>
        <row r="22677">
          <cell r="A22677">
            <v>3021100</v>
          </cell>
          <cell r="B22677">
            <v>101255</v>
          </cell>
          <cell r="C22677" t="str">
            <v>Pavilion Study Centre</v>
          </cell>
          <cell r="D22677" t="str">
            <v>Barnet</v>
          </cell>
          <cell r="E22677" t="str">
            <v>Pupil Referral Unit</v>
          </cell>
          <cell r="F22677" t="str">
            <v>PRU</v>
          </cell>
        </row>
        <row r="22678">
          <cell r="A22678">
            <v>9332179</v>
          </cell>
          <cell r="B22678">
            <v>123693</v>
          </cell>
          <cell r="C22678" t="str">
            <v>Pawlett Primary School</v>
          </cell>
          <cell r="D22678" t="str">
            <v>Somerset</v>
          </cell>
          <cell r="E22678" t="str">
            <v>Community School</v>
          </cell>
          <cell r="F22678" t="str">
            <v>Primary</v>
          </cell>
        </row>
        <row r="22679">
          <cell r="A22679">
            <v>8655209</v>
          </cell>
          <cell r="B22679">
            <v>126483</v>
          </cell>
          <cell r="C22679" t="str">
            <v>Paxcroft Primary School</v>
          </cell>
          <cell r="D22679" t="str">
            <v>Wiltshire</v>
          </cell>
          <cell r="E22679" t="str">
            <v>Foundation School</v>
          </cell>
          <cell r="F22679" t="str">
            <v>Primary</v>
          </cell>
        </row>
        <row r="22680">
          <cell r="A22680">
            <v>2082459</v>
          </cell>
          <cell r="B22680">
            <v>100577</v>
          </cell>
          <cell r="C22680" t="str">
            <v>Paxton Primary School</v>
          </cell>
          <cell r="D22680" t="str">
            <v>Lambeth</v>
          </cell>
          <cell r="E22680" t="str">
            <v>Community School</v>
          </cell>
          <cell r="F22680" t="str">
            <v>Primary</v>
          </cell>
        </row>
        <row r="22681">
          <cell r="A22681">
            <v>8783016</v>
          </cell>
          <cell r="B22681">
            <v>113360</v>
          </cell>
          <cell r="C22681" t="str">
            <v>Payhembury Church of England Primary School</v>
          </cell>
          <cell r="D22681" t="str">
            <v>Devon</v>
          </cell>
          <cell r="E22681" t="str">
            <v>Voluntary Controlled School</v>
          </cell>
          <cell r="F22681" t="str">
            <v>Primary</v>
          </cell>
        </row>
        <row r="22682">
          <cell r="A22682">
            <v>8732083</v>
          </cell>
          <cell r="B22682">
            <v>110644</v>
          </cell>
          <cell r="C22682" t="str">
            <v>Payne Primary School</v>
          </cell>
          <cell r="D22682" t="str">
            <v>Cambridgeshire</v>
          </cell>
          <cell r="E22682" t="str">
            <v>Community School</v>
          </cell>
          <cell r="F22682" t="str">
            <v>Primary</v>
          </cell>
        </row>
        <row r="22683">
          <cell r="A22683">
            <v>7046003</v>
          </cell>
          <cell r="B22683">
            <v>132557</v>
          </cell>
          <cell r="C22683" t="str">
            <v>Pdo Oman School</v>
          </cell>
          <cell r="D22683" t="str">
            <v>Fieldwork Overseas Establishments</v>
          </cell>
          <cell r="E22683" t="str">
            <v>Service Childrens Education</v>
          </cell>
          <cell r="F22683" t="str">
            <v>Not applicable</v>
          </cell>
        </row>
        <row r="22684">
          <cell r="A22684">
            <v>3562076</v>
          </cell>
          <cell r="B22684">
            <v>106070</v>
          </cell>
          <cell r="C22684" t="str">
            <v>Peacefield Primary School</v>
          </cell>
          <cell r="D22684" t="str">
            <v>Stockport</v>
          </cell>
          <cell r="E22684" t="str">
            <v>Community School</v>
          </cell>
          <cell r="F22684" t="str">
            <v>Primary</v>
          </cell>
        </row>
        <row r="22685">
          <cell r="A22685">
            <v>8454000</v>
          </cell>
          <cell r="B22685">
            <v>131601</v>
          </cell>
          <cell r="C22685" t="str">
            <v>Peacehaven Community School</v>
          </cell>
          <cell r="D22685" t="str">
            <v>East Sussex</v>
          </cell>
          <cell r="E22685" t="str">
            <v>Community School</v>
          </cell>
          <cell r="F22685" t="str">
            <v>Secondary</v>
          </cell>
        </row>
        <row r="22686">
          <cell r="A22686">
            <v>8452077</v>
          </cell>
          <cell r="B22686">
            <v>114409</v>
          </cell>
          <cell r="C22686" t="str">
            <v>Peacehaven Infant School</v>
          </cell>
          <cell r="D22686" t="str">
            <v>East Sussex</v>
          </cell>
          <cell r="E22686" t="str">
            <v>Community School</v>
          </cell>
          <cell r="F22686" t="str">
            <v>Primary</v>
          </cell>
        </row>
        <row r="22687">
          <cell r="A22687">
            <v>8912087</v>
          </cell>
          <cell r="B22687">
            <v>122434</v>
          </cell>
          <cell r="C22687" t="str">
            <v>Peafield Lane Primary and Nursery School</v>
          </cell>
          <cell r="D22687" t="str">
            <v>Nottinghamshire</v>
          </cell>
          <cell r="E22687" t="str">
            <v>Community School</v>
          </cell>
          <cell r="F22687" t="str">
            <v>Primary</v>
          </cell>
        </row>
        <row r="22688">
          <cell r="A22688">
            <v>8302279</v>
          </cell>
          <cell r="B22688">
            <v>112656</v>
          </cell>
          <cell r="C22688" t="str">
            <v>Peak Dale Primary School</v>
          </cell>
          <cell r="D22688" t="str">
            <v>Derbyshire</v>
          </cell>
          <cell r="E22688" t="str">
            <v>Community School</v>
          </cell>
          <cell r="F22688" t="str">
            <v>Primary</v>
          </cell>
        </row>
        <row r="22689">
          <cell r="A22689">
            <v>8303079</v>
          </cell>
          <cell r="B22689">
            <v>112848</v>
          </cell>
          <cell r="C22689" t="str">
            <v>Peak Forest Church of England Voluntary Controlled Primary School</v>
          </cell>
          <cell r="D22689" t="str">
            <v>Derbyshire</v>
          </cell>
          <cell r="E22689" t="str">
            <v>Voluntary Controlled School</v>
          </cell>
          <cell r="F22689" t="str">
            <v>Primary</v>
          </cell>
        </row>
        <row r="22690">
          <cell r="A22690">
            <v>8307017</v>
          </cell>
          <cell r="B22690">
            <v>113039</v>
          </cell>
          <cell r="C22690" t="str">
            <v>Peak School</v>
          </cell>
          <cell r="D22690" t="str">
            <v>Derbyshire</v>
          </cell>
          <cell r="E22690" t="str">
            <v>Community Special School</v>
          </cell>
          <cell r="F22690" t="str">
            <v>Special</v>
          </cell>
        </row>
        <row r="22691">
          <cell r="A22691">
            <v>8743374</v>
          </cell>
          <cell r="B22691">
            <v>110851</v>
          </cell>
          <cell r="C22691" t="str">
            <v>Peakirk-Cum-Glinton CofE Primary School</v>
          </cell>
          <cell r="D22691" t="str">
            <v>Peterborough</v>
          </cell>
          <cell r="E22691" t="str">
            <v>Voluntary Aided School</v>
          </cell>
          <cell r="F22691" t="str">
            <v>Primary</v>
          </cell>
        </row>
        <row r="22692">
          <cell r="A22692">
            <v>9106027</v>
          </cell>
          <cell r="B22692">
            <v>113012</v>
          </cell>
          <cell r="C22692" t="str">
            <v>Peaklands Preparatory School</v>
          </cell>
          <cell r="D22692" t="str">
            <v>Pre LGR (1997) Derbyshire</v>
          </cell>
          <cell r="E22692" t="str">
            <v>Other Independent School</v>
          </cell>
          <cell r="F22692" t="str">
            <v>Not applicable</v>
          </cell>
        </row>
        <row r="22693">
          <cell r="A22693">
            <v>8312423</v>
          </cell>
          <cell r="B22693">
            <v>112727</v>
          </cell>
          <cell r="C22693" t="str">
            <v>Pear Tree Community Junior School</v>
          </cell>
          <cell r="D22693" t="str">
            <v>Derby</v>
          </cell>
          <cell r="E22693" t="str">
            <v>Community School</v>
          </cell>
          <cell r="F22693" t="str">
            <v>Primary</v>
          </cell>
        </row>
        <row r="22694">
          <cell r="A22694">
            <v>8602270</v>
          </cell>
          <cell r="B22694">
            <v>124123</v>
          </cell>
          <cell r="C22694" t="str">
            <v>Pear Tree Community Primary School</v>
          </cell>
          <cell r="D22694" t="str">
            <v>Staffordshire</v>
          </cell>
          <cell r="E22694" t="str">
            <v>Community School</v>
          </cell>
          <cell r="F22694" t="str">
            <v>Primary</v>
          </cell>
        </row>
        <row r="22695">
          <cell r="A22695">
            <v>8312424</v>
          </cell>
          <cell r="B22695">
            <v>112728</v>
          </cell>
          <cell r="C22695" t="str">
            <v>Pear Tree Infant School</v>
          </cell>
          <cell r="D22695" t="str">
            <v>Derby</v>
          </cell>
          <cell r="E22695" t="str">
            <v>Community School</v>
          </cell>
          <cell r="F22695" t="str">
            <v>Primary</v>
          </cell>
        </row>
        <row r="22696">
          <cell r="A22696">
            <v>8812785</v>
          </cell>
          <cell r="B22696">
            <v>114994</v>
          </cell>
          <cell r="C22696" t="str">
            <v>Pear Tree Mead Primary and Nursery School</v>
          </cell>
          <cell r="D22696" t="str">
            <v>Essex</v>
          </cell>
          <cell r="E22696" t="str">
            <v>Community School</v>
          </cell>
          <cell r="F22696" t="str">
            <v>Primary</v>
          </cell>
        </row>
        <row r="22697">
          <cell r="A22697">
            <v>8952011</v>
          </cell>
          <cell r="B22697">
            <v>134106</v>
          </cell>
          <cell r="C22697" t="str">
            <v>Pear Tree Primary School</v>
          </cell>
          <cell r="D22697" t="str">
            <v>Cheshire East</v>
          </cell>
          <cell r="E22697" t="str">
            <v>Community School</v>
          </cell>
          <cell r="F22697" t="str">
            <v>Primary</v>
          </cell>
        </row>
        <row r="22698">
          <cell r="A22698">
            <v>8416003</v>
          </cell>
          <cell r="B22698">
            <v>135113</v>
          </cell>
          <cell r="C22698" t="str">
            <v>Pear Tree School</v>
          </cell>
          <cell r="D22698" t="str">
            <v>Darlington</v>
          </cell>
          <cell r="E22698" t="str">
            <v>Other Independent Special School</v>
          </cell>
          <cell r="F22698" t="str">
            <v>Not applicable</v>
          </cell>
        </row>
        <row r="22699">
          <cell r="A22699">
            <v>8816232</v>
          </cell>
          <cell r="B22699">
            <v>136188</v>
          </cell>
          <cell r="C22699" t="str">
            <v>Pear Trees</v>
          </cell>
          <cell r="D22699" t="str">
            <v>Essex</v>
          </cell>
          <cell r="E22699" t="str">
            <v>Other Independent Special School</v>
          </cell>
          <cell r="F22699" t="str">
            <v>Not applicable</v>
          </cell>
        </row>
        <row r="22700">
          <cell r="A22700">
            <v>3032029</v>
          </cell>
          <cell r="B22700">
            <v>101418</v>
          </cell>
          <cell r="C22700" t="str">
            <v>Peareswood Primary School</v>
          </cell>
          <cell r="D22700" t="str">
            <v>Bexley</v>
          </cell>
          <cell r="E22700" t="str">
            <v>Community School</v>
          </cell>
          <cell r="F22700" t="str">
            <v>Primary</v>
          </cell>
        </row>
        <row r="22701">
          <cell r="A22701">
            <v>3032029</v>
          </cell>
          <cell r="B22701">
            <v>137417</v>
          </cell>
          <cell r="C22701" t="str">
            <v>Peareswood Primary School</v>
          </cell>
          <cell r="D22701" t="str">
            <v>Bexley</v>
          </cell>
          <cell r="E22701" t="str">
            <v>Academy Converters</v>
          </cell>
          <cell r="F22701" t="str">
            <v>Primary</v>
          </cell>
        </row>
        <row r="22702">
          <cell r="A22702">
            <v>3312117</v>
          </cell>
          <cell r="B22702">
            <v>103670</v>
          </cell>
          <cell r="C22702" t="str">
            <v>Pearl Hyde Community Primary School</v>
          </cell>
          <cell r="D22702" t="str">
            <v>Coventry</v>
          </cell>
          <cell r="E22702" t="str">
            <v>Community School</v>
          </cell>
          <cell r="F22702" t="str">
            <v>Primary</v>
          </cell>
        </row>
        <row r="22703">
          <cell r="A22703">
            <v>9204497</v>
          </cell>
          <cell r="B22703">
            <v>129323</v>
          </cell>
          <cell r="C22703" t="str">
            <v>Pearson Junior High School</v>
          </cell>
          <cell r="D22703" t="str">
            <v>Pre LGR (1996) Humberside</v>
          </cell>
          <cell r="E22703" t="str">
            <v>Community School</v>
          </cell>
          <cell r="F22703" t="str">
            <v>Secondary</v>
          </cell>
        </row>
        <row r="22704">
          <cell r="A22704">
            <v>8102905</v>
          </cell>
          <cell r="B22704">
            <v>117932</v>
          </cell>
          <cell r="C22704" t="str">
            <v>Pearson Primary School</v>
          </cell>
          <cell r="D22704" t="str">
            <v>Kingston upon Hull City of</v>
          </cell>
          <cell r="E22704" t="str">
            <v>Community School</v>
          </cell>
          <cell r="F22704" t="str">
            <v>Primary</v>
          </cell>
        </row>
        <row r="22705">
          <cell r="A22705">
            <v>9192140</v>
          </cell>
          <cell r="B22705">
            <v>117172</v>
          </cell>
          <cell r="C22705" t="str">
            <v>Peartree Primary School</v>
          </cell>
          <cell r="D22705" t="str">
            <v>Hertfordshire</v>
          </cell>
          <cell r="E22705" t="str">
            <v>Community School</v>
          </cell>
          <cell r="F22705" t="str">
            <v>Primary</v>
          </cell>
        </row>
        <row r="22706">
          <cell r="A22706">
            <v>9192198</v>
          </cell>
          <cell r="B22706">
            <v>117206</v>
          </cell>
          <cell r="C22706" t="str">
            <v>Peartree Spring Infant School</v>
          </cell>
          <cell r="D22706" t="str">
            <v>Hertfordshire</v>
          </cell>
          <cell r="E22706" t="str">
            <v>Community School</v>
          </cell>
          <cell r="F22706" t="str">
            <v>Primary</v>
          </cell>
        </row>
        <row r="22707">
          <cell r="A22707">
            <v>9192197</v>
          </cell>
          <cell r="B22707">
            <v>117205</v>
          </cell>
          <cell r="C22707" t="str">
            <v>Peartree Spring Junior School</v>
          </cell>
          <cell r="D22707" t="str">
            <v>Hertfordshire</v>
          </cell>
          <cell r="E22707" t="str">
            <v>Community School</v>
          </cell>
          <cell r="F22707" t="str">
            <v>Primary</v>
          </cell>
        </row>
        <row r="22708">
          <cell r="A22708">
            <v>9191022</v>
          </cell>
          <cell r="B22708">
            <v>117080</v>
          </cell>
          <cell r="C22708" t="str">
            <v>Peartree Way Nursery School</v>
          </cell>
          <cell r="D22708" t="str">
            <v>Hertfordshire</v>
          </cell>
          <cell r="E22708" t="str">
            <v>LA Nursery School</v>
          </cell>
          <cell r="F22708" t="str">
            <v>Nursery</v>
          </cell>
        </row>
        <row r="22709">
          <cell r="A22709">
            <v>8002244</v>
          </cell>
          <cell r="B22709">
            <v>109067</v>
          </cell>
          <cell r="C22709" t="str">
            <v>Peasedown St John Primary School</v>
          </cell>
          <cell r="D22709" t="str">
            <v>Bath and North East Somerset</v>
          </cell>
          <cell r="E22709" t="str">
            <v>Community School</v>
          </cell>
          <cell r="F22709" t="str">
            <v>Primary</v>
          </cell>
        </row>
        <row r="22710">
          <cell r="A22710">
            <v>9352102</v>
          </cell>
          <cell r="B22710">
            <v>124603</v>
          </cell>
          <cell r="C22710" t="str">
            <v>Peasenhall Primary School</v>
          </cell>
          <cell r="D22710" t="str">
            <v>Suffolk</v>
          </cell>
          <cell r="E22710" t="str">
            <v>Community School</v>
          </cell>
          <cell r="F22710" t="str">
            <v>Primary</v>
          </cell>
        </row>
        <row r="22711">
          <cell r="A22711">
            <v>8402311</v>
          </cell>
          <cell r="B22711">
            <v>114058</v>
          </cell>
          <cell r="C22711" t="str">
            <v>Peases West Primary School</v>
          </cell>
          <cell r="D22711" t="str">
            <v>Durham</v>
          </cell>
          <cell r="E22711" t="str">
            <v>Community School</v>
          </cell>
          <cell r="F22711" t="str">
            <v>Primary</v>
          </cell>
        </row>
        <row r="22712">
          <cell r="A22712">
            <v>9363396</v>
          </cell>
          <cell r="B22712">
            <v>130084</v>
          </cell>
          <cell r="C22712" t="str">
            <v>Peaslake CofE First School</v>
          </cell>
          <cell r="D22712" t="str">
            <v>Surrey</v>
          </cell>
          <cell r="E22712" t="str">
            <v>Voluntary Aided School</v>
          </cell>
          <cell r="F22712" t="str">
            <v>Primary</v>
          </cell>
        </row>
        <row r="22713">
          <cell r="A22713">
            <v>9366572</v>
          </cell>
          <cell r="B22713">
            <v>125449</v>
          </cell>
          <cell r="C22713" t="str">
            <v>Peaslake School</v>
          </cell>
          <cell r="D22713" t="str">
            <v>Surrey</v>
          </cell>
          <cell r="E22713" t="str">
            <v>Other Independent School</v>
          </cell>
          <cell r="F22713" t="str">
            <v>Not applicable</v>
          </cell>
        </row>
        <row r="22714">
          <cell r="A22714">
            <v>8453049</v>
          </cell>
          <cell r="B22714">
            <v>114518</v>
          </cell>
          <cell r="C22714" t="str">
            <v>Peasmarsh Church of England Primary School</v>
          </cell>
          <cell r="D22714" t="str">
            <v>East Sussex</v>
          </cell>
          <cell r="E22714" t="str">
            <v>Voluntary Controlled School</v>
          </cell>
          <cell r="F22714" t="str">
            <v>Primary</v>
          </cell>
        </row>
        <row r="22715">
          <cell r="A22715">
            <v>8662001</v>
          </cell>
          <cell r="B22715">
            <v>131572</v>
          </cell>
          <cell r="C22715" t="str">
            <v>Peatmoor Community Primary School</v>
          </cell>
          <cell r="D22715" t="str">
            <v>Swindon</v>
          </cell>
          <cell r="E22715" t="str">
            <v>Community School</v>
          </cell>
          <cell r="F22715" t="str">
            <v>Primary</v>
          </cell>
        </row>
        <row r="22716">
          <cell r="A22716">
            <v>9062210</v>
          </cell>
          <cell r="B22716">
            <v>128407</v>
          </cell>
          <cell r="C22716" t="str">
            <v>Pebble Brook County Junior School</v>
          </cell>
          <cell r="D22716" t="str">
            <v>Pre LGR (1998) Cheshire</v>
          </cell>
          <cell r="E22716" t="str">
            <v>Community School</v>
          </cell>
          <cell r="F22716" t="str">
            <v>Primary</v>
          </cell>
        </row>
        <row r="22717">
          <cell r="A22717">
            <v>8952702</v>
          </cell>
          <cell r="B22717">
            <v>111219</v>
          </cell>
          <cell r="C22717" t="str">
            <v>Pebble Brook Primary School</v>
          </cell>
          <cell r="D22717" t="str">
            <v>Cheshire East</v>
          </cell>
          <cell r="E22717" t="str">
            <v>Community School</v>
          </cell>
          <cell r="F22717" t="str">
            <v>Primary</v>
          </cell>
        </row>
        <row r="22718">
          <cell r="A22718">
            <v>8257010</v>
          </cell>
          <cell r="B22718">
            <v>110576</v>
          </cell>
          <cell r="C22718" t="str">
            <v>Pebble Brook School</v>
          </cell>
          <cell r="D22718" t="str">
            <v>Buckinghamshire</v>
          </cell>
          <cell r="E22718" t="str">
            <v>Community Special School</v>
          </cell>
          <cell r="F22718" t="str">
            <v>Special</v>
          </cell>
        </row>
        <row r="22719">
          <cell r="A22719">
            <v>8452117</v>
          </cell>
          <cell r="B22719">
            <v>114445</v>
          </cell>
          <cell r="C22719" t="str">
            <v>Pebsham Community Primary School</v>
          </cell>
          <cell r="D22719" t="str">
            <v>East Sussex</v>
          </cell>
          <cell r="E22719" t="str">
            <v>Community School</v>
          </cell>
          <cell r="F22719" t="str">
            <v>Primary</v>
          </cell>
        </row>
        <row r="22720">
          <cell r="A22720">
            <v>8852118</v>
          </cell>
          <cell r="B22720">
            <v>116715</v>
          </cell>
          <cell r="C22720" t="str">
            <v>Pebworth First School</v>
          </cell>
          <cell r="D22720" t="str">
            <v>Worcestershire</v>
          </cell>
          <cell r="E22720" t="str">
            <v>Community School</v>
          </cell>
          <cell r="F22720" t="str">
            <v>Primary</v>
          </cell>
        </row>
        <row r="22721">
          <cell r="A22721">
            <v>2102461</v>
          </cell>
          <cell r="B22721">
            <v>100805</v>
          </cell>
          <cell r="C22721" t="str">
            <v>Peckham Park Infant School</v>
          </cell>
          <cell r="D22721" t="str">
            <v>Southwark</v>
          </cell>
          <cell r="E22721" t="str">
            <v>Community School</v>
          </cell>
          <cell r="F22721" t="str">
            <v>Primary</v>
          </cell>
        </row>
        <row r="22722">
          <cell r="A22722">
            <v>2102460</v>
          </cell>
          <cell r="B22722">
            <v>100804</v>
          </cell>
          <cell r="C22722" t="str">
            <v>Peckham Park Junior School</v>
          </cell>
          <cell r="D22722" t="str">
            <v>Southwark</v>
          </cell>
          <cell r="E22722" t="str">
            <v>Community School</v>
          </cell>
          <cell r="F22722" t="str">
            <v>Primary</v>
          </cell>
        </row>
        <row r="22723">
          <cell r="A22723">
            <v>2102857</v>
          </cell>
          <cell r="B22723">
            <v>130917</v>
          </cell>
          <cell r="C22723" t="str">
            <v>Peckham Park Primary School</v>
          </cell>
          <cell r="D22723" t="str">
            <v>Southwark</v>
          </cell>
          <cell r="E22723" t="str">
            <v>Community School</v>
          </cell>
          <cell r="F22723" t="str">
            <v>Primary</v>
          </cell>
        </row>
        <row r="22724">
          <cell r="A22724">
            <v>2102857</v>
          </cell>
          <cell r="B22724">
            <v>137413</v>
          </cell>
          <cell r="C22724" t="str">
            <v>Peckham Park Primary School</v>
          </cell>
          <cell r="D22724" t="str">
            <v>Southwark</v>
          </cell>
          <cell r="E22724" t="str">
            <v>Academy Converters</v>
          </cell>
          <cell r="F22724" t="str">
            <v>Primary</v>
          </cell>
        </row>
        <row r="22725">
          <cell r="A22725">
            <v>2102462</v>
          </cell>
          <cell r="B22725">
            <v>100806</v>
          </cell>
          <cell r="C22725" t="str">
            <v>Peckham Rye Primary School</v>
          </cell>
          <cell r="D22725" t="str">
            <v>Southwark</v>
          </cell>
          <cell r="E22725" t="str">
            <v>Community School</v>
          </cell>
          <cell r="F22725" t="str">
            <v>Primary</v>
          </cell>
        </row>
        <row r="22726">
          <cell r="A22726">
            <v>8556029</v>
          </cell>
          <cell r="B22726">
            <v>135833</v>
          </cell>
          <cell r="C22726" t="str">
            <v>Peckleton School</v>
          </cell>
          <cell r="D22726" t="str">
            <v>Leicestershire</v>
          </cell>
          <cell r="E22726" t="str">
            <v>Other Independent Special School</v>
          </cell>
          <cell r="F22726" t="str">
            <v>Not applicable</v>
          </cell>
        </row>
        <row r="22727">
          <cell r="A22727">
            <v>8732094</v>
          </cell>
          <cell r="B22727">
            <v>110652</v>
          </cell>
          <cell r="C22727" t="str">
            <v>Peckover Primary School</v>
          </cell>
          <cell r="D22727" t="str">
            <v>Cambridgeshire</v>
          </cell>
          <cell r="E22727" t="str">
            <v>Community School</v>
          </cell>
          <cell r="F22727" t="str">
            <v>Primary</v>
          </cell>
        </row>
        <row r="22728">
          <cell r="A22728">
            <v>3323354</v>
          </cell>
          <cell r="B22728">
            <v>103848</v>
          </cell>
          <cell r="C22728" t="str">
            <v>Pedmore CE Primary School</v>
          </cell>
          <cell r="D22728" t="str">
            <v>Dudley</v>
          </cell>
          <cell r="E22728" t="str">
            <v>Voluntary Aided School</v>
          </cell>
          <cell r="F22728" t="str">
            <v>Primary</v>
          </cell>
        </row>
        <row r="22729">
          <cell r="A22729">
            <v>3324105</v>
          </cell>
          <cell r="B22729">
            <v>103859</v>
          </cell>
          <cell r="C22729" t="str">
            <v>Pedmore Technology College and Community School</v>
          </cell>
          <cell r="D22729" t="str">
            <v>Dudley</v>
          </cell>
          <cell r="E22729" t="str">
            <v>Foundation School</v>
          </cell>
          <cell r="F22729" t="str">
            <v>Secondary</v>
          </cell>
        </row>
        <row r="22730">
          <cell r="A22730">
            <v>3515200</v>
          </cell>
          <cell r="B22730">
            <v>105368</v>
          </cell>
          <cell r="C22730" t="str">
            <v>Peel Brow School</v>
          </cell>
          <cell r="D22730" t="str">
            <v>Bury</v>
          </cell>
          <cell r="E22730" t="str">
            <v>Foundation School</v>
          </cell>
          <cell r="F22730" t="str">
            <v>Primary</v>
          </cell>
        </row>
        <row r="22731">
          <cell r="A22731">
            <v>7052052</v>
          </cell>
          <cell r="B22731">
            <v>132462</v>
          </cell>
          <cell r="C22731" t="str">
            <v>Peel Clothworkers Primary School</v>
          </cell>
          <cell r="D22731" t="str">
            <v>Isle of Man Offshore Establishments</v>
          </cell>
          <cell r="E22731" t="str">
            <v>Offshore Schools</v>
          </cell>
          <cell r="F22731" t="str">
            <v>Not applicable</v>
          </cell>
        </row>
        <row r="22732">
          <cell r="A22732">
            <v>8502622</v>
          </cell>
          <cell r="B22732">
            <v>116173</v>
          </cell>
          <cell r="C22732" t="str">
            <v>Peel Common Infant School and Nursery Unit</v>
          </cell>
          <cell r="D22732" t="str">
            <v>Hampshire</v>
          </cell>
          <cell r="E22732" t="str">
            <v>Community School</v>
          </cell>
          <cell r="F22732" t="str">
            <v>Primary</v>
          </cell>
        </row>
        <row r="22733">
          <cell r="A22733">
            <v>8502624</v>
          </cell>
          <cell r="B22733">
            <v>116175</v>
          </cell>
          <cell r="C22733" t="str">
            <v>Peel Common Junior School</v>
          </cell>
          <cell r="D22733" t="str">
            <v>Hampshire</v>
          </cell>
          <cell r="E22733" t="str">
            <v>Community School</v>
          </cell>
          <cell r="F22733" t="str">
            <v>Primary</v>
          </cell>
        </row>
        <row r="22734">
          <cell r="A22734">
            <v>3522300</v>
          </cell>
          <cell r="B22734">
            <v>105468</v>
          </cell>
          <cell r="C22734" t="str">
            <v>Peel Hall Primary School</v>
          </cell>
          <cell r="D22734" t="str">
            <v>Manchester</v>
          </cell>
          <cell r="E22734" t="str">
            <v>Community School</v>
          </cell>
          <cell r="F22734" t="str">
            <v>Primary</v>
          </cell>
        </row>
        <row r="22735">
          <cell r="A22735">
            <v>3552074</v>
          </cell>
          <cell r="B22735">
            <v>105913</v>
          </cell>
          <cell r="C22735" t="str">
            <v>Peel Hall Primary School</v>
          </cell>
          <cell r="D22735" t="str">
            <v>Salford</v>
          </cell>
          <cell r="E22735" t="str">
            <v>Community School</v>
          </cell>
          <cell r="F22735" t="str">
            <v>Primary</v>
          </cell>
        </row>
        <row r="22736">
          <cell r="A22736">
            <v>3803377</v>
          </cell>
          <cell r="B22736">
            <v>101494</v>
          </cell>
          <cell r="C22736" t="str">
            <v>Peel Park Primary School</v>
          </cell>
          <cell r="D22736" t="str">
            <v>Bradford</v>
          </cell>
          <cell r="E22736" t="str">
            <v>Community School</v>
          </cell>
          <cell r="F22736" t="str">
            <v>Primary</v>
          </cell>
        </row>
        <row r="22737">
          <cell r="A22737">
            <v>3832294</v>
          </cell>
          <cell r="B22737">
            <v>127885</v>
          </cell>
          <cell r="C22737" t="str">
            <v>Peel Street Infant School</v>
          </cell>
          <cell r="D22737" t="str">
            <v>Leeds</v>
          </cell>
          <cell r="E22737" t="str">
            <v>Community School</v>
          </cell>
          <cell r="F22737" t="str">
            <v>Primary</v>
          </cell>
        </row>
        <row r="22738">
          <cell r="A22738">
            <v>9266132</v>
          </cell>
          <cell r="B22738">
            <v>129640</v>
          </cell>
          <cell r="C22738" t="str">
            <v>Peele House</v>
          </cell>
          <cell r="D22738" t="str">
            <v>Norfolk</v>
          </cell>
          <cell r="E22738" t="str">
            <v>Other Independent School</v>
          </cell>
          <cell r="F22738" t="str">
            <v>Not applicable</v>
          </cell>
        </row>
        <row r="22739">
          <cell r="A22739">
            <v>9314074</v>
          </cell>
          <cell r="B22739">
            <v>123242</v>
          </cell>
          <cell r="C22739" t="str">
            <v>Peers School</v>
          </cell>
          <cell r="D22739" t="str">
            <v>Oxfordshire</v>
          </cell>
          <cell r="E22739" t="str">
            <v>Community School</v>
          </cell>
          <cell r="F22739" t="str">
            <v>Secondary</v>
          </cell>
        </row>
        <row r="22740">
          <cell r="A22740">
            <v>3302452</v>
          </cell>
          <cell r="B22740">
            <v>103379</v>
          </cell>
          <cell r="C22740" t="str">
            <v>Pegasus Primary School</v>
          </cell>
          <cell r="D22740" t="str">
            <v>Birmingham</v>
          </cell>
          <cell r="E22740" t="str">
            <v>Community School</v>
          </cell>
          <cell r="F22740" t="str">
            <v>Primary</v>
          </cell>
        </row>
        <row r="22741">
          <cell r="A22741">
            <v>9312593</v>
          </cell>
          <cell r="B22741">
            <v>123078</v>
          </cell>
          <cell r="C22741" t="str">
            <v>Pegasus School</v>
          </cell>
          <cell r="D22741" t="str">
            <v>Oxfordshire</v>
          </cell>
          <cell r="E22741" t="str">
            <v>Community School</v>
          </cell>
          <cell r="F22741" t="str">
            <v>Primary</v>
          </cell>
        </row>
        <row r="22742">
          <cell r="A22742">
            <v>8306024</v>
          </cell>
          <cell r="B22742">
            <v>132120</v>
          </cell>
          <cell r="C22742" t="str">
            <v>Pegasus School</v>
          </cell>
          <cell r="D22742" t="str">
            <v>Derbyshire</v>
          </cell>
          <cell r="E22742" t="str">
            <v>Other Independent Special School</v>
          </cell>
          <cell r="F22742" t="str">
            <v>Not applicable</v>
          </cell>
        </row>
        <row r="22743">
          <cell r="A22743">
            <v>9292212</v>
          </cell>
          <cell r="B22743">
            <v>122216</v>
          </cell>
          <cell r="C22743" t="str">
            <v>Pegswood First School</v>
          </cell>
          <cell r="D22743" t="str">
            <v>Northumberland</v>
          </cell>
          <cell r="E22743" t="str">
            <v>Community School</v>
          </cell>
          <cell r="F22743" t="str">
            <v>Primary</v>
          </cell>
        </row>
        <row r="22744">
          <cell r="A22744">
            <v>3032013</v>
          </cell>
          <cell r="B22744">
            <v>133245</v>
          </cell>
          <cell r="C22744" t="str">
            <v>Pelham Infant School</v>
          </cell>
          <cell r="D22744" t="str">
            <v>Bexley</v>
          </cell>
          <cell r="E22744" t="str">
            <v>Community School</v>
          </cell>
          <cell r="F22744" t="str">
            <v>Primary</v>
          </cell>
        </row>
        <row r="22745">
          <cell r="A22745">
            <v>8122144</v>
          </cell>
          <cell r="B22745">
            <v>117757</v>
          </cell>
          <cell r="C22745" t="str">
            <v>Pelham Infants' School</v>
          </cell>
          <cell r="D22745" t="str">
            <v>North East Lincolnshire</v>
          </cell>
          <cell r="E22745" t="str">
            <v>Community School</v>
          </cell>
          <cell r="F22745" t="str">
            <v>Primary</v>
          </cell>
        </row>
        <row r="22746">
          <cell r="A22746">
            <v>3032012</v>
          </cell>
          <cell r="B22746">
            <v>101410</v>
          </cell>
          <cell r="C22746" t="str">
            <v>Pelham Primary School</v>
          </cell>
          <cell r="D22746" t="str">
            <v>Bexley</v>
          </cell>
          <cell r="E22746" t="str">
            <v>Community School</v>
          </cell>
          <cell r="F22746" t="str">
            <v>Primary</v>
          </cell>
        </row>
        <row r="22747">
          <cell r="A22747">
            <v>3152070</v>
          </cell>
          <cell r="B22747">
            <v>102642</v>
          </cell>
          <cell r="C22747" t="str">
            <v>Pelham Primary School</v>
          </cell>
          <cell r="D22747" t="str">
            <v>Merton</v>
          </cell>
          <cell r="E22747" t="str">
            <v>Community School</v>
          </cell>
          <cell r="F22747" t="str">
            <v>Primary</v>
          </cell>
        </row>
        <row r="22748">
          <cell r="A22748">
            <v>8453094</v>
          </cell>
          <cell r="B22748">
            <v>114536</v>
          </cell>
          <cell r="C22748" t="str">
            <v>Pells Church of England Primary School</v>
          </cell>
          <cell r="D22748" t="str">
            <v>East Sussex</v>
          </cell>
          <cell r="E22748" t="str">
            <v>Voluntary Controlled School</v>
          </cell>
          <cell r="F22748" t="str">
            <v>Primary</v>
          </cell>
        </row>
        <row r="22749">
          <cell r="A22749">
            <v>9143039</v>
          </cell>
          <cell r="B22749">
            <v>128841</v>
          </cell>
          <cell r="C22749" t="str">
            <v>Pells CofE Infant School</v>
          </cell>
          <cell r="D22749" t="str">
            <v>Pre LGR (1997) East Sussex</v>
          </cell>
          <cell r="E22749" t="str">
            <v>Voluntary Controlled School</v>
          </cell>
          <cell r="F22749" t="str">
            <v>Primary</v>
          </cell>
        </row>
        <row r="22750">
          <cell r="A22750">
            <v>9143038</v>
          </cell>
          <cell r="B22750">
            <v>128840</v>
          </cell>
          <cell r="C22750" t="str">
            <v>Pells CofE Junior School</v>
          </cell>
          <cell r="D22750" t="str">
            <v>Pre LGR (1997) East Sussex</v>
          </cell>
          <cell r="E22750" t="str">
            <v>Voluntary Controlled School</v>
          </cell>
          <cell r="F22750" t="str">
            <v>Primary</v>
          </cell>
        </row>
        <row r="22751">
          <cell r="A22751">
            <v>3354052</v>
          </cell>
          <cell r="B22751">
            <v>127200</v>
          </cell>
          <cell r="C22751" t="str">
            <v>Pelsall Community School</v>
          </cell>
          <cell r="D22751" t="str">
            <v>Walsall</v>
          </cell>
          <cell r="E22751" t="str">
            <v>Community School</v>
          </cell>
          <cell r="F22751" t="str">
            <v>Secondary</v>
          </cell>
        </row>
        <row r="22752">
          <cell r="A22752">
            <v>3352202</v>
          </cell>
          <cell r="B22752">
            <v>127190</v>
          </cell>
          <cell r="C22752" t="str">
            <v>Pelsall Infant School</v>
          </cell>
          <cell r="D22752" t="str">
            <v>Walsall</v>
          </cell>
          <cell r="E22752" t="str">
            <v>Community School</v>
          </cell>
          <cell r="F22752" t="str">
            <v>Primary</v>
          </cell>
        </row>
        <row r="22753">
          <cell r="A22753">
            <v>3352201</v>
          </cell>
          <cell r="B22753">
            <v>127189</v>
          </cell>
          <cell r="C22753" t="str">
            <v>Pelsall Junior School</v>
          </cell>
          <cell r="D22753" t="str">
            <v>Walsall</v>
          </cell>
          <cell r="E22753" t="str">
            <v>Community School</v>
          </cell>
          <cell r="F22753" t="str">
            <v>Primary</v>
          </cell>
        </row>
        <row r="22754">
          <cell r="A22754">
            <v>3352237</v>
          </cell>
          <cell r="B22754">
            <v>104214</v>
          </cell>
          <cell r="C22754" t="str">
            <v>Pelsall Village School</v>
          </cell>
          <cell r="D22754" t="str">
            <v>Walsall</v>
          </cell>
          <cell r="E22754" t="str">
            <v>Community School</v>
          </cell>
          <cell r="F22754" t="str">
            <v>Primary</v>
          </cell>
        </row>
        <row r="22755">
          <cell r="A22755">
            <v>8402005</v>
          </cell>
          <cell r="B22755">
            <v>134078</v>
          </cell>
          <cell r="C22755" t="str">
            <v>Pelton Community Primary School</v>
          </cell>
          <cell r="D22755" t="str">
            <v>Durham</v>
          </cell>
          <cell r="E22755" t="str">
            <v>Community School</v>
          </cell>
          <cell r="F22755" t="str">
            <v>Primary</v>
          </cell>
        </row>
        <row r="22756">
          <cell r="A22756">
            <v>8402128</v>
          </cell>
          <cell r="B22756">
            <v>114011</v>
          </cell>
          <cell r="C22756" t="str">
            <v>Pelton Infant School</v>
          </cell>
          <cell r="D22756" t="str">
            <v>Durham</v>
          </cell>
          <cell r="E22756" t="str">
            <v>Community School</v>
          </cell>
          <cell r="F22756" t="str">
            <v>Primary</v>
          </cell>
        </row>
        <row r="22757">
          <cell r="A22757">
            <v>8402127</v>
          </cell>
          <cell r="B22757">
            <v>114010</v>
          </cell>
          <cell r="C22757" t="str">
            <v>Pelton Junior School</v>
          </cell>
          <cell r="D22757" t="str">
            <v>Durham</v>
          </cell>
          <cell r="E22757" t="str">
            <v>Community School</v>
          </cell>
          <cell r="F22757" t="str">
            <v>Primary</v>
          </cell>
        </row>
        <row r="22758">
          <cell r="A22758">
            <v>9082737</v>
          </cell>
          <cell r="B22758">
            <v>111976</v>
          </cell>
          <cell r="C22758" t="str">
            <v>Pelynt School</v>
          </cell>
          <cell r="D22758" t="str">
            <v>Cornwall</v>
          </cell>
          <cell r="E22758" t="str">
            <v>Community School</v>
          </cell>
          <cell r="F22758" t="str">
            <v>Primary</v>
          </cell>
        </row>
        <row r="22759">
          <cell r="A22759">
            <v>3594008</v>
          </cell>
          <cell r="B22759">
            <v>106520</v>
          </cell>
          <cell r="C22759" t="str">
            <v>PEMBEC High School</v>
          </cell>
          <cell r="D22759" t="str">
            <v>Wigan</v>
          </cell>
          <cell r="E22759" t="str">
            <v>Community School</v>
          </cell>
          <cell r="F22759" t="str">
            <v>Secondary</v>
          </cell>
        </row>
        <row r="22760">
          <cell r="A22760">
            <v>9284026</v>
          </cell>
          <cell r="B22760">
            <v>129696</v>
          </cell>
          <cell r="C22760" t="str">
            <v>Pemberton Boys' School</v>
          </cell>
          <cell r="D22760" t="str">
            <v>Northamptonshire</v>
          </cell>
          <cell r="E22760" t="str">
            <v>Community School</v>
          </cell>
          <cell r="F22760" t="str">
            <v>Secondary</v>
          </cell>
        </row>
        <row r="22761">
          <cell r="A22761">
            <v>3592002</v>
          </cell>
          <cell r="B22761">
            <v>106400</v>
          </cell>
          <cell r="C22761" t="str">
            <v>Pemberton Primary and Nursery School</v>
          </cell>
          <cell r="D22761" t="str">
            <v>Wigan</v>
          </cell>
          <cell r="E22761" t="str">
            <v>Community School</v>
          </cell>
          <cell r="F22761" t="str">
            <v>Primary</v>
          </cell>
        </row>
        <row r="22762">
          <cell r="A22762">
            <v>6692178</v>
          </cell>
          <cell r="B22762">
            <v>400816</v>
          </cell>
          <cell r="C22762" t="str">
            <v>Pembrey C.P. School</v>
          </cell>
          <cell r="D22762" t="str">
            <v>Carmarthenshire</v>
          </cell>
          <cell r="E22762" t="str">
            <v>Welsh Establishment</v>
          </cell>
          <cell r="F22762" t="str">
            <v>Primary</v>
          </cell>
        </row>
        <row r="22763">
          <cell r="A22763">
            <v>8843366</v>
          </cell>
          <cell r="B22763">
            <v>116906</v>
          </cell>
          <cell r="C22763" t="str">
            <v>Pembridge CofE Primary School</v>
          </cell>
          <cell r="D22763" t="str">
            <v>Herefordshire</v>
          </cell>
          <cell r="E22763" t="str">
            <v>Voluntary Aided School</v>
          </cell>
          <cell r="F22763" t="str">
            <v>Primary</v>
          </cell>
        </row>
        <row r="22764">
          <cell r="A22764">
            <v>2076303</v>
          </cell>
          <cell r="B22764">
            <v>100531</v>
          </cell>
          <cell r="C22764" t="str">
            <v>Pembridge Hall School</v>
          </cell>
          <cell r="D22764" t="str">
            <v>Kensington and Chelsea</v>
          </cell>
          <cell r="E22764" t="str">
            <v>Other Independent School</v>
          </cell>
          <cell r="F22764" t="str">
            <v>Not applicable</v>
          </cell>
        </row>
        <row r="22765">
          <cell r="A22765">
            <v>6682386</v>
          </cell>
          <cell r="B22765">
            <v>400701</v>
          </cell>
          <cell r="C22765" t="str">
            <v>Pembroke Dock CP School</v>
          </cell>
          <cell r="D22765" t="str">
            <v>Pembrokeshire</v>
          </cell>
          <cell r="E22765" t="str">
            <v>Welsh Establishment</v>
          </cell>
          <cell r="F22765" t="str">
            <v>Primary</v>
          </cell>
        </row>
        <row r="22766">
          <cell r="A22766">
            <v>8652192</v>
          </cell>
          <cell r="B22766">
            <v>126266</v>
          </cell>
          <cell r="C22766" t="str">
            <v>Pembroke Park Primary School</v>
          </cell>
          <cell r="D22766" t="str">
            <v>Wiltshire</v>
          </cell>
          <cell r="E22766" t="str">
            <v>Community School</v>
          </cell>
          <cell r="F22766" t="str">
            <v>Primary</v>
          </cell>
        </row>
        <row r="22767">
          <cell r="A22767">
            <v>6792228</v>
          </cell>
          <cell r="B22767">
            <v>401473</v>
          </cell>
          <cell r="C22767" t="str">
            <v>Pembroke Primary School</v>
          </cell>
          <cell r="D22767" t="str">
            <v>Monmouthshire</v>
          </cell>
          <cell r="E22767" t="str">
            <v>Welsh Establishment</v>
          </cell>
          <cell r="F22767" t="str">
            <v>Primary</v>
          </cell>
        </row>
        <row r="22768">
          <cell r="A22768">
            <v>6684038</v>
          </cell>
          <cell r="B22768">
            <v>401744</v>
          </cell>
          <cell r="C22768" t="str">
            <v>Pembroke School/ Ysgol Penfro</v>
          </cell>
          <cell r="D22768" t="str">
            <v>Pembrokeshire</v>
          </cell>
          <cell r="E22768" t="str">
            <v>Welsh Establishment</v>
          </cell>
          <cell r="F22768" t="str">
            <v>Secondary</v>
          </cell>
        </row>
        <row r="22769">
          <cell r="A22769">
            <v>6681104</v>
          </cell>
          <cell r="B22769">
            <v>401945</v>
          </cell>
          <cell r="C22769" t="str">
            <v>Pembrokeshire Pupil Referral Service</v>
          </cell>
          <cell r="D22769" t="str">
            <v>Pembrokeshire</v>
          </cell>
          <cell r="E22769" t="str">
            <v>Welsh Establishment</v>
          </cell>
          <cell r="F22769" t="str">
            <v>Not applicable</v>
          </cell>
        </row>
        <row r="22770">
          <cell r="A22770">
            <v>3091000</v>
          </cell>
          <cell r="B22770">
            <v>102071</v>
          </cell>
          <cell r="C22770" t="str">
            <v>Pembury House Nursery School</v>
          </cell>
          <cell r="D22770" t="str">
            <v>Haringey</v>
          </cell>
          <cell r="E22770" t="str">
            <v>LA Nursery School</v>
          </cell>
          <cell r="F22770" t="str">
            <v>Nursery</v>
          </cell>
        </row>
        <row r="22771">
          <cell r="A22771">
            <v>8862139</v>
          </cell>
          <cell r="B22771">
            <v>118280</v>
          </cell>
          <cell r="C22771" t="str">
            <v>Pembury School</v>
          </cell>
          <cell r="D22771" t="str">
            <v>Kent</v>
          </cell>
          <cell r="E22771" t="str">
            <v>Community School</v>
          </cell>
          <cell r="F22771" t="str">
            <v>Primary</v>
          </cell>
        </row>
        <row r="22772">
          <cell r="A22772">
            <v>6715949</v>
          </cell>
          <cell r="B22772">
            <v>135855</v>
          </cell>
          <cell r="C22772" t="str">
            <v>Pen Afan Primary</v>
          </cell>
          <cell r="D22772" t="str">
            <v>Neath Port Talbot</v>
          </cell>
          <cell r="E22772" t="str">
            <v>Community School</v>
          </cell>
          <cell r="F22772" t="str">
            <v/>
          </cell>
        </row>
        <row r="22773">
          <cell r="A22773">
            <v>6712234</v>
          </cell>
          <cell r="B22773">
            <v>402223</v>
          </cell>
          <cell r="C22773" t="str">
            <v>Pen Afan Primary</v>
          </cell>
          <cell r="D22773" t="str">
            <v>Neath Port Talbot</v>
          </cell>
          <cell r="E22773" t="str">
            <v>Welsh Establishment</v>
          </cell>
          <cell r="F22773" t="str">
            <v>Primary</v>
          </cell>
        </row>
        <row r="22774">
          <cell r="A22774">
            <v>9281011</v>
          </cell>
          <cell r="B22774">
            <v>131232</v>
          </cell>
          <cell r="C22774" t="str">
            <v>Pen Green Centre for Children and Their Families</v>
          </cell>
          <cell r="D22774" t="str">
            <v>Northamptonshire</v>
          </cell>
          <cell r="E22774" t="str">
            <v>LA Nursery School</v>
          </cell>
          <cell r="F22774" t="str">
            <v>Nursery</v>
          </cell>
        </row>
        <row r="22775">
          <cell r="A22775">
            <v>9332312</v>
          </cell>
          <cell r="B22775">
            <v>123725</v>
          </cell>
          <cell r="C22775" t="str">
            <v>Pen Mill Infants' School</v>
          </cell>
          <cell r="D22775" t="str">
            <v>Somerset</v>
          </cell>
          <cell r="E22775" t="str">
            <v>Community School</v>
          </cell>
          <cell r="F22775" t="str">
            <v>Primary</v>
          </cell>
        </row>
        <row r="22776">
          <cell r="A22776">
            <v>8014041</v>
          </cell>
          <cell r="B22776">
            <v>109285</v>
          </cell>
          <cell r="C22776" t="str">
            <v>Pen Park School</v>
          </cell>
          <cell r="D22776" t="str">
            <v>Bristol City of</v>
          </cell>
          <cell r="E22776" t="str">
            <v>Community School</v>
          </cell>
          <cell r="F22776" t="str">
            <v>Secondary</v>
          </cell>
        </row>
        <row r="22777">
          <cell r="A22777">
            <v>6702219</v>
          </cell>
          <cell r="B22777">
            <v>400936</v>
          </cell>
          <cell r="C22777" t="str">
            <v>Pen Y Fro Primary</v>
          </cell>
          <cell r="D22777" t="str">
            <v>Swansea</v>
          </cell>
          <cell r="E22777" t="str">
            <v>Welsh Establishment</v>
          </cell>
          <cell r="F22777" t="str">
            <v>Primary</v>
          </cell>
        </row>
        <row r="22778">
          <cell r="A22778">
            <v>9084166</v>
          </cell>
          <cell r="B22778">
            <v>112060</v>
          </cell>
          <cell r="C22778" t="str">
            <v>Penair School A Science College</v>
          </cell>
          <cell r="D22778" t="str">
            <v>Cornwall</v>
          </cell>
          <cell r="E22778" t="str">
            <v>Foundation School</v>
          </cell>
          <cell r="F22778" t="str">
            <v>Secondary</v>
          </cell>
        </row>
        <row r="22779">
          <cell r="A22779">
            <v>9084166</v>
          </cell>
          <cell r="B22779">
            <v>136567</v>
          </cell>
          <cell r="C22779" t="str">
            <v>Penair School A Science College</v>
          </cell>
          <cell r="D22779" t="str">
            <v>Cornwall</v>
          </cell>
          <cell r="E22779" t="str">
            <v>Academy Converters</v>
          </cell>
          <cell r="F22779" t="str">
            <v>Secondary</v>
          </cell>
        </row>
        <row r="22780">
          <cell r="A22780">
            <v>6683047</v>
          </cell>
          <cell r="B22780">
            <v>400711</v>
          </cell>
          <cell r="C22780" t="str">
            <v>Penally V.C.P. School</v>
          </cell>
          <cell r="D22780" t="str">
            <v>Pembrokeshire</v>
          </cell>
          <cell r="E22780" t="str">
            <v>Welsh Establishment</v>
          </cell>
          <cell r="F22780" t="str">
            <v>Primary</v>
          </cell>
        </row>
        <row r="22781">
          <cell r="A22781">
            <v>6642093</v>
          </cell>
          <cell r="B22781">
            <v>400368</v>
          </cell>
          <cell r="C22781" t="str">
            <v>Penarlag C.P. School</v>
          </cell>
          <cell r="D22781" t="str">
            <v>Flintshire</v>
          </cell>
          <cell r="E22781" t="str">
            <v>Welsh Establishment</v>
          </cell>
          <cell r="F22781" t="str">
            <v>Primary</v>
          </cell>
        </row>
        <row r="22782">
          <cell r="A22782">
            <v>6733027</v>
          </cell>
          <cell r="B22782">
            <v>401119</v>
          </cell>
          <cell r="C22782" t="str">
            <v>Penarth C.I.W. Primary</v>
          </cell>
          <cell r="D22782" t="str">
            <v>The Vale of Glamorgan</v>
          </cell>
          <cell r="E22782" t="str">
            <v>Welsh Establishment</v>
          </cell>
          <cell r="F22782" t="str">
            <v>Not applicable</v>
          </cell>
        </row>
        <row r="22783">
          <cell r="A22783">
            <v>3566031</v>
          </cell>
          <cell r="B22783">
            <v>135526</v>
          </cell>
          <cell r="C22783" t="str">
            <v>Penarth Group School</v>
          </cell>
          <cell r="D22783" t="str">
            <v>Stockport</v>
          </cell>
          <cell r="E22783" t="str">
            <v>Other Independent School</v>
          </cell>
          <cell r="F22783" t="str">
            <v>Not applicable</v>
          </cell>
        </row>
        <row r="22784">
          <cell r="A22784">
            <v>6812327</v>
          </cell>
          <cell r="B22784">
            <v>402255</v>
          </cell>
          <cell r="C22784" t="str">
            <v>Pencaerau Primary school</v>
          </cell>
          <cell r="D22784" t="str">
            <v>Cardiff</v>
          </cell>
          <cell r="E22784" t="str">
            <v>Welsh Establishment</v>
          </cell>
          <cell r="F22784" t="str">
            <v>Primary</v>
          </cell>
        </row>
        <row r="22785">
          <cell r="A22785">
            <v>9087002</v>
          </cell>
          <cell r="B22785">
            <v>112084</v>
          </cell>
          <cell r="C22785" t="str">
            <v>Pencalenick School</v>
          </cell>
          <cell r="D22785" t="str">
            <v>Cornwall</v>
          </cell>
          <cell r="E22785" t="str">
            <v>Foundation Special School</v>
          </cell>
          <cell r="F22785" t="str">
            <v>Special</v>
          </cell>
        </row>
        <row r="22786">
          <cell r="A22786">
            <v>9087002</v>
          </cell>
          <cell r="B22786">
            <v>137478</v>
          </cell>
          <cell r="C22786" t="str">
            <v>Pencalenick School</v>
          </cell>
          <cell r="D22786" t="str">
            <v>Cornwall</v>
          </cell>
          <cell r="E22786" t="str">
            <v>Academy Converters</v>
          </cell>
          <cell r="F22786" t="str">
            <v>Not applicable</v>
          </cell>
        </row>
        <row r="22787">
          <cell r="A22787">
            <v>6702167</v>
          </cell>
          <cell r="B22787">
            <v>400922</v>
          </cell>
          <cell r="C22787" t="str">
            <v>Penclawdd Primary School</v>
          </cell>
          <cell r="D22787" t="str">
            <v>Swansea</v>
          </cell>
          <cell r="E22787" t="str">
            <v>Welsh Establishment</v>
          </cell>
          <cell r="F22787" t="str">
            <v>Primary</v>
          </cell>
        </row>
        <row r="22788">
          <cell r="A22788">
            <v>6724076</v>
          </cell>
          <cell r="B22788">
            <v>401793</v>
          </cell>
          <cell r="C22788" t="str">
            <v>Pencoed Comprehensive School</v>
          </cell>
          <cell r="D22788" t="str">
            <v>Bridgend</v>
          </cell>
          <cell r="E22788" t="str">
            <v>Welsh Establishment</v>
          </cell>
          <cell r="F22788" t="str">
            <v>Secondary</v>
          </cell>
        </row>
        <row r="22789">
          <cell r="A22789">
            <v>6722214</v>
          </cell>
          <cell r="B22789">
            <v>401051</v>
          </cell>
          <cell r="C22789" t="str">
            <v>Pencoed Infant School</v>
          </cell>
          <cell r="D22789" t="str">
            <v>Bridgend</v>
          </cell>
          <cell r="E22789" t="str">
            <v>Welsh Establishment</v>
          </cell>
          <cell r="F22789" t="str">
            <v>Primary</v>
          </cell>
        </row>
        <row r="22790">
          <cell r="A22790">
            <v>6722210</v>
          </cell>
          <cell r="B22790">
            <v>401050</v>
          </cell>
          <cell r="C22790" t="str">
            <v>Pencoed Junior School</v>
          </cell>
          <cell r="D22790" t="str">
            <v>Bridgend</v>
          </cell>
          <cell r="E22790" t="str">
            <v>Welsh Establishment</v>
          </cell>
          <cell r="F22790" t="str">
            <v>Primary</v>
          </cell>
        </row>
        <row r="22791">
          <cell r="A22791">
            <v>6721013</v>
          </cell>
          <cell r="B22791">
            <v>400006</v>
          </cell>
          <cell r="C22791" t="str">
            <v>Pencoed Nursery</v>
          </cell>
          <cell r="D22791" t="str">
            <v>Bridgend</v>
          </cell>
          <cell r="E22791" t="str">
            <v>Welsh Establishment</v>
          </cell>
          <cell r="F22791" t="str">
            <v>Not applicable</v>
          </cell>
        </row>
        <row r="22792">
          <cell r="A22792">
            <v>6722370</v>
          </cell>
          <cell r="B22792">
            <v>402208</v>
          </cell>
          <cell r="C22792" t="str">
            <v>Pencoed Primary School</v>
          </cell>
          <cell r="D22792" t="str">
            <v>Bridgend</v>
          </cell>
          <cell r="E22792" t="str">
            <v>Welsh Establishment</v>
          </cell>
          <cell r="F22792" t="str">
            <v>Primary</v>
          </cell>
        </row>
        <row r="22793">
          <cell r="A22793">
            <v>8843367</v>
          </cell>
          <cell r="B22793">
            <v>116907</v>
          </cell>
          <cell r="C22793" t="str">
            <v>Pencombe CofE Primary School</v>
          </cell>
          <cell r="D22793" t="str">
            <v>Herefordshire</v>
          </cell>
          <cell r="E22793" t="str">
            <v>Voluntary Aided School</v>
          </cell>
          <cell r="F22793" t="str">
            <v>Primary</v>
          </cell>
        </row>
        <row r="22794">
          <cell r="A22794">
            <v>9082758</v>
          </cell>
          <cell r="B22794">
            <v>133407</v>
          </cell>
          <cell r="C22794" t="str">
            <v>Pencoys Primary School</v>
          </cell>
          <cell r="D22794" t="str">
            <v>Cornwall</v>
          </cell>
          <cell r="E22794" t="str">
            <v>Community School</v>
          </cell>
          <cell r="F22794" t="str">
            <v>Primary</v>
          </cell>
        </row>
        <row r="22795">
          <cell r="A22795">
            <v>9082023</v>
          </cell>
          <cell r="B22795">
            <v>111802</v>
          </cell>
          <cell r="C22795" t="str">
            <v>Pendeen School</v>
          </cell>
          <cell r="D22795" t="str">
            <v>Cornwall</v>
          </cell>
          <cell r="E22795" t="str">
            <v>Community School</v>
          </cell>
          <cell r="F22795" t="str">
            <v>Primary</v>
          </cell>
        </row>
        <row r="22796">
          <cell r="A22796">
            <v>3364129</v>
          </cell>
          <cell r="B22796">
            <v>104391</v>
          </cell>
          <cell r="C22796" t="str">
            <v>Pendeford Business and Enterprise College</v>
          </cell>
          <cell r="D22796" t="str">
            <v>Wolverhampton</v>
          </cell>
          <cell r="E22796" t="str">
            <v>Community School</v>
          </cell>
          <cell r="F22796" t="str">
            <v>Secondary</v>
          </cell>
        </row>
        <row r="22797">
          <cell r="A22797">
            <v>6742044</v>
          </cell>
          <cell r="B22797">
            <v>401133</v>
          </cell>
          <cell r="C22797" t="str">
            <v>Penderyn Primary School</v>
          </cell>
          <cell r="D22797" t="str">
            <v>Rhondda, Cynon, Taff</v>
          </cell>
          <cell r="E22797" t="str">
            <v>Welsh Establishment</v>
          </cell>
          <cell r="F22797" t="str">
            <v>Primary</v>
          </cell>
        </row>
        <row r="22798">
          <cell r="A22798">
            <v>8887115</v>
          </cell>
          <cell r="B22798">
            <v>135015</v>
          </cell>
          <cell r="C22798" t="str">
            <v>Pendle Community High School &amp; College</v>
          </cell>
          <cell r="D22798" t="str">
            <v>Lancashire</v>
          </cell>
          <cell r="E22798" t="str">
            <v>Community Special School</v>
          </cell>
          <cell r="F22798" t="str">
            <v>Special</v>
          </cell>
        </row>
        <row r="22799">
          <cell r="A22799">
            <v>8884799</v>
          </cell>
          <cell r="B22799">
            <v>134989</v>
          </cell>
          <cell r="C22799" t="str">
            <v>Pendle Vale College</v>
          </cell>
          <cell r="D22799" t="str">
            <v>Lancashire</v>
          </cell>
          <cell r="E22799" t="str">
            <v>Community School</v>
          </cell>
          <cell r="F22799" t="str">
            <v>Secondary</v>
          </cell>
        </row>
        <row r="22800">
          <cell r="A22800">
            <v>8887112</v>
          </cell>
          <cell r="B22800">
            <v>135012</v>
          </cell>
          <cell r="C22800" t="str">
            <v>Pendle View Primary School</v>
          </cell>
          <cell r="D22800" t="str">
            <v>Lancashire</v>
          </cell>
          <cell r="E22800" t="str">
            <v>Community Special School</v>
          </cell>
          <cell r="F22800" t="str">
            <v>Special</v>
          </cell>
        </row>
        <row r="22801">
          <cell r="A22801">
            <v>3554038</v>
          </cell>
          <cell r="B22801">
            <v>127483</v>
          </cell>
          <cell r="C22801" t="str">
            <v>Pendlebury High School</v>
          </cell>
          <cell r="D22801" t="str">
            <v>Salford</v>
          </cell>
          <cell r="E22801" t="str">
            <v>Community School</v>
          </cell>
          <cell r="F22801" t="str">
            <v>Secondary</v>
          </cell>
        </row>
        <row r="22802">
          <cell r="A22802">
            <v>3554027</v>
          </cell>
          <cell r="B22802">
            <v>127482</v>
          </cell>
          <cell r="C22802" t="str">
            <v>Pendleton College</v>
          </cell>
          <cell r="D22802" t="str">
            <v>Salford</v>
          </cell>
          <cell r="E22802" t="str">
            <v>Community School</v>
          </cell>
          <cell r="F22802" t="str">
            <v>Secondary</v>
          </cell>
        </row>
        <row r="22803">
          <cell r="A22803">
            <v>8853085</v>
          </cell>
          <cell r="B22803">
            <v>116838</v>
          </cell>
          <cell r="C22803" t="str">
            <v>Pendock CofE Primary School</v>
          </cell>
          <cell r="D22803" t="str">
            <v>Worcestershire</v>
          </cell>
          <cell r="E22803" t="str">
            <v>Voluntary Controlled School</v>
          </cell>
          <cell r="F22803" t="str">
            <v>Primary</v>
          </cell>
        </row>
        <row r="22804">
          <cell r="A22804">
            <v>3917002</v>
          </cell>
          <cell r="B22804">
            <v>108550</v>
          </cell>
          <cell r="C22804" t="str">
            <v>Pendower Hall School</v>
          </cell>
          <cell r="D22804" t="str">
            <v>Newcastle upon Tyne</v>
          </cell>
          <cell r="E22804" t="str">
            <v>Community Special School</v>
          </cell>
          <cell r="F22804" t="str">
            <v>Special</v>
          </cell>
        </row>
        <row r="22805">
          <cell r="A22805">
            <v>3912600</v>
          </cell>
          <cell r="B22805">
            <v>128127</v>
          </cell>
          <cell r="C22805" t="str">
            <v>Pendower Primary School</v>
          </cell>
          <cell r="D22805" t="str">
            <v>Newcastle upon Tyne</v>
          </cell>
          <cell r="E22805" t="str">
            <v>Community School</v>
          </cell>
          <cell r="F22805" t="str">
            <v>Primary</v>
          </cell>
        </row>
        <row r="22806">
          <cell r="A22806">
            <v>6733363</v>
          </cell>
          <cell r="B22806">
            <v>401126</v>
          </cell>
          <cell r="C22806" t="str">
            <v>Pendoylan C.I.W. Primary School</v>
          </cell>
          <cell r="D22806" t="str">
            <v>The Vale of Glamorgan</v>
          </cell>
          <cell r="E22806" t="str">
            <v>Welsh Establishment</v>
          </cell>
          <cell r="F22806" t="str">
            <v>Primary</v>
          </cell>
        </row>
        <row r="22807">
          <cell r="A22807">
            <v>8732033</v>
          </cell>
          <cell r="B22807">
            <v>110617</v>
          </cell>
          <cell r="C22807" t="str">
            <v>Pendragon Community Primary School</v>
          </cell>
          <cell r="D22807" t="str">
            <v>Cambridgeshire</v>
          </cell>
          <cell r="E22807" t="str">
            <v>Community School</v>
          </cell>
          <cell r="F22807" t="str">
            <v>Primary</v>
          </cell>
        </row>
        <row r="22808">
          <cell r="A22808">
            <v>2097105</v>
          </cell>
          <cell r="B22808">
            <v>100762</v>
          </cell>
          <cell r="C22808" t="str">
            <v>Pendragon School</v>
          </cell>
          <cell r="D22808" t="str">
            <v>Lewisham</v>
          </cell>
          <cell r="E22808" t="str">
            <v>Community Special School</v>
          </cell>
          <cell r="F22808" t="str">
            <v>Special</v>
          </cell>
        </row>
        <row r="22809">
          <cell r="A22809">
            <v>6762058</v>
          </cell>
          <cell r="B22809">
            <v>401300</v>
          </cell>
          <cell r="C22809" t="str">
            <v>Pengam Primary School</v>
          </cell>
          <cell r="D22809" t="str">
            <v>Caerphilly</v>
          </cell>
          <cell r="E22809" t="str">
            <v>Welsh Establishment</v>
          </cell>
          <cell r="F22809" t="str">
            <v>Primary</v>
          </cell>
        </row>
        <row r="22810">
          <cell r="A22810">
            <v>6702172</v>
          </cell>
          <cell r="B22810">
            <v>400923</v>
          </cell>
          <cell r="C22810" t="str">
            <v>Pengelli Primary School</v>
          </cell>
          <cell r="D22810" t="str">
            <v>Swansea</v>
          </cell>
          <cell r="E22810" t="str">
            <v>Welsh Establishment</v>
          </cell>
          <cell r="F22810" t="str">
            <v>Primary</v>
          </cell>
        </row>
        <row r="22811">
          <cell r="A22811">
            <v>6742192</v>
          </cell>
          <cell r="B22811">
            <v>401206</v>
          </cell>
          <cell r="C22811" t="str">
            <v>Pengeulan Primary School</v>
          </cell>
          <cell r="D22811" t="str">
            <v>Rhondda, Cynon, Taff</v>
          </cell>
          <cell r="E22811" t="str">
            <v>Welsh Establishment</v>
          </cell>
          <cell r="F22811" t="str">
            <v>Primary</v>
          </cell>
        </row>
        <row r="22812">
          <cell r="A22812">
            <v>6674047</v>
          </cell>
          <cell r="B22812">
            <v>401738</v>
          </cell>
          <cell r="C22812" t="str">
            <v>Penglais Comprehensive School</v>
          </cell>
          <cell r="D22812" t="str">
            <v>Ceredigion</v>
          </cell>
          <cell r="E22812" t="str">
            <v>Welsh Establishment</v>
          </cell>
          <cell r="F22812" t="str">
            <v>Secondary</v>
          </cell>
        </row>
        <row r="22813">
          <cell r="A22813">
            <v>6637904</v>
          </cell>
          <cell r="B22813">
            <v>402190</v>
          </cell>
          <cell r="C22813" t="str">
            <v>Pengwern College</v>
          </cell>
          <cell r="D22813" t="str">
            <v>Denbighshire</v>
          </cell>
          <cell r="E22813" t="str">
            <v>Special College</v>
          </cell>
          <cell r="F22813" t="str">
            <v>Not applicable</v>
          </cell>
        </row>
        <row r="22814">
          <cell r="A22814">
            <v>8512697</v>
          </cell>
          <cell r="B22814">
            <v>116210</v>
          </cell>
          <cell r="C22814" t="str">
            <v>Penhale Infant School,Nursery &amp; Hearing Impaired Resource</v>
          </cell>
          <cell r="D22814" t="str">
            <v>Portsmouth</v>
          </cell>
          <cell r="E22814" t="str">
            <v>Community School</v>
          </cell>
          <cell r="F22814" t="str">
            <v>Primary</v>
          </cell>
        </row>
        <row r="22815">
          <cell r="A22815">
            <v>8662122</v>
          </cell>
          <cell r="B22815">
            <v>126227</v>
          </cell>
          <cell r="C22815" t="str">
            <v>Penhill Infants' School</v>
          </cell>
          <cell r="D22815" t="str">
            <v>Swindon</v>
          </cell>
          <cell r="E22815" t="str">
            <v>Community School</v>
          </cell>
          <cell r="F22815" t="str">
            <v>Primary</v>
          </cell>
        </row>
        <row r="22816">
          <cell r="A22816">
            <v>8662121</v>
          </cell>
          <cell r="B22816">
            <v>126226</v>
          </cell>
          <cell r="C22816" t="str">
            <v>Penhill Junior School</v>
          </cell>
          <cell r="D22816" t="str">
            <v>Swindon</v>
          </cell>
          <cell r="E22816" t="str">
            <v>Community School</v>
          </cell>
          <cell r="F22816" t="str">
            <v>Primary</v>
          </cell>
        </row>
        <row r="22817">
          <cell r="A22817">
            <v>8662007</v>
          </cell>
          <cell r="B22817">
            <v>131902</v>
          </cell>
          <cell r="C22817" t="str">
            <v>Penhill Primary School</v>
          </cell>
          <cell r="D22817" t="str">
            <v>Swindon</v>
          </cell>
          <cell r="E22817" t="str">
            <v>Community School</v>
          </cell>
          <cell r="F22817" t="str">
            <v>Primary</v>
          </cell>
        </row>
        <row r="22818">
          <cell r="A22818">
            <v>9317001</v>
          </cell>
          <cell r="B22818">
            <v>123328</v>
          </cell>
          <cell r="C22818" t="str">
            <v>Penhurst School</v>
          </cell>
          <cell r="D22818" t="str">
            <v>Oxfordshire</v>
          </cell>
          <cell r="E22818" t="str">
            <v>Non-Maintained Special School</v>
          </cell>
          <cell r="F22818" t="str">
            <v>Special</v>
          </cell>
        </row>
        <row r="22819">
          <cell r="A22819">
            <v>3026001</v>
          </cell>
          <cell r="B22819">
            <v>137502</v>
          </cell>
          <cell r="C22819" t="str">
            <v>Peninim</v>
          </cell>
          <cell r="D22819" t="str">
            <v>Barnet</v>
          </cell>
          <cell r="E22819" t="str">
            <v>Other Independent School</v>
          </cell>
          <cell r="F22819" t="str">
            <v>Not applicable</v>
          </cell>
        </row>
        <row r="22820">
          <cell r="A22820">
            <v>3704027</v>
          </cell>
          <cell r="B22820">
            <v>106653</v>
          </cell>
          <cell r="C22820" t="str">
            <v>Penistone Grammar School</v>
          </cell>
          <cell r="D22820" t="str">
            <v>Barnsley</v>
          </cell>
          <cell r="E22820" t="str">
            <v>Community School</v>
          </cell>
          <cell r="F22820" t="str">
            <v>Secondary</v>
          </cell>
        </row>
        <row r="22821">
          <cell r="A22821">
            <v>3703010</v>
          </cell>
          <cell r="B22821">
            <v>106628</v>
          </cell>
          <cell r="C22821" t="str">
            <v>Penistone St John the Baptist Church of England (Voluntary Controlled) Infant School</v>
          </cell>
          <cell r="D22821" t="str">
            <v>Barnsley</v>
          </cell>
          <cell r="E22821" t="str">
            <v>Voluntary Controlled School</v>
          </cell>
          <cell r="F22821" t="str">
            <v>Primary</v>
          </cell>
        </row>
        <row r="22822">
          <cell r="A22822">
            <v>3702000</v>
          </cell>
          <cell r="B22822">
            <v>136941</v>
          </cell>
          <cell r="C22822" t="str">
            <v>Penistone St John's Voluntary Aided Primary School</v>
          </cell>
          <cell r="D22822" t="str">
            <v>Barnsley</v>
          </cell>
          <cell r="E22822" t="str">
            <v>Voluntary Aided School</v>
          </cell>
          <cell r="F22822" t="str">
            <v>Primary</v>
          </cell>
        </row>
        <row r="22823">
          <cell r="A22823">
            <v>8772722</v>
          </cell>
          <cell r="B22823">
            <v>111239</v>
          </cell>
          <cell r="C22823" t="str">
            <v>Penketh Community Primary School</v>
          </cell>
          <cell r="D22823" t="str">
            <v>Warrington</v>
          </cell>
          <cell r="E22823" t="str">
            <v>Community School</v>
          </cell>
          <cell r="F22823" t="str">
            <v>Primary</v>
          </cell>
        </row>
        <row r="22824">
          <cell r="A22824">
            <v>9062404</v>
          </cell>
          <cell r="B22824">
            <v>128440</v>
          </cell>
          <cell r="C22824" t="str">
            <v>Penketh County Junior School</v>
          </cell>
          <cell r="D22824" t="str">
            <v>Pre LGR (1998) Cheshire</v>
          </cell>
          <cell r="E22824" t="str">
            <v>Community School</v>
          </cell>
          <cell r="F22824" t="str">
            <v>Primary</v>
          </cell>
        </row>
        <row r="22825">
          <cell r="A22825">
            <v>8774201</v>
          </cell>
          <cell r="B22825">
            <v>111431</v>
          </cell>
          <cell r="C22825" t="str">
            <v>Penketh High School</v>
          </cell>
          <cell r="D22825" t="str">
            <v>Warrington</v>
          </cell>
          <cell r="E22825" t="str">
            <v>Community School</v>
          </cell>
          <cell r="F22825" t="str">
            <v>Secondary</v>
          </cell>
        </row>
        <row r="22826">
          <cell r="A22826">
            <v>9062414</v>
          </cell>
          <cell r="B22826">
            <v>128443</v>
          </cell>
          <cell r="C22826" t="str">
            <v>Penketh Infant School</v>
          </cell>
          <cell r="D22826" t="str">
            <v>Pre LGR (1998) Cheshire</v>
          </cell>
          <cell r="E22826" t="str">
            <v>Community School</v>
          </cell>
          <cell r="F22826" t="str">
            <v>Primary</v>
          </cell>
        </row>
        <row r="22827">
          <cell r="A22827">
            <v>8772426</v>
          </cell>
          <cell r="B22827">
            <v>111198</v>
          </cell>
          <cell r="C22827" t="str">
            <v>Penketh South Community Primary School</v>
          </cell>
          <cell r="D22827" t="str">
            <v>Warrington</v>
          </cell>
          <cell r="E22827" t="str">
            <v>Community School</v>
          </cell>
          <cell r="F22827" t="str">
            <v>Primary</v>
          </cell>
        </row>
        <row r="22828">
          <cell r="A22828">
            <v>3427005</v>
          </cell>
          <cell r="B22828">
            <v>104843</v>
          </cell>
          <cell r="C22828" t="str">
            <v>Penkford School</v>
          </cell>
          <cell r="D22828" t="str">
            <v>St. Helens</v>
          </cell>
          <cell r="E22828" t="str">
            <v>Community Special School</v>
          </cell>
          <cell r="F22828" t="str">
            <v>Special</v>
          </cell>
        </row>
        <row r="22829">
          <cell r="A22829">
            <v>8612062</v>
          </cell>
          <cell r="B22829">
            <v>124001</v>
          </cell>
          <cell r="C22829" t="str">
            <v>Penkhull Infants' School</v>
          </cell>
          <cell r="D22829" t="str">
            <v>Stoke-on-Trent</v>
          </cell>
          <cell r="E22829" t="str">
            <v>Community School</v>
          </cell>
          <cell r="F22829" t="str">
            <v>Primary</v>
          </cell>
        </row>
        <row r="22830">
          <cell r="A22830">
            <v>8611008</v>
          </cell>
          <cell r="B22830">
            <v>123954</v>
          </cell>
          <cell r="C22830" t="str">
            <v>Penkhull Nursery School</v>
          </cell>
          <cell r="D22830" t="str">
            <v>Stoke-on-Trent</v>
          </cell>
          <cell r="E22830" t="str">
            <v>LA Nursery School</v>
          </cell>
          <cell r="F22830" t="str">
            <v>Nursery</v>
          </cell>
        </row>
        <row r="22831">
          <cell r="A22831">
            <v>8604128</v>
          </cell>
          <cell r="B22831">
            <v>124423</v>
          </cell>
          <cell r="C22831" t="str">
            <v>Penkridge Middle School</v>
          </cell>
          <cell r="D22831" t="str">
            <v>Staffordshire</v>
          </cell>
          <cell r="E22831" t="str">
            <v>Community School</v>
          </cell>
          <cell r="F22831" t="str">
            <v>Middle Deemed Secondary</v>
          </cell>
        </row>
        <row r="22832">
          <cell r="A22832">
            <v>9114169</v>
          </cell>
          <cell r="B22832">
            <v>128725</v>
          </cell>
          <cell r="C22832" t="str">
            <v>Penlee Secondary School</v>
          </cell>
          <cell r="D22832" t="str">
            <v>Pre LGR (1998) Devon</v>
          </cell>
          <cell r="E22832" t="str">
            <v>Community School</v>
          </cell>
          <cell r="F22832" t="str">
            <v>Secondary</v>
          </cell>
        </row>
        <row r="22833">
          <cell r="A22833">
            <v>6702174</v>
          </cell>
          <cell r="B22833">
            <v>400924</v>
          </cell>
          <cell r="C22833" t="str">
            <v>Penllergaer Primary School</v>
          </cell>
          <cell r="D22833" t="str">
            <v>Swansea</v>
          </cell>
          <cell r="E22833" t="str">
            <v>Welsh Establishment</v>
          </cell>
          <cell r="F22833" t="str">
            <v>Primary</v>
          </cell>
        </row>
        <row r="22834">
          <cell r="A22834">
            <v>6762378</v>
          </cell>
          <cell r="B22834">
            <v>401382</v>
          </cell>
          <cell r="C22834" t="str">
            <v>Penllwyn Primary School</v>
          </cell>
          <cell r="D22834" t="str">
            <v>Caerphilly</v>
          </cell>
          <cell r="E22834" t="str">
            <v>Welsh Establishment</v>
          </cell>
          <cell r="F22834" t="str">
            <v>Primary</v>
          </cell>
        </row>
        <row r="22835">
          <cell r="A22835">
            <v>6622268</v>
          </cell>
          <cell r="B22835">
            <v>400241</v>
          </cell>
          <cell r="C22835" t="str">
            <v>Penmaenrhos Infants School</v>
          </cell>
          <cell r="D22835" t="str">
            <v>Conwy</v>
          </cell>
          <cell r="E22835" t="str">
            <v>Welsh Establishment</v>
          </cell>
          <cell r="F22835" t="str">
            <v>Primary</v>
          </cell>
        </row>
        <row r="22836">
          <cell r="A22836">
            <v>3367004</v>
          </cell>
          <cell r="B22836">
            <v>104412</v>
          </cell>
          <cell r="C22836" t="str">
            <v>Penn Fields School</v>
          </cell>
          <cell r="D22836" t="str">
            <v>Wolverhampton</v>
          </cell>
          <cell r="E22836" t="str">
            <v>Community Special School</v>
          </cell>
          <cell r="F22836" t="str">
            <v>Special</v>
          </cell>
        </row>
        <row r="22837">
          <cell r="A22837">
            <v>3367012</v>
          </cell>
          <cell r="B22837">
            <v>104417</v>
          </cell>
          <cell r="C22837" t="str">
            <v>Penn Hall School</v>
          </cell>
          <cell r="D22837" t="str">
            <v>Wolverhampton</v>
          </cell>
          <cell r="E22837" t="str">
            <v>Community Special School</v>
          </cell>
          <cell r="F22837" t="str">
            <v>Special</v>
          </cell>
        </row>
        <row r="22838">
          <cell r="A22838">
            <v>2027204</v>
          </cell>
          <cell r="B22838">
            <v>100095</v>
          </cell>
          <cell r="C22838" t="str">
            <v>Penn School</v>
          </cell>
          <cell r="D22838" t="str">
            <v>Camden</v>
          </cell>
          <cell r="E22838" t="str">
            <v>Community Special School</v>
          </cell>
          <cell r="F22838" t="str">
            <v>Special</v>
          </cell>
        </row>
        <row r="22839">
          <cell r="A22839">
            <v>8257001</v>
          </cell>
          <cell r="B22839">
            <v>133586</v>
          </cell>
          <cell r="C22839" t="str">
            <v>Penn School</v>
          </cell>
          <cell r="D22839" t="str">
            <v>Buckinghamshire</v>
          </cell>
          <cell r="E22839" t="str">
            <v>Non-Maintained Special School</v>
          </cell>
          <cell r="F22839" t="str">
            <v>Special</v>
          </cell>
        </row>
        <row r="22840">
          <cell r="A22840">
            <v>8712255</v>
          </cell>
          <cell r="B22840">
            <v>130372</v>
          </cell>
          <cell r="C22840" t="str">
            <v>Penn Wood Primary and Nursery School</v>
          </cell>
          <cell r="D22840" t="str">
            <v>Slough</v>
          </cell>
          <cell r="E22840" t="str">
            <v>Community School</v>
          </cell>
          <cell r="F22840" t="str">
            <v>Primary</v>
          </cell>
        </row>
        <row r="22841">
          <cell r="A22841">
            <v>6672297</v>
          </cell>
          <cell r="B22841">
            <v>400587</v>
          </cell>
          <cell r="C22841" t="str">
            <v>Pennant C.P. School</v>
          </cell>
          <cell r="D22841" t="str">
            <v>Ceredigion</v>
          </cell>
          <cell r="E22841" t="str">
            <v>Welsh Establishment</v>
          </cell>
          <cell r="F22841" t="str">
            <v>Primary</v>
          </cell>
        </row>
        <row r="22842">
          <cell r="A22842">
            <v>6682264</v>
          </cell>
          <cell r="B22842">
            <v>400686</v>
          </cell>
          <cell r="C22842" t="str">
            <v>Pennar C.P. Infant School</v>
          </cell>
          <cell r="D22842" t="str">
            <v>Pembrokeshire</v>
          </cell>
          <cell r="E22842" t="str">
            <v>Welsh Establishment</v>
          </cell>
          <cell r="F22842" t="str">
            <v>Primary</v>
          </cell>
        </row>
        <row r="22843">
          <cell r="A22843">
            <v>6682392</v>
          </cell>
          <cell r="B22843">
            <v>402111</v>
          </cell>
          <cell r="C22843" t="str">
            <v>Pennar Community School</v>
          </cell>
          <cell r="D22843" t="str">
            <v>Pembrokeshire</v>
          </cell>
          <cell r="E22843" t="str">
            <v>Welsh Establishment</v>
          </cell>
          <cell r="F22843" t="str">
            <v>Primary</v>
          </cell>
        </row>
        <row r="22844">
          <cell r="A22844">
            <v>6682248</v>
          </cell>
          <cell r="B22844">
            <v>400676</v>
          </cell>
          <cell r="C22844" t="str">
            <v>Pennar Cp Junior School</v>
          </cell>
          <cell r="D22844" t="str">
            <v>Pembrokeshire</v>
          </cell>
          <cell r="E22844" t="str">
            <v>Welsh Establishment</v>
          </cell>
          <cell r="F22844" t="str">
            <v>Primary</v>
          </cell>
        </row>
        <row r="22845">
          <cell r="A22845">
            <v>6702216</v>
          </cell>
          <cell r="B22845">
            <v>400934</v>
          </cell>
          <cell r="C22845" t="str">
            <v>Pennard Primary School</v>
          </cell>
          <cell r="D22845" t="str">
            <v>Swansea</v>
          </cell>
          <cell r="E22845" t="str">
            <v>Welsh Establishment</v>
          </cell>
          <cell r="F22845" t="str">
            <v>Primary</v>
          </cell>
        </row>
        <row r="22846">
          <cell r="A22846">
            <v>3847904</v>
          </cell>
          <cell r="B22846">
            <v>131958</v>
          </cell>
          <cell r="C22846" t="str">
            <v>Pennine Camphill Community</v>
          </cell>
          <cell r="D22846" t="str">
            <v>Wakefield</v>
          </cell>
          <cell r="E22846" t="str">
            <v>Special College</v>
          </cell>
          <cell r="F22846" t="str">
            <v>16 Plus</v>
          </cell>
        </row>
        <row r="22847">
          <cell r="A22847">
            <v>3717013</v>
          </cell>
          <cell r="B22847">
            <v>135545</v>
          </cell>
          <cell r="C22847" t="str">
            <v>Pennine View School</v>
          </cell>
          <cell r="D22847" t="str">
            <v>Doncaster</v>
          </cell>
          <cell r="E22847" t="str">
            <v>Community Special School</v>
          </cell>
          <cell r="F22847" t="str">
            <v>Special</v>
          </cell>
        </row>
        <row r="22848">
          <cell r="A22848">
            <v>9092615</v>
          </cell>
          <cell r="B22848">
            <v>112223</v>
          </cell>
          <cell r="C22848" t="str">
            <v>Pennine Way Infant School</v>
          </cell>
          <cell r="D22848" t="str">
            <v>Cumbria</v>
          </cell>
          <cell r="E22848" t="str">
            <v>Community School</v>
          </cell>
          <cell r="F22848" t="str">
            <v>Primary</v>
          </cell>
        </row>
        <row r="22849">
          <cell r="A22849">
            <v>9092614</v>
          </cell>
          <cell r="B22849">
            <v>112222</v>
          </cell>
          <cell r="C22849" t="str">
            <v>Pennine Way Junior School</v>
          </cell>
          <cell r="D22849" t="str">
            <v>Cumbria</v>
          </cell>
          <cell r="E22849" t="str">
            <v>Community School</v>
          </cell>
          <cell r="F22849" t="str">
            <v>Primary</v>
          </cell>
        </row>
        <row r="22850">
          <cell r="A22850">
            <v>8305210</v>
          </cell>
          <cell r="B22850">
            <v>112984</v>
          </cell>
          <cell r="C22850" t="str">
            <v>Pennine Way Junior School</v>
          </cell>
          <cell r="D22850" t="str">
            <v>Derbyshire</v>
          </cell>
          <cell r="E22850" t="str">
            <v>Foundation School</v>
          </cell>
          <cell r="F22850" t="str">
            <v>Primary</v>
          </cell>
        </row>
        <row r="22851">
          <cell r="A22851">
            <v>8305210</v>
          </cell>
          <cell r="B22851">
            <v>137543</v>
          </cell>
          <cell r="C22851" t="str">
            <v>Pennine Way Junior School</v>
          </cell>
          <cell r="D22851" t="str">
            <v>Derbyshire</v>
          </cell>
          <cell r="E22851" t="str">
            <v>Academy Converters</v>
          </cell>
          <cell r="F22851" t="str">
            <v>Primary</v>
          </cell>
        </row>
        <row r="22852">
          <cell r="A22852">
            <v>9092713</v>
          </cell>
          <cell r="B22852">
            <v>131177</v>
          </cell>
          <cell r="C22852" t="str">
            <v>Pennine Way Primary School</v>
          </cell>
          <cell r="D22852" t="str">
            <v>Cumbria</v>
          </cell>
          <cell r="E22852" t="str">
            <v>Community School</v>
          </cell>
          <cell r="F22852" t="str">
            <v>Primary</v>
          </cell>
        </row>
        <row r="22853">
          <cell r="A22853">
            <v>8503124</v>
          </cell>
          <cell r="B22853">
            <v>116307</v>
          </cell>
          <cell r="C22853" t="str">
            <v>Pennington Church of England Junior School</v>
          </cell>
          <cell r="D22853" t="str">
            <v>Hampshire</v>
          </cell>
          <cell r="E22853" t="str">
            <v>Voluntary Controlled School</v>
          </cell>
          <cell r="F22853" t="str">
            <v>Primary</v>
          </cell>
        </row>
        <row r="22854">
          <cell r="A22854">
            <v>9093128</v>
          </cell>
          <cell r="B22854">
            <v>112284</v>
          </cell>
          <cell r="C22854" t="str">
            <v>Pennington CofE School</v>
          </cell>
          <cell r="D22854" t="str">
            <v>Cumbria</v>
          </cell>
          <cell r="E22854" t="str">
            <v>Voluntary Controlled School</v>
          </cell>
          <cell r="F22854" t="str">
            <v>Primary</v>
          </cell>
        </row>
        <row r="22855">
          <cell r="A22855">
            <v>8502241</v>
          </cell>
          <cell r="B22855">
            <v>115983</v>
          </cell>
          <cell r="C22855" t="str">
            <v>Pennington Infant School</v>
          </cell>
          <cell r="D22855" t="str">
            <v>Hampshire</v>
          </cell>
          <cell r="E22855" t="str">
            <v>Community School</v>
          </cell>
          <cell r="F22855" t="str">
            <v>Primary</v>
          </cell>
        </row>
        <row r="22856">
          <cell r="A22856">
            <v>9082757</v>
          </cell>
          <cell r="B22856">
            <v>133406</v>
          </cell>
          <cell r="C22856" t="str">
            <v>Pennoweth Primary School</v>
          </cell>
          <cell r="D22856" t="str">
            <v>Cornwall</v>
          </cell>
          <cell r="E22856" t="str">
            <v>Community School</v>
          </cell>
          <cell r="F22856" t="str">
            <v>Primary</v>
          </cell>
        </row>
        <row r="22857">
          <cell r="A22857">
            <v>9263062</v>
          </cell>
          <cell r="B22857">
            <v>129620</v>
          </cell>
          <cell r="C22857" t="str">
            <v>Pennoyers Primary School</v>
          </cell>
          <cell r="D22857" t="str">
            <v>Norfolk</v>
          </cell>
          <cell r="E22857" t="str">
            <v>Voluntary Controlled School</v>
          </cell>
          <cell r="F22857" t="str">
            <v>Primary</v>
          </cell>
        </row>
        <row r="22858">
          <cell r="A22858">
            <v>3302425</v>
          </cell>
          <cell r="B22858">
            <v>103356</v>
          </cell>
          <cell r="C22858" t="str">
            <v>Penns Primary School</v>
          </cell>
          <cell r="D22858" t="str">
            <v>Birmingham</v>
          </cell>
          <cell r="E22858" t="str">
            <v>Community School</v>
          </cell>
          <cell r="F22858" t="str">
            <v>Primary</v>
          </cell>
        </row>
        <row r="22859">
          <cell r="A22859">
            <v>8906008</v>
          </cell>
          <cell r="B22859">
            <v>131032</v>
          </cell>
          <cell r="C22859" t="str">
            <v>Pennsylvania House</v>
          </cell>
          <cell r="D22859" t="str">
            <v>Blackpool</v>
          </cell>
          <cell r="E22859" t="str">
            <v>Other Independent Special School</v>
          </cell>
          <cell r="F22859" t="str">
            <v>Not applicable</v>
          </cell>
        </row>
        <row r="22860">
          <cell r="A22860">
            <v>9386026</v>
          </cell>
          <cell r="B22860">
            <v>126111</v>
          </cell>
          <cell r="C22860" t="str">
            <v>Pennthorpe School</v>
          </cell>
          <cell r="D22860" t="str">
            <v>West Sussex</v>
          </cell>
          <cell r="E22860" t="str">
            <v>Other Independent School</v>
          </cell>
          <cell r="F22860" t="str">
            <v>Not applicable</v>
          </cell>
        </row>
        <row r="22861">
          <cell r="A22861">
            <v>8302131</v>
          </cell>
          <cell r="B22861">
            <v>112565</v>
          </cell>
          <cell r="C22861" t="str">
            <v>Penny Acres Primary School</v>
          </cell>
          <cell r="D22861" t="str">
            <v>Derbyshire</v>
          </cell>
          <cell r="E22861" t="str">
            <v>Community School</v>
          </cell>
          <cell r="F22861" t="str">
            <v>Primary</v>
          </cell>
        </row>
        <row r="22862">
          <cell r="A22862">
            <v>9093556</v>
          </cell>
          <cell r="B22862">
            <v>112360</v>
          </cell>
          <cell r="C22862" t="str">
            <v>Penny Bridge CofE School</v>
          </cell>
          <cell r="D22862" t="str">
            <v>Cumbria</v>
          </cell>
          <cell r="E22862" t="str">
            <v>Voluntary Aided School</v>
          </cell>
          <cell r="F22862" t="str">
            <v>Primary</v>
          </cell>
        </row>
        <row r="22863">
          <cell r="A22863">
            <v>3837067</v>
          </cell>
          <cell r="B22863">
            <v>108128</v>
          </cell>
          <cell r="C22863" t="str">
            <v>Penny Field School</v>
          </cell>
          <cell r="D22863" t="str">
            <v>Leeds</v>
          </cell>
          <cell r="E22863" t="str">
            <v>Community Special School</v>
          </cell>
          <cell r="F22863" t="str">
            <v>Special</v>
          </cell>
        </row>
        <row r="22864">
          <cell r="A22864">
            <v>3837023</v>
          </cell>
          <cell r="B22864">
            <v>128057</v>
          </cell>
          <cell r="C22864" t="str">
            <v>Penny Field School</v>
          </cell>
          <cell r="D22864" t="str">
            <v>Leeds</v>
          </cell>
          <cell r="E22864" t="str">
            <v>Community Special School</v>
          </cell>
          <cell r="F22864" t="str">
            <v>Special</v>
          </cell>
        </row>
        <row r="22865">
          <cell r="A22865">
            <v>8792670</v>
          </cell>
          <cell r="B22865">
            <v>113297</v>
          </cell>
          <cell r="C22865" t="str">
            <v>Pennycross Primary School</v>
          </cell>
          <cell r="D22865" t="str">
            <v>Plymouth</v>
          </cell>
          <cell r="E22865" t="str">
            <v>Community School</v>
          </cell>
          <cell r="F22865" t="str">
            <v>Primary</v>
          </cell>
        </row>
        <row r="22866">
          <cell r="A22866">
            <v>3333408</v>
          </cell>
          <cell r="B22866">
            <v>135215</v>
          </cell>
          <cell r="C22866" t="str">
            <v>Pennyhill Primary School</v>
          </cell>
          <cell r="D22866" t="str">
            <v>Sandwell</v>
          </cell>
          <cell r="E22866" t="str">
            <v>Community School</v>
          </cell>
          <cell r="F22866" t="str">
            <v>Primary</v>
          </cell>
        </row>
        <row r="22867">
          <cell r="A22867">
            <v>8062328</v>
          </cell>
          <cell r="B22867">
            <v>111628</v>
          </cell>
          <cell r="C22867" t="str">
            <v>Pennyman Primary School</v>
          </cell>
          <cell r="D22867" t="str">
            <v>Middlesbrough</v>
          </cell>
          <cell r="E22867" t="str">
            <v>Community School</v>
          </cell>
          <cell r="F22867" t="str">
            <v>Primary</v>
          </cell>
        </row>
        <row r="22868">
          <cell r="A22868">
            <v>3941012</v>
          </cell>
          <cell r="B22868">
            <v>108753</v>
          </cell>
          <cell r="C22868" t="str">
            <v>Pennywell Nursery School</v>
          </cell>
          <cell r="D22868" t="str">
            <v>Sunderland</v>
          </cell>
          <cell r="E22868" t="str">
            <v>LA Nursery School</v>
          </cell>
          <cell r="F22868" t="str">
            <v>Nursery</v>
          </cell>
        </row>
        <row r="22869">
          <cell r="A22869">
            <v>3944017</v>
          </cell>
          <cell r="B22869">
            <v>108856</v>
          </cell>
          <cell r="C22869" t="str">
            <v>Pennywell School</v>
          </cell>
          <cell r="D22869" t="str">
            <v>Sunderland</v>
          </cell>
          <cell r="E22869" t="str">
            <v>Community School</v>
          </cell>
          <cell r="F22869" t="str">
            <v>Secondary</v>
          </cell>
        </row>
        <row r="22870">
          <cell r="A22870">
            <v>9082230</v>
          </cell>
          <cell r="B22870">
            <v>111849</v>
          </cell>
          <cell r="C22870" t="str">
            <v>Penpol School</v>
          </cell>
          <cell r="D22870" t="str">
            <v>Cornwall</v>
          </cell>
          <cell r="E22870" t="str">
            <v>Community School</v>
          </cell>
          <cell r="F22870" t="str">
            <v>Primary</v>
          </cell>
        </row>
        <row r="22871">
          <cell r="A22871">
            <v>9082213</v>
          </cell>
          <cell r="B22871">
            <v>111838</v>
          </cell>
          <cell r="C22871" t="str">
            <v>Penponds School</v>
          </cell>
          <cell r="D22871" t="str">
            <v>Cornwall</v>
          </cell>
          <cell r="E22871" t="str">
            <v>Community School</v>
          </cell>
          <cell r="F22871" t="str">
            <v>Primary</v>
          </cell>
        </row>
        <row r="22872">
          <cell r="A22872">
            <v>6742369</v>
          </cell>
          <cell r="B22872">
            <v>401262</v>
          </cell>
          <cell r="C22872" t="str">
            <v>Penpych Community Primary School</v>
          </cell>
          <cell r="D22872" t="str">
            <v>Rhondda, Cynon, Taff</v>
          </cell>
          <cell r="E22872" t="str">
            <v>Welsh Establishment</v>
          </cell>
          <cell r="F22872" t="str">
            <v>Primary</v>
          </cell>
        </row>
        <row r="22873">
          <cell r="A22873">
            <v>6742208</v>
          </cell>
          <cell r="B22873">
            <v>401212</v>
          </cell>
          <cell r="C22873" t="str">
            <v>Penrhiwceibr Infants School</v>
          </cell>
          <cell r="D22873" t="str">
            <v>Rhondda, Cynon, Taff</v>
          </cell>
          <cell r="E22873" t="str">
            <v>Welsh Establishment</v>
          </cell>
          <cell r="F22873" t="str">
            <v>Not applicable</v>
          </cell>
        </row>
        <row r="22874">
          <cell r="A22874">
            <v>6742201</v>
          </cell>
          <cell r="B22874">
            <v>401210</v>
          </cell>
          <cell r="C22874" t="str">
            <v>Penrhiwceibr Junior School</v>
          </cell>
          <cell r="D22874" t="str">
            <v>Rhondda, Cynon, Taff</v>
          </cell>
          <cell r="E22874" t="str">
            <v>Welsh Establishment</v>
          </cell>
          <cell r="F22874" t="str">
            <v>Not applicable</v>
          </cell>
        </row>
        <row r="22875">
          <cell r="A22875">
            <v>6742376</v>
          </cell>
          <cell r="B22875">
            <v>402058</v>
          </cell>
          <cell r="C22875" t="str">
            <v>Penrhiwceibr Primary</v>
          </cell>
          <cell r="D22875" t="str">
            <v>Rhondda, Cynon, Taff</v>
          </cell>
          <cell r="E22875" t="str">
            <v>Welsh Establishment</v>
          </cell>
          <cell r="F22875" t="str">
            <v>Primary</v>
          </cell>
        </row>
        <row r="22876">
          <cell r="A22876">
            <v>6742150</v>
          </cell>
          <cell r="B22876">
            <v>401186</v>
          </cell>
          <cell r="C22876" t="str">
            <v>Penrhiwfer Infants School</v>
          </cell>
          <cell r="D22876" t="str">
            <v>Rhondda, Cynon, Taff</v>
          </cell>
          <cell r="E22876" t="str">
            <v>Welsh Establishment</v>
          </cell>
          <cell r="F22876" t="str">
            <v>Primary</v>
          </cell>
        </row>
        <row r="22877">
          <cell r="A22877">
            <v>6662102</v>
          </cell>
          <cell r="B22877">
            <v>400518</v>
          </cell>
          <cell r="C22877" t="str">
            <v>Penrhos C.P. School</v>
          </cell>
          <cell r="D22877" t="str">
            <v>Powys</v>
          </cell>
          <cell r="E22877" t="str">
            <v>Welsh Establishment</v>
          </cell>
          <cell r="F22877" t="str">
            <v>Primary</v>
          </cell>
        </row>
        <row r="22878">
          <cell r="A22878">
            <v>6742291</v>
          </cell>
          <cell r="B22878">
            <v>401249</v>
          </cell>
          <cell r="C22878" t="str">
            <v>Penrhys Infant School</v>
          </cell>
          <cell r="D22878" t="str">
            <v>Rhondda, Cynon, Taff</v>
          </cell>
          <cell r="E22878" t="str">
            <v>Welsh Establishment</v>
          </cell>
          <cell r="F22878" t="str">
            <v>Not applicable</v>
          </cell>
        </row>
        <row r="22879">
          <cell r="A22879">
            <v>6742293</v>
          </cell>
          <cell r="B22879">
            <v>401250</v>
          </cell>
          <cell r="C22879" t="str">
            <v>Penrhys Junior School</v>
          </cell>
          <cell r="D22879" t="str">
            <v>Rhondda, Cynon, Taff</v>
          </cell>
          <cell r="E22879" t="str">
            <v>Welsh Establishment</v>
          </cell>
          <cell r="F22879" t="str">
            <v>Not applicable</v>
          </cell>
        </row>
        <row r="22880">
          <cell r="A22880">
            <v>6742373</v>
          </cell>
          <cell r="B22880">
            <v>402037</v>
          </cell>
          <cell r="C22880" t="str">
            <v>Penrhys Primary School</v>
          </cell>
          <cell r="D22880" t="str">
            <v>Rhondda, Cynon, Taff</v>
          </cell>
          <cell r="E22880" t="str">
            <v>Welsh Establishment</v>
          </cell>
          <cell r="F22880" t="str">
            <v>Primary</v>
          </cell>
        </row>
        <row r="22881">
          <cell r="A22881">
            <v>9084156</v>
          </cell>
          <cell r="B22881">
            <v>112051</v>
          </cell>
          <cell r="C22881" t="str">
            <v>Penrice Community College</v>
          </cell>
          <cell r="D22881" t="str">
            <v>Cornwall</v>
          </cell>
          <cell r="E22881" t="str">
            <v>Community School</v>
          </cell>
          <cell r="F22881" t="str">
            <v>Secondary</v>
          </cell>
        </row>
        <row r="22882">
          <cell r="A22882">
            <v>9084156</v>
          </cell>
          <cell r="B22882">
            <v>136573</v>
          </cell>
          <cell r="C22882" t="str">
            <v>Penrice Community College</v>
          </cell>
          <cell r="D22882" t="str">
            <v>Cornwall</v>
          </cell>
          <cell r="E22882" t="str">
            <v>Academy Converters</v>
          </cell>
          <cell r="F22882" t="str">
            <v>Secondary</v>
          </cell>
        </row>
        <row r="22883">
          <cell r="A22883">
            <v>9337013</v>
          </cell>
          <cell r="B22883">
            <v>123942</v>
          </cell>
          <cell r="C22883" t="str">
            <v>Penrose School</v>
          </cell>
          <cell r="D22883" t="str">
            <v>Somerset</v>
          </cell>
          <cell r="E22883" t="str">
            <v>Foundation Special School</v>
          </cell>
          <cell r="F22883" t="str">
            <v>Special</v>
          </cell>
        </row>
        <row r="22884">
          <cell r="A22884">
            <v>9095225</v>
          </cell>
          <cell r="B22884">
            <v>112119</v>
          </cell>
          <cell r="C22884" t="str">
            <v>Penruddock Primary School</v>
          </cell>
          <cell r="D22884" t="str">
            <v>Cumbria</v>
          </cell>
          <cell r="E22884" t="str">
            <v>Foundation School</v>
          </cell>
          <cell r="F22884" t="str">
            <v>Primary</v>
          </cell>
        </row>
        <row r="22885">
          <cell r="A22885">
            <v>9084149</v>
          </cell>
          <cell r="B22885">
            <v>112044</v>
          </cell>
          <cell r="C22885" t="str">
            <v>Penryn College</v>
          </cell>
          <cell r="D22885" t="str">
            <v>Cornwall</v>
          </cell>
          <cell r="E22885" t="str">
            <v>Community School</v>
          </cell>
          <cell r="F22885" t="str">
            <v>Secondary</v>
          </cell>
        </row>
        <row r="22886">
          <cell r="A22886">
            <v>9084149</v>
          </cell>
          <cell r="B22886">
            <v>136852</v>
          </cell>
          <cell r="C22886" t="str">
            <v>Penryn College</v>
          </cell>
          <cell r="D22886" t="str">
            <v>Cornwall</v>
          </cell>
          <cell r="E22886" t="str">
            <v>Academy Converters</v>
          </cell>
          <cell r="F22886" t="str">
            <v>Secondary</v>
          </cell>
        </row>
        <row r="22887">
          <cell r="A22887">
            <v>9082738</v>
          </cell>
          <cell r="B22887">
            <v>111977</v>
          </cell>
          <cell r="C22887" t="str">
            <v>Penryn Community Infant School and Nursery Unit</v>
          </cell>
          <cell r="D22887" t="str">
            <v>Cornwall</v>
          </cell>
          <cell r="E22887" t="str">
            <v>Community School</v>
          </cell>
          <cell r="F22887" t="str">
            <v>Primary</v>
          </cell>
        </row>
        <row r="22888">
          <cell r="A22888">
            <v>9082117</v>
          </cell>
          <cell r="B22888">
            <v>111819</v>
          </cell>
          <cell r="C22888" t="str">
            <v>Penryn Junior School</v>
          </cell>
          <cell r="D22888" t="str">
            <v>Cornwall</v>
          </cell>
          <cell r="E22888" t="str">
            <v>Community School</v>
          </cell>
          <cell r="F22888" t="str">
            <v>Primary</v>
          </cell>
        </row>
        <row r="22889">
          <cell r="A22889">
            <v>9083036</v>
          </cell>
          <cell r="B22889">
            <v>128548</v>
          </cell>
          <cell r="C22889" t="str">
            <v>Penrynce Infant School</v>
          </cell>
          <cell r="D22889" t="str">
            <v>Cornwall</v>
          </cell>
          <cell r="E22889" t="str">
            <v>Voluntary Controlled School</v>
          </cell>
          <cell r="F22889" t="str">
            <v>Primary</v>
          </cell>
        </row>
        <row r="22890">
          <cell r="A22890">
            <v>3327009</v>
          </cell>
          <cell r="B22890">
            <v>103883</v>
          </cell>
          <cell r="C22890" t="str">
            <v>Pens Meadow School</v>
          </cell>
          <cell r="D22890" t="str">
            <v>Dudley</v>
          </cell>
          <cell r="E22890" t="str">
            <v>Community Special School</v>
          </cell>
          <cell r="F22890" t="str">
            <v>Special</v>
          </cell>
        </row>
        <row r="22891">
          <cell r="A22891">
            <v>9083894</v>
          </cell>
          <cell r="B22891">
            <v>134726</v>
          </cell>
          <cell r="C22891" t="str">
            <v>Pensans Primary School</v>
          </cell>
          <cell r="D22891" t="str">
            <v>Cornwall</v>
          </cell>
          <cell r="E22891" t="str">
            <v>Community School</v>
          </cell>
          <cell r="F22891" t="str">
            <v>Primary</v>
          </cell>
        </row>
        <row r="22892">
          <cell r="A22892">
            <v>8853086</v>
          </cell>
          <cell r="B22892">
            <v>116839</v>
          </cell>
          <cell r="C22892" t="str">
            <v>Pensax CofE Primary School</v>
          </cell>
          <cell r="D22892" t="str">
            <v>Worcestershire</v>
          </cell>
          <cell r="E22892" t="str">
            <v>Voluntary Controlled School</v>
          </cell>
          <cell r="F22892" t="str">
            <v>Primary</v>
          </cell>
        </row>
        <row r="22893">
          <cell r="A22893">
            <v>3444057</v>
          </cell>
          <cell r="B22893">
            <v>105100</v>
          </cell>
          <cell r="C22893" t="str">
            <v>Pensby High School for Boys: A Specialist Sports College</v>
          </cell>
          <cell r="D22893" t="str">
            <v>Wirral</v>
          </cell>
          <cell r="E22893" t="str">
            <v>Community School</v>
          </cell>
          <cell r="F22893" t="str">
            <v>Secondary</v>
          </cell>
        </row>
        <row r="22894">
          <cell r="A22894">
            <v>3444058</v>
          </cell>
          <cell r="B22894">
            <v>105101</v>
          </cell>
          <cell r="C22894" t="str">
            <v>Pensby High School for Girls</v>
          </cell>
          <cell r="D22894" t="str">
            <v>Wirral</v>
          </cell>
          <cell r="E22894" t="str">
            <v>Community School</v>
          </cell>
          <cell r="F22894" t="str">
            <v>Secondary</v>
          </cell>
        </row>
        <row r="22895">
          <cell r="A22895">
            <v>3442228</v>
          </cell>
          <cell r="B22895">
            <v>105029</v>
          </cell>
          <cell r="C22895" t="str">
            <v>Pensby Infant School</v>
          </cell>
          <cell r="D22895" t="str">
            <v>Wirral</v>
          </cell>
          <cell r="E22895" t="str">
            <v>Community School</v>
          </cell>
          <cell r="F22895" t="str">
            <v>Primary</v>
          </cell>
        </row>
        <row r="22896">
          <cell r="A22896">
            <v>3442223</v>
          </cell>
          <cell r="B22896">
            <v>105024</v>
          </cell>
          <cell r="C22896" t="str">
            <v>Pensby Junior School</v>
          </cell>
          <cell r="D22896" t="str">
            <v>Wirral</v>
          </cell>
          <cell r="E22896" t="str">
            <v>Community School</v>
          </cell>
          <cell r="F22896" t="str">
            <v>Primary</v>
          </cell>
        </row>
        <row r="22897">
          <cell r="A22897">
            <v>3442267</v>
          </cell>
          <cell r="B22897">
            <v>105054</v>
          </cell>
          <cell r="C22897" t="str">
            <v>Pensby Park Primary School</v>
          </cell>
          <cell r="D22897" t="str">
            <v>Wirral</v>
          </cell>
          <cell r="E22897" t="str">
            <v>Community School</v>
          </cell>
          <cell r="F22897" t="str">
            <v>Primary</v>
          </cell>
        </row>
        <row r="22898">
          <cell r="A22898">
            <v>3443376</v>
          </cell>
          <cell r="B22898">
            <v>135497</v>
          </cell>
          <cell r="C22898" t="str">
            <v>Pensby Primary School</v>
          </cell>
          <cell r="D22898" t="str">
            <v>Wirral</v>
          </cell>
          <cell r="E22898" t="str">
            <v>Community School</v>
          </cell>
          <cell r="F22898" t="str">
            <v>Primary</v>
          </cell>
        </row>
        <row r="22899">
          <cell r="A22899">
            <v>8002246</v>
          </cell>
          <cell r="B22899">
            <v>109068</v>
          </cell>
          <cell r="C22899" t="str">
            <v>Pensford Primary School</v>
          </cell>
          <cell r="D22899" t="str">
            <v>Bath and North East Somerset</v>
          </cell>
          <cell r="E22899" t="str">
            <v>Community School</v>
          </cell>
          <cell r="F22899" t="str">
            <v>Primary</v>
          </cell>
        </row>
        <row r="22900">
          <cell r="A22900">
            <v>8863314</v>
          </cell>
          <cell r="B22900">
            <v>118720</v>
          </cell>
          <cell r="C22900" t="str">
            <v>Penshurst Church of England Voluntary Aided Primary School</v>
          </cell>
          <cell r="D22900" t="str">
            <v>Kent</v>
          </cell>
          <cell r="E22900" t="str">
            <v>Voluntary Aided School</v>
          </cell>
          <cell r="F22900" t="str">
            <v>Primary</v>
          </cell>
        </row>
        <row r="22901">
          <cell r="A22901">
            <v>9082718</v>
          </cell>
          <cell r="B22901">
            <v>111963</v>
          </cell>
          <cell r="C22901" t="str">
            <v>Pensilva Primary School</v>
          </cell>
          <cell r="D22901" t="str">
            <v>Cornwall</v>
          </cell>
          <cell r="E22901" t="str">
            <v>Community School</v>
          </cell>
          <cell r="F22901" t="str">
            <v>Primary</v>
          </cell>
        </row>
        <row r="22902">
          <cell r="A22902">
            <v>3324118</v>
          </cell>
          <cell r="B22902">
            <v>103864</v>
          </cell>
          <cell r="C22902" t="str">
            <v>Pensnett High School</v>
          </cell>
          <cell r="D22902" t="str">
            <v>Dudley</v>
          </cell>
          <cell r="E22902" t="str">
            <v>Community School</v>
          </cell>
          <cell r="F22902" t="str">
            <v>Secondary</v>
          </cell>
        </row>
        <row r="22903">
          <cell r="A22903">
            <v>3321002</v>
          </cell>
          <cell r="B22903">
            <v>127131</v>
          </cell>
          <cell r="C22903" t="str">
            <v>Pensnett Nursery School</v>
          </cell>
          <cell r="D22903" t="str">
            <v>Dudley</v>
          </cell>
          <cell r="E22903" t="str">
            <v>LA Nursery School</v>
          </cell>
          <cell r="F22903" t="str">
            <v>Nursery</v>
          </cell>
        </row>
        <row r="22904">
          <cell r="A22904">
            <v>8865458</v>
          </cell>
          <cell r="B22904">
            <v>118930</v>
          </cell>
          <cell r="C22904" t="str">
            <v>Pent Valley Technology College</v>
          </cell>
          <cell r="D22904" t="str">
            <v>Kent</v>
          </cell>
          <cell r="E22904" t="str">
            <v>Foundation School</v>
          </cell>
          <cell r="F22904" t="str">
            <v>Secondary</v>
          </cell>
        </row>
        <row r="22905">
          <cell r="A22905">
            <v>6693321</v>
          </cell>
          <cell r="B22905">
            <v>400858</v>
          </cell>
          <cell r="C22905" t="str">
            <v>Pentip V.A. C.I.W. Primary School</v>
          </cell>
          <cell r="D22905" t="str">
            <v>Carmarthenshire</v>
          </cell>
          <cell r="E22905" t="str">
            <v>Welsh Establishment</v>
          </cell>
          <cell r="F22905" t="str">
            <v>Primary</v>
          </cell>
        </row>
        <row r="22906">
          <cell r="A22906">
            <v>3822144</v>
          </cell>
          <cell r="B22906">
            <v>107690</v>
          </cell>
          <cell r="C22906" t="str">
            <v>Pentland Infant and Nursery School</v>
          </cell>
          <cell r="D22906" t="str">
            <v>Kirklees</v>
          </cell>
          <cell r="E22906" t="str">
            <v>Community School</v>
          </cell>
          <cell r="F22906" t="str">
            <v>Primary</v>
          </cell>
        </row>
        <row r="22907">
          <cell r="A22907">
            <v>8082343</v>
          </cell>
          <cell r="B22907">
            <v>111642</v>
          </cell>
          <cell r="C22907" t="str">
            <v>Pentland Primary School</v>
          </cell>
          <cell r="D22907" t="str">
            <v>Stockton-on-Tees</v>
          </cell>
          <cell r="E22907" t="str">
            <v>Community School</v>
          </cell>
          <cell r="F22907" t="str">
            <v>Primary</v>
          </cell>
        </row>
        <row r="22908">
          <cell r="A22908">
            <v>6682257</v>
          </cell>
          <cell r="B22908">
            <v>400680</v>
          </cell>
          <cell r="C22908" t="str">
            <v>Pentlepoir C.P. School</v>
          </cell>
          <cell r="D22908" t="str">
            <v>Pembrokeshire</v>
          </cell>
          <cell r="E22908" t="str">
            <v>Welsh Establishment</v>
          </cell>
          <cell r="F22908" t="str">
            <v>Primary</v>
          </cell>
        </row>
        <row r="22909">
          <cell r="A22909">
            <v>6653036</v>
          </cell>
          <cell r="B22909">
            <v>400447</v>
          </cell>
          <cell r="C22909" t="str">
            <v>Pentre Church in Wales Controlled Primary School</v>
          </cell>
          <cell r="D22909" t="str">
            <v>Wrexham</v>
          </cell>
          <cell r="E22909" t="str">
            <v>Welsh Establishment</v>
          </cell>
          <cell r="F22909" t="str">
            <v>Primary</v>
          </cell>
        </row>
        <row r="22910">
          <cell r="A22910">
            <v>6742169</v>
          </cell>
          <cell r="B22910">
            <v>401195</v>
          </cell>
          <cell r="C22910" t="str">
            <v>Pentre Primary School</v>
          </cell>
          <cell r="D22910" t="str">
            <v>Rhondda, Cynon, Taff</v>
          </cell>
          <cell r="E22910" t="str">
            <v>Welsh Establishment</v>
          </cell>
          <cell r="F22910" t="str">
            <v>Primary</v>
          </cell>
        </row>
        <row r="22911">
          <cell r="A22911">
            <v>6702241</v>
          </cell>
          <cell r="B22911">
            <v>402267</v>
          </cell>
          <cell r="C22911" t="str">
            <v>Pentre’r Graig Primary School</v>
          </cell>
          <cell r="D22911" t="str">
            <v>Swansea</v>
          </cell>
          <cell r="E22911" t="str">
            <v>Welsh Establishment</v>
          </cell>
          <cell r="F22911" t="str">
            <v>Primary</v>
          </cell>
        </row>
        <row r="22912">
          <cell r="A22912">
            <v>6752019</v>
          </cell>
          <cell r="B22912">
            <v>401277</v>
          </cell>
          <cell r="C22912" t="str">
            <v>Pentrebach Infants School</v>
          </cell>
          <cell r="D22912" t="str">
            <v>Merthyr Tydfil</v>
          </cell>
          <cell r="E22912" t="str">
            <v>Welsh Establishment</v>
          </cell>
          <cell r="F22912" t="str">
            <v>Not applicable</v>
          </cell>
        </row>
        <row r="22913">
          <cell r="A22913">
            <v>6812075</v>
          </cell>
          <cell r="B22913">
            <v>401600</v>
          </cell>
          <cell r="C22913" t="str">
            <v>Pentrebane Primary School</v>
          </cell>
          <cell r="D22913" t="str">
            <v>Cardiff</v>
          </cell>
          <cell r="E22913" t="str">
            <v>Welsh Establishment</v>
          </cell>
          <cell r="F22913" t="str">
            <v>Primary</v>
          </cell>
        </row>
        <row r="22914">
          <cell r="A22914">
            <v>6702048</v>
          </cell>
          <cell r="B22914">
            <v>400880</v>
          </cell>
          <cell r="C22914" t="str">
            <v>Pentrechwyth Primary School</v>
          </cell>
          <cell r="D22914" t="str">
            <v>Swansea</v>
          </cell>
          <cell r="E22914" t="str">
            <v>Welsh Establishment</v>
          </cell>
          <cell r="F22914" t="str">
            <v>Primary</v>
          </cell>
        </row>
        <row r="22915">
          <cell r="A22915">
            <v>6704043</v>
          </cell>
          <cell r="B22915">
            <v>401767</v>
          </cell>
          <cell r="C22915" t="str">
            <v>Pentrehafod School</v>
          </cell>
          <cell r="D22915" t="str">
            <v>Swansea</v>
          </cell>
          <cell r="E22915" t="str">
            <v>Welsh Establishment</v>
          </cell>
          <cell r="F22915" t="str">
            <v>Secondary</v>
          </cell>
        </row>
        <row r="22916">
          <cell r="A22916">
            <v>6802300</v>
          </cell>
          <cell r="B22916">
            <v>401544</v>
          </cell>
          <cell r="C22916" t="str">
            <v>Pentrepoeth C.P. School</v>
          </cell>
          <cell r="D22916" t="str">
            <v>Newport</v>
          </cell>
          <cell r="E22916" t="str">
            <v>Welsh Establishment</v>
          </cell>
          <cell r="F22916" t="str">
            <v>Primary</v>
          </cell>
        </row>
        <row r="22917">
          <cell r="A22917">
            <v>6702050</v>
          </cell>
          <cell r="B22917">
            <v>400882</v>
          </cell>
          <cell r="C22917" t="str">
            <v>Pentrepoeth Infant School</v>
          </cell>
          <cell r="D22917" t="str">
            <v>Swansea</v>
          </cell>
          <cell r="E22917" t="str">
            <v>Welsh Establishment</v>
          </cell>
          <cell r="F22917" t="str">
            <v>Primary</v>
          </cell>
        </row>
        <row r="22918">
          <cell r="A22918">
            <v>6702049</v>
          </cell>
          <cell r="B22918">
            <v>400881</v>
          </cell>
          <cell r="C22918" t="str">
            <v>Pentrepoeth Junior School</v>
          </cell>
          <cell r="D22918" t="str">
            <v>Swansea</v>
          </cell>
          <cell r="E22918" t="str">
            <v>Welsh Establishment</v>
          </cell>
          <cell r="F22918" t="str">
            <v>Primary</v>
          </cell>
        </row>
        <row r="22919">
          <cell r="A22919">
            <v>6796015</v>
          </cell>
          <cell r="B22919">
            <v>402108</v>
          </cell>
          <cell r="C22919" t="str">
            <v>Pentwyn Farmhouse</v>
          </cell>
          <cell r="D22919" t="str">
            <v>Monmouthshire</v>
          </cell>
          <cell r="E22919" t="str">
            <v>Welsh Establishment</v>
          </cell>
          <cell r="F22919" t="str">
            <v>Not applicable</v>
          </cell>
        </row>
        <row r="22920">
          <cell r="A22920">
            <v>6782117</v>
          </cell>
          <cell r="B22920">
            <v>401422</v>
          </cell>
          <cell r="C22920" t="str">
            <v>Pentwyn Primary School</v>
          </cell>
          <cell r="D22920" t="str">
            <v>Torfaen</v>
          </cell>
          <cell r="E22920" t="str">
            <v>Welsh Establishment</v>
          </cell>
          <cell r="F22920" t="str">
            <v>Primary</v>
          </cell>
        </row>
        <row r="22921">
          <cell r="A22921">
            <v>6762095</v>
          </cell>
          <cell r="B22921">
            <v>401312</v>
          </cell>
          <cell r="C22921" t="str">
            <v>Pentwynmawr Primary School</v>
          </cell>
          <cell r="D22921" t="str">
            <v>Caerphilly</v>
          </cell>
          <cell r="E22921" t="str">
            <v>Welsh Establishment</v>
          </cell>
          <cell r="F22921" t="str">
            <v>Primary</v>
          </cell>
        </row>
        <row r="22922">
          <cell r="A22922">
            <v>6812175</v>
          </cell>
          <cell r="B22922">
            <v>401630</v>
          </cell>
          <cell r="C22922" t="str">
            <v>Pentyrch Primary School</v>
          </cell>
          <cell r="D22922" t="str">
            <v>Cardiff</v>
          </cell>
          <cell r="E22922" t="str">
            <v>Welsh Establishment</v>
          </cell>
          <cell r="F22922" t="str">
            <v>Primary</v>
          </cell>
        </row>
        <row r="22923">
          <cell r="A22923">
            <v>9083386</v>
          </cell>
          <cell r="B22923">
            <v>128552</v>
          </cell>
          <cell r="C22923" t="str">
            <v>Penwerris CofE Infant School</v>
          </cell>
          <cell r="D22923" t="str">
            <v>Cornwall</v>
          </cell>
          <cell r="E22923" t="str">
            <v>Voluntary Aided School</v>
          </cell>
          <cell r="F22923" t="str">
            <v>Primary</v>
          </cell>
        </row>
        <row r="22924">
          <cell r="A22924">
            <v>9088004</v>
          </cell>
          <cell r="B22924">
            <v>130628</v>
          </cell>
          <cell r="C22924" t="str">
            <v>Penwith College</v>
          </cell>
          <cell r="D22924" t="str">
            <v>Cornwall</v>
          </cell>
          <cell r="E22924" t="str">
            <v>Further Education</v>
          </cell>
          <cell r="F22924" t="str">
            <v>16 Plus</v>
          </cell>
        </row>
        <row r="22925">
          <cell r="A22925">
            <v>8262325</v>
          </cell>
          <cell r="B22925">
            <v>110383</v>
          </cell>
          <cell r="C22925" t="str">
            <v>Penwith School</v>
          </cell>
          <cell r="D22925" t="str">
            <v>Milton Keynes</v>
          </cell>
          <cell r="E22925" t="str">
            <v>Community School</v>
          </cell>
          <cell r="F22925" t="str">
            <v>Primary</v>
          </cell>
        </row>
        <row r="22926">
          <cell r="A22926">
            <v>9081102</v>
          </cell>
          <cell r="B22926">
            <v>134753</v>
          </cell>
          <cell r="C22926" t="str">
            <v>Penwith Short Stay School</v>
          </cell>
          <cell r="D22926" t="str">
            <v>Cornwall</v>
          </cell>
          <cell r="E22926" t="str">
            <v>Pupil Referral Unit</v>
          </cell>
          <cell r="F22926" t="str">
            <v>PRU</v>
          </cell>
        </row>
        <row r="22927">
          <cell r="A22927">
            <v>9084174</v>
          </cell>
          <cell r="B22927">
            <v>128557</v>
          </cell>
          <cell r="C22927" t="str">
            <v>Penwith Sixth Form College</v>
          </cell>
          <cell r="D22927" t="str">
            <v>Cornwall</v>
          </cell>
          <cell r="E22927" t="str">
            <v>Community School</v>
          </cell>
          <cell r="F22927" t="str">
            <v>Secondary</v>
          </cell>
        </row>
        <row r="22928">
          <cell r="A22928">
            <v>8357018</v>
          </cell>
          <cell r="B22928">
            <v>113964</v>
          </cell>
          <cell r="C22928" t="str">
            <v>Penwithen School</v>
          </cell>
          <cell r="D22928" t="str">
            <v>Dorset</v>
          </cell>
          <cell r="E22928" t="str">
            <v>Community Special School</v>
          </cell>
          <cell r="F22928" t="str">
            <v>Special</v>
          </cell>
        </row>
        <row r="22929">
          <cell r="A22929">
            <v>8882815</v>
          </cell>
          <cell r="B22929">
            <v>119337</v>
          </cell>
          <cell r="C22929" t="str">
            <v>Penwortham Broad Oak Primary School</v>
          </cell>
          <cell r="D22929" t="str">
            <v>Lancashire</v>
          </cell>
          <cell r="E22929" t="str">
            <v>Community School</v>
          </cell>
          <cell r="F22929" t="str">
            <v>Primary</v>
          </cell>
        </row>
        <row r="22930">
          <cell r="A22930">
            <v>8884332</v>
          </cell>
          <cell r="B22930">
            <v>119765</v>
          </cell>
          <cell r="C22930" t="str">
            <v>Penwortham Girls' High School</v>
          </cell>
          <cell r="D22930" t="str">
            <v>Lancashire</v>
          </cell>
          <cell r="E22930" t="str">
            <v>Community School</v>
          </cell>
          <cell r="F22930" t="str">
            <v>Secondary</v>
          </cell>
        </row>
        <row r="22931">
          <cell r="A22931">
            <v>8883089</v>
          </cell>
          <cell r="B22931">
            <v>119382</v>
          </cell>
          <cell r="C22931" t="str">
            <v>Penwortham Middleforth Church of England Primary School</v>
          </cell>
          <cell r="D22931" t="str">
            <v>Lancashire</v>
          </cell>
          <cell r="E22931" t="str">
            <v>Voluntary Controlled School</v>
          </cell>
          <cell r="F22931" t="str">
            <v>Primary</v>
          </cell>
        </row>
        <row r="22932">
          <cell r="A22932">
            <v>2122467</v>
          </cell>
          <cell r="B22932">
            <v>101016</v>
          </cell>
          <cell r="C22932" t="str">
            <v>Penwortham Primary School</v>
          </cell>
          <cell r="D22932" t="str">
            <v>Wandsworth</v>
          </cell>
          <cell r="E22932" t="str">
            <v>Community School</v>
          </cell>
          <cell r="F22932" t="str">
            <v>Primary</v>
          </cell>
        </row>
        <row r="22933">
          <cell r="A22933">
            <v>8882058</v>
          </cell>
          <cell r="B22933">
            <v>119157</v>
          </cell>
          <cell r="C22933" t="str">
            <v>Penwortham Primary School</v>
          </cell>
          <cell r="D22933" t="str">
            <v>Lancashire</v>
          </cell>
          <cell r="E22933" t="str">
            <v>Community School</v>
          </cell>
          <cell r="F22933" t="str">
            <v>Primary</v>
          </cell>
        </row>
        <row r="22934">
          <cell r="A22934">
            <v>8883953</v>
          </cell>
          <cell r="B22934">
            <v>119699</v>
          </cell>
          <cell r="C22934" t="str">
            <v>Penwortham, St Teresa's Catholic Primary School</v>
          </cell>
          <cell r="D22934" t="str">
            <v>Lancashire</v>
          </cell>
          <cell r="E22934" t="str">
            <v>Voluntary Aided School</v>
          </cell>
          <cell r="F22934" t="str">
            <v>Primary</v>
          </cell>
        </row>
        <row r="22935">
          <cell r="A22935">
            <v>6666050</v>
          </cell>
          <cell r="B22935">
            <v>402247</v>
          </cell>
          <cell r="C22935" t="str">
            <v>Pen-Y-Banc School</v>
          </cell>
          <cell r="D22935" t="str">
            <v>Powys</v>
          </cell>
          <cell r="E22935" t="str">
            <v>Welsh Establishment</v>
          </cell>
          <cell r="F22935" t="str">
            <v>Not applicable</v>
          </cell>
        </row>
        <row r="22936">
          <cell r="A22936">
            <v>6722220</v>
          </cell>
          <cell r="B22936">
            <v>401052</v>
          </cell>
          <cell r="C22936" t="str">
            <v>Penybont Primary School</v>
          </cell>
          <cell r="D22936" t="str">
            <v>Bridgend</v>
          </cell>
          <cell r="E22936" t="str">
            <v>Welsh Establishment</v>
          </cell>
          <cell r="F22936" t="str">
            <v>Primary</v>
          </cell>
        </row>
        <row r="22937">
          <cell r="A22937">
            <v>6812069</v>
          </cell>
          <cell r="B22937">
            <v>401595</v>
          </cell>
          <cell r="C22937" t="str">
            <v>Pen-Y-Bryn Primary School</v>
          </cell>
          <cell r="D22937" t="str">
            <v>Cardiff</v>
          </cell>
          <cell r="E22937" t="str">
            <v>Welsh Establishment</v>
          </cell>
          <cell r="F22937" t="str">
            <v>Primary</v>
          </cell>
        </row>
        <row r="22938">
          <cell r="A22938">
            <v>6707000</v>
          </cell>
          <cell r="B22938">
            <v>401910</v>
          </cell>
          <cell r="C22938" t="str">
            <v>Penybryn Senior Special School</v>
          </cell>
          <cell r="D22938" t="str">
            <v>Swansea</v>
          </cell>
          <cell r="E22938" t="str">
            <v>Welsh Establishment</v>
          </cell>
          <cell r="F22938" t="str">
            <v>Not applicable</v>
          </cell>
        </row>
        <row r="22939">
          <cell r="A22939">
            <v>6662121</v>
          </cell>
          <cell r="B22939">
            <v>400530</v>
          </cell>
          <cell r="C22939" t="str">
            <v>Penycae C.P. School</v>
          </cell>
          <cell r="D22939" t="str">
            <v>Powys</v>
          </cell>
          <cell r="E22939" t="str">
            <v>Welsh Establishment</v>
          </cell>
          <cell r="F22939" t="str">
            <v>Primary</v>
          </cell>
        </row>
        <row r="22940">
          <cell r="A22940">
            <v>6652275</v>
          </cell>
          <cell r="B22940">
            <v>135682</v>
          </cell>
          <cell r="C22940" t="str">
            <v>Penycae Community Primary School</v>
          </cell>
          <cell r="D22940" t="str">
            <v>Wrexham</v>
          </cell>
          <cell r="E22940" t="str">
            <v>Welsh Establishment</v>
          </cell>
          <cell r="F22940" t="str">
            <v>Primary</v>
          </cell>
        </row>
        <row r="22941">
          <cell r="A22941">
            <v>6652155</v>
          </cell>
          <cell r="B22941">
            <v>400402</v>
          </cell>
          <cell r="C22941" t="str">
            <v>Penycae Infants School</v>
          </cell>
          <cell r="D22941" t="str">
            <v>Wrexham</v>
          </cell>
          <cell r="E22941" t="str">
            <v>Welsh Establishment</v>
          </cell>
          <cell r="F22941" t="str">
            <v>Primary</v>
          </cell>
        </row>
        <row r="22942">
          <cell r="A22942">
            <v>6652154</v>
          </cell>
          <cell r="B22942">
            <v>400401</v>
          </cell>
          <cell r="C22942" t="str">
            <v>Penycae Junior C.P. School</v>
          </cell>
          <cell r="D22942" t="str">
            <v>Wrexham</v>
          </cell>
          <cell r="E22942" t="str">
            <v>Welsh Establishment</v>
          </cell>
          <cell r="F22942" t="str">
            <v>Primary</v>
          </cell>
        </row>
        <row r="22943">
          <cell r="A22943">
            <v>6777011</v>
          </cell>
          <cell r="B22943">
            <v>401925</v>
          </cell>
          <cell r="C22943" t="str">
            <v>Pen-Y-Cwm Special School</v>
          </cell>
          <cell r="D22943" t="str">
            <v>Blaenau Gwent</v>
          </cell>
          <cell r="E22943" t="str">
            <v>Welsh Establishment</v>
          </cell>
          <cell r="F22943" t="str">
            <v>Not applicable</v>
          </cell>
        </row>
        <row r="22944">
          <cell r="A22944">
            <v>6754012</v>
          </cell>
          <cell r="B22944">
            <v>401826</v>
          </cell>
          <cell r="C22944" t="str">
            <v>Pen-Y-Dre High School</v>
          </cell>
          <cell r="D22944" t="str">
            <v>Merthyr Tydfil</v>
          </cell>
          <cell r="E22944" t="str">
            <v>Welsh Establishment</v>
          </cell>
          <cell r="F22944" t="str">
            <v>Secondary</v>
          </cell>
        </row>
        <row r="22945">
          <cell r="A22945">
            <v>6723013</v>
          </cell>
          <cell r="B22945">
            <v>401079</v>
          </cell>
          <cell r="C22945" t="str">
            <v>Penyfai C.I.W. Primary</v>
          </cell>
          <cell r="D22945" t="str">
            <v>Bridgend</v>
          </cell>
          <cell r="E22945" t="str">
            <v>Welsh Establishment</v>
          </cell>
          <cell r="F22945" t="str">
            <v>Primary</v>
          </cell>
        </row>
        <row r="22946">
          <cell r="A22946">
            <v>6642075</v>
          </cell>
          <cell r="B22946">
            <v>400354</v>
          </cell>
          <cell r="C22946" t="str">
            <v>Penyffordd Junior School</v>
          </cell>
          <cell r="D22946" t="str">
            <v>Flintshire</v>
          </cell>
          <cell r="E22946" t="str">
            <v>Welsh Establishment</v>
          </cell>
          <cell r="F22946" t="str">
            <v>Primary</v>
          </cell>
        </row>
        <row r="22947">
          <cell r="A22947">
            <v>6696011</v>
          </cell>
          <cell r="B22947">
            <v>402105</v>
          </cell>
          <cell r="C22947" t="str">
            <v>Penygaer House</v>
          </cell>
          <cell r="D22947" t="str">
            <v>Carmarthenshire</v>
          </cell>
          <cell r="E22947" t="str">
            <v>Welsh Establishment</v>
          </cell>
          <cell r="F22947" t="str">
            <v>Not applicable</v>
          </cell>
        </row>
        <row r="22948">
          <cell r="A22948">
            <v>6692190</v>
          </cell>
          <cell r="B22948">
            <v>400827</v>
          </cell>
          <cell r="C22948" t="str">
            <v>Penygaer Primary School</v>
          </cell>
          <cell r="D22948" t="str">
            <v>Carmarthenshire</v>
          </cell>
          <cell r="E22948" t="str">
            <v>Welsh Establishment</v>
          </cell>
          <cell r="F22948" t="str">
            <v>Primary</v>
          </cell>
        </row>
        <row r="22949">
          <cell r="A22949">
            <v>6782127</v>
          </cell>
          <cell r="B22949">
            <v>401424</v>
          </cell>
          <cell r="C22949" t="str">
            <v>Penygarn Infant School</v>
          </cell>
          <cell r="D22949" t="str">
            <v>Torfaen</v>
          </cell>
          <cell r="E22949" t="str">
            <v>Welsh Establishment</v>
          </cell>
          <cell r="F22949" t="str">
            <v>Primary</v>
          </cell>
        </row>
        <row r="22950">
          <cell r="A22950">
            <v>6782225</v>
          </cell>
          <cell r="B22950">
            <v>401438</v>
          </cell>
          <cell r="C22950" t="str">
            <v>Penygarn Junior School</v>
          </cell>
          <cell r="D22950" t="str">
            <v>Torfaen</v>
          </cell>
          <cell r="E22950" t="str">
            <v>Welsh Establishment</v>
          </cell>
          <cell r="F22950" t="str">
            <v>Primary</v>
          </cell>
        </row>
        <row r="22951">
          <cell r="A22951">
            <v>6782322</v>
          </cell>
          <cell r="B22951">
            <v>402143</v>
          </cell>
          <cell r="C22951" t="str">
            <v>Penygarn Primary School</v>
          </cell>
          <cell r="D22951" t="str">
            <v>Torfaen</v>
          </cell>
          <cell r="E22951" t="str">
            <v>Welsh Establishment</v>
          </cell>
          <cell r="F22951" t="str">
            <v>Primary</v>
          </cell>
        </row>
        <row r="22952">
          <cell r="A22952">
            <v>6742276</v>
          </cell>
          <cell r="B22952">
            <v>401243</v>
          </cell>
          <cell r="C22952" t="str">
            <v>Penygawsi Primary School</v>
          </cell>
          <cell r="D22952" t="str">
            <v>Rhondda, Cynon, Taff</v>
          </cell>
          <cell r="E22952" t="str">
            <v>Welsh Establishment</v>
          </cell>
          <cell r="F22952" t="str">
            <v>Primary</v>
          </cell>
        </row>
        <row r="22953">
          <cell r="A22953">
            <v>6652266</v>
          </cell>
          <cell r="B22953">
            <v>400444</v>
          </cell>
          <cell r="C22953" t="str">
            <v>Penygelli Primary</v>
          </cell>
          <cell r="D22953" t="str">
            <v>Wrexham</v>
          </cell>
          <cell r="E22953" t="str">
            <v>Welsh Establishment</v>
          </cell>
          <cell r="F22953" t="str">
            <v>Primary</v>
          </cell>
        </row>
        <row r="22954">
          <cell r="A22954">
            <v>6662040</v>
          </cell>
          <cell r="B22954">
            <v>400480</v>
          </cell>
          <cell r="C22954" t="str">
            <v>Penygloddfa C.P. School</v>
          </cell>
          <cell r="D22954" t="str">
            <v>Powys</v>
          </cell>
          <cell r="E22954" t="str">
            <v>Welsh Establishment</v>
          </cell>
          <cell r="F22954" t="str">
            <v>Primary</v>
          </cell>
        </row>
        <row r="22955">
          <cell r="A22955">
            <v>6742179</v>
          </cell>
          <cell r="B22955">
            <v>401199</v>
          </cell>
          <cell r="C22955" t="str">
            <v>Penygraig Infants School</v>
          </cell>
          <cell r="D22955" t="str">
            <v>Rhondda, Cynon, Taff</v>
          </cell>
          <cell r="E22955" t="str">
            <v>Welsh Establishment</v>
          </cell>
          <cell r="F22955" t="str">
            <v>Primary</v>
          </cell>
        </row>
        <row r="22956">
          <cell r="A22956">
            <v>6742176</v>
          </cell>
          <cell r="B22956">
            <v>401198</v>
          </cell>
          <cell r="C22956" t="str">
            <v>Penygraig Junior School</v>
          </cell>
          <cell r="D22956" t="str">
            <v>Rhondda, Cynon, Taff</v>
          </cell>
          <cell r="E22956" t="str">
            <v>Welsh Establishment</v>
          </cell>
          <cell r="F22956" t="str">
            <v>Primary</v>
          </cell>
        </row>
        <row r="22957">
          <cell r="A22957">
            <v>6692193</v>
          </cell>
          <cell r="B22957">
            <v>400829</v>
          </cell>
          <cell r="C22957" t="str">
            <v>Penygroes C.P. School</v>
          </cell>
          <cell r="D22957" t="str">
            <v>Carmarthenshire</v>
          </cell>
          <cell r="E22957" t="str">
            <v>Welsh Establishment</v>
          </cell>
          <cell r="F22957" t="str">
            <v>Primary</v>
          </cell>
        </row>
        <row r="22958">
          <cell r="A22958">
            <v>6742191</v>
          </cell>
          <cell r="B22958">
            <v>401205</v>
          </cell>
          <cell r="C22958" t="str">
            <v>Penyrenglyn Infant School</v>
          </cell>
          <cell r="D22958" t="str">
            <v>Rhondda, Cynon, Taff</v>
          </cell>
          <cell r="E22958" t="str">
            <v>Welsh Establishment</v>
          </cell>
          <cell r="F22958" t="str">
            <v>Not applicable</v>
          </cell>
        </row>
        <row r="22959">
          <cell r="A22959">
            <v>6742183</v>
          </cell>
          <cell r="B22959">
            <v>401202</v>
          </cell>
          <cell r="C22959" t="str">
            <v>Penyrenglyn Junior  School</v>
          </cell>
          <cell r="D22959" t="str">
            <v>Rhondda, Cynon, Taff</v>
          </cell>
          <cell r="E22959" t="str">
            <v>Welsh Establishment</v>
          </cell>
          <cell r="F22959" t="str">
            <v>Not applicable</v>
          </cell>
        </row>
        <row r="22960">
          <cell r="A22960">
            <v>6742371</v>
          </cell>
          <cell r="B22960">
            <v>402035</v>
          </cell>
          <cell r="C22960" t="str">
            <v>Penyrenglyn Primary School</v>
          </cell>
          <cell r="D22960" t="str">
            <v>Rhondda, Cynon, Taff</v>
          </cell>
          <cell r="E22960" t="str">
            <v>Welsh Establishment</v>
          </cell>
          <cell r="F22960" t="str">
            <v>Primary</v>
          </cell>
        </row>
        <row r="22961">
          <cell r="A22961">
            <v>6704062</v>
          </cell>
          <cell r="B22961">
            <v>401769</v>
          </cell>
          <cell r="C22961" t="str">
            <v>Penyrheol Comprehensive School</v>
          </cell>
          <cell r="D22961" t="str">
            <v>Swansea</v>
          </cell>
          <cell r="E22961" t="str">
            <v>Welsh Establishment</v>
          </cell>
          <cell r="F22961" t="str">
            <v>Secondary</v>
          </cell>
        </row>
        <row r="22962">
          <cell r="A22962">
            <v>6702176</v>
          </cell>
          <cell r="B22962">
            <v>400925</v>
          </cell>
          <cell r="C22962" t="str">
            <v>Penyrheol Primary School</v>
          </cell>
          <cell r="D22962" t="str">
            <v>Swansea</v>
          </cell>
          <cell r="E22962" t="str">
            <v>Welsh Establishment</v>
          </cell>
          <cell r="F22962" t="str">
            <v>Primary</v>
          </cell>
        </row>
        <row r="22963">
          <cell r="A22963">
            <v>6742212</v>
          </cell>
          <cell r="B22963">
            <v>401214</v>
          </cell>
          <cell r="C22963" t="str">
            <v>Penywaun Infants School</v>
          </cell>
          <cell r="D22963" t="str">
            <v>Rhondda, Cynon, Taff</v>
          </cell>
          <cell r="E22963" t="str">
            <v>Welsh Establishment</v>
          </cell>
          <cell r="F22963" t="str">
            <v>Not applicable</v>
          </cell>
        </row>
        <row r="22964">
          <cell r="A22964">
            <v>6742230</v>
          </cell>
          <cell r="B22964">
            <v>401224</v>
          </cell>
          <cell r="C22964" t="str">
            <v>Penywaun Junior School</v>
          </cell>
          <cell r="D22964" t="str">
            <v>Rhondda, Cynon, Taff</v>
          </cell>
          <cell r="E22964" t="str">
            <v>Welsh Establishment</v>
          </cell>
          <cell r="F22964" t="str">
            <v>Not applicable</v>
          </cell>
        </row>
        <row r="22965">
          <cell r="A22965">
            <v>6742372</v>
          </cell>
          <cell r="B22965">
            <v>402036</v>
          </cell>
          <cell r="C22965" t="str">
            <v>Penywaun Primary School</v>
          </cell>
          <cell r="D22965" t="str">
            <v>Rhondda, Cynon, Taff</v>
          </cell>
          <cell r="E22965" t="str">
            <v>Welsh Establishment</v>
          </cell>
          <cell r="F22965" t="str">
            <v>Primary</v>
          </cell>
        </row>
        <row r="22966">
          <cell r="A22966">
            <v>9082007</v>
          </cell>
          <cell r="B22966">
            <v>111795</v>
          </cell>
          <cell r="C22966" t="str">
            <v>Penzance Infant School</v>
          </cell>
          <cell r="D22966" t="str">
            <v>Cornwall</v>
          </cell>
          <cell r="E22966" t="str">
            <v>Community School</v>
          </cell>
          <cell r="F22966" t="str">
            <v>Primary</v>
          </cell>
        </row>
        <row r="22967">
          <cell r="A22967">
            <v>9082013</v>
          </cell>
          <cell r="B22967">
            <v>111797</v>
          </cell>
          <cell r="C22967" t="str">
            <v>Penzance Junior School</v>
          </cell>
          <cell r="D22967" t="str">
            <v>Cornwall</v>
          </cell>
          <cell r="E22967" t="str">
            <v>Community School</v>
          </cell>
          <cell r="F22967" t="str">
            <v>Primary</v>
          </cell>
        </row>
        <row r="22968">
          <cell r="A22968">
            <v>2046404</v>
          </cell>
          <cell r="B22968">
            <v>131994</v>
          </cell>
          <cell r="C22968" t="str">
            <v>People's Trust Preparatory School</v>
          </cell>
          <cell r="D22968" t="str">
            <v>Hackney</v>
          </cell>
          <cell r="E22968" t="str">
            <v>Other Independent School</v>
          </cell>
          <cell r="F22968" t="str">
            <v>Not applicable</v>
          </cell>
        </row>
        <row r="22969">
          <cell r="A22969">
            <v>8953159</v>
          </cell>
          <cell r="B22969">
            <v>111278</v>
          </cell>
          <cell r="C22969" t="str">
            <v>Peover Superior Endowed Controlled Primary School</v>
          </cell>
          <cell r="D22969" t="str">
            <v>Cheshire East</v>
          </cell>
          <cell r="E22969" t="str">
            <v>Voluntary Controlled School</v>
          </cell>
          <cell r="F22969" t="str">
            <v>Primary</v>
          </cell>
        </row>
        <row r="22970">
          <cell r="A22970">
            <v>9367059</v>
          </cell>
          <cell r="B22970">
            <v>130143</v>
          </cell>
          <cell r="C22970" t="str">
            <v>Peper Harow School</v>
          </cell>
          <cell r="D22970" t="str">
            <v>Surrey</v>
          </cell>
          <cell r="E22970" t="str">
            <v>Community Special School</v>
          </cell>
          <cell r="F22970" t="str">
            <v>Special</v>
          </cell>
        </row>
        <row r="22971">
          <cell r="A22971">
            <v>9313205</v>
          </cell>
          <cell r="B22971">
            <v>123135</v>
          </cell>
          <cell r="C22971" t="str">
            <v>Peppard Church of England Primary School</v>
          </cell>
          <cell r="D22971" t="str">
            <v>Oxfordshire</v>
          </cell>
          <cell r="E22971" t="str">
            <v>Voluntary Controlled School</v>
          </cell>
          <cell r="F22971" t="str">
            <v>Primary</v>
          </cell>
        </row>
        <row r="22972">
          <cell r="A22972">
            <v>8262247</v>
          </cell>
          <cell r="B22972">
            <v>110330</v>
          </cell>
          <cell r="C22972" t="str">
            <v>Pepper Hill School</v>
          </cell>
          <cell r="D22972" t="str">
            <v>Milton Keynes</v>
          </cell>
          <cell r="E22972" t="str">
            <v>Community School</v>
          </cell>
          <cell r="F22972" t="str">
            <v>Primary</v>
          </cell>
        </row>
        <row r="22973">
          <cell r="A22973">
            <v>3546009</v>
          </cell>
          <cell r="B22973">
            <v>131085</v>
          </cell>
          <cell r="C22973" t="str">
            <v>Peppercorn</v>
          </cell>
          <cell r="D22973" t="str">
            <v>Rochdale</v>
          </cell>
          <cell r="E22973" t="str">
            <v>Other Independent Special School</v>
          </cell>
          <cell r="F22973" t="str">
            <v>Not applicable</v>
          </cell>
        </row>
        <row r="22974">
          <cell r="A22974">
            <v>3927006</v>
          </cell>
          <cell r="B22974">
            <v>108657</v>
          </cell>
          <cell r="C22974" t="str">
            <v>Percy Hedley School</v>
          </cell>
          <cell r="D22974" t="str">
            <v>North Tyneside</v>
          </cell>
          <cell r="E22974" t="str">
            <v>Non-Maintained Special School</v>
          </cell>
          <cell r="F22974" t="str">
            <v>Special</v>
          </cell>
        </row>
        <row r="22975">
          <cell r="A22975">
            <v>3922008</v>
          </cell>
          <cell r="B22975">
            <v>108572</v>
          </cell>
          <cell r="C22975" t="str">
            <v>Percy Main Primary School</v>
          </cell>
          <cell r="D22975" t="str">
            <v>North Tyneside</v>
          </cell>
          <cell r="E22975" t="str">
            <v>Community School</v>
          </cell>
          <cell r="F22975" t="str">
            <v>Primary</v>
          </cell>
        </row>
        <row r="22976">
          <cell r="A22976">
            <v>3302440</v>
          </cell>
          <cell r="B22976">
            <v>103367</v>
          </cell>
          <cell r="C22976" t="str">
            <v>Percy Shurmer Primary School</v>
          </cell>
          <cell r="D22976" t="str">
            <v>Birmingham</v>
          </cell>
          <cell r="E22976" t="str">
            <v>Community School</v>
          </cell>
          <cell r="F22976" t="str">
            <v>Primary</v>
          </cell>
        </row>
        <row r="22977">
          <cell r="A22977">
            <v>3923300</v>
          </cell>
          <cell r="B22977">
            <v>108613</v>
          </cell>
          <cell r="C22977" t="str">
            <v>Percy St John's CofE Aided Primary School</v>
          </cell>
          <cell r="D22977" t="str">
            <v>North Tyneside</v>
          </cell>
          <cell r="E22977" t="str">
            <v>Voluntary Aided School</v>
          </cell>
          <cell r="F22977" t="str">
            <v>Primary</v>
          </cell>
        </row>
        <row r="22978">
          <cell r="A22978">
            <v>8852173</v>
          </cell>
          <cell r="B22978">
            <v>116755</v>
          </cell>
          <cell r="C22978" t="str">
            <v>Perdiswell Primary School</v>
          </cell>
          <cell r="D22978" t="str">
            <v>Worcestershire</v>
          </cell>
          <cell r="E22978" t="str">
            <v>Community School</v>
          </cell>
          <cell r="F22978" t="str">
            <v>Primary</v>
          </cell>
        </row>
        <row r="22979">
          <cell r="A22979">
            <v>7022076</v>
          </cell>
          <cell r="B22979">
            <v>133010</v>
          </cell>
          <cell r="C22979" t="str">
            <v>Pergamos Primary School</v>
          </cell>
          <cell r="D22979" t="str">
            <v>BFPO Overseas Establishments</v>
          </cell>
          <cell r="E22979" t="str">
            <v>Service Childrens Education</v>
          </cell>
          <cell r="F22979" t="str">
            <v>Not applicable</v>
          </cell>
        </row>
        <row r="22980">
          <cell r="A22980">
            <v>8504130</v>
          </cell>
          <cell r="B22980">
            <v>116417</v>
          </cell>
          <cell r="C22980" t="str">
            <v>Perins School A Community Sports College</v>
          </cell>
          <cell r="D22980" t="str">
            <v>Hampshire</v>
          </cell>
          <cell r="E22980" t="str">
            <v>Foundation School</v>
          </cell>
          <cell r="F22980" t="str">
            <v>Secondary</v>
          </cell>
        </row>
        <row r="22981">
          <cell r="A22981">
            <v>8504130</v>
          </cell>
          <cell r="B22981">
            <v>137128</v>
          </cell>
          <cell r="C22981" t="str">
            <v>Perins School A Community Sports College</v>
          </cell>
          <cell r="D22981" t="str">
            <v>Hampshire</v>
          </cell>
          <cell r="E22981" t="str">
            <v>Academy Converters</v>
          </cell>
          <cell r="F22981" t="str">
            <v>Secondary</v>
          </cell>
        </row>
        <row r="22982">
          <cell r="A22982">
            <v>8027010</v>
          </cell>
          <cell r="B22982">
            <v>109390</v>
          </cell>
          <cell r="C22982" t="str">
            <v>Periton Mead School</v>
          </cell>
          <cell r="D22982" t="str">
            <v>North Somerset</v>
          </cell>
          <cell r="E22982" t="str">
            <v>Community Special School</v>
          </cell>
          <cell r="F22982" t="str">
            <v>Special</v>
          </cell>
        </row>
        <row r="22983">
          <cell r="A22983">
            <v>3072119</v>
          </cell>
          <cell r="B22983">
            <v>126853</v>
          </cell>
          <cell r="C22983" t="str">
            <v>Perivale First School</v>
          </cell>
          <cell r="D22983" t="str">
            <v>Ealing</v>
          </cell>
          <cell r="E22983" t="str">
            <v>Community School</v>
          </cell>
          <cell r="F22983" t="str">
            <v>Primary</v>
          </cell>
        </row>
        <row r="22984">
          <cell r="A22984">
            <v>3072120</v>
          </cell>
          <cell r="B22984">
            <v>126854</v>
          </cell>
          <cell r="C22984" t="str">
            <v>Perivale Middle School</v>
          </cell>
          <cell r="D22984" t="str">
            <v>Ealing</v>
          </cell>
          <cell r="E22984" t="str">
            <v>Community School</v>
          </cell>
          <cell r="F22984" t="str">
            <v>Middle Deemed Primary</v>
          </cell>
        </row>
        <row r="22985">
          <cell r="A22985">
            <v>3072176</v>
          </cell>
          <cell r="B22985">
            <v>101906</v>
          </cell>
          <cell r="C22985" t="str">
            <v>Perivale Primary School</v>
          </cell>
          <cell r="D22985" t="str">
            <v>Ealing</v>
          </cell>
          <cell r="E22985" t="str">
            <v>Community School</v>
          </cell>
          <cell r="F22985" t="str">
            <v>Primary</v>
          </cell>
        </row>
        <row r="22986">
          <cell r="A22986">
            <v>3076083</v>
          </cell>
          <cell r="B22986">
            <v>134567</v>
          </cell>
          <cell r="C22986" t="str">
            <v>Perivale Study Centre</v>
          </cell>
          <cell r="D22986" t="str">
            <v>Ealing</v>
          </cell>
          <cell r="E22986" t="str">
            <v>Other Independent School</v>
          </cell>
          <cell r="F22986" t="str">
            <v>Not applicable</v>
          </cell>
        </row>
        <row r="22987">
          <cell r="A22987">
            <v>9082306</v>
          </cell>
          <cell r="B22987">
            <v>111863</v>
          </cell>
          <cell r="C22987" t="str">
            <v>Perran-Ar-Worthal Community Primary School</v>
          </cell>
          <cell r="D22987" t="str">
            <v>Cornwall</v>
          </cell>
          <cell r="E22987" t="str">
            <v>Community School</v>
          </cell>
          <cell r="F22987" t="str">
            <v>Primary</v>
          </cell>
        </row>
        <row r="22988">
          <cell r="A22988">
            <v>9082325</v>
          </cell>
          <cell r="B22988">
            <v>111876</v>
          </cell>
          <cell r="C22988" t="str">
            <v>Perranporth Community Primary School</v>
          </cell>
          <cell r="D22988" t="str">
            <v>Cornwall</v>
          </cell>
          <cell r="E22988" t="str">
            <v>Community School</v>
          </cell>
          <cell r="F22988" t="str">
            <v>Primary</v>
          </cell>
        </row>
        <row r="22989">
          <cell r="A22989">
            <v>8104002</v>
          </cell>
          <cell r="B22989">
            <v>118062</v>
          </cell>
          <cell r="C22989" t="str">
            <v>Perronet Thompson School</v>
          </cell>
          <cell r="D22989" t="str">
            <v>Kingston upon Hull City of</v>
          </cell>
          <cell r="E22989" t="str">
            <v>Community School</v>
          </cell>
          <cell r="F22989" t="str">
            <v>Secondary</v>
          </cell>
        </row>
        <row r="22990">
          <cell r="A22990">
            <v>9204230</v>
          </cell>
          <cell r="B22990">
            <v>129285</v>
          </cell>
          <cell r="C22990" t="str">
            <v>Perronet Thompson School</v>
          </cell>
          <cell r="D22990" t="str">
            <v>Pre LGR (1996) Humberside</v>
          </cell>
          <cell r="E22990" t="str">
            <v>Community School</v>
          </cell>
          <cell r="F22990" t="str">
            <v>Secondary</v>
          </cell>
        </row>
        <row r="22991">
          <cell r="A22991">
            <v>9336016</v>
          </cell>
          <cell r="B22991">
            <v>123908</v>
          </cell>
          <cell r="C22991" t="str">
            <v>Perrott Hill School</v>
          </cell>
          <cell r="D22991" t="str">
            <v>Somerset</v>
          </cell>
          <cell r="E22991" t="str">
            <v>Other Independent School</v>
          </cell>
          <cell r="F22991" t="str">
            <v>Not applicable</v>
          </cell>
        </row>
        <row r="22992">
          <cell r="A22992">
            <v>3302017</v>
          </cell>
          <cell r="B22992">
            <v>103164</v>
          </cell>
          <cell r="C22992" t="str">
            <v>Perry Beeches Infant School</v>
          </cell>
          <cell r="D22992" t="str">
            <v>Birmingham</v>
          </cell>
          <cell r="E22992" t="str">
            <v>Community School</v>
          </cell>
          <cell r="F22992" t="str">
            <v>Primary</v>
          </cell>
        </row>
        <row r="22993">
          <cell r="A22993">
            <v>3302016</v>
          </cell>
          <cell r="B22993">
            <v>103163</v>
          </cell>
          <cell r="C22993" t="str">
            <v>Perry Beeches Junior School</v>
          </cell>
          <cell r="D22993" t="str">
            <v>Birmingham</v>
          </cell>
          <cell r="E22993" t="str">
            <v>Community School</v>
          </cell>
          <cell r="F22993" t="str">
            <v>Primary</v>
          </cell>
        </row>
        <row r="22994">
          <cell r="A22994">
            <v>3301008</v>
          </cell>
          <cell r="B22994">
            <v>103123</v>
          </cell>
          <cell r="C22994" t="str">
            <v>Perry Beeches Nursery School</v>
          </cell>
          <cell r="D22994" t="str">
            <v>Birmingham</v>
          </cell>
          <cell r="E22994" t="str">
            <v>LA Nursery School</v>
          </cell>
          <cell r="F22994" t="str">
            <v>Nursery</v>
          </cell>
        </row>
        <row r="22995">
          <cell r="A22995">
            <v>3304109</v>
          </cell>
          <cell r="B22995">
            <v>103492</v>
          </cell>
          <cell r="C22995" t="str">
            <v>Perry Beeches School</v>
          </cell>
          <cell r="D22995" t="str">
            <v>Birmingham</v>
          </cell>
          <cell r="E22995" t="str">
            <v>Community School</v>
          </cell>
          <cell r="F22995" t="str">
            <v>Secondary</v>
          </cell>
        </row>
        <row r="22996">
          <cell r="A22996">
            <v>3592055</v>
          </cell>
          <cell r="B22996">
            <v>106432</v>
          </cell>
          <cell r="C22996" t="str">
            <v>Perry Brook Community Primary School</v>
          </cell>
          <cell r="D22996" t="str">
            <v>Wigan</v>
          </cell>
          <cell r="E22996" t="str">
            <v>Community School</v>
          </cell>
          <cell r="F22996" t="str">
            <v>Primary</v>
          </cell>
        </row>
        <row r="22997">
          <cell r="A22997">
            <v>3302097</v>
          </cell>
          <cell r="B22997">
            <v>103213</v>
          </cell>
          <cell r="C22997" t="str">
            <v>Perry Common Junior and Infant School (NC)</v>
          </cell>
          <cell r="D22997" t="str">
            <v>Birmingham</v>
          </cell>
          <cell r="E22997" t="str">
            <v>Community School</v>
          </cell>
          <cell r="F22997" t="str">
            <v>Primary</v>
          </cell>
        </row>
        <row r="22998">
          <cell r="A22998">
            <v>8012304</v>
          </cell>
          <cell r="B22998">
            <v>109111</v>
          </cell>
          <cell r="C22998" t="str">
            <v>Perry Court Infant School</v>
          </cell>
          <cell r="D22998" t="str">
            <v>Bristol City of</v>
          </cell>
          <cell r="E22998" t="str">
            <v>Community School</v>
          </cell>
          <cell r="F22998" t="str">
            <v>Primary</v>
          </cell>
        </row>
        <row r="22999">
          <cell r="A22999">
            <v>8012135</v>
          </cell>
          <cell r="B22999">
            <v>108988</v>
          </cell>
          <cell r="C22999" t="str">
            <v>Perry Court Junior School</v>
          </cell>
          <cell r="D22999" t="str">
            <v>Bristol City of</v>
          </cell>
          <cell r="E22999" t="str">
            <v>Community School</v>
          </cell>
          <cell r="F22999" t="str">
            <v>Primary</v>
          </cell>
        </row>
        <row r="23000">
          <cell r="A23000">
            <v>3362062</v>
          </cell>
          <cell r="B23000">
            <v>127218</v>
          </cell>
          <cell r="C23000" t="str">
            <v>Perry Hall Infant School</v>
          </cell>
          <cell r="D23000" t="str">
            <v>Wolverhampton</v>
          </cell>
          <cell r="E23000" t="str">
            <v>Community School</v>
          </cell>
          <cell r="F23000" t="str">
            <v>Primary</v>
          </cell>
        </row>
        <row r="23001">
          <cell r="A23001">
            <v>3362063</v>
          </cell>
          <cell r="B23001">
            <v>127219</v>
          </cell>
          <cell r="C23001" t="str">
            <v>Perry Hall Junior School</v>
          </cell>
          <cell r="D23001" t="str">
            <v>Wolverhampton</v>
          </cell>
          <cell r="E23001" t="str">
            <v>Community School</v>
          </cell>
          <cell r="F23001" t="str">
            <v>Primary</v>
          </cell>
        </row>
        <row r="23002">
          <cell r="A23002">
            <v>3052079</v>
          </cell>
          <cell r="B23002">
            <v>101640</v>
          </cell>
          <cell r="C23002" t="str">
            <v>Perry Hall Primary School</v>
          </cell>
          <cell r="D23002" t="str">
            <v>Bromley</v>
          </cell>
          <cell r="E23002" t="str">
            <v>Community School</v>
          </cell>
          <cell r="F23002" t="str">
            <v>Primary</v>
          </cell>
        </row>
        <row r="23003">
          <cell r="A23003">
            <v>3362109</v>
          </cell>
          <cell r="B23003">
            <v>104348</v>
          </cell>
          <cell r="C23003" t="str">
            <v>Perry Hall Primary School</v>
          </cell>
          <cell r="D23003" t="str">
            <v>Wolverhampton</v>
          </cell>
          <cell r="E23003" t="str">
            <v>Community School</v>
          </cell>
          <cell r="F23003" t="str">
            <v>Primary</v>
          </cell>
        </row>
        <row r="23004">
          <cell r="A23004">
            <v>8853395</v>
          </cell>
          <cell r="B23004">
            <v>134922</v>
          </cell>
          <cell r="C23004" t="str">
            <v>Perry Wood Primary and Nursery School</v>
          </cell>
          <cell r="D23004" t="str">
            <v>Worcestershire</v>
          </cell>
          <cell r="E23004" t="str">
            <v>Community School</v>
          </cell>
          <cell r="F23004" t="str">
            <v>Primary</v>
          </cell>
        </row>
        <row r="23005">
          <cell r="A23005">
            <v>3334111</v>
          </cell>
          <cell r="B23005">
            <v>104012</v>
          </cell>
          <cell r="C23005" t="str">
            <v>Perryfields High School Specialist Maths and Computing College</v>
          </cell>
          <cell r="D23005" t="str">
            <v>Sandwell</v>
          </cell>
          <cell r="E23005" t="str">
            <v>Community School</v>
          </cell>
          <cell r="F23005" t="str">
            <v>Secondary</v>
          </cell>
        </row>
        <row r="23006">
          <cell r="A23006">
            <v>8812629</v>
          </cell>
          <cell r="B23006">
            <v>114924</v>
          </cell>
          <cell r="C23006" t="str">
            <v>Perryfields Infant School</v>
          </cell>
          <cell r="D23006" t="str">
            <v>Essex</v>
          </cell>
          <cell r="E23006" t="str">
            <v>Community School</v>
          </cell>
          <cell r="F23006" t="str">
            <v>Primary</v>
          </cell>
        </row>
        <row r="23007">
          <cell r="A23007">
            <v>8812589</v>
          </cell>
          <cell r="B23007">
            <v>114903</v>
          </cell>
          <cell r="C23007" t="str">
            <v>Perryfields Junior School</v>
          </cell>
          <cell r="D23007" t="str">
            <v>Essex</v>
          </cell>
          <cell r="E23007" t="str">
            <v>Community School</v>
          </cell>
          <cell r="F23007" t="str">
            <v>Primary</v>
          </cell>
        </row>
        <row r="23008">
          <cell r="A23008">
            <v>3332140</v>
          </cell>
          <cell r="B23008">
            <v>103953</v>
          </cell>
          <cell r="C23008" t="str">
            <v>Perryfields Primary School</v>
          </cell>
          <cell r="D23008" t="str">
            <v>Sandwell</v>
          </cell>
          <cell r="E23008" t="str">
            <v>Community School</v>
          </cell>
          <cell r="F23008" t="str">
            <v>Primary</v>
          </cell>
        </row>
        <row r="23009">
          <cell r="A23009">
            <v>8851103</v>
          </cell>
          <cell r="B23009">
            <v>130984</v>
          </cell>
          <cell r="C23009" t="str">
            <v>Perryfields Primary Short-Stay School</v>
          </cell>
          <cell r="D23009" t="str">
            <v>Worcestershire</v>
          </cell>
          <cell r="E23009" t="str">
            <v>Pupil Referral Unit</v>
          </cell>
          <cell r="F23009" t="str">
            <v>PRU</v>
          </cell>
        </row>
        <row r="23010">
          <cell r="A23010">
            <v>2092871</v>
          </cell>
          <cell r="B23010">
            <v>100715</v>
          </cell>
          <cell r="C23010" t="str">
            <v>Perrymount Primary School</v>
          </cell>
          <cell r="D23010" t="str">
            <v>Lewisham</v>
          </cell>
          <cell r="E23010" t="str">
            <v>Community School</v>
          </cell>
          <cell r="F23010" t="str">
            <v>Primary</v>
          </cell>
        </row>
        <row r="23011">
          <cell r="A23011">
            <v>9056084</v>
          </cell>
          <cell r="B23011">
            <v>128389</v>
          </cell>
          <cell r="C23011" t="str">
            <v>Perse Preparatory School</v>
          </cell>
          <cell r="D23011" t="str">
            <v>Pre LGR (1998) Cambridgeshire</v>
          </cell>
          <cell r="E23011" t="str">
            <v>Other Independent School</v>
          </cell>
          <cell r="F23011" t="str">
            <v>Not applicable</v>
          </cell>
        </row>
        <row r="23012">
          <cell r="A23012">
            <v>3157004</v>
          </cell>
          <cell r="B23012">
            <v>102698</v>
          </cell>
          <cell r="C23012" t="str">
            <v>Perseid School</v>
          </cell>
          <cell r="D23012" t="str">
            <v>Merton</v>
          </cell>
          <cell r="E23012" t="str">
            <v>Community Special School</v>
          </cell>
          <cell r="F23012" t="str">
            <v>Special</v>
          </cell>
        </row>
        <row r="23013">
          <cell r="A23013">
            <v>8858300</v>
          </cell>
          <cell r="B23013">
            <v>130715</v>
          </cell>
          <cell r="C23013" t="str">
            <v>Pershore Group of Colleges</v>
          </cell>
          <cell r="D23013" t="str">
            <v>Worcestershire</v>
          </cell>
          <cell r="E23013" t="str">
            <v>Further Education</v>
          </cell>
          <cell r="F23013" t="str">
            <v>16 Plus</v>
          </cell>
        </row>
        <row r="23014">
          <cell r="A23014">
            <v>8854030</v>
          </cell>
          <cell r="B23014">
            <v>116943</v>
          </cell>
          <cell r="C23014" t="str">
            <v>Pershore High School</v>
          </cell>
          <cell r="D23014" t="str">
            <v>Worcestershire</v>
          </cell>
          <cell r="E23014" t="str">
            <v>Community School</v>
          </cell>
          <cell r="F23014" t="str">
            <v>Secondary</v>
          </cell>
        </row>
        <row r="23015">
          <cell r="A23015">
            <v>8854030</v>
          </cell>
          <cell r="B23015">
            <v>136925</v>
          </cell>
          <cell r="C23015" t="str">
            <v>Pershore High School</v>
          </cell>
          <cell r="D23015" t="str">
            <v>Worcestershire</v>
          </cell>
          <cell r="E23015" t="str">
            <v>Academy Converters</v>
          </cell>
          <cell r="F23015" t="str">
            <v>Secondary</v>
          </cell>
        </row>
        <row r="23016">
          <cell r="A23016">
            <v>3446004</v>
          </cell>
          <cell r="B23016">
            <v>105117</v>
          </cell>
          <cell r="C23016" t="str">
            <v>Pershore House School</v>
          </cell>
          <cell r="D23016" t="str">
            <v>Wirral</v>
          </cell>
          <cell r="E23016" t="str">
            <v>Other Independent School</v>
          </cell>
          <cell r="F23016" t="str">
            <v>Not applicable</v>
          </cell>
        </row>
        <row r="23017">
          <cell r="A23017">
            <v>6642023</v>
          </cell>
          <cell r="B23017">
            <v>400327</v>
          </cell>
          <cell r="C23017" t="str">
            <v>Perth Y Terfyn Infants School</v>
          </cell>
          <cell r="D23017" t="str">
            <v>Flintshire</v>
          </cell>
          <cell r="E23017" t="str">
            <v>Welsh Establishment</v>
          </cell>
          <cell r="F23017" t="str">
            <v>Primary</v>
          </cell>
        </row>
        <row r="23018">
          <cell r="A23018">
            <v>6742218</v>
          </cell>
          <cell r="B23018">
            <v>401216</v>
          </cell>
          <cell r="C23018" t="str">
            <v>Perthcelyn Community Primary School</v>
          </cell>
          <cell r="D23018" t="str">
            <v>Rhondda, Cynon, Taff</v>
          </cell>
          <cell r="E23018" t="str">
            <v>Welsh Establishment</v>
          </cell>
          <cell r="F23018" t="str">
            <v>Primary</v>
          </cell>
        </row>
        <row r="23019">
          <cell r="A23019">
            <v>8602372</v>
          </cell>
          <cell r="B23019">
            <v>124177</v>
          </cell>
          <cell r="C23019" t="str">
            <v>Perton First School</v>
          </cell>
          <cell r="D23019" t="str">
            <v>Staffordshire</v>
          </cell>
          <cell r="E23019" t="str">
            <v>Community School</v>
          </cell>
          <cell r="F23019" t="str">
            <v>Primary</v>
          </cell>
        </row>
        <row r="23020">
          <cell r="A23020">
            <v>8604170</v>
          </cell>
          <cell r="B23020">
            <v>124437</v>
          </cell>
          <cell r="C23020" t="str">
            <v>Perton Middle School</v>
          </cell>
          <cell r="D23020" t="str">
            <v>Staffordshire</v>
          </cell>
          <cell r="E23020" t="str">
            <v>Community School</v>
          </cell>
          <cell r="F23020" t="str">
            <v>Middle Deemed Secondary</v>
          </cell>
        </row>
        <row r="23021">
          <cell r="A23021">
            <v>8602387</v>
          </cell>
          <cell r="B23021">
            <v>124184</v>
          </cell>
          <cell r="C23021" t="str">
            <v>Perton Sandown First School</v>
          </cell>
          <cell r="D23021" t="str">
            <v>Staffordshire</v>
          </cell>
          <cell r="E23021" t="str">
            <v>Community School</v>
          </cell>
          <cell r="F23021" t="str">
            <v>Primary</v>
          </cell>
        </row>
        <row r="23022">
          <cell r="A23022">
            <v>8462114</v>
          </cell>
          <cell r="B23022">
            <v>114443</v>
          </cell>
          <cell r="C23022" t="str">
            <v>Peter Gladwin Primary School</v>
          </cell>
          <cell r="D23022" t="str">
            <v>Brighton and Hove</v>
          </cell>
          <cell r="E23022" t="str">
            <v>Community School</v>
          </cell>
          <cell r="F23022" t="str">
            <v>Primary</v>
          </cell>
        </row>
        <row r="23023">
          <cell r="A23023">
            <v>2103516</v>
          </cell>
          <cell r="B23023">
            <v>100837</v>
          </cell>
          <cell r="C23023" t="str">
            <v>Peter Hills with St Mary's and St Paul's CofE Primary School</v>
          </cell>
          <cell r="D23023" t="str">
            <v>Southwark</v>
          </cell>
          <cell r="E23023" t="str">
            <v>Voluntary Aided School</v>
          </cell>
          <cell r="F23023" t="str">
            <v>Primary</v>
          </cell>
        </row>
        <row r="23024">
          <cell r="A23024">
            <v>8817067</v>
          </cell>
          <cell r="B23024">
            <v>115474</v>
          </cell>
          <cell r="C23024" t="str">
            <v>Peter Kirk School</v>
          </cell>
          <cell r="D23024" t="str">
            <v>Essex</v>
          </cell>
          <cell r="E23024" t="str">
            <v>Community Special School</v>
          </cell>
          <cell r="F23024" t="str">
            <v>Special</v>
          </cell>
        </row>
        <row r="23025">
          <cell r="A23025">
            <v>6812061</v>
          </cell>
          <cell r="B23025">
            <v>401591</v>
          </cell>
          <cell r="C23025" t="str">
            <v>Peter Lea Primary School</v>
          </cell>
          <cell r="D23025" t="str">
            <v>Cardiff</v>
          </cell>
          <cell r="E23025" t="str">
            <v>Welsh Establishment</v>
          </cell>
          <cell r="F23025" t="str">
            <v>Primary</v>
          </cell>
        </row>
        <row r="23026">
          <cell r="A23026">
            <v>8221009</v>
          </cell>
          <cell r="B23026">
            <v>109417</v>
          </cell>
          <cell r="C23026" t="str">
            <v>Peter Pan Nursery School</v>
          </cell>
          <cell r="D23026" t="str">
            <v>Bedford</v>
          </cell>
          <cell r="E23026" t="str">
            <v>LA Nursery School</v>
          </cell>
          <cell r="F23026" t="str">
            <v>Nursery</v>
          </cell>
        </row>
        <row r="23027">
          <cell r="A23027">
            <v>8508609</v>
          </cell>
          <cell r="B23027">
            <v>130708</v>
          </cell>
          <cell r="C23027" t="str">
            <v>Peter Symonds College</v>
          </cell>
          <cell r="D23027" t="str">
            <v>Hampshire</v>
          </cell>
          <cell r="E23027" t="str">
            <v>Further Education</v>
          </cell>
          <cell r="F23027" t="str">
            <v>16 Plus</v>
          </cell>
        </row>
        <row r="23028">
          <cell r="A23028">
            <v>9174500</v>
          </cell>
          <cell r="B23028">
            <v>129048</v>
          </cell>
          <cell r="C23028" t="str">
            <v>Peter Symonds' College</v>
          </cell>
          <cell r="D23028" t="str">
            <v>Pre LGR (1997) Hampshire</v>
          </cell>
          <cell r="E23028" t="str">
            <v>Voluntary Controlled School</v>
          </cell>
          <cell r="F23028" t="str">
            <v>Secondary</v>
          </cell>
        </row>
        <row r="23029">
          <cell r="A23029">
            <v>3106062</v>
          </cell>
          <cell r="B23029">
            <v>102252</v>
          </cell>
          <cell r="C23029" t="str">
            <v>Peterborough and St Margaret's School</v>
          </cell>
          <cell r="D23029" t="str">
            <v>Harrow</v>
          </cell>
          <cell r="E23029" t="str">
            <v>Other Independent School</v>
          </cell>
          <cell r="F23029" t="str">
            <v>Not applicable</v>
          </cell>
        </row>
        <row r="23030">
          <cell r="A23030">
            <v>2052468</v>
          </cell>
          <cell r="B23030">
            <v>100336</v>
          </cell>
          <cell r="C23030" t="str">
            <v>Peterborough Primary School</v>
          </cell>
          <cell r="D23030" t="str">
            <v>Hammersmith and Fulham</v>
          </cell>
          <cell r="E23030" t="str">
            <v>Community School</v>
          </cell>
          <cell r="F23030" t="str">
            <v>Primary</v>
          </cell>
        </row>
        <row r="23031">
          <cell r="A23031">
            <v>8748011</v>
          </cell>
          <cell r="B23031">
            <v>130613</v>
          </cell>
          <cell r="C23031" t="str">
            <v>Peterborough Regional College</v>
          </cell>
          <cell r="D23031" t="str">
            <v>Peterborough</v>
          </cell>
          <cell r="E23031" t="str">
            <v>Further Education</v>
          </cell>
          <cell r="F23031" t="str">
            <v>16 Plus</v>
          </cell>
        </row>
        <row r="23032">
          <cell r="A23032">
            <v>3342085</v>
          </cell>
          <cell r="B23032">
            <v>104075</v>
          </cell>
          <cell r="C23032" t="str">
            <v>Peterbrook Primary School</v>
          </cell>
          <cell r="D23032" t="str">
            <v>Solihull</v>
          </cell>
          <cell r="E23032" t="str">
            <v>Community School</v>
          </cell>
          <cell r="F23032" t="str">
            <v>Primary</v>
          </cell>
        </row>
        <row r="23033">
          <cell r="A23033">
            <v>8842122</v>
          </cell>
          <cell r="B23033">
            <v>116718</v>
          </cell>
          <cell r="C23033" t="str">
            <v>Peterchurch Primary School</v>
          </cell>
          <cell r="D23033" t="str">
            <v>Herefordshire</v>
          </cell>
          <cell r="E23033" t="str">
            <v>Community School</v>
          </cell>
          <cell r="F23033" t="str">
            <v>Primary</v>
          </cell>
        </row>
        <row r="23034">
          <cell r="A23034">
            <v>9262339</v>
          </cell>
          <cell r="B23034">
            <v>120970</v>
          </cell>
          <cell r="C23034" t="str">
            <v>Peterhouse First School</v>
          </cell>
          <cell r="D23034" t="str">
            <v>Norfolk</v>
          </cell>
          <cell r="E23034" t="str">
            <v>Community School</v>
          </cell>
          <cell r="F23034" t="str">
            <v>Primary</v>
          </cell>
        </row>
        <row r="23035">
          <cell r="A23035">
            <v>9262348</v>
          </cell>
          <cell r="B23035">
            <v>120975</v>
          </cell>
          <cell r="C23035" t="str">
            <v>Peterhouse Middle School</v>
          </cell>
          <cell r="D23035" t="str">
            <v>Norfolk</v>
          </cell>
          <cell r="E23035" t="str">
            <v>Community School</v>
          </cell>
          <cell r="F23035" t="str">
            <v>Middle Deemed Primary</v>
          </cell>
        </row>
        <row r="23036">
          <cell r="A23036">
            <v>9262016</v>
          </cell>
          <cell r="B23036">
            <v>134052</v>
          </cell>
          <cell r="C23036" t="str">
            <v>Peterhouse Primary School</v>
          </cell>
          <cell r="D23036" t="str">
            <v>Norfolk</v>
          </cell>
          <cell r="E23036" t="str">
            <v>Community School</v>
          </cell>
          <cell r="F23036" t="str">
            <v>Primary</v>
          </cell>
        </row>
        <row r="23037">
          <cell r="A23037">
            <v>3436126</v>
          </cell>
          <cell r="B23037">
            <v>104970</v>
          </cell>
          <cell r="C23037" t="str">
            <v>Peterhouse School</v>
          </cell>
          <cell r="D23037" t="str">
            <v>Sefton</v>
          </cell>
          <cell r="E23037" t="str">
            <v>Independent School Approved for SEN Pupils</v>
          </cell>
          <cell r="F23037" t="str">
            <v>Not applicable</v>
          </cell>
        </row>
        <row r="23038">
          <cell r="A23038">
            <v>3437014</v>
          </cell>
          <cell r="B23038">
            <v>133748</v>
          </cell>
          <cell r="C23038" t="str">
            <v>Peterhouse School</v>
          </cell>
          <cell r="D23038" t="str">
            <v>Sefton</v>
          </cell>
          <cell r="E23038" t="str">
            <v>Non-Maintained Special School</v>
          </cell>
          <cell r="F23038" t="str">
            <v>Special</v>
          </cell>
        </row>
        <row r="23039">
          <cell r="A23039">
            <v>3322075</v>
          </cell>
          <cell r="B23039">
            <v>103791</v>
          </cell>
          <cell r="C23039" t="str">
            <v>Peter's Hill Primary School</v>
          </cell>
          <cell r="D23039" t="str">
            <v>Dudley</v>
          </cell>
          <cell r="E23039" t="str">
            <v>Community School</v>
          </cell>
          <cell r="F23039" t="str">
            <v>Primary</v>
          </cell>
        </row>
        <row r="23040">
          <cell r="A23040">
            <v>8733331</v>
          </cell>
          <cell r="B23040">
            <v>110836</v>
          </cell>
          <cell r="C23040" t="str">
            <v>Petersfield CofE Aided Primary School</v>
          </cell>
          <cell r="D23040" t="str">
            <v>Cambridgeshire</v>
          </cell>
          <cell r="E23040" t="str">
            <v>Voluntary Aided School</v>
          </cell>
          <cell r="F23040" t="str">
            <v>Primary</v>
          </cell>
        </row>
        <row r="23041">
          <cell r="A23041">
            <v>8502162</v>
          </cell>
          <cell r="B23041">
            <v>115936</v>
          </cell>
          <cell r="C23041" t="str">
            <v>Petersfield Infant School</v>
          </cell>
          <cell r="D23041" t="str">
            <v>Hampshire</v>
          </cell>
          <cell r="E23041" t="str">
            <v>Community School</v>
          </cell>
          <cell r="F23041" t="str">
            <v>Primary</v>
          </cell>
        </row>
        <row r="23042">
          <cell r="A23042">
            <v>8502357</v>
          </cell>
          <cell r="B23042">
            <v>116065</v>
          </cell>
          <cell r="C23042" t="str">
            <v>Petersgate Infant School</v>
          </cell>
          <cell r="D23042" t="str">
            <v>Hampshire</v>
          </cell>
          <cell r="E23042" t="str">
            <v>Community School</v>
          </cell>
          <cell r="F23042" t="str">
            <v>Primary</v>
          </cell>
        </row>
        <row r="23043">
          <cell r="A23043">
            <v>6733047</v>
          </cell>
          <cell r="B23043">
            <v>401121</v>
          </cell>
          <cell r="C23043" t="str">
            <v>Peterston Super Ely C.I.W. Primary</v>
          </cell>
          <cell r="D23043" t="str">
            <v>The Vale of Glamorgan</v>
          </cell>
          <cell r="E23043" t="str">
            <v>Welsh Establishment</v>
          </cell>
          <cell r="F23043" t="str">
            <v>Primary</v>
          </cell>
        </row>
        <row r="23044">
          <cell r="A23044">
            <v>8812963</v>
          </cell>
          <cell r="B23044">
            <v>115049</v>
          </cell>
          <cell r="C23044" t="str">
            <v>Peterswood Infant School and Nursery</v>
          </cell>
          <cell r="D23044" t="str">
            <v>Essex</v>
          </cell>
          <cell r="E23044" t="str">
            <v>Community School</v>
          </cell>
          <cell r="F23044" t="str">
            <v>Primary</v>
          </cell>
        </row>
        <row r="23045">
          <cell r="A23045">
            <v>8812883</v>
          </cell>
          <cell r="B23045">
            <v>115030</v>
          </cell>
          <cell r="C23045" t="str">
            <v>Peterswood Junior School</v>
          </cell>
          <cell r="D23045" t="str">
            <v>Essex</v>
          </cell>
          <cell r="E23045" t="str">
            <v>Community School</v>
          </cell>
          <cell r="F23045" t="str">
            <v>Primary</v>
          </cell>
        </row>
        <row r="23046">
          <cell r="A23046">
            <v>8862266</v>
          </cell>
          <cell r="B23046">
            <v>118362</v>
          </cell>
          <cell r="C23046" t="str">
            <v>Petham Primary School</v>
          </cell>
          <cell r="D23046" t="str">
            <v>Kent</v>
          </cell>
          <cell r="E23046" t="str">
            <v>Community School</v>
          </cell>
          <cell r="F23046" t="str">
            <v>Primary</v>
          </cell>
        </row>
        <row r="23047">
          <cell r="A23047">
            <v>8012063</v>
          </cell>
          <cell r="B23047">
            <v>108952</v>
          </cell>
          <cell r="C23047" t="str">
            <v>Petherton Road Infant School</v>
          </cell>
          <cell r="D23047" t="str">
            <v>Bristol City of</v>
          </cell>
          <cell r="E23047" t="str">
            <v>Community School</v>
          </cell>
          <cell r="F23047" t="str">
            <v>Primary</v>
          </cell>
        </row>
        <row r="23048">
          <cell r="A23048">
            <v>8788001</v>
          </cell>
          <cell r="B23048">
            <v>130646</v>
          </cell>
          <cell r="C23048" t="str">
            <v>Petroc</v>
          </cell>
          <cell r="D23048" t="str">
            <v>Devon</v>
          </cell>
          <cell r="E23048" t="str">
            <v>Further Education</v>
          </cell>
          <cell r="F23048" t="str">
            <v>16 Plus</v>
          </cell>
        </row>
        <row r="23049">
          <cell r="A23049">
            <v>9092610</v>
          </cell>
          <cell r="B23049">
            <v>112220</v>
          </cell>
          <cell r="C23049" t="str">
            <v>Petteril Bank School</v>
          </cell>
          <cell r="D23049" t="str">
            <v>Cumbria</v>
          </cell>
          <cell r="E23049" t="str">
            <v>Community School</v>
          </cell>
          <cell r="F23049" t="str">
            <v>Primary</v>
          </cell>
        </row>
        <row r="23050">
          <cell r="A23050">
            <v>9327003</v>
          </cell>
          <cell r="B23050">
            <v>129830</v>
          </cell>
          <cell r="C23050" t="str">
            <v>Petton Hall School</v>
          </cell>
          <cell r="D23050" t="str">
            <v>Pre LGR (1998) Shropshire</v>
          </cell>
          <cell r="E23050" t="str">
            <v>Community Special School</v>
          </cell>
          <cell r="F23050" t="str">
            <v>Special</v>
          </cell>
        </row>
        <row r="23051">
          <cell r="A23051">
            <v>3073511</v>
          </cell>
          <cell r="B23051">
            <v>134217</v>
          </cell>
          <cell r="C23051" t="str">
            <v>Petts Hill Primary School</v>
          </cell>
          <cell r="D23051" t="str">
            <v>Ealing</v>
          </cell>
          <cell r="E23051" t="str">
            <v>Community School</v>
          </cell>
          <cell r="F23051" t="str">
            <v>Primary</v>
          </cell>
        </row>
        <row r="23052">
          <cell r="A23052">
            <v>9383026</v>
          </cell>
          <cell r="B23052">
            <v>125990</v>
          </cell>
          <cell r="C23052" t="str">
            <v>Petworth CofE Primary School</v>
          </cell>
          <cell r="D23052" t="str">
            <v>West Sussex</v>
          </cell>
          <cell r="E23052" t="str">
            <v>Voluntary Controlled School</v>
          </cell>
          <cell r="F23052" t="str">
            <v>Primary</v>
          </cell>
        </row>
        <row r="23053">
          <cell r="A23053">
            <v>8453050</v>
          </cell>
          <cell r="B23053">
            <v>114519</v>
          </cell>
          <cell r="C23053" t="str">
            <v>Pevensey and Westham CofE Primary School</v>
          </cell>
          <cell r="D23053" t="str">
            <v>East Sussex</v>
          </cell>
          <cell r="E23053" t="str">
            <v>Voluntary Controlled School</v>
          </cell>
          <cell r="F23053" t="str">
            <v>Primary</v>
          </cell>
        </row>
        <row r="23054">
          <cell r="A23054">
            <v>8762325</v>
          </cell>
          <cell r="B23054">
            <v>111141</v>
          </cell>
          <cell r="C23054" t="str">
            <v>Pewithall Primary School</v>
          </cell>
          <cell r="D23054" t="str">
            <v>Halton</v>
          </cell>
          <cell r="E23054" t="str">
            <v>Community School</v>
          </cell>
          <cell r="F23054" t="str">
            <v>Primary</v>
          </cell>
        </row>
        <row r="23055">
          <cell r="A23055">
            <v>9365204</v>
          </cell>
          <cell r="B23055">
            <v>125286</v>
          </cell>
          <cell r="C23055" t="str">
            <v>Pewley Down Infant School</v>
          </cell>
          <cell r="D23055" t="str">
            <v>Surrey</v>
          </cell>
          <cell r="E23055" t="str">
            <v>Foundation School</v>
          </cell>
          <cell r="F23055" t="str">
            <v>Primary</v>
          </cell>
        </row>
        <row r="23056">
          <cell r="A23056">
            <v>9362001</v>
          </cell>
          <cell r="B23056">
            <v>136755</v>
          </cell>
          <cell r="C23056" t="str">
            <v>Pewley Down Infant School</v>
          </cell>
          <cell r="D23056" t="str">
            <v>Surrey</v>
          </cell>
          <cell r="E23056" t="str">
            <v>Voluntary Aided School</v>
          </cell>
          <cell r="F23056" t="str">
            <v>Primary</v>
          </cell>
        </row>
        <row r="23057">
          <cell r="A23057">
            <v>8652208</v>
          </cell>
          <cell r="B23057">
            <v>126278</v>
          </cell>
          <cell r="C23057" t="str">
            <v>Pewsey Primary School</v>
          </cell>
          <cell r="D23057" t="str">
            <v>Wiltshire</v>
          </cell>
          <cell r="E23057" t="str">
            <v>Community School</v>
          </cell>
          <cell r="F23057" t="str">
            <v>Primary</v>
          </cell>
        </row>
        <row r="23058">
          <cell r="A23058">
            <v>8655403</v>
          </cell>
          <cell r="B23058">
            <v>126498</v>
          </cell>
          <cell r="C23058" t="str">
            <v>Pewsey Vale School</v>
          </cell>
          <cell r="D23058" t="str">
            <v>Wiltshire</v>
          </cell>
          <cell r="E23058" t="str">
            <v>Foundation School</v>
          </cell>
          <cell r="F23058" t="str">
            <v>Secondary</v>
          </cell>
        </row>
        <row r="23059">
          <cell r="A23059">
            <v>8655403</v>
          </cell>
          <cell r="B23059">
            <v>136849</v>
          </cell>
          <cell r="C23059" t="str">
            <v>Pewsey Vale School</v>
          </cell>
          <cell r="D23059" t="str">
            <v>Wiltshire</v>
          </cell>
          <cell r="E23059" t="str">
            <v>Academy Converters</v>
          </cell>
          <cell r="F23059" t="str">
            <v>Secondary</v>
          </cell>
        </row>
        <row r="23060">
          <cell r="A23060">
            <v>309940</v>
          </cell>
          <cell r="B23060">
            <v>133420</v>
          </cell>
          <cell r="C23060" t="str">
            <v>PfS at Spurs Learning Zone</v>
          </cell>
          <cell r="D23060" t="str">
            <v>Haringey</v>
          </cell>
          <cell r="E23060" t="str">
            <v>Playing for Success Centres</v>
          </cell>
          <cell r="F23060" t="str">
            <v>Not applicable</v>
          </cell>
        </row>
        <row r="23061">
          <cell r="A23061">
            <v>3352204</v>
          </cell>
          <cell r="B23061">
            <v>127192</v>
          </cell>
          <cell r="C23061" t="str">
            <v>Pheasey Infant and Nursery School</v>
          </cell>
          <cell r="D23061" t="str">
            <v>Walsall</v>
          </cell>
          <cell r="E23061" t="str">
            <v>Community School</v>
          </cell>
          <cell r="F23061" t="str">
            <v>Primary</v>
          </cell>
        </row>
        <row r="23062">
          <cell r="A23062">
            <v>3352203</v>
          </cell>
          <cell r="B23062">
            <v>127191</v>
          </cell>
          <cell r="C23062" t="str">
            <v>Pheasey Junior School</v>
          </cell>
          <cell r="D23062" t="str">
            <v>Walsall</v>
          </cell>
          <cell r="E23062" t="str">
            <v>Community School</v>
          </cell>
          <cell r="F23062" t="str">
            <v>Primary</v>
          </cell>
        </row>
        <row r="23063">
          <cell r="A23063">
            <v>3355203</v>
          </cell>
          <cell r="B23063">
            <v>104219</v>
          </cell>
          <cell r="C23063" t="str">
            <v>Pheasey Park Farm Primary School</v>
          </cell>
          <cell r="D23063" t="str">
            <v>Walsall</v>
          </cell>
          <cell r="E23063" t="str">
            <v>Foundation School</v>
          </cell>
          <cell r="F23063" t="str">
            <v>Primary</v>
          </cell>
        </row>
        <row r="23064">
          <cell r="A23064">
            <v>3061105</v>
          </cell>
          <cell r="B23064">
            <v>131266</v>
          </cell>
          <cell r="C23064" t="str">
            <v>Phil Edwards Centre</v>
          </cell>
          <cell r="D23064" t="str">
            <v>Croydon</v>
          </cell>
          <cell r="E23064" t="str">
            <v>Pupil Referral Unit</v>
          </cell>
          <cell r="F23064" t="str">
            <v>PRU</v>
          </cell>
        </row>
        <row r="23065">
          <cell r="A23065">
            <v>8356020</v>
          </cell>
          <cell r="B23065">
            <v>113936</v>
          </cell>
          <cell r="C23065" t="str">
            <v>Philip Green Memorial School</v>
          </cell>
          <cell r="D23065" t="str">
            <v>Dorset</v>
          </cell>
          <cell r="E23065" t="str">
            <v>Other Independent Special School</v>
          </cell>
          <cell r="F23065" t="str">
            <v>Not applicable</v>
          </cell>
        </row>
        <row r="23066">
          <cell r="A23066">
            <v>8815404</v>
          </cell>
          <cell r="B23066">
            <v>115320</v>
          </cell>
          <cell r="C23066" t="str">
            <v>Philip Morant School and College</v>
          </cell>
          <cell r="D23066" t="str">
            <v>Essex</v>
          </cell>
          <cell r="E23066" t="str">
            <v>Foundation School</v>
          </cell>
          <cell r="F23066" t="str">
            <v>Secondary</v>
          </cell>
        </row>
        <row r="23067">
          <cell r="A23067">
            <v>8815404</v>
          </cell>
          <cell r="B23067">
            <v>137619</v>
          </cell>
          <cell r="C23067" t="str">
            <v>Philip Morant School and College</v>
          </cell>
          <cell r="D23067" t="str">
            <v>Essex</v>
          </cell>
          <cell r="E23067" t="str">
            <v>Academy Converters</v>
          </cell>
          <cell r="F23067" t="str">
            <v>Secondary</v>
          </cell>
        </row>
        <row r="23068">
          <cell r="A23068">
            <v>9367065</v>
          </cell>
          <cell r="B23068">
            <v>125480</v>
          </cell>
          <cell r="C23068" t="str">
            <v>Philip Southcote School</v>
          </cell>
          <cell r="D23068" t="str">
            <v>Surrey</v>
          </cell>
          <cell r="E23068" t="str">
            <v>Community Special School</v>
          </cell>
          <cell r="F23068" t="str">
            <v>Special</v>
          </cell>
        </row>
        <row r="23069">
          <cell r="A23069">
            <v>3514025</v>
          </cell>
          <cell r="B23069">
            <v>105360</v>
          </cell>
          <cell r="C23069" t="str">
            <v>Philips High School</v>
          </cell>
          <cell r="D23069" t="str">
            <v>Bury</v>
          </cell>
          <cell r="E23069" t="str">
            <v>Community School</v>
          </cell>
          <cell r="F23069" t="str">
            <v>Secondary</v>
          </cell>
        </row>
        <row r="23070">
          <cell r="A23070">
            <v>3732332</v>
          </cell>
          <cell r="B23070">
            <v>107075</v>
          </cell>
          <cell r="C23070" t="str">
            <v>Phillimore Community Primary School</v>
          </cell>
          <cell r="D23070" t="str">
            <v>Sheffield</v>
          </cell>
          <cell r="E23070" t="str">
            <v>Community School</v>
          </cell>
          <cell r="F23070" t="str">
            <v>Primary</v>
          </cell>
        </row>
        <row r="23071">
          <cell r="A23071">
            <v>6762316</v>
          </cell>
          <cell r="B23071">
            <v>401359</v>
          </cell>
          <cell r="C23071" t="str">
            <v>Phillipstown Primary School</v>
          </cell>
          <cell r="D23071" t="str">
            <v>Caerphilly</v>
          </cell>
          <cell r="E23071" t="str">
            <v>Welsh Establishment</v>
          </cell>
          <cell r="F23071" t="str">
            <v>Primary</v>
          </cell>
        </row>
        <row r="23072">
          <cell r="A23072">
            <v>9386219</v>
          </cell>
          <cell r="B23072">
            <v>126141</v>
          </cell>
          <cell r="C23072" t="str">
            <v>Philpots Manor School</v>
          </cell>
          <cell r="D23072" t="str">
            <v>West Sussex</v>
          </cell>
          <cell r="E23072" t="str">
            <v>Other Independent Special School</v>
          </cell>
          <cell r="F23072" t="str">
            <v>Not applicable</v>
          </cell>
        </row>
        <row r="23073">
          <cell r="A23073">
            <v>3086068</v>
          </cell>
          <cell r="B23073">
            <v>134580</v>
          </cell>
          <cell r="C23073" t="str">
            <v>Phoenix Academy</v>
          </cell>
          <cell r="D23073" t="str">
            <v>Enfield</v>
          </cell>
          <cell r="E23073" t="str">
            <v>Other Independent School</v>
          </cell>
          <cell r="F23073" t="str">
            <v>Not applicable</v>
          </cell>
        </row>
        <row r="23074">
          <cell r="A23074">
            <v>9361101</v>
          </cell>
          <cell r="B23074">
            <v>124917</v>
          </cell>
          <cell r="C23074" t="str">
            <v>Phoenix Centre</v>
          </cell>
          <cell r="D23074" t="str">
            <v>Surrey</v>
          </cell>
          <cell r="E23074" t="str">
            <v>Pupil Referral Unit</v>
          </cell>
          <cell r="F23074" t="str">
            <v>PRU</v>
          </cell>
        </row>
        <row r="23075">
          <cell r="A23075">
            <v>8707031</v>
          </cell>
          <cell r="B23075">
            <v>110189</v>
          </cell>
          <cell r="C23075" t="str">
            <v>Phoenix College</v>
          </cell>
          <cell r="D23075" t="str">
            <v>Reading</v>
          </cell>
          <cell r="E23075" t="str">
            <v>Community Special School</v>
          </cell>
          <cell r="F23075" t="str">
            <v>Special</v>
          </cell>
        </row>
        <row r="23076">
          <cell r="A23076">
            <v>3158600</v>
          </cell>
          <cell r="B23076">
            <v>130450</v>
          </cell>
          <cell r="C23076" t="str">
            <v>Phoenix College</v>
          </cell>
          <cell r="D23076" t="str">
            <v>Merton</v>
          </cell>
          <cell r="E23076" t="str">
            <v>Further Education</v>
          </cell>
          <cell r="F23076" t="str">
            <v>16 Plus</v>
          </cell>
        </row>
        <row r="23077">
          <cell r="A23077">
            <v>8863893</v>
          </cell>
          <cell r="B23077">
            <v>133961</v>
          </cell>
          <cell r="C23077" t="str">
            <v>Phoenix Community Primary School</v>
          </cell>
          <cell r="D23077" t="str">
            <v>Kent</v>
          </cell>
          <cell r="E23077" t="str">
            <v>Community School</v>
          </cell>
          <cell r="F23077" t="str">
            <v>Primary</v>
          </cell>
        </row>
        <row r="23078">
          <cell r="A23078">
            <v>2054314</v>
          </cell>
          <cell r="B23078">
            <v>100359</v>
          </cell>
          <cell r="C23078" t="str">
            <v>Phoenix High School</v>
          </cell>
          <cell r="D23078" t="str">
            <v>Hammersmith and Fulham</v>
          </cell>
          <cell r="E23078" t="str">
            <v>Foundation School</v>
          </cell>
          <cell r="F23078" t="str">
            <v>Secondary</v>
          </cell>
        </row>
        <row r="23079">
          <cell r="A23079">
            <v>8121101</v>
          </cell>
          <cell r="B23079">
            <v>117702</v>
          </cell>
          <cell r="C23079" t="str">
            <v>Phoenix House Pupil Referral Unit</v>
          </cell>
          <cell r="D23079" t="str">
            <v>North East Lincolnshire</v>
          </cell>
          <cell r="E23079" t="str">
            <v>Pupil Referral Unit</v>
          </cell>
          <cell r="F23079" t="str">
            <v>PRU</v>
          </cell>
        </row>
        <row r="23080">
          <cell r="A23080">
            <v>8912239</v>
          </cell>
          <cell r="B23080">
            <v>122532</v>
          </cell>
          <cell r="C23080" t="str">
            <v>Phoenix Infant and Nursery School</v>
          </cell>
          <cell r="D23080" t="str">
            <v>Nottinghamshire</v>
          </cell>
          <cell r="E23080" t="str">
            <v>Community School</v>
          </cell>
          <cell r="F23080" t="str">
            <v>Primary</v>
          </cell>
        </row>
        <row r="23081">
          <cell r="A23081">
            <v>9266141</v>
          </cell>
          <cell r="B23081">
            <v>129641</v>
          </cell>
          <cell r="C23081" t="str">
            <v>Phoenix Montessori School</v>
          </cell>
          <cell r="D23081" t="str">
            <v>Norfolk</v>
          </cell>
          <cell r="E23081" t="str">
            <v>Other Independent School</v>
          </cell>
          <cell r="F23081" t="str">
            <v>Not applicable</v>
          </cell>
        </row>
        <row r="23082">
          <cell r="A23082">
            <v>3361005</v>
          </cell>
          <cell r="B23082">
            <v>104281</v>
          </cell>
          <cell r="C23082" t="str">
            <v>Phoenix Nursery School</v>
          </cell>
          <cell r="D23082" t="str">
            <v>Wolverhampton</v>
          </cell>
          <cell r="E23082" t="str">
            <v>LA Nursery School</v>
          </cell>
          <cell r="F23082" t="str">
            <v>Nursery</v>
          </cell>
        </row>
        <row r="23083">
          <cell r="A23083">
            <v>3357013</v>
          </cell>
          <cell r="B23083">
            <v>135460</v>
          </cell>
          <cell r="C23083" t="str">
            <v>Phoenix Primary EBD School</v>
          </cell>
          <cell r="D23083" t="str">
            <v>Walsall</v>
          </cell>
          <cell r="E23083" t="str">
            <v>Community Special School</v>
          </cell>
          <cell r="F23083" t="str">
            <v>Special</v>
          </cell>
        </row>
        <row r="23084">
          <cell r="A23084">
            <v>2102848</v>
          </cell>
          <cell r="B23084">
            <v>100817</v>
          </cell>
          <cell r="C23084" t="str">
            <v>Phoenix Primary School</v>
          </cell>
          <cell r="D23084" t="str">
            <v>Southwark</v>
          </cell>
          <cell r="E23084" t="str">
            <v>Community School</v>
          </cell>
          <cell r="F23084" t="str">
            <v>Primary</v>
          </cell>
        </row>
        <row r="23085">
          <cell r="A23085">
            <v>3413026</v>
          </cell>
          <cell r="B23085">
            <v>133702</v>
          </cell>
          <cell r="C23085" t="str">
            <v>Phoenix Primary School</v>
          </cell>
          <cell r="D23085" t="str">
            <v>Liverpool</v>
          </cell>
          <cell r="E23085" t="str">
            <v>Community School</v>
          </cell>
          <cell r="F23085" t="str">
            <v>Primary</v>
          </cell>
        </row>
        <row r="23086">
          <cell r="A23086">
            <v>8501116</v>
          </cell>
          <cell r="B23086">
            <v>115848</v>
          </cell>
          <cell r="C23086" t="str">
            <v>Phoenix Pupil Referral Unit</v>
          </cell>
          <cell r="D23086" t="str">
            <v>Hampshire</v>
          </cell>
          <cell r="E23086" t="str">
            <v>Pupil Referral Unit</v>
          </cell>
          <cell r="F23086" t="str">
            <v>PRU</v>
          </cell>
        </row>
        <row r="23087">
          <cell r="A23087">
            <v>8851112</v>
          </cell>
          <cell r="B23087">
            <v>130994</v>
          </cell>
          <cell r="C23087" t="str">
            <v>Phoenix Pupil Referral Unit</v>
          </cell>
          <cell r="D23087" t="str">
            <v>Worcestershire</v>
          </cell>
          <cell r="E23087" t="str">
            <v>Pupil Referral Unit</v>
          </cell>
          <cell r="F23087" t="str">
            <v>PRU</v>
          </cell>
        </row>
        <row r="23088">
          <cell r="A23088">
            <v>3411105</v>
          </cell>
          <cell r="B23088">
            <v>133424</v>
          </cell>
          <cell r="C23088" t="str">
            <v>Phoenix Pupil Referral Unit</v>
          </cell>
          <cell r="D23088" t="str">
            <v>Liverpool</v>
          </cell>
          <cell r="E23088" t="str">
            <v>Pupil Referral Unit</v>
          </cell>
          <cell r="F23088" t="str">
            <v>PRU</v>
          </cell>
        </row>
        <row r="23089">
          <cell r="A23089">
            <v>2117095</v>
          </cell>
          <cell r="B23089">
            <v>100987</v>
          </cell>
          <cell r="C23089" t="str">
            <v>Phoenix School</v>
          </cell>
          <cell r="D23089" t="str">
            <v>Tower Hamlets</v>
          </cell>
          <cell r="E23089" t="str">
            <v>Community Special School</v>
          </cell>
          <cell r="F23089" t="str">
            <v>Special</v>
          </cell>
        </row>
        <row r="23090">
          <cell r="A23090">
            <v>8206003</v>
          </cell>
          <cell r="B23090">
            <v>130273</v>
          </cell>
          <cell r="C23090" t="str">
            <v>Phoenix School</v>
          </cell>
          <cell r="D23090" t="str">
            <v>Pre LGR (2009) Bedfordshire</v>
          </cell>
          <cell r="E23090" t="str">
            <v>Other Independent School</v>
          </cell>
          <cell r="F23090" t="str">
            <v>Not applicable</v>
          </cell>
        </row>
        <row r="23091">
          <cell r="A23091">
            <v>894940</v>
          </cell>
          <cell r="B23091">
            <v>134002</v>
          </cell>
          <cell r="C23091" t="str">
            <v>Phoenix School and Leisure Centre</v>
          </cell>
          <cell r="D23091" t="str">
            <v>Telford and Wrekin</v>
          </cell>
          <cell r="E23091" t="str">
            <v>Playing for Success Centres</v>
          </cell>
          <cell r="F23091" t="str">
            <v>Not applicable</v>
          </cell>
        </row>
        <row r="23092">
          <cell r="A23092">
            <v>8736050</v>
          </cell>
          <cell r="B23092">
            <v>136229</v>
          </cell>
          <cell r="C23092" t="str">
            <v>Phoenix School Cambridge</v>
          </cell>
          <cell r="D23092" t="str">
            <v>Cambridgeshire</v>
          </cell>
          <cell r="E23092" t="str">
            <v>Other Independent School</v>
          </cell>
          <cell r="F23092" t="str">
            <v>Not applicable</v>
          </cell>
        </row>
        <row r="23093">
          <cell r="A23093">
            <v>7046002</v>
          </cell>
          <cell r="B23093">
            <v>132593</v>
          </cell>
          <cell r="C23093" t="str">
            <v>Piasau School</v>
          </cell>
          <cell r="D23093" t="str">
            <v>Fieldwork Overseas Establishments</v>
          </cell>
          <cell r="E23093" t="str">
            <v>Service Childrens Education</v>
          </cell>
          <cell r="F23093" t="str">
            <v>Not applicable</v>
          </cell>
        </row>
        <row r="23094">
          <cell r="A23094">
            <v>3034029</v>
          </cell>
          <cell r="B23094">
            <v>126755</v>
          </cell>
          <cell r="C23094" t="str">
            <v>Picardy School</v>
          </cell>
          <cell r="D23094" t="str">
            <v>Bexley</v>
          </cell>
          <cell r="E23094" t="str">
            <v>Community School</v>
          </cell>
          <cell r="F23094" t="str">
            <v>Secondary</v>
          </cell>
        </row>
        <row r="23095">
          <cell r="A23095">
            <v>8152235</v>
          </cell>
          <cell r="B23095">
            <v>121363</v>
          </cell>
          <cell r="C23095" t="str">
            <v>Pickering Community Infant School</v>
          </cell>
          <cell r="D23095" t="str">
            <v>North Yorkshire</v>
          </cell>
          <cell r="E23095" t="str">
            <v>Community School</v>
          </cell>
          <cell r="F23095" t="str">
            <v>Primary</v>
          </cell>
        </row>
        <row r="23096">
          <cell r="A23096">
            <v>8152222</v>
          </cell>
          <cell r="B23096">
            <v>121356</v>
          </cell>
          <cell r="C23096" t="str">
            <v>Pickering Community Junior School</v>
          </cell>
          <cell r="D23096" t="str">
            <v>North Yorkshire</v>
          </cell>
          <cell r="E23096" t="str">
            <v>Community School</v>
          </cell>
          <cell r="F23096" t="str">
            <v>Primary</v>
          </cell>
        </row>
        <row r="23097">
          <cell r="A23097">
            <v>8104006</v>
          </cell>
          <cell r="B23097">
            <v>132794</v>
          </cell>
          <cell r="C23097" t="str">
            <v>Pickering High School Sports College</v>
          </cell>
          <cell r="D23097" t="str">
            <v>Kingston upon Hull City of</v>
          </cell>
          <cell r="E23097" t="str">
            <v>Community School</v>
          </cell>
          <cell r="F23097" t="str">
            <v>Secondary</v>
          </cell>
        </row>
        <row r="23098">
          <cell r="A23098">
            <v>9202564</v>
          </cell>
          <cell r="B23098">
            <v>129239</v>
          </cell>
          <cell r="C23098" t="str">
            <v>Pickering Primary School</v>
          </cell>
          <cell r="D23098" t="str">
            <v>Pre LGR (1996) Humberside</v>
          </cell>
          <cell r="E23098" t="str">
            <v>Community School</v>
          </cell>
          <cell r="F23098" t="str">
            <v>Primary</v>
          </cell>
        </row>
        <row r="23099">
          <cell r="A23099">
            <v>8153088</v>
          </cell>
          <cell r="B23099">
            <v>121510</v>
          </cell>
          <cell r="C23099" t="str">
            <v>Pickhill Church of England Primary School</v>
          </cell>
          <cell r="D23099" t="str">
            <v>North Yorkshire</v>
          </cell>
          <cell r="E23099" t="str">
            <v>Voluntary Controlled School</v>
          </cell>
          <cell r="F23099" t="str">
            <v>Primary</v>
          </cell>
        </row>
        <row r="23100">
          <cell r="A23100">
            <v>3052017</v>
          </cell>
          <cell r="B23100">
            <v>101598</v>
          </cell>
          <cell r="C23100" t="str">
            <v>Pickhurst Infant School</v>
          </cell>
          <cell r="D23100" t="str">
            <v>Bromley</v>
          </cell>
          <cell r="E23100" t="str">
            <v>Community School</v>
          </cell>
          <cell r="F23100" t="str">
            <v>Primary</v>
          </cell>
        </row>
        <row r="23101">
          <cell r="A23101">
            <v>3052017</v>
          </cell>
          <cell r="B23101">
            <v>137069</v>
          </cell>
          <cell r="C23101" t="str">
            <v>Pickhurst Infant School</v>
          </cell>
          <cell r="D23101" t="str">
            <v>Bromley</v>
          </cell>
          <cell r="E23101" t="str">
            <v>Academy Converters</v>
          </cell>
          <cell r="F23101" t="str">
            <v>Primary</v>
          </cell>
        </row>
        <row r="23102">
          <cell r="A23102">
            <v>3052018</v>
          </cell>
          <cell r="B23102">
            <v>101599</v>
          </cell>
          <cell r="C23102" t="str">
            <v>Pickhurst Junior School</v>
          </cell>
          <cell r="D23102" t="str">
            <v>Bromley</v>
          </cell>
          <cell r="E23102" t="str">
            <v>Community School</v>
          </cell>
          <cell r="F23102" t="str">
            <v>Primary</v>
          </cell>
        </row>
        <row r="23103">
          <cell r="A23103">
            <v>3052018</v>
          </cell>
          <cell r="B23103">
            <v>137070</v>
          </cell>
          <cell r="C23103" t="str">
            <v>Pickhurst Junior School</v>
          </cell>
          <cell r="D23103" t="str">
            <v>Bromley</v>
          </cell>
          <cell r="E23103" t="str">
            <v>Academy Converters</v>
          </cell>
          <cell r="F23103" t="str">
            <v>Primary</v>
          </cell>
        </row>
        <row r="23104">
          <cell r="A23104">
            <v>9165203</v>
          </cell>
          <cell r="B23104">
            <v>115733</v>
          </cell>
          <cell r="C23104" t="str">
            <v>Picklenash Junior School</v>
          </cell>
          <cell r="D23104" t="str">
            <v>Gloucestershire</v>
          </cell>
          <cell r="E23104" t="str">
            <v>Foundation School</v>
          </cell>
          <cell r="F23104" t="str">
            <v>Primary</v>
          </cell>
        </row>
        <row r="23105">
          <cell r="A23105">
            <v>8602316</v>
          </cell>
          <cell r="B23105">
            <v>124142</v>
          </cell>
          <cell r="C23105" t="str">
            <v>Picknalls First School</v>
          </cell>
          <cell r="D23105" t="str">
            <v>Staffordshire</v>
          </cell>
          <cell r="E23105" t="str">
            <v>Community School</v>
          </cell>
          <cell r="F23105" t="str">
            <v>Primary</v>
          </cell>
        </row>
        <row r="23106">
          <cell r="A23106">
            <v>3587000</v>
          </cell>
          <cell r="B23106">
            <v>106390</v>
          </cell>
          <cell r="C23106" t="str">
            <v>Pictor School</v>
          </cell>
          <cell r="D23106" t="str">
            <v>Trafford</v>
          </cell>
          <cell r="E23106" t="str">
            <v>Community Special School</v>
          </cell>
          <cell r="F23106" t="str">
            <v>Special</v>
          </cell>
        </row>
        <row r="23107">
          <cell r="A23107">
            <v>8353350</v>
          </cell>
          <cell r="B23107">
            <v>113811</v>
          </cell>
          <cell r="C23107" t="str">
            <v>Piddle Valley Church of England First School</v>
          </cell>
          <cell r="D23107" t="str">
            <v>Dorset</v>
          </cell>
          <cell r="E23107" t="str">
            <v>Voluntary Aided School</v>
          </cell>
          <cell r="F23107" t="str">
            <v>Primary</v>
          </cell>
        </row>
        <row r="23108">
          <cell r="A23108">
            <v>3127006</v>
          </cell>
          <cell r="B23108">
            <v>102464</v>
          </cell>
          <cell r="C23108" t="str">
            <v>Pield Heath House RC School</v>
          </cell>
          <cell r="D23108" t="str">
            <v>Hillingdon</v>
          </cell>
          <cell r="E23108" t="str">
            <v>Non-Maintained Special School</v>
          </cell>
          <cell r="F23108" t="str">
            <v>Special</v>
          </cell>
        </row>
        <row r="23109">
          <cell r="A23109">
            <v>8912946</v>
          </cell>
          <cell r="B23109">
            <v>132194</v>
          </cell>
          <cell r="C23109" t="str">
            <v>Pierrepont Gamston Primary School</v>
          </cell>
          <cell r="D23109" t="str">
            <v>Nottinghamshire</v>
          </cell>
          <cell r="E23109" t="str">
            <v>Voluntary Aided School</v>
          </cell>
          <cell r="F23109" t="str">
            <v>Primary</v>
          </cell>
        </row>
        <row r="23110">
          <cell r="A23110">
            <v>8906005</v>
          </cell>
          <cell r="B23110">
            <v>132745</v>
          </cell>
          <cell r="C23110" t="str">
            <v>Piers House</v>
          </cell>
          <cell r="D23110" t="str">
            <v>Blackpool</v>
          </cell>
          <cell r="E23110" t="str">
            <v>Other Independent Special School</v>
          </cell>
          <cell r="F23110" t="str">
            <v>Not applicable</v>
          </cell>
        </row>
        <row r="23111">
          <cell r="A23111">
            <v>3522302</v>
          </cell>
          <cell r="B23111">
            <v>105470</v>
          </cell>
          <cell r="C23111" t="str">
            <v>Pike Fold Primary School</v>
          </cell>
          <cell r="D23111" t="str">
            <v>Manchester</v>
          </cell>
          <cell r="E23111" t="str">
            <v>Community School</v>
          </cell>
          <cell r="F23111" t="str">
            <v>Primary</v>
          </cell>
        </row>
        <row r="23112">
          <cell r="A23112">
            <v>8952173</v>
          </cell>
          <cell r="B23112">
            <v>111042</v>
          </cell>
          <cell r="C23112" t="str">
            <v>Pikemere School</v>
          </cell>
          <cell r="D23112" t="str">
            <v>Cheshire East</v>
          </cell>
          <cell r="E23112" t="str">
            <v>Foundation School</v>
          </cell>
          <cell r="F23112" t="str">
            <v>Primary</v>
          </cell>
        </row>
        <row r="23113">
          <cell r="A23113">
            <v>3502023</v>
          </cell>
          <cell r="B23113">
            <v>127394</v>
          </cell>
          <cell r="C23113" t="str">
            <v>Pikes Lane County Infant School</v>
          </cell>
          <cell r="D23113" t="str">
            <v>Bolton</v>
          </cell>
          <cell r="E23113" t="str">
            <v>Community School</v>
          </cell>
          <cell r="F23113" t="str">
            <v>Primary</v>
          </cell>
        </row>
        <row r="23114">
          <cell r="A23114">
            <v>3501001</v>
          </cell>
          <cell r="B23114">
            <v>127393</v>
          </cell>
          <cell r="C23114" t="str">
            <v>Pikes Lane Nursery School</v>
          </cell>
          <cell r="D23114" t="str">
            <v>Bolton</v>
          </cell>
          <cell r="E23114" t="str">
            <v>LA Nursery School</v>
          </cell>
          <cell r="F23114" t="str">
            <v>Nursery</v>
          </cell>
        </row>
        <row r="23115">
          <cell r="A23115">
            <v>3502022</v>
          </cell>
          <cell r="B23115">
            <v>105161</v>
          </cell>
          <cell r="C23115" t="str">
            <v>Pikes Lane Primary School</v>
          </cell>
          <cell r="D23115" t="str">
            <v>Bolton</v>
          </cell>
          <cell r="E23115" t="str">
            <v>Community School</v>
          </cell>
          <cell r="F23115" t="str">
            <v>Primary</v>
          </cell>
        </row>
        <row r="23116">
          <cell r="A23116">
            <v>6722227</v>
          </cell>
          <cell r="B23116">
            <v>401053</v>
          </cell>
          <cell r="C23116" t="str">
            <v>Pil  Primary School</v>
          </cell>
          <cell r="D23116" t="str">
            <v>Bridgend</v>
          </cell>
          <cell r="E23116" t="str">
            <v>Welsh Establishment</v>
          </cell>
          <cell r="F23116" t="str">
            <v>Primary</v>
          </cell>
        </row>
        <row r="23117">
          <cell r="A23117">
            <v>8206013</v>
          </cell>
          <cell r="B23117">
            <v>109729</v>
          </cell>
          <cell r="C23117" t="str">
            <v>Pilgrim Christian School</v>
          </cell>
          <cell r="D23117" t="str">
            <v>Pre LGR (2009) Bedfordshire</v>
          </cell>
          <cell r="E23117" t="str">
            <v>Other Independent School</v>
          </cell>
          <cell r="F23117" t="str">
            <v>Not applicable</v>
          </cell>
        </row>
        <row r="23118">
          <cell r="A23118">
            <v>8912789</v>
          </cell>
          <cell r="B23118">
            <v>122660</v>
          </cell>
          <cell r="C23118" t="str">
            <v>Pilgrim Oak Infant School</v>
          </cell>
          <cell r="D23118" t="str">
            <v>Nottinghamshire</v>
          </cell>
          <cell r="E23118" t="str">
            <v>Community School</v>
          </cell>
          <cell r="F23118" t="str">
            <v>Primary</v>
          </cell>
        </row>
        <row r="23119">
          <cell r="A23119">
            <v>8792646</v>
          </cell>
          <cell r="B23119">
            <v>113282</v>
          </cell>
          <cell r="C23119" t="str">
            <v>Pilgrim Primary School</v>
          </cell>
          <cell r="D23119" t="str">
            <v>Plymouth</v>
          </cell>
          <cell r="E23119" t="str">
            <v>Community School</v>
          </cell>
          <cell r="F23119" t="str">
            <v>Primary</v>
          </cell>
        </row>
        <row r="23120">
          <cell r="A23120">
            <v>8731105</v>
          </cell>
          <cell r="B23120">
            <v>134765</v>
          </cell>
          <cell r="C23120" t="str">
            <v>Pilgrim PRU Co School Adolescent Unit</v>
          </cell>
          <cell r="D23120" t="str">
            <v>Cambridgeshire</v>
          </cell>
          <cell r="E23120" t="str">
            <v>Pupil Referral Unit</v>
          </cell>
          <cell r="F23120" t="str">
            <v>PRU</v>
          </cell>
        </row>
        <row r="23121">
          <cell r="A23121">
            <v>9024045</v>
          </cell>
          <cell r="B23121">
            <v>128251</v>
          </cell>
          <cell r="C23121" t="str">
            <v>Pilgrim Upper School</v>
          </cell>
          <cell r="D23121" t="str">
            <v>Pre LGR (1997) Bedfordshire</v>
          </cell>
          <cell r="E23121" t="str">
            <v>Community School</v>
          </cell>
          <cell r="F23121" t="str">
            <v>Secondary</v>
          </cell>
        </row>
        <row r="23122">
          <cell r="A23122">
            <v>8812142</v>
          </cell>
          <cell r="B23122">
            <v>114798</v>
          </cell>
          <cell r="C23122" t="str">
            <v>Pilgrims Hatch County Infant School</v>
          </cell>
          <cell r="D23122" t="str">
            <v>Essex</v>
          </cell>
          <cell r="E23122" t="str">
            <v>Community School</v>
          </cell>
          <cell r="F23122" t="str">
            <v>Primary</v>
          </cell>
        </row>
        <row r="23123">
          <cell r="A23123">
            <v>8812762</v>
          </cell>
          <cell r="B23123">
            <v>114986</v>
          </cell>
          <cell r="C23123" t="str">
            <v>Pilgrims Hatch County Junior School</v>
          </cell>
          <cell r="D23123" t="str">
            <v>Essex</v>
          </cell>
          <cell r="E23123" t="str">
            <v>Community School</v>
          </cell>
          <cell r="F23123" t="str">
            <v>Primary</v>
          </cell>
        </row>
        <row r="23124">
          <cell r="A23124">
            <v>8226010</v>
          </cell>
          <cell r="B23124">
            <v>109715</v>
          </cell>
          <cell r="C23124" t="str">
            <v>Pilgrims Pre-Preparatory School</v>
          </cell>
          <cell r="D23124" t="str">
            <v>Bedford</v>
          </cell>
          <cell r="E23124" t="str">
            <v>Other Independent School</v>
          </cell>
          <cell r="F23124" t="str">
            <v>Not applicable</v>
          </cell>
        </row>
        <row r="23125">
          <cell r="A23125">
            <v>8457015</v>
          </cell>
          <cell r="B23125">
            <v>114684</v>
          </cell>
          <cell r="C23125" t="str">
            <v>Pilgrims School</v>
          </cell>
          <cell r="D23125" t="str">
            <v>East Sussex</v>
          </cell>
          <cell r="E23125" t="str">
            <v>Non-Maintained Special School</v>
          </cell>
          <cell r="F23125" t="str">
            <v>Special</v>
          </cell>
        </row>
        <row r="23126">
          <cell r="A23126">
            <v>2102852</v>
          </cell>
          <cell r="B23126">
            <v>100818</v>
          </cell>
          <cell r="C23126" t="str">
            <v>Pilgrims' Way Primary School</v>
          </cell>
          <cell r="D23126" t="str">
            <v>Southwark</v>
          </cell>
          <cell r="E23126" t="str">
            <v>Community School</v>
          </cell>
          <cell r="F23126" t="str">
            <v>Primary</v>
          </cell>
        </row>
        <row r="23127">
          <cell r="A23127">
            <v>8862612</v>
          </cell>
          <cell r="B23127">
            <v>118539</v>
          </cell>
          <cell r="C23127" t="str">
            <v>Pilgrims' Way Primary School and Nursery</v>
          </cell>
          <cell r="D23127" t="str">
            <v>Kent</v>
          </cell>
          <cell r="E23127" t="str">
            <v>Community School</v>
          </cell>
          <cell r="F23127" t="str">
            <v>Primary</v>
          </cell>
        </row>
        <row r="23128">
          <cell r="A23128">
            <v>8023098</v>
          </cell>
          <cell r="B23128">
            <v>109201</v>
          </cell>
          <cell r="C23128" t="str">
            <v>Pill CofE VC Junior School</v>
          </cell>
          <cell r="D23128" t="str">
            <v>North Somerset</v>
          </cell>
          <cell r="E23128" t="str">
            <v>Voluntary Controlled School</v>
          </cell>
          <cell r="F23128" t="str">
            <v>Primary</v>
          </cell>
        </row>
        <row r="23129">
          <cell r="A23129">
            <v>6802302</v>
          </cell>
          <cell r="B23129">
            <v>401545</v>
          </cell>
          <cell r="C23129" t="str">
            <v>Pillgwenlly C.P. School</v>
          </cell>
          <cell r="D23129" t="str">
            <v>Newport</v>
          </cell>
          <cell r="E23129" t="str">
            <v>Welsh Establishment</v>
          </cell>
          <cell r="F23129" t="str">
            <v>Primary</v>
          </cell>
        </row>
        <row r="23130">
          <cell r="A23130">
            <v>8883568</v>
          </cell>
          <cell r="B23130">
            <v>119555</v>
          </cell>
          <cell r="C23130" t="str">
            <v>Pilling St John's Church of England Voluntary Aided Primary School</v>
          </cell>
          <cell r="D23130" t="str">
            <v>Lancashire</v>
          </cell>
          <cell r="E23130" t="str">
            <v>Voluntary Aided School</v>
          </cell>
          <cell r="F23130" t="str">
            <v>Primary</v>
          </cell>
        </row>
        <row r="23131">
          <cell r="A23131">
            <v>9162109</v>
          </cell>
          <cell r="B23131">
            <v>115554</v>
          </cell>
          <cell r="C23131" t="str">
            <v>Pillowell Community Primary School</v>
          </cell>
          <cell r="D23131" t="str">
            <v>Gloucestershire</v>
          </cell>
          <cell r="E23131" t="str">
            <v>Community School</v>
          </cell>
          <cell r="F23131" t="str">
            <v>Primary</v>
          </cell>
        </row>
        <row r="23132">
          <cell r="A23132">
            <v>8032182</v>
          </cell>
          <cell r="B23132">
            <v>109021</v>
          </cell>
          <cell r="C23132" t="str">
            <v>Pilning Primary School</v>
          </cell>
          <cell r="D23132" t="str">
            <v>South Gloucestershire</v>
          </cell>
          <cell r="E23132" t="str">
            <v>Community School</v>
          </cell>
          <cell r="F23132" t="str">
            <v>Primary</v>
          </cell>
        </row>
        <row r="23133">
          <cell r="A23133">
            <v>8303331</v>
          </cell>
          <cell r="B23133">
            <v>112891</v>
          </cell>
          <cell r="C23133" t="str">
            <v>Pilsley CofE Primary School</v>
          </cell>
          <cell r="D23133" t="str">
            <v>Derbyshire</v>
          </cell>
          <cell r="E23133" t="str">
            <v>Voluntary Aided School</v>
          </cell>
          <cell r="F23133" t="str">
            <v>Primary</v>
          </cell>
        </row>
        <row r="23134">
          <cell r="A23134">
            <v>8302190</v>
          </cell>
          <cell r="B23134">
            <v>112605</v>
          </cell>
          <cell r="C23134" t="str">
            <v>Pilsley Primary School</v>
          </cell>
          <cell r="D23134" t="str">
            <v>Derbyshire</v>
          </cell>
          <cell r="E23134" t="str">
            <v>Community School</v>
          </cell>
          <cell r="F23134" t="str">
            <v>Primary</v>
          </cell>
        </row>
        <row r="23135">
          <cell r="A23135">
            <v>3546017</v>
          </cell>
          <cell r="B23135">
            <v>131384</v>
          </cell>
          <cell r="C23135" t="str">
            <v>Pilsworth - Green Corns</v>
          </cell>
          <cell r="D23135" t="str">
            <v>Rochdale</v>
          </cell>
          <cell r="E23135" t="str">
            <v>Other Independent Special School</v>
          </cell>
          <cell r="F23135" t="str">
            <v>Not applicable</v>
          </cell>
        </row>
        <row r="23136">
          <cell r="A23136">
            <v>8784060</v>
          </cell>
          <cell r="B23136">
            <v>113515</v>
          </cell>
          <cell r="C23136" t="str">
            <v>Pilton Community College</v>
          </cell>
          <cell r="D23136" t="str">
            <v>Devon</v>
          </cell>
          <cell r="E23136" t="str">
            <v>Community School</v>
          </cell>
          <cell r="F23136" t="str">
            <v>Secondary</v>
          </cell>
        </row>
        <row r="23137">
          <cell r="A23137">
            <v>8784060</v>
          </cell>
          <cell r="B23137">
            <v>136867</v>
          </cell>
          <cell r="C23137" t="str">
            <v>Pilton Community College</v>
          </cell>
          <cell r="D23137" t="str">
            <v>Devon</v>
          </cell>
          <cell r="E23137" t="str">
            <v>Academy Converters</v>
          </cell>
          <cell r="F23137" t="str">
            <v>Secondary</v>
          </cell>
        </row>
        <row r="23138">
          <cell r="A23138">
            <v>8782205</v>
          </cell>
          <cell r="B23138">
            <v>113128</v>
          </cell>
          <cell r="C23138" t="str">
            <v>Pilton Infants' School</v>
          </cell>
          <cell r="D23138" t="str">
            <v>Devon</v>
          </cell>
          <cell r="E23138" t="str">
            <v>Community School</v>
          </cell>
          <cell r="F23138" t="str">
            <v>Primary</v>
          </cell>
        </row>
        <row r="23139">
          <cell r="A23139">
            <v>8783451</v>
          </cell>
          <cell r="B23139">
            <v>113447</v>
          </cell>
          <cell r="C23139" t="str">
            <v>Pilton the Bluecoat Church of England Junior School</v>
          </cell>
          <cell r="D23139" t="str">
            <v>Devon</v>
          </cell>
          <cell r="E23139" t="str">
            <v>Voluntary Aided School</v>
          </cell>
          <cell r="F23139" t="str">
            <v>Primary</v>
          </cell>
        </row>
        <row r="23140">
          <cell r="A23140">
            <v>2136908</v>
          </cell>
          <cell r="B23140">
            <v>135676</v>
          </cell>
          <cell r="C23140" t="str">
            <v>Pimlico Academy</v>
          </cell>
          <cell r="D23140" t="str">
            <v>Westminster</v>
          </cell>
          <cell r="E23140" t="str">
            <v>Academy Sponsor Led</v>
          </cell>
          <cell r="F23140" t="str">
            <v>Secondary</v>
          </cell>
        </row>
        <row r="23141">
          <cell r="A23141">
            <v>2134279</v>
          </cell>
          <cell r="B23141">
            <v>101148</v>
          </cell>
          <cell r="C23141" t="str">
            <v>Pimlico School</v>
          </cell>
          <cell r="D23141" t="str">
            <v>Westminster</v>
          </cell>
          <cell r="E23141" t="str">
            <v>Community School</v>
          </cell>
          <cell r="F23141" t="str">
            <v>Secondary</v>
          </cell>
        </row>
        <row r="23142">
          <cell r="A23142">
            <v>8353047</v>
          </cell>
          <cell r="B23142">
            <v>113774</v>
          </cell>
          <cell r="C23142" t="str">
            <v>Pimperne Church of England Primary School</v>
          </cell>
          <cell r="D23142" t="str">
            <v>Dorset</v>
          </cell>
          <cell r="E23142" t="str">
            <v>Voluntary Controlled School</v>
          </cell>
          <cell r="F23142" t="str">
            <v>Primary</v>
          </cell>
        </row>
        <row r="23143">
          <cell r="A23143">
            <v>9192282</v>
          </cell>
          <cell r="B23143">
            <v>117251</v>
          </cell>
          <cell r="C23143" t="str">
            <v>Pin Green Primary School and Nursery</v>
          </cell>
          <cell r="D23143" t="str">
            <v>Hertfordshire</v>
          </cell>
          <cell r="E23143" t="str">
            <v>Community School</v>
          </cell>
          <cell r="F23143" t="str">
            <v>Primary</v>
          </cell>
        </row>
        <row r="23144">
          <cell r="A23144">
            <v>8222048</v>
          </cell>
          <cell r="B23144">
            <v>109451</v>
          </cell>
          <cell r="C23144" t="str">
            <v>Pinchmill Lower School</v>
          </cell>
          <cell r="D23144" t="str">
            <v>Bedford</v>
          </cell>
          <cell r="E23144" t="str">
            <v>Foundation School</v>
          </cell>
          <cell r="F23144" t="str">
            <v>Primary</v>
          </cell>
        </row>
        <row r="23145">
          <cell r="A23145">
            <v>3847000</v>
          </cell>
          <cell r="B23145">
            <v>108310</v>
          </cell>
          <cell r="C23145" t="str">
            <v>Pinderfields Hospital School</v>
          </cell>
          <cell r="D23145" t="str">
            <v>Wakefield</v>
          </cell>
          <cell r="E23145" t="str">
            <v>Community Special School</v>
          </cell>
          <cell r="F23145" t="str">
            <v>Special</v>
          </cell>
        </row>
        <row r="23146">
          <cell r="A23146">
            <v>2057106</v>
          </cell>
          <cell r="B23146">
            <v>126629</v>
          </cell>
          <cell r="C23146" t="str">
            <v>Pine End School</v>
          </cell>
          <cell r="D23146" t="str">
            <v>Hammersmith and Fulham</v>
          </cell>
          <cell r="E23146" t="str">
            <v>Community Special School</v>
          </cell>
          <cell r="F23146" t="str">
            <v>Special</v>
          </cell>
        </row>
        <row r="23147">
          <cell r="A23147">
            <v>8961103</v>
          </cell>
          <cell r="B23147">
            <v>134766</v>
          </cell>
          <cell r="C23147" t="str">
            <v>Pine Lodge</v>
          </cell>
          <cell r="D23147" t="str">
            <v>Cheshire West and Chester</v>
          </cell>
          <cell r="E23147" t="str">
            <v>Pupil Referral Unit</v>
          </cell>
          <cell r="F23147" t="str">
            <v>PRU</v>
          </cell>
        </row>
        <row r="23148">
          <cell r="A23148">
            <v>9362444</v>
          </cell>
          <cell r="B23148">
            <v>125064</v>
          </cell>
          <cell r="C23148" t="str">
            <v>Pine Ridge Infant and Nursery School</v>
          </cell>
          <cell r="D23148" t="str">
            <v>Surrey</v>
          </cell>
          <cell r="E23148" t="str">
            <v>Community School</v>
          </cell>
          <cell r="F23148" t="str">
            <v>Primary</v>
          </cell>
        </row>
        <row r="23149">
          <cell r="A23149">
            <v>3412122</v>
          </cell>
          <cell r="B23149">
            <v>104568</v>
          </cell>
          <cell r="C23149" t="str">
            <v>Pinehurst Infant School</v>
          </cell>
          <cell r="D23149" t="str">
            <v>Liverpool</v>
          </cell>
          <cell r="E23149" t="str">
            <v>Community School</v>
          </cell>
          <cell r="F23149" t="str">
            <v>Primary</v>
          </cell>
        </row>
        <row r="23150">
          <cell r="A23150">
            <v>8662116</v>
          </cell>
          <cell r="B23150">
            <v>126225</v>
          </cell>
          <cell r="C23150" t="str">
            <v>Pinehurst Infants' School</v>
          </cell>
          <cell r="D23150" t="str">
            <v>Swindon</v>
          </cell>
          <cell r="E23150" t="str">
            <v>Community School</v>
          </cell>
          <cell r="F23150" t="str">
            <v>Primary</v>
          </cell>
        </row>
        <row r="23151">
          <cell r="A23151">
            <v>3412120</v>
          </cell>
          <cell r="B23151">
            <v>104567</v>
          </cell>
          <cell r="C23151" t="str">
            <v>Pinehurst Junior School</v>
          </cell>
          <cell r="D23151" t="str">
            <v>Liverpool</v>
          </cell>
          <cell r="E23151" t="str">
            <v>Community School</v>
          </cell>
          <cell r="F23151" t="str">
            <v>Primary</v>
          </cell>
        </row>
        <row r="23152">
          <cell r="A23152">
            <v>8662115</v>
          </cell>
          <cell r="B23152">
            <v>126224</v>
          </cell>
          <cell r="C23152" t="str">
            <v>Pinehurst Junior School</v>
          </cell>
          <cell r="D23152" t="str">
            <v>Swindon</v>
          </cell>
          <cell r="E23152" t="str">
            <v>Community School</v>
          </cell>
          <cell r="F23152" t="str">
            <v>Primary</v>
          </cell>
        </row>
        <row r="23153">
          <cell r="A23153">
            <v>3413961</v>
          </cell>
          <cell r="B23153">
            <v>134471</v>
          </cell>
          <cell r="C23153" t="str">
            <v>Pinehurst Primary School Anfield</v>
          </cell>
          <cell r="D23153" t="str">
            <v>Liverpool</v>
          </cell>
          <cell r="E23153" t="str">
            <v>Community School</v>
          </cell>
          <cell r="F23153" t="str">
            <v>Primary</v>
          </cell>
        </row>
        <row r="23154">
          <cell r="A23154">
            <v>8912223</v>
          </cell>
          <cell r="B23154">
            <v>122520</v>
          </cell>
          <cell r="C23154" t="str">
            <v>Pinewood Infant and Nursery School</v>
          </cell>
          <cell r="D23154" t="str">
            <v>Nottinghamshire</v>
          </cell>
          <cell r="E23154" t="str">
            <v>Community School</v>
          </cell>
          <cell r="F23154" t="str">
            <v>Primary</v>
          </cell>
        </row>
        <row r="23155">
          <cell r="A23155">
            <v>8502534</v>
          </cell>
          <cell r="B23155">
            <v>116158</v>
          </cell>
          <cell r="C23155" t="str">
            <v>Pinewood Infant School</v>
          </cell>
          <cell r="D23155" t="str">
            <v>Hampshire</v>
          </cell>
          <cell r="E23155" t="str">
            <v>Community School</v>
          </cell>
          <cell r="F23155" t="str">
            <v>Primary</v>
          </cell>
        </row>
        <row r="23156">
          <cell r="A23156">
            <v>3112065</v>
          </cell>
          <cell r="B23156">
            <v>126923</v>
          </cell>
          <cell r="C23156" t="str">
            <v>Pinewood Infants' School</v>
          </cell>
          <cell r="D23156" t="str">
            <v>Havering</v>
          </cell>
          <cell r="E23156" t="str">
            <v>Community School</v>
          </cell>
          <cell r="F23156" t="str">
            <v>Primary</v>
          </cell>
        </row>
        <row r="23157">
          <cell r="A23157">
            <v>3112064</v>
          </cell>
          <cell r="B23157">
            <v>126922</v>
          </cell>
          <cell r="C23157" t="str">
            <v>Pinewood Junior School</v>
          </cell>
          <cell r="D23157" t="str">
            <v>Havering</v>
          </cell>
          <cell r="E23157" t="str">
            <v>Community School</v>
          </cell>
          <cell r="F23157" t="str">
            <v>Primary</v>
          </cell>
        </row>
        <row r="23158">
          <cell r="A23158">
            <v>3112091</v>
          </cell>
          <cell r="B23158">
            <v>102326</v>
          </cell>
          <cell r="C23158" t="str">
            <v>Pinewood Primary School</v>
          </cell>
          <cell r="D23158" t="str">
            <v>Havering</v>
          </cell>
          <cell r="E23158" t="str">
            <v>Community School</v>
          </cell>
          <cell r="F23158" t="str">
            <v>Primary</v>
          </cell>
        </row>
        <row r="23159">
          <cell r="A23159">
            <v>9197004</v>
          </cell>
          <cell r="B23159">
            <v>117664</v>
          </cell>
          <cell r="C23159" t="str">
            <v>Pinewood School</v>
          </cell>
          <cell r="D23159" t="str">
            <v>Hertfordshire</v>
          </cell>
          <cell r="E23159" t="str">
            <v>Community Special School</v>
          </cell>
          <cell r="F23159" t="str">
            <v>Special</v>
          </cell>
        </row>
        <row r="23160">
          <cell r="A23160">
            <v>9316080</v>
          </cell>
          <cell r="B23160">
            <v>123301</v>
          </cell>
          <cell r="C23160" t="str">
            <v>Pinewood School</v>
          </cell>
          <cell r="D23160" t="str">
            <v>Oxfordshire</v>
          </cell>
          <cell r="E23160" t="str">
            <v>Other Independent School</v>
          </cell>
          <cell r="F23160" t="str">
            <v>Not applicable</v>
          </cell>
        </row>
        <row r="23161">
          <cell r="A23161">
            <v>3572006</v>
          </cell>
          <cell r="B23161">
            <v>106181</v>
          </cell>
          <cell r="C23161" t="str">
            <v>Pinfold Primary School</v>
          </cell>
          <cell r="D23161" t="str">
            <v>Tameside</v>
          </cell>
          <cell r="E23161" t="str">
            <v>Community School</v>
          </cell>
          <cell r="F23161" t="str">
            <v>Primary</v>
          </cell>
        </row>
        <row r="23162">
          <cell r="A23162">
            <v>8882156</v>
          </cell>
          <cell r="B23162">
            <v>119209</v>
          </cell>
          <cell r="C23162" t="str">
            <v>Pinfold Primary School</v>
          </cell>
          <cell r="D23162" t="str">
            <v>Lancashire</v>
          </cell>
          <cell r="E23162" t="str">
            <v>Community School</v>
          </cell>
          <cell r="F23162" t="str">
            <v>Primary</v>
          </cell>
        </row>
        <row r="23163">
          <cell r="A23163">
            <v>3352103</v>
          </cell>
          <cell r="B23163">
            <v>104176</v>
          </cell>
          <cell r="C23163" t="str">
            <v>Pinfold Street Junior Mixed and Infant School</v>
          </cell>
          <cell r="D23163" t="str">
            <v>Walsall</v>
          </cell>
          <cell r="E23163" t="str">
            <v>Community School</v>
          </cell>
          <cell r="F23163" t="str">
            <v>Primary</v>
          </cell>
        </row>
        <row r="23164">
          <cell r="A23164">
            <v>8783328</v>
          </cell>
          <cell r="B23164">
            <v>113445</v>
          </cell>
          <cell r="C23164" t="str">
            <v>Pinhoe Church of England Primary School</v>
          </cell>
          <cell r="D23164" t="str">
            <v>Devon</v>
          </cell>
          <cell r="E23164" t="str">
            <v>Voluntary Aided School</v>
          </cell>
          <cell r="F23164" t="str">
            <v>Primary</v>
          </cell>
        </row>
        <row r="23165">
          <cell r="A23165">
            <v>9112030</v>
          </cell>
          <cell r="B23165">
            <v>128686</v>
          </cell>
          <cell r="C23165" t="str">
            <v>Pinhoe First School</v>
          </cell>
          <cell r="D23165" t="str">
            <v>Pre LGR (1998) Devon</v>
          </cell>
          <cell r="E23165" t="str">
            <v>Community School</v>
          </cell>
          <cell r="F23165" t="str">
            <v>Primary</v>
          </cell>
        </row>
        <row r="23166">
          <cell r="A23166">
            <v>3122044</v>
          </cell>
          <cell r="B23166">
            <v>102396</v>
          </cell>
          <cell r="C23166" t="str">
            <v>Pinkwell Infant School</v>
          </cell>
          <cell r="D23166" t="str">
            <v>Hillingdon</v>
          </cell>
          <cell r="E23166" t="str">
            <v>Community School</v>
          </cell>
          <cell r="F23166" t="str">
            <v>Primary</v>
          </cell>
        </row>
        <row r="23167">
          <cell r="A23167">
            <v>3122043</v>
          </cell>
          <cell r="B23167">
            <v>102395</v>
          </cell>
          <cell r="C23167" t="str">
            <v>Pinkwell Junior School</v>
          </cell>
          <cell r="D23167" t="str">
            <v>Hillingdon</v>
          </cell>
          <cell r="E23167" t="str">
            <v>Community School</v>
          </cell>
          <cell r="F23167" t="str">
            <v>Primary</v>
          </cell>
        </row>
        <row r="23168">
          <cell r="A23168">
            <v>3122083</v>
          </cell>
          <cell r="B23168">
            <v>131744</v>
          </cell>
          <cell r="C23168" t="str">
            <v>Pinkwell Primary School</v>
          </cell>
          <cell r="D23168" t="str">
            <v>Hillingdon</v>
          </cell>
          <cell r="E23168" t="str">
            <v>Community School</v>
          </cell>
          <cell r="F23168" t="str">
            <v>Primary</v>
          </cell>
        </row>
        <row r="23169">
          <cell r="A23169">
            <v>3102076</v>
          </cell>
          <cell r="B23169">
            <v>102207</v>
          </cell>
          <cell r="C23169" t="str">
            <v>Pinner Park Infant and Nursery School</v>
          </cell>
          <cell r="D23169" t="str">
            <v>Harrow</v>
          </cell>
          <cell r="E23169" t="str">
            <v>Community School</v>
          </cell>
          <cell r="F23169" t="str">
            <v>Primary</v>
          </cell>
        </row>
        <row r="23170">
          <cell r="A23170">
            <v>3102060</v>
          </cell>
          <cell r="B23170">
            <v>102194</v>
          </cell>
          <cell r="C23170" t="str">
            <v>Pinner Park Junior School</v>
          </cell>
          <cell r="D23170" t="str">
            <v>Harrow</v>
          </cell>
          <cell r="E23170" t="str">
            <v>Community School</v>
          </cell>
          <cell r="F23170" t="str">
            <v>Primary</v>
          </cell>
        </row>
        <row r="23171">
          <cell r="A23171">
            <v>3102046</v>
          </cell>
          <cell r="B23171">
            <v>102182</v>
          </cell>
          <cell r="C23171" t="str">
            <v>Pinner Wood First School</v>
          </cell>
          <cell r="D23171" t="str">
            <v>Harrow</v>
          </cell>
          <cell r="E23171" t="str">
            <v>Community School</v>
          </cell>
          <cell r="F23171" t="str">
            <v>Primary</v>
          </cell>
        </row>
        <row r="23172">
          <cell r="A23172">
            <v>3102047</v>
          </cell>
          <cell r="B23172">
            <v>102183</v>
          </cell>
          <cell r="C23172" t="str">
            <v>Pinner Wood Middle School</v>
          </cell>
          <cell r="D23172" t="str">
            <v>Harrow</v>
          </cell>
          <cell r="E23172" t="str">
            <v>Community School</v>
          </cell>
          <cell r="F23172" t="str">
            <v>Middle Deemed Primary</v>
          </cell>
        </row>
        <row r="23173">
          <cell r="A23173">
            <v>3103512</v>
          </cell>
          <cell r="B23173">
            <v>131577</v>
          </cell>
          <cell r="C23173" t="str">
            <v>Pinner Wood School</v>
          </cell>
          <cell r="D23173" t="str">
            <v>Harrow</v>
          </cell>
          <cell r="E23173" t="str">
            <v>Community School</v>
          </cell>
          <cell r="F23173" t="str">
            <v>Primary</v>
          </cell>
        </row>
        <row r="23174">
          <cell r="A23174">
            <v>8853088</v>
          </cell>
          <cell r="B23174">
            <v>116840</v>
          </cell>
          <cell r="C23174" t="str">
            <v>Pinvin CofE First School</v>
          </cell>
          <cell r="D23174" t="str">
            <v>Worcestershire</v>
          </cell>
          <cell r="E23174" t="str">
            <v>Voluntary Controlled School</v>
          </cell>
          <cell r="F23174" t="str">
            <v>Primary</v>
          </cell>
        </row>
        <row r="23175">
          <cell r="A23175">
            <v>8302193</v>
          </cell>
          <cell r="B23175">
            <v>112608</v>
          </cell>
          <cell r="C23175" t="str">
            <v>Pinxton Kirkstead Junior School</v>
          </cell>
          <cell r="D23175" t="str">
            <v>Derbyshire</v>
          </cell>
          <cell r="E23175" t="str">
            <v>Community School</v>
          </cell>
          <cell r="F23175" t="str">
            <v>Primary</v>
          </cell>
        </row>
        <row r="23176">
          <cell r="A23176">
            <v>8301018</v>
          </cell>
          <cell r="B23176">
            <v>112483</v>
          </cell>
          <cell r="C23176" t="str">
            <v>Pinxton Nursery School</v>
          </cell>
          <cell r="D23176" t="str">
            <v>Derbyshire</v>
          </cell>
          <cell r="E23176" t="str">
            <v>LA Nursery School</v>
          </cell>
          <cell r="F23176" t="str">
            <v>Nursery</v>
          </cell>
        </row>
        <row r="23177">
          <cell r="A23177">
            <v>3527039</v>
          </cell>
          <cell r="B23177">
            <v>105611</v>
          </cell>
          <cell r="C23177" t="str">
            <v>Piper Hill High School</v>
          </cell>
          <cell r="D23177" t="str">
            <v>Manchester</v>
          </cell>
          <cell r="E23177" t="str">
            <v>Community Special School</v>
          </cell>
          <cell r="F23177" t="str">
            <v>Special</v>
          </cell>
        </row>
        <row r="23178">
          <cell r="A23178">
            <v>8567219</v>
          </cell>
          <cell r="B23178">
            <v>130392</v>
          </cell>
          <cell r="C23178" t="str">
            <v>Piper Way School</v>
          </cell>
          <cell r="D23178" t="str">
            <v>Leicester</v>
          </cell>
          <cell r="E23178" t="str">
            <v>Community Special School</v>
          </cell>
          <cell r="F23178" t="str">
            <v>Special</v>
          </cell>
        </row>
        <row r="23179">
          <cell r="A23179">
            <v>8256017</v>
          </cell>
          <cell r="B23179">
            <v>110545</v>
          </cell>
          <cell r="C23179" t="str">
            <v>Pipers Corner School</v>
          </cell>
          <cell r="D23179" t="str">
            <v>Buckinghamshire</v>
          </cell>
          <cell r="E23179" t="str">
            <v>Other Independent School</v>
          </cell>
          <cell r="F23179" t="str">
            <v>Not applicable</v>
          </cell>
        </row>
        <row r="23180">
          <cell r="A23180">
            <v>3702014</v>
          </cell>
          <cell r="B23180">
            <v>106560</v>
          </cell>
          <cell r="C23180" t="str">
            <v>Pipers Grove Primary School</v>
          </cell>
          <cell r="D23180" t="str">
            <v>Barnsley</v>
          </cell>
          <cell r="E23180" t="str">
            <v>Community School</v>
          </cell>
          <cell r="F23180" t="str">
            <v>Primary</v>
          </cell>
        </row>
        <row r="23181">
          <cell r="A23181">
            <v>9352930</v>
          </cell>
          <cell r="B23181">
            <v>132836</v>
          </cell>
          <cell r="C23181" t="str">
            <v>Piper's Vale Community Primary School</v>
          </cell>
          <cell r="D23181" t="str">
            <v>Suffolk</v>
          </cell>
          <cell r="E23181" t="str">
            <v>Community School</v>
          </cell>
          <cell r="F23181" t="str">
            <v>Primary</v>
          </cell>
        </row>
        <row r="23182">
          <cell r="A23182">
            <v>9346067</v>
          </cell>
          <cell r="B23182">
            <v>129958</v>
          </cell>
          <cell r="C23182" t="str">
            <v>Pipewood School</v>
          </cell>
          <cell r="D23182" t="str">
            <v>Pre LGR (1997) Staffordshire</v>
          </cell>
          <cell r="E23182" t="str">
            <v>Other Independent School</v>
          </cell>
          <cell r="F23182" t="str">
            <v>Not applicable</v>
          </cell>
        </row>
        <row r="23183">
          <cell r="A23183">
            <v>8715207</v>
          </cell>
          <cell r="B23183">
            <v>110095</v>
          </cell>
          <cell r="C23183" t="str">
            <v>Pippins School</v>
          </cell>
          <cell r="D23183" t="str">
            <v>Slough</v>
          </cell>
          <cell r="E23183" t="str">
            <v>Foundation School</v>
          </cell>
          <cell r="F23183" t="str">
            <v>Primary</v>
          </cell>
        </row>
        <row r="23184">
          <cell r="A23184">
            <v>3733433</v>
          </cell>
          <cell r="B23184">
            <v>134751</v>
          </cell>
          <cell r="C23184" t="str">
            <v>Pipworth Community Primary School</v>
          </cell>
          <cell r="D23184" t="str">
            <v>Sheffield</v>
          </cell>
          <cell r="E23184" t="str">
            <v>Community School</v>
          </cell>
          <cell r="F23184" t="str">
            <v>Primary</v>
          </cell>
        </row>
        <row r="23185">
          <cell r="A23185">
            <v>3732100</v>
          </cell>
          <cell r="B23185">
            <v>107009</v>
          </cell>
          <cell r="C23185" t="str">
            <v>Pipworth Junior School</v>
          </cell>
          <cell r="D23185" t="str">
            <v>Sheffield</v>
          </cell>
          <cell r="E23185" t="str">
            <v>Community School</v>
          </cell>
          <cell r="F23185" t="str">
            <v>Primary</v>
          </cell>
        </row>
        <row r="23186">
          <cell r="A23186">
            <v>3732101</v>
          </cell>
          <cell r="B23186">
            <v>107010</v>
          </cell>
          <cell r="C23186" t="str">
            <v>Pipworth Nursery Infant School</v>
          </cell>
          <cell r="D23186" t="str">
            <v>Sheffield</v>
          </cell>
          <cell r="E23186" t="str">
            <v>Community School</v>
          </cell>
          <cell r="F23186" t="str">
            <v>Primary</v>
          </cell>
        </row>
        <row r="23187">
          <cell r="A23187">
            <v>9362391</v>
          </cell>
          <cell r="B23187">
            <v>125040</v>
          </cell>
          <cell r="C23187" t="str">
            <v>Pirbright Village Primary School</v>
          </cell>
          <cell r="D23187" t="str">
            <v>Surrey</v>
          </cell>
          <cell r="E23187" t="str">
            <v>Community School</v>
          </cell>
          <cell r="F23187" t="str">
            <v>Primary</v>
          </cell>
        </row>
        <row r="23188">
          <cell r="A23188">
            <v>8602345</v>
          </cell>
          <cell r="B23188">
            <v>124164</v>
          </cell>
          <cell r="C23188" t="str">
            <v>Pirehill First School</v>
          </cell>
          <cell r="D23188" t="str">
            <v>Staffordshire</v>
          </cell>
          <cell r="E23188" t="str">
            <v>Community School</v>
          </cell>
          <cell r="F23188" t="str">
            <v>Primary</v>
          </cell>
        </row>
        <row r="23189">
          <cell r="A23189">
            <v>8212265</v>
          </cell>
          <cell r="B23189">
            <v>109573</v>
          </cell>
          <cell r="C23189" t="str">
            <v>Pirton Hill Junior School</v>
          </cell>
          <cell r="D23189" t="str">
            <v>Luton</v>
          </cell>
          <cell r="E23189" t="str">
            <v>Community School</v>
          </cell>
          <cell r="F23189" t="str">
            <v>Primary</v>
          </cell>
        </row>
        <row r="23190">
          <cell r="A23190">
            <v>8212266</v>
          </cell>
          <cell r="B23190">
            <v>109574</v>
          </cell>
          <cell r="C23190" t="str">
            <v>Pirton Hill Primary School</v>
          </cell>
          <cell r="D23190" t="str">
            <v>Luton</v>
          </cell>
          <cell r="E23190" t="str">
            <v>Community School</v>
          </cell>
          <cell r="F23190" t="str">
            <v>Primary</v>
          </cell>
        </row>
        <row r="23191">
          <cell r="A23191">
            <v>9192077</v>
          </cell>
          <cell r="B23191">
            <v>117128</v>
          </cell>
          <cell r="C23191" t="str">
            <v>Pirton School</v>
          </cell>
          <cell r="D23191" t="str">
            <v>Hertfordshire</v>
          </cell>
          <cell r="E23191" t="str">
            <v>Community School</v>
          </cell>
          <cell r="F23191" t="str">
            <v>Primary</v>
          </cell>
        </row>
        <row r="23192">
          <cell r="A23192">
            <v>8857009</v>
          </cell>
          <cell r="B23192">
            <v>117056</v>
          </cell>
          <cell r="C23192" t="str">
            <v>Pitcheroak School</v>
          </cell>
          <cell r="D23192" t="str">
            <v>Worcestershire</v>
          </cell>
          <cell r="E23192" t="str">
            <v>Community Special School</v>
          </cell>
          <cell r="F23192" t="str">
            <v>Special</v>
          </cell>
        </row>
        <row r="23193">
          <cell r="A23193">
            <v>8852200</v>
          </cell>
          <cell r="B23193">
            <v>116769</v>
          </cell>
          <cell r="C23193" t="str">
            <v>Pitmaston Primary School</v>
          </cell>
          <cell r="D23193" t="str">
            <v>Worcestershire</v>
          </cell>
          <cell r="E23193" t="str">
            <v>Community School</v>
          </cell>
          <cell r="F23193" t="str">
            <v>Primary</v>
          </cell>
        </row>
        <row r="23194">
          <cell r="A23194">
            <v>8812231</v>
          </cell>
          <cell r="B23194">
            <v>114807</v>
          </cell>
          <cell r="C23194" t="str">
            <v>Pitsea Junior School</v>
          </cell>
          <cell r="D23194" t="str">
            <v>Essex</v>
          </cell>
          <cell r="E23194" t="str">
            <v>Community School</v>
          </cell>
          <cell r="F23194" t="str">
            <v>Primary</v>
          </cell>
        </row>
        <row r="23195">
          <cell r="A23195">
            <v>9282075</v>
          </cell>
          <cell r="B23195">
            <v>121850</v>
          </cell>
          <cell r="C23195" t="str">
            <v>Pitsford Primary School</v>
          </cell>
          <cell r="D23195" t="str">
            <v>Northamptonshire</v>
          </cell>
          <cell r="E23195" t="str">
            <v>Community School</v>
          </cell>
          <cell r="F23195" t="str">
            <v>Primary</v>
          </cell>
        </row>
        <row r="23196">
          <cell r="A23196">
            <v>9286064</v>
          </cell>
          <cell r="B23196">
            <v>122151</v>
          </cell>
          <cell r="C23196" t="str">
            <v>Pitsford School</v>
          </cell>
          <cell r="D23196" t="str">
            <v>Northamptonshire</v>
          </cell>
          <cell r="E23196" t="str">
            <v>Other Independent School</v>
          </cell>
          <cell r="F23196" t="str">
            <v>Not applicable</v>
          </cell>
        </row>
        <row r="23197">
          <cell r="A23197">
            <v>8402470</v>
          </cell>
          <cell r="B23197">
            <v>114125</v>
          </cell>
          <cell r="C23197" t="str">
            <v>Pittington Primary School</v>
          </cell>
          <cell r="D23197" t="str">
            <v>Durham</v>
          </cell>
          <cell r="E23197" t="str">
            <v>Community School</v>
          </cell>
          <cell r="F23197" t="str">
            <v>Primary</v>
          </cell>
        </row>
        <row r="23198">
          <cell r="A23198">
            <v>8655216</v>
          </cell>
          <cell r="B23198">
            <v>126490</v>
          </cell>
          <cell r="C23198" t="str">
            <v>Pitton Church of England Voluntary Aided Primary School</v>
          </cell>
          <cell r="D23198" t="str">
            <v>Wiltshire</v>
          </cell>
          <cell r="E23198" t="str">
            <v>Voluntary Aided School</v>
          </cell>
          <cell r="F23198" t="str">
            <v>Primary</v>
          </cell>
        </row>
        <row r="23199">
          <cell r="A23199">
            <v>9165421</v>
          </cell>
          <cell r="B23199">
            <v>115772</v>
          </cell>
          <cell r="C23199" t="str">
            <v>Pittville School</v>
          </cell>
          <cell r="D23199" t="str">
            <v>Gloucestershire</v>
          </cell>
          <cell r="E23199" t="str">
            <v>Foundation School</v>
          </cell>
          <cell r="F23199" t="str">
            <v>Secondary</v>
          </cell>
        </row>
        <row r="23200">
          <cell r="A23200">
            <v>9176090</v>
          </cell>
          <cell r="B23200">
            <v>129056</v>
          </cell>
          <cell r="C23200" t="str">
            <v>Pixie Kindergarten and Junior School</v>
          </cell>
          <cell r="D23200" t="str">
            <v>Pre LGR (1997) Hampshire</v>
          </cell>
          <cell r="E23200" t="str">
            <v>Other Independent School</v>
          </cell>
          <cell r="F23200" t="str">
            <v>Not applicable</v>
          </cell>
        </row>
        <row r="23201">
          <cell r="A23201">
            <v>9192293</v>
          </cell>
          <cell r="B23201">
            <v>117256</v>
          </cell>
          <cell r="C23201" t="str">
            <v>Pixies Hill Primary School</v>
          </cell>
          <cell r="D23201" t="str">
            <v>Hertfordshire</v>
          </cell>
          <cell r="E23201" t="str">
            <v>Community School</v>
          </cell>
          <cell r="F23201" t="str">
            <v>Primary</v>
          </cell>
        </row>
        <row r="23202">
          <cell r="A23202">
            <v>9192300</v>
          </cell>
          <cell r="B23202">
            <v>117259</v>
          </cell>
          <cell r="C23202" t="str">
            <v>Pixmore Junior School</v>
          </cell>
          <cell r="D23202" t="str">
            <v>Hertfordshire</v>
          </cell>
          <cell r="E23202" t="str">
            <v>Community School</v>
          </cell>
          <cell r="F23202" t="str">
            <v>Primary</v>
          </cell>
        </row>
        <row r="23203">
          <cell r="A23203">
            <v>9352036</v>
          </cell>
          <cell r="B23203">
            <v>124554</v>
          </cell>
          <cell r="C23203" t="str">
            <v>Place Farm Community Primary School</v>
          </cell>
          <cell r="D23203" t="str">
            <v>Suffolk</v>
          </cell>
          <cell r="E23203" t="str">
            <v>Community School</v>
          </cell>
          <cell r="F23203" t="str">
            <v>Primary</v>
          </cell>
        </row>
        <row r="23204">
          <cell r="A23204">
            <v>3942103</v>
          </cell>
          <cell r="B23204">
            <v>108793</v>
          </cell>
          <cell r="C23204" t="str">
            <v>Plains Farm Primary School</v>
          </cell>
          <cell r="D23204" t="str">
            <v>Sunderland</v>
          </cell>
          <cell r="E23204" t="str">
            <v>Community School</v>
          </cell>
          <cell r="F23204" t="str">
            <v>Primary</v>
          </cell>
        </row>
        <row r="23205">
          <cell r="A23205">
            <v>9382050</v>
          </cell>
          <cell r="B23205">
            <v>125848</v>
          </cell>
          <cell r="C23205" t="str">
            <v>Plaistow and Kirdford Primary School</v>
          </cell>
          <cell r="D23205" t="str">
            <v>West Sussex</v>
          </cell>
          <cell r="E23205" t="str">
            <v>Community School</v>
          </cell>
          <cell r="F23205" t="str">
            <v>Primary</v>
          </cell>
        </row>
        <row r="23206">
          <cell r="A23206">
            <v>8792668</v>
          </cell>
          <cell r="B23206">
            <v>113295</v>
          </cell>
          <cell r="C23206" t="str">
            <v>Plaistow Hill Infant and Nursery School</v>
          </cell>
          <cell r="D23206" t="str">
            <v>Plymouth</v>
          </cell>
          <cell r="E23206" t="str">
            <v>Community School</v>
          </cell>
          <cell r="F23206" t="str">
            <v>Primary</v>
          </cell>
        </row>
        <row r="23207">
          <cell r="A23207">
            <v>3166233</v>
          </cell>
          <cell r="B23207">
            <v>135694</v>
          </cell>
          <cell r="C23207" t="str">
            <v>Plaistow Jamia Islamia</v>
          </cell>
          <cell r="D23207" t="str">
            <v>Newham</v>
          </cell>
          <cell r="E23207" t="str">
            <v>Other Independent School</v>
          </cell>
          <cell r="F23207" t="str">
            <v>Not applicable</v>
          </cell>
        </row>
        <row r="23208">
          <cell r="A23208">
            <v>3162104</v>
          </cell>
          <cell r="B23208">
            <v>132812</v>
          </cell>
          <cell r="C23208" t="str">
            <v>Plaistow Primary School</v>
          </cell>
          <cell r="D23208" t="str">
            <v>Newham</v>
          </cell>
          <cell r="E23208" t="str">
            <v>Community School</v>
          </cell>
          <cell r="F23208" t="str">
            <v>Primary</v>
          </cell>
        </row>
        <row r="23209">
          <cell r="A23209">
            <v>3593020</v>
          </cell>
          <cell r="B23209">
            <v>127550</v>
          </cell>
          <cell r="C23209" t="str">
            <v>Plank Lane Methodist Primary School</v>
          </cell>
          <cell r="D23209" t="str">
            <v>Wigan</v>
          </cell>
          <cell r="E23209" t="str">
            <v>Voluntary Controlled School</v>
          </cell>
          <cell r="F23209" t="str">
            <v>Primary</v>
          </cell>
        </row>
        <row r="23210">
          <cell r="A23210">
            <v>3524270</v>
          </cell>
          <cell r="B23210">
            <v>105559</v>
          </cell>
          <cell r="C23210" t="str">
            <v>Plant Hill Arts College</v>
          </cell>
          <cell r="D23210" t="str">
            <v>Manchester</v>
          </cell>
          <cell r="E23210" t="str">
            <v>Voluntary Aided School</v>
          </cell>
          <cell r="F23210" t="str">
            <v>Secondary</v>
          </cell>
        </row>
        <row r="23211">
          <cell r="A23211">
            <v>3402039</v>
          </cell>
          <cell r="B23211">
            <v>104441</v>
          </cell>
          <cell r="C23211" t="str">
            <v>Plantation Primary School</v>
          </cell>
          <cell r="D23211" t="str">
            <v>Knowsley</v>
          </cell>
          <cell r="E23211" t="str">
            <v>Community School</v>
          </cell>
          <cell r="F23211" t="str">
            <v>Primary</v>
          </cell>
        </row>
        <row r="23212">
          <cell r="A23212">
            <v>8796005</v>
          </cell>
          <cell r="B23212">
            <v>113630</v>
          </cell>
          <cell r="C23212" t="str">
            <v>Plantings School</v>
          </cell>
          <cell r="D23212" t="str">
            <v>Plymouth</v>
          </cell>
          <cell r="E23212" t="str">
            <v>Other Independent School</v>
          </cell>
          <cell r="F23212" t="str">
            <v>Not applicable</v>
          </cell>
        </row>
        <row r="23213">
          <cell r="A23213">
            <v>9116148</v>
          </cell>
          <cell r="B23213">
            <v>128760</v>
          </cell>
          <cell r="C23213" t="str">
            <v>Plantings School</v>
          </cell>
          <cell r="D23213" t="str">
            <v>Pre LGR (1998) Devon</v>
          </cell>
          <cell r="E23213" t="str">
            <v>Other Independent School</v>
          </cell>
          <cell r="F23213" t="str">
            <v>Not applicable</v>
          </cell>
        </row>
        <row r="23214">
          <cell r="A23214">
            <v>8796008</v>
          </cell>
          <cell r="B23214">
            <v>133949</v>
          </cell>
          <cell r="C23214" t="str">
            <v>Plantings School</v>
          </cell>
          <cell r="D23214" t="str">
            <v>Plymouth</v>
          </cell>
          <cell r="E23214" t="str">
            <v>Other Independent School</v>
          </cell>
          <cell r="F23214" t="str">
            <v>Not applicable</v>
          </cell>
        </row>
        <row r="23215">
          <cell r="A23215">
            <v>3304331</v>
          </cell>
          <cell r="B23215">
            <v>103527</v>
          </cell>
          <cell r="C23215" t="str">
            <v>Plantsbrook School</v>
          </cell>
          <cell r="D23215" t="str">
            <v>Birmingham</v>
          </cell>
          <cell r="E23215" t="str">
            <v>Community School</v>
          </cell>
          <cell r="F23215" t="str">
            <v>Secondary</v>
          </cell>
        </row>
        <row r="23216">
          <cell r="A23216">
            <v>3304331</v>
          </cell>
          <cell r="B23216">
            <v>137053</v>
          </cell>
          <cell r="C23216" t="str">
            <v>Plantsbrook School</v>
          </cell>
          <cell r="D23216" t="str">
            <v>Birmingham</v>
          </cell>
          <cell r="E23216" t="str">
            <v>Academy Converters</v>
          </cell>
          <cell r="F23216" t="str">
            <v>Secondary</v>
          </cell>
        </row>
        <row r="23217">
          <cell r="A23217">
            <v>6811106</v>
          </cell>
          <cell r="B23217">
            <v>401965</v>
          </cell>
          <cell r="C23217" t="str">
            <v>Plas Y Coed School and Student Support Centre</v>
          </cell>
          <cell r="D23217" t="str">
            <v>Cardiff</v>
          </cell>
          <cell r="E23217" t="str">
            <v>Welsh Establishment</v>
          </cell>
          <cell r="F23217" t="str">
            <v>Not applicable</v>
          </cell>
        </row>
        <row r="23218">
          <cell r="A23218">
            <v>6672361</v>
          </cell>
          <cell r="B23218">
            <v>400638</v>
          </cell>
          <cell r="C23218" t="str">
            <v>Plascrug C.P.  School</v>
          </cell>
          <cell r="D23218" t="str">
            <v>Ceredigion</v>
          </cell>
          <cell r="E23218" t="str">
            <v>Welsh Establishment</v>
          </cell>
          <cell r="F23218" t="str">
            <v>Primary</v>
          </cell>
        </row>
        <row r="23219">
          <cell r="A23219">
            <v>3164032</v>
          </cell>
          <cell r="B23219">
            <v>102782</v>
          </cell>
          <cell r="C23219" t="str">
            <v>Plashet School</v>
          </cell>
          <cell r="D23219" t="str">
            <v>Newham</v>
          </cell>
          <cell r="E23219" t="str">
            <v>Community School</v>
          </cell>
          <cell r="F23219" t="str">
            <v>Secondary</v>
          </cell>
        </row>
        <row r="23220">
          <cell r="A23220">
            <v>6702051</v>
          </cell>
          <cell r="B23220">
            <v>400883</v>
          </cell>
          <cell r="C23220" t="str">
            <v>Plasmarl Primary School</v>
          </cell>
          <cell r="D23220" t="str">
            <v>Swansea</v>
          </cell>
          <cell r="E23220" t="str">
            <v>Welsh Establishment</v>
          </cell>
          <cell r="F23220" t="str">
            <v>Primary</v>
          </cell>
        </row>
        <row r="23221">
          <cell r="A23221">
            <v>6722232</v>
          </cell>
          <cell r="B23221">
            <v>401054</v>
          </cell>
          <cell r="C23221" t="str">
            <v>Plasnewydd Primary School</v>
          </cell>
          <cell r="D23221" t="str">
            <v>Bridgend</v>
          </cell>
          <cell r="E23221" t="str">
            <v>Welsh Establishment</v>
          </cell>
          <cell r="F23221" t="str">
            <v>Primary</v>
          </cell>
        </row>
        <row r="23222">
          <cell r="A23222">
            <v>6762271</v>
          </cell>
          <cell r="B23222">
            <v>401347</v>
          </cell>
          <cell r="C23222" t="str">
            <v>Plasyfelin Infant School</v>
          </cell>
          <cell r="D23222" t="str">
            <v>Caerphilly</v>
          </cell>
          <cell r="E23222" t="str">
            <v>Welsh Establishment</v>
          </cell>
          <cell r="F23222" t="str">
            <v>Primary</v>
          </cell>
        </row>
        <row r="23223">
          <cell r="A23223">
            <v>6762274</v>
          </cell>
          <cell r="B23223">
            <v>401348</v>
          </cell>
          <cell r="C23223" t="str">
            <v>Plasyfelin Junior School</v>
          </cell>
          <cell r="D23223" t="str">
            <v>Caerphilly</v>
          </cell>
          <cell r="E23223" t="str">
            <v>Welsh Establishment</v>
          </cell>
          <cell r="F23223" t="str">
            <v>Primary</v>
          </cell>
        </row>
        <row r="23224">
          <cell r="A23224">
            <v>6762389</v>
          </cell>
          <cell r="B23224">
            <v>402089</v>
          </cell>
          <cell r="C23224" t="str">
            <v>Plasyfelin Primary</v>
          </cell>
          <cell r="D23224" t="str">
            <v>Caerphilly</v>
          </cell>
          <cell r="E23224" t="str">
            <v>Welsh Establishment</v>
          </cell>
          <cell r="F23224" t="str">
            <v>Primary</v>
          </cell>
        </row>
        <row r="23225">
          <cell r="A23225">
            <v>7072012</v>
          </cell>
          <cell r="B23225">
            <v>132471</v>
          </cell>
          <cell r="C23225" t="str">
            <v>Plat Douet School</v>
          </cell>
          <cell r="D23225" t="str">
            <v>Jersey Offshore Establishments</v>
          </cell>
          <cell r="E23225" t="str">
            <v>Offshore Schools</v>
          </cell>
          <cell r="F23225" t="str">
            <v>Not applicable</v>
          </cell>
        </row>
        <row r="23226">
          <cell r="A23226">
            <v>9318286</v>
          </cell>
          <cell r="B23226">
            <v>130795</v>
          </cell>
          <cell r="C23226" t="str">
            <v>Plater College</v>
          </cell>
          <cell r="D23226" t="str">
            <v>Oxfordshire</v>
          </cell>
          <cell r="E23226" t="str">
            <v>Further Education</v>
          </cell>
          <cell r="F23226" t="str">
            <v>16 Plus</v>
          </cell>
        </row>
        <row r="23227">
          <cell r="A23227">
            <v>3593436</v>
          </cell>
          <cell r="B23227">
            <v>134703</v>
          </cell>
          <cell r="C23227" t="str">
            <v>Platt Bridge Community Primary School</v>
          </cell>
          <cell r="D23227" t="str">
            <v>Wigan</v>
          </cell>
          <cell r="E23227" t="str">
            <v>Community School</v>
          </cell>
          <cell r="F23227" t="str">
            <v>Primary</v>
          </cell>
        </row>
        <row r="23228">
          <cell r="A23228">
            <v>8863325</v>
          </cell>
          <cell r="B23228">
            <v>118728</v>
          </cell>
          <cell r="C23228" t="str">
            <v>Platt Church of England Voluntary Aided Primary School</v>
          </cell>
          <cell r="D23228" t="str">
            <v>Kent</v>
          </cell>
          <cell r="E23228" t="str">
            <v>Voluntary Aided School</v>
          </cell>
          <cell r="F23228" t="str">
            <v>Primary</v>
          </cell>
        </row>
        <row r="23229">
          <cell r="A23229">
            <v>8862169</v>
          </cell>
          <cell r="B23229">
            <v>118295</v>
          </cell>
          <cell r="C23229" t="str">
            <v>Platts Heath Primary School</v>
          </cell>
          <cell r="D23229" t="str">
            <v>Kent</v>
          </cell>
          <cell r="E23229" t="str">
            <v>Community School</v>
          </cell>
          <cell r="F23229" t="str">
            <v>Primary</v>
          </cell>
        </row>
        <row r="23230">
          <cell r="A23230">
            <v>8402147</v>
          </cell>
          <cell r="B23230">
            <v>114019</v>
          </cell>
          <cell r="C23230" t="str">
            <v>Plawsworth Road Infant School</v>
          </cell>
          <cell r="D23230" t="str">
            <v>Durham</v>
          </cell>
          <cell r="E23230" t="str">
            <v>Community School</v>
          </cell>
          <cell r="F23230" t="str">
            <v>Primary</v>
          </cell>
        </row>
        <row r="23231">
          <cell r="A23231">
            <v>8862188</v>
          </cell>
          <cell r="B23231">
            <v>118309</v>
          </cell>
          <cell r="C23231" t="str">
            <v>Plaxtol Primary School</v>
          </cell>
          <cell r="D23231" t="str">
            <v>Kent</v>
          </cell>
          <cell r="E23231" t="str">
            <v>Community School</v>
          </cell>
          <cell r="F23231" t="str">
            <v>Primary</v>
          </cell>
        </row>
        <row r="23232">
          <cell r="A23232">
            <v>9304035</v>
          </cell>
          <cell r="B23232">
            <v>129729</v>
          </cell>
          <cell r="C23232" t="str">
            <v>Player Comprehensive School</v>
          </cell>
          <cell r="D23232" t="str">
            <v>Pre LGR (1998) Nottinghamshire</v>
          </cell>
          <cell r="E23232" t="str">
            <v>Community School</v>
          </cell>
          <cell r="F23232" t="str">
            <v>Secondary</v>
          </cell>
        </row>
        <row r="23233">
          <cell r="A23233">
            <v>916942</v>
          </cell>
          <cell r="B23233">
            <v>135710</v>
          </cell>
          <cell r="C23233" t="str">
            <v>Playing for Success Centre</v>
          </cell>
          <cell r="D23233" t="str">
            <v>Gloucestershire</v>
          </cell>
          <cell r="E23233" t="str">
            <v>Playing for Success Centres</v>
          </cell>
          <cell r="F23233" t="str">
            <v>Not applicable</v>
          </cell>
        </row>
        <row r="23234">
          <cell r="A23234">
            <v>916941</v>
          </cell>
          <cell r="B23234">
            <v>135291</v>
          </cell>
          <cell r="C23234" t="str">
            <v>Playing for Success Cheltenham Racecourse</v>
          </cell>
          <cell r="D23234" t="str">
            <v>Gloucestershire</v>
          </cell>
          <cell r="E23234" t="str">
            <v>Playing for Success Centres</v>
          </cell>
          <cell r="F23234" t="str">
            <v>Not applicable</v>
          </cell>
        </row>
        <row r="23235">
          <cell r="A23235">
            <v>916940</v>
          </cell>
          <cell r="B23235">
            <v>133547</v>
          </cell>
          <cell r="C23235" t="str">
            <v>Playing for Success, Gloucester Rugby</v>
          </cell>
          <cell r="D23235" t="str">
            <v>Gloucestershire</v>
          </cell>
          <cell r="E23235" t="str">
            <v>Playing for Success Centres</v>
          </cell>
          <cell r="F23235" t="str">
            <v>Not applicable</v>
          </cell>
        </row>
        <row r="23236">
          <cell r="A23236">
            <v>9236080</v>
          </cell>
          <cell r="B23236">
            <v>129508</v>
          </cell>
          <cell r="C23236" t="str">
            <v>Plc Tuition Centre</v>
          </cell>
          <cell r="D23236" t="str">
            <v>Pre LGR (1998) Lancashire</v>
          </cell>
          <cell r="E23236" t="str">
            <v>Other Independent School</v>
          </cell>
          <cell r="F23236" t="str">
            <v>Not applicable</v>
          </cell>
        </row>
        <row r="23237">
          <cell r="A23237">
            <v>3546011</v>
          </cell>
          <cell r="B23237">
            <v>131087</v>
          </cell>
          <cell r="C23237" t="str">
            <v>Pleasant Street</v>
          </cell>
          <cell r="D23237" t="str">
            <v>Rochdale</v>
          </cell>
          <cell r="E23237" t="str">
            <v>Other Independent Special School</v>
          </cell>
          <cell r="F23237" t="str">
            <v>Not applicable</v>
          </cell>
        </row>
        <row r="23238">
          <cell r="A23238">
            <v>3412123</v>
          </cell>
          <cell r="B23238">
            <v>104569</v>
          </cell>
          <cell r="C23238" t="str">
            <v>Pleasant Street Primary School</v>
          </cell>
          <cell r="D23238" t="str">
            <v>Liverpool</v>
          </cell>
          <cell r="E23238" t="str">
            <v>Community School</v>
          </cell>
          <cell r="F23238" t="str">
            <v>Primary</v>
          </cell>
        </row>
        <row r="23239">
          <cell r="A23239">
            <v>8894012</v>
          </cell>
          <cell r="B23239">
            <v>119715</v>
          </cell>
          <cell r="C23239" t="str">
            <v>Pleckgate High School Mathematics and Computing College</v>
          </cell>
          <cell r="D23239" t="str">
            <v>Blackburn with Darwen</v>
          </cell>
          <cell r="E23239" t="str">
            <v>Community School</v>
          </cell>
          <cell r="F23239" t="str">
            <v>Secondary</v>
          </cell>
        </row>
        <row r="23240">
          <cell r="A23240">
            <v>3502057</v>
          </cell>
          <cell r="B23240">
            <v>105183</v>
          </cell>
          <cell r="C23240" t="str">
            <v>Plodder Lane Primary School</v>
          </cell>
          <cell r="D23240" t="str">
            <v>Bolton</v>
          </cell>
          <cell r="E23240" t="str">
            <v>Community School</v>
          </cell>
          <cell r="F23240" t="str">
            <v>Primary</v>
          </cell>
        </row>
        <row r="23241">
          <cell r="A23241">
            <v>3712207</v>
          </cell>
          <cell r="B23241">
            <v>131265</v>
          </cell>
          <cell r="C23241" t="str">
            <v>Plover Primary School</v>
          </cell>
          <cell r="D23241" t="str">
            <v>Doncaster</v>
          </cell>
          <cell r="E23241" t="str">
            <v>Community School</v>
          </cell>
          <cell r="F23241" t="str">
            <v>Primary</v>
          </cell>
        </row>
        <row r="23242">
          <cell r="A23242">
            <v>8863142</v>
          </cell>
          <cell r="B23242">
            <v>118669</v>
          </cell>
          <cell r="C23242" t="str">
            <v>Pluckley Church of England Primary School</v>
          </cell>
          <cell r="D23242" t="str">
            <v>Kent</v>
          </cell>
          <cell r="E23242" t="str">
            <v>Voluntary Controlled School</v>
          </cell>
          <cell r="F23242" t="str">
            <v>Primary</v>
          </cell>
        </row>
        <row r="23243">
          <cell r="A23243">
            <v>8815233</v>
          </cell>
          <cell r="B23243">
            <v>115273</v>
          </cell>
          <cell r="C23243" t="str">
            <v>Plumberow Primary School</v>
          </cell>
          <cell r="D23243" t="str">
            <v>Essex</v>
          </cell>
          <cell r="E23243" t="str">
            <v>Foundation School</v>
          </cell>
          <cell r="F23243" t="str">
            <v>Primary</v>
          </cell>
        </row>
        <row r="23244">
          <cell r="A23244">
            <v>8815233</v>
          </cell>
          <cell r="B23244">
            <v>137381</v>
          </cell>
          <cell r="C23244" t="str">
            <v>Plumberow Primary School</v>
          </cell>
          <cell r="D23244" t="str">
            <v>Essex</v>
          </cell>
          <cell r="E23244" t="str">
            <v>Academy Converters</v>
          </cell>
          <cell r="F23244" t="str">
            <v>Primary</v>
          </cell>
        </row>
        <row r="23245">
          <cell r="A23245">
            <v>9093114</v>
          </cell>
          <cell r="B23245">
            <v>112275</v>
          </cell>
          <cell r="C23245" t="str">
            <v>Plumbland CofE School</v>
          </cell>
          <cell r="D23245" t="str">
            <v>Cumbria</v>
          </cell>
          <cell r="E23245" t="str">
            <v>Voluntary Controlled School</v>
          </cell>
          <cell r="F23245" t="str">
            <v>Primary</v>
          </cell>
        </row>
        <row r="23246">
          <cell r="A23246">
            <v>2032471</v>
          </cell>
          <cell r="B23246">
            <v>100140</v>
          </cell>
          <cell r="C23246" t="str">
            <v>Plumcroft Primary School</v>
          </cell>
          <cell r="D23246" t="str">
            <v>Greenwich</v>
          </cell>
          <cell r="E23246" t="str">
            <v>Community School</v>
          </cell>
          <cell r="F23246" t="str">
            <v>Primary</v>
          </cell>
        </row>
        <row r="23247">
          <cell r="A23247">
            <v>8815402</v>
          </cell>
          <cell r="B23247">
            <v>115318</v>
          </cell>
          <cell r="C23247" t="str">
            <v>Plume School</v>
          </cell>
          <cell r="D23247" t="str">
            <v>Essex</v>
          </cell>
          <cell r="E23247" t="str">
            <v>Foundation School</v>
          </cell>
          <cell r="F23247" t="str">
            <v>Secondary</v>
          </cell>
        </row>
        <row r="23248">
          <cell r="A23248">
            <v>8458300</v>
          </cell>
          <cell r="B23248">
            <v>130667</v>
          </cell>
          <cell r="C23248" t="str">
            <v>Plumpton College</v>
          </cell>
          <cell r="D23248" t="str">
            <v>East Sussex</v>
          </cell>
          <cell r="E23248" t="str">
            <v>Further Education</v>
          </cell>
          <cell r="F23248" t="str">
            <v>16 Plus</v>
          </cell>
        </row>
        <row r="23249">
          <cell r="A23249">
            <v>8452078</v>
          </cell>
          <cell r="B23249">
            <v>114410</v>
          </cell>
          <cell r="C23249" t="str">
            <v>Plumpton Primary School</v>
          </cell>
          <cell r="D23249" t="str">
            <v>East Sussex</v>
          </cell>
          <cell r="E23249" t="str">
            <v>Community School</v>
          </cell>
          <cell r="F23249" t="str">
            <v>Primary</v>
          </cell>
        </row>
        <row r="23250">
          <cell r="A23250">
            <v>9092054</v>
          </cell>
          <cell r="B23250">
            <v>112120</v>
          </cell>
          <cell r="C23250" t="str">
            <v>Plumpton School</v>
          </cell>
          <cell r="D23250" t="str">
            <v>Cumbria</v>
          </cell>
          <cell r="E23250" t="str">
            <v>Community School</v>
          </cell>
          <cell r="F23250" t="str">
            <v>Primary</v>
          </cell>
        </row>
        <row r="23251">
          <cell r="A23251">
            <v>2034130</v>
          </cell>
          <cell r="B23251">
            <v>100183</v>
          </cell>
          <cell r="C23251" t="str">
            <v>Plumstead Manor / Negus School</v>
          </cell>
          <cell r="D23251" t="str">
            <v>Greenwich</v>
          </cell>
          <cell r="E23251" t="str">
            <v>Community School</v>
          </cell>
          <cell r="F23251" t="str">
            <v>Secondary</v>
          </cell>
        </row>
        <row r="23252">
          <cell r="A23252">
            <v>8916014</v>
          </cell>
          <cell r="B23252">
            <v>122932</v>
          </cell>
          <cell r="C23252" t="str">
            <v>Plumtree School</v>
          </cell>
          <cell r="D23252" t="str">
            <v>Nottinghamshire</v>
          </cell>
          <cell r="E23252" t="str">
            <v>Other Independent School</v>
          </cell>
          <cell r="F23252" t="str">
            <v>Not applicable</v>
          </cell>
        </row>
        <row r="23253">
          <cell r="A23253">
            <v>8791009</v>
          </cell>
          <cell r="B23253">
            <v>113052</v>
          </cell>
          <cell r="C23253" t="str">
            <v>Plym Bridge Nursery and Children's Centre</v>
          </cell>
          <cell r="D23253" t="str">
            <v>Plymouth</v>
          </cell>
          <cell r="E23253" t="str">
            <v>LA Nursery School</v>
          </cell>
          <cell r="F23253" t="str">
            <v>Nursery</v>
          </cell>
        </row>
        <row r="23254">
          <cell r="A23254">
            <v>8792712</v>
          </cell>
          <cell r="B23254">
            <v>113332</v>
          </cell>
          <cell r="C23254" t="str">
            <v>Plym View Primary School</v>
          </cell>
          <cell r="D23254" t="str">
            <v>Plymouth</v>
          </cell>
          <cell r="E23254" t="str">
            <v>Community School</v>
          </cell>
          <cell r="F23254" t="str">
            <v>Primary</v>
          </cell>
        </row>
        <row r="23255">
          <cell r="A23255">
            <v>8796004</v>
          </cell>
          <cell r="B23255">
            <v>113609</v>
          </cell>
          <cell r="C23255" t="str">
            <v>Plymouth College</v>
          </cell>
          <cell r="D23255" t="str">
            <v>Plymouth</v>
          </cell>
          <cell r="E23255" t="str">
            <v>Other Independent School</v>
          </cell>
          <cell r="F23255" t="str">
            <v>Not applicable</v>
          </cell>
        </row>
        <row r="23256">
          <cell r="A23256">
            <v>8798150</v>
          </cell>
          <cell r="B23256">
            <v>130650</v>
          </cell>
          <cell r="C23256" t="str">
            <v>Plymouth College of Art</v>
          </cell>
          <cell r="D23256" t="str">
            <v>Plymouth</v>
          </cell>
          <cell r="E23256" t="str">
            <v>Further Education</v>
          </cell>
          <cell r="F23256" t="str">
            <v>16 Plus</v>
          </cell>
        </row>
        <row r="23257">
          <cell r="A23257">
            <v>3522216</v>
          </cell>
          <cell r="B23257">
            <v>105443</v>
          </cell>
          <cell r="C23257" t="str">
            <v>Plymouth Grove Primary School</v>
          </cell>
          <cell r="D23257" t="str">
            <v>Manchester</v>
          </cell>
          <cell r="E23257" t="str">
            <v>Community School</v>
          </cell>
          <cell r="F23257" t="str">
            <v>Primary</v>
          </cell>
        </row>
        <row r="23258">
          <cell r="A23258">
            <v>8794155</v>
          </cell>
          <cell r="B23258">
            <v>113532</v>
          </cell>
          <cell r="C23258" t="str">
            <v>Plymouth High School for Girls</v>
          </cell>
          <cell r="D23258" t="str">
            <v>Plymouth</v>
          </cell>
          <cell r="E23258" t="str">
            <v>Community School</v>
          </cell>
          <cell r="F23258" t="str">
            <v>Secondary</v>
          </cell>
        </row>
        <row r="23259">
          <cell r="A23259">
            <v>8797064</v>
          </cell>
          <cell r="B23259">
            <v>113646</v>
          </cell>
          <cell r="C23259" t="str">
            <v>Plymouth Hospital &amp; Outreach School</v>
          </cell>
          <cell r="D23259" t="str">
            <v>Plymouth</v>
          </cell>
          <cell r="E23259" t="str">
            <v>Community Special School</v>
          </cell>
          <cell r="F23259" t="str">
            <v>Special</v>
          </cell>
        </row>
        <row r="23260">
          <cell r="A23260">
            <v>9116136</v>
          </cell>
          <cell r="B23260">
            <v>128753</v>
          </cell>
          <cell r="C23260" t="str">
            <v>Plymouth Rudolf Steiner School</v>
          </cell>
          <cell r="D23260" t="str">
            <v>Pre LGR (1998) Devon</v>
          </cell>
          <cell r="E23260" t="str">
            <v>Other Independent School</v>
          </cell>
          <cell r="F23260" t="str">
            <v>Not applicable</v>
          </cell>
        </row>
        <row r="23261">
          <cell r="A23261">
            <v>8791105</v>
          </cell>
          <cell r="B23261">
            <v>113058</v>
          </cell>
          <cell r="C23261" t="str">
            <v>Plymouth Tuition Service: Young Parent's Centre</v>
          </cell>
          <cell r="D23261" t="str">
            <v>Plymouth</v>
          </cell>
          <cell r="E23261" t="str">
            <v>Pupil Referral Unit</v>
          </cell>
          <cell r="F23261" t="str">
            <v>PRU</v>
          </cell>
        </row>
        <row r="23262">
          <cell r="A23262">
            <v>8791104</v>
          </cell>
          <cell r="B23262">
            <v>113057</v>
          </cell>
          <cell r="C23262" t="str">
            <v>Plymouth Tuition Services Years 3 -9</v>
          </cell>
          <cell r="D23262" t="str">
            <v>Plymouth</v>
          </cell>
          <cell r="E23262" t="str">
            <v>Pupil Referral Unit</v>
          </cell>
          <cell r="F23262" t="str">
            <v>PRU</v>
          </cell>
        </row>
        <row r="23263">
          <cell r="A23263">
            <v>8793760</v>
          </cell>
          <cell r="B23263">
            <v>113486</v>
          </cell>
          <cell r="C23263" t="str">
            <v>Plympton St Mary's CofE Infant School</v>
          </cell>
          <cell r="D23263" t="str">
            <v>Plymouth</v>
          </cell>
          <cell r="E23263" t="str">
            <v>Voluntary Aided School</v>
          </cell>
          <cell r="F23263" t="str">
            <v>Primary</v>
          </cell>
        </row>
        <row r="23264">
          <cell r="A23264">
            <v>8792695</v>
          </cell>
          <cell r="B23264">
            <v>113316</v>
          </cell>
          <cell r="C23264" t="str">
            <v>Plympton St Maurice Primary School</v>
          </cell>
          <cell r="D23264" t="str">
            <v>Plymouth</v>
          </cell>
          <cell r="E23264" t="str">
            <v>Community School</v>
          </cell>
          <cell r="F23264" t="str">
            <v>Primary</v>
          </cell>
        </row>
        <row r="23265">
          <cell r="A23265">
            <v>8794180</v>
          </cell>
          <cell r="B23265">
            <v>113537</v>
          </cell>
          <cell r="C23265" t="str">
            <v>Plymstock School</v>
          </cell>
          <cell r="D23265" t="str">
            <v>Plymouth</v>
          </cell>
          <cell r="E23265" t="str">
            <v>Foundation School</v>
          </cell>
          <cell r="F23265" t="str">
            <v>Secondary</v>
          </cell>
        </row>
        <row r="23266">
          <cell r="A23266">
            <v>8794180</v>
          </cell>
          <cell r="B23266">
            <v>136568</v>
          </cell>
          <cell r="C23266" t="str">
            <v>Plymstock School</v>
          </cell>
          <cell r="D23266" t="str">
            <v>Plymouth</v>
          </cell>
          <cell r="E23266" t="str">
            <v>Academy Converters</v>
          </cell>
          <cell r="F23266" t="str">
            <v>Secondary</v>
          </cell>
        </row>
        <row r="23267">
          <cell r="A23267">
            <v>8783017</v>
          </cell>
          <cell r="B23267">
            <v>113361</v>
          </cell>
          <cell r="C23267" t="str">
            <v>Plymtree Church of England Primary School</v>
          </cell>
          <cell r="D23267" t="str">
            <v>Devon</v>
          </cell>
          <cell r="E23267" t="str">
            <v>Voluntary Controlled School</v>
          </cell>
          <cell r="F23267" t="str">
            <v>Primary</v>
          </cell>
        </row>
        <row r="23268">
          <cell r="A23268">
            <v>9386186</v>
          </cell>
          <cell r="B23268">
            <v>130195</v>
          </cell>
          <cell r="C23268" t="str">
            <v>PNEU School Compton</v>
          </cell>
          <cell r="D23268" t="str">
            <v>West Sussex</v>
          </cell>
          <cell r="E23268" t="str">
            <v>Other Independent School</v>
          </cell>
          <cell r="F23268" t="str">
            <v>Not applicable</v>
          </cell>
        </row>
        <row r="23269">
          <cell r="A23269">
            <v>9316045</v>
          </cell>
          <cell r="B23269">
            <v>129775</v>
          </cell>
          <cell r="C23269" t="str">
            <v>PNEU Schoolroom</v>
          </cell>
          <cell r="D23269" t="str">
            <v>Oxfordshire</v>
          </cell>
          <cell r="E23269" t="str">
            <v>Other Independent School</v>
          </cell>
          <cell r="F23269" t="str">
            <v>Not applicable</v>
          </cell>
        </row>
        <row r="23270">
          <cell r="A23270">
            <v>8113034</v>
          </cell>
          <cell r="B23270">
            <v>117987</v>
          </cell>
          <cell r="C23270" t="str">
            <v>Pocklington Church of England Voluntary Controlled Infant School</v>
          </cell>
          <cell r="D23270" t="str">
            <v>East Riding of Yorkshire</v>
          </cell>
          <cell r="E23270" t="str">
            <v>Voluntary Controlled School</v>
          </cell>
          <cell r="F23270" t="str">
            <v>Primary</v>
          </cell>
        </row>
        <row r="23271">
          <cell r="A23271">
            <v>8112743</v>
          </cell>
          <cell r="B23271">
            <v>117863</v>
          </cell>
          <cell r="C23271" t="str">
            <v>Pocklington Community Junior School</v>
          </cell>
          <cell r="D23271" t="str">
            <v>East Riding of Yorkshire</v>
          </cell>
          <cell r="E23271" t="str">
            <v>Community School</v>
          </cell>
          <cell r="F23271" t="str">
            <v>Primary</v>
          </cell>
        </row>
        <row r="23272">
          <cell r="A23272">
            <v>8116006</v>
          </cell>
          <cell r="B23272">
            <v>118137</v>
          </cell>
          <cell r="C23272" t="str">
            <v>Pocklington Montessori School</v>
          </cell>
          <cell r="D23272" t="str">
            <v>East Riding of Yorkshire</v>
          </cell>
          <cell r="E23272" t="str">
            <v>Other Independent School</v>
          </cell>
          <cell r="F23272" t="str">
            <v>Not applicable</v>
          </cell>
        </row>
        <row r="23273">
          <cell r="A23273">
            <v>8116003</v>
          </cell>
          <cell r="B23273">
            <v>118132</v>
          </cell>
          <cell r="C23273" t="str">
            <v>Pocklington School</v>
          </cell>
          <cell r="D23273" t="str">
            <v>East Riding of Yorkshire</v>
          </cell>
          <cell r="E23273" t="str">
            <v>Other Independent School</v>
          </cell>
          <cell r="F23273" t="str">
            <v>Not applicable</v>
          </cell>
        </row>
        <row r="23274">
          <cell r="A23274">
            <v>8372227</v>
          </cell>
          <cell r="B23274">
            <v>113726</v>
          </cell>
          <cell r="C23274" t="str">
            <v>Pokesdown Community Primary School</v>
          </cell>
          <cell r="D23274" t="str">
            <v>Bournemouth</v>
          </cell>
          <cell r="E23274" t="str">
            <v>Community School</v>
          </cell>
          <cell r="F23274" t="str">
            <v>Primary</v>
          </cell>
        </row>
        <row r="23275">
          <cell r="A23275">
            <v>8416000</v>
          </cell>
          <cell r="B23275">
            <v>114329</v>
          </cell>
          <cell r="C23275" t="str">
            <v>Polam Hall School</v>
          </cell>
          <cell r="D23275" t="str">
            <v>Darlington</v>
          </cell>
          <cell r="E23275" t="str">
            <v>Other Independent School</v>
          </cell>
          <cell r="F23275" t="str">
            <v>Not applicable</v>
          </cell>
        </row>
        <row r="23276">
          <cell r="A23276">
            <v>8226000</v>
          </cell>
          <cell r="B23276">
            <v>109720</v>
          </cell>
          <cell r="C23276" t="str">
            <v>Polam Oaks With Little Acorns</v>
          </cell>
          <cell r="D23276" t="str">
            <v>Bedford</v>
          </cell>
          <cell r="E23276" t="str">
            <v>Other Independent School</v>
          </cell>
          <cell r="F23276" t="str">
            <v>Not applicable</v>
          </cell>
        </row>
        <row r="23277">
          <cell r="A23277">
            <v>9283051</v>
          </cell>
          <cell r="B23277">
            <v>121987</v>
          </cell>
          <cell r="C23277" t="str">
            <v>Polebrook Church of England Primary School</v>
          </cell>
          <cell r="D23277" t="str">
            <v>Northamptonshire</v>
          </cell>
          <cell r="E23277" t="str">
            <v>Voluntary Controlled School</v>
          </cell>
          <cell r="F23277" t="str">
            <v>Primary</v>
          </cell>
        </row>
        <row r="23278">
          <cell r="A23278">
            <v>8452105</v>
          </cell>
          <cell r="B23278">
            <v>114435</v>
          </cell>
          <cell r="C23278" t="str">
            <v>Polegate Primary School</v>
          </cell>
          <cell r="D23278" t="str">
            <v>East Sussex</v>
          </cell>
          <cell r="E23278" t="str">
            <v>Community School</v>
          </cell>
          <cell r="F23278" t="str">
            <v>Primary</v>
          </cell>
        </row>
        <row r="23279">
          <cell r="A23279">
            <v>8723046</v>
          </cell>
          <cell r="B23279">
            <v>109981</v>
          </cell>
          <cell r="C23279" t="str">
            <v>Polehampton Church of England Infant School</v>
          </cell>
          <cell r="D23279" t="str">
            <v>Wokingham</v>
          </cell>
          <cell r="E23279" t="str">
            <v>Voluntary Controlled School</v>
          </cell>
          <cell r="F23279" t="str">
            <v>Primary</v>
          </cell>
        </row>
        <row r="23280">
          <cell r="A23280">
            <v>8723370</v>
          </cell>
          <cell r="B23280">
            <v>134899</v>
          </cell>
          <cell r="C23280" t="str">
            <v>Polehampton Church of England Junior School</v>
          </cell>
          <cell r="D23280" t="str">
            <v>Wokingham</v>
          </cell>
          <cell r="E23280" t="str">
            <v>Voluntary Controlled School</v>
          </cell>
          <cell r="F23280" t="str">
            <v>Primary</v>
          </cell>
        </row>
        <row r="23281">
          <cell r="A23281">
            <v>8722115</v>
          </cell>
          <cell r="B23281">
            <v>109849</v>
          </cell>
          <cell r="C23281" t="str">
            <v>Polehampton Junior School</v>
          </cell>
          <cell r="D23281" t="str">
            <v>Wokingham</v>
          </cell>
          <cell r="E23281" t="str">
            <v>Community School</v>
          </cell>
          <cell r="F23281" t="str">
            <v>Primary</v>
          </cell>
        </row>
        <row r="23282">
          <cell r="A23282">
            <v>9362417</v>
          </cell>
          <cell r="B23282">
            <v>125052</v>
          </cell>
          <cell r="C23282" t="str">
            <v>Polesden Lacey Infant School</v>
          </cell>
          <cell r="D23282" t="str">
            <v>Surrey</v>
          </cell>
          <cell r="E23282" t="str">
            <v>Community School</v>
          </cell>
          <cell r="F23282" t="str">
            <v>Primary</v>
          </cell>
        </row>
        <row r="23283">
          <cell r="A23283">
            <v>9372081</v>
          </cell>
          <cell r="B23283">
            <v>130148</v>
          </cell>
          <cell r="C23283" t="str">
            <v>Polesworth County Middle School</v>
          </cell>
          <cell r="D23283" t="str">
            <v>Warwickshire</v>
          </cell>
          <cell r="E23283" t="str">
            <v>Community School</v>
          </cell>
          <cell r="F23283" t="str">
            <v>Middle Deemed Primary</v>
          </cell>
        </row>
        <row r="23284">
          <cell r="A23284">
            <v>9372574</v>
          </cell>
          <cell r="B23284">
            <v>130152</v>
          </cell>
          <cell r="C23284" t="str">
            <v>Polesworth First School</v>
          </cell>
          <cell r="D23284" t="str">
            <v>Warwickshire</v>
          </cell>
          <cell r="E23284" t="str">
            <v>Community School</v>
          </cell>
          <cell r="F23284" t="str">
            <v>Primary</v>
          </cell>
        </row>
        <row r="23285">
          <cell r="A23285">
            <v>3804055</v>
          </cell>
          <cell r="B23285">
            <v>107379</v>
          </cell>
          <cell r="C23285" t="str">
            <v>Pollard Park Middle School</v>
          </cell>
          <cell r="D23285" t="str">
            <v>Bradford</v>
          </cell>
          <cell r="E23285" t="str">
            <v>Community School</v>
          </cell>
          <cell r="F23285" t="str">
            <v>Middle Deemed Secondary</v>
          </cell>
        </row>
        <row r="23286">
          <cell r="A23286">
            <v>8113331</v>
          </cell>
          <cell r="B23286">
            <v>118044</v>
          </cell>
          <cell r="C23286" t="str">
            <v>Pollington-Balne Church of England Primary School</v>
          </cell>
          <cell r="D23286" t="str">
            <v>East Riding of Yorkshire</v>
          </cell>
          <cell r="E23286" t="str">
            <v>Voluntary Aided School</v>
          </cell>
          <cell r="F23286" t="str">
            <v>Primary</v>
          </cell>
        </row>
        <row r="23287">
          <cell r="A23287">
            <v>9252187</v>
          </cell>
          <cell r="B23287">
            <v>120472</v>
          </cell>
          <cell r="C23287" t="str">
            <v>Pollyplatt Primary School</v>
          </cell>
          <cell r="D23287" t="str">
            <v>Lincolnshire</v>
          </cell>
          <cell r="E23287" t="str">
            <v>Community School</v>
          </cell>
          <cell r="F23287" t="str">
            <v>Primary</v>
          </cell>
        </row>
        <row r="23288">
          <cell r="A23288">
            <v>9082707</v>
          </cell>
          <cell r="B23288">
            <v>111955</v>
          </cell>
          <cell r="C23288" t="str">
            <v>Polperro Community Primary School</v>
          </cell>
          <cell r="D23288" t="str">
            <v>Cornwall</v>
          </cell>
          <cell r="E23288" t="str">
            <v>Community School</v>
          </cell>
          <cell r="F23288" t="str">
            <v>Primary</v>
          </cell>
        </row>
        <row r="23289">
          <cell r="A23289">
            <v>9082404</v>
          </cell>
          <cell r="B23289">
            <v>111883</v>
          </cell>
          <cell r="C23289" t="str">
            <v>Polruan Community Primary School</v>
          </cell>
          <cell r="D23289" t="str">
            <v>Cornwall</v>
          </cell>
          <cell r="E23289" t="str">
            <v>Community School</v>
          </cell>
          <cell r="F23289" t="str">
            <v>Primary</v>
          </cell>
        </row>
        <row r="23290">
          <cell r="A23290">
            <v>9352024</v>
          </cell>
          <cell r="B23290">
            <v>129963</v>
          </cell>
          <cell r="C23290" t="str">
            <v>Polstead County Primary School</v>
          </cell>
          <cell r="D23290" t="str">
            <v>Suffolk</v>
          </cell>
          <cell r="E23290" t="str">
            <v>Community School</v>
          </cell>
          <cell r="F23290" t="str">
            <v>Primary</v>
          </cell>
        </row>
        <row r="23291">
          <cell r="A23291">
            <v>9084157</v>
          </cell>
          <cell r="B23291">
            <v>112052</v>
          </cell>
          <cell r="C23291" t="str">
            <v>Poltair School</v>
          </cell>
          <cell r="D23291" t="str">
            <v>Cornwall</v>
          </cell>
          <cell r="E23291" t="str">
            <v>Community School</v>
          </cell>
          <cell r="F23291" t="str">
            <v>Secondary</v>
          </cell>
        </row>
        <row r="23292">
          <cell r="A23292">
            <v>9086076</v>
          </cell>
          <cell r="B23292">
            <v>112075</v>
          </cell>
          <cell r="C23292" t="str">
            <v>Polwhele House School</v>
          </cell>
          <cell r="D23292" t="str">
            <v>Cornwall</v>
          </cell>
          <cell r="E23292" t="str">
            <v>Other Independent School</v>
          </cell>
          <cell r="F23292" t="str">
            <v>Not applicable</v>
          </cell>
        </row>
        <row r="23293">
          <cell r="A23293">
            <v>851940</v>
          </cell>
          <cell r="B23293">
            <v>132719</v>
          </cell>
          <cell r="C23293" t="str">
            <v>Pompey Study Support Centre</v>
          </cell>
          <cell r="D23293" t="str">
            <v>Portsmouth</v>
          </cell>
          <cell r="E23293" t="str">
            <v>Playing for Success Centres</v>
          </cell>
          <cell r="F23293" t="str">
            <v>Not applicable</v>
          </cell>
        </row>
        <row r="23294">
          <cell r="A23294">
            <v>8792696</v>
          </cell>
          <cell r="B23294">
            <v>113317</v>
          </cell>
          <cell r="C23294" t="str">
            <v>Pomphlett Primary School</v>
          </cell>
          <cell r="D23294" t="str">
            <v>Plymouth</v>
          </cell>
          <cell r="E23294" t="str">
            <v>Community School</v>
          </cell>
          <cell r="F23294" t="str">
            <v>Primary</v>
          </cell>
        </row>
        <row r="23295">
          <cell r="A23295">
            <v>9367042</v>
          </cell>
          <cell r="B23295">
            <v>125467</v>
          </cell>
          <cell r="C23295" t="str">
            <v>Pond Meadow School</v>
          </cell>
          <cell r="D23295" t="str">
            <v>Surrey</v>
          </cell>
          <cell r="E23295" t="str">
            <v>Community Special School</v>
          </cell>
          <cell r="F23295" t="str">
            <v>Special</v>
          </cell>
        </row>
        <row r="23296">
          <cell r="A23296">
            <v>9082748</v>
          </cell>
          <cell r="B23296">
            <v>111984</v>
          </cell>
          <cell r="C23296" t="str">
            <v>Pondhu Primary School</v>
          </cell>
          <cell r="D23296" t="str">
            <v>Cornwall</v>
          </cell>
          <cell r="E23296" t="str">
            <v>Community School</v>
          </cell>
          <cell r="F23296" t="str">
            <v>Primary</v>
          </cell>
        </row>
        <row r="23297">
          <cell r="A23297">
            <v>9193020</v>
          </cell>
          <cell r="B23297">
            <v>117396</v>
          </cell>
          <cell r="C23297" t="str">
            <v>Ponsbourne St Mary's Church of England Primary School</v>
          </cell>
          <cell r="D23297" t="str">
            <v>Hertfordshire</v>
          </cell>
          <cell r="E23297" t="str">
            <v>Voluntary Controlled School</v>
          </cell>
          <cell r="F23297" t="str">
            <v>Primary</v>
          </cell>
        </row>
        <row r="23298">
          <cell r="A23298">
            <v>6761105</v>
          </cell>
          <cell r="B23298">
            <v>402158</v>
          </cell>
          <cell r="C23298" t="str">
            <v>Pont Isaf</v>
          </cell>
          <cell r="D23298" t="str">
            <v>Caerphilly</v>
          </cell>
          <cell r="E23298" t="str">
            <v>Welsh Establishment</v>
          </cell>
          <cell r="F23298" t="str">
            <v>Not applicable</v>
          </cell>
        </row>
        <row r="23299">
          <cell r="A23299">
            <v>6704072</v>
          </cell>
          <cell r="B23299">
            <v>401772</v>
          </cell>
          <cell r="C23299" t="str">
            <v>Pontarddulais Comprehensive School</v>
          </cell>
          <cell r="D23299" t="str">
            <v>Swansea</v>
          </cell>
          <cell r="E23299" t="str">
            <v>Welsh Establishment</v>
          </cell>
          <cell r="F23299" t="str">
            <v>Secondary</v>
          </cell>
        </row>
        <row r="23300">
          <cell r="A23300">
            <v>6702186</v>
          </cell>
          <cell r="B23300">
            <v>400926</v>
          </cell>
          <cell r="C23300" t="str">
            <v>Pontarddulais Primary School</v>
          </cell>
          <cell r="D23300" t="str">
            <v>Swansea</v>
          </cell>
          <cell r="E23300" t="str">
            <v>Welsh Establishment</v>
          </cell>
          <cell r="F23300" t="str">
            <v>Primary</v>
          </cell>
        </row>
        <row r="23301">
          <cell r="A23301">
            <v>3842111</v>
          </cell>
          <cell r="B23301">
            <v>108185</v>
          </cell>
          <cell r="C23301" t="str">
            <v>Pontefract Carleton Park Junior and Infant School</v>
          </cell>
          <cell r="D23301" t="str">
            <v>Wakefield</v>
          </cell>
          <cell r="E23301" t="str">
            <v>Foundation School</v>
          </cell>
          <cell r="F23301" t="str">
            <v>Primary</v>
          </cell>
        </row>
        <row r="23302">
          <cell r="A23302">
            <v>3842092</v>
          </cell>
          <cell r="B23302">
            <v>108172</v>
          </cell>
          <cell r="C23302" t="str">
            <v>Pontefract Chequerfield Infant School</v>
          </cell>
          <cell r="D23302" t="str">
            <v>Wakefield</v>
          </cell>
          <cell r="E23302" t="str">
            <v>Community School</v>
          </cell>
          <cell r="F23302" t="str">
            <v>Primary</v>
          </cell>
        </row>
        <row r="23303">
          <cell r="A23303">
            <v>3842119</v>
          </cell>
          <cell r="B23303">
            <v>108191</v>
          </cell>
          <cell r="C23303" t="str">
            <v>Pontefract Cobblers Lane Infant School</v>
          </cell>
          <cell r="D23303" t="str">
            <v>Wakefield</v>
          </cell>
          <cell r="E23303" t="str">
            <v>Community School</v>
          </cell>
          <cell r="F23303" t="str">
            <v>Primary</v>
          </cell>
        </row>
        <row r="23304">
          <cell r="A23304">
            <v>3842105</v>
          </cell>
          <cell r="B23304">
            <v>108180</v>
          </cell>
          <cell r="C23304" t="str">
            <v>Pontefract Cobblers Lane Junior School</v>
          </cell>
          <cell r="D23304" t="str">
            <v>Wakefield</v>
          </cell>
          <cell r="E23304" t="str">
            <v>Community School</v>
          </cell>
          <cell r="F23304" t="str">
            <v>Primary</v>
          </cell>
        </row>
        <row r="23305">
          <cell r="A23305">
            <v>3842211</v>
          </cell>
          <cell r="B23305">
            <v>136049</v>
          </cell>
          <cell r="C23305" t="str">
            <v>Pontefract De Lacy Primary School</v>
          </cell>
          <cell r="D23305" t="str">
            <v>Wakefield</v>
          </cell>
          <cell r="E23305" t="str">
            <v>Community School</v>
          </cell>
          <cell r="F23305" t="str">
            <v>Primary</v>
          </cell>
        </row>
        <row r="23306">
          <cell r="A23306">
            <v>3842147</v>
          </cell>
          <cell r="B23306">
            <v>108204</v>
          </cell>
          <cell r="C23306" t="str">
            <v>Pontefract Halfpenny Lane Junior Infant and Nursery School</v>
          </cell>
          <cell r="D23306" t="str">
            <v>Wakefield</v>
          </cell>
          <cell r="E23306" t="str">
            <v>Foundation School</v>
          </cell>
          <cell r="F23306" t="str">
            <v>Primary</v>
          </cell>
        </row>
        <row r="23307">
          <cell r="A23307">
            <v>3842115</v>
          </cell>
          <cell r="B23307">
            <v>108188</v>
          </cell>
          <cell r="C23307" t="str">
            <v>Pontefract Larks Hill Junior and Infant School</v>
          </cell>
          <cell r="D23307" t="str">
            <v>Wakefield</v>
          </cell>
          <cell r="E23307" t="str">
            <v>Foundation School</v>
          </cell>
          <cell r="F23307" t="str">
            <v>Primary</v>
          </cell>
        </row>
        <row r="23308">
          <cell r="A23308">
            <v>3842094</v>
          </cell>
          <cell r="B23308">
            <v>108173</v>
          </cell>
          <cell r="C23308" t="str">
            <v>Pontefract Orchard Head Junior and Infant School</v>
          </cell>
          <cell r="D23308" t="str">
            <v>Wakefield</v>
          </cell>
          <cell r="E23308" t="str">
            <v>Foundation School</v>
          </cell>
          <cell r="F23308" t="str">
            <v>Primary</v>
          </cell>
        </row>
        <row r="23309">
          <cell r="A23309">
            <v>3702046</v>
          </cell>
          <cell r="B23309">
            <v>127571</v>
          </cell>
          <cell r="C23309" t="str">
            <v>Pontefract Road First School</v>
          </cell>
          <cell r="D23309" t="str">
            <v>Barnsley</v>
          </cell>
          <cell r="E23309" t="str">
            <v>Community School</v>
          </cell>
          <cell r="F23309" t="str">
            <v>Primary</v>
          </cell>
        </row>
        <row r="23310">
          <cell r="A23310">
            <v>3843337</v>
          </cell>
          <cell r="B23310">
            <v>108268</v>
          </cell>
          <cell r="C23310" t="str">
            <v>Pontefract St Giles Church of England Voluntary Aided Junior and Infant School</v>
          </cell>
          <cell r="D23310" t="str">
            <v>Wakefield</v>
          </cell>
          <cell r="E23310" t="str">
            <v>Voluntary Aided School</v>
          </cell>
          <cell r="F23310" t="str">
            <v>Primary</v>
          </cell>
        </row>
        <row r="23311">
          <cell r="A23311">
            <v>3847026</v>
          </cell>
          <cell r="B23311">
            <v>108313</v>
          </cell>
          <cell r="C23311" t="str">
            <v>Pontefract the Castle School</v>
          </cell>
          <cell r="D23311" t="str">
            <v>Wakefield</v>
          </cell>
          <cell r="E23311" t="str">
            <v>Community Special School</v>
          </cell>
          <cell r="F23311" t="str">
            <v>Special</v>
          </cell>
        </row>
        <row r="23312">
          <cell r="A23312">
            <v>3842065</v>
          </cell>
          <cell r="B23312">
            <v>108154</v>
          </cell>
          <cell r="C23312" t="str">
            <v>Pontefract Willow Park Junior School</v>
          </cell>
          <cell r="D23312" t="str">
            <v>Wakefield</v>
          </cell>
          <cell r="E23312" t="str">
            <v>Community School</v>
          </cell>
          <cell r="F23312" t="str">
            <v>Primary</v>
          </cell>
        </row>
        <row r="23313">
          <cell r="A23313">
            <v>9294426</v>
          </cell>
          <cell r="B23313">
            <v>122358</v>
          </cell>
          <cell r="C23313" t="str">
            <v>Ponteland Community High School</v>
          </cell>
          <cell r="D23313" t="str">
            <v>Northumberland</v>
          </cell>
          <cell r="E23313" t="str">
            <v>Community School</v>
          </cell>
          <cell r="F23313" t="str">
            <v>Secondary</v>
          </cell>
        </row>
        <row r="23314">
          <cell r="A23314">
            <v>9292215</v>
          </cell>
          <cell r="B23314">
            <v>122217</v>
          </cell>
          <cell r="C23314" t="str">
            <v>Ponteland First School</v>
          </cell>
          <cell r="D23314" t="str">
            <v>Northumberland</v>
          </cell>
          <cell r="E23314" t="str">
            <v>Community School</v>
          </cell>
          <cell r="F23314" t="str">
            <v>Primary</v>
          </cell>
        </row>
        <row r="23315">
          <cell r="A23315">
            <v>9294150</v>
          </cell>
          <cell r="B23315">
            <v>122329</v>
          </cell>
          <cell r="C23315" t="str">
            <v>Ponteland Middle School</v>
          </cell>
          <cell r="D23315" t="str">
            <v>Northumberland</v>
          </cell>
          <cell r="E23315" t="str">
            <v>Community School</v>
          </cell>
          <cell r="F23315" t="str">
            <v>Middle Deemed Secondary</v>
          </cell>
        </row>
        <row r="23316">
          <cell r="A23316">
            <v>8933087</v>
          </cell>
          <cell r="B23316">
            <v>123493</v>
          </cell>
          <cell r="C23316" t="str">
            <v>Pontesbury CofE Primary School</v>
          </cell>
          <cell r="D23316" t="str">
            <v>Shropshire</v>
          </cell>
          <cell r="E23316" t="str">
            <v>Voluntary Controlled School</v>
          </cell>
          <cell r="F23316" t="str">
            <v>Primary</v>
          </cell>
        </row>
        <row r="23317">
          <cell r="A23317">
            <v>6652143</v>
          </cell>
          <cell r="B23317">
            <v>400395</v>
          </cell>
          <cell r="C23317" t="str">
            <v>Pontfadog C.P. School</v>
          </cell>
          <cell r="D23317" t="str">
            <v>Wrexham</v>
          </cell>
          <cell r="E23317" t="str">
            <v>Welsh Establishment</v>
          </cell>
          <cell r="F23317" t="str">
            <v>Primary</v>
          </cell>
        </row>
        <row r="23318">
          <cell r="A23318">
            <v>6783002</v>
          </cell>
          <cell r="B23318">
            <v>401453</v>
          </cell>
          <cell r="C23318" t="str">
            <v>Ponthir C.V. Primary School</v>
          </cell>
          <cell r="D23318" t="str">
            <v>Torfaen</v>
          </cell>
          <cell r="E23318" t="str">
            <v>Welsh Establishment</v>
          </cell>
          <cell r="F23318" t="str">
            <v>Primary</v>
          </cell>
        </row>
        <row r="23319">
          <cell r="A23319">
            <v>6783332</v>
          </cell>
          <cell r="B23319">
            <v>402121</v>
          </cell>
          <cell r="C23319" t="str">
            <v>Ponthir Church in Wales School</v>
          </cell>
          <cell r="D23319" t="str">
            <v>Torfaen</v>
          </cell>
          <cell r="E23319" t="str">
            <v>Welsh Establishment</v>
          </cell>
          <cell r="F23319" t="str">
            <v>Primary</v>
          </cell>
        </row>
        <row r="23320">
          <cell r="A23320">
            <v>6764032</v>
          </cell>
          <cell r="B23320">
            <v>401831</v>
          </cell>
          <cell r="C23320" t="str">
            <v>Pontllanfraith Comprehensive School</v>
          </cell>
          <cell r="D23320" t="str">
            <v>Caerphilly</v>
          </cell>
          <cell r="E23320" t="str">
            <v>Welsh Establishment</v>
          </cell>
          <cell r="F23320" t="str">
            <v>Secondary</v>
          </cell>
        </row>
        <row r="23321">
          <cell r="A23321">
            <v>6762086</v>
          </cell>
          <cell r="B23321">
            <v>401308</v>
          </cell>
          <cell r="C23321" t="str">
            <v>Pontllanfraith Primary School</v>
          </cell>
          <cell r="D23321" t="str">
            <v>Caerphilly</v>
          </cell>
          <cell r="E23321" t="str">
            <v>Welsh Establishment</v>
          </cell>
          <cell r="F23321" t="str">
            <v>Primary</v>
          </cell>
        </row>
        <row r="23322">
          <cell r="A23322">
            <v>6702192</v>
          </cell>
          <cell r="B23322">
            <v>400928</v>
          </cell>
          <cell r="C23322" t="str">
            <v>Pontlliw Primary School</v>
          </cell>
          <cell r="D23322" t="str">
            <v>Swansea</v>
          </cell>
          <cell r="E23322" t="str">
            <v>Welsh Establishment</v>
          </cell>
          <cell r="F23322" t="str">
            <v>Primary</v>
          </cell>
        </row>
        <row r="23323">
          <cell r="A23323">
            <v>6762341</v>
          </cell>
          <cell r="B23323">
            <v>401372</v>
          </cell>
          <cell r="C23323" t="str">
            <v>Pontlottyn Primary School</v>
          </cell>
          <cell r="D23323" t="str">
            <v>Caerphilly</v>
          </cell>
          <cell r="E23323" t="str">
            <v>Welsh Establishment</v>
          </cell>
          <cell r="F23323" t="str">
            <v>Primary</v>
          </cell>
        </row>
        <row r="23324">
          <cell r="A23324">
            <v>6782211</v>
          </cell>
          <cell r="B23324">
            <v>401434</v>
          </cell>
          <cell r="C23324" t="str">
            <v>Pontnewydd Primary School</v>
          </cell>
          <cell r="D23324" t="str">
            <v>Torfaen</v>
          </cell>
          <cell r="E23324" t="str">
            <v>Welsh Establishment</v>
          </cell>
          <cell r="F23324" t="str">
            <v>Primary</v>
          </cell>
        </row>
        <row r="23325">
          <cell r="A23325">
            <v>6782119</v>
          </cell>
          <cell r="B23325">
            <v>401423</v>
          </cell>
          <cell r="C23325" t="str">
            <v>Pontnewynydd Primary</v>
          </cell>
          <cell r="D23325" t="str">
            <v>Torfaen</v>
          </cell>
          <cell r="E23325" t="str">
            <v>Welsh Establishment</v>
          </cell>
          <cell r="F23325" t="str">
            <v>Primary</v>
          </cell>
        </row>
        <row r="23326">
          <cell r="A23326">
            <v>6742196</v>
          </cell>
          <cell r="B23326">
            <v>401207</v>
          </cell>
          <cell r="C23326" t="str">
            <v>Pontrhondda Primary School</v>
          </cell>
          <cell r="D23326" t="str">
            <v>Rhondda, Cynon, Taff</v>
          </cell>
          <cell r="E23326" t="str">
            <v>Welsh Establishment</v>
          </cell>
          <cell r="F23326" t="str">
            <v>Primary</v>
          </cell>
        </row>
        <row r="23327">
          <cell r="A23327">
            <v>6712156</v>
          </cell>
          <cell r="B23327">
            <v>400984</v>
          </cell>
          <cell r="C23327" t="str">
            <v>Pontrhydyfen Primary School</v>
          </cell>
          <cell r="D23327" t="str">
            <v>Neath Port Talbot</v>
          </cell>
          <cell r="E23327" t="str">
            <v>Welsh Establishment</v>
          </cell>
          <cell r="F23327" t="str">
            <v>Primary</v>
          </cell>
        </row>
        <row r="23328">
          <cell r="A23328">
            <v>8886050</v>
          </cell>
          <cell r="B23328">
            <v>133540</v>
          </cell>
          <cell r="C23328" t="str">
            <v>Pontville Residential School</v>
          </cell>
          <cell r="D23328" t="str">
            <v>Lancashire</v>
          </cell>
          <cell r="E23328" t="str">
            <v>Other Independent Special School</v>
          </cell>
          <cell r="F23328" t="str">
            <v>Not applicable</v>
          </cell>
        </row>
        <row r="23329">
          <cell r="A23329">
            <v>8887029</v>
          </cell>
          <cell r="B23329">
            <v>119874</v>
          </cell>
          <cell r="C23329" t="str">
            <v>Pontville School</v>
          </cell>
          <cell r="D23329" t="str">
            <v>Lancashire</v>
          </cell>
          <cell r="E23329" t="str">
            <v>Non-Maintained Special School</v>
          </cell>
          <cell r="F23329" t="str">
            <v>Special</v>
          </cell>
        </row>
        <row r="23330">
          <cell r="A23330">
            <v>6692023</v>
          </cell>
          <cell r="B23330">
            <v>400742</v>
          </cell>
          <cell r="C23330" t="str">
            <v>Pontyates C.P. School</v>
          </cell>
          <cell r="D23330" t="str">
            <v>Carmarthenshire</v>
          </cell>
          <cell r="E23330" t="str">
            <v>Welsh Establishment</v>
          </cell>
          <cell r="F23330" t="str">
            <v>Primary</v>
          </cell>
        </row>
        <row r="23331">
          <cell r="A23331">
            <v>6692373</v>
          </cell>
          <cell r="B23331">
            <v>400833</v>
          </cell>
          <cell r="C23331" t="str">
            <v>Pontyberem C.P. School</v>
          </cell>
          <cell r="D23331" t="str">
            <v>Carmarthenshire</v>
          </cell>
          <cell r="E23331" t="str">
            <v>Welsh Establishment</v>
          </cell>
          <cell r="F23331" t="str">
            <v>Primary</v>
          </cell>
        </row>
        <row r="23332">
          <cell r="A23332">
            <v>6702223</v>
          </cell>
          <cell r="B23332">
            <v>400937</v>
          </cell>
          <cell r="C23332" t="str">
            <v>Pontybrenin Primary School</v>
          </cell>
          <cell r="D23332" t="str">
            <v>Swansea</v>
          </cell>
          <cell r="E23332" t="str">
            <v>Welsh Establishment</v>
          </cell>
          <cell r="F23332" t="str">
            <v>Primary</v>
          </cell>
        </row>
        <row r="23333">
          <cell r="A23333">
            <v>6742160</v>
          </cell>
          <cell r="B23333">
            <v>401191</v>
          </cell>
          <cell r="C23333" t="str">
            <v>Pontyclun Primary School</v>
          </cell>
          <cell r="D23333" t="str">
            <v>Rhondda, Cynon, Taff</v>
          </cell>
          <cell r="E23333" t="str">
            <v>Welsh Establishment</v>
          </cell>
          <cell r="F23333" t="str">
            <v>Primary</v>
          </cell>
        </row>
        <row r="23334">
          <cell r="A23334">
            <v>6721017</v>
          </cell>
          <cell r="B23334">
            <v>400007</v>
          </cell>
          <cell r="C23334" t="str">
            <v>Pontycymer</v>
          </cell>
          <cell r="D23334" t="str">
            <v>Bridgend</v>
          </cell>
          <cell r="E23334" t="str">
            <v>Welsh Establishment</v>
          </cell>
          <cell r="F23334" t="str">
            <v>Nursery</v>
          </cell>
        </row>
        <row r="23335">
          <cell r="A23335">
            <v>6772214</v>
          </cell>
          <cell r="B23335">
            <v>401403</v>
          </cell>
          <cell r="C23335" t="str">
            <v>Pontygof Primary School</v>
          </cell>
          <cell r="D23335" t="str">
            <v>Blaenau Gwent</v>
          </cell>
          <cell r="E23335" t="str">
            <v>Welsh Establishment</v>
          </cell>
          <cell r="F23335" t="str">
            <v>Primary</v>
          </cell>
        </row>
        <row r="23336">
          <cell r="A23336">
            <v>6742200</v>
          </cell>
          <cell r="B23336">
            <v>401209</v>
          </cell>
          <cell r="C23336" t="str">
            <v>Pontygwaith Primary School</v>
          </cell>
          <cell r="D23336" t="str">
            <v>Rhondda, Cynon, Taff</v>
          </cell>
          <cell r="E23336" t="str">
            <v>Welsh Establishment</v>
          </cell>
          <cell r="F23336" t="str">
            <v>Primary</v>
          </cell>
        </row>
        <row r="23337">
          <cell r="A23337">
            <v>6782130</v>
          </cell>
          <cell r="B23337">
            <v>401426</v>
          </cell>
          <cell r="C23337" t="str">
            <v>Pontymoile Primary School</v>
          </cell>
          <cell r="D23337" t="str">
            <v>Torfaen</v>
          </cell>
          <cell r="E23337" t="str">
            <v>Welsh Establishment</v>
          </cell>
          <cell r="F23337" t="str">
            <v>Primary</v>
          </cell>
        </row>
        <row r="23338">
          <cell r="A23338">
            <v>6744022</v>
          </cell>
          <cell r="B23338">
            <v>401807</v>
          </cell>
          <cell r="C23338" t="str">
            <v>Pontypridd High School</v>
          </cell>
          <cell r="D23338" t="str">
            <v>Rhondda, Cynon, Taff</v>
          </cell>
          <cell r="E23338" t="str">
            <v>Welsh Establishment</v>
          </cell>
          <cell r="F23338" t="str">
            <v>Secondary</v>
          </cell>
        </row>
        <row r="23339">
          <cell r="A23339">
            <v>9084163</v>
          </cell>
          <cell r="B23339">
            <v>136614</v>
          </cell>
          <cell r="C23339" t="str">
            <v>Pool Academy</v>
          </cell>
          <cell r="D23339" t="str">
            <v>Cornwall</v>
          </cell>
          <cell r="E23339" t="str">
            <v>Academy Converters</v>
          </cell>
          <cell r="F23339" t="str">
            <v>Secondary</v>
          </cell>
        </row>
        <row r="23340">
          <cell r="A23340">
            <v>9084163</v>
          </cell>
          <cell r="B23340">
            <v>112057</v>
          </cell>
          <cell r="C23340" t="str">
            <v>Pool Business and Enterprise College</v>
          </cell>
          <cell r="D23340" t="str">
            <v>Cornwall</v>
          </cell>
          <cell r="E23340" t="str">
            <v>Community School</v>
          </cell>
          <cell r="F23340" t="str">
            <v>Secondary</v>
          </cell>
        </row>
        <row r="23341">
          <cell r="A23341">
            <v>3833042</v>
          </cell>
          <cell r="B23341">
            <v>127921</v>
          </cell>
          <cell r="C23341" t="str">
            <v>Pool CofE First and Middle School</v>
          </cell>
          <cell r="D23341" t="str">
            <v>Leeds</v>
          </cell>
          <cell r="E23341" t="str">
            <v>Voluntary Controlled School</v>
          </cell>
          <cell r="F23341" t="str">
            <v>Middle Deemed Primary</v>
          </cell>
        </row>
        <row r="23342">
          <cell r="A23342">
            <v>3354106</v>
          </cell>
          <cell r="B23342">
            <v>104251</v>
          </cell>
          <cell r="C23342" t="str">
            <v>Pool Hayes Arts and Community School</v>
          </cell>
          <cell r="D23342" t="str">
            <v>Walsall</v>
          </cell>
          <cell r="E23342" t="str">
            <v>Foundation School</v>
          </cell>
          <cell r="F23342" t="str">
            <v>Secondary</v>
          </cell>
        </row>
        <row r="23343">
          <cell r="A23343">
            <v>3352119</v>
          </cell>
          <cell r="B23343">
            <v>104191</v>
          </cell>
          <cell r="C23343" t="str">
            <v>Pool Hayes Primary School</v>
          </cell>
          <cell r="D23343" t="str">
            <v>Walsall</v>
          </cell>
          <cell r="E23343" t="str">
            <v>Community School</v>
          </cell>
          <cell r="F23343" t="str">
            <v>Primary</v>
          </cell>
        </row>
        <row r="23344">
          <cell r="A23344">
            <v>8882703</v>
          </cell>
          <cell r="B23344">
            <v>119332</v>
          </cell>
          <cell r="C23344" t="str">
            <v>Pool House Community Primary School</v>
          </cell>
          <cell r="D23344" t="str">
            <v>Lancashire</v>
          </cell>
          <cell r="E23344" t="str">
            <v>Community School</v>
          </cell>
          <cell r="F23344" t="str">
            <v>Primary</v>
          </cell>
        </row>
        <row r="23345">
          <cell r="A23345">
            <v>8365409</v>
          </cell>
          <cell r="B23345">
            <v>113909</v>
          </cell>
          <cell r="C23345" t="str">
            <v>Poole Grammar School</v>
          </cell>
          <cell r="D23345" t="str">
            <v>Poole</v>
          </cell>
          <cell r="E23345" t="str">
            <v>Foundation School</v>
          </cell>
          <cell r="F23345" t="str">
            <v>Secondary</v>
          </cell>
        </row>
        <row r="23346">
          <cell r="A23346">
            <v>8365409</v>
          </cell>
          <cell r="B23346">
            <v>136850</v>
          </cell>
          <cell r="C23346" t="str">
            <v>Poole Grammar School</v>
          </cell>
          <cell r="D23346" t="str">
            <v>Poole</v>
          </cell>
          <cell r="E23346" t="str">
            <v>Academy Converters</v>
          </cell>
          <cell r="F23346" t="str">
            <v>Secondary</v>
          </cell>
        </row>
        <row r="23347">
          <cell r="A23347">
            <v>8365407</v>
          </cell>
          <cell r="B23347">
            <v>113907</v>
          </cell>
          <cell r="C23347" t="str">
            <v>Poole High School</v>
          </cell>
          <cell r="D23347" t="str">
            <v>Poole</v>
          </cell>
          <cell r="E23347" t="str">
            <v>Foundation School</v>
          </cell>
          <cell r="F23347" t="str">
            <v>Secondary</v>
          </cell>
        </row>
        <row r="23348">
          <cell r="A23348">
            <v>2062474</v>
          </cell>
          <cell r="B23348">
            <v>100421</v>
          </cell>
          <cell r="C23348" t="str">
            <v>Poole's Park Infant School</v>
          </cell>
          <cell r="D23348" t="str">
            <v>Islington</v>
          </cell>
          <cell r="E23348" t="str">
            <v>Community School</v>
          </cell>
          <cell r="F23348" t="str">
            <v>Primary</v>
          </cell>
        </row>
        <row r="23349">
          <cell r="A23349">
            <v>2062472</v>
          </cell>
          <cell r="B23349">
            <v>100420</v>
          </cell>
          <cell r="C23349" t="str">
            <v>Poole's Park Junior School</v>
          </cell>
          <cell r="D23349" t="str">
            <v>Islington</v>
          </cell>
          <cell r="E23349" t="str">
            <v>Community School</v>
          </cell>
          <cell r="F23349" t="str">
            <v>Primary</v>
          </cell>
        </row>
        <row r="23350">
          <cell r="A23350">
            <v>2062856</v>
          </cell>
          <cell r="B23350">
            <v>131741</v>
          </cell>
          <cell r="C23350" t="str">
            <v>Poole's Park Primary School</v>
          </cell>
          <cell r="D23350" t="str">
            <v>Islington</v>
          </cell>
          <cell r="E23350" t="str">
            <v>Community School</v>
          </cell>
          <cell r="F23350" t="str">
            <v>Primary</v>
          </cell>
        </row>
        <row r="23351">
          <cell r="A23351">
            <v>3833051</v>
          </cell>
          <cell r="B23351">
            <v>108000</v>
          </cell>
          <cell r="C23351" t="str">
            <v>Pool-in-Wharfedale Church of England Voluntary Controlled Primary School</v>
          </cell>
          <cell r="D23351" t="str">
            <v>Leeds</v>
          </cell>
          <cell r="E23351" t="str">
            <v>Voluntary Controlled School</v>
          </cell>
          <cell r="F23351" t="str">
            <v>Primary</v>
          </cell>
        </row>
        <row r="23352">
          <cell r="A23352">
            <v>805940</v>
          </cell>
          <cell r="B23352">
            <v>134232</v>
          </cell>
          <cell r="C23352" t="str">
            <v>Pools Study Support Centre</v>
          </cell>
          <cell r="D23352" t="str">
            <v>Hartlepool</v>
          </cell>
          <cell r="E23352" t="str">
            <v>Playing for Success Centres</v>
          </cell>
          <cell r="F23352" t="str">
            <v>Not applicable</v>
          </cell>
        </row>
        <row r="23353">
          <cell r="A23353">
            <v>8302240</v>
          </cell>
          <cell r="B23353">
            <v>112628</v>
          </cell>
          <cell r="C23353" t="str">
            <v>Poolsbrook Primary School</v>
          </cell>
          <cell r="D23353" t="str">
            <v>Derbyshire</v>
          </cell>
          <cell r="E23353" t="str">
            <v>Community School</v>
          </cell>
          <cell r="F23353" t="str">
            <v>Primary</v>
          </cell>
        </row>
        <row r="23354">
          <cell r="A23354">
            <v>8752244</v>
          </cell>
          <cell r="B23354">
            <v>111091</v>
          </cell>
          <cell r="C23354" t="str">
            <v>Pooltown Community Junior School</v>
          </cell>
          <cell r="D23354" t="str">
            <v>Pre LGR (2009) Cheshire</v>
          </cell>
          <cell r="E23354" t="str">
            <v>Community School</v>
          </cell>
          <cell r="F23354" t="str">
            <v>Primary</v>
          </cell>
        </row>
        <row r="23355">
          <cell r="A23355">
            <v>3554618</v>
          </cell>
          <cell r="B23355">
            <v>105987</v>
          </cell>
          <cell r="C23355" t="str">
            <v>Pope John Paul II RC High School</v>
          </cell>
          <cell r="D23355" t="str">
            <v>Salford</v>
          </cell>
          <cell r="E23355" t="str">
            <v>Voluntary Aided School</v>
          </cell>
          <cell r="F23355" t="str">
            <v>Secondary</v>
          </cell>
        </row>
        <row r="23356">
          <cell r="A23356">
            <v>2053645</v>
          </cell>
          <cell r="B23356">
            <v>100355</v>
          </cell>
          <cell r="C23356" t="str">
            <v>Pope John RC School</v>
          </cell>
          <cell r="D23356" t="str">
            <v>Hammersmith and Fulham</v>
          </cell>
          <cell r="E23356" t="str">
            <v>Voluntary Aided School</v>
          </cell>
          <cell r="F23356" t="str">
            <v>Primary</v>
          </cell>
        </row>
        <row r="23357">
          <cell r="A23357">
            <v>9193975</v>
          </cell>
          <cell r="B23357">
            <v>117496</v>
          </cell>
          <cell r="C23357" t="str">
            <v>Pope Paul Catholic Primary School</v>
          </cell>
          <cell r="D23357" t="str">
            <v>Hertfordshire</v>
          </cell>
          <cell r="E23357" t="str">
            <v>Voluntary Aided School</v>
          </cell>
          <cell r="F23357" t="str">
            <v>Primary</v>
          </cell>
        </row>
        <row r="23358">
          <cell r="A23358">
            <v>9193411</v>
          </cell>
          <cell r="B23358">
            <v>129150</v>
          </cell>
          <cell r="C23358" t="str">
            <v>Pope Pius XII RC Primary School</v>
          </cell>
          <cell r="D23358" t="str">
            <v>Hertfordshire</v>
          </cell>
          <cell r="E23358" t="str">
            <v>Voluntary Aided School</v>
          </cell>
          <cell r="F23358" t="str">
            <v>Primary</v>
          </cell>
        </row>
        <row r="23359">
          <cell r="A23359">
            <v>8811115</v>
          </cell>
          <cell r="B23359">
            <v>135778</v>
          </cell>
          <cell r="C23359" t="str">
            <v>Poplar Adolescent Unit</v>
          </cell>
          <cell r="D23359" t="str">
            <v>Essex</v>
          </cell>
          <cell r="E23359" t="str">
            <v>Pupil Referral Unit</v>
          </cell>
          <cell r="F23359" t="str">
            <v>PRU</v>
          </cell>
        </row>
        <row r="23360">
          <cell r="A23360">
            <v>3041104</v>
          </cell>
          <cell r="B23360">
            <v>131441</v>
          </cell>
          <cell r="C23360" t="str">
            <v>Poplar Grove School</v>
          </cell>
          <cell r="D23360" t="str">
            <v>Brent</v>
          </cell>
          <cell r="E23360" t="str">
            <v>Pupil Referral Unit</v>
          </cell>
          <cell r="F23360" t="str">
            <v>PRU</v>
          </cell>
        </row>
        <row r="23361">
          <cell r="A23361">
            <v>3152072</v>
          </cell>
          <cell r="B23361">
            <v>102644</v>
          </cell>
          <cell r="C23361" t="str">
            <v>Poplar Primary School</v>
          </cell>
          <cell r="D23361" t="str">
            <v>Merton</v>
          </cell>
          <cell r="E23361" t="str">
            <v>Community School</v>
          </cell>
          <cell r="F23361" t="str">
            <v>Primary</v>
          </cell>
        </row>
        <row r="23362">
          <cell r="A23362">
            <v>3572040</v>
          </cell>
          <cell r="B23362">
            <v>106204</v>
          </cell>
          <cell r="C23362" t="str">
            <v>Poplar Street Primary School</v>
          </cell>
          <cell r="D23362" t="str">
            <v>Tameside</v>
          </cell>
          <cell r="E23362" t="str">
            <v>Community School</v>
          </cell>
          <cell r="F23362" t="str">
            <v>Primary</v>
          </cell>
        </row>
        <row r="23363">
          <cell r="A23363">
            <v>9352147</v>
          </cell>
          <cell r="B23363">
            <v>124639</v>
          </cell>
          <cell r="C23363" t="str">
            <v>Poplars Community Primary School</v>
          </cell>
          <cell r="D23363" t="str">
            <v>Suffolk</v>
          </cell>
          <cell r="E23363" t="str">
            <v>Community School</v>
          </cell>
          <cell r="F23363" t="str">
            <v>Primary</v>
          </cell>
        </row>
        <row r="23364">
          <cell r="A23364">
            <v>3802101</v>
          </cell>
          <cell r="B23364">
            <v>107247</v>
          </cell>
          <cell r="C23364" t="str">
            <v>Poplars Farm Primary School</v>
          </cell>
          <cell r="D23364" t="str">
            <v>Bradford</v>
          </cell>
          <cell r="E23364" t="str">
            <v>Community School</v>
          </cell>
          <cell r="F23364" t="str">
            <v>Primary</v>
          </cell>
        </row>
        <row r="23365">
          <cell r="A23365">
            <v>9017029</v>
          </cell>
          <cell r="B23365">
            <v>128249</v>
          </cell>
          <cell r="C23365" t="str">
            <v>Poplars School</v>
          </cell>
          <cell r="D23365" t="str">
            <v>Pre LGR (1996) Avon</v>
          </cell>
          <cell r="E23365" t="str">
            <v>Community Special School</v>
          </cell>
          <cell r="F23365" t="str">
            <v>Special</v>
          </cell>
        </row>
        <row r="23366">
          <cell r="A23366">
            <v>8162029</v>
          </cell>
          <cell r="B23366">
            <v>133610</v>
          </cell>
          <cell r="C23366" t="str">
            <v>Poppleton Ousebank Primary School</v>
          </cell>
          <cell r="D23366" t="str">
            <v>York</v>
          </cell>
          <cell r="E23366" t="str">
            <v>Community School</v>
          </cell>
          <cell r="F23366" t="str">
            <v>Primary</v>
          </cell>
        </row>
        <row r="23367">
          <cell r="A23367">
            <v>8162014</v>
          </cell>
          <cell r="B23367">
            <v>121281</v>
          </cell>
          <cell r="C23367" t="str">
            <v>Poppleton Road Primary School</v>
          </cell>
          <cell r="D23367" t="str">
            <v>York</v>
          </cell>
          <cell r="E23367" t="str">
            <v>Community School</v>
          </cell>
          <cell r="F23367" t="str">
            <v>Primary</v>
          </cell>
        </row>
        <row r="23368">
          <cell r="A23368">
            <v>8912236</v>
          </cell>
          <cell r="B23368">
            <v>122529</v>
          </cell>
          <cell r="C23368" t="str">
            <v>Porchester Junior School</v>
          </cell>
          <cell r="D23368" t="str">
            <v>Nottinghamshire</v>
          </cell>
          <cell r="E23368" t="str">
            <v>Community School</v>
          </cell>
          <cell r="F23368" t="str">
            <v>Primary</v>
          </cell>
        </row>
        <row r="23369">
          <cell r="A23369">
            <v>9262127</v>
          </cell>
          <cell r="B23369">
            <v>120841</v>
          </cell>
          <cell r="C23369" t="str">
            <v>Poringland Primary School</v>
          </cell>
          <cell r="D23369" t="str">
            <v>Norfolk</v>
          </cell>
          <cell r="E23369" t="str">
            <v>Community School</v>
          </cell>
          <cell r="F23369" t="str">
            <v>Primary</v>
          </cell>
        </row>
        <row r="23370">
          <cell r="A23370">
            <v>9082504</v>
          </cell>
          <cell r="B23370">
            <v>111912</v>
          </cell>
          <cell r="C23370" t="str">
            <v>Port Isaac Community Primary School</v>
          </cell>
          <cell r="D23370" t="str">
            <v>Cornwall</v>
          </cell>
          <cell r="E23370" t="str">
            <v>Community School</v>
          </cell>
          <cell r="F23370" t="str">
            <v>Primary</v>
          </cell>
        </row>
        <row r="23371">
          <cell r="A23371">
            <v>8356010</v>
          </cell>
          <cell r="B23371">
            <v>113915</v>
          </cell>
          <cell r="C23371" t="str">
            <v>Port Regis Preparatory School</v>
          </cell>
          <cell r="D23371" t="str">
            <v>Dorset</v>
          </cell>
          <cell r="E23371" t="str">
            <v>Other Independent School</v>
          </cell>
          <cell r="F23371" t="str">
            <v>Not applicable</v>
          </cell>
        </row>
        <row r="23372">
          <cell r="A23372">
            <v>9227014</v>
          </cell>
          <cell r="B23372">
            <v>129459</v>
          </cell>
          <cell r="C23372" t="str">
            <v>Port Regis School</v>
          </cell>
          <cell r="D23372" t="str">
            <v>Pre LGR (1998) Kent</v>
          </cell>
          <cell r="E23372" t="str">
            <v>Community Special School</v>
          </cell>
          <cell r="F23372" t="str">
            <v>Special</v>
          </cell>
        </row>
        <row r="23373">
          <cell r="A23373">
            <v>8756031</v>
          </cell>
          <cell r="B23373">
            <v>134648</v>
          </cell>
          <cell r="C23373" t="str">
            <v>Portal C.O. the Hub</v>
          </cell>
          <cell r="D23373" t="str">
            <v>Pre LGR (2009) Cheshire</v>
          </cell>
          <cell r="E23373" t="str">
            <v>Other Independent School</v>
          </cell>
          <cell r="F23373" t="str">
            <v>Not applicable</v>
          </cell>
        </row>
        <row r="23374">
          <cell r="A23374">
            <v>8867067</v>
          </cell>
          <cell r="B23374">
            <v>119062</v>
          </cell>
          <cell r="C23374" t="str">
            <v>Portal House School</v>
          </cell>
          <cell r="D23374" t="str">
            <v>Kent</v>
          </cell>
          <cell r="E23374" t="str">
            <v>Community Special School</v>
          </cell>
          <cell r="F23374" t="str">
            <v>Special</v>
          </cell>
        </row>
        <row r="23375">
          <cell r="A23375">
            <v>8504133</v>
          </cell>
          <cell r="B23375">
            <v>116418</v>
          </cell>
          <cell r="C23375" t="str">
            <v>Portchester Community School</v>
          </cell>
          <cell r="D23375" t="str">
            <v>Hampshire</v>
          </cell>
          <cell r="E23375" t="str">
            <v>Community School</v>
          </cell>
          <cell r="F23375" t="str">
            <v>Secondary</v>
          </cell>
        </row>
        <row r="23376">
          <cell r="A23376">
            <v>8374168</v>
          </cell>
          <cell r="B23376">
            <v>113869</v>
          </cell>
          <cell r="C23376" t="str">
            <v>Portchester School</v>
          </cell>
          <cell r="D23376" t="str">
            <v>Bournemouth</v>
          </cell>
          <cell r="E23376" t="str">
            <v>Foundation School</v>
          </cell>
          <cell r="F23376" t="str">
            <v>Secondary</v>
          </cell>
        </row>
        <row r="23377">
          <cell r="A23377">
            <v>3733427</v>
          </cell>
          <cell r="B23377">
            <v>107121</v>
          </cell>
          <cell r="C23377" t="str">
            <v>Porter Croft Sheffield Church of England Primary School</v>
          </cell>
          <cell r="D23377" t="str">
            <v>Sheffield</v>
          </cell>
          <cell r="E23377" t="str">
            <v>Voluntary Aided School</v>
          </cell>
          <cell r="F23377" t="str">
            <v>Primary</v>
          </cell>
        </row>
        <row r="23378">
          <cell r="A23378">
            <v>8822015</v>
          </cell>
          <cell r="B23378">
            <v>114715</v>
          </cell>
          <cell r="C23378" t="str">
            <v>Porters Grange Infant School and Nursery</v>
          </cell>
          <cell r="D23378" t="str">
            <v>Southend-on-Sea</v>
          </cell>
          <cell r="E23378" t="str">
            <v>Community School</v>
          </cell>
          <cell r="F23378" t="str">
            <v>Primary</v>
          </cell>
        </row>
        <row r="23379">
          <cell r="A23379">
            <v>8822014</v>
          </cell>
          <cell r="B23379">
            <v>114714</v>
          </cell>
          <cell r="C23379" t="str">
            <v>Porters Grange Junior School</v>
          </cell>
          <cell r="D23379" t="str">
            <v>Southend-on-Sea</v>
          </cell>
          <cell r="E23379" t="str">
            <v>Community School</v>
          </cell>
          <cell r="F23379" t="str">
            <v>Primary</v>
          </cell>
        </row>
        <row r="23380">
          <cell r="A23380">
            <v>8822408</v>
          </cell>
          <cell r="B23380">
            <v>132792</v>
          </cell>
          <cell r="C23380" t="str">
            <v>Porters Grange Primary School and Nursery</v>
          </cell>
          <cell r="D23380" t="str">
            <v>Southend-on-Sea</v>
          </cell>
          <cell r="E23380" t="str">
            <v>Community School</v>
          </cell>
          <cell r="F23380" t="str">
            <v>Primary</v>
          </cell>
        </row>
        <row r="23381">
          <cell r="A23381">
            <v>9367056</v>
          </cell>
          <cell r="B23381">
            <v>125474</v>
          </cell>
          <cell r="C23381" t="str">
            <v>Portesbery School</v>
          </cell>
          <cell r="D23381" t="str">
            <v>Surrey</v>
          </cell>
          <cell r="E23381" t="str">
            <v>Community Special School</v>
          </cell>
          <cell r="F23381" t="str">
            <v>Special</v>
          </cell>
        </row>
        <row r="23382">
          <cell r="A23382">
            <v>8353651</v>
          </cell>
          <cell r="B23382">
            <v>113833</v>
          </cell>
          <cell r="C23382" t="str">
            <v>Portesham Church of England Primary School</v>
          </cell>
          <cell r="D23382" t="str">
            <v>Dorset</v>
          </cell>
          <cell r="E23382" t="str">
            <v>Voluntary Aided School</v>
          </cell>
          <cell r="F23382" t="str">
            <v>Primary</v>
          </cell>
        </row>
        <row r="23383">
          <cell r="A23383">
            <v>9382013</v>
          </cell>
          <cell r="B23383">
            <v>125823</v>
          </cell>
          <cell r="C23383" t="str">
            <v>Portfield Community Primary School</v>
          </cell>
          <cell r="D23383" t="str">
            <v>West Sussex</v>
          </cell>
          <cell r="E23383" t="str">
            <v>Community School</v>
          </cell>
          <cell r="F23383" t="str">
            <v>Primary</v>
          </cell>
        </row>
        <row r="23384">
          <cell r="A23384">
            <v>8357000</v>
          </cell>
          <cell r="B23384">
            <v>113942</v>
          </cell>
          <cell r="C23384" t="str">
            <v>Portfield School</v>
          </cell>
          <cell r="D23384" t="str">
            <v>Dorset</v>
          </cell>
          <cell r="E23384" t="str">
            <v>Non-Maintained Special School</v>
          </cell>
          <cell r="F23384" t="str">
            <v>Special</v>
          </cell>
        </row>
        <row r="23385">
          <cell r="A23385">
            <v>6687001</v>
          </cell>
          <cell r="B23385">
            <v>401907</v>
          </cell>
          <cell r="C23385" t="str">
            <v>Portfield Special School</v>
          </cell>
          <cell r="D23385" t="str">
            <v>Pembrokeshire</v>
          </cell>
          <cell r="E23385" t="str">
            <v>Welsh Establishment</v>
          </cell>
          <cell r="F23385" t="str">
            <v>Not applicable</v>
          </cell>
        </row>
        <row r="23386">
          <cell r="A23386">
            <v>8262002</v>
          </cell>
          <cell r="B23386">
            <v>131718</v>
          </cell>
          <cell r="C23386" t="str">
            <v>Portfields Combined School</v>
          </cell>
          <cell r="D23386" t="str">
            <v>Milton Keynes</v>
          </cell>
          <cell r="E23386" t="str">
            <v>Foundation School</v>
          </cell>
          <cell r="F23386" t="str">
            <v>Primary</v>
          </cell>
        </row>
        <row r="23387">
          <cell r="A23387">
            <v>8262329</v>
          </cell>
          <cell r="B23387">
            <v>110387</v>
          </cell>
          <cell r="C23387" t="str">
            <v>Portfields County Middle School</v>
          </cell>
          <cell r="D23387" t="str">
            <v>Milton Keynes</v>
          </cell>
          <cell r="E23387" t="str">
            <v>Community School</v>
          </cell>
          <cell r="F23387" t="str">
            <v>Middle Deemed Primary</v>
          </cell>
        </row>
        <row r="23388">
          <cell r="A23388">
            <v>8262328</v>
          </cell>
          <cell r="B23388">
            <v>110386</v>
          </cell>
          <cell r="C23388" t="str">
            <v>Portfields First School</v>
          </cell>
          <cell r="D23388" t="str">
            <v>Milton Keynes</v>
          </cell>
          <cell r="E23388" t="str">
            <v>Community School</v>
          </cell>
          <cell r="F23388" t="str">
            <v>Primary</v>
          </cell>
        </row>
        <row r="23389">
          <cell r="A23389">
            <v>6744087</v>
          </cell>
          <cell r="B23389">
            <v>401815</v>
          </cell>
          <cell r="C23389" t="str">
            <v>Porth County Community School</v>
          </cell>
          <cell r="D23389" t="str">
            <v>Rhondda, Cynon, Taff</v>
          </cell>
          <cell r="E23389" t="str">
            <v>Welsh Establishment</v>
          </cell>
          <cell r="F23389" t="str">
            <v>Secondary</v>
          </cell>
        </row>
        <row r="23390">
          <cell r="A23390">
            <v>6742211</v>
          </cell>
          <cell r="B23390">
            <v>401213</v>
          </cell>
          <cell r="C23390" t="str">
            <v>Porth Infants School</v>
          </cell>
          <cell r="D23390" t="str">
            <v>Rhondda, Cynon, Taff</v>
          </cell>
          <cell r="E23390" t="str">
            <v>Welsh Establishment</v>
          </cell>
          <cell r="F23390" t="str">
            <v>Primary</v>
          </cell>
        </row>
        <row r="23391">
          <cell r="A23391">
            <v>6742295</v>
          </cell>
          <cell r="B23391">
            <v>401251</v>
          </cell>
          <cell r="C23391" t="str">
            <v>Porth Junior  School</v>
          </cell>
          <cell r="D23391" t="str">
            <v>Rhondda, Cynon, Taff</v>
          </cell>
          <cell r="E23391" t="str">
            <v>Welsh Establishment</v>
          </cell>
          <cell r="F23391" t="str">
            <v>Primary</v>
          </cell>
        </row>
        <row r="23392">
          <cell r="A23392">
            <v>6724080</v>
          </cell>
          <cell r="B23392">
            <v>401795</v>
          </cell>
          <cell r="C23392" t="str">
            <v>Porthcawl Comprehensive School</v>
          </cell>
          <cell r="D23392" t="str">
            <v>Bridgend</v>
          </cell>
          <cell r="E23392" t="str">
            <v>Welsh Establishment</v>
          </cell>
          <cell r="F23392" t="str">
            <v>Secondary</v>
          </cell>
        </row>
        <row r="23393">
          <cell r="A23393">
            <v>6722296</v>
          </cell>
          <cell r="B23393">
            <v>401063</v>
          </cell>
          <cell r="C23393" t="str">
            <v>Porthcawl Primary School</v>
          </cell>
          <cell r="D23393" t="str">
            <v>Bridgend</v>
          </cell>
          <cell r="E23393" t="str">
            <v>Welsh Establishment</v>
          </cell>
          <cell r="F23393" t="str">
            <v>Primary</v>
          </cell>
        </row>
        <row r="23394">
          <cell r="A23394">
            <v>9082138</v>
          </cell>
          <cell r="B23394">
            <v>128538</v>
          </cell>
          <cell r="C23394" t="str">
            <v>Porthleven Infant School</v>
          </cell>
          <cell r="D23394" t="str">
            <v>Cornwall</v>
          </cell>
          <cell r="E23394" t="str">
            <v>Community School</v>
          </cell>
          <cell r="F23394" t="str">
            <v>Primary</v>
          </cell>
        </row>
        <row r="23395">
          <cell r="A23395">
            <v>9082137</v>
          </cell>
          <cell r="B23395">
            <v>128537</v>
          </cell>
          <cell r="C23395" t="str">
            <v>Porthleven Junior School</v>
          </cell>
          <cell r="D23395" t="str">
            <v>Cornwall</v>
          </cell>
          <cell r="E23395" t="str">
            <v>Community School</v>
          </cell>
          <cell r="F23395" t="str">
            <v>Primary</v>
          </cell>
        </row>
        <row r="23396">
          <cell r="A23396">
            <v>9082749</v>
          </cell>
          <cell r="B23396">
            <v>111985</v>
          </cell>
          <cell r="C23396" t="str">
            <v>Porthleven School</v>
          </cell>
          <cell r="D23396" t="str">
            <v>Cornwall</v>
          </cell>
          <cell r="E23396" t="str">
            <v>Community School</v>
          </cell>
          <cell r="F23396" t="str">
            <v>Primary</v>
          </cell>
        </row>
        <row r="23397">
          <cell r="A23397">
            <v>8022252</v>
          </cell>
          <cell r="B23397">
            <v>109074</v>
          </cell>
          <cell r="C23397" t="str">
            <v>Portishead Primary School</v>
          </cell>
          <cell r="D23397" t="str">
            <v>North Somerset</v>
          </cell>
          <cell r="E23397" t="str">
            <v>Community School</v>
          </cell>
          <cell r="F23397" t="str">
            <v>Primary</v>
          </cell>
        </row>
        <row r="23398">
          <cell r="A23398">
            <v>3947018</v>
          </cell>
          <cell r="B23398">
            <v>108884</v>
          </cell>
          <cell r="C23398" t="str">
            <v>Portland College</v>
          </cell>
          <cell r="D23398" t="str">
            <v>Sunderland</v>
          </cell>
          <cell r="E23398" t="str">
            <v>Community Special School</v>
          </cell>
          <cell r="F23398" t="str">
            <v>Special</v>
          </cell>
        </row>
        <row r="23399">
          <cell r="A23399">
            <v>8917904</v>
          </cell>
          <cell r="B23399">
            <v>131959</v>
          </cell>
          <cell r="C23399" t="str">
            <v>Portland College</v>
          </cell>
          <cell r="D23399" t="str">
            <v>Nottinghamshire</v>
          </cell>
          <cell r="E23399" t="str">
            <v>Special College</v>
          </cell>
          <cell r="F23399" t="str">
            <v>16 Plus</v>
          </cell>
        </row>
        <row r="23400">
          <cell r="A23400">
            <v>2136386</v>
          </cell>
          <cell r="B23400">
            <v>100541</v>
          </cell>
          <cell r="C23400" t="str">
            <v>Portland Place School</v>
          </cell>
          <cell r="D23400" t="str">
            <v>Westminster</v>
          </cell>
          <cell r="E23400" t="str">
            <v>Other Independent School</v>
          </cell>
          <cell r="F23400" t="str">
            <v>Not applicable</v>
          </cell>
        </row>
        <row r="23401">
          <cell r="A23401">
            <v>8922903</v>
          </cell>
          <cell r="B23401">
            <v>122708</v>
          </cell>
          <cell r="C23401" t="str">
            <v>Portland Primary and Nursery School</v>
          </cell>
          <cell r="D23401" t="str">
            <v>Nottingham</v>
          </cell>
          <cell r="E23401" t="str">
            <v>Community School</v>
          </cell>
          <cell r="F23401" t="str">
            <v>Primary</v>
          </cell>
        </row>
        <row r="23402">
          <cell r="A23402">
            <v>3442249</v>
          </cell>
          <cell r="B23402">
            <v>105037</v>
          </cell>
          <cell r="C23402" t="str">
            <v>Portland Primary School</v>
          </cell>
          <cell r="D23402" t="str">
            <v>Wirral</v>
          </cell>
          <cell r="E23402" t="str">
            <v>Community School</v>
          </cell>
          <cell r="F23402" t="str">
            <v>Primary</v>
          </cell>
        </row>
        <row r="23403">
          <cell r="A23403">
            <v>8914374</v>
          </cell>
          <cell r="B23403">
            <v>122863</v>
          </cell>
          <cell r="C23403" t="str">
            <v>Portland School</v>
          </cell>
          <cell r="D23403" t="str">
            <v>Nottinghamshire</v>
          </cell>
          <cell r="E23403" t="str">
            <v>Community School</v>
          </cell>
          <cell r="F23403" t="str">
            <v>Secondary</v>
          </cell>
        </row>
        <row r="23404">
          <cell r="A23404">
            <v>9096049</v>
          </cell>
          <cell r="B23404">
            <v>131677</v>
          </cell>
          <cell r="C23404" t="str">
            <v>Portland School</v>
          </cell>
          <cell r="D23404" t="str">
            <v>Cumbria</v>
          </cell>
          <cell r="E23404" t="str">
            <v>Other Independent Special School</v>
          </cell>
          <cell r="F23404" t="str">
            <v>Not applicable</v>
          </cell>
        </row>
        <row r="23405">
          <cell r="A23405">
            <v>8352212</v>
          </cell>
          <cell r="B23405">
            <v>113715</v>
          </cell>
          <cell r="C23405" t="str">
            <v>Portland Tophill Junior School</v>
          </cell>
          <cell r="D23405" t="str">
            <v>Dorset</v>
          </cell>
          <cell r="E23405" t="str">
            <v>Community School</v>
          </cell>
          <cell r="F23405" t="str">
            <v>Primary</v>
          </cell>
        </row>
        <row r="23406">
          <cell r="A23406">
            <v>2131053</v>
          </cell>
          <cell r="B23406">
            <v>132151</v>
          </cell>
          <cell r="C23406" t="str">
            <v>Portman Early Childhood Centre</v>
          </cell>
          <cell r="D23406" t="str">
            <v>Westminster</v>
          </cell>
          <cell r="E23406" t="str">
            <v>LA Nursery School</v>
          </cell>
          <cell r="F23406" t="str">
            <v>Nursery</v>
          </cell>
        </row>
        <row r="23407">
          <cell r="A23407">
            <v>6702075</v>
          </cell>
          <cell r="B23407">
            <v>400894</v>
          </cell>
          <cell r="C23407" t="str">
            <v>Portmead Primary School</v>
          </cell>
          <cell r="D23407" t="str">
            <v>Swansea</v>
          </cell>
          <cell r="E23407" t="str">
            <v>Welsh Establishment</v>
          </cell>
          <cell r="F23407" t="str">
            <v>Primary</v>
          </cell>
        </row>
        <row r="23408">
          <cell r="A23408">
            <v>3902162</v>
          </cell>
          <cell r="B23408">
            <v>108336</v>
          </cell>
          <cell r="C23408" t="str">
            <v>Portobello Primary School</v>
          </cell>
          <cell r="D23408" t="str">
            <v>Gateshead</v>
          </cell>
          <cell r="E23408" t="str">
            <v>Community School</v>
          </cell>
          <cell r="F23408" t="str">
            <v>Primary</v>
          </cell>
        </row>
        <row r="23409">
          <cell r="A23409">
            <v>9082215</v>
          </cell>
          <cell r="B23409">
            <v>111839</v>
          </cell>
          <cell r="C23409" t="str">
            <v>Portreath Community Primary School</v>
          </cell>
          <cell r="D23409" t="str">
            <v>Cornwall</v>
          </cell>
          <cell r="E23409" t="str">
            <v>Community School</v>
          </cell>
          <cell r="F23409" t="str">
            <v>Primary</v>
          </cell>
        </row>
        <row r="23410">
          <cell r="A23410">
            <v>9172751</v>
          </cell>
          <cell r="B23410">
            <v>129020</v>
          </cell>
          <cell r="C23410" t="str">
            <v>Portsdown First School</v>
          </cell>
          <cell r="D23410" t="str">
            <v>Pre LGR (1997) Hampshire</v>
          </cell>
          <cell r="E23410" t="str">
            <v>Community School</v>
          </cell>
          <cell r="F23410" t="str">
            <v>Primary</v>
          </cell>
        </row>
        <row r="23411">
          <cell r="A23411">
            <v>8512765</v>
          </cell>
          <cell r="B23411">
            <v>116258</v>
          </cell>
          <cell r="C23411" t="str">
            <v>Portsdown Primary School</v>
          </cell>
          <cell r="D23411" t="str">
            <v>Portsmouth</v>
          </cell>
          <cell r="E23411" t="str">
            <v>Community School</v>
          </cell>
          <cell r="F23411" t="str">
            <v>Primary</v>
          </cell>
        </row>
        <row r="23412">
          <cell r="A23412">
            <v>8464001</v>
          </cell>
          <cell r="B23412">
            <v>137063</v>
          </cell>
          <cell r="C23412" t="str">
            <v>Portslade Aldridge Community Academy</v>
          </cell>
          <cell r="D23412" t="str">
            <v>Brighton and Hove</v>
          </cell>
          <cell r="E23412" t="str">
            <v>Academy Sponsor Led</v>
          </cell>
          <cell r="F23412" t="str">
            <v>Secondary</v>
          </cell>
        </row>
        <row r="23413">
          <cell r="A23413">
            <v>8464049</v>
          </cell>
          <cell r="B23413">
            <v>114599</v>
          </cell>
          <cell r="C23413" t="str">
            <v>Portslade Community College</v>
          </cell>
          <cell r="D23413" t="str">
            <v>Brighton and Hove</v>
          </cell>
          <cell r="E23413" t="str">
            <v>Community School</v>
          </cell>
          <cell r="F23413" t="str">
            <v>Secondary</v>
          </cell>
        </row>
        <row r="23414">
          <cell r="A23414">
            <v>8462081</v>
          </cell>
          <cell r="B23414">
            <v>114413</v>
          </cell>
          <cell r="C23414" t="str">
            <v>Portslade Infants' School</v>
          </cell>
          <cell r="D23414" t="str">
            <v>Brighton and Hove</v>
          </cell>
          <cell r="E23414" t="str">
            <v>Community School</v>
          </cell>
          <cell r="F23414" t="str">
            <v>Primary</v>
          </cell>
        </row>
        <row r="23415">
          <cell r="A23415">
            <v>9174309</v>
          </cell>
          <cell r="B23415">
            <v>129046</v>
          </cell>
          <cell r="C23415" t="str">
            <v>Portsmouth College</v>
          </cell>
          <cell r="D23415" t="str">
            <v>Pre LGR (1997) Hampshire</v>
          </cell>
          <cell r="E23415" t="str">
            <v>Community School</v>
          </cell>
          <cell r="F23415" t="str">
            <v>Secondary</v>
          </cell>
        </row>
        <row r="23416">
          <cell r="A23416">
            <v>8518607</v>
          </cell>
          <cell r="B23416">
            <v>130706</v>
          </cell>
          <cell r="C23416" t="str">
            <v>Portsmouth College</v>
          </cell>
          <cell r="D23416" t="str">
            <v>Portsmouth</v>
          </cell>
          <cell r="E23416" t="str">
            <v>Further Education</v>
          </cell>
          <cell r="F23416" t="str">
            <v>16 Plus</v>
          </cell>
        </row>
        <row r="23417">
          <cell r="A23417">
            <v>9178151</v>
          </cell>
          <cell r="B23417">
            <v>132893</v>
          </cell>
          <cell r="C23417" t="str">
            <v>Portsmouth College of Art Design and Further Education</v>
          </cell>
          <cell r="D23417" t="str">
            <v>Pre LGR (1997) Hampshire</v>
          </cell>
          <cell r="E23417" t="str">
            <v>Miscellaneous</v>
          </cell>
          <cell r="F23417" t="str">
            <v>Not applicable</v>
          </cell>
        </row>
        <row r="23418">
          <cell r="A23418">
            <v>8516003</v>
          </cell>
          <cell r="B23418">
            <v>116581</v>
          </cell>
          <cell r="C23418" t="str">
            <v>Portsmouth High School</v>
          </cell>
          <cell r="D23418" t="str">
            <v>Portsmouth</v>
          </cell>
          <cell r="E23418" t="str">
            <v>Other Independent School</v>
          </cell>
          <cell r="F23418" t="str">
            <v>Not applicable</v>
          </cell>
        </row>
        <row r="23419">
          <cell r="A23419">
            <v>9172685</v>
          </cell>
          <cell r="B23419">
            <v>129016</v>
          </cell>
          <cell r="C23419" t="str">
            <v>Portsway First School</v>
          </cell>
          <cell r="D23419" t="str">
            <v>Pre LGR (1997) Hampshire</v>
          </cell>
          <cell r="E23419" t="str">
            <v>Community School</v>
          </cell>
          <cell r="F23419" t="str">
            <v>Primary</v>
          </cell>
        </row>
        <row r="23420">
          <cell r="A23420">
            <v>8522421</v>
          </cell>
          <cell r="B23420">
            <v>116101</v>
          </cell>
          <cell r="C23420" t="str">
            <v>Portswood Primary School</v>
          </cell>
          <cell r="D23420" t="str">
            <v>Southampton</v>
          </cell>
          <cell r="E23420" t="str">
            <v>Community School</v>
          </cell>
          <cell r="F23420" t="str">
            <v>Primary</v>
          </cell>
        </row>
        <row r="23421">
          <cell r="A23421">
            <v>8014017</v>
          </cell>
          <cell r="B23421">
            <v>109275</v>
          </cell>
          <cell r="C23421" t="str">
            <v>Portway Community School</v>
          </cell>
          <cell r="D23421" t="str">
            <v>Bristol City of</v>
          </cell>
          <cell r="E23421" t="str">
            <v>Community School</v>
          </cell>
          <cell r="F23421" t="str">
            <v>Secondary</v>
          </cell>
        </row>
        <row r="23422">
          <cell r="A23422">
            <v>3162054</v>
          </cell>
          <cell r="B23422">
            <v>102738</v>
          </cell>
          <cell r="C23422" t="str">
            <v>Portway Infant School</v>
          </cell>
          <cell r="D23422" t="str">
            <v>Newham</v>
          </cell>
          <cell r="E23422" t="str">
            <v>Community School</v>
          </cell>
          <cell r="F23422" t="str">
            <v>Primary</v>
          </cell>
        </row>
        <row r="23423">
          <cell r="A23423">
            <v>8312439</v>
          </cell>
          <cell r="B23423">
            <v>112740</v>
          </cell>
          <cell r="C23423" t="str">
            <v>Portway Infant School</v>
          </cell>
          <cell r="D23423" t="str">
            <v>Derby</v>
          </cell>
          <cell r="E23423" t="str">
            <v>Community School</v>
          </cell>
          <cell r="F23423" t="str">
            <v>Primary</v>
          </cell>
        </row>
        <row r="23424">
          <cell r="A23424">
            <v>8502007</v>
          </cell>
          <cell r="B23424">
            <v>115857</v>
          </cell>
          <cell r="C23424" t="str">
            <v>Portway Infant School</v>
          </cell>
          <cell r="D23424" t="str">
            <v>Hampshire</v>
          </cell>
          <cell r="E23424" t="str">
            <v>Community School</v>
          </cell>
          <cell r="F23424" t="str">
            <v>Primary</v>
          </cell>
        </row>
        <row r="23425">
          <cell r="A23425">
            <v>3162053</v>
          </cell>
          <cell r="B23425">
            <v>102737</v>
          </cell>
          <cell r="C23425" t="str">
            <v>Portway Junior School</v>
          </cell>
          <cell r="D23425" t="str">
            <v>Newham</v>
          </cell>
          <cell r="E23425" t="str">
            <v>Community School</v>
          </cell>
          <cell r="F23425" t="str">
            <v>Primary</v>
          </cell>
        </row>
        <row r="23426">
          <cell r="A23426">
            <v>8312440</v>
          </cell>
          <cell r="B23426">
            <v>112741</v>
          </cell>
          <cell r="C23426" t="str">
            <v>Portway Junior School</v>
          </cell>
          <cell r="D23426" t="str">
            <v>Derby</v>
          </cell>
          <cell r="E23426" t="str">
            <v>Community School</v>
          </cell>
          <cell r="F23426" t="str">
            <v>Primary</v>
          </cell>
        </row>
        <row r="23427">
          <cell r="A23427">
            <v>8502003</v>
          </cell>
          <cell r="B23427">
            <v>115853</v>
          </cell>
          <cell r="C23427" t="str">
            <v>Portway Junior School</v>
          </cell>
          <cell r="D23427" t="str">
            <v>Hampshire</v>
          </cell>
          <cell r="E23427" t="str">
            <v>Community School</v>
          </cell>
          <cell r="F23427" t="str">
            <v>Primary</v>
          </cell>
        </row>
        <row r="23428">
          <cell r="A23428">
            <v>3162100</v>
          </cell>
          <cell r="B23428">
            <v>131846</v>
          </cell>
          <cell r="C23428" t="str">
            <v>Portway Primary School</v>
          </cell>
          <cell r="D23428" t="str">
            <v>Newham</v>
          </cell>
          <cell r="E23428" t="str">
            <v>Community School</v>
          </cell>
          <cell r="F23428" t="str">
            <v>Primary</v>
          </cell>
        </row>
        <row r="23429">
          <cell r="A23429">
            <v>9352009</v>
          </cell>
          <cell r="B23429">
            <v>124536</v>
          </cell>
          <cell r="C23429" t="str">
            <v>Pot Kiln Primary School</v>
          </cell>
          <cell r="D23429" t="str">
            <v>Suffolk</v>
          </cell>
          <cell r="E23429" t="str">
            <v>Community School</v>
          </cell>
          <cell r="F23429" t="str">
            <v>Primary</v>
          </cell>
        </row>
        <row r="23430">
          <cell r="A23430">
            <v>8502346</v>
          </cell>
          <cell r="B23430">
            <v>116059</v>
          </cell>
          <cell r="C23430" t="str">
            <v>Potley Hill Primary School</v>
          </cell>
          <cell r="D23430" t="str">
            <v>Hampshire</v>
          </cell>
          <cell r="E23430" t="str">
            <v>Community School</v>
          </cell>
          <cell r="F23430" t="str">
            <v>Primary</v>
          </cell>
        </row>
        <row r="23431">
          <cell r="A23431">
            <v>9262195</v>
          </cell>
          <cell r="B23431">
            <v>120873</v>
          </cell>
          <cell r="C23431" t="str">
            <v>Pott Row First School</v>
          </cell>
          <cell r="D23431" t="str">
            <v>Norfolk</v>
          </cell>
          <cell r="E23431" t="str">
            <v>Community School</v>
          </cell>
          <cell r="F23431" t="str">
            <v>Primary</v>
          </cell>
        </row>
        <row r="23432">
          <cell r="A23432">
            <v>8955203</v>
          </cell>
          <cell r="B23432">
            <v>111462</v>
          </cell>
          <cell r="C23432" t="str">
            <v>Pott Shrigley Church School</v>
          </cell>
          <cell r="D23432" t="str">
            <v>Cheshire East</v>
          </cell>
          <cell r="E23432" t="str">
            <v>Voluntary Aided School</v>
          </cell>
          <cell r="F23432" t="str">
            <v>Primary</v>
          </cell>
        </row>
        <row r="23433">
          <cell r="A23433">
            <v>9193049</v>
          </cell>
          <cell r="B23433">
            <v>117414</v>
          </cell>
          <cell r="C23433" t="str">
            <v>Potten End Church of England First School</v>
          </cell>
          <cell r="D23433" t="str">
            <v>Hertfordshire</v>
          </cell>
          <cell r="E23433" t="str">
            <v>Voluntary Controlled School</v>
          </cell>
          <cell r="F23433" t="str">
            <v>Primary</v>
          </cell>
        </row>
        <row r="23434">
          <cell r="A23434">
            <v>9262129</v>
          </cell>
          <cell r="B23434">
            <v>120842</v>
          </cell>
          <cell r="C23434" t="str">
            <v>Potter Heigham First School</v>
          </cell>
          <cell r="D23434" t="str">
            <v>Norfolk</v>
          </cell>
          <cell r="E23434" t="str">
            <v>Community School</v>
          </cell>
          <cell r="F23434" t="str">
            <v>Primary</v>
          </cell>
        </row>
        <row r="23435">
          <cell r="A23435">
            <v>9152573</v>
          </cell>
          <cell r="B23435">
            <v>128890</v>
          </cell>
          <cell r="C23435" t="str">
            <v>Potter Street County Infant School</v>
          </cell>
          <cell r="D23435" t="str">
            <v>Pre LGR (1998) Essex</v>
          </cell>
          <cell r="E23435" t="str">
            <v>Community School</v>
          </cell>
          <cell r="F23435" t="str">
            <v>Primary</v>
          </cell>
        </row>
        <row r="23436">
          <cell r="A23436">
            <v>9152653</v>
          </cell>
          <cell r="B23436">
            <v>128892</v>
          </cell>
          <cell r="C23436" t="str">
            <v>Potter Street County Junior School</v>
          </cell>
          <cell r="D23436" t="str">
            <v>Pre LGR (1998) Essex</v>
          </cell>
          <cell r="E23436" t="str">
            <v>Community School</v>
          </cell>
          <cell r="F23436" t="str">
            <v>Primary</v>
          </cell>
        </row>
        <row r="23437">
          <cell r="A23437">
            <v>8812995</v>
          </cell>
          <cell r="B23437">
            <v>115061</v>
          </cell>
          <cell r="C23437" t="str">
            <v>Potter Street Primary School</v>
          </cell>
          <cell r="D23437" t="str">
            <v>Essex</v>
          </cell>
          <cell r="E23437" t="str">
            <v>Foundation School</v>
          </cell>
          <cell r="F23437" t="str">
            <v>Primary</v>
          </cell>
        </row>
        <row r="23438">
          <cell r="A23438">
            <v>8653147</v>
          </cell>
          <cell r="B23438">
            <v>126348</v>
          </cell>
          <cell r="C23438" t="str">
            <v>Potterne Church of England Voluntary Controlled Primary School</v>
          </cell>
          <cell r="D23438" t="str">
            <v>Wiltshire</v>
          </cell>
          <cell r="E23438" t="str">
            <v>Voluntary Controlled School</v>
          </cell>
          <cell r="F23438" t="str">
            <v>Primary</v>
          </cell>
        </row>
        <row r="23439">
          <cell r="A23439">
            <v>3832151</v>
          </cell>
          <cell r="B23439">
            <v>127842</v>
          </cell>
          <cell r="C23439" t="str">
            <v>Potternewton Lane First School</v>
          </cell>
          <cell r="D23439" t="str">
            <v>Leeds</v>
          </cell>
          <cell r="E23439" t="str">
            <v>Community School</v>
          </cell>
          <cell r="F23439" t="str">
            <v>Primary</v>
          </cell>
        </row>
        <row r="23440">
          <cell r="A23440">
            <v>3832431</v>
          </cell>
          <cell r="B23440">
            <v>107907</v>
          </cell>
          <cell r="C23440" t="str">
            <v>Potternewton Primary School</v>
          </cell>
          <cell r="D23440" t="str">
            <v>Leeds</v>
          </cell>
          <cell r="E23440" t="str">
            <v>Community School</v>
          </cell>
          <cell r="F23440" t="str">
            <v>Primary</v>
          </cell>
        </row>
        <row r="23441">
          <cell r="A23441">
            <v>9363062</v>
          </cell>
          <cell r="B23441">
            <v>125161</v>
          </cell>
          <cell r="C23441" t="str">
            <v>Potters Gate CofE Primary School</v>
          </cell>
          <cell r="D23441" t="str">
            <v>Surrey</v>
          </cell>
          <cell r="E23441" t="str">
            <v>Voluntary Controlled School</v>
          </cell>
          <cell r="F23441" t="str">
            <v>Primary</v>
          </cell>
        </row>
        <row r="23442">
          <cell r="A23442">
            <v>3312079</v>
          </cell>
          <cell r="B23442">
            <v>103659</v>
          </cell>
          <cell r="C23442" t="str">
            <v>Potters Green Primary School</v>
          </cell>
          <cell r="D23442" t="str">
            <v>Coventry</v>
          </cell>
          <cell r="E23442" t="str">
            <v>Community School</v>
          </cell>
          <cell r="F23442" t="str">
            <v>Primary</v>
          </cell>
        </row>
        <row r="23443">
          <cell r="A23443">
            <v>9286039</v>
          </cell>
          <cell r="B23443">
            <v>122136</v>
          </cell>
          <cell r="C23443" t="str">
            <v>Potterspury Lodge School</v>
          </cell>
          <cell r="D23443" t="str">
            <v>Northamptonshire</v>
          </cell>
          <cell r="E23443" t="str">
            <v>Other Independent Special School</v>
          </cell>
          <cell r="F23443" t="str">
            <v>Not applicable</v>
          </cell>
        </row>
        <row r="23444">
          <cell r="A23444">
            <v>8302624</v>
          </cell>
          <cell r="B23444">
            <v>112787</v>
          </cell>
          <cell r="C23444" t="str">
            <v>Pottery Primary School</v>
          </cell>
          <cell r="D23444" t="str">
            <v>Derbyshire</v>
          </cell>
          <cell r="E23444" t="str">
            <v>Community School</v>
          </cell>
          <cell r="F23444" t="str">
            <v>Primary</v>
          </cell>
        </row>
        <row r="23445">
          <cell r="A23445">
            <v>8232117</v>
          </cell>
          <cell r="B23445">
            <v>109475</v>
          </cell>
          <cell r="C23445" t="str">
            <v>Potton Lower School</v>
          </cell>
          <cell r="D23445" t="str">
            <v>Central Bedfordshire</v>
          </cell>
          <cell r="E23445" t="str">
            <v>Foundation School</v>
          </cell>
          <cell r="F23445" t="str">
            <v>Primary</v>
          </cell>
        </row>
        <row r="23446">
          <cell r="A23446">
            <v>9113018</v>
          </cell>
          <cell r="B23446">
            <v>128707</v>
          </cell>
          <cell r="C23446" t="str">
            <v>Poughill CofE Primary School</v>
          </cell>
          <cell r="D23446" t="str">
            <v>Pre LGR (1998) Devon</v>
          </cell>
          <cell r="E23446" t="str">
            <v>Voluntary Controlled School</v>
          </cell>
          <cell r="F23446" t="str">
            <v>Primary</v>
          </cell>
        </row>
        <row r="23447">
          <cell r="A23447">
            <v>8502310</v>
          </cell>
          <cell r="B23447">
            <v>116031</v>
          </cell>
          <cell r="C23447" t="str">
            <v>Poulner Infant School</v>
          </cell>
          <cell r="D23447" t="str">
            <v>Hampshire</v>
          </cell>
          <cell r="E23447" t="str">
            <v>Community School</v>
          </cell>
          <cell r="F23447" t="str">
            <v>Primary</v>
          </cell>
        </row>
        <row r="23448">
          <cell r="A23448">
            <v>8502266</v>
          </cell>
          <cell r="B23448">
            <v>115999</v>
          </cell>
          <cell r="C23448" t="str">
            <v>Poulner Junior School</v>
          </cell>
          <cell r="D23448" t="str">
            <v>Hampshire</v>
          </cell>
          <cell r="E23448" t="str">
            <v>Community School</v>
          </cell>
          <cell r="F23448" t="str">
            <v>Primary</v>
          </cell>
        </row>
        <row r="23449">
          <cell r="A23449">
            <v>3442231</v>
          </cell>
          <cell r="B23449">
            <v>105031</v>
          </cell>
          <cell r="C23449" t="str">
            <v>Poulton Lancelyn Primary School</v>
          </cell>
          <cell r="D23449" t="str">
            <v>Wirral</v>
          </cell>
          <cell r="E23449" t="str">
            <v>Community School</v>
          </cell>
          <cell r="F23449" t="str">
            <v>Primary</v>
          </cell>
        </row>
        <row r="23450">
          <cell r="A23450">
            <v>3442109</v>
          </cell>
          <cell r="B23450">
            <v>104998</v>
          </cell>
          <cell r="C23450" t="str">
            <v>Poulton Primary School</v>
          </cell>
          <cell r="D23450" t="str">
            <v>Wirral</v>
          </cell>
          <cell r="E23450" t="str">
            <v>Community School</v>
          </cell>
          <cell r="F23450" t="str">
            <v>Primary</v>
          </cell>
        </row>
        <row r="23451">
          <cell r="A23451">
            <v>8882396</v>
          </cell>
          <cell r="B23451">
            <v>119276</v>
          </cell>
          <cell r="C23451" t="str">
            <v>Poulton-le-Fylde Carr Head Primary School</v>
          </cell>
          <cell r="D23451" t="str">
            <v>Lancashire</v>
          </cell>
          <cell r="E23451" t="str">
            <v>Community School</v>
          </cell>
          <cell r="F23451" t="str">
            <v>Primary</v>
          </cell>
        </row>
        <row r="23452">
          <cell r="A23452">
            <v>8883570</v>
          </cell>
          <cell r="B23452">
            <v>119556</v>
          </cell>
          <cell r="C23452" t="str">
            <v>Poulton-le-Fylde St Chad's CofE Primary School</v>
          </cell>
          <cell r="D23452" t="str">
            <v>Lancashire</v>
          </cell>
          <cell r="E23452" t="str">
            <v>Voluntary Aided School</v>
          </cell>
          <cell r="F23452" t="str">
            <v>Primary</v>
          </cell>
        </row>
        <row r="23453">
          <cell r="A23453">
            <v>8882541</v>
          </cell>
          <cell r="B23453">
            <v>119301</v>
          </cell>
          <cell r="C23453" t="str">
            <v>Poulton-le-Fylde the Breck Primary School</v>
          </cell>
          <cell r="D23453" t="str">
            <v>Lancashire</v>
          </cell>
          <cell r="E23453" t="str">
            <v>Community School</v>
          </cell>
          <cell r="F23453" t="str">
            <v>Primary</v>
          </cell>
        </row>
        <row r="23454">
          <cell r="A23454">
            <v>8883537</v>
          </cell>
          <cell r="B23454">
            <v>119538</v>
          </cell>
          <cell r="C23454" t="str">
            <v>Poulton-le-Sands Church of England Primary School</v>
          </cell>
          <cell r="D23454" t="str">
            <v>Lancashire</v>
          </cell>
          <cell r="E23454" t="str">
            <v>Voluntary Aided School</v>
          </cell>
          <cell r="F23454" t="str">
            <v>Primary</v>
          </cell>
        </row>
        <row r="23455">
          <cell r="A23455">
            <v>9382150</v>
          </cell>
          <cell r="B23455">
            <v>125898</v>
          </cell>
          <cell r="C23455" t="str">
            <v>Pound Hill Infant School</v>
          </cell>
          <cell r="D23455" t="str">
            <v>West Sussex</v>
          </cell>
          <cell r="E23455" t="str">
            <v>Community School</v>
          </cell>
          <cell r="F23455" t="str">
            <v>Primary</v>
          </cell>
        </row>
        <row r="23456">
          <cell r="A23456">
            <v>9382161</v>
          </cell>
          <cell r="B23456">
            <v>125905</v>
          </cell>
          <cell r="C23456" t="str">
            <v>Pound Hill Junior School, Crawley</v>
          </cell>
          <cell r="D23456" t="str">
            <v>West Sussex</v>
          </cell>
          <cell r="E23456" t="str">
            <v>Community School</v>
          </cell>
          <cell r="F23456" t="str">
            <v>Primary</v>
          </cell>
        </row>
        <row r="23457">
          <cell r="A23457">
            <v>2031006</v>
          </cell>
          <cell r="B23457">
            <v>100098</v>
          </cell>
          <cell r="C23457" t="str">
            <v>Pound Park Nursery School</v>
          </cell>
          <cell r="D23457" t="str">
            <v>Greenwich</v>
          </cell>
          <cell r="E23457" t="str">
            <v>LA Nursery School</v>
          </cell>
          <cell r="F23457" t="str">
            <v>Nursery</v>
          </cell>
        </row>
        <row r="23458">
          <cell r="A23458">
            <v>3522337</v>
          </cell>
          <cell r="B23458">
            <v>131432</v>
          </cell>
          <cell r="C23458" t="str">
            <v>Poundswick County Primary School</v>
          </cell>
          <cell r="D23458" t="str">
            <v>Manchester</v>
          </cell>
          <cell r="E23458" t="str">
            <v>Community School</v>
          </cell>
          <cell r="F23458" t="str">
            <v>Primary</v>
          </cell>
        </row>
        <row r="23459">
          <cell r="A23459">
            <v>3524287</v>
          </cell>
          <cell r="B23459">
            <v>105572</v>
          </cell>
          <cell r="C23459" t="str">
            <v>Poundswick High School</v>
          </cell>
          <cell r="D23459" t="str">
            <v>Manchester</v>
          </cell>
          <cell r="E23459" t="str">
            <v>Community School</v>
          </cell>
          <cell r="F23459" t="str">
            <v>Secondary</v>
          </cell>
        </row>
        <row r="23460">
          <cell r="A23460">
            <v>3522220</v>
          </cell>
          <cell r="B23460">
            <v>105445</v>
          </cell>
          <cell r="C23460" t="str">
            <v>Poundswick Infant School</v>
          </cell>
          <cell r="D23460" t="str">
            <v>Manchester</v>
          </cell>
          <cell r="E23460" t="str">
            <v>Community School</v>
          </cell>
          <cell r="F23460" t="str">
            <v>Primary</v>
          </cell>
        </row>
        <row r="23461">
          <cell r="A23461">
            <v>3522219</v>
          </cell>
          <cell r="B23461">
            <v>105444</v>
          </cell>
          <cell r="C23461" t="str">
            <v>Poundswick Junior School</v>
          </cell>
          <cell r="D23461" t="str">
            <v>Manchester</v>
          </cell>
          <cell r="E23461" t="str">
            <v>Community School</v>
          </cell>
          <cell r="F23461" t="str">
            <v>Primary</v>
          </cell>
        </row>
        <row r="23462">
          <cell r="A23462">
            <v>3052045</v>
          </cell>
          <cell r="B23462">
            <v>126793</v>
          </cell>
          <cell r="C23462" t="str">
            <v>Poverest Infant School</v>
          </cell>
          <cell r="D23462" t="str">
            <v>Bromley</v>
          </cell>
          <cell r="E23462" t="str">
            <v>Community School</v>
          </cell>
          <cell r="F23462" t="str">
            <v>Primary</v>
          </cell>
        </row>
        <row r="23463">
          <cell r="A23463">
            <v>3052044</v>
          </cell>
          <cell r="B23463">
            <v>126792</v>
          </cell>
          <cell r="C23463" t="str">
            <v>Poverest Junior School</v>
          </cell>
          <cell r="D23463" t="str">
            <v>Bromley</v>
          </cell>
          <cell r="E23463" t="str">
            <v>Community School</v>
          </cell>
          <cell r="F23463" t="str">
            <v>Primary</v>
          </cell>
        </row>
        <row r="23464">
          <cell r="A23464">
            <v>3052080</v>
          </cell>
          <cell r="B23464">
            <v>101641</v>
          </cell>
          <cell r="C23464" t="str">
            <v>Poverest Primary School</v>
          </cell>
          <cell r="D23464" t="str">
            <v>Bromley</v>
          </cell>
          <cell r="E23464" t="str">
            <v>Community School</v>
          </cell>
          <cell r="F23464" t="str">
            <v>Primary</v>
          </cell>
        </row>
        <row r="23465">
          <cell r="A23465">
            <v>9363044</v>
          </cell>
          <cell r="B23465">
            <v>125151</v>
          </cell>
          <cell r="C23465" t="str">
            <v>Powell Corderoy Primary School</v>
          </cell>
          <cell r="D23465" t="str">
            <v>Surrey</v>
          </cell>
          <cell r="E23465" t="str">
            <v>Voluntary Controlled School</v>
          </cell>
          <cell r="F23465" t="str">
            <v>Primary</v>
          </cell>
        </row>
        <row r="23466">
          <cell r="A23466">
            <v>9163319</v>
          </cell>
          <cell r="B23466">
            <v>115681</v>
          </cell>
          <cell r="C23466" t="str">
            <v>Powell's Church of England Primary School</v>
          </cell>
          <cell r="D23466" t="str">
            <v>Gloucestershire</v>
          </cell>
          <cell r="E23466" t="str">
            <v>Voluntary Aided School</v>
          </cell>
          <cell r="F23466" t="str">
            <v>Primary</v>
          </cell>
        </row>
        <row r="23467">
          <cell r="A23467">
            <v>8812679</v>
          </cell>
          <cell r="B23467">
            <v>114944</v>
          </cell>
          <cell r="C23467" t="str">
            <v>Powers Hall Infant School and Nursery</v>
          </cell>
          <cell r="D23467" t="str">
            <v>Essex</v>
          </cell>
          <cell r="E23467" t="str">
            <v>Community School</v>
          </cell>
          <cell r="F23467" t="str">
            <v>Primary</v>
          </cell>
        </row>
        <row r="23468">
          <cell r="A23468">
            <v>8812699</v>
          </cell>
          <cell r="B23468">
            <v>114957</v>
          </cell>
          <cell r="C23468" t="str">
            <v>Powers Hall Junior School</v>
          </cell>
          <cell r="D23468" t="str">
            <v>Essex</v>
          </cell>
          <cell r="E23468" t="str">
            <v>Community School</v>
          </cell>
          <cell r="F23468" t="str">
            <v>Primary</v>
          </cell>
        </row>
        <row r="23469">
          <cell r="A23469">
            <v>8353352</v>
          </cell>
          <cell r="B23469">
            <v>113812</v>
          </cell>
          <cell r="C23469" t="str">
            <v>Powerstock Church of England Voluntary Aided Primary School</v>
          </cell>
          <cell r="D23469" t="str">
            <v>Dorset</v>
          </cell>
          <cell r="E23469" t="str">
            <v>Voluntary Aided School</v>
          </cell>
          <cell r="F23469" t="str">
            <v>Primary</v>
          </cell>
        </row>
        <row r="23470">
          <cell r="A23470">
            <v>8853089</v>
          </cell>
          <cell r="B23470">
            <v>116841</v>
          </cell>
          <cell r="C23470" t="str">
            <v>Powick CofE Primary School</v>
          </cell>
          <cell r="D23470" t="str">
            <v>Worcestershire</v>
          </cell>
          <cell r="E23470" t="str">
            <v>Voluntary Controlled School</v>
          </cell>
          <cell r="F23470" t="str">
            <v>Primary</v>
          </cell>
        </row>
        <row r="23471">
          <cell r="A23471">
            <v>3562103</v>
          </cell>
          <cell r="B23471">
            <v>106089</v>
          </cell>
          <cell r="C23471" t="str">
            <v>Pownall Green Primary School</v>
          </cell>
          <cell r="D23471" t="str">
            <v>Stockport</v>
          </cell>
          <cell r="E23471" t="str">
            <v>Community School</v>
          </cell>
          <cell r="F23471" t="str">
            <v>Primary</v>
          </cell>
        </row>
        <row r="23472">
          <cell r="A23472">
            <v>8956015</v>
          </cell>
          <cell r="B23472">
            <v>111481</v>
          </cell>
          <cell r="C23472" t="str">
            <v>Pownall Hall School</v>
          </cell>
          <cell r="D23472" t="str">
            <v>Cheshire East</v>
          </cell>
          <cell r="E23472" t="str">
            <v>Other Independent School</v>
          </cell>
          <cell r="F23472" t="str">
            <v>Not applicable</v>
          </cell>
        </row>
        <row r="23473">
          <cell r="A23473">
            <v>8954211</v>
          </cell>
          <cell r="B23473">
            <v>111436</v>
          </cell>
          <cell r="C23473" t="str">
            <v>Poynton High School</v>
          </cell>
          <cell r="D23473" t="str">
            <v>Cheshire East</v>
          </cell>
          <cell r="E23473" t="str">
            <v>Community School</v>
          </cell>
          <cell r="F23473" t="str">
            <v>Secondary</v>
          </cell>
        </row>
        <row r="23474">
          <cell r="A23474">
            <v>3136083</v>
          </cell>
          <cell r="B23474">
            <v>136740</v>
          </cell>
          <cell r="C23474" t="str">
            <v>PPP Community School</v>
          </cell>
          <cell r="D23474" t="str">
            <v>Hounslow</v>
          </cell>
          <cell r="E23474" t="str">
            <v>Other Independent Special School</v>
          </cell>
          <cell r="F23474" t="str">
            <v>Not applicable</v>
          </cell>
        </row>
        <row r="23475">
          <cell r="A23475">
            <v>9192393</v>
          </cell>
          <cell r="B23475">
            <v>117315</v>
          </cell>
          <cell r="C23475" t="str">
            <v>Prae Wood Primary School</v>
          </cell>
          <cell r="D23475" t="str">
            <v>Hertfordshire</v>
          </cell>
          <cell r="E23475" t="str">
            <v>Community School</v>
          </cell>
          <cell r="F23475" t="str">
            <v>Primary</v>
          </cell>
        </row>
        <row r="23476">
          <cell r="A23476">
            <v>3052046</v>
          </cell>
          <cell r="B23476">
            <v>101617</v>
          </cell>
          <cell r="C23476" t="str">
            <v>Pratts Bottom Primary School</v>
          </cell>
          <cell r="D23476" t="str">
            <v>Bromley</v>
          </cell>
          <cell r="E23476" t="str">
            <v>Community School</v>
          </cell>
          <cell r="F23476" t="str">
            <v>Primary</v>
          </cell>
        </row>
        <row r="23477">
          <cell r="A23477">
            <v>8933089</v>
          </cell>
          <cell r="B23477">
            <v>123494</v>
          </cell>
          <cell r="C23477" t="str">
            <v>Prees CofE Primary School</v>
          </cell>
          <cell r="D23477" t="str">
            <v>Shropshire</v>
          </cell>
          <cell r="E23477" t="str">
            <v>Voluntary Controlled School</v>
          </cell>
          <cell r="F23477" t="str">
            <v>Primary</v>
          </cell>
        </row>
        <row r="23478">
          <cell r="A23478">
            <v>8883572</v>
          </cell>
          <cell r="B23478">
            <v>119558</v>
          </cell>
          <cell r="C23478" t="str">
            <v>Preesall Fleetwood's Charity Church of England Primary School</v>
          </cell>
          <cell r="D23478" t="str">
            <v>Lancashire</v>
          </cell>
          <cell r="E23478" t="str">
            <v>Voluntary Aided School</v>
          </cell>
          <cell r="F23478" t="str">
            <v>Primary</v>
          </cell>
        </row>
        <row r="23479">
          <cell r="A23479">
            <v>3351100</v>
          </cell>
          <cell r="B23479">
            <v>131618</v>
          </cell>
          <cell r="C23479" t="str">
            <v>Pregnant Schoolgirls' Teaching Unit</v>
          </cell>
          <cell r="D23479" t="str">
            <v>Walsall</v>
          </cell>
          <cell r="E23479" t="str">
            <v>Pupil Referral Unit</v>
          </cell>
          <cell r="F23479" t="str">
            <v>PRU</v>
          </cell>
        </row>
        <row r="23480">
          <cell r="A23480">
            <v>3501105</v>
          </cell>
          <cell r="B23480">
            <v>134286</v>
          </cell>
          <cell r="C23480" t="str">
            <v>Premier Training</v>
          </cell>
          <cell r="D23480" t="str">
            <v>Bolton</v>
          </cell>
          <cell r="E23480" t="str">
            <v>Pupil Referral Unit</v>
          </cell>
          <cell r="F23480" t="str">
            <v>PRU</v>
          </cell>
        </row>
        <row r="23481">
          <cell r="A23481">
            <v>2094323</v>
          </cell>
          <cell r="B23481">
            <v>100747</v>
          </cell>
          <cell r="C23481" t="str">
            <v>Prendergast - Ladywell Fields College</v>
          </cell>
          <cell r="D23481" t="str">
            <v>Lewisham</v>
          </cell>
          <cell r="E23481" t="str">
            <v>Community School</v>
          </cell>
          <cell r="F23481" t="str">
            <v>Secondary</v>
          </cell>
        </row>
        <row r="23482">
          <cell r="A23482">
            <v>2095201</v>
          </cell>
          <cell r="B23482">
            <v>135843</v>
          </cell>
          <cell r="C23482" t="str">
            <v>Prendergast - Vale College</v>
          </cell>
          <cell r="D23482" t="str">
            <v>Lewisham</v>
          </cell>
          <cell r="E23482" t="str">
            <v>Foundation School</v>
          </cell>
          <cell r="F23482" t="str">
            <v>Middle Deemed Primary</v>
          </cell>
        </row>
        <row r="23483">
          <cell r="A23483">
            <v>6682391</v>
          </cell>
          <cell r="B23483">
            <v>402083</v>
          </cell>
          <cell r="C23483" t="str">
            <v>Prendergast Community School</v>
          </cell>
          <cell r="D23483" t="str">
            <v>Pembrokeshire</v>
          </cell>
          <cell r="E23483" t="str">
            <v>Welsh Establishment</v>
          </cell>
          <cell r="F23483" t="str">
            <v>Primary</v>
          </cell>
        </row>
        <row r="23484">
          <cell r="A23484">
            <v>6682215</v>
          </cell>
          <cell r="B23484">
            <v>400654</v>
          </cell>
          <cell r="C23484" t="str">
            <v>Prendergast Cp Junior School</v>
          </cell>
          <cell r="D23484" t="str">
            <v>Pembrokeshire</v>
          </cell>
          <cell r="E23484" t="str">
            <v>Welsh Establishment</v>
          </cell>
          <cell r="F23484" t="str">
            <v>Primary</v>
          </cell>
        </row>
        <row r="23485">
          <cell r="A23485">
            <v>6682216</v>
          </cell>
          <cell r="B23485">
            <v>400655</v>
          </cell>
          <cell r="C23485" t="str">
            <v>Prendergast Infants &amp; Nursery Cp School</v>
          </cell>
          <cell r="D23485" t="str">
            <v>Pembrokeshire</v>
          </cell>
          <cell r="E23485" t="str">
            <v>Welsh Establishment</v>
          </cell>
          <cell r="F23485" t="str">
            <v>Primary</v>
          </cell>
        </row>
        <row r="23486">
          <cell r="A23486">
            <v>2094646</v>
          </cell>
          <cell r="B23486">
            <v>100750</v>
          </cell>
          <cell r="C23486" t="str">
            <v>Prendergast-Hilly Fields College</v>
          </cell>
          <cell r="D23486" t="str">
            <v>Lewisham</v>
          </cell>
          <cell r="E23486" t="str">
            <v>Voluntary Aided School</v>
          </cell>
          <cell r="F23486" t="str">
            <v>Secondary</v>
          </cell>
        </row>
        <row r="23487">
          <cell r="A23487">
            <v>3444010</v>
          </cell>
          <cell r="B23487">
            <v>105093</v>
          </cell>
          <cell r="C23487" t="str">
            <v>Prenton High School for Girls</v>
          </cell>
          <cell r="D23487" t="str">
            <v>Wirral</v>
          </cell>
          <cell r="E23487" t="str">
            <v>Community School</v>
          </cell>
          <cell r="F23487" t="str">
            <v>Secondary</v>
          </cell>
        </row>
        <row r="23488">
          <cell r="A23488">
            <v>3444010</v>
          </cell>
          <cell r="B23488">
            <v>137130</v>
          </cell>
          <cell r="C23488" t="str">
            <v>Prenton High School for Girls</v>
          </cell>
          <cell r="D23488" t="str">
            <v>Wirral</v>
          </cell>
          <cell r="E23488" t="str">
            <v>Academy Converters</v>
          </cell>
          <cell r="F23488" t="str">
            <v>Secondary</v>
          </cell>
        </row>
        <row r="23489">
          <cell r="A23489">
            <v>3442257</v>
          </cell>
          <cell r="B23489">
            <v>105044</v>
          </cell>
          <cell r="C23489" t="str">
            <v>Prenton Infant School</v>
          </cell>
          <cell r="D23489" t="str">
            <v>Wirral</v>
          </cell>
          <cell r="E23489" t="str">
            <v>Community School</v>
          </cell>
          <cell r="F23489" t="str">
            <v>Primary</v>
          </cell>
        </row>
        <row r="23490">
          <cell r="A23490">
            <v>3442271</v>
          </cell>
          <cell r="B23490">
            <v>105057</v>
          </cell>
          <cell r="C23490" t="str">
            <v>Prenton Junior School</v>
          </cell>
          <cell r="D23490" t="str">
            <v>Wirral</v>
          </cell>
          <cell r="E23490" t="str">
            <v>Community School</v>
          </cell>
          <cell r="F23490" t="str">
            <v>Primary</v>
          </cell>
        </row>
        <row r="23491">
          <cell r="A23491">
            <v>3446005</v>
          </cell>
          <cell r="B23491">
            <v>105118</v>
          </cell>
          <cell r="C23491" t="str">
            <v>Prenton Preparatory School</v>
          </cell>
          <cell r="D23491" t="str">
            <v>Wirral</v>
          </cell>
          <cell r="E23491" t="str">
            <v>Other Independent School</v>
          </cell>
          <cell r="F23491" t="str">
            <v>Not applicable</v>
          </cell>
        </row>
        <row r="23492">
          <cell r="A23492">
            <v>3443374</v>
          </cell>
          <cell r="B23492">
            <v>103598</v>
          </cell>
          <cell r="C23492" t="str">
            <v>Prenton Primary School</v>
          </cell>
          <cell r="D23492" t="str">
            <v>Wirral</v>
          </cell>
          <cell r="E23492" t="str">
            <v>Community School</v>
          </cell>
          <cell r="F23492" t="str">
            <v>Primary</v>
          </cell>
        </row>
        <row r="23493">
          <cell r="A23493">
            <v>3402010</v>
          </cell>
          <cell r="B23493">
            <v>104425</v>
          </cell>
          <cell r="C23493" t="str">
            <v>Prescot Primary School</v>
          </cell>
          <cell r="D23493" t="str">
            <v>Knowsley</v>
          </cell>
          <cell r="E23493" t="str">
            <v>Community School</v>
          </cell>
          <cell r="F23493" t="str">
            <v>Primary</v>
          </cell>
        </row>
        <row r="23494">
          <cell r="A23494">
            <v>3404014</v>
          </cell>
          <cell r="B23494">
            <v>104487</v>
          </cell>
          <cell r="C23494" t="str">
            <v>Prescot School</v>
          </cell>
          <cell r="D23494" t="str">
            <v>Knowsley</v>
          </cell>
          <cell r="E23494" t="str">
            <v>Community School</v>
          </cell>
          <cell r="F23494" t="str">
            <v>Secondary</v>
          </cell>
        </row>
        <row r="23495">
          <cell r="A23495">
            <v>9194013</v>
          </cell>
          <cell r="B23495">
            <v>117506</v>
          </cell>
          <cell r="C23495" t="str">
            <v>Presdales School</v>
          </cell>
          <cell r="D23495" t="str">
            <v>Hertfordshire</v>
          </cell>
          <cell r="E23495" t="str">
            <v>Community School</v>
          </cell>
          <cell r="F23495" t="str">
            <v>Secondary</v>
          </cell>
        </row>
        <row r="23496">
          <cell r="A23496">
            <v>9106010</v>
          </cell>
          <cell r="B23496">
            <v>128673</v>
          </cell>
          <cell r="C23496" t="str">
            <v>Presentation Convent High School</v>
          </cell>
          <cell r="D23496" t="str">
            <v>Pre LGR (1997) Derbyshire</v>
          </cell>
          <cell r="E23496" t="str">
            <v>Other Independent School</v>
          </cell>
          <cell r="F23496" t="str">
            <v>Not applicable</v>
          </cell>
        </row>
        <row r="23497">
          <cell r="A23497">
            <v>9116005</v>
          </cell>
          <cell r="B23497">
            <v>128731</v>
          </cell>
          <cell r="C23497" t="str">
            <v>Presentation of Mary Convent School</v>
          </cell>
          <cell r="D23497" t="str">
            <v>Pre LGR (1998) Devon</v>
          </cell>
          <cell r="E23497" t="str">
            <v>Other Independent School</v>
          </cell>
          <cell r="F23497" t="str">
            <v>Not applicable</v>
          </cell>
        </row>
        <row r="23498">
          <cell r="A23498">
            <v>3437004</v>
          </cell>
          <cell r="B23498">
            <v>104977</v>
          </cell>
          <cell r="C23498" t="str">
            <v>Presfield High School and Specialist College</v>
          </cell>
          <cell r="D23498" t="str">
            <v>Sefton</v>
          </cell>
          <cell r="E23498" t="str">
            <v>Community Special School</v>
          </cell>
          <cell r="F23498" t="str">
            <v>Special</v>
          </cell>
        </row>
        <row r="23499">
          <cell r="A23499">
            <v>8653149</v>
          </cell>
          <cell r="B23499">
            <v>126349</v>
          </cell>
          <cell r="C23499" t="str">
            <v>Preshute Church of England Primary School</v>
          </cell>
          <cell r="D23499" t="str">
            <v>Wiltshire</v>
          </cell>
          <cell r="E23499" t="str">
            <v>Voluntary Controlled School</v>
          </cell>
          <cell r="F23499" t="str">
            <v>Primary</v>
          </cell>
        </row>
        <row r="23500">
          <cell r="A23500">
            <v>3314034</v>
          </cell>
          <cell r="B23500">
            <v>103736</v>
          </cell>
          <cell r="C23500" t="str">
            <v>President Kennedy School and Community College</v>
          </cell>
          <cell r="D23500" t="str">
            <v>Coventry</v>
          </cell>
          <cell r="E23500" t="str">
            <v>Community School</v>
          </cell>
          <cell r="F23500" t="str">
            <v>Secondary</v>
          </cell>
        </row>
        <row r="23501">
          <cell r="A23501">
            <v>6634014</v>
          </cell>
          <cell r="B23501">
            <v>401692</v>
          </cell>
          <cell r="C23501" t="str">
            <v>Prestatyn High School</v>
          </cell>
          <cell r="D23501" t="str">
            <v>Denbighshire</v>
          </cell>
          <cell r="E23501" t="str">
            <v>Welsh Establishment</v>
          </cell>
          <cell r="F23501" t="str">
            <v>Secondary</v>
          </cell>
        </row>
        <row r="23502">
          <cell r="A23502">
            <v>8953518</v>
          </cell>
          <cell r="B23502">
            <v>111325</v>
          </cell>
          <cell r="C23502" t="str">
            <v>Prestbury CofE Primary School</v>
          </cell>
          <cell r="D23502" t="str">
            <v>Cheshire East</v>
          </cell>
          <cell r="E23502" t="str">
            <v>Voluntary Aided School</v>
          </cell>
          <cell r="F23502" t="str">
            <v>Primary</v>
          </cell>
        </row>
        <row r="23503">
          <cell r="A23503">
            <v>9163343</v>
          </cell>
          <cell r="B23503">
            <v>115696</v>
          </cell>
          <cell r="C23503" t="str">
            <v>Prestbury St Mary's Church of England Junior School</v>
          </cell>
          <cell r="D23503" t="str">
            <v>Gloucestershire</v>
          </cell>
          <cell r="E23503" t="str">
            <v>Voluntary Aided School</v>
          </cell>
          <cell r="F23503" t="str">
            <v>Primary</v>
          </cell>
        </row>
        <row r="23504">
          <cell r="A23504">
            <v>6662075</v>
          </cell>
          <cell r="B23504">
            <v>400504</v>
          </cell>
          <cell r="C23504" t="str">
            <v>Presteigne C.P. School</v>
          </cell>
          <cell r="D23504" t="str">
            <v>Powys</v>
          </cell>
          <cell r="E23504" t="str">
            <v>Welsh Establishment</v>
          </cell>
          <cell r="F23504" t="str">
            <v>Primary</v>
          </cell>
        </row>
        <row r="23505">
          <cell r="A23505">
            <v>8936008</v>
          </cell>
          <cell r="B23505">
            <v>123607</v>
          </cell>
          <cell r="C23505" t="str">
            <v>Prestfelde School</v>
          </cell>
          <cell r="D23505" t="str">
            <v>Shropshire</v>
          </cell>
          <cell r="E23505" t="str">
            <v>Other Independent School</v>
          </cell>
          <cell r="F23505" t="str">
            <v>Not applicable</v>
          </cell>
        </row>
        <row r="23506">
          <cell r="A23506">
            <v>3502060</v>
          </cell>
          <cell r="B23506">
            <v>105185</v>
          </cell>
          <cell r="C23506" t="str">
            <v>Prestolee Primary School</v>
          </cell>
          <cell r="D23506" t="str">
            <v>Bolton</v>
          </cell>
          <cell r="E23506" t="str">
            <v>Community School</v>
          </cell>
          <cell r="F23506" t="str">
            <v>Primary</v>
          </cell>
        </row>
        <row r="23507">
          <cell r="A23507">
            <v>8503126</v>
          </cell>
          <cell r="B23507">
            <v>116308</v>
          </cell>
          <cell r="C23507" t="str">
            <v>Preston Candover Church of England Primary School</v>
          </cell>
          <cell r="D23507" t="str">
            <v>Hampshire</v>
          </cell>
          <cell r="E23507" t="str">
            <v>Voluntary Controlled School</v>
          </cell>
          <cell r="F23507" t="str">
            <v>Primary</v>
          </cell>
        </row>
        <row r="23508">
          <cell r="A23508">
            <v>9263084</v>
          </cell>
          <cell r="B23508">
            <v>121061</v>
          </cell>
          <cell r="C23508" t="str">
            <v>Preston Church of England Voluntary Controlled Primary School</v>
          </cell>
          <cell r="D23508" t="str">
            <v>Norfolk</v>
          </cell>
          <cell r="E23508" t="str">
            <v>Voluntary Controlled School</v>
          </cell>
          <cell r="F23508" t="str">
            <v>Primary</v>
          </cell>
        </row>
        <row r="23509">
          <cell r="A23509">
            <v>9333283</v>
          </cell>
          <cell r="B23509">
            <v>123819</v>
          </cell>
          <cell r="C23509" t="str">
            <v>Preston CofE VC Primary School</v>
          </cell>
          <cell r="D23509" t="str">
            <v>Somerset</v>
          </cell>
          <cell r="E23509" t="str">
            <v>Voluntary Controlled School</v>
          </cell>
          <cell r="F23509" t="str">
            <v>Primary</v>
          </cell>
        </row>
        <row r="23510">
          <cell r="A23510">
            <v>8888015</v>
          </cell>
          <cell r="B23510">
            <v>130740</v>
          </cell>
          <cell r="C23510" t="str">
            <v>Preston College</v>
          </cell>
          <cell r="D23510" t="str">
            <v>Lancashire</v>
          </cell>
          <cell r="E23510" t="str">
            <v>Further Education</v>
          </cell>
          <cell r="F23510" t="str">
            <v>16 Plus</v>
          </cell>
        </row>
        <row r="23511">
          <cell r="A23511">
            <v>3922026</v>
          </cell>
          <cell r="B23511">
            <v>108578</v>
          </cell>
          <cell r="C23511" t="str">
            <v>Preston Grange Primary School</v>
          </cell>
          <cell r="D23511" t="str">
            <v>North Tyneside</v>
          </cell>
          <cell r="E23511" t="str">
            <v>Community School</v>
          </cell>
          <cell r="F23511" t="str">
            <v>Primary</v>
          </cell>
        </row>
        <row r="23512">
          <cell r="A23512">
            <v>8882191</v>
          </cell>
          <cell r="B23512">
            <v>119232</v>
          </cell>
          <cell r="C23512" t="str">
            <v>Preston Grange Primary School</v>
          </cell>
          <cell r="D23512" t="str">
            <v>Lancashire</v>
          </cell>
          <cell r="E23512" t="str">
            <v>Community School</v>
          </cell>
          <cell r="F23512" t="str">
            <v>Primary</v>
          </cell>
        </row>
        <row r="23513">
          <cell r="A23513">
            <v>8882192</v>
          </cell>
          <cell r="B23513">
            <v>119233</v>
          </cell>
          <cell r="C23513" t="str">
            <v>Preston Greenlands Community Primary School</v>
          </cell>
          <cell r="D23513" t="str">
            <v>Lancashire</v>
          </cell>
          <cell r="E23513" t="str">
            <v>Community School</v>
          </cell>
          <cell r="F23513" t="str">
            <v>Primary</v>
          </cell>
        </row>
        <row r="23514">
          <cell r="A23514">
            <v>9282223</v>
          </cell>
          <cell r="B23514">
            <v>131123</v>
          </cell>
          <cell r="C23514" t="str">
            <v>Preston Hedges Primary School</v>
          </cell>
          <cell r="D23514" t="str">
            <v>Northamptonshire</v>
          </cell>
          <cell r="E23514" t="str">
            <v>Community School</v>
          </cell>
          <cell r="F23514" t="str">
            <v>Primary</v>
          </cell>
        </row>
        <row r="23515">
          <cell r="A23515">
            <v>3045410</v>
          </cell>
          <cell r="B23515">
            <v>101567</v>
          </cell>
          <cell r="C23515" t="str">
            <v>Preston Manor School</v>
          </cell>
          <cell r="D23515" t="str">
            <v>Brent</v>
          </cell>
          <cell r="E23515" t="str">
            <v>Foundation School</v>
          </cell>
          <cell r="F23515" t="str">
            <v>Secondary</v>
          </cell>
        </row>
        <row r="23516">
          <cell r="A23516">
            <v>8884001</v>
          </cell>
          <cell r="B23516">
            <v>136801</v>
          </cell>
          <cell r="C23516" t="str">
            <v>Preston Muslim Girls High School</v>
          </cell>
          <cell r="D23516" t="str">
            <v>Lancashire</v>
          </cell>
          <cell r="E23516" t="str">
            <v>Voluntary Aided School</v>
          </cell>
          <cell r="F23516" t="str">
            <v>Secondary</v>
          </cell>
        </row>
        <row r="23517">
          <cell r="A23517">
            <v>8886021</v>
          </cell>
          <cell r="B23517">
            <v>119846</v>
          </cell>
          <cell r="C23517" t="str">
            <v>Preston Muslim Girls' High School</v>
          </cell>
          <cell r="D23517" t="str">
            <v>Lancashire</v>
          </cell>
          <cell r="E23517" t="str">
            <v>Other Independent School</v>
          </cell>
          <cell r="F23517" t="str">
            <v>Not applicable</v>
          </cell>
        </row>
        <row r="23518">
          <cell r="A23518">
            <v>9236085</v>
          </cell>
          <cell r="B23518">
            <v>133136</v>
          </cell>
          <cell r="C23518" t="str">
            <v>Preston Muslim Girls' Secondary School</v>
          </cell>
          <cell r="D23518" t="str">
            <v>Pre LGR (1998) Lancashire</v>
          </cell>
          <cell r="E23518" t="str">
            <v>Other Independent School</v>
          </cell>
          <cell r="F23518" t="str">
            <v>Not applicable</v>
          </cell>
        </row>
        <row r="23519">
          <cell r="A23519">
            <v>888941</v>
          </cell>
          <cell r="B23519">
            <v>133648</v>
          </cell>
          <cell r="C23519" t="str">
            <v>Preston North End Learning and Community Centre</v>
          </cell>
          <cell r="D23519" t="str">
            <v>Lancashire</v>
          </cell>
          <cell r="E23519" t="str">
            <v>Playing for Success Centres</v>
          </cell>
          <cell r="F23519" t="str">
            <v>Not applicable</v>
          </cell>
        </row>
        <row r="23520">
          <cell r="A23520">
            <v>3042039</v>
          </cell>
          <cell r="B23520">
            <v>101510</v>
          </cell>
          <cell r="C23520" t="str">
            <v>Preston Park Primary School</v>
          </cell>
          <cell r="D23520" t="str">
            <v>Brent</v>
          </cell>
          <cell r="E23520" t="str">
            <v>Community School</v>
          </cell>
          <cell r="F23520" t="str">
            <v>Primary</v>
          </cell>
        </row>
        <row r="23521">
          <cell r="A23521">
            <v>8082022</v>
          </cell>
          <cell r="B23521">
            <v>111535</v>
          </cell>
          <cell r="C23521" t="str">
            <v>Preston Primary School</v>
          </cell>
          <cell r="D23521" t="str">
            <v>Stockton-on-Tees</v>
          </cell>
          <cell r="E23521" t="str">
            <v>Community School</v>
          </cell>
          <cell r="F23521" t="str">
            <v>Primary</v>
          </cell>
        </row>
        <row r="23522">
          <cell r="A23522">
            <v>8802464</v>
          </cell>
          <cell r="B23522">
            <v>113236</v>
          </cell>
          <cell r="C23522" t="str">
            <v>Preston Primary School</v>
          </cell>
          <cell r="D23522" t="str">
            <v>Torbay</v>
          </cell>
          <cell r="E23522" t="str">
            <v>Community School</v>
          </cell>
          <cell r="F23522" t="str">
            <v>Primary</v>
          </cell>
        </row>
        <row r="23523">
          <cell r="A23523">
            <v>9193034</v>
          </cell>
          <cell r="B23523">
            <v>117403</v>
          </cell>
          <cell r="C23523" t="str">
            <v>Preston Primary School</v>
          </cell>
          <cell r="D23523" t="str">
            <v>Hertfordshire</v>
          </cell>
          <cell r="E23523" t="str">
            <v>Voluntary Controlled School</v>
          </cell>
          <cell r="F23523" t="str">
            <v>Primary</v>
          </cell>
        </row>
        <row r="23524">
          <cell r="A23524">
            <v>8112744</v>
          </cell>
          <cell r="B23524">
            <v>117864</v>
          </cell>
          <cell r="C23524" t="str">
            <v>Preston Primary School</v>
          </cell>
          <cell r="D23524" t="str">
            <v>East Riding of Yorkshire</v>
          </cell>
          <cell r="E23524" t="str">
            <v>Community School</v>
          </cell>
          <cell r="F23524" t="str">
            <v>Primary</v>
          </cell>
        </row>
        <row r="23525">
          <cell r="A23525">
            <v>8862322</v>
          </cell>
          <cell r="B23525">
            <v>118401</v>
          </cell>
          <cell r="C23525" t="str">
            <v>Preston Primary School</v>
          </cell>
          <cell r="D23525" t="str">
            <v>Kent</v>
          </cell>
          <cell r="E23525" t="str">
            <v>Community School</v>
          </cell>
          <cell r="F23525" t="str">
            <v>Primary</v>
          </cell>
        </row>
        <row r="23526">
          <cell r="A23526">
            <v>9334455</v>
          </cell>
          <cell r="B23526">
            <v>123891</v>
          </cell>
          <cell r="C23526" t="str">
            <v>Preston School</v>
          </cell>
          <cell r="D23526" t="str">
            <v>Somerset</v>
          </cell>
          <cell r="E23526" t="str">
            <v>Community School</v>
          </cell>
          <cell r="F23526" t="str">
            <v>Secondary</v>
          </cell>
        </row>
        <row r="23527">
          <cell r="A23527">
            <v>9334455</v>
          </cell>
          <cell r="B23527">
            <v>136894</v>
          </cell>
          <cell r="C23527" t="str">
            <v>Preston School Academy</v>
          </cell>
          <cell r="D23527" t="str">
            <v>Somerset</v>
          </cell>
          <cell r="E23527" t="str">
            <v>Academy Converters</v>
          </cell>
          <cell r="F23527" t="str">
            <v>Secondary</v>
          </cell>
        </row>
        <row r="23528">
          <cell r="A23528">
            <v>8883636</v>
          </cell>
          <cell r="B23528">
            <v>119603</v>
          </cell>
          <cell r="C23528" t="str">
            <v>Preston St Matthew's Church of England Primary School</v>
          </cell>
          <cell r="D23528" t="str">
            <v>Lancashire</v>
          </cell>
          <cell r="E23528" t="str">
            <v>Voluntary Aided School</v>
          </cell>
          <cell r="F23528" t="str">
            <v>Primary</v>
          </cell>
        </row>
        <row r="23529">
          <cell r="A23529">
            <v>8881102</v>
          </cell>
          <cell r="B23529">
            <v>119105</v>
          </cell>
          <cell r="C23529" t="str">
            <v>Preston Tutorial Centre</v>
          </cell>
          <cell r="D23529" t="str">
            <v>Lancashire</v>
          </cell>
          <cell r="E23529" t="str">
            <v>Pupil Referral Unit</v>
          </cell>
          <cell r="F23529" t="str">
            <v>PRU</v>
          </cell>
        </row>
        <row r="23530">
          <cell r="A23530">
            <v>3514028</v>
          </cell>
          <cell r="B23530">
            <v>105362</v>
          </cell>
          <cell r="C23530" t="str">
            <v>Prestwich Arts College</v>
          </cell>
          <cell r="D23530" t="str">
            <v>Bury</v>
          </cell>
          <cell r="E23530" t="str">
            <v>Community School</v>
          </cell>
          <cell r="F23530" t="str">
            <v>Secondary</v>
          </cell>
        </row>
        <row r="23531">
          <cell r="A23531">
            <v>3516012</v>
          </cell>
          <cell r="B23531">
            <v>105997</v>
          </cell>
          <cell r="C23531" t="str">
            <v>Prestwich Preparatory School</v>
          </cell>
          <cell r="D23531" t="str">
            <v>Bury</v>
          </cell>
          <cell r="E23531" t="str">
            <v>Other Independent School</v>
          </cell>
          <cell r="F23531" t="str">
            <v>Not applicable</v>
          </cell>
        </row>
        <row r="23532">
          <cell r="A23532">
            <v>8252084</v>
          </cell>
          <cell r="B23532">
            <v>110247</v>
          </cell>
          <cell r="C23532" t="str">
            <v>Prestwood Infant School</v>
          </cell>
          <cell r="D23532" t="str">
            <v>Buckinghamshire</v>
          </cell>
          <cell r="E23532" t="str">
            <v>Community School</v>
          </cell>
          <cell r="F23532" t="str">
            <v>Primary</v>
          </cell>
        </row>
        <row r="23533">
          <cell r="A23533">
            <v>8252204</v>
          </cell>
          <cell r="B23533">
            <v>110304</v>
          </cell>
          <cell r="C23533" t="str">
            <v>Prestwood Junior School</v>
          </cell>
          <cell r="D23533" t="str">
            <v>Buckinghamshire</v>
          </cell>
          <cell r="E23533" t="str">
            <v>Community School</v>
          </cell>
          <cell r="F23533" t="str">
            <v>Primary</v>
          </cell>
        </row>
        <row r="23534">
          <cell r="A23534">
            <v>8257012</v>
          </cell>
          <cell r="B23534">
            <v>110577</v>
          </cell>
          <cell r="C23534" t="str">
            <v>Prestwood Lodge School</v>
          </cell>
          <cell r="D23534" t="str">
            <v>Buckinghamshire</v>
          </cell>
          <cell r="E23534" t="str">
            <v>Community Special School</v>
          </cell>
          <cell r="F23534" t="str">
            <v>Special</v>
          </cell>
        </row>
        <row r="23535">
          <cell r="A23535">
            <v>8812056</v>
          </cell>
          <cell r="B23535">
            <v>114744</v>
          </cell>
          <cell r="C23535" t="str">
            <v>Prettygate Infant School</v>
          </cell>
          <cell r="D23535" t="str">
            <v>Essex</v>
          </cell>
          <cell r="E23535" t="str">
            <v>Community School</v>
          </cell>
          <cell r="F23535" t="str">
            <v>Primary</v>
          </cell>
        </row>
        <row r="23536">
          <cell r="A23536">
            <v>8812055</v>
          </cell>
          <cell r="B23536">
            <v>114743</v>
          </cell>
          <cell r="C23536" t="str">
            <v>Prettygate Junior School</v>
          </cell>
          <cell r="D23536" t="str">
            <v>Essex</v>
          </cell>
          <cell r="E23536" t="str">
            <v>Community School</v>
          </cell>
          <cell r="F23536" t="str">
            <v>Primary</v>
          </cell>
        </row>
        <row r="23537">
          <cell r="A23537">
            <v>9332057</v>
          </cell>
          <cell r="B23537">
            <v>123658</v>
          </cell>
          <cell r="C23537" t="str">
            <v>Priddy Primary School</v>
          </cell>
          <cell r="D23537" t="str">
            <v>Somerset</v>
          </cell>
          <cell r="E23537" t="str">
            <v>Community School</v>
          </cell>
          <cell r="F23537" t="str">
            <v>Primary</v>
          </cell>
        </row>
        <row r="23538">
          <cell r="A23538">
            <v>3312046</v>
          </cell>
          <cell r="B23538">
            <v>127093</v>
          </cell>
          <cell r="C23538" t="str">
            <v>Pridmore Infant School</v>
          </cell>
          <cell r="D23538" t="str">
            <v>Coventry</v>
          </cell>
          <cell r="E23538" t="str">
            <v>Community School</v>
          </cell>
          <cell r="F23538" t="str">
            <v>Primary</v>
          </cell>
        </row>
        <row r="23539">
          <cell r="A23539">
            <v>3834110</v>
          </cell>
          <cell r="B23539">
            <v>108087</v>
          </cell>
          <cell r="C23539" t="str">
            <v>Priesthorpe School</v>
          </cell>
          <cell r="D23539" t="str">
            <v>Leeds</v>
          </cell>
          <cell r="E23539" t="str">
            <v>Community School</v>
          </cell>
          <cell r="F23539" t="str">
            <v>Secondary</v>
          </cell>
        </row>
        <row r="23540">
          <cell r="A23540">
            <v>8504129</v>
          </cell>
          <cell r="B23540">
            <v>116416</v>
          </cell>
          <cell r="C23540" t="str">
            <v>Priestlands School</v>
          </cell>
          <cell r="D23540" t="str">
            <v>Hampshire</v>
          </cell>
          <cell r="E23540" t="str">
            <v>Community School</v>
          </cell>
          <cell r="F23540" t="str">
            <v>Secondary</v>
          </cell>
        </row>
        <row r="23541">
          <cell r="A23541">
            <v>8504129</v>
          </cell>
          <cell r="B23541">
            <v>137129</v>
          </cell>
          <cell r="C23541" t="str">
            <v>Priestlands School</v>
          </cell>
          <cell r="D23541" t="str">
            <v>Hampshire</v>
          </cell>
          <cell r="E23541" t="str">
            <v>Academy Converters</v>
          </cell>
          <cell r="F23541" t="str">
            <v>Secondary</v>
          </cell>
        </row>
        <row r="23542">
          <cell r="A23542">
            <v>9064017</v>
          </cell>
          <cell r="B23542">
            <v>128468</v>
          </cell>
          <cell r="C23542" t="str">
            <v>Priestley College</v>
          </cell>
          <cell r="D23542" t="str">
            <v>Pre LGR (1998) Cheshire</v>
          </cell>
          <cell r="E23542" t="str">
            <v>Community School</v>
          </cell>
          <cell r="F23542" t="str">
            <v>Secondary</v>
          </cell>
        </row>
        <row r="23543">
          <cell r="A23543">
            <v>8778600</v>
          </cell>
          <cell r="B23543">
            <v>130624</v>
          </cell>
          <cell r="C23543" t="str">
            <v>Priestley College</v>
          </cell>
          <cell r="D23543" t="str">
            <v>Warrington</v>
          </cell>
          <cell r="E23543" t="str">
            <v>Further Education</v>
          </cell>
          <cell r="F23543" t="str">
            <v>16 Plus</v>
          </cell>
        </row>
        <row r="23544">
          <cell r="A23544">
            <v>8652168</v>
          </cell>
          <cell r="B23544">
            <v>126254</v>
          </cell>
          <cell r="C23544" t="str">
            <v>Priestley Primary School</v>
          </cell>
          <cell r="D23544" t="str">
            <v>Wiltshire</v>
          </cell>
          <cell r="E23544" t="str">
            <v>Community School</v>
          </cell>
          <cell r="F23544" t="str">
            <v>Primary</v>
          </cell>
        </row>
        <row r="23545">
          <cell r="A23545">
            <v>3307034</v>
          </cell>
          <cell r="B23545">
            <v>103614</v>
          </cell>
          <cell r="C23545" t="str">
            <v>Priestley Smith School</v>
          </cell>
          <cell r="D23545" t="str">
            <v>Birmingham</v>
          </cell>
          <cell r="E23545" t="str">
            <v>Community Special School</v>
          </cell>
          <cell r="F23545" t="str">
            <v>Special</v>
          </cell>
        </row>
        <row r="23546">
          <cell r="A23546">
            <v>3804011</v>
          </cell>
          <cell r="B23546">
            <v>107356</v>
          </cell>
          <cell r="C23546" t="str">
            <v>Priestman Middle School</v>
          </cell>
          <cell r="D23546" t="str">
            <v>Bradford</v>
          </cell>
          <cell r="E23546" t="str">
            <v>Community School</v>
          </cell>
          <cell r="F23546" t="str">
            <v>Middle Deemed Secondary</v>
          </cell>
        </row>
        <row r="23547">
          <cell r="A23547">
            <v>3102078</v>
          </cell>
          <cell r="B23547">
            <v>102208</v>
          </cell>
          <cell r="C23547" t="str">
            <v>Priestmead First School and Nursery</v>
          </cell>
          <cell r="D23547" t="str">
            <v>Harrow</v>
          </cell>
          <cell r="E23547" t="str">
            <v>Community School</v>
          </cell>
          <cell r="F23547" t="str">
            <v>Primary</v>
          </cell>
        </row>
        <row r="23548">
          <cell r="A23548">
            <v>3102061</v>
          </cell>
          <cell r="B23548">
            <v>102195</v>
          </cell>
          <cell r="C23548" t="str">
            <v>Priestmead Primary School and Nursery</v>
          </cell>
          <cell r="D23548" t="str">
            <v>Harrow</v>
          </cell>
          <cell r="E23548" t="str">
            <v>Community School</v>
          </cell>
          <cell r="F23548" t="str">
            <v>Primary</v>
          </cell>
        </row>
        <row r="23549">
          <cell r="A23549">
            <v>3564032</v>
          </cell>
          <cell r="B23549">
            <v>106133</v>
          </cell>
          <cell r="C23549" t="str">
            <v>Priestnall School</v>
          </cell>
          <cell r="D23549" t="str">
            <v>Stockport</v>
          </cell>
          <cell r="E23549" t="str">
            <v>Community School</v>
          </cell>
          <cell r="F23549" t="str">
            <v>Secondary</v>
          </cell>
        </row>
        <row r="23550">
          <cell r="A23550">
            <v>8912140</v>
          </cell>
          <cell r="B23550">
            <v>122468</v>
          </cell>
          <cell r="C23550" t="str">
            <v>Priestsic Primary and Nursery School</v>
          </cell>
          <cell r="D23550" t="str">
            <v>Nottinghamshire</v>
          </cell>
          <cell r="E23550" t="str">
            <v>Community School</v>
          </cell>
          <cell r="F23550" t="str">
            <v>Primary</v>
          </cell>
        </row>
        <row r="23551">
          <cell r="A23551">
            <v>3802115</v>
          </cell>
          <cell r="B23551">
            <v>107257</v>
          </cell>
          <cell r="C23551" t="str">
            <v>Priestthorpe Primary School</v>
          </cell>
          <cell r="D23551" t="str">
            <v>Bradford</v>
          </cell>
          <cell r="E23551" t="str">
            <v>Community School</v>
          </cell>
          <cell r="F23551" t="str">
            <v>Primary</v>
          </cell>
        </row>
        <row r="23552">
          <cell r="A23552">
            <v>8461102</v>
          </cell>
          <cell r="B23552">
            <v>114354</v>
          </cell>
          <cell r="C23552" t="str">
            <v>Primary Annexe</v>
          </cell>
          <cell r="D23552" t="str">
            <v>Brighton and Hove</v>
          </cell>
          <cell r="E23552" t="str">
            <v>Pupil Referral Unit</v>
          </cell>
          <cell r="F23552" t="str">
            <v>PRU</v>
          </cell>
        </row>
        <row r="23553">
          <cell r="A23553">
            <v>3581101</v>
          </cell>
          <cell r="B23553">
            <v>134047</v>
          </cell>
          <cell r="C23553" t="str">
            <v>Primary Behaviour Support</v>
          </cell>
          <cell r="D23553" t="str">
            <v>Trafford</v>
          </cell>
          <cell r="E23553" t="str">
            <v>Pupil Referral Unit</v>
          </cell>
          <cell r="F23553" t="str">
            <v>PRU</v>
          </cell>
        </row>
        <row r="23554">
          <cell r="A23554">
            <v>3411107</v>
          </cell>
          <cell r="B23554">
            <v>135655</v>
          </cell>
          <cell r="C23554" t="str">
            <v>Primary Centre</v>
          </cell>
          <cell r="D23554" t="str">
            <v>Liverpool</v>
          </cell>
          <cell r="E23554" t="str">
            <v>Pupil Referral Unit</v>
          </cell>
          <cell r="F23554" t="str">
            <v>PRU</v>
          </cell>
        </row>
        <row r="23555">
          <cell r="A23555">
            <v>6701100</v>
          </cell>
          <cell r="B23555">
            <v>401948</v>
          </cell>
          <cell r="C23555" t="str">
            <v>Primary Education Centre</v>
          </cell>
          <cell r="D23555" t="str">
            <v>Swansea</v>
          </cell>
          <cell r="E23555" t="str">
            <v>Welsh Establishment</v>
          </cell>
          <cell r="F23555" t="str">
            <v>Not applicable</v>
          </cell>
        </row>
        <row r="23556">
          <cell r="A23556">
            <v>3731105</v>
          </cell>
          <cell r="B23556">
            <v>134265</v>
          </cell>
          <cell r="C23556" t="str">
            <v>Primary Inclusion Centre</v>
          </cell>
          <cell r="D23556" t="str">
            <v>Sheffield</v>
          </cell>
          <cell r="E23556" t="str">
            <v>Pupil Referral Unit</v>
          </cell>
          <cell r="F23556" t="str">
            <v>PRU</v>
          </cell>
        </row>
        <row r="23557">
          <cell r="A23557">
            <v>3081105</v>
          </cell>
          <cell r="B23557">
            <v>131242</v>
          </cell>
          <cell r="C23557" t="str">
            <v>Primary Outreach and Offsite Behaviour Support Team</v>
          </cell>
          <cell r="D23557" t="str">
            <v>Enfield</v>
          </cell>
          <cell r="E23557" t="str">
            <v>Pupil Referral Unit</v>
          </cell>
          <cell r="F23557" t="str">
            <v>PRU</v>
          </cell>
        </row>
        <row r="23558">
          <cell r="A23558">
            <v>3821102</v>
          </cell>
          <cell r="B23558">
            <v>136140</v>
          </cell>
          <cell r="C23558" t="str">
            <v>Primary Pupil Referral Service</v>
          </cell>
          <cell r="D23558" t="str">
            <v>Kirklees</v>
          </cell>
          <cell r="E23558" t="str">
            <v>Pupil Referral Unit</v>
          </cell>
          <cell r="F23558" t="str">
            <v>PRU</v>
          </cell>
        </row>
        <row r="23559">
          <cell r="A23559">
            <v>2051106</v>
          </cell>
          <cell r="B23559">
            <v>131555</v>
          </cell>
          <cell r="C23559" t="str">
            <v>Primary Pupil Referral Unit</v>
          </cell>
          <cell r="D23559" t="str">
            <v>Hammersmith and Fulham</v>
          </cell>
          <cell r="E23559" t="str">
            <v>Pupil Referral Unit</v>
          </cell>
          <cell r="F23559" t="str">
            <v>PRU</v>
          </cell>
        </row>
        <row r="23560">
          <cell r="A23560">
            <v>3801103</v>
          </cell>
          <cell r="B23560">
            <v>133410</v>
          </cell>
          <cell r="C23560" t="str">
            <v>Primary Pupil Referral Unit</v>
          </cell>
          <cell r="D23560" t="str">
            <v>Bradford</v>
          </cell>
          <cell r="E23560" t="str">
            <v>Pupil Referral Unit</v>
          </cell>
          <cell r="F23560" t="str">
            <v>PRU</v>
          </cell>
        </row>
        <row r="23561">
          <cell r="A23561">
            <v>3921105</v>
          </cell>
          <cell r="B23561">
            <v>134025</v>
          </cell>
          <cell r="C23561" t="str">
            <v>Primary Resource Provision</v>
          </cell>
          <cell r="D23561" t="str">
            <v>North Tyneside</v>
          </cell>
          <cell r="E23561" t="str">
            <v>Pupil Referral Unit</v>
          </cell>
          <cell r="F23561" t="str">
            <v>PRU</v>
          </cell>
        </row>
        <row r="23562">
          <cell r="A23562">
            <v>8101100</v>
          </cell>
          <cell r="B23562">
            <v>117701</v>
          </cell>
          <cell r="C23562" t="str">
            <v>Primary Support Service</v>
          </cell>
          <cell r="D23562" t="str">
            <v>Kingston upon Hull City of</v>
          </cell>
          <cell r="E23562" t="str">
            <v>Pupil Referral Unit</v>
          </cell>
          <cell r="F23562" t="str">
            <v>PRU</v>
          </cell>
        </row>
        <row r="23563">
          <cell r="A23563">
            <v>3516013</v>
          </cell>
          <cell r="B23563">
            <v>131379</v>
          </cell>
          <cell r="C23563" t="str">
            <v>Primrose Cottage</v>
          </cell>
          <cell r="D23563" t="str">
            <v>Bury</v>
          </cell>
          <cell r="E23563" t="str">
            <v>Other Independent Special School</v>
          </cell>
          <cell r="F23563" t="str">
            <v>Not applicable</v>
          </cell>
        </row>
        <row r="23564">
          <cell r="A23564">
            <v>3834044</v>
          </cell>
          <cell r="B23564">
            <v>108062</v>
          </cell>
          <cell r="C23564" t="str">
            <v>Primrose High School</v>
          </cell>
          <cell r="D23564" t="str">
            <v>Leeds</v>
          </cell>
          <cell r="E23564" t="str">
            <v>Community School</v>
          </cell>
          <cell r="F23564" t="str">
            <v>Secondary</v>
          </cell>
        </row>
        <row r="23565">
          <cell r="A23565">
            <v>3834437</v>
          </cell>
          <cell r="B23565">
            <v>128000</v>
          </cell>
          <cell r="C23565" t="str">
            <v>Primrose High School</v>
          </cell>
          <cell r="D23565" t="str">
            <v>Leeds</v>
          </cell>
          <cell r="E23565" t="str">
            <v>Community School</v>
          </cell>
          <cell r="F23565" t="str">
            <v>Secondary</v>
          </cell>
        </row>
        <row r="23566">
          <cell r="A23566">
            <v>9165202</v>
          </cell>
          <cell r="B23566">
            <v>115732</v>
          </cell>
          <cell r="C23566" t="str">
            <v>Primrose Hill CofE Primary School</v>
          </cell>
          <cell r="D23566" t="str">
            <v>Gloucestershire</v>
          </cell>
          <cell r="E23566" t="str">
            <v>Foundation School</v>
          </cell>
          <cell r="F23566" t="str">
            <v>Primary</v>
          </cell>
        </row>
        <row r="23567">
          <cell r="A23567">
            <v>3302277</v>
          </cell>
          <cell r="B23567">
            <v>103309</v>
          </cell>
          <cell r="C23567" t="str">
            <v>Primrose Hill Community School</v>
          </cell>
          <cell r="D23567" t="str">
            <v>Birmingham</v>
          </cell>
          <cell r="E23567" t="str">
            <v>Community School</v>
          </cell>
          <cell r="F23567" t="str">
            <v>Primary</v>
          </cell>
        </row>
        <row r="23568">
          <cell r="A23568">
            <v>2022476</v>
          </cell>
          <cell r="B23568">
            <v>126567</v>
          </cell>
          <cell r="C23568" t="str">
            <v>Primrose Hill Infant School</v>
          </cell>
          <cell r="D23568" t="str">
            <v>Camden</v>
          </cell>
          <cell r="E23568" t="str">
            <v>Community School</v>
          </cell>
          <cell r="F23568" t="str">
            <v>Primary</v>
          </cell>
        </row>
        <row r="23569">
          <cell r="A23569">
            <v>3553803</v>
          </cell>
          <cell r="B23569">
            <v>129466</v>
          </cell>
          <cell r="C23569" t="str">
            <v>Primrose Hill Primary School and Children's Centre</v>
          </cell>
          <cell r="D23569" t="str">
            <v>Salford</v>
          </cell>
          <cell r="E23569" t="str">
            <v>Community School</v>
          </cell>
          <cell r="F23569" t="str">
            <v>Primary</v>
          </cell>
        </row>
        <row r="23570">
          <cell r="A23570">
            <v>2022475</v>
          </cell>
          <cell r="B23570">
            <v>100020</v>
          </cell>
          <cell r="C23570" t="str">
            <v>Primrose Hill School</v>
          </cell>
          <cell r="D23570" t="str">
            <v>Camden</v>
          </cell>
          <cell r="E23570" t="str">
            <v>Community School</v>
          </cell>
          <cell r="F23570" t="str">
            <v>Primary</v>
          </cell>
        </row>
        <row r="23571">
          <cell r="A23571">
            <v>9077002</v>
          </cell>
          <cell r="B23571">
            <v>128527</v>
          </cell>
          <cell r="C23571" t="str">
            <v>Primrose Hill School</v>
          </cell>
          <cell r="D23571" t="str">
            <v>Pre LGR (1996) Cleveland</v>
          </cell>
          <cell r="E23571" t="str">
            <v>Community Special School</v>
          </cell>
          <cell r="F23571" t="str">
            <v>Special</v>
          </cell>
        </row>
        <row r="23572">
          <cell r="A23572">
            <v>2066375</v>
          </cell>
          <cell r="B23572">
            <v>100464</v>
          </cell>
          <cell r="C23572" t="str">
            <v>Primrose Independent School</v>
          </cell>
          <cell r="D23572" t="str">
            <v>Islington</v>
          </cell>
          <cell r="E23572" t="str">
            <v>Other Independent School</v>
          </cell>
          <cell r="F23572" t="str">
            <v>Not applicable</v>
          </cell>
        </row>
        <row r="23573">
          <cell r="A23573">
            <v>9276082</v>
          </cell>
          <cell r="B23573">
            <v>129680</v>
          </cell>
          <cell r="C23573" t="str">
            <v>Primrose Lane Independent School</v>
          </cell>
          <cell r="D23573" t="str">
            <v>Pre LGR (1996) North Yorkshire</v>
          </cell>
          <cell r="E23573" t="str">
            <v>Other Independent School</v>
          </cell>
          <cell r="F23573" t="str">
            <v>Not applicable</v>
          </cell>
        </row>
        <row r="23574">
          <cell r="A23574">
            <v>3832389</v>
          </cell>
          <cell r="B23574">
            <v>107869</v>
          </cell>
          <cell r="C23574" t="str">
            <v>Primrose Lane Primary School</v>
          </cell>
          <cell r="D23574" t="str">
            <v>Leeds</v>
          </cell>
          <cell r="E23574" t="str">
            <v>Community School</v>
          </cell>
          <cell r="F23574" t="str">
            <v>Primary</v>
          </cell>
        </row>
        <row r="23575">
          <cell r="A23575">
            <v>3302003</v>
          </cell>
          <cell r="B23575">
            <v>103154</v>
          </cell>
          <cell r="C23575" t="str">
            <v>Prince Albert Junior and Infant School</v>
          </cell>
          <cell r="D23575" t="str">
            <v>Birmingham</v>
          </cell>
          <cell r="E23575" t="str">
            <v>Community School</v>
          </cell>
          <cell r="F23575" t="str">
            <v>Primary</v>
          </cell>
        </row>
        <row r="23576">
          <cell r="A23576">
            <v>8825268</v>
          </cell>
          <cell r="B23576">
            <v>115308</v>
          </cell>
          <cell r="C23576" t="str">
            <v>Prince Avenue Primary Foundation School and Nursery</v>
          </cell>
          <cell r="D23576" t="str">
            <v>Southend-on-Sea</v>
          </cell>
          <cell r="E23576" t="str">
            <v>Foundation School</v>
          </cell>
          <cell r="F23576" t="str">
            <v>Primary</v>
          </cell>
        </row>
        <row r="23577">
          <cell r="A23577">
            <v>8067004</v>
          </cell>
          <cell r="B23577">
            <v>111774</v>
          </cell>
          <cell r="C23577" t="str">
            <v>Prince Bishop School</v>
          </cell>
          <cell r="D23577" t="str">
            <v>Middlesbrough</v>
          </cell>
          <cell r="E23577" t="str">
            <v>Community Special School</v>
          </cell>
          <cell r="F23577" t="str">
            <v>Special</v>
          </cell>
        </row>
        <row r="23578">
          <cell r="A23578">
            <v>8403516</v>
          </cell>
          <cell r="B23578">
            <v>134855</v>
          </cell>
          <cell r="C23578" t="str">
            <v>Prince Bishops Community Primary School</v>
          </cell>
          <cell r="D23578" t="str">
            <v>Durham</v>
          </cell>
          <cell r="E23578" t="str">
            <v>Community School</v>
          </cell>
          <cell r="F23578" t="str">
            <v>Primary</v>
          </cell>
        </row>
        <row r="23579">
          <cell r="A23579">
            <v>3732103</v>
          </cell>
          <cell r="B23579">
            <v>127660</v>
          </cell>
          <cell r="C23579" t="str">
            <v>Prince Edward Middle School</v>
          </cell>
          <cell r="D23579" t="str">
            <v>Sheffield</v>
          </cell>
          <cell r="E23579" t="str">
            <v>Community School</v>
          </cell>
          <cell r="F23579" t="str">
            <v>Middle Deemed Primary</v>
          </cell>
        </row>
        <row r="23580">
          <cell r="A23580">
            <v>3732104</v>
          </cell>
          <cell r="B23580">
            <v>127661</v>
          </cell>
          <cell r="C23580" t="str">
            <v>Prince Edward Nursery and First School</v>
          </cell>
          <cell r="D23580" t="str">
            <v>Sheffield</v>
          </cell>
          <cell r="E23580" t="str">
            <v>Community School</v>
          </cell>
          <cell r="F23580" t="str">
            <v>Primary</v>
          </cell>
        </row>
        <row r="23581">
          <cell r="A23581">
            <v>3732347</v>
          </cell>
          <cell r="B23581">
            <v>107090</v>
          </cell>
          <cell r="C23581" t="str">
            <v>Prince Edward Primary School</v>
          </cell>
          <cell r="D23581" t="str">
            <v>Sheffield</v>
          </cell>
          <cell r="E23581" t="str">
            <v>Community School</v>
          </cell>
          <cell r="F23581" t="str">
            <v>Primary</v>
          </cell>
        </row>
        <row r="23582">
          <cell r="A23582">
            <v>8855403</v>
          </cell>
          <cell r="B23582">
            <v>117000</v>
          </cell>
          <cell r="C23582" t="str">
            <v>Prince Henry's High School</v>
          </cell>
          <cell r="D23582" t="str">
            <v>Worcestershire</v>
          </cell>
          <cell r="E23582" t="str">
            <v>Foundation School</v>
          </cell>
          <cell r="F23582" t="str">
            <v>Secondary</v>
          </cell>
        </row>
        <row r="23583">
          <cell r="A23583">
            <v>8855403</v>
          </cell>
          <cell r="B23583">
            <v>136469</v>
          </cell>
          <cell r="C23583" t="str">
            <v>Prince Henry's High School</v>
          </cell>
          <cell r="D23583" t="str">
            <v>Worcestershire</v>
          </cell>
          <cell r="E23583" t="str">
            <v>Academy Converters</v>
          </cell>
          <cell r="F23583" t="str">
            <v>Secondary</v>
          </cell>
        </row>
        <row r="23584">
          <cell r="A23584">
            <v>3082053</v>
          </cell>
          <cell r="B23584">
            <v>102002</v>
          </cell>
          <cell r="C23584" t="str">
            <v>Prince of Wales Primary School</v>
          </cell>
          <cell r="D23584" t="str">
            <v>Enfield</v>
          </cell>
          <cell r="E23584" t="str">
            <v>Community School</v>
          </cell>
          <cell r="F23584" t="str">
            <v>Primary</v>
          </cell>
        </row>
        <row r="23585">
          <cell r="A23585">
            <v>9112650</v>
          </cell>
          <cell r="B23585">
            <v>128701</v>
          </cell>
          <cell r="C23585" t="str">
            <v>Prince Rock Infant School</v>
          </cell>
          <cell r="D23585" t="str">
            <v>Pre LGR (1998) Devon</v>
          </cell>
          <cell r="E23585" t="str">
            <v>Community School</v>
          </cell>
          <cell r="F23585" t="str">
            <v>Primary</v>
          </cell>
        </row>
        <row r="23586">
          <cell r="A23586">
            <v>9112649</v>
          </cell>
          <cell r="B23586">
            <v>128700</v>
          </cell>
          <cell r="C23586" t="str">
            <v>Prince Rock Junior School</v>
          </cell>
          <cell r="D23586" t="str">
            <v>Pre LGR (1998) Devon</v>
          </cell>
          <cell r="E23586" t="str">
            <v>Community School</v>
          </cell>
          <cell r="F23586" t="str">
            <v>Primary</v>
          </cell>
        </row>
        <row r="23587">
          <cell r="A23587">
            <v>8792724</v>
          </cell>
          <cell r="B23587">
            <v>113344</v>
          </cell>
          <cell r="C23587" t="str">
            <v>Prince Rock Primary School</v>
          </cell>
          <cell r="D23587" t="str">
            <v>Plymouth</v>
          </cell>
          <cell r="E23587" t="str">
            <v>Community School</v>
          </cell>
          <cell r="F23587" t="str">
            <v>Primary</v>
          </cell>
        </row>
        <row r="23588">
          <cell r="A23588">
            <v>7024005</v>
          </cell>
          <cell r="B23588">
            <v>132389</v>
          </cell>
          <cell r="C23588" t="str">
            <v>Prince Rupert School</v>
          </cell>
          <cell r="D23588" t="str">
            <v>BFPO Overseas Establishments</v>
          </cell>
          <cell r="E23588" t="str">
            <v>Service Childrens Education</v>
          </cell>
          <cell r="F23588" t="str">
            <v>Not applicable</v>
          </cell>
        </row>
        <row r="23589">
          <cell r="A23589">
            <v>9284052</v>
          </cell>
          <cell r="B23589">
            <v>122064</v>
          </cell>
          <cell r="C23589" t="str">
            <v>Prince William School</v>
          </cell>
          <cell r="D23589" t="str">
            <v>Northamptonshire</v>
          </cell>
          <cell r="E23589" t="str">
            <v>Community School</v>
          </cell>
          <cell r="F23589" t="str">
            <v>Secondary</v>
          </cell>
        </row>
        <row r="23590">
          <cell r="A23590">
            <v>8652178</v>
          </cell>
          <cell r="B23590">
            <v>126259</v>
          </cell>
          <cell r="C23590" t="str">
            <v>Princecroft Primary School</v>
          </cell>
          <cell r="D23590" t="str">
            <v>Wiltshire</v>
          </cell>
          <cell r="E23590" t="str">
            <v>Community School</v>
          </cell>
          <cell r="F23590" t="str">
            <v>Primary</v>
          </cell>
        </row>
        <row r="23591">
          <cell r="A23591">
            <v>8602362</v>
          </cell>
          <cell r="B23591">
            <v>124173</v>
          </cell>
          <cell r="C23591" t="str">
            <v>Princefield First School</v>
          </cell>
          <cell r="D23591" t="str">
            <v>Staffordshire</v>
          </cell>
          <cell r="E23591" t="str">
            <v>Community School</v>
          </cell>
          <cell r="F23591" t="str">
            <v>Primary</v>
          </cell>
        </row>
        <row r="23592">
          <cell r="A23592">
            <v>8936022</v>
          </cell>
          <cell r="B23592">
            <v>123626</v>
          </cell>
          <cell r="C23592" t="str">
            <v>Prince-Phillimore School</v>
          </cell>
          <cell r="D23592" t="str">
            <v>Shropshire</v>
          </cell>
          <cell r="E23592" t="str">
            <v>Other Independent School</v>
          </cell>
          <cell r="F23592" t="str">
            <v>Not applicable</v>
          </cell>
        </row>
        <row r="23593">
          <cell r="A23593">
            <v>9326085</v>
          </cell>
          <cell r="B23593">
            <v>133139</v>
          </cell>
          <cell r="C23593" t="str">
            <v>Prince-Phillimore School</v>
          </cell>
          <cell r="D23593" t="str">
            <v>Pre LGR (1998) Shropshire</v>
          </cell>
          <cell r="E23593" t="str">
            <v>Other Independent School</v>
          </cell>
          <cell r="F23593" t="str">
            <v>Not applicable</v>
          </cell>
        </row>
        <row r="23594">
          <cell r="A23594">
            <v>3332165</v>
          </cell>
          <cell r="B23594">
            <v>103971</v>
          </cell>
          <cell r="C23594" t="str">
            <v>Princes End Primary School</v>
          </cell>
          <cell r="D23594" t="str">
            <v>Sandwell</v>
          </cell>
          <cell r="E23594" t="str">
            <v>Community School</v>
          </cell>
          <cell r="F23594" t="str">
            <v>Primary</v>
          </cell>
        </row>
        <row r="23595">
          <cell r="A23595">
            <v>8506002</v>
          </cell>
          <cell r="B23595">
            <v>116552</v>
          </cell>
          <cell r="C23595" t="str">
            <v>Princes Mead School</v>
          </cell>
          <cell r="D23595" t="str">
            <v>Hampshire</v>
          </cell>
          <cell r="E23595" t="str">
            <v>Other Independent School</v>
          </cell>
          <cell r="F23595" t="str">
            <v>Not applicable</v>
          </cell>
        </row>
        <row r="23596">
          <cell r="A23596">
            <v>3052019</v>
          </cell>
          <cell r="B23596">
            <v>101600</v>
          </cell>
          <cell r="C23596" t="str">
            <v>Princes Plain Primary School</v>
          </cell>
          <cell r="D23596" t="str">
            <v>Bromley</v>
          </cell>
          <cell r="E23596" t="str">
            <v>Community School</v>
          </cell>
          <cell r="F23596" t="str">
            <v>Primary</v>
          </cell>
        </row>
        <row r="23597">
          <cell r="A23597">
            <v>8254036</v>
          </cell>
          <cell r="B23597">
            <v>110489</v>
          </cell>
          <cell r="C23597" t="str">
            <v>Princes Risborough</v>
          </cell>
          <cell r="D23597" t="str">
            <v>Buckinghamshire</v>
          </cell>
          <cell r="E23597" t="str">
            <v>Community School</v>
          </cell>
          <cell r="F23597" t="str">
            <v>Secondary</v>
          </cell>
        </row>
        <row r="23598">
          <cell r="A23598">
            <v>8254036</v>
          </cell>
          <cell r="B23598">
            <v>137372</v>
          </cell>
          <cell r="C23598" t="str">
            <v>Princes Risborough</v>
          </cell>
          <cell r="D23598" t="str">
            <v>Buckinghamshire</v>
          </cell>
          <cell r="E23598" t="str">
            <v>Academy Converters</v>
          </cell>
          <cell r="F23598" t="str">
            <v>Secondary</v>
          </cell>
        </row>
        <row r="23599">
          <cell r="A23599">
            <v>8252011</v>
          </cell>
          <cell r="B23599">
            <v>133513</v>
          </cell>
          <cell r="C23599" t="str">
            <v>Princes Risborough Primary School</v>
          </cell>
          <cell r="D23599" t="str">
            <v>Buckinghamshire</v>
          </cell>
          <cell r="E23599" t="str">
            <v>Community School</v>
          </cell>
          <cell r="F23599" t="str">
            <v>Primary</v>
          </cell>
        </row>
        <row r="23600">
          <cell r="A23600">
            <v>3417063</v>
          </cell>
          <cell r="B23600">
            <v>104750</v>
          </cell>
          <cell r="C23600" t="str">
            <v>Princes School</v>
          </cell>
          <cell r="D23600" t="str">
            <v>Liverpool</v>
          </cell>
          <cell r="E23600" t="str">
            <v>Community Special School</v>
          </cell>
          <cell r="F23600" t="str">
            <v>Special</v>
          </cell>
        </row>
        <row r="23601">
          <cell r="A23601">
            <v>3417053</v>
          </cell>
          <cell r="B23601">
            <v>132853</v>
          </cell>
          <cell r="C23601" t="str">
            <v>Princes School</v>
          </cell>
          <cell r="D23601" t="str">
            <v>Liverpool</v>
          </cell>
          <cell r="E23601" t="str">
            <v>Community Special School</v>
          </cell>
          <cell r="F23601" t="str">
            <v>Special</v>
          </cell>
        </row>
        <row r="23602">
          <cell r="A23602">
            <v>3522336</v>
          </cell>
          <cell r="B23602">
            <v>131364</v>
          </cell>
          <cell r="C23602" t="str">
            <v>Princess County Primary School</v>
          </cell>
          <cell r="D23602" t="str">
            <v>Manchester</v>
          </cell>
          <cell r="E23602" t="str">
            <v>Community School</v>
          </cell>
          <cell r="F23602" t="str">
            <v>Primary</v>
          </cell>
        </row>
        <row r="23603">
          <cell r="A23603">
            <v>3043303</v>
          </cell>
          <cell r="B23603">
            <v>101535</v>
          </cell>
          <cell r="C23603" t="str">
            <v>Princess Frederica CofE Primary School</v>
          </cell>
          <cell r="D23603" t="str">
            <v>Brent</v>
          </cell>
          <cell r="E23603" t="str">
            <v>Voluntary Aided School</v>
          </cell>
          <cell r="F23603" t="str">
            <v>Primary</v>
          </cell>
        </row>
        <row r="23604">
          <cell r="A23604">
            <v>9196033</v>
          </cell>
          <cell r="B23604">
            <v>117614</v>
          </cell>
          <cell r="C23604" t="str">
            <v>Princess Helena College</v>
          </cell>
          <cell r="D23604" t="str">
            <v>Hertfordshire</v>
          </cell>
          <cell r="E23604" t="str">
            <v>Other Independent School</v>
          </cell>
          <cell r="F23604" t="str">
            <v>Not applicable</v>
          </cell>
        </row>
        <row r="23605">
          <cell r="A23605">
            <v>3522223</v>
          </cell>
          <cell r="B23605">
            <v>105447</v>
          </cell>
          <cell r="C23605" t="str">
            <v>Princess Infant School</v>
          </cell>
          <cell r="D23605" t="str">
            <v>Manchester</v>
          </cell>
          <cell r="E23605" t="str">
            <v>Community School</v>
          </cell>
          <cell r="F23605" t="str">
            <v>Primary</v>
          </cell>
        </row>
        <row r="23606">
          <cell r="A23606">
            <v>3522221</v>
          </cell>
          <cell r="B23606">
            <v>105446</v>
          </cell>
          <cell r="C23606" t="str">
            <v>Princess Junior School</v>
          </cell>
          <cell r="D23606" t="str">
            <v>Manchester</v>
          </cell>
          <cell r="E23606" t="str">
            <v>Community School</v>
          </cell>
          <cell r="F23606" t="str">
            <v>Primary</v>
          </cell>
        </row>
        <row r="23607">
          <cell r="A23607">
            <v>9337008</v>
          </cell>
          <cell r="B23607">
            <v>123941</v>
          </cell>
          <cell r="C23607" t="str">
            <v>Princess Margaret School</v>
          </cell>
          <cell r="D23607" t="str">
            <v>Somerset</v>
          </cell>
          <cell r="E23607" t="str">
            <v>Non-Maintained Special School</v>
          </cell>
          <cell r="F23607" t="str">
            <v>Special</v>
          </cell>
        </row>
        <row r="23608">
          <cell r="A23608">
            <v>9287013</v>
          </cell>
          <cell r="B23608">
            <v>129703</v>
          </cell>
          <cell r="C23608" t="str">
            <v>Princess Marina Hospital School</v>
          </cell>
          <cell r="D23608" t="str">
            <v>Northamptonshire</v>
          </cell>
          <cell r="E23608" t="str">
            <v>Community Special School</v>
          </cell>
          <cell r="F23608" t="str">
            <v>Special</v>
          </cell>
        </row>
        <row r="23609">
          <cell r="A23609">
            <v>2042479</v>
          </cell>
          <cell r="B23609">
            <v>126603</v>
          </cell>
          <cell r="C23609" t="str">
            <v>Princess May Infants' School</v>
          </cell>
          <cell r="D23609" t="str">
            <v>Hackney</v>
          </cell>
          <cell r="E23609" t="str">
            <v>Community School</v>
          </cell>
          <cell r="F23609" t="str">
            <v>Primary</v>
          </cell>
        </row>
        <row r="23610">
          <cell r="A23610">
            <v>2042477</v>
          </cell>
          <cell r="B23610">
            <v>126602</v>
          </cell>
          <cell r="C23610" t="str">
            <v>Princess May Junior School</v>
          </cell>
          <cell r="D23610" t="str">
            <v>Hackney</v>
          </cell>
          <cell r="E23610" t="str">
            <v>Community School</v>
          </cell>
          <cell r="F23610" t="str">
            <v>Primary</v>
          </cell>
        </row>
        <row r="23611">
          <cell r="A23611">
            <v>2042532</v>
          </cell>
          <cell r="B23611">
            <v>100239</v>
          </cell>
          <cell r="C23611" t="str">
            <v>Princess May Primary School</v>
          </cell>
          <cell r="D23611" t="str">
            <v>Hackney</v>
          </cell>
          <cell r="E23611" t="str">
            <v>Community School</v>
          </cell>
          <cell r="F23611" t="str">
            <v>Primary</v>
          </cell>
        </row>
        <row r="23612">
          <cell r="A23612">
            <v>8402047</v>
          </cell>
          <cell r="B23612">
            <v>113999</v>
          </cell>
          <cell r="C23612" t="str">
            <v>Princess Road Junior School</v>
          </cell>
          <cell r="D23612" t="str">
            <v>Durham</v>
          </cell>
          <cell r="E23612" t="str">
            <v>Community School</v>
          </cell>
          <cell r="F23612" t="str">
            <v>Primary</v>
          </cell>
        </row>
        <row r="23613">
          <cell r="A23613">
            <v>3432015</v>
          </cell>
          <cell r="B23613">
            <v>127362</v>
          </cell>
          <cell r="C23613" t="str">
            <v>Princess Royal County Primary School</v>
          </cell>
          <cell r="D23613" t="str">
            <v>Sefton</v>
          </cell>
          <cell r="E23613" t="str">
            <v>Community School</v>
          </cell>
          <cell r="F23613" t="str">
            <v>Primary</v>
          </cell>
        </row>
        <row r="23614">
          <cell r="A23614">
            <v>9376084</v>
          </cell>
          <cell r="B23614">
            <v>125787</v>
          </cell>
          <cell r="C23614" t="str">
            <v>Princethorpe College</v>
          </cell>
          <cell r="D23614" t="str">
            <v>Warwickshire</v>
          </cell>
          <cell r="E23614" t="str">
            <v>Other Independent School</v>
          </cell>
          <cell r="F23614" t="str">
            <v>Not applicable</v>
          </cell>
        </row>
        <row r="23615">
          <cell r="A23615">
            <v>3302156</v>
          </cell>
          <cell r="B23615">
            <v>103245</v>
          </cell>
          <cell r="C23615" t="str">
            <v>Princethorpe Infant School</v>
          </cell>
          <cell r="D23615" t="str">
            <v>Birmingham</v>
          </cell>
          <cell r="E23615" t="str">
            <v>Community School</v>
          </cell>
          <cell r="F23615" t="str">
            <v>Primary</v>
          </cell>
        </row>
        <row r="23616">
          <cell r="A23616">
            <v>3302155</v>
          </cell>
          <cell r="B23616">
            <v>103244</v>
          </cell>
          <cell r="C23616" t="str">
            <v>Princethorpe Junior School</v>
          </cell>
          <cell r="D23616" t="str">
            <v>Birmingham</v>
          </cell>
          <cell r="E23616" t="str">
            <v>Community School</v>
          </cell>
          <cell r="F23616" t="str">
            <v>Primary</v>
          </cell>
        </row>
        <row r="23617">
          <cell r="A23617">
            <v>8782617</v>
          </cell>
          <cell r="B23617">
            <v>113261</v>
          </cell>
          <cell r="C23617" t="str">
            <v>Princetown Primary</v>
          </cell>
          <cell r="D23617" t="str">
            <v>Devon</v>
          </cell>
          <cell r="E23617" t="str">
            <v>Community School</v>
          </cell>
          <cell r="F23617" t="str">
            <v>Primary</v>
          </cell>
        </row>
        <row r="23618">
          <cell r="A23618">
            <v>3802086</v>
          </cell>
          <cell r="B23618">
            <v>107239</v>
          </cell>
          <cell r="C23618" t="str">
            <v>Princeville Primary School</v>
          </cell>
          <cell r="D23618" t="str">
            <v>Bradford</v>
          </cell>
          <cell r="E23618" t="str">
            <v>Community School</v>
          </cell>
          <cell r="F23618" t="str">
            <v>Primary</v>
          </cell>
        </row>
        <row r="23619">
          <cell r="A23619">
            <v>9362359</v>
          </cell>
          <cell r="B23619">
            <v>125028</v>
          </cell>
          <cell r="C23619" t="str">
            <v>Prior Heath Infant School</v>
          </cell>
          <cell r="D23619" t="str">
            <v>Surrey</v>
          </cell>
          <cell r="E23619" t="str">
            <v>Community School</v>
          </cell>
          <cell r="F23619" t="str">
            <v>Primary</v>
          </cell>
        </row>
        <row r="23620">
          <cell r="A23620">
            <v>8006001</v>
          </cell>
          <cell r="B23620">
            <v>109347</v>
          </cell>
          <cell r="C23620" t="str">
            <v>Prior Park College</v>
          </cell>
          <cell r="D23620" t="str">
            <v>Bath and North East Somerset</v>
          </cell>
          <cell r="E23620" t="str">
            <v>Other Independent School</v>
          </cell>
          <cell r="F23620" t="str">
            <v>Not applicable</v>
          </cell>
        </row>
        <row r="23621">
          <cell r="A23621">
            <v>8656028</v>
          </cell>
          <cell r="B23621">
            <v>126533</v>
          </cell>
          <cell r="C23621" t="str">
            <v>Prior Park Preparatory School</v>
          </cell>
          <cell r="D23621" t="str">
            <v>Wiltshire</v>
          </cell>
          <cell r="E23621" t="str">
            <v>Other Independent School</v>
          </cell>
          <cell r="F23621" t="str">
            <v>Not applicable</v>
          </cell>
        </row>
        <row r="23622">
          <cell r="A23622">
            <v>9074598</v>
          </cell>
          <cell r="B23622">
            <v>128520</v>
          </cell>
          <cell r="C23622" t="str">
            <v>Prior Pursglove College</v>
          </cell>
          <cell r="D23622" t="str">
            <v>Pre LGR (1996) Cleveland</v>
          </cell>
          <cell r="E23622" t="str">
            <v>Voluntary Controlled School</v>
          </cell>
          <cell r="F23622" t="str">
            <v>Secondary</v>
          </cell>
        </row>
        <row r="23623">
          <cell r="A23623">
            <v>8078606</v>
          </cell>
          <cell r="B23623">
            <v>130575</v>
          </cell>
          <cell r="C23623" t="str">
            <v>Prior Pursglove College</v>
          </cell>
          <cell r="D23623" t="str">
            <v>Redcar and Cleveland</v>
          </cell>
          <cell r="E23623" t="str">
            <v>Further Education</v>
          </cell>
          <cell r="F23623" t="str">
            <v>16 Plus</v>
          </cell>
        </row>
        <row r="23624">
          <cell r="A23624">
            <v>2062850</v>
          </cell>
          <cell r="B23624">
            <v>100434</v>
          </cell>
          <cell r="C23624" t="str">
            <v>Prior Weston Primary School and Children's Centre</v>
          </cell>
          <cell r="D23624" t="str">
            <v>Islington</v>
          </cell>
          <cell r="E23624" t="str">
            <v>Community School</v>
          </cell>
          <cell r="F23624" t="str">
            <v>Primary</v>
          </cell>
        </row>
        <row r="23625">
          <cell r="A23625">
            <v>8696008</v>
          </cell>
          <cell r="B23625">
            <v>110166</v>
          </cell>
          <cell r="C23625" t="str">
            <v>Priors Court School</v>
          </cell>
          <cell r="D23625" t="str">
            <v>West Berkshire</v>
          </cell>
          <cell r="E23625" t="str">
            <v>Other Independent School</v>
          </cell>
          <cell r="F23625" t="str">
            <v>Not applicable</v>
          </cell>
        </row>
        <row r="23626">
          <cell r="A23626">
            <v>8696014</v>
          </cell>
          <cell r="B23626">
            <v>132003</v>
          </cell>
          <cell r="C23626" t="str">
            <v>Priors Court School</v>
          </cell>
          <cell r="D23626" t="str">
            <v>West Berkshire</v>
          </cell>
          <cell r="E23626" t="str">
            <v>Other Independent Special School</v>
          </cell>
          <cell r="F23626" t="str">
            <v>Not applicable</v>
          </cell>
        </row>
        <row r="23627">
          <cell r="A23627">
            <v>9372605</v>
          </cell>
          <cell r="B23627">
            <v>125609</v>
          </cell>
          <cell r="C23627" t="str">
            <v>Priors Field Primary School</v>
          </cell>
          <cell r="D23627" t="str">
            <v>Warwickshire</v>
          </cell>
          <cell r="E23627" t="str">
            <v>Community School</v>
          </cell>
          <cell r="F23627" t="str">
            <v>Primary</v>
          </cell>
        </row>
        <row r="23628">
          <cell r="A23628">
            <v>9366010</v>
          </cell>
          <cell r="B23628">
            <v>125322</v>
          </cell>
          <cell r="C23628" t="str">
            <v>Prior's Field School</v>
          </cell>
          <cell r="D23628" t="str">
            <v>Surrey</v>
          </cell>
          <cell r="E23628" t="str">
            <v>Other Independent School</v>
          </cell>
          <cell r="F23628" t="str">
            <v>Not applicable</v>
          </cell>
        </row>
        <row r="23629">
          <cell r="A23629">
            <v>9373054</v>
          </cell>
          <cell r="B23629">
            <v>125644</v>
          </cell>
          <cell r="C23629" t="str">
            <v>Priors Marston CofE First School</v>
          </cell>
          <cell r="D23629" t="str">
            <v>Warwickshire</v>
          </cell>
          <cell r="E23629" t="str">
            <v>Voluntary Controlled School</v>
          </cell>
          <cell r="F23629" t="str">
            <v>Primary</v>
          </cell>
        </row>
        <row r="23630">
          <cell r="A23630">
            <v>8083000</v>
          </cell>
          <cell r="B23630">
            <v>111667</v>
          </cell>
          <cell r="C23630" t="str">
            <v>Prior's Mill Church of England Controlled Primary School, Billingham</v>
          </cell>
          <cell r="D23630" t="str">
            <v>Stockton-on-Tees</v>
          </cell>
          <cell r="E23630" t="str">
            <v>Voluntary Controlled School</v>
          </cell>
          <cell r="F23630" t="str">
            <v>Primary</v>
          </cell>
        </row>
        <row r="23631">
          <cell r="A23631">
            <v>9192316</v>
          </cell>
          <cell r="B23631">
            <v>117271</v>
          </cell>
          <cell r="C23631" t="str">
            <v>Priors Wood Primary School</v>
          </cell>
          <cell r="D23631" t="str">
            <v>Hertfordshire</v>
          </cell>
          <cell r="E23631" t="str">
            <v>Community School</v>
          </cell>
          <cell r="F23631" t="str">
            <v>Primary</v>
          </cell>
        </row>
        <row r="23632">
          <cell r="A23632">
            <v>8942181</v>
          </cell>
          <cell r="B23632">
            <v>123449</v>
          </cell>
          <cell r="C23632" t="str">
            <v>Priorslee Primary School</v>
          </cell>
          <cell r="D23632" t="str">
            <v>Telford and Wrekin</v>
          </cell>
          <cell r="E23632" t="str">
            <v>Community School</v>
          </cell>
          <cell r="F23632" t="str">
            <v>Primary</v>
          </cell>
        </row>
        <row r="23633">
          <cell r="A23633">
            <v>8942181</v>
          </cell>
          <cell r="B23633">
            <v>136439</v>
          </cell>
          <cell r="C23633" t="str">
            <v>Priorslee Primary School</v>
          </cell>
          <cell r="D23633" t="str">
            <v>Telford and Wrekin</v>
          </cell>
          <cell r="E23633" t="str">
            <v>Academy Converters</v>
          </cell>
          <cell r="F23633" t="str">
            <v>Primary</v>
          </cell>
        </row>
        <row r="23634">
          <cell r="A23634">
            <v>9332219</v>
          </cell>
          <cell r="B23634">
            <v>123709</v>
          </cell>
          <cell r="C23634" t="str">
            <v>Priorswood Primary School</v>
          </cell>
          <cell r="D23634" t="str">
            <v>Somerset</v>
          </cell>
          <cell r="E23634" t="str">
            <v>Community School</v>
          </cell>
          <cell r="F23634" t="str">
            <v>Primary</v>
          </cell>
        </row>
        <row r="23635">
          <cell r="A23635">
            <v>6663318</v>
          </cell>
          <cell r="B23635">
            <v>400568</v>
          </cell>
          <cell r="C23635" t="str">
            <v>Priory C.I.W. School</v>
          </cell>
          <cell r="D23635" t="str">
            <v>Powys</v>
          </cell>
          <cell r="E23635" t="str">
            <v>Welsh Establishment</v>
          </cell>
          <cell r="F23635" t="str">
            <v>Primary</v>
          </cell>
        </row>
        <row r="23636">
          <cell r="A23636">
            <v>8913763</v>
          </cell>
          <cell r="B23636">
            <v>122815</v>
          </cell>
          <cell r="C23636" t="str">
            <v>Priory Catholic Primary School, Eastwood</v>
          </cell>
          <cell r="D23636" t="str">
            <v>Nottinghamshire</v>
          </cell>
          <cell r="E23636" t="str">
            <v>Voluntary Aided School</v>
          </cell>
          <cell r="F23636" t="str">
            <v>Primary</v>
          </cell>
        </row>
        <row r="23637">
          <cell r="A23637">
            <v>9256906</v>
          </cell>
          <cell r="B23637">
            <v>135564</v>
          </cell>
          <cell r="C23637" t="str">
            <v>Priory City of Lincoln Academy</v>
          </cell>
          <cell r="D23637" t="str">
            <v>Lincolnshire</v>
          </cell>
          <cell r="E23637" t="str">
            <v>Academy Sponsor Led</v>
          </cell>
          <cell r="F23637" t="str">
            <v>Secondary</v>
          </cell>
        </row>
        <row r="23638">
          <cell r="A23638">
            <v>8613019</v>
          </cell>
          <cell r="B23638">
            <v>124228</v>
          </cell>
          <cell r="C23638" t="str">
            <v>Priory CofE (C) Infant School</v>
          </cell>
          <cell r="D23638" t="str">
            <v>Stoke-on-Trent</v>
          </cell>
          <cell r="E23638" t="str">
            <v>Voluntary Controlled School</v>
          </cell>
          <cell r="F23638" t="str">
            <v>Primary</v>
          </cell>
        </row>
        <row r="23639">
          <cell r="A23639">
            <v>8613021</v>
          </cell>
          <cell r="B23639">
            <v>124230</v>
          </cell>
          <cell r="C23639" t="str">
            <v>Priory CofE (C) Junior School</v>
          </cell>
          <cell r="D23639" t="str">
            <v>Stoke-on-Trent</v>
          </cell>
          <cell r="E23639" t="str">
            <v>Voluntary Controlled School</v>
          </cell>
          <cell r="F23639" t="str">
            <v>Primary</v>
          </cell>
        </row>
        <row r="23640">
          <cell r="A23640">
            <v>3154601</v>
          </cell>
          <cell r="B23640">
            <v>126968</v>
          </cell>
          <cell r="C23640" t="str">
            <v>Priory CofE Middle School</v>
          </cell>
          <cell r="D23640" t="str">
            <v>Merton</v>
          </cell>
          <cell r="E23640" t="str">
            <v>Voluntary Aided School</v>
          </cell>
          <cell r="F23640" t="str">
            <v>Middle Deemed Secondary</v>
          </cell>
        </row>
        <row r="23641">
          <cell r="A23641">
            <v>8612000</v>
          </cell>
          <cell r="B23641">
            <v>132240</v>
          </cell>
          <cell r="C23641" t="str">
            <v>Priory CofE Primary School</v>
          </cell>
          <cell r="D23641" t="str">
            <v>Stoke-on-Trent</v>
          </cell>
          <cell r="E23641" t="str">
            <v>Voluntary Controlled School</v>
          </cell>
          <cell r="F23641" t="str">
            <v>Primary</v>
          </cell>
        </row>
        <row r="23642">
          <cell r="A23642">
            <v>9056053</v>
          </cell>
          <cell r="B23642">
            <v>128386</v>
          </cell>
          <cell r="C23642" t="str">
            <v>Priory College</v>
          </cell>
          <cell r="D23642" t="str">
            <v>Pre LGR (1998) Cambridgeshire</v>
          </cell>
          <cell r="E23642" t="str">
            <v>Other Independent School</v>
          </cell>
          <cell r="F23642" t="str">
            <v>Not applicable</v>
          </cell>
        </row>
        <row r="23643">
          <cell r="A23643">
            <v>9256036</v>
          </cell>
          <cell r="B23643">
            <v>129601</v>
          </cell>
          <cell r="C23643" t="str">
            <v>Priory College</v>
          </cell>
          <cell r="D23643" t="str">
            <v>Lincolnshire</v>
          </cell>
          <cell r="E23643" t="str">
            <v>Other Independent School</v>
          </cell>
          <cell r="F23643" t="str">
            <v>Not applicable</v>
          </cell>
        </row>
        <row r="23644">
          <cell r="A23644">
            <v>8262322</v>
          </cell>
          <cell r="B23644">
            <v>110380</v>
          </cell>
          <cell r="C23644" t="str">
            <v>Priory Common School</v>
          </cell>
          <cell r="D23644" t="str">
            <v>Milton Keynes</v>
          </cell>
          <cell r="E23644" t="str">
            <v>Community School</v>
          </cell>
          <cell r="F23644" t="str">
            <v>Primary</v>
          </cell>
        </row>
        <row r="23645">
          <cell r="A23645">
            <v>8024143</v>
          </cell>
          <cell r="B23645">
            <v>109316</v>
          </cell>
          <cell r="C23645" t="str">
            <v>Priory Community School</v>
          </cell>
          <cell r="D23645" t="str">
            <v>North Somerset</v>
          </cell>
          <cell r="E23645" t="str">
            <v>Foundation School</v>
          </cell>
          <cell r="F23645" t="str">
            <v>Secondary</v>
          </cell>
        </row>
        <row r="23646">
          <cell r="A23646">
            <v>8024143</v>
          </cell>
          <cell r="B23646">
            <v>137300</v>
          </cell>
          <cell r="C23646" t="str">
            <v>Priory Community School</v>
          </cell>
          <cell r="D23646" t="str">
            <v>North Somerset</v>
          </cell>
          <cell r="E23646" t="str">
            <v>Academy Converters</v>
          </cell>
          <cell r="F23646" t="str">
            <v>Secondary</v>
          </cell>
        </row>
        <row r="23647">
          <cell r="A23647">
            <v>8862309</v>
          </cell>
          <cell r="B23647">
            <v>118391</v>
          </cell>
          <cell r="C23647" t="str">
            <v>Priory Fields School</v>
          </cell>
          <cell r="D23647" t="str">
            <v>Kent</v>
          </cell>
          <cell r="E23647" t="str">
            <v>Community School</v>
          </cell>
          <cell r="F23647" t="str">
            <v>Primary</v>
          </cell>
        </row>
        <row r="23648">
          <cell r="A23648">
            <v>3362095</v>
          </cell>
          <cell r="B23648">
            <v>104337</v>
          </cell>
          <cell r="C23648" t="str">
            <v>Priory Green Junior School</v>
          </cell>
          <cell r="D23648" t="str">
            <v>Wolverhampton</v>
          </cell>
          <cell r="E23648" t="str">
            <v>Community School</v>
          </cell>
          <cell r="F23648" t="str">
            <v>Primary</v>
          </cell>
        </row>
        <row r="23649">
          <cell r="A23649">
            <v>3362096</v>
          </cell>
          <cell r="B23649">
            <v>104338</v>
          </cell>
          <cell r="C23649" t="str">
            <v>Priory Green Primary School</v>
          </cell>
          <cell r="D23649" t="str">
            <v>Wolverhampton</v>
          </cell>
          <cell r="E23649" t="str">
            <v>Community School</v>
          </cell>
          <cell r="F23649" t="str">
            <v>Primary</v>
          </cell>
        </row>
        <row r="23650">
          <cell r="A23650">
            <v>9092503</v>
          </cell>
          <cell r="B23650">
            <v>112200</v>
          </cell>
          <cell r="C23650" t="str">
            <v>Priory Grove Infant School</v>
          </cell>
          <cell r="D23650" t="str">
            <v>Cumbria</v>
          </cell>
          <cell r="E23650" t="str">
            <v>Community School</v>
          </cell>
          <cell r="F23650" t="str">
            <v>Primary</v>
          </cell>
        </row>
        <row r="23651">
          <cell r="A23651">
            <v>2096124</v>
          </cell>
          <cell r="B23651">
            <v>100755</v>
          </cell>
          <cell r="C23651" t="str">
            <v>Priory House Private School</v>
          </cell>
          <cell r="D23651" t="str">
            <v>Lewisham</v>
          </cell>
          <cell r="E23651" t="str">
            <v>Other Independent School</v>
          </cell>
          <cell r="F23651" t="str">
            <v>Not applicable</v>
          </cell>
        </row>
        <row r="23652">
          <cell r="A23652">
            <v>8416006</v>
          </cell>
          <cell r="B23652">
            <v>137511</v>
          </cell>
          <cell r="C23652" t="str">
            <v>Priory Hurworth House</v>
          </cell>
          <cell r="D23652" t="str">
            <v>Darlington</v>
          </cell>
          <cell r="E23652" t="str">
            <v>Other Independent Special School</v>
          </cell>
          <cell r="F23652" t="str">
            <v>Not applicable</v>
          </cell>
        </row>
        <row r="23653">
          <cell r="A23653">
            <v>8732111</v>
          </cell>
          <cell r="B23653">
            <v>110660</v>
          </cell>
          <cell r="C23653" t="str">
            <v>Priory Infant School</v>
          </cell>
          <cell r="D23653" t="str">
            <v>Cambridgeshire</v>
          </cell>
          <cell r="E23653" t="str">
            <v>Community School</v>
          </cell>
          <cell r="F23653" t="str">
            <v>Primary</v>
          </cell>
        </row>
        <row r="23654">
          <cell r="A23654">
            <v>8862345</v>
          </cell>
          <cell r="B23654">
            <v>118416</v>
          </cell>
          <cell r="C23654" t="str">
            <v>Priory Infant School</v>
          </cell>
          <cell r="D23654" t="str">
            <v>Kent</v>
          </cell>
          <cell r="E23654" t="str">
            <v>Community School</v>
          </cell>
          <cell r="F23654" t="str">
            <v>Primary</v>
          </cell>
        </row>
        <row r="23655">
          <cell r="A23655">
            <v>3352048</v>
          </cell>
          <cell r="B23655">
            <v>104173</v>
          </cell>
          <cell r="C23655" t="str">
            <v>Priory Junior Mixed and Infant School</v>
          </cell>
          <cell r="D23655" t="str">
            <v>Walsall</v>
          </cell>
          <cell r="E23655" t="str">
            <v>Community School</v>
          </cell>
          <cell r="F23655" t="str">
            <v>Primary</v>
          </cell>
        </row>
        <row r="23656">
          <cell r="A23656">
            <v>8732110</v>
          </cell>
          <cell r="B23656">
            <v>110659</v>
          </cell>
          <cell r="C23656" t="str">
            <v>Priory Junior School</v>
          </cell>
          <cell r="D23656" t="str">
            <v>Cambridgeshire</v>
          </cell>
          <cell r="E23656" t="str">
            <v>Community School</v>
          </cell>
          <cell r="F23656" t="str">
            <v>Primary</v>
          </cell>
        </row>
        <row r="23657">
          <cell r="A23657">
            <v>8732239</v>
          </cell>
          <cell r="B23657">
            <v>110702</v>
          </cell>
          <cell r="C23657" t="str">
            <v>Priory Junior School</v>
          </cell>
          <cell r="D23657" t="str">
            <v>Cambridgeshire</v>
          </cell>
          <cell r="E23657" t="str">
            <v>Community School</v>
          </cell>
          <cell r="F23657" t="str">
            <v>Primary</v>
          </cell>
        </row>
        <row r="23658">
          <cell r="A23658">
            <v>8912238</v>
          </cell>
          <cell r="B23658">
            <v>122531</v>
          </cell>
          <cell r="C23658" t="str">
            <v>Priory Junior School</v>
          </cell>
          <cell r="D23658" t="str">
            <v>Nottinghamshire</v>
          </cell>
          <cell r="E23658" t="str">
            <v>Community School</v>
          </cell>
          <cell r="F23658" t="str">
            <v>Primary</v>
          </cell>
        </row>
        <row r="23659">
          <cell r="A23659">
            <v>8132143</v>
          </cell>
          <cell r="B23659">
            <v>117756</v>
          </cell>
          <cell r="C23659" t="str">
            <v>Priory Lane Infant School</v>
          </cell>
          <cell r="D23659" t="str">
            <v>North Lincolnshire</v>
          </cell>
          <cell r="E23659" t="str">
            <v>Community School</v>
          </cell>
          <cell r="F23659" t="str">
            <v>Primary</v>
          </cell>
        </row>
        <row r="23660">
          <cell r="A23660">
            <v>8132146</v>
          </cell>
          <cell r="B23660">
            <v>117759</v>
          </cell>
          <cell r="C23660" t="str">
            <v>Priory Lane Junior School</v>
          </cell>
          <cell r="D23660" t="str">
            <v>North Lincolnshire</v>
          </cell>
          <cell r="E23660" t="str">
            <v>Community School</v>
          </cell>
          <cell r="F23660" t="str">
            <v>Primary</v>
          </cell>
        </row>
        <row r="23661">
          <cell r="A23661">
            <v>8222013</v>
          </cell>
          <cell r="B23661">
            <v>109436</v>
          </cell>
          <cell r="C23661" t="str">
            <v>Priory Lower School</v>
          </cell>
          <cell r="D23661" t="str">
            <v>Bedford</v>
          </cell>
          <cell r="E23661" t="str">
            <v>Foundation School</v>
          </cell>
          <cell r="F23661" t="str">
            <v>Primary</v>
          </cell>
        </row>
        <row r="23662">
          <cell r="A23662">
            <v>9157061</v>
          </cell>
          <cell r="B23662">
            <v>128936</v>
          </cell>
          <cell r="C23662" t="str">
            <v>Priory Meadow School</v>
          </cell>
          <cell r="D23662" t="str">
            <v>Pre LGR (1998) Essex</v>
          </cell>
          <cell r="E23662" t="str">
            <v>Community Special School</v>
          </cell>
          <cell r="F23662" t="str">
            <v>Special</v>
          </cell>
        </row>
        <row r="23663">
          <cell r="A23663">
            <v>8234007</v>
          </cell>
          <cell r="B23663">
            <v>109647</v>
          </cell>
          <cell r="C23663" t="str">
            <v>Priory Middle School</v>
          </cell>
          <cell r="D23663" t="str">
            <v>Central Bedfordshire</v>
          </cell>
          <cell r="E23663" t="str">
            <v>Community School</v>
          </cell>
          <cell r="F23663" t="str">
            <v>Middle Deemed Secondary</v>
          </cell>
        </row>
        <row r="23664">
          <cell r="A23664">
            <v>8732219</v>
          </cell>
          <cell r="B23664">
            <v>110687</v>
          </cell>
          <cell r="C23664" t="str">
            <v>Priory Park Infant School</v>
          </cell>
          <cell r="D23664" t="str">
            <v>Cambridgeshire</v>
          </cell>
          <cell r="E23664" t="str">
            <v>Community School</v>
          </cell>
          <cell r="F23664" t="str">
            <v>Primary</v>
          </cell>
        </row>
        <row r="23665">
          <cell r="A23665">
            <v>8416005</v>
          </cell>
          <cell r="B23665">
            <v>136953</v>
          </cell>
          <cell r="C23665" t="str">
            <v>Priory Pines House</v>
          </cell>
          <cell r="D23665" t="str">
            <v>Darlington</v>
          </cell>
          <cell r="E23665" t="str">
            <v>Other Independent Special School</v>
          </cell>
          <cell r="F23665" t="str">
            <v>Not applicable</v>
          </cell>
        </row>
        <row r="23666">
          <cell r="A23666">
            <v>9256010</v>
          </cell>
          <cell r="B23666">
            <v>120723</v>
          </cell>
          <cell r="C23666" t="str">
            <v>Priory Preparatory School</v>
          </cell>
          <cell r="D23666" t="str">
            <v>Lincolnshire</v>
          </cell>
          <cell r="E23666" t="str">
            <v>Other Independent School</v>
          </cell>
          <cell r="F23666" t="str">
            <v>Not applicable</v>
          </cell>
        </row>
        <row r="23667">
          <cell r="A23667">
            <v>3322154</v>
          </cell>
          <cell r="B23667">
            <v>103831</v>
          </cell>
          <cell r="C23667" t="str">
            <v>Priory Primary School</v>
          </cell>
          <cell r="D23667" t="str">
            <v>Dudley</v>
          </cell>
          <cell r="E23667" t="str">
            <v>Community School</v>
          </cell>
          <cell r="F23667" t="str">
            <v>Primary</v>
          </cell>
        </row>
        <row r="23668">
          <cell r="A23668">
            <v>3922002</v>
          </cell>
          <cell r="B23668">
            <v>108570</v>
          </cell>
          <cell r="C23668" t="str">
            <v>Priory Primary School</v>
          </cell>
          <cell r="D23668" t="str">
            <v>North Tyneside</v>
          </cell>
          <cell r="E23668" t="str">
            <v>Community School</v>
          </cell>
          <cell r="F23668" t="str">
            <v>Primary</v>
          </cell>
        </row>
        <row r="23669">
          <cell r="A23669">
            <v>8102566</v>
          </cell>
          <cell r="B23669">
            <v>117810</v>
          </cell>
          <cell r="C23669" t="str">
            <v>Priory Primary School</v>
          </cell>
          <cell r="D23669" t="str">
            <v>Kingston upon Hull City of</v>
          </cell>
          <cell r="E23669" t="str">
            <v>Community School</v>
          </cell>
          <cell r="F23669" t="str">
            <v>Primary</v>
          </cell>
        </row>
        <row r="23670">
          <cell r="A23670">
            <v>8812799</v>
          </cell>
          <cell r="B23670">
            <v>115000</v>
          </cell>
          <cell r="C23670" t="str">
            <v>Priory Primary School, Bicknacre</v>
          </cell>
          <cell r="D23670" t="str">
            <v>Essex</v>
          </cell>
          <cell r="E23670" t="str">
            <v>Community School</v>
          </cell>
          <cell r="F23670" t="str">
            <v>Primary</v>
          </cell>
        </row>
        <row r="23671">
          <cell r="A23671">
            <v>8263392</v>
          </cell>
          <cell r="B23671">
            <v>135272</v>
          </cell>
          <cell r="C23671" t="str">
            <v>Priory Rise School</v>
          </cell>
          <cell r="D23671" t="str">
            <v>Milton Keynes</v>
          </cell>
          <cell r="E23671" t="str">
            <v>Community School</v>
          </cell>
          <cell r="F23671" t="str">
            <v>Primary</v>
          </cell>
        </row>
        <row r="23672">
          <cell r="A23672">
            <v>8803617</v>
          </cell>
          <cell r="B23672">
            <v>113474</v>
          </cell>
          <cell r="C23672" t="str">
            <v>Priory Roman Catholic Primary School, Torquay</v>
          </cell>
          <cell r="D23672" t="str">
            <v>Torbay</v>
          </cell>
          <cell r="E23672" t="str">
            <v>Voluntary Aided School</v>
          </cell>
          <cell r="F23672" t="str">
            <v>Primary</v>
          </cell>
        </row>
        <row r="23673">
          <cell r="A23673">
            <v>3067008</v>
          </cell>
          <cell r="B23673">
            <v>101856</v>
          </cell>
          <cell r="C23673" t="str">
            <v>Priory School</v>
          </cell>
          <cell r="D23673" t="str">
            <v>Croydon</v>
          </cell>
          <cell r="E23673" t="str">
            <v>Community Special School</v>
          </cell>
          <cell r="F23673" t="str">
            <v>Special</v>
          </cell>
        </row>
        <row r="23674">
          <cell r="A23674">
            <v>3587007</v>
          </cell>
          <cell r="B23674">
            <v>106396</v>
          </cell>
          <cell r="C23674" t="str">
            <v>Priory School</v>
          </cell>
          <cell r="D23674" t="str">
            <v>Trafford</v>
          </cell>
          <cell r="E23674" t="str">
            <v>Community Special School</v>
          </cell>
          <cell r="F23674" t="str">
            <v>Special</v>
          </cell>
        </row>
        <row r="23675">
          <cell r="A23675">
            <v>8715201</v>
          </cell>
          <cell r="B23675">
            <v>110089</v>
          </cell>
          <cell r="C23675" t="str">
            <v>Priory School</v>
          </cell>
          <cell r="D23675" t="str">
            <v>Slough</v>
          </cell>
          <cell r="E23675" t="str">
            <v>Foundation School</v>
          </cell>
          <cell r="F23675" t="str">
            <v>Primary</v>
          </cell>
        </row>
        <row r="23676">
          <cell r="A23676">
            <v>8454047</v>
          </cell>
          <cell r="B23676">
            <v>114598</v>
          </cell>
          <cell r="C23676" t="str">
            <v>Priory School</v>
          </cell>
          <cell r="D23676" t="str">
            <v>East Sussex</v>
          </cell>
          <cell r="E23676" t="str">
            <v>Community School</v>
          </cell>
          <cell r="F23676" t="str">
            <v>Secondary</v>
          </cell>
        </row>
        <row r="23677">
          <cell r="A23677">
            <v>8827003</v>
          </cell>
          <cell r="B23677">
            <v>115443</v>
          </cell>
          <cell r="C23677" t="str">
            <v>Priory School</v>
          </cell>
          <cell r="D23677" t="str">
            <v>Southend-on-Sea</v>
          </cell>
          <cell r="E23677" t="str">
            <v>Community Special School</v>
          </cell>
          <cell r="F23677" t="str">
            <v>Special</v>
          </cell>
        </row>
        <row r="23678">
          <cell r="A23678">
            <v>9216041</v>
          </cell>
          <cell r="B23678">
            <v>118225</v>
          </cell>
          <cell r="C23678" t="str">
            <v>Priory School</v>
          </cell>
          <cell r="D23678" t="str">
            <v>Isle of Wight</v>
          </cell>
          <cell r="E23678" t="str">
            <v>Other Independent School</v>
          </cell>
          <cell r="F23678" t="str">
            <v>Not applicable</v>
          </cell>
        </row>
        <row r="23679">
          <cell r="A23679">
            <v>9357000</v>
          </cell>
          <cell r="B23679">
            <v>124901</v>
          </cell>
          <cell r="C23679" t="str">
            <v>Priory School</v>
          </cell>
          <cell r="D23679" t="str">
            <v>Suffolk</v>
          </cell>
          <cell r="E23679" t="str">
            <v>Community Special School</v>
          </cell>
          <cell r="F23679" t="str">
            <v>Special</v>
          </cell>
        </row>
        <row r="23680">
          <cell r="A23680">
            <v>9366002</v>
          </cell>
          <cell r="B23680">
            <v>125319</v>
          </cell>
          <cell r="C23680" t="str">
            <v>Priory School</v>
          </cell>
          <cell r="D23680" t="str">
            <v>Surrey</v>
          </cell>
          <cell r="E23680" t="str">
            <v>Other Independent School</v>
          </cell>
          <cell r="F23680" t="str">
            <v>Not applicable</v>
          </cell>
        </row>
        <row r="23681">
          <cell r="A23681">
            <v>9367017</v>
          </cell>
          <cell r="B23681">
            <v>130136</v>
          </cell>
          <cell r="C23681" t="str">
            <v>Priory School</v>
          </cell>
          <cell r="D23681" t="str">
            <v>Surrey</v>
          </cell>
          <cell r="E23681" t="str">
            <v>Community Special School</v>
          </cell>
          <cell r="F23681" t="str">
            <v>Special</v>
          </cell>
        </row>
        <row r="23682">
          <cell r="A23682">
            <v>9357000</v>
          </cell>
          <cell r="B23682">
            <v>137433</v>
          </cell>
          <cell r="C23682" t="str">
            <v>Priory School</v>
          </cell>
          <cell r="D23682" t="str">
            <v>Suffolk</v>
          </cell>
          <cell r="E23682" t="str">
            <v>Academy Converters</v>
          </cell>
          <cell r="F23682" t="str">
            <v>Not applicable</v>
          </cell>
        </row>
        <row r="23683">
          <cell r="A23683">
            <v>8514283</v>
          </cell>
          <cell r="B23683">
            <v>116459</v>
          </cell>
          <cell r="C23683" t="str">
            <v>Priory School (Specialist Sports College)</v>
          </cell>
          <cell r="D23683" t="str">
            <v>Portsmouth</v>
          </cell>
          <cell r="E23683" t="str">
            <v>Community School</v>
          </cell>
          <cell r="F23683" t="str">
            <v>Secondary</v>
          </cell>
        </row>
        <row r="23684">
          <cell r="A23684">
            <v>3704005</v>
          </cell>
          <cell r="B23684">
            <v>106646</v>
          </cell>
          <cell r="C23684" t="str">
            <v>Priory School and Sports College</v>
          </cell>
          <cell r="D23684" t="str">
            <v>Barnsley</v>
          </cell>
          <cell r="E23684" t="str">
            <v>Community School</v>
          </cell>
          <cell r="F23684" t="str">
            <v>Secondary</v>
          </cell>
        </row>
        <row r="23685">
          <cell r="A23685">
            <v>8884135</v>
          </cell>
          <cell r="B23685">
            <v>119739</v>
          </cell>
          <cell r="C23685" t="str">
            <v>Priory Sports and Technology College, Penwortham</v>
          </cell>
          <cell r="D23685" t="str">
            <v>Lancashire</v>
          </cell>
          <cell r="E23685" t="str">
            <v>Community School</v>
          </cell>
          <cell r="F23685" t="str">
            <v>Secondary</v>
          </cell>
        </row>
        <row r="23686">
          <cell r="A23686">
            <v>9256905</v>
          </cell>
          <cell r="B23686">
            <v>135563</v>
          </cell>
          <cell r="C23686" t="str">
            <v>Priory Witham Academy</v>
          </cell>
          <cell r="D23686" t="str">
            <v>Lincolnshire</v>
          </cell>
          <cell r="E23686" t="str">
            <v>Academy Sponsor Led</v>
          </cell>
          <cell r="F23686" t="str">
            <v>Not applicable</v>
          </cell>
        </row>
        <row r="23687">
          <cell r="A23687">
            <v>8067025</v>
          </cell>
          <cell r="B23687">
            <v>111783</v>
          </cell>
          <cell r="C23687" t="str">
            <v>Priory Woods</v>
          </cell>
          <cell r="D23687" t="str">
            <v>Middlesbrough</v>
          </cell>
          <cell r="E23687" t="str">
            <v>Community Special School</v>
          </cell>
          <cell r="F23687" t="str">
            <v>Special</v>
          </cell>
        </row>
        <row r="23688">
          <cell r="A23688">
            <v>8067000</v>
          </cell>
          <cell r="B23688">
            <v>131425</v>
          </cell>
          <cell r="C23688" t="str">
            <v>Priory Woods School</v>
          </cell>
          <cell r="D23688" t="str">
            <v>Middlesbrough</v>
          </cell>
          <cell r="E23688" t="str">
            <v>Community Special School</v>
          </cell>
          <cell r="F23688" t="str">
            <v>Special</v>
          </cell>
        </row>
        <row r="23689">
          <cell r="A23689">
            <v>3719900</v>
          </cell>
          <cell r="B23689">
            <v>133041</v>
          </cell>
          <cell r="C23689" t="str">
            <v>Private Tutorial Studies</v>
          </cell>
          <cell r="D23689" t="str">
            <v>Doncaster</v>
          </cell>
          <cell r="E23689" t="str">
            <v>Miscellaneous</v>
          </cell>
          <cell r="F23689" t="str">
            <v>Not applicable</v>
          </cell>
        </row>
        <row r="23690">
          <cell r="A23690">
            <v>3716012</v>
          </cell>
          <cell r="B23690">
            <v>134495</v>
          </cell>
          <cell r="C23690" t="str">
            <v>Private Tutorial Studies</v>
          </cell>
          <cell r="D23690" t="str">
            <v>Doncaster</v>
          </cell>
          <cell r="E23690" t="str">
            <v>Other Independent School</v>
          </cell>
          <cell r="F23690" t="str">
            <v>Not applicable</v>
          </cell>
        </row>
        <row r="23691">
          <cell r="A23691">
            <v>9082310</v>
          </cell>
          <cell r="B23691">
            <v>111865</v>
          </cell>
          <cell r="C23691" t="str">
            <v>Probus Community Primary School</v>
          </cell>
          <cell r="D23691" t="str">
            <v>Cornwall</v>
          </cell>
          <cell r="E23691" t="str">
            <v>Community School</v>
          </cell>
          <cell r="F23691" t="str">
            <v>Primary</v>
          </cell>
        </row>
        <row r="23692">
          <cell r="A23692">
            <v>3081103</v>
          </cell>
          <cell r="B23692">
            <v>101975</v>
          </cell>
          <cell r="C23692" t="str">
            <v>Progress Centre</v>
          </cell>
          <cell r="D23692" t="str">
            <v>Enfield</v>
          </cell>
          <cell r="E23692" t="str">
            <v>Pupil Referral Unit</v>
          </cell>
          <cell r="F23692" t="str">
            <v>PRU</v>
          </cell>
        </row>
        <row r="23693">
          <cell r="A23693">
            <v>8886030</v>
          </cell>
          <cell r="B23693">
            <v>131138</v>
          </cell>
          <cell r="C23693" t="str">
            <v>Progress School</v>
          </cell>
          <cell r="D23693" t="str">
            <v>Lancashire</v>
          </cell>
          <cell r="E23693" t="str">
            <v>Other Independent Special School</v>
          </cell>
          <cell r="F23693" t="str">
            <v>Not applicable</v>
          </cell>
        </row>
        <row r="23694">
          <cell r="A23694">
            <v>3166068</v>
          </cell>
          <cell r="B23694">
            <v>131031</v>
          </cell>
          <cell r="C23694" t="str">
            <v>Promised Land Academy</v>
          </cell>
          <cell r="D23694" t="str">
            <v>Newham</v>
          </cell>
          <cell r="E23694" t="str">
            <v>Other Independent School</v>
          </cell>
          <cell r="F23694" t="str">
            <v>Not applicable</v>
          </cell>
        </row>
        <row r="23695">
          <cell r="A23695">
            <v>3532071</v>
          </cell>
          <cell r="B23695">
            <v>105663</v>
          </cell>
          <cell r="C23695" t="str">
            <v>Propps Hall Junior Infant and Nursery School</v>
          </cell>
          <cell r="D23695" t="str">
            <v>Oldham</v>
          </cell>
          <cell r="E23695" t="str">
            <v>Community School</v>
          </cell>
          <cell r="F23695" t="str">
            <v>Primary</v>
          </cell>
        </row>
        <row r="23696">
          <cell r="A23696">
            <v>8019902</v>
          </cell>
          <cell r="B23696">
            <v>133211</v>
          </cell>
          <cell r="C23696" t="str">
            <v>Prospect Education Trust</v>
          </cell>
          <cell r="D23696" t="str">
            <v>Bristol City of</v>
          </cell>
          <cell r="E23696" t="str">
            <v>Miscellaneous</v>
          </cell>
          <cell r="F23696" t="str">
            <v>Not applicable</v>
          </cell>
        </row>
        <row r="23697">
          <cell r="A23697">
            <v>8912925</v>
          </cell>
          <cell r="B23697">
            <v>122729</v>
          </cell>
          <cell r="C23697" t="str">
            <v>Prospect Hill Infant and Nursery School</v>
          </cell>
          <cell r="D23697" t="str">
            <v>Nottinghamshire</v>
          </cell>
          <cell r="E23697" t="str">
            <v>Community School</v>
          </cell>
          <cell r="F23697" t="str">
            <v>Primary</v>
          </cell>
        </row>
        <row r="23698">
          <cell r="A23698">
            <v>8912926</v>
          </cell>
          <cell r="B23698">
            <v>122730</v>
          </cell>
          <cell r="C23698" t="str">
            <v>Prospect Hill Junior School</v>
          </cell>
          <cell r="D23698" t="str">
            <v>Nottinghamshire</v>
          </cell>
          <cell r="E23698" t="str">
            <v>Community School</v>
          </cell>
          <cell r="F23698" t="str">
            <v>Primary</v>
          </cell>
        </row>
        <row r="23699">
          <cell r="A23699">
            <v>2126384</v>
          </cell>
          <cell r="B23699">
            <v>101081</v>
          </cell>
          <cell r="C23699" t="str">
            <v>Prospect House School</v>
          </cell>
          <cell r="D23699" t="str">
            <v>Wandsworth</v>
          </cell>
          <cell r="E23699" t="str">
            <v>Other Independent School</v>
          </cell>
          <cell r="F23699" t="str">
            <v>Not applicable</v>
          </cell>
        </row>
        <row r="23700">
          <cell r="A23700">
            <v>8036303</v>
          </cell>
          <cell r="B23700">
            <v>135697</v>
          </cell>
          <cell r="C23700" t="str">
            <v>Prospect Primary School</v>
          </cell>
          <cell r="D23700" t="str">
            <v>South Gloucestershire</v>
          </cell>
          <cell r="E23700" t="str">
            <v>Other Independent School</v>
          </cell>
          <cell r="F23700" t="str">
            <v>Not applicable</v>
          </cell>
        </row>
        <row r="23701">
          <cell r="A23701">
            <v>8705410</v>
          </cell>
          <cell r="B23701">
            <v>110106</v>
          </cell>
          <cell r="C23701" t="str">
            <v>Prospect School</v>
          </cell>
          <cell r="D23701" t="str">
            <v>Reading</v>
          </cell>
          <cell r="E23701" t="str">
            <v>Foundation School</v>
          </cell>
          <cell r="F23701" t="str">
            <v>Secondary</v>
          </cell>
        </row>
        <row r="23702">
          <cell r="A23702">
            <v>8507001</v>
          </cell>
          <cell r="B23702">
            <v>133581</v>
          </cell>
          <cell r="C23702" t="str">
            <v>Prospect School</v>
          </cell>
          <cell r="D23702" t="str">
            <v>Hampshire</v>
          </cell>
          <cell r="E23702" t="str">
            <v>Community Special School</v>
          </cell>
          <cell r="F23702" t="str">
            <v>Special</v>
          </cell>
        </row>
        <row r="23703">
          <cell r="A23703">
            <v>8016027</v>
          </cell>
          <cell r="B23703">
            <v>134568</v>
          </cell>
          <cell r="C23703" t="str">
            <v>Prospect School</v>
          </cell>
          <cell r="D23703" t="str">
            <v>Bristol City of</v>
          </cell>
          <cell r="E23703" t="str">
            <v>Other Independent School</v>
          </cell>
          <cell r="F23703" t="str">
            <v>Not applicable</v>
          </cell>
        </row>
        <row r="23704">
          <cell r="A23704">
            <v>8116008</v>
          </cell>
          <cell r="B23704">
            <v>134849</v>
          </cell>
          <cell r="C23704" t="str">
            <v>Prospect School</v>
          </cell>
          <cell r="D23704" t="str">
            <v>East Riding of Yorkshire</v>
          </cell>
          <cell r="E23704" t="str">
            <v>Other Independent Special School</v>
          </cell>
          <cell r="F23704" t="str">
            <v>Not applicable</v>
          </cell>
        </row>
        <row r="23705">
          <cell r="A23705">
            <v>8705410</v>
          </cell>
          <cell r="B23705">
            <v>136876</v>
          </cell>
          <cell r="C23705" t="str">
            <v>Prospect School</v>
          </cell>
          <cell r="D23705" t="str">
            <v>Reading</v>
          </cell>
          <cell r="E23705" t="str">
            <v>Academy Converters</v>
          </cell>
          <cell r="F23705" t="str">
            <v>Secondary</v>
          </cell>
        </row>
        <row r="23706">
          <cell r="A23706">
            <v>3562079</v>
          </cell>
          <cell r="B23706">
            <v>106071</v>
          </cell>
          <cell r="C23706" t="str">
            <v>Prospect Vale Primary School</v>
          </cell>
          <cell r="D23706" t="str">
            <v>Stockport</v>
          </cell>
          <cell r="E23706" t="str">
            <v>Community School</v>
          </cell>
          <cell r="F23706" t="str">
            <v>Primary</v>
          </cell>
        </row>
        <row r="23707">
          <cell r="A23707">
            <v>6656039</v>
          </cell>
          <cell r="B23707">
            <v>401982</v>
          </cell>
          <cell r="C23707" t="str">
            <v>Prospects School</v>
          </cell>
          <cell r="D23707" t="str">
            <v>Wrexham</v>
          </cell>
          <cell r="E23707" t="str">
            <v>Welsh Establishment</v>
          </cell>
          <cell r="F23707" t="str">
            <v>Not applicable</v>
          </cell>
        </row>
        <row r="23708">
          <cell r="A23708">
            <v>6771101</v>
          </cell>
          <cell r="B23708">
            <v>401963</v>
          </cell>
          <cell r="C23708" t="str">
            <v>Proteus Project</v>
          </cell>
          <cell r="D23708" t="str">
            <v>Blaenau Gwent</v>
          </cell>
          <cell r="E23708" t="str">
            <v>Welsh Establishment</v>
          </cell>
          <cell r="F23708" t="str">
            <v>Not applicable</v>
          </cell>
        </row>
        <row r="23709">
          <cell r="A23709">
            <v>9386001</v>
          </cell>
          <cell r="B23709">
            <v>135456</v>
          </cell>
          <cell r="C23709" t="str">
            <v>Provident House School</v>
          </cell>
          <cell r="D23709" t="str">
            <v>West Sussex</v>
          </cell>
          <cell r="E23709" t="str">
            <v>Other Independent Special School</v>
          </cell>
          <cell r="F23709" t="str">
            <v>Not applicable</v>
          </cell>
        </row>
        <row r="23710">
          <cell r="A23710">
            <v>9041104</v>
          </cell>
          <cell r="B23710">
            <v>128309</v>
          </cell>
          <cell r="C23710" t="str">
            <v>Provision for Pregnant Schoolgirls and Young Mothers</v>
          </cell>
          <cell r="D23710" t="str">
            <v>Pre LGR (1997) Buckinghamshire</v>
          </cell>
          <cell r="E23710" t="str">
            <v>Pupil Referral Unit</v>
          </cell>
          <cell r="F23710" t="str">
            <v>PRU</v>
          </cell>
        </row>
        <row r="23711">
          <cell r="A23711">
            <v>9373212</v>
          </cell>
          <cell r="B23711">
            <v>130875</v>
          </cell>
          <cell r="C23711" t="str">
            <v>Provost Williams CofE Primary School</v>
          </cell>
          <cell r="D23711" t="str">
            <v>Warwickshire</v>
          </cell>
          <cell r="E23711" t="str">
            <v>Voluntary Controlled School</v>
          </cell>
          <cell r="F23711" t="str">
            <v>Primary</v>
          </cell>
        </row>
        <row r="23712">
          <cell r="A23712">
            <v>2076388</v>
          </cell>
          <cell r="B23712">
            <v>126648</v>
          </cell>
          <cell r="C23712" t="str">
            <v>Prowess School</v>
          </cell>
          <cell r="D23712" t="str">
            <v>Kensington and Chelsea</v>
          </cell>
          <cell r="E23712" t="str">
            <v>Other Independent School</v>
          </cell>
          <cell r="F23712" t="str">
            <v>Not applicable</v>
          </cell>
        </row>
        <row r="23713">
          <cell r="A23713">
            <v>8101112</v>
          </cell>
          <cell r="B23713">
            <v>134596</v>
          </cell>
          <cell r="C23713" t="str">
            <v>PRU for Medical Needs</v>
          </cell>
          <cell r="D23713" t="str">
            <v>Kingston upon Hull City of</v>
          </cell>
          <cell r="E23713" t="str">
            <v>Pupil Referral Unit</v>
          </cell>
          <cell r="F23713" t="str">
            <v>PRU</v>
          </cell>
        </row>
        <row r="23714">
          <cell r="A23714">
            <v>9292217</v>
          </cell>
          <cell r="B23714">
            <v>122218</v>
          </cell>
          <cell r="C23714" t="str">
            <v>Prudhoe Castle First School</v>
          </cell>
          <cell r="D23714" t="str">
            <v>Northumberland</v>
          </cell>
          <cell r="E23714" t="str">
            <v>Community School</v>
          </cell>
          <cell r="F23714" t="str">
            <v>Primary</v>
          </cell>
        </row>
        <row r="23715">
          <cell r="A23715">
            <v>9294369</v>
          </cell>
          <cell r="B23715">
            <v>122351</v>
          </cell>
          <cell r="C23715" t="str">
            <v>Prudhoe Community High School</v>
          </cell>
          <cell r="D23715" t="str">
            <v>Northumberland</v>
          </cell>
          <cell r="E23715" t="str">
            <v>Community School</v>
          </cell>
          <cell r="F23715" t="str">
            <v>Secondary</v>
          </cell>
        </row>
        <row r="23716">
          <cell r="A23716">
            <v>9294197</v>
          </cell>
          <cell r="B23716">
            <v>122339</v>
          </cell>
          <cell r="C23716" t="str">
            <v>Prudhoe Eastwood Middle School</v>
          </cell>
          <cell r="D23716" t="str">
            <v>Northumberland</v>
          </cell>
          <cell r="E23716" t="str">
            <v>Community School</v>
          </cell>
          <cell r="F23716" t="str">
            <v>Middle Deemed Secondary</v>
          </cell>
        </row>
        <row r="23717">
          <cell r="A23717">
            <v>9292220</v>
          </cell>
          <cell r="B23717">
            <v>122220</v>
          </cell>
          <cell r="C23717" t="str">
            <v>Prudhoe West First School</v>
          </cell>
          <cell r="D23717" t="str">
            <v>Northumberland</v>
          </cell>
          <cell r="E23717" t="str">
            <v>Community School</v>
          </cell>
          <cell r="F23717" t="str">
            <v>Primary</v>
          </cell>
        </row>
        <row r="23718">
          <cell r="A23718">
            <v>8033056</v>
          </cell>
          <cell r="B23718">
            <v>109171</v>
          </cell>
          <cell r="C23718" t="str">
            <v>Pucklechurch CofE VC Primary School</v>
          </cell>
          <cell r="D23718" t="str">
            <v>South Gloucestershire</v>
          </cell>
          <cell r="E23718" t="str">
            <v>Voluntary Controlled School</v>
          </cell>
          <cell r="F23718" t="str">
            <v>Primary</v>
          </cell>
        </row>
        <row r="23719">
          <cell r="A23719">
            <v>8353026</v>
          </cell>
          <cell r="B23719">
            <v>113765</v>
          </cell>
          <cell r="C23719" t="str">
            <v>Puddletown Church of England First School</v>
          </cell>
          <cell r="D23719" t="str">
            <v>Dorset</v>
          </cell>
          <cell r="E23719" t="str">
            <v>Voluntary Controlled School</v>
          </cell>
          <cell r="F23719" t="str">
            <v>Primary</v>
          </cell>
        </row>
        <row r="23720">
          <cell r="A23720">
            <v>9187008</v>
          </cell>
          <cell r="B23720">
            <v>129107</v>
          </cell>
          <cell r="C23720" t="str">
            <v>Pudleston Court School</v>
          </cell>
          <cell r="D23720" t="str">
            <v>Pre LGR (1998) Hereford &amp; Worcester</v>
          </cell>
          <cell r="E23720" t="str">
            <v>Community Special School</v>
          </cell>
          <cell r="F23720" t="str">
            <v>Special</v>
          </cell>
        </row>
        <row r="23721">
          <cell r="A23721">
            <v>3832331</v>
          </cell>
          <cell r="B23721">
            <v>107845</v>
          </cell>
          <cell r="C23721" t="str">
            <v>Pudsey Bolton Royd Primary School</v>
          </cell>
          <cell r="D23721" t="str">
            <v>Leeds</v>
          </cell>
          <cell r="E23721" t="str">
            <v>Community School</v>
          </cell>
          <cell r="F23721" t="str">
            <v>Primary</v>
          </cell>
        </row>
        <row r="23722">
          <cell r="A23722">
            <v>3834102</v>
          </cell>
          <cell r="B23722">
            <v>108079</v>
          </cell>
          <cell r="C23722" t="str">
            <v>Pudsey Grangefield School</v>
          </cell>
          <cell r="D23722" t="str">
            <v>Leeds</v>
          </cell>
          <cell r="E23722" t="str">
            <v>Foundation School</v>
          </cell>
          <cell r="F23722" t="str">
            <v>Secondary</v>
          </cell>
        </row>
        <row r="23723">
          <cell r="A23723">
            <v>3832339</v>
          </cell>
          <cell r="B23723">
            <v>107850</v>
          </cell>
          <cell r="C23723" t="str">
            <v>Pudsey Primrose Hill Primary School</v>
          </cell>
          <cell r="D23723" t="str">
            <v>Leeds</v>
          </cell>
          <cell r="E23723" t="str">
            <v>Community School</v>
          </cell>
          <cell r="F23723" t="str">
            <v>Primary</v>
          </cell>
        </row>
        <row r="23724">
          <cell r="A23724">
            <v>3832326</v>
          </cell>
          <cell r="B23724">
            <v>107841</v>
          </cell>
          <cell r="C23724" t="str">
            <v>Pudsey Tyersal Primary School</v>
          </cell>
          <cell r="D23724" t="str">
            <v>Leeds</v>
          </cell>
          <cell r="E23724" t="str">
            <v>Community School</v>
          </cell>
          <cell r="F23724" t="str">
            <v>Primary</v>
          </cell>
        </row>
        <row r="23725">
          <cell r="A23725">
            <v>3833920</v>
          </cell>
          <cell r="B23725">
            <v>134408</v>
          </cell>
          <cell r="C23725" t="str">
            <v>Pudsey Waterloo Primary</v>
          </cell>
          <cell r="D23725" t="str">
            <v>Leeds</v>
          </cell>
          <cell r="E23725" t="str">
            <v>Community School</v>
          </cell>
          <cell r="F23725" t="str">
            <v>Primary</v>
          </cell>
        </row>
        <row r="23726">
          <cell r="A23726">
            <v>8233313</v>
          </cell>
          <cell r="B23726">
            <v>109619</v>
          </cell>
          <cell r="C23726" t="str">
            <v>Pulford CofE VA Lower School</v>
          </cell>
          <cell r="D23726" t="str">
            <v>Central Bedfordshire</v>
          </cell>
          <cell r="E23726" t="str">
            <v>Voluntary Aided School</v>
          </cell>
          <cell r="F23726" t="str">
            <v>Primary</v>
          </cell>
        </row>
        <row r="23727">
          <cell r="A23727">
            <v>9263061</v>
          </cell>
          <cell r="B23727">
            <v>121051</v>
          </cell>
          <cell r="C23727" t="str">
            <v>Pulham Church of England Primary School</v>
          </cell>
          <cell r="D23727" t="str">
            <v>Norfolk</v>
          </cell>
          <cell r="E23727" t="str">
            <v>Voluntary Controlled School</v>
          </cell>
          <cell r="F23727" t="str">
            <v>Primary</v>
          </cell>
        </row>
        <row r="23728">
          <cell r="A23728">
            <v>9193366</v>
          </cell>
          <cell r="B23728">
            <v>117453</v>
          </cell>
          <cell r="C23728" t="str">
            <v>Puller Memorial, Church of England, Voluntary Aided Primary School</v>
          </cell>
          <cell r="D23728" t="str">
            <v>Hertfordshire</v>
          </cell>
          <cell r="E23728" t="str">
            <v>Voluntary Aided School</v>
          </cell>
          <cell r="F23728" t="str">
            <v>Primary</v>
          </cell>
        </row>
        <row r="23729">
          <cell r="A23729">
            <v>8232154</v>
          </cell>
          <cell r="B23729">
            <v>109501</v>
          </cell>
          <cell r="C23729" t="str">
            <v>Pulloxhill Lower School</v>
          </cell>
          <cell r="D23729" t="str">
            <v>Central Bedfordshire</v>
          </cell>
          <cell r="E23729" t="str">
            <v>Community School</v>
          </cell>
          <cell r="F23729" t="str">
            <v>Primary</v>
          </cell>
        </row>
        <row r="23730">
          <cell r="A23730">
            <v>9356200</v>
          </cell>
          <cell r="B23730">
            <v>135728</v>
          </cell>
          <cell r="C23730" t="str">
            <v>Pump Farm School</v>
          </cell>
          <cell r="D23730" t="str">
            <v>Suffolk</v>
          </cell>
          <cell r="E23730" t="str">
            <v>Other Independent Special School</v>
          </cell>
          <cell r="F23730" t="str">
            <v>Not applicable</v>
          </cell>
        </row>
        <row r="23731">
          <cell r="A23731">
            <v>8866124</v>
          </cell>
          <cell r="B23731">
            <v>135450</v>
          </cell>
          <cell r="C23731" t="str">
            <v>Pumping Station School</v>
          </cell>
          <cell r="D23731" t="str">
            <v>Kent</v>
          </cell>
          <cell r="E23731" t="str">
            <v>Other Independent Special School</v>
          </cell>
          <cell r="F23731" t="str">
            <v>Not applicable</v>
          </cell>
        </row>
        <row r="23732">
          <cell r="A23732">
            <v>6682250</v>
          </cell>
          <cell r="B23732">
            <v>400677</v>
          </cell>
          <cell r="C23732" t="str">
            <v>Puncheston CP</v>
          </cell>
          <cell r="D23732" t="str">
            <v>Pembrokeshire</v>
          </cell>
          <cell r="E23732" t="str">
            <v>Welsh Establishment</v>
          </cell>
          <cell r="F23732" t="str">
            <v>Primary</v>
          </cell>
        </row>
        <row r="23733">
          <cell r="A23733">
            <v>8452082</v>
          </cell>
          <cell r="B23733">
            <v>114414</v>
          </cell>
          <cell r="C23733" t="str">
            <v>Punnetts Town Community Primary School</v>
          </cell>
          <cell r="D23733" t="str">
            <v>East Sussex</v>
          </cell>
          <cell r="E23733" t="str">
            <v>Community School</v>
          </cell>
          <cell r="F23733" t="str">
            <v>Primary</v>
          </cell>
        </row>
        <row r="23734">
          <cell r="A23734">
            <v>3351102</v>
          </cell>
          <cell r="B23734">
            <v>133746</v>
          </cell>
          <cell r="C23734" t="str">
            <v>Pupil Referral Unit for Secondary-Aged Pupils</v>
          </cell>
          <cell r="D23734" t="str">
            <v>Walsall</v>
          </cell>
          <cell r="E23734" t="str">
            <v>Pupil Referral Unit</v>
          </cell>
          <cell r="F23734" t="str">
            <v>PRU</v>
          </cell>
        </row>
        <row r="23735">
          <cell r="A23735">
            <v>3591107</v>
          </cell>
          <cell r="B23735">
            <v>135491</v>
          </cell>
          <cell r="C23735" t="str">
            <v>Pupil Support Centre</v>
          </cell>
          <cell r="D23735" t="str">
            <v>Wigan</v>
          </cell>
          <cell r="E23735" t="str">
            <v>Pupil Referral Unit</v>
          </cell>
          <cell r="F23735" t="str">
            <v>PRU</v>
          </cell>
        </row>
        <row r="23736">
          <cell r="A23736">
            <v>8356016</v>
          </cell>
          <cell r="B23736">
            <v>113950</v>
          </cell>
          <cell r="C23736" t="str">
            <v>Purbeck View School</v>
          </cell>
          <cell r="D23736" t="str">
            <v>Dorset</v>
          </cell>
          <cell r="E23736" t="str">
            <v>Other Independent Special School</v>
          </cell>
          <cell r="F23736" t="str">
            <v>Not applicable</v>
          </cell>
        </row>
        <row r="23737">
          <cell r="A23737">
            <v>9173127</v>
          </cell>
          <cell r="B23737">
            <v>129025</v>
          </cell>
          <cell r="C23737" t="str">
            <v>Purbrook CofE First School</v>
          </cell>
          <cell r="D23737" t="str">
            <v>Pre LGR (1997) Hampshire</v>
          </cell>
          <cell r="E23737" t="str">
            <v>Voluntary Controlled School</v>
          </cell>
          <cell r="F23737" t="str">
            <v>Primary</v>
          </cell>
        </row>
        <row r="23738">
          <cell r="A23738">
            <v>8502167</v>
          </cell>
          <cell r="B23738">
            <v>115937</v>
          </cell>
          <cell r="C23738" t="str">
            <v>Purbrook Infant School</v>
          </cell>
          <cell r="D23738" t="str">
            <v>Hampshire</v>
          </cell>
          <cell r="E23738" t="str">
            <v>Community School</v>
          </cell>
          <cell r="F23738" t="str">
            <v>Primary</v>
          </cell>
        </row>
        <row r="23739">
          <cell r="A23739">
            <v>8502297</v>
          </cell>
          <cell r="B23739">
            <v>116022</v>
          </cell>
          <cell r="C23739" t="str">
            <v>Purbrook Junior School</v>
          </cell>
          <cell r="D23739" t="str">
            <v>Hampshire</v>
          </cell>
          <cell r="E23739" t="str">
            <v>Community School</v>
          </cell>
          <cell r="F23739" t="str">
            <v>Primary</v>
          </cell>
        </row>
        <row r="23740">
          <cell r="A23740">
            <v>8505414</v>
          </cell>
          <cell r="B23740">
            <v>116506</v>
          </cell>
          <cell r="C23740" t="str">
            <v>Purbrook Park School</v>
          </cell>
          <cell r="D23740" t="str">
            <v>Hampshire</v>
          </cell>
          <cell r="E23740" t="str">
            <v>Foundation School</v>
          </cell>
          <cell r="F23740" t="str">
            <v>Secondary</v>
          </cell>
        </row>
        <row r="23741">
          <cell r="A23741">
            <v>9196239</v>
          </cell>
          <cell r="B23741">
            <v>102256</v>
          </cell>
          <cell r="C23741" t="str">
            <v>Purcell School</v>
          </cell>
          <cell r="D23741" t="str">
            <v>Hertfordshire</v>
          </cell>
          <cell r="E23741" t="str">
            <v>Other Independent School</v>
          </cell>
          <cell r="F23741" t="str">
            <v>Not applicable</v>
          </cell>
        </row>
        <row r="23742">
          <cell r="A23742">
            <v>8832492</v>
          </cell>
          <cell r="B23742">
            <v>114866</v>
          </cell>
          <cell r="C23742" t="str">
            <v>Purfleet Primary School</v>
          </cell>
          <cell r="D23742" t="str">
            <v>Thurrock</v>
          </cell>
          <cell r="E23742" t="str">
            <v>Community School</v>
          </cell>
          <cell r="F23742" t="str">
            <v>Primary</v>
          </cell>
        </row>
        <row r="23743">
          <cell r="A23743">
            <v>8812743</v>
          </cell>
          <cell r="B23743">
            <v>114977</v>
          </cell>
          <cell r="C23743" t="str">
            <v>Purford Green Junior School</v>
          </cell>
          <cell r="D23743" t="str">
            <v>Essex</v>
          </cell>
          <cell r="E23743" t="str">
            <v>Community School</v>
          </cell>
          <cell r="F23743" t="str">
            <v>Primary</v>
          </cell>
        </row>
        <row r="23744">
          <cell r="A23744">
            <v>8812753</v>
          </cell>
          <cell r="B23744">
            <v>114981</v>
          </cell>
          <cell r="C23744" t="str">
            <v>Purford Green Primary School</v>
          </cell>
          <cell r="D23744" t="str">
            <v>Essex</v>
          </cell>
          <cell r="E23744" t="str">
            <v>Community School</v>
          </cell>
          <cell r="F23744" t="str">
            <v>Primary</v>
          </cell>
        </row>
        <row r="23745">
          <cell r="A23745">
            <v>9332180</v>
          </cell>
          <cell r="B23745">
            <v>123694</v>
          </cell>
          <cell r="C23745" t="str">
            <v>Puriton Primary School</v>
          </cell>
          <cell r="D23745" t="str">
            <v>Somerset</v>
          </cell>
          <cell r="E23745" t="str">
            <v>Community School</v>
          </cell>
          <cell r="F23745" t="str">
            <v>Primary</v>
          </cell>
        </row>
        <row r="23746">
          <cell r="A23746">
            <v>8812620</v>
          </cell>
          <cell r="B23746">
            <v>114918</v>
          </cell>
          <cell r="C23746" t="str">
            <v>Purleigh Community Primary School</v>
          </cell>
          <cell r="D23746" t="str">
            <v>Essex</v>
          </cell>
          <cell r="E23746" t="str">
            <v>Community School</v>
          </cell>
          <cell r="F23746" t="str">
            <v>Primary</v>
          </cell>
        </row>
        <row r="23747">
          <cell r="A23747">
            <v>3064025</v>
          </cell>
          <cell r="B23747">
            <v>126815</v>
          </cell>
          <cell r="C23747" t="str">
            <v>Purley Boys' High School</v>
          </cell>
          <cell r="D23747" t="str">
            <v>Croydon</v>
          </cell>
          <cell r="E23747" t="str">
            <v>Community School</v>
          </cell>
          <cell r="F23747" t="str">
            <v>Secondary</v>
          </cell>
        </row>
        <row r="23748">
          <cell r="A23748">
            <v>8693036</v>
          </cell>
          <cell r="B23748">
            <v>109971</v>
          </cell>
          <cell r="C23748" t="str">
            <v>Purley C.E. Infant School</v>
          </cell>
          <cell r="D23748" t="str">
            <v>West Berkshire</v>
          </cell>
          <cell r="E23748" t="str">
            <v>Voluntary Controlled School</v>
          </cell>
          <cell r="F23748" t="str">
            <v>Primary</v>
          </cell>
        </row>
        <row r="23749">
          <cell r="A23749">
            <v>3064026</v>
          </cell>
          <cell r="B23749">
            <v>126816</v>
          </cell>
          <cell r="C23749" t="str">
            <v>Purley Girls' High School</v>
          </cell>
          <cell r="D23749" t="str">
            <v>Croydon</v>
          </cell>
          <cell r="E23749" t="str">
            <v>Community School</v>
          </cell>
          <cell r="F23749" t="str">
            <v>Secondary</v>
          </cell>
        </row>
        <row r="23750">
          <cell r="A23750">
            <v>3061002</v>
          </cell>
          <cell r="B23750">
            <v>101704</v>
          </cell>
          <cell r="C23750" t="str">
            <v>Purley Nursery School</v>
          </cell>
          <cell r="D23750" t="str">
            <v>Croydon</v>
          </cell>
          <cell r="E23750" t="str">
            <v>LA Nursery School</v>
          </cell>
          <cell r="F23750" t="str">
            <v>Nursery</v>
          </cell>
        </row>
        <row r="23751">
          <cell r="A23751">
            <v>3062033</v>
          </cell>
          <cell r="B23751">
            <v>101733</v>
          </cell>
          <cell r="C23751" t="str">
            <v>Purley Oaks Primary School</v>
          </cell>
          <cell r="D23751" t="str">
            <v>Croydon</v>
          </cell>
          <cell r="E23751" t="str">
            <v>Community School</v>
          </cell>
          <cell r="F23751" t="str">
            <v>Primary</v>
          </cell>
        </row>
        <row r="23752">
          <cell r="A23752">
            <v>3064043</v>
          </cell>
          <cell r="B23752">
            <v>126818</v>
          </cell>
          <cell r="C23752" t="str">
            <v>Purley Sixth Form College</v>
          </cell>
          <cell r="D23752" t="str">
            <v>Croydon</v>
          </cell>
          <cell r="E23752" t="str">
            <v>Community School</v>
          </cell>
          <cell r="F23752" t="str">
            <v>Secondary</v>
          </cell>
        </row>
        <row r="23753">
          <cell r="A23753">
            <v>3822067</v>
          </cell>
          <cell r="B23753">
            <v>107641</v>
          </cell>
          <cell r="C23753" t="str">
            <v>Purlwell Infant and Nursery School</v>
          </cell>
          <cell r="D23753" t="str">
            <v>Kirklees</v>
          </cell>
          <cell r="E23753" t="str">
            <v>Community School</v>
          </cell>
          <cell r="F23753" t="str">
            <v>Primary</v>
          </cell>
        </row>
        <row r="23754">
          <cell r="A23754">
            <v>9192229</v>
          </cell>
          <cell r="B23754">
            <v>117224</v>
          </cell>
          <cell r="C23754" t="str">
            <v>Purwell Primary School</v>
          </cell>
          <cell r="D23754" t="str">
            <v>Hertfordshire</v>
          </cell>
          <cell r="E23754" t="str">
            <v>Community School</v>
          </cell>
          <cell r="F23754" t="str">
            <v>Primary</v>
          </cell>
        </row>
        <row r="23755">
          <cell r="A23755">
            <v>8752286</v>
          </cell>
          <cell r="B23755">
            <v>111117</v>
          </cell>
          <cell r="C23755" t="str">
            <v>Puss Bank Junior School</v>
          </cell>
          <cell r="D23755" t="str">
            <v>Pre LGR (2009) Cheshire</v>
          </cell>
          <cell r="E23755" t="str">
            <v>Community School</v>
          </cell>
          <cell r="F23755" t="str">
            <v>Primary</v>
          </cell>
        </row>
        <row r="23756">
          <cell r="A23756">
            <v>8752347</v>
          </cell>
          <cell r="B23756">
            <v>111158</v>
          </cell>
          <cell r="C23756" t="str">
            <v>Puss Bank Nursery and Infant School</v>
          </cell>
          <cell r="D23756" t="str">
            <v>Pre LGR (2009) Cheshire</v>
          </cell>
          <cell r="E23756" t="str">
            <v>Community School</v>
          </cell>
          <cell r="F23756" t="str">
            <v>Primary</v>
          </cell>
        </row>
        <row r="23757">
          <cell r="A23757">
            <v>8952728</v>
          </cell>
          <cell r="B23757">
            <v>132807</v>
          </cell>
          <cell r="C23757" t="str">
            <v>Puss Bank School</v>
          </cell>
          <cell r="D23757" t="str">
            <v>Cheshire East</v>
          </cell>
          <cell r="E23757" t="str">
            <v>Community School</v>
          </cell>
          <cell r="F23757" t="str">
            <v>Primary</v>
          </cell>
        </row>
        <row r="23758">
          <cell r="A23758">
            <v>2126310</v>
          </cell>
          <cell r="B23758">
            <v>101072</v>
          </cell>
          <cell r="C23758" t="str">
            <v>Putney High School</v>
          </cell>
          <cell r="D23758" t="str">
            <v>Wandsworth</v>
          </cell>
          <cell r="E23758" t="str">
            <v>Other Independent School</v>
          </cell>
          <cell r="F23758" t="str">
            <v>Not applicable</v>
          </cell>
        </row>
        <row r="23759">
          <cell r="A23759">
            <v>2126203</v>
          </cell>
          <cell r="B23759">
            <v>101070</v>
          </cell>
          <cell r="C23759" t="str">
            <v>Putney Park School</v>
          </cell>
          <cell r="D23759" t="str">
            <v>Wandsworth</v>
          </cell>
          <cell r="E23759" t="str">
            <v>Other Independent School</v>
          </cell>
          <cell r="F23759" t="str">
            <v>Not applicable</v>
          </cell>
        </row>
        <row r="23760">
          <cell r="A23760">
            <v>8222147</v>
          </cell>
          <cell r="B23760">
            <v>109496</v>
          </cell>
          <cell r="C23760" t="str">
            <v>Putnoe Primary School</v>
          </cell>
          <cell r="D23760" t="str">
            <v>Bedford</v>
          </cell>
          <cell r="E23760" t="str">
            <v>Foundation School</v>
          </cell>
          <cell r="F23760" t="str">
            <v>Primary</v>
          </cell>
        </row>
        <row r="23761">
          <cell r="A23761">
            <v>9363381</v>
          </cell>
          <cell r="B23761">
            <v>125195</v>
          </cell>
          <cell r="C23761" t="str">
            <v>Puttenham CofE Infant School</v>
          </cell>
          <cell r="D23761" t="str">
            <v>Surrey</v>
          </cell>
          <cell r="E23761" t="str">
            <v>Voluntary Aided School</v>
          </cell>
          <cell r="F23761" t="str">
            <v>Primary</v>
          </cell>
        </row>
        <row r="23762">
          <cell r="A23762">
            <v>8214108</v>
          </cell>
          <cell r="B23762">
            <v>109685</v>
          </cell>
          <cell r="C23762" t="str">
            <v>Putteridge High School</v>
          </cell>
          <cell r="D23762" t="str">
            <v>Luton</v>
          </cell>
          <cell r="E23762" t="str">
            <v>Community School</v>
          </cell>
          <cell r="F23762" t="str">
            <v>Secondary</v>
          </cell>
        </row>
        <row r="23763">
          <cell r="A23763">
            <v>8212256</v>
          </cell>
          <cell r="B23763">
            <v>109564</v>
          </cell>
          <cell r="C23763" t="str">
            <v>Putteridge Infant School</v>
          </cell>
          <cell r="D23763" t="str">
            <v>Luton</v>
          </cell>
          <cell r="E23763" t="str">
            <v>Community School</v>
          </cell>
          <cell r="F23763" t="str">
            <v>Primary</v>
          </cell>
        </row>
        <row r="23764">
          <cell r="A23764">
            <v>8212255</v>
          </cell>
          <cell r="B23764">
            <v>109563</v>
          </cell>
          <cell r="C23764" t="str">
            <v>Putteridge Junior School</v>
          </cell>
          <cell r="D23764" t="str">
            <v>Luton</v>
          </cell>
          <cell r="E23764" t="str">
            <v>Community School</v>
          </cell>
          <cell r="F23764" t="str">
            <v>Primary</v>
          </cell>
        </row>
        <row r="23765">
          <cell r="A23765">
            <v>6692189</v>
          </cell>
          <cell r="B23765">
            <v>400826</v>
          </cell>
          <cell r="C23765" t="str">
            <v>Pwll C.P. Mixed School</v>
          </cell>
          <cell r="D23765" t="str">
            <v>Carmarthenshire</v>
          </cell>
          <cell r="E23765" t="str">
            <v>Welsh Establishment</v>
          </cell>
          <cell r="F23765" t="str">
            <v>Primary</v>
          </cell>
        </row>
        <row r="23766">
          <cell r="A23766">
            <v>6691110</v>
          </cell>
          <cell r="B23766">
            <v>402216</v>
          </cell>
          <cell r="C23766" t="str">
            <v>Pwll KS3 Teaching and Learning Centre</v>
          </cell>
          <cell r="D23766" t="str">
            <v>Carmarthenshire</v>
          </cell>
          <cell r="E23766" t="str">
            <v>Welsh Establishment</v>
          </cell>
          <cell r="F23766" t="str">
            <v>Not applicable</v>
          </cell>
        </row>
        <row r="23767">
          <cell r="A23767">
            <v>3732366</v>
          </cell>
          <cell r="B23767">
            <v>133324</v>
          </cell>
          <cell r="C23767" t="str">
            <v>Pye Bank CofE Primary School</v>
          </cell>
          <cell r="D23767" t="str">
            <v>Sheffield</v>
          </cell>
          <cell r="E23767" t="str">
            <v>Voluntary Aided School</v>
          </cell>
          <cell r="F23767" t="str">
            <v>Primary</v>
          </cell>
        </row>
        <row r="23768">
          <cell r="A23768">
            <v>3732106</v>
          </cell>
          <cell r="B23768">
            <v>107011</v>
          </cell>
          <cell r="C23768" t="str">
            <v>Pye Bank Nursery Infant School</v>
          </cell>
          <cell r="D23768" t="str">
            <v>Sheffield</v>
          </cell>
          <cell r="E23768" t="str">
            <v>Community School</v>
          </cell>
          <cell r="F23768" t="str">
            <v>Primary</v>
          </cell>
        </row>
        <row r="23769">
          <cell r="A23769">
            <v>3733313</v>
          </cell>
          <cell r="B23769">
            <v>107110</v>
          </cell>
          <cell r="C23769" t="str">
            <v>Pye Bank Trinity Church of England Junior School</v>
          </cell>
          <cell r="D23769" t="str">
            <v>Sheffield</v>
          </cell>
          <cell r="E23769" t="str">
            <v>Voluntary Aided School</v>
          </cell>
          <cell r="F23769" t="str">
            <v>Primary</v>
          </cell>
        </row>
        <row r="23770">
          <cell r="A23770">
            <v>8602421</v>
          </cell>
          <cell r="B23770">
            <v>124217</v>
          </cell>
          <cell r="C23770" t="str">
            <v>Pye Green Valley Primary School</v>
          </cell>
          <cell r="D23770" t="str">
            <v>Staffordshire</v>
          </cell>
          <cell r="E23770" t="str">
            <v>Community School</v>
          </cell>
          <cell r="F23770" t="str">
            <v>Primary</v>
          </cell>
        </row>
        <row r="23771">
          <cell r="A23771">
            <v>8782208</v>
          </cell>
          <cell r="B23771">
            <v>113131</v>
          </cell>
          <cell r="C23771" t="str">
            <v>Pynes Infant School and Nursery</v>
          </cell>
          <cell r="D23771" t="str">
            <v>Devon</v>
          </cell>
          <cell r="E23771" t="str">
            <v>Community School</v>
          </cell>
          <cell r="F23771" t="str">
            <v>Primary</v>
          </cell>
        </row>
        <row r="23772">
          <cell r="A23772">
            <v>9362338</v>
          </cell>
          <cell r="B23772">
            <v>130041</v>
          </cell>
          <cell r="C23772" t="str">
            <v>Pyrcroft First School</v>
          </cell>
          <cell r="D23772" t="str">
            <v>Surrey</v>
          </cell>
          <cell r="E23772" t="str">
            <v>Community School</v>
          </cell>
          <cell r="F23772" t="str">
            <v>Primary</v>
          </cell>
        </row>
        <row r="23773">
          <cell r="A23773">
            <v>9362945</v>
          </cell>
          <cell r="B23773">
            <v>125121</v>
          </cell>
          <cell r="C23773" t="str">
            <v>Pyrcroft Grange Primary School</v>
          </cell>
          <cell r="D23773" t="str">
            <v>Surrey</v>
          </cell>
          <cell r="E23773" t="str">
            <v>Community School</v>
          </cell>
          <cell r="F23773" t="str">
            <v>Primary</v>
          </cell>
        </row>
        <row r="23774">
          <cell r="A23774">
            <v>9362352</v>
          </cell>
          <cell r="B23774">
            <v>130042</v>
          </cell>
          <cell r="C23774" t="str">
            <v>Pyrcroft Middle School</v>
          </cell>
          <cell r="D23774" t="str">
            <v>Surrey</v>
          </cell>
          <cell r="E23774" t="str">
            <v>Community School</v>
          </cell>
          <cell r="F23774" t="str">
            <v>Middle Deemed Primary</v>
          </cell>
        </row>
        <row r="23775">
          <cell r="A23775">
            <v>9361102</v>
          </cell>
          <cell r="B23775">
            <v>124918</v>
          </cell>
          <cell r="C23775" t="str">
            <v>Pyrford Centre</v>
          </cell>
          <cell r="D23775" t="str">
            <v>Surrey</v>
          </cell>
          <cell r="E23775" t="str">
            <v>Pupil Referral Unit</v>
          </cell>
          <cell r="F23775" t="str">
            <v>PRU</v>
          </cell>
        </row>
        <row r="23776">
          <cell r="A23776">
            <v>9363934</v>
          </cell>
          <cell r="B23776">
            <v>131906</v>
          </cell>
          <cell r="C23776" t="str">
            <v>Pyrford Church of England Aided Primary School</v>
          </cell>
          <cell r="D23776" t="str">
            <v>Surrey</v>
          </cell>
          <cell r="E23776" t="str">
            <v>Voluntary Aided School</v>
          </cell>
          <cell r="F23776" t="str">
            <v>Primary</v>
          </cell>
        </row>
        <row r="23777">
          <cell r="A23777">
            <v>9362411</v>
          </cell>
          <cell r="B23777">
            <v>130047</v>
          </cell>
          <cell r="C23777" t="str">
            <v>Pyrford First School</v>
          </cell>
          <cell r="D23777" t="str">
            <v>Surrey</v>
          </cell>
          <cell r="E23777" t="str">
            <v>Community School</v>
          </cell>
          <cell r="F23777" t="str">
            <v>Primary</v>
          </cell>
        </row>
        <row r="23778">
          <cell r="A23778">
            <v>9362307</v>
          </cell>
          <cell r="B23778">
            <v>130036</v>
          </cell>
          <cell r="C23778" t="str">
            <v>Pyrford Middle School</v>
          </cell>
          <cell r="D23778" t="str">
            <v>Surrey</v>
          </cell>
          <cell r="E23778" t="str">
            <v>Community School</v>
          </cell>
          <cell r="F23778" t="str">
            <v>Middle Deemed Primary</v>
          </cell>
        </row>
        <row r="23779">
          <cell r="A23779">
            <v>9362944</v>
          </cell>
          <cell r="B23779">
            <v>125120</v>
          </cell>
          <cell r="C23779" t="str">
            <v>Pyrford Primary School</v>
          </cell>
          <cell r="D23779" t="str">
            <v>Surrey</v>
          </cell>
          <cell r="E23779" t="str">
            <v>Community School</v>
          </cell>
          <cell r="F23779" t="str">
            <v>Primary</v>
          </cell>
        </row>
        <row r="23780">
          <cell r="A23780">
            <v>3112085</v>
          </cell>
          <cell r="B23780">
            <v>102320</v>
          </cell>
          <cell r="C23780" t="str">
            <v>Pyrgo Priory School</v>
          </cell>
          <cell r="D23780" t="str">
            <v>Havering</v>
          </cell>
          <cell r="E23780" t="str">
            <v>Community School</v>
          </cell>
          <cell r="F23780" t="str">
            <v>Primary</v>
          </cell>
        </row>
        <row r="23781">
          <cell r="A23781">
            <v>9283333</v>
          </cell>
          <cell r="B23781">
            <v>122028</v>
          </cell>
          <cell r="C23781" t="str">
            <v>Pytchley Endowed Church of England Primary School</v>
          </cell>
          <cell r="D23781" t="str">
            <v>Northamptonshire</v>
          </cell>
          <cell r="E23781" t="str">
            <v>Voluntary Aided School</v>
          </cell>
          <cell r="F23781" t="str">
            <v>Primary</v>
          </cell>
        </row>
        <row r="23782">
          <cell r="A23782">
            <v>8912820</v>
          </cell>
          <cell r="B23782">
            <v>122673</v>
          </cell>
          <cell r="C23782" t="str">
            <v>Python Hill Infant School</v>
          </cell>
          <cell r="D23782" t="str">
            <v>Nottinghamshire</v>
          </cell>
          <cell r="E23782" t="str">
            <v>Community School</v>
          </cell>
          <cell r="F23782" t="str">
            <v>Primary</v>
          </cell>
        </row>
        <row r="23783">
          <cell r="A23783">
            <v>8912819</v>
          </cell>
          <cell r="B23783">
            <v>122672</v>
          </cell>
          <cell r="C23783" t="str">
            <v>Python Hill Junior School</v>
          </cell>
          <cell r="D23783" t="str">
            <v>Nottinghamshire</v>
          </cell>
          <cell r="E23783" t="str">
            <v>Community School</v>
          </cell>
          <cell r="F23783" t="str">
            <v>Primary</v>
          </cell>
        </row>
        <row r="23784">
          <cell r="A23784">
            <v>8913784</v>
          </cell>
          <cell r="B23784">
            <v>133389</v>
          </cell>
          <cell r="C23784" t="str">
            <v>Python Hill Primary School</v>
          </cell>
          <cell r="D23784" t="str">
            <v>Nottinghamshire</v>
          </cell>
          <cell r="E23784" t="str">
            <v>Community School</v>
          </cell>
          <cell r="F23784" t="str">
            <v>Primary</v>
          </cell>
        </row>
        <row r="23785">
          <cell r="A23785">
            <v>8783067</v>
          </cell>
          <cell r="B23785">
            <v>113383</v>
          </cell>
          <cell r="C23785" t="str">
            <v>Pyworthy Church of England Primary School</v>
          </cell>
          <cell r="D23785" t="str">
            <v>Devon</v>
          </cell>
          <cell r="E23785" t="str">
            <v>Voluntary Controlled School</v>
          </cell>
          <cell r="F23785" t="str">
            <v>Primary</v>
          </cell>
        </row>
        <row r="23786">
          <cell r="A23786">
            <v>3336908</v>
          </cell>
          <cell r="B23786">
            <v>135449</v>
          </cell>
          <cell r="C23786" t="str">
            <v>Q3 Academy</v>
          </cell>
          <cell r="D23786" t="str">
            <v>Sandwell</v>
          </cell>
          <cell r="E23786" t="str">
            <v>Academy Sponsor Led</v>
          </cell>
          <cell r="F23786" t="str">
            <v>Secondary</v>
          </cell>
        </row>
        <row r="23787">
          <cell r="A23787">
            <v>9253093</v>
          </cell>
          <cell r="B23787">
            <v>120552</v>
          </cell>
          <cell r="C23787" t="str">
            <v>Quadring Cowley &amp; Brown's Primary School</v>
          </cell>
          <cell r="D23787" t="str">
            <v>Lincolnshire</v>
          </cell>
          <cell r="E23787" t="str">
            <v>Voluntary Controlled School</v>
          </cell>
          <cell r="F23787" t="str">
            <v>Primary</v>
          </cell>
        </row>
        <row r="23788">
          <cell r="A23788">
            <v>8253074</v>
          </cell>
          <cell r="B23788">
            <v>110447</v>
          </cell>
          <cell r="C23788" t="str">
            <v>Quainton Church of England Combined School</v>
          </cell>
          <cell r="D23788" t="str">
            <v>Buckinghamshire</v>
          </cell>
          <cell r="E23788" t="str">
            <v>Voluntary Controlled School</v>
          </cell>
          <cell r="F23788" t="str">
            <v>Primary</v>
          </cell>
        </row>
        <row r="23789">
          <cell r="A23789">
            <v>3106004</v>
          </cell>
          <cell r="B23789">
            <v>102249</v>
          </cell>
          <cell r="C23789" t="str">
            <v>Quainton Hall School</v>
          </cell>
          <cell r="D23789" t="str">
            <v>Harrow</v>
          </cell>
          <cell r="E23789" t="str">
            <v>Other Independent School</v>
          </cell>
          <cell r="F23789" t="str">
            <v>Not applicable</v>
          </cell>
        </row>
        <row r="23790">
          <cell r="A23790">
            <v>9336206</v>
          </cell>
          <cell r="B23790">
            <v>134506</v>
          </cell>
          <cell r="C23790" t="str">
            <v>Quantock Education Trust</v>
          </cell>
          <cell r="D23790" t="str">
            <v>Somerset</v>
          </cell>
          <cell r="E23790" t="str">
            <v>Other Independent School</v>
          </cell>
          <cell r="F23790" t="str">
            <v>Not applicable</v>
          </cell>
        </row>
        <row r="23791">
          <cell r="A23791">
            <v>9336157</v>
          </cell>
          <cell r="B23791">
            <v>123926</v>
          </cell>
          <cell r="C23791" t="str">
            <v>Quantock School</v>
          </cell>
          <cell r="D23791" t="str">
            <v>Somerset</v>
          </cell>
          <cell r="E23791" t="str">
            <v>Other Independent School</v>
          </cell>
          <cell r="F23791" t="str">
            <v>Not applicable</v>
          </cell>
        </row>
        <row r="23792">
          <cell r="A23792">
            <v>8254048</v>
          </cell>
          <cell r="B23792">
            <v>110492</v>
          </cell>
          <cell r="C23792" t="str">
            <v>Quarrendon School</v>
          </cell>
          <cell r="D23792" t="str">
            <v>Buckinghamshire</v>
          </cell>
          <cell r="E23792" t="str">
            <v>Community School</v>
          </cell>
          <cell r="F23792" t="str">
            <v>Secondary</v>
          </cell>
        </row>
        <row r="23793">
          <cell r="A23793">
            <v>3322153</v>
          </cell>
          <cell r="B23793">
            <v>103830</v>
          </cell>
          <cell r="C23793" t="str">
            <v>Quarry Bank Primary School</v>
          </cell>
          <cell r="D23793" t="str">
            <v>Dudley</v>
          </cell>
          <cell r="E23793" t="str">
            <v>Community School</v>
          </cell>
          <cell r="F23793" t="str">
            <v>Primary</v>
          </cell>
        </row>
        <row r="23794">
          <cell r="A23794">
            <v>8832442</v>
          </cell>
          <cell r="B23794">
            <v>114851</v>
          </cell>
          <cell r="C23794" t="str">
            <v>Quarry Hill Junior School</v>
          </cell>
          <cell r="D23794" t="str">
            <v>Thurrock</v>
          </cell>
          <cell r="E23794" t="str">
            <v>Community School</v>
          </cell>
          <cell r="F23794" t="str">
            <v>Primary</v>
          </cell>
        </row>
        <row r="23795">
          <cell r="A23795">
            <v>8832452</v>
          </cell>
          <cell r="B23795">
            <v>114854</v>
          </cell>
          <cell r="C23795" t="str">
            <v>Quarry Hill Primary and Pre School</v>
          </cell>
          <cell r="D23795" t="str">
            <v>Thurrock</v>
          </cell>
          <cell r="E23795" t="str">
            <v>Community School</v>
          </cell>
          <cell r="F23795" t="str">
            <v>Primary</v>
          </cell>
        </row>
        <row r="23796">
          <cell r="A23796">
            <v>3832159</v>
          </cell>
          <cell r="B23796">
            <v>127843</v>
          </cell>
          <cell r="C23796" t="str">
            <v>Quarry Mount First School</v>
          </cell>
          <cell r="D23796" t="str">
            <v>Leeds</v>
          </cell>
          <cell r="E23796" t="str">
            <v>Community School</v>
          </cell>
          <cell r="F23796" t="str">
            <v>Primary</v>
          </cell>
        </row>
        <row r="23797">
          <cell r="A23797">
            <v>3832413</v>
          </cell>
          <cell r="B23797">
            <v>107889</v>
          </cell>
          <cell r="C23797" t="str">
            <v>Quarry Mount Primary School</v>
          </cell>
          <cell r="D23797" t="str">
            <v>Leeds</v>
          </cell>
          <cell r="E23797" t="str">
            <v>Community School</v>
          </cell>
          <cell r="F23797" t="str">
            <v>Primary</v>
          </cell>
        </row>
        <row r="23798">
          <cell r="A23798">
            <v>3942062</v>
          </cell>
          <cell r="B23798">
            <v>108775</v>
          </cell>
          <cell r="C23798" t="str">
            <v>Quarry View Infant School</v>
          </cell>
          <cell r="D23798" t="str">
            <v>Sunderland</v>
          </cell>
          <cell r="E23798" t="str">
            <v>Community School</v>
          </cell>
          <cell r="F23798" t="str">
            <v>Primary</v>
          </cell>
        </row>
        <row r="23799">
          <cell r="A23799">
            <v>3942061</v>
          </cell>
          <cell r="B23799">
            <v>108774</v>
          </cell>
          <cell r="C23799" t="str">
            <v>Quarry View Junior School</v>
          </cell>
          <cell r="D23799" t="str">
            <v>Sunderland</v>
          </cell>
          <cell r="E23799" t="str">
            <v>Community School</v>
          </cell>
          <cell r="F23799" t="str">
            <v>Primary</v>
          </cell>
        </row>
        <row r="23800">
          <cell r="A23800">
            <v>3942337</v>
          </cell>
          <cell r="B23800">
            <v>133345</v>
          </cell>
          <cell r="C23800" t="str">
            <v>Quarry View Primary School</v>
          </cell>
          <cell r="D23800" t="str">
            <v>Sunderland</v>
          </cell>
          <cell r="E23800" t="str">
            <v>Community School</v>
          </cell>
          <cell r="F23800" t="str">
            <v>Primary</v>
          </cell>
        </row>
        <row r="23801">
          <cell r="A23801">
            <v>8914068</v>
          </cell>
          <cell r="B23801">
            <v>122840</v>
          </cell>
          <cell r="C23801" t="str">
            <v>Quarrydale School</v>
          </cell>
          <cell r="D23801" t="str">
            <v>Nottinghamshire</v>
          </cell>
          <cell r="E23801" t="str">
            <v>Foundation School</v>
          </cell>
          <cell r="F23801" t="str">
            <v>Secondary</v>
          </cell>
        </row>
        <row r="23802">
          <cell r="A23802">
            <v>3932079</v>
          </cell>
          <cell r="B23802">
            <v>128184</v>
          </cell>
          <cell r="C23802" t="str">
            <v>Quay County Infants' School</v>
          </cell>
          <cell r="D23802" t="str">
            <v>South Tyneside</v>
          </cell>
          <cell r="E23802" t="str">
            <v>Community School</v>
          </cell>
          <cell r="F23802" t="str">
            <v>Primary</v>
          </cell>
        </row>
        <row r="23803">
          <cell r="A23803">
            <v>8112002</v>
          </cell>
          <cell r="B23803">
            <v>133482</v>
          </cell>
          <cell r="C23803" t="str">
            <v>Quay Primary School</v>
          </cell>
          <cell r="D23803" t="str">
            <v>East Riding of Yorkshire</v>
          </cell>
          <cell r="E23803" t="str">
            <v>Community School</v>
          </cell>
          <cell r="F23803" t="str">
            <v>Primary</v>
          </cell>
        </row>
        <row r="23804">
          <cell r="A23804">
            <v>8026129</v>
          </cell>
          <cell r="B23804">
            <v>129437</v>
          </cell>
          <cell r="C23804" t="str">
            <v>Quayside Education Centre</v>
          </cell>
          <cell r="D23804" t="str">
            <v>North Somerset</v>
          </cell>
          <cell r="E23804" t="str">
            <v>Other Independent Special School</v>
          </cell>
          <cell r="F23804" t="str">
            <v>Not applicable</v>
          </cell>
        </row>
        <row r="23805">
          <cell r="A23805">
            <v>8501118</v>
          </cell>
          <cell r="B23805">
            <v>133778</v>
          </cell>
          <cell r="C23805" t="str">
            <v>Quayside Education Centre</v>
          </cell>
          <cell r="D23805" t="str">
            <v>Hampshire</v>
          </cell>
          <cell r="E23805" t="str">
            <v>Pupil Referral Unit</v>
          </cell>
          <cell r="F23805" t="str">
            <v>PRU</v>
          </cell>
        </row>
        <row r="23806">
          <cell r="A23806">
            <v>3307904</v>
          </cell>
          <cell r="B23806">
            <v>131963</v>
          </cell>
          <cell r="C23806" t="str">
            <v>Queen Alexandra College</v>
          </cell>
          <cell r="D23806" t="str">
            <v>Birmingham</v>
          </cell>
          <cell r="E23806" t="str">
            <v>Special College</v>
          </cell>
          <cell r="F23806" t="str">
            <v>16 Plus</v>
          </cell>
        </row>
        <row r="23807">
          <cell r="A23807">
            <v>8164230</v>
          </cell>
          <cell r="B23807">
            <v>121707</v>
          </cell>
          <cell r="C23807" t="str">
            <v>Queen Anne School</v>
          </cell>
          <cell r="D23807" t="str">
            <v>York</v>
          </cell>
          <cell r="E23807" t="str">
            <v>Community School</v>
          </cell>
          <cell r="F23807" t="str">
            <v>Secondary</v>
          </cell>
        </row>
        <row r="23808">
          <cell r="A23808">
            <v>8706000</v>
          </cell>
          <cell r="B23808">
            <v>110109</v>
          </cell>
          <cell r="C23808" t="str">
            <v>Queen Anne's School</v>
          </cell>
          <cell r="D23808" t="str">
            <v>Reading</v>
          </cell>
          <cell r="E23808" t="str">
            <v>Other Independent School</v>
          </cell>
          <cell r="F23808" t="str">
            <v>Not applicable</v>
          </cell>
        </row>
        <row r="23809">
          <cell r="A23809">
            <v>8732333</v>
          </cell>
          <cell r="B23809">
            <v>110763</v>
          </cell>
          <cell r="C23809" t="str">
            <v>Queen Edith Community Primary School</v>
          </cell>
          <cell r="D23809" t="str">
            <v>Cambridgeshire</v>
          </cell>
          <cell r="E23809" t="str">
            <v>Foundation School</v>
          </cell>
          <cell r="F23809" t="str">
            <v>Primary</v>
          </cell>
        </row>
        <row r="23810">
          <cell r="A23810">
            <v>9052117</v>
          </cell>
          <cell r="B23810">
            <v>128368</v>
          </cell>
          <cell r="C23810" t="str">
            <v>Queen Edith Infant School</v>
          </cell>
          <cell r="D23810" t="str">
            <v>Pre LGR (1998) Cambridgeshire</v>
          </cell>
          <cell r="E23810" t="str">
            <v>Community School</v>
          </cell>
          <cell r="F23810" t="str">
            <v>Primary</v>
          </cell>
        </row>
        <row r="23811">
          <cell r="A23811">
            <v>9052116</v>
          </cell>
          <cell r="B23811">
            <v>128367</v>
          </cell>
          <cell r="C23811" t="str">
            <v>Queen Edith Junior School</v>
          </cell>
          <cell r="D23811" t="str">
            <v>Pre LGR (1998) Cambridgeshire</v>
          </cell>
          <cell r="E23811" t="str">
            <v>Community School</v>
          </cell>
          <cell r="F23811" t="str">
            <v>Primary</v>
          </cell>
        </row>
        <row r="23812">
          <cell r="A23812">
            <v>9282170</v>
          </cell>
          <cell r="B23812">
            <v>121917</v>
          </cell>
          <cell r="C23812" t="str">
            <v>Queen Eleanor Primary School</v>
          </cell>
          <cell r="D23812" t="str">
            <v>Northamptonshire</v>
          </cell>
          <cell r="E23812" t="str">
            <v>Community School</v>
          </cell>
          <cell r="F23812" t="str">
            <v>Primary</v>
          </cell>
        </row>
        <row r="23813">
          <cell r="A23813">
            <v>8912751</v>
          </cell>
          <cell r="B23813">
            <v>122645</v>
          </cell>
          <cell r="C23813" t="str">
            <v>Queen Eleanor Primary School</v>
          </cell>
          <cell r="D23813" t="str">
            <v>Nottinghamshire</v>
          </cell>
          <cell r="E23813" t="str">
            <v>Community School</v>
          </cell>
          <cell r="F23813" t="str">
            <v>Primary</v>
          </cell>
        </row>
        <row r="23814">
          <cell r="A23814">
            <v>8262011</v>
          </cell>
          <cell r="B23814">
            <v>133366</v>
          </cell>
          <cell r="C23814" t="str">
            <v>Queen Eleanor Primary School</v>
          </cell>
          <cell r="D23814" t="str">
            <v>Milton Keynes</v>
          </cell>
          <cell r="E23814" t="str">
            <v>Community School</v>
          </cell>
          <cell r="F23814" t="str">
            <v>Primary</v>
          </cell>
        </row>
        <row r="23815">
          <cell r="A23815">
            <v>9363353</v>
          </cell>
          <cell r="B23815">
            <v>125188</v>
          </cell>
          <cell r="C23815" t="str">
            <v>Queen Eleanor's CofE Junior School</v>
          </cell>
          <cell r="D23815" t="str">
            <v>Surrey</v>
          </cell>
          <cell r="E23815" t="str">
            <v>Voluntary Aided School</v>
          </cell>
          <cell r="F23815" t="str">
            <v>Primary</v>
          </cell>
        </row>
        <row r="23816">
          <cell r="A23816">
            <v>6694057</v>
          </cell>
          <cell r="B23816">
            <v>401757</v>
          </cell>
          <cell r="C23816" t="str">
            <v>Queen Elizabeth Cambria</v>
          </cell>
          <cell r="D23816" t="str">
            <v>Carmarthenshire</v>
          </cell>
          <cell r="E23816" t="str">
            <v>Welsh Establishment</v>
          </cell>
          <cell r="F23816" t="str">
            <v>Secondary</v>
          </cell>
        </row>
        <row r="23817">
          <cell r="A23817">
            <v>3846119</v>
          </cell>
          <cell r="B23817">
            <v>108309</v>
          </cell>
          <cell r="C23817" t="str">
            <v>Queen Elizabeth Grammar Junior School</v>
          </cell>
          <cell r="D23817" t="str">
            <v>Wakefield</v>
          </cell>
          <cell r="E23817" t="str">
            <v>Other Independent School</v>
          </cell>
          <cell r="F23817" t="str">
            <v>Not applicable</v>
          </cell>
        </row>
        <row r="23818">
          <cell r="A23818">
            <v>3846115</v>
          </cell>
          <cell r="B23818">
            <v>108306</v>
          </cell>
          <cell r="C23818" t="str">
            <v>Queen Elizabeth Grammar School</v>
          </cell>
          <cell r="D23818" t="str">
            <v>Wakefield</v>
          </cell>
          <cell r="E23818" t="str">
            <v>Other Independent School</v>
          </cell>
          <cell r="F23818" t="str">
            <v>Not applicable</v>
          </cell>
        </row>
        <row r="23819">
          <cell r="A23819">
            <v>9095401</v>
          </cell>
          <cell r="B23819">
            <v>112428</v>
          </cell>
          <cell r="C23819" t="str">
            <v>Queen Elizabeth Grammar School</v>
          </cell>
          <cell r="D23819" t="str">
            <v>Cumbria</v>
          </cell>
          <cell r="E23819" t="str">
            <v>Foundation School</v>
          </cell>
          <cell r="F23819" t="str">
            <v>Secondary</v>
          </cell>
        </row>
        <row r="23820">
          <cell r="A23820">
            <v>9095401</v>
          </cell>
          <cell r="B23820">
            <v>136732</v>
          </cell>
          <cell r="C23820" t="str">
            <v>Queen Elizabeth Grammar School</v>
          </cell>
          <cell r="D23820" t="str">
            <v>Cumbria</v>
          </cell>
          <cell r="E23820" t="str">
            <v>Academy Converters</v>
          </cell>
          <cell r="F23820" t="str">
            <v>Secondary</v>
          </cell>
        </row>
        <row r="23821">
          <cell r="A23821">
            <v>6694063</v>
          </cell>
          <cell r="B23821">
            <v>402085</v>
          </cell>
          <cell r="C23821" t="str">
            <v>Queen Elizabeth High</v>
          </cell>
          <cell r="D23821" t="str">
            <v>Carmarthenshire</v>
          </cell>
          <cell r="E23821" t="str">
            <v>Welsh Establishment</v>
          </cell>
          <cell r="F23821" t="str">
            <v>Secondary</v>
          </cell>
        </row>
        <row r="23822">
          <cell r="A23822">
            <v>9294417</v>
          </cell>
          <cell r="B23822">
            <v>122356</v>
          </cell>
          <cell r="C23822" t="str">
            <v>Queen Elizabeth High School</v>
          </cell>
          <cell r="D23822" t="str">
            <v>Northumberland</v>
          </cell>
          <cell r="E23822" t="str">
            <v>Community School</v>
          </cell>
          <cell r="F23822" t="str">
            <v>Secondary</v>
          </cell>
        </row>
        <row r="23823">
          <cell r="A23823">
            <v>3544500</v>
          </cell>
          <cell r="B23823">
            <v>127459</v>
          </cell>
          <cell r="C23823" t="str">
            <v>Queen Elizabeth High School</v>
          </cell>
          <cell r="D23823" t="str">
            <v>Rochdale</v>
          </cell>
          <cell r="E23823" t="str">
            <v>Voluntary Controlled School</v>
          </cell>
          <cell r="F23823" t="str">
            <v>Secondary</v>
          </cell>
        </row>
        <row r="23824">
          <cell r="A23824">
            <v>8844004</v>
          </cell>
          <cell r="B23824">
            <v>116930</v>
          </cell>
          <cell r="C23824" t="str">
            <v>Queen Elizabeth Humanities College</v>
          </cell>
          <cell r="D23824" t="str">
            <v>Herefordshire</v>
          </cell>
          <cell r="E23824" t="str">
            <v>Foundation School</v>
          </cell>
          <cell r="F23824" t="str">
            <v>Secondary</v>
          </cell>
        </row>
        <row r="23825">
          <cell r="A23825">
            <v>8844004</v>
          </cell>
          <cell r="B23825">
            <v>137703</v>
          </cell>
          <cell r="C23825" t="str">
            <v>Queen Elizabeth Humanities College</v>
          </cell>
          <cell r="D23825" t="str">
            <v>Herefordshire</v>
          </cell>
          <cell r="E23825" t="str">
            <v>Academy Converters</v>
          </cell>
          <cell r="F23825" t="str">
            <v>Secondary</v>
          </cell>
        </row>
        <row r="23826">
          <cell r="A23826">
            <v>7054003</v>
          </cell>
          <cell r="B23826">
            <v>132494</v>
          </cell>
          <cell r="C23826" t="str">
            <v>Queen Elizabeth II High School</v>
          </cell>
          <cell r="D23826" t="str">
            <v>Isle of Man Offshore Establishments</v>
          </cell>
          <cell r="E23826" t="str">
            <v>Offshore Schools</v>
          </cell>
          <cell r="F23826" t="str">
            <v>Not applicable</v>
          </cell>
        </row>
        <row r="23827">
          <cell r="A23827">
            <v>2137184</v>
          </cell>
          <cell r="B23827">
            <v>101184</v>
          </cell>
          <cell r="C23827" t="str">
            <v>Queen Elizabeth II Jubilee School</v>
          </cell>
          <cell r="D23827" t="str">
            <v>Westminster</v>
          </cell>
          <cell r="E23827" t="str">
            <v>Community Special School</v>
          </cell>
          <cell r="F23827" t="str">
            <v>Special</v>
          </cell>
        </row>
        <row r="23828">
          <cell r="A23828">
            <v>9387009</v>
          </cell>
          <cell r="B23828">
            <v>126160</v>
          </cell>
          <cell r="C23828" t="str">
            <v>Queen Elizabeth II Silver Jubilee School, Horsham</v>
          </cell>
          <cell r="D23828" t="str">
            <v>West Sussex</v>
          </cell>
          <cell r="E23828" t="str">
            <v>Community Special School</v>
          </cell>
          <cell r="F23828" t="str">
            <v>Special</v>
          </cell>
        </row>
        <row r="23829">
          <cell r="A23829">
            <v>6694058</v>
          </cell>
          <cell r="B23829">
            <v>401758</v>
          </cell>
          <cell r="C23829" t="str">
            <v>Queen Elizabeth Maridunum</v>
          </cell>
          <cell r="D23829" t="str">
            <v>Carmarthenshire</v>
          </cell>
          <cell r="E23829" t="str">
            <v>Welsh Establishment</v>
          </cell>
          <cell r="F23829" t="str">
            <v>Secondary</v>
          </cell>
        </row>
        <row r="23830">
          <cell r="A23830">
            <v>9095411</v>
          </cell>
          <cell r="B23830">
            <v>112438</v>
          </cell>
          <cell r="C23830" t="str">
            <v>Queen Elizabeth School</v>
          </cell>
          <cell r="D23830" t="str">
            <v>Cumbria</v>
          </cell>
          <cell r="E23830" t="str">
            <v>Foundation School</v>
          </cell>
          <cell r="F23830" t="str">
            <v>Secondary</v>
          </cell>
        </row>
        <row r="23831">
          <cell r="A23831">
            <v>9285411</v>
          </cell>
          <cell r="B23831">
            <v>122124</v>
          </cell>
          <cell r="C23831" t="str">
            <v>Queen Elizabeth School</v>
          </cell>
          <cell r="D23831" t="str">
            <v>Northamptonshire</v>
          </cell>
          <cell r="E23831" t="str">
            <v>Foundation School</v>
          </cell>
          <cell r="F23831" t="str">
            <v>Secondary</v>
          </cell>
        </row>
        <row r="23832">
          <cell r="A23832">
            <v>9375404</v>
          </cell>
          <cell r="B23832">
            <v>125768</v>
          </cell>
          <cell r="C23832" t="str">
            <v>Queen Elizabeth School</v>
          </cell>
          <cell r="D23832" t="str">
            <v>Warwickshire</v>
          </cell>
          <cell r="E23832" t="str">
            <v>Foundation School</v>
          </cell>
          <cell r="F23832" t="str">
            <v>Secondary</v>
          </cell>
        </row>
        <row r="23833">
          <cell r="A23833">
            <v>9095411</v>
          </cell>
          <cell r="B23833">
            <v>136357</v>
          </cell>
          <cell r="C23833" t="str">
            <v>Queen Elizabeth School</v>
          </cell>
          <cell r="D23833" t="str">
            <v>Cumbria</v>
          </cell>
          <cell r="E23833" t="str">
            <v>Academy Converters</v>
          </cell>
          <cell r="F23833" t="str">
            <v>Secondary</v>
          </cell>
        </row>
        <row r="23834">
          <cell r="A23834">
            <v>9134282</v>
          </cell>
          <cell r="B23834">
            <v>128824</v>
          </cell>
          <cell r="C23834" t="str">
            <v>Queen Elizabeth Sixth Form College</v>
          </cell>
          <cell r="D23834" t="str">
            <v>Pre LGR (1997) Durham</v>
          </cell>
          <cell r="E23834" t="str">
            <v>Community School</v>
          </cell>
          <cell r="F23834" t="str">
            <v>Secondary</v>
          </cell>
        </row>
        <row r="23835">
          <cell r="A23835">
            <v>8418600</v>
          </cell>
          <cell r="B23835">
            <v>130662</v>
          </cell>
          <cell r="C23835" t="str">
            <v>Queen Elizabeth Sixth Form College</v>
          </cell>
          <cell r="D23835" t="str">
            <v>Darlington</v>
          </cell>
          <cell r="E23835" t="str">
            <v>Further Education</v>
          </cell>
          <cell r="F23835" t="str">
            <v>16 Plus</v>
          </cell>
        </row>
        <row r="23836">
          <cell r="A23836">
            <v>8914006</v>
          </cell>
          <cell r="B23836">
            <v>137749</v>
          </cell>
          <cell r="C23836" t="str">
            <v>Queen Elizabeth's Academy</v>
          </cell>
          <cell r="D23836" t="str">
            <v>Nottinghamshire</v>
          </cell>
          <cell r="E23836" t="str">
            <v>Academy Sponsor Led</v>
          </cell>
          <cell r="F23836" t="str">
            <v>Secondary</v>
          </cell>
        </row>
        <row r="23837">
          <cell r="A23837">
            <v>8784003</v>
          </cell>
          <cell r="B23837">
            <v>136646</v>
          </cell>
          <cell r="C23837" t="str">
            <v>Queen Elizabeth's Academy Trust</v>
          </cell>
          <cell r="D23837" t="str">
            <v>Devon</v>
          </cell>
          <cell r="E23837" t="str">
            <v>Academy Converters</v>
          </cell>
          <cell r="F23837" t="str">
            <v>Secondary</v>
          </cell>
        </row>
        <row r="23838">
          <cell r="A23838">
            <v>8784003</v>
          </cell>
          <cell r="B23838">
            <v>113498</v>
          </cell>
          <cell r="C23838" t="str">
            <v>Queen Elizabeth's Community College</v>
          </cell>
          <cell r="D23838" t="str">
            <v>Devon</v>
          </cell>
          <cell r="E23838" t="str">
            <v>Community School</v>
          </cell>
          <cell r="F23838" t="str">
            <v>Secondary</v>
          </cell>
        </row>
        <row r="23839">
          <cell r="A23839">
            <v>9367905</v>
          </cell>
          <cell r="B23839">
            <v>131967</v>
          </cell>
          <cell r="C23839" t="str">
            <v>Queen Elizabeth's Foundation Brain Injury Centre</v>
          </cell>
          <cell r="D23839" t="str">
            <v>Surrey</v>
          </cell>
          <cell r="E23839" t="str">
            <v>Special College</v>
          </cell>
          <cell r="F23839" t="str">
            <v>16 Plus</v>
          </cell>
        </row>
        <row r="23840">
          <cell r="A23840">
            <v>3024208</v>
          </cell>
          <cell r="B23840">
            <v>101348</v>
          </cell>
          <cell r="C23840" t="str">
            <v>Queen Elizabeth's Girls' School</v>
          </cell>
          <cell r="D23840" t="str">
            <v>Barnet</v>
          </cell>
          <cell r="E23840" t="str">
            <v>Community School</v>
          </cell>
          <cell r="F23840" t="str">
            <v>Secondary</v>
          </cell>
        </row>
        <row r="23841">
          <cell r="A23841">
            <v>9304751</v>
          </cell>
          <cell r="B23841">
            <v>129733</v>
          </cell>
          <cell r="C23841" t="str">
            <v>Queen Elizabeth's Girls' School</v>
          </cell>
          <cell r="D23841" t="str">
            <v>Pre LGR (1998) Nottinghamshire</v>
          </cell>
          <cell r="E23841" t="str">
            <v>Voluntary Aided School</v>
          </cell>
          <cell r="F23841" t="str">
            <v>Secondary</v>
          </cell>
        </row>
        <row r="23842">
          <cell r="A23842">
            <v>3024208</v>
          </cell>
          <cell r="B23842">
            <v>137131</v>
          </cell>
          <cell r="C23842" t="str">
            <v>Queen Elizabeth's Girls' School</v>
          </cell>
          <cell r="D23842" t="str">
            <v>Barnet</v>
          </cell>
          <cell r="E23842" t="str">
            <v>Academy Converters</v>
          </cell>
          <cell r="F23842" t="str">
            <v>Secondary</v>
          </cell>
        </row>
        <row r="23843">
          <cell r="A23843">
            <v>9255401</v>
          </cell>
          <cell r="B23843">
            <v>136315</v>
          </cell>
          <cell r="C23843" t="str">
            <v>Queen Elizabeth's Grammar Alford - A Selective Academy</v>
          </cell>
          <cell r="D23843" t="str">
            <v>Lincolnshire</v>
          </cell>
          <cell r="E23843" t="str">
            <v>Academy Converters</v>
          </cell>
          <cell r="F23843" t="str">
            <v>Secondary</v>
          </cell>
        </row>
        <row r="23844">
          <cell r="A23844">
            <v>8304500</v>
          </cell>
          <cell r="B23844">
            <v>112967</v>
          </cell>
          <cell r="C23844" t="str">
            <v>Queen Elizabeth's Grammar School</v>
          </cell>
          <cell r="D23844" t="str">
            <v>Derbyshire</v>
          </cell>
          <cell r="E23844" t="str">
            <v>Voluntary Controlled School</v>
          </cell>
          <cell r="F23844" t="str">
            <v>Secondary</v>
          </cell>
        </row>
        <row r="23845">
          <cell r="A23845">
            <v>8865449</v>
          </cell>
          <cell r="B23845">
            <v>118921</v>
          </cell>
          <cell r="C23845" t="str">
            <v>Queen Elizabeth's Grammar School</v>
          </cell>
          <cell r="D23845" t="str">
            <v>Kent</v>
          </cell>
          <cell r="E23845" t="str">
            <v>Foundation School</v>
          </cell>
          <cell r="F23845" t="str">
            <v>Secondary</v>
          </cell>
        </row>
        <row r="23846">
          <cell r="A23846">
            <v>8896001</v>
          </cell>
          <cell r="B23846">
            <v>119838</v>
          </cell>
          <cell r="C23846" t="str">
            <v>Queen Elizabeth's Grammar School</v>
          </cell>
          <cell r="D23846" t="str">
            <v>Blackburn with Darwen</v>
          </cell>
          <cell r="E23846" t="str">
            <v>Other Independent School</v>
          </cell>
          <cell r="F23846" t="str">
            <v>Not applicable</v>
          </cell>
        </row>
        <row r="23847">
          <cell r="A23847">
            <v>9255401</v>
          </cell>
          <cell r="B23847">
            <v>120697</v>
          </cell>
          <cell r="C23847" t="str">
            <v>Queen Elizabeth's Grammar School</v>
          </cell>
          <cell r="D23847" t="str">
            <v>Lincolnshire</v>
          </cell>
          <cell r="E23847" t="str">
            <v>Foundation School</v>
          </cell>
          <cell r="F23847" t="str">
            <v>Secondary</v>
          </cell>
        </row>
        <row r="23848">
          <cell r="A23848">
            <v>8865449</v>
          </cell>
          <cell r="B23848">
            <v>136570</v>
          </cell>
          <cell r="C23848" t="str">
            <v>Queen Elizabeth's Grammar School</v>
          </cell>
          <cell r="D23848" t="str">
            <v>Kent</v>
          </cell>
          <cell r="E23848" t="str">
            <v>Academy Converters</v>
          </cell>
          <cell r="F23848" t="str">
            <v>Secondary</v>
          </cell>
        </row>
        <row r="23849">
          <cell r="A23849">
            <v>8304500</v>
          </cell>
          <cell r="B23849">
            <v>136972</v>
          </cell>
          <cell r="C23849" t="str">
            <v>Queen Elizabeth's Grammar School</v>
          </cell>
          <cell r="D23849" t="str">
            <v>Derbyshire</v>
          </cell>
          <cell r="E23849" t="str">
            <v>Academy Converters</v>
          </cell>
          <cell r="F23849" t="str">
            <v>Secondary</v>
          </cell>
        </row>
        <row r="23850">
          <cell r="A23850">
            <v>9255411</v>
          </cell>
          <cell r="B23850">
            <v>120707</v>
          </cell>
          <cell r="C23850" t="str">
            <v>Queen Elizabeth's Grammar School, Horncastle</v>
          </cell>
          <cell r="D23850" t="str">
            <v>Lincolnshire</v>
          </cell>
          <cell r="E23850" t="str">
            <v>Foundation School</v>
          </cell>
          <cell r="F23850" t="str">
            <v>Secondary</v>
          </cell>
        </row>
        <row r="23851">
          <cell r="A23851">
            <v>8016014</v>
          </cell>
          <cell r="B23851">
            <v>109370</v>
          </cell>
          <cell r="C23851" t="str">
            <v>Queen Elizabeth's Hospital</v>
          </cell>
          <cell r="D23851" t="str">
            <v>Bristol City of</v>
          </cell>
          <cell r="E23851" t="str">
            <v>Other Independent School</v>
          </cell>
          <cell r="F23851" t="str">
            <v>Not applicable</v>
          </cell>
        </row>
        <row r="23852">
          <cell r="A23852">
            <v>8604115</v>
          </cell>
          <cell r="B23852">
            <v>124418</v>
          </cell>
          <cell r="C23852" t="str">
            <v>Queen Elizabeth's Mercian School</v>
          </cell>
          <cell r="D23852" t="str">
            <v>Staffordshire</v>
          </cell>
          <cell r="E23852" t="str">
            <v>Community School</v>
          </cell>
          <cell r="F23852" t="str">
            <v>Secondary</v>
          </cell>
        </row>
        <row r="23853">
          <cell r="A23853">
            <v>8354504</v>
          </cell>
          <cell r="B23853">
            <v>113883</v>
          </cell>
          <cell r="C23853" t="str">
            <v>Queen Elizabeth's School</v>
          </cell>
          <cell r="D23853" t="str">
            <v>Dorset</v>
          </cell>
          <cell r="E23853" t="str">
            <v>Voluntary Controlled School</v>
          </cell>
          <cell r="F23853" t="str">
            <v>Secondary</v>
          </cell>
        </row>
        <row r="23854">
          <cell r="A23854">
            <v>3025401</v>
          </cell>
          <cell r="B23854">
            <v>101358</v>
          </cell>
          <cell r="C23854" t="str">
            <v>Queen Elizabeth's School, Barnet</v>
          </cell>
          <cell r="D23854" t="str">
            <v>Barnet</v>
          </cell>
          <cell r="E23854" t="str">
            <v>Foundation School</v>
          </cell>
          <cell r="F23854" t="str">
            <v>Secondary</v>
          </cell>
        </row>
        <row r="23855">
          <cell r="A23855">
            <v>3025401</v>
          </cell>
          <cell r="B23855">
            <v>136290</v>
          </cell>
          <cell r="C23855" t="str">
            <v>Queen Elizabeth's School, Barnet</v>
          </cell>
          <cell r="D23855" t="str">
            <v>Barnet</v>
          </cell>
          <cell r="E23855" t="str">
            <v>Academy Converters</v>
          </cell>
          <cell r="F23855" t="str">
            <v>Secondary</v>
          </cell>
        </row>
        <row r="23856">
          <cell r="A23856">
            <v>8733946</v>
          </cell>
          <cell r="B23856">
            <v>136241</v>
          </cell>
          <cell r="C23856" t="str">
            <v>Queen Emma Primary School</v>
          </cell>
          <cell r="D23856" t="str">
            <v>Cambridgeshire</v>
          </cell>
          <cell r="E23856" t="str">
            <v>Foundation School</v>
          </cell>
          <cell r="F23856" t="str">
            <v>Primary</v>
          </cell>
        </row>
        <row r="23857">
          <cell r="A23857">
            <v>8156014</v>
          </cell>
          <cell r="B23857">
            <v>121743</v>
          </cell>
          <cell r="C23857" t="str">
            <v>Queen Ethelburga's College</v>
          </cell>
          <cell r="D23857" t="str">
            <v>North Yorkshire</v>
          </cell>
          <cell r="E23857" t="str">
            <v>Other Independent School</v>
          </cell>
          <cell r="F23857" t="str">
            <v>Not applicable</v>
          </cell>
        </row>
        <row r="23858">
          <cell r="A23858">
            <v>9162116</v>
          </cell>
          <cell r="B23858">
            <v>115560</v>
          </cell>
          <cell r="C23858" t="str">
            <v>Queen Margaret Primary School and Children's Centre</v>
          </cell>
          <cell r="D23858" t="str">
            <v>Gloucestershire</v>
          </cell>
          <cell r="E23858" t="str">
            <v>Community School</v>
          </cell>
          <cell r="F23858" t="str">
            <v>Primary</v>
          </cell>
        </row>
        <row r="23859">
          <cell r="A23859">
            <v>8156035</v>
          </cell>
          <cell r="B23859">
            <v>121749</v>
          </cell>
          <cell r="C23859" t="str">
            <v>Queen Margaret's School</v>
          </cell>
          <cell r="D23859" t="str">
            <v>North Yorkshire</v>
          </cell>
          <cell r="E23859" t="str">
            <v>Other Independent School</v>
          </cell>
          <cell r="F23859" t="str">
            <v>Not applicable</v>
          </cell>
        </row>
        <row r="23860">
          <cell r="A23860">
            <v>211</v>
          </cell>
          <cell r="B23860">
            <v>133813</v>
          </cell>
          <cell r="C23860" t="str">
            <v>Queen Mary and Westfield College</v>
          </cell>
          <cell r="D23860" t="str">
            <v>Tower Hamlets</v>
          </cell>
          <cell r="E23860" t="str">
            <v>Higher Education Institutions</v>
          </cell>
          <cell r="F23860" t="str">
            <v>Not applicable</v>
          </cell>
        </row>
        <row r="23861">
          <cell r="A23861">
            <v>8122113</v>
          </cell>
          <cell r="B23861">
            <v>117733</v>
          </cell>
          <cell r="C23861" t="str">
            <v>Queen Mary Avenue Infant School</v>
          </cell>
          <cell r="D23861" t="str">
            <v>North East Lincolnshire</v>
          </cell>
          <cell r="E23861" t="str">
            <v>Community School</v>
          </cell>
          <cell r="F23861" t="str">
            <v>Primary</v>
          </cell>
        </row>
        <row r="23862">
          <cell r="A23862">
            <v>8886015</v>
          </cell>
          <cell r="B23862">
            <v>119837</v>
          </cell>
          <cell r="C23862" t="str">
            <v>Queen Mary School</v>
          </cell>
          <cell r="D23862" t="str">
            <v>Lancashire</v>
          </cell>
          <cell r="E23862" t="str">
            <v>Other Independent School</v>
          </cell>
          <cell r="F23862" t="str">
            <v>Not applicable</v>
          </cell>
        </row>
        <row r="23863">
          <cell r="A23863">
            <v>9174179</v>
          </cell>
          <cell r="B23863">
            <v>129037</v>
          </cell>
          <cell r="C23863" t="str">
            <v>Queen Mary's College</v>
          </cell>
          <cell r="D23863" t="str">
            <v>Pre LGR (1997) Hampshire</v>
          </cell>
          <cell r="E23863" t="str">
            <v>Community School</v>
          </cell>
          <cell r="F23863" t="str">
            <v>Secondary</v>
          </cell>
        </row>
        <row r="23864">
          <cell r="A23864">
            <v>8508601</v>
          </cell>
          <cell r="B23864">
            <v>130700</v>
          </cell>
          <cell r="C23864" t="str">
            <v>Queen Mary's College</v>
          </cell>
          <cell r="D23864" t="str">
            <v>Hampshire</v>
          </cell>
          <cell r="E23864" t="str">
            <v>Further Education</v>
          </cell>
          <cell r="F23864" t="str">
            <v>16 Plus</v>
          </cell>
        </row>
        <row r="23865">
          <cell r="A23865">
            <v>3355404</v>
          </cell>
          <cell r="B23865">
            <v>104262</v>
          </cell>
          <cell r="C23865" t="str">
            <v>Queen Mary's Grammar School</v>
          </cell>
          <cell r="D23865" t="str">
            <v>Walsall</v>
          </cell>
          <cell r="E23865" t="str">
            <v>Voluntary Aided School</v>
          </cell>
          <cell r="F23865" t="str">
            <v>Secondary</v>
          </cell>
        </row>
        <row r="23866">
          <cell r="A23866">
            <v>3355404</v>
          </cell>
          <cell r="B23866">
            <v>136773</v>
          </cell>
          <cell r="C23866" t="str">
            <v>Queen Mary's Grammar School</v>
          </cell>
          <cell r="D23866" t="str">
            <v>Walsall</v>
          </cell>
          <cell r="E23866" t="str">
            <v>Academy Converters</v>
          </cell>
          <cell r="F23866" t="str">
            <v>Secondary</v>
          </cell>
        </row>
        <row r="23867">
          <cell r="A23867">
            <v>3355403</v>
          </cell>
          <cell r="B23867">
            <v>104261</v>
          </cell>
          <cell r="C23867" t="str">
            <v>Queen Mary's High School</v>
          </cell>
          <cell r="D23867" t="str">
            <v>Walsall</v>
          </cell>
          <cell r="E23867" t="str">
            <v>Voluntary Aided School</v>
          </cell>
          <cell r="F23867" t="str">
            <v>Secondary</v>
          </cell>
        </row>
        <row r="23868">
          <cell r="A23868">
            <v>3355403</v>
          </cell>
          <cell r="B23868">
            <v>136777</v>
          </cell>
          <cell r="C23868" t="str">
            <v>Queen Mary's High School</v>
          </cell>
          <cell r="D23868" t="str">
            <v>Walsall</v>
          </cell>
          <cell r="E23868" t="str">
            <v>Academy Converters</v>
          </cell>
          <cell r="F23868" t="str">
            <v>Secondary</v>
          </cell>
        </row>
        <row r="23869">
          <cell r="A23869">
            <v>3187004</v>
          </cell>
          <cell r="B23869">
            <v>127027</v>
          </cell>
          <cell r="C23869" t="str">
            <v>Queen Mary's Hospital School</v>
          </cell>
          <cell r="D23869" t="str">
            <v>Richmond upon Thames</v>
          </cell>
          <cell r="E23869" t="str">
            <v>Community Special School</v>
          </cell>
          <cell r="F23869" t="str">
            <v>Special</v>
          </cell>
        </row>
        <row r="23870">
          <cell r="A23870">
            <v>8156000</v>
          </cell>
          <cell r="B23870">
            <v>121725</v>
          </cell>
          <cell r="C23870" t="str">
            <v>Queen Mary's School</v>
          </cell>
          <cell r="D23870" t="str">
            <v>North Yorkshire</v>
          </cell>
          <cell r="E23870" t="str">
            <v>Other Independent School</v>
          </cell>
          <cell r="F23870" t="str">
            <v>Not applicable</v>
          </cell>
        </row>
        <row r="23871">
          <cell r="A23871">
            <v>3502059</v>
          </cell>
          <cell r="B23871">
            <v>105184</v>
          </cell>
          <cell r="C23871" t="str">
            <v>Queen Street Primary School</v>
          </cell>
          <cell r="D23871" t="str">
            <v>Bolton</v>
          </cell>
          <cell r="E23871" t="str">
            <v>Community School</v>
          </cell>
          <cell r="F23871" t="str">
            <v>Primary</v>
          </cell>
        </row>
        <row r="23872">
          <cell r="A23872">
            <v>6772173</v>
          </cell>
          <cell r="B23872">
            <v>401394</v>
          </cell>
          <cell r="C23872" t="str">
            <v>Queen Street Primary School</v>
          </cell>
          <cell r="D23872" t="str">
            <v>Blaenau Gwent</v>
          </cell>
          <cell r="E23872" t="str">
            <v>Welsh Establishment</v>
          </cell>
          <cell r="F23872" t="str">
            <v>Primary</v>
          </cell>
        </row>
        <row r="23873">
          <cell r="A23873">
            <v>3322149</v>
          </cell>
          <cell r="B23873">
            <v>103826</v>
          </cell>
          <cell r="C23873" t="str">
            <v>Queen Victoria Primary School</v>
          </cell>
          <cell r="D23873" t="str">
            <v>Dudley</v>
          </cell>
          <cell r="E23873" t="str">
            <v>Community School</v>
          </cell>
          <cell r="F23873" t="str">
            <v>Primary</v>
          </cell>
        </row>
        <row r="23874">
          <cell r="A23874">
            <v>8862237</v>
          </cell>
          <cell r="B23874">
            <v>118345</v>
          </cell>
          <cell r="C23874" t="str">
            <v>Queenborough School and Nursery</v>
          </cell>
          <cell r="D23874" t="str">
            <v>Kent</v>
          </cell>
          <cell r="E23874" t="str">
            <v>Community School</v>
          </cell>
          <cell r="F23874" t="str">
            <v>Primary</v>
          </cell>
        </row>
        <row r="23875">
          <cell r="A23875">
            <v>9373200</v>
          </cell>
          <cell r="B23875">
            <v>125679</v>
          </cell>
          <cell r="C23875" t="str">
            <v>Queen's CofE Junior School</v>
          </cell>
          <cell r="D23875" t="str">
            <v>Warwickshire</v>
          </cell>
          <cell r="E23875" t="str">
            <v>Voluntary Controlled School</v>
          </cell>
          <cell r="F23875" t="str">
            <v>Primary</v>
          </cell>
        </row>
        <row r="23876">
          <cell r="A23876">
            <v>9336024</v>
          </cell>
          <cell r="B23876">
            <v>123913</v>
          </cell>
          <cell r="C23876" t="str">
            <v>Queen's College</v>
          </cell>
          <cell r="D23876" t="str">
            <v>Somerset</v>
          </cell>
          <cell r="E23876" t="str">
            <v>Other Independent School</v>
          </cell>
          <cell r="F23876" t="str">
            <v>Not applicable</v>
          </cell>
        </row>
        <row r="23877">
          <cell r="A23877">
            <v>2136036</v>
          </cell>
          <cell r="B23877">
            <v>101157</v>
          </cell>
          <cell r="C23877" t="str">
            <v>Queen's College London</v>
          </cell>
          <cell r="D23877" t="str">
            <v>Westminster</v>
          </cell>
          <cell r="E23877" t="str">
            <v>Other Independent School</v>
          </cell>
          <cell r="F23877" t="str">
            <v>Not applicable</v>
          </cell>
        </row>
        <row r="23878">
          <cell r="A23878">
            <v>8652228</v>
          </cell>
          <cell r="B23878">
            <v>126294</v>
          </cell>
          <cell r="C23878" t="str">
            <v>Queen's Crescent Primary School</v>
          </cell>
          <cell r="D23878" t="str">
            <v>Wiltshire</v>
          </cell>
          <cell r="E23878" t="str">
            <v>Community School</v>
          </cell>
          <cell r="F23878" t="str">
            <v>Primary</v>
          </cell>
        </row>
        <row r="23879">
          <cell r="A23879">
            <v>8607041</v>
          </cell>
          <cell r="B23879">
            <v>124521</v>
          </cell>
          <cell r="C23879" t="str">
            <v>Queen's Croft High School</v>
          </cell>
          <cell r="D23879" t="str">
            <v>Staffordshire</v>
          </cell>
          <cell r="E23879" t="str">
            <v>Community Special School</v>
          </cell>
          <cell r="F23879" t="str">
            <v>Special</v>
          </cell>
        </row>
        <row r="23880">
          <cell r="A23880">
            <v>8742270</v>
          </cell>
          <cell r="B23880">
            <v>110723</v>
          </cell>
          <cell r="C23880" t="str">
            <v>Queen's Drive Infant School</v>
          </cell>
          <cell r="D23880" t="str">
            <v>Peterborough</v>
          </cell>
          <cell r="E23880" t="str">
            <v>Community School</v>
          </cell>
          <cell r="F23880" t="str">
            <v>Primary</v>
          </cell>
        </row>
        <row r="23881">
          <cell r="A23881">
            <v>8882509</v>
          </cell>
          <cell r="B23881">
            <v>119292</v>
          </cell>
          <cell r="C23881" t="str">
            <v>Queen's Drive Primary School</v>
          </cell>
          <cell r="D23881" t="str">
            <v>Lancashire</v>
          </cell>
          <cell r="E23881" t="str">
            <v>Community School</v>
          </cell>
          <cell r="F23881" t="str">
            <v>Primary</v>
          </cell>
        </row>
        <row r="23882">
          <cell r="A23882">
            <v>9312304</v>
          </cell>
          <cell r="B23882">
            <v>123020</v>
          </cell>
          <cell r="C23882" t="str">
            <v>Queen's Dyke CP School</v>
          </cell>
          <cell r="D23882" t="str">
            <v>Oxfordshire</v>
          </cell>
          <cell r="E23882" t="str">
            <v>Community School</v>
          </cell>
          <cell r="F23882" t="str">
            <v>Primary</v>
          </cell>
        </row>
        <row r="23883">
          <cell r="A23883">
            <v>6642061</v>
          </cell>
          <cell r="B23883">
            <v>400346</v>
          </cell>
          <cell r="C23883" t="str">
            <v>Queens Ferry C.P. School</v>
          </cell>
          <cell r="D23883" t="str">
            <v>Flintshire</v>
          </cell>
          <cell r="E23883" t="str">
            <v>Welsh Establishment</v>
          </cell>
          <cell r="F23883" t="str">
            <v>Primary</v>
          </cell>
        </row>
        <row r="23884">
          <cell r="A23884">
            <v>9212043</v>
          </cell>
          <cell r="B23884">
            <v>136008</v>
          </cell>
          <cell r="C23884" t="str">
            <v>Queens Gate Foundation Primary</v>
          </cell>
          <cell r="D23884" t="str">
            <v>Isle of Wight</v>
          </cell>
          <cell r="E23884" t="str">
            <v>Foundation School</v>
          </cell>
          <cell r="F23884" t="str">
            <v>Primary</v>
          </cell>
        </row>
        <row r="23885">
          <cell r="A23885">
            <v>2076026</v>
          </cell>
          <cell r="B23885">
            <v>100511</v>
          </cell>
          <cell r="C23885" t="str">
            <v>Queen's Gate School</v>
          </cell>
          <cell r="D23885" t="str">
            <v>Kensington and Chelsea</v>
          </cell>
          <cell r="E23885" t="str">
            <v>Other Independent School</v>
          </cell>
          <cell r="F23885" t="str">
            <v>Not applicable</v>
          </cell>
        </row>
        <row r="23886">
          <cell r="A23886">
            <v>9263431</v>
          </cell>
          <cell r="B23886">
            <v>135148</v>
          </cell>
          <cell r="C23886" t="str">
            <v>Queen's Hill Primary School</v>
          </cell>
          <cell r="D23886" t="str">
            <v>Norfolk</v>
          </cell>
          <cell r="E23886" t="str">
            <v>Community School</v>
          </cell>
          <cell r="F23886" t="str">
            <v>Primary</v>
          </cell>
        </row>
        <row r="23887">
          <cell r="A23887">
            <v>6801100</v>
          </cell>
          <cell r="B23887">
            <v>401964</v>
          </cell>
          <cell r="C23887" t="str">
            <v>Queen's Hill PRU</v>
          </cell>
          <cell r="D23887" t="str">
            <v>Newport</v>
          </cell>
          <cell r="E23887" t="str">
            <v>Welsh Establishment</v>
          </cell>
          <cell r="F23887" t="str">
            <v>Not applicable</v>
          </cell>
        </row>
        <row r="23888">
          <cell r="A23888">
            <v>8502750</v>
          </cell>
          <cell r="B23888">
            <v>116248</v>
          </cell>
          <cell r="C23888" t="str">
            <v>Queen's Inclosure Primary School</v>
          </cell>
          <cell r="D23888" t="str">
            <v>Hampshire</v>
          </cell>
          <cell r="E23888" t="str">
            <v>Community School</v>
          </cell>
          <cell r="F23888" t="str">
            <v>Primary</v>
          </cell>
        </row>
        <row r="23889">
          <cell r="A23889">
            <v>2052484</v>
          </cell>
          <cell r="B23889">
            <v>100337</v>
          </cell>
          <cell r="C23889" t="str">
            <v>Queen's Manor School and Special Needs Unit</v>
          </cell>
          <cell r="D23889" t="str">
            <v>Hammersmith and Fulham</v>
          </cell>
          <cell r="E23889" t="str">
            <v>Community School</v>
          </cell>
          <cell r="F23889" t="str">
            <v>Primary</v>
          </cell>
        </row>
        <row r="23890">
          <cell r="A23890">
            <v>3546019</v>
          </cell>
          <cell r="B23890">
            <v>131390</v>
          </cell>
          <cell r="C23890" t="str">
            <v>Queens Park - Green Corns</v>
          </cell>
          <cell r="D23890" t="str">
            <v>Rochdale</v>
          </cell>
          <cell r="E23890" t="str">
            <v>Other Independent Special School</v>
          </cell>
          <cell r="F23890" t="str">
            <v>Not applicable</v>
          </cell>
        </row>
        <row r="23891">
          <cell r="A23891">
            <v>8222014</v>
          </cell>
          <cell r="B23891">
            <v>136660</v>
          </cell>
          <cell r="C23891" t="str">
            <v>Queen's Park Academy</v>
          </cell>
          <cell r="D23891" t="str">
            <v>Bedford</v>
          </cell>
          <cell r="E23891" t="str">
            <v>Academy Converters</v>
          </cell>
          <cell r="F23891" t="str">
            <v>Primary</v>
          </cell>
        </row>
        <row r="23892">
          <cell r="A23892">
            <v>3423208</v>
          </cell>
          <cell r="B23892">
            <v>130382</v>
          </cell>
          <cell r="C23892" t="str">
            <v>Queen's Park CofE URC Primary School</v>
          </cell>
          <cell r="D23892" t="str">
            <v>St. Helens</v>
          </cell>
          <cell r="E23892" t="str">
            <v>Voluntary Controlled School</v>
          </cell>
          <cell r="F23892" t="str">
            <v>Primary</v>
          </cell>
        </row>
        <row r="23893">
          <cell r="A23893">
            <v>3045403</v>
          </cell>
          <cell r="B23893">
            <v>101560</v>
          </cell>
          <cell r="C23893" t="str">
            <v>Queens Park Community School</v>
          </cell>
          <cell r="D23893" t="str">
            <v>Brent</v>
          </cell>
          <cell r="E23893" t="str">
            <v>Foundation School</v>
          </cell>
          <cell r="F23893" t="str">
            <v>Secondary</v>
          </cell>
        </row>
        <row r="23894">
          <cell r="A23894">
            <v>8964007</v>
          </cell>
          <cell r="B23894">
            <v>111397</v>
          </cell>
          <cell r="C23894" t="str">
            <v>Queen's Park High School</v>
          </cell>
          <cell r="D23894" t="str">
            <v>Cheshire West and Chester</v>
          </cell>
          <cell r="E23894" t="str">
            <v>Community School</v>
          </cell>
          <cell r="F23894" t="str">
            <v>Secondary</v>
          </cell>
        </row>
        <row r="23895">
          <cell r="A23895">
            <v>8372232</v>
          </cell>
          <cell r="B23895">
            <v>113731</v>
          </cell>
          <cell r="C23895" t="str">
            <v>Queens Park Infant School</v>
          </cell>
          <cell r="D23895" t="str">
            <v>Bournemouth</v>
          </cell>
          <cell r="E23895" t="str">
            <v>Community School</v>
          </cell>
          <cell r="F23895" t="str">
            <v>Primary</v>
          </cell>
        </row>
        <row r="23896">
          <cell r="A23896">
            <v>2132486</v>
          </cell>
          <cell r="B23896">
            <v>126708</v>
          </cell>
          <cell r="C23896" t="str">
            <v>Queens Park Infant School</v>
          </cell>
          <cell r="D23896" t="str">
            <v>Westminster</v>
          </cell>
          <cell r="E23896" t="str">
            <v>Community School</v>
          </cell>
          <cell r="F23896" t="str">
            <v>Primary</v>
          </cell>
        </row>
        <row r="23897">
          <cell r="A23897">
            <v>2132485</v>
          </cell>
          <cell r="B23897">
            <v>126707</v>
          </cell>
          <cell r="C23897" t="str">
            <v>Queens Park Junior School</v>
          </cell>
          <cell r="D23897" t="str">
            <v>Westminster</v>
          </cell>
          <cell r="E23897" t="str">
            <v>Community School</v>
          </cell>
          <cell r="F23897" t="str">
            <v>Primary</v>
          </cell>
        </row>
        <row r="23898">
          <cell r="A23898">
            <v>8372233</v>
          </cell>
          <cell r="B23898">
            <v>113732</v>
          </cell>
          <cell r="C23898" t="str">
            <v>Queen's Park Junior School</v>
          </cell>
          <cell r="D23898" t="str">
            <v>Bournemouth</v>
          </cell>
          <cell r="E23898" t="str">
            <v>Community School</v>
          </cell>
          <cell r="F23898" t="str">
            <v>Primary</v>
          </cell>
        </row>
        <row r="23899">
          <cell r="A23899">
            <v>8222014</v>
          </cell>
          <cell r="B23899">
            <v>109437</v>
          </cell>
          <cell r="C23899" t="str">
            <v>Queen's Park Lower School</v>
          </cell>
          <cell r="D23899" t="str">
            <v>Bedford</v>
          </cell>
          <cell r="E23899" t="str">
            <v>Community School</v>
          </cell>
          <cell r="F23899" t="str">
            <v>Primary</v>
          </cell>
        </row>
        <row r="23900">
          <cell r="A23900">
            <v>2132844</v>
          </cell>
          <cell r="B23900">
            <v>101120</v>
          </cell>
          <cell r="C23900" t="str">
            <v>Queen's Park Primary School</v>
          </cell>
          <cell r="D23900" t="str">
            <v>Westminster</v>
          </cell>
          <cell r="E23900" t="str">
            <v>Community School</v>
          </cell>
          <cell r="F23900" t="str">
            <v>Primary</v>
          </cell>
        </row>
        <row r="23901">
          <cell r="A23901">
            <v>8462156</v>
          </cell>
          <cell r="B23901">
            <v>114478</v>
          </cell>
          <cell r="C23901" t="str">
            <v>Queen's Park Primary School</v>
          </cell>
          <cell r="D23901" t="str">
            <v>Brighton and Hove</v>
          </cell>
          <cell r="E23901" t="str">
            <v>Community School</v>
          </cell>
          <cell r="F23901" t="str">
            <v>Primary</v>
          </cell>
        </row>
        <row r="23902">
          <cell r="A23902">
            <v>205941</v>
          </cell>
          <cell r="B23902">
            <v>132694</v>
          </cell>
          <cell r="C23902" t="str">
            <v>Queens Park Rangers Study Support Centre at Queens Park Rangers FC</v>
          </cell>
          <cell r="D23902" t="str">
            <v>Hammersmith and Fulham</v>
          </cell>
          <cell r="E23902" t="str">
            <v>Playing for Success Centres</v>
          </cell>
          <cell r="F23902" t="str">
            <v>Not applicable</v>
          </cell>
        </row>
        <row r="23903">
          <cell r="A23903">
            <v>8936010</v>
          </cell>
          <cell r="B23903">
            <v>123612</v>
          </cell>
          <cell r="C23903" t="str">
            <v>Queen's Park School</v>
          </cell>
          <cell r="D23903" t="str">
            <v>Shropshire</v>
          </cell>
          <cell r="E23903" t="str">
            <v>Other Independent Special School</v>
          </cell>
          <cell r="F23903" t="str">
            <v>Not applicable</v>
          </cell>
        </row>
        <row r="23904">
          <cell r="A23904">
            <v>3527050</v>
          </cell>
          <cell r="B23904">
            <v>127426</v>
          </cell>
          <cell r="C23904" t="str">
            <v>Queen's Park School</v>
          </cell>
          <cell r="D23904" t="str">
            <v>Manchester</v>
          </cell>
          <cell r="E23904" t="str">
            <v>Community Special School</v>
          </cell>
          <cell r="F23904" t="str">
            <v>Special</v>
          </cell>
        </row>
        <row r="23905">
          <cell r="A23905">
            <v>9257017</v>
          </cell>
          <cell r="B23905">
            <v>120756</v>
          </cell>
          <cell r="C23905" t="str">
            <v>Queen's Park School, Lincoln</v>
          </cell>
          <cell r="D23905" t="str">
            <v>Lincolnshire</v>
          </cell>
          <cell r="E23905" t="str">
            <v>Community Special School</v>
          </cell>
          <cell r="F23905" t="str">
            <v>Special</v>
          </cell>
        </row>
        <row r="23906">
          <cell r="A23906">
            <v>8894409</v>
          </cell>
          <cell r="B23906">
            <v>119772</v>
          </cell>
          <cell r="C23906" t="str">
            <v>Queen's Park Technology College</v>
          </cell>
          <cell r="D23906" t="str">
            <v>Blackburn with Darwen</v>
          </cell>
          <cell r="E23906" t="str">
            <v>Community School</v>
          </cell>
          <cell r="F23906" t="str">
            <v>Secondary</v>
          </cell>
        </row>
        <row r="23907">
          <cell r="A23907">
            <v>8612070</v>
          </cell>
          <cell r="B23907">
            <v>124005</v>
          </cell>
          <cell r="C23907" t="str">
            <v>Queen's Primary School</v>
          </cell>
          <cell r="D23907" t="str">
            <v>Stoke-on-Trent</v>
          </cell>
          <cell r="E23907" t="str">
            <v>Community School</v>
          </cell>
          <cell r="F23907" t="str">
            <v>Primary</v>
          </cell>
        </row>
        <row r="23908">
          <cell r="A23908">
            <v>3812020</v>
          </cell>
          <cell r="B23908">
            <v>107489</v>
          </cell>
          <cell r="C23908" t="str">
            <v>Queen's Road Junior Infant and Nursery School</v>
          </cell>
          <cell r="D23908" t="str">
            <v>Calderdale</v>
          </cell>
          <cell r="E23908" t="str">
            <v>Community School</v>
          </cell>
          <cell r="F23908" t="str">
            <v>Primary</v>
          </cell>
        </row>
        <row r="23909">
          <cell r="A23909">
            <v>3562081</v>
          </cell>
          <cell r="B23909">
            <v>106073</v>
          </cell>
          <cell r="C23909" t="str">
            <v>Queen's Road Primary School</v>
          </cell>
          <cell r="D23909" t="str">
            <v>Stockport</v>
          </cell>
          <cell r="E23909" t="str">
            <v>Community School</v>
          </cell>
          <cell r="F23909" t="str">
            <v>Primary</v>
          </cell>
        </row>
        <row r="23910">
          <cell r="A23910">
            <v>9047017</v>
          </cell>
          <cell r="B23910">
            <v>128355</v>
          </cell>
          <cell r="C23910" t="str">
            <v>Queens School</v>
          </cell>
          <cell r="D23910" t="str">
            <v>Pre LGR (1997) Buckinghamshire</v>
          </cell>
          <cell r="E23910" t="str">
            <v>Community Special School</v>
          </cell>
          <cell r="F23910" t="str">
            <v>Special</v>
          </cell>
        </row>
        <row r="23911">
          <cell r="A23911">
            <v>9195410</v>
          </cell>
          <cell r="B23911">
            <v>117582</v>
          </cell>
          <cell r="C23911" t="str">
            <v>Queens' School</v>
          </cell>
          <cell r="D23911" t="str">
            <v>Hertfordshire</v>
          </cell>
          <cell r="E23911" t="str">
            <v>Foundation School</v>
          </cell>
          <cell r="F23911" t="str">
            <v>Secondary</v>
          </cell>
        </row>
        <row r="23912">
          <cell r="A23912">
            <v>9195410</v>
          </cell>
          <cell r="B23912">
            <v>136877</v>
          </cell>
          <cell r="C23912" t="str">
            <v>Queens' School</v>
          </cell>
          <cell r="D23912" t="str">
            <v>Hertfordshire</v>
          </cell>
          <cell r="E23912" t="str">
            <v>Academy Converters</v>
          </cell>
          <cell r="F23912" t="str">
            <v>Secondary</v>
          </cell>
        </row>
        <row r="23913">
          <cell r="A23913">
            <v>2042487</v>
          </cell>
          <cell r="B23913">
            <v>100235</v>
          </cell>
          <cell r="C23913" t="str">
            <v>Queensbridge Primary School</v>
          </cell>
          <cell r="D23913" t="str">
            <v>Hackney</v>
          </cell>
          <cell r="E23913" t="str">
            <v>Community School</v>
          </cell>
          <cell r="F23913" t="str">
            <v>Primary</v>
          </cell>
        </row>
        <row r="23914">
          <cell r="A23914">
            <v>3502084</v>
          </cell>
          <cell r="B23914">
            <v>133925</v>
          </cell>
          <cell r="C23914" t="str">
            <v>Queensbridge Primary School</v>
          </cell>
          <cell r="D23914" t="str">
            <v>Bolton</v>
          </cell>
          <cell r="E23914" t="str">
            <v>Community School</v>
          </cell>
          <cell r="F23914" t="str">
            <v>Primary</v>
          </cell>
        </row>
        <row r="23915">
          <cell r="A23915">
            <v>3304173</v>
          </cell>
          <cell r="B23915">
            <v>103497</v>
          </cell>
          <cell r="C23915" t="str">
            <v>Queensbridge School</v>
          </cell>
          <cell r="D23915" t="str">
            <v>Birmingham</v>
          </cell>
          <cell r="E23915" t="str">
            <v>Foundation School</v>
          </cell>
          <cell r="F23915" t="str">
            <v>Secondary</v>
          </cell>
        </row>
        <row r="23916">
          <cell r="A23916">
            <v>3307036</v>
          </cell>
          <cell r="B23916">
            <v>103616</v>
          </cell>
          <cell r="C23916" t="str">
            <v>Queensbury School</v>
          </cell>
          <cell r="D23916" t="str">
            <v>Birmingham</v>
          </cell>
          <cell r="E23916" t="str">
            <v>Community Special School</v>
          </cell>
          <cell r="F23916" t="str">
            <v>Special</v>
          </cell>
        </row>
        <row r="23917">
          <cell r="A23917">
            <v>3804069</v>
          </cell>
          <cell r="B23917">
            <v>107391</v>
          </cell>
          <cell r="C23917" t="str">
            <v>Queensbury School</v>
          </cell>
          <cell r="D23917" t="str">
            <v>Bradford</v>
          </cell>
          <cell r="E23917" t="str">
            <v>Community School</v>
          </cell>
          <cell r="F23917" t="str">
            <v>Secondary</v>
          </cell>
        </row>
        <row r="23918">
          <cell r="A23918">
            <v>8235400</v>
          </cell>
          <cell r="B23918">
            <v>109704</v>
          </cell>
          <cell r="C23918" t="str">
            <v>Queensbury Upper School</v>
          </cell>
          <cell r="D23918" t="str">
            <v>Central Bedfordshire</v>
          </cell>
          <cell r="E23918" t="str">
            <v>Foundation School</v>
          </cell>
          <cell r="F23918" t="str">
            <v>Secondary</v>
          </cell>
        </row>
        <row r="23919">
          <cell r="A23919">
            <v>8012024</v>
          </cell>
          <cell r="B23919">
            <v>108923</v>
          </cell>
          <cell r="C23919" t="str">
            <v>Queensdale Junior School</v>
          </cell>
          <cell r="D23919" t="str">
            <v>Bristol City of</v>
          </cell>
          <cell r="E23919" t="str">
            <v>Community School</v>
          </cell>
          <cell r="F23919" t="str">
            <v>Primary</v>
          </cell>
        </row>
        <row r="23920">
          <cell r="A23920">
            <v>3562080</v>
          </cell>
          <cell r="B23920">
            <v>106072</v>
          </cell>
          <cell r="C23920" t="str">
            <v>Queensgate Primary School</v>
          </cell>
          <cell r="D23920" t="str">
            <v>Stockport</v>
          </cell>
          <cell r="E23920" t="str">
            <v>Community School</v>
          </cell>
          <cell r="F23920" t="str">
            <v>Primary</v>
          </cell>
        </row>
        <row r="23921">
          <cell r="A23921">
            <v>8563433</v>
          </cell>
          <cell r="B23921">
            <v>134744</v>
          </cell>
          <cell r="C23921" t="str">
            <v>Queensmead Community Primary School</v>
          </cell>
          <cell r="D23921" t="str">
            <v>Leicester</v>
          </cell>
          <cell r="E23921" t="str">
            <v>Community School</v>
          </cell>
          <cell r="F23921" t="str">
            <v>Primary</v>
          </cell>
        </row>
        <row r="23922">
          <cell r="A23922">
            <v>8562230</v>
          </cell>
          <cell r="B23922">
            <v>120008</v>
          </cell>
          <cell r="C23922" t="str">
            <v>Queensmead Infant School</v>
          </cell>
          <cell r="D23922" t="str">
            <v>Leicester</v>
          </cell>
          <cell r="E23922" t="str">
            <v>Community School</v>
          </cell>
          <cell r="F23922" t="str">
            <v>Primary</v>
          </cell>
        </row>
        <row r="23923">
          <cell r="A23923">
            <v>8562208</v>
          </cell>
          <cell r="B23923">
            <v>119998</v>
          </cell>
          <cell r="C23923" t="str">
            <v>Queensmead Junior School</v>
          </cell>
          <cell r="D23923" t="str">
            <v>Leicester</v>
          </cell>
          <cell r="E23923" t="str">
            <v>Community School</v>
          </cell>
          <cell r="F23923" t="str">
            <v>Primary</v>
          </cell>
        </row>
        <row r="23924">
          <cell r="A23924">
            <v>3125403</v>
          </cell>
          <cell r="B23924">
            <v>102443</v>
          </cell>
          <cell r="C23924" t="str">
            <v>Queensmead School</v>
          </cell>
          <cell r="D23924" t="str">
            <v>Hillingdon</v>
          </cell>
          <cell r="E23924" t="str">
            <v>Foundation School</v>
          </cell>
          <cell r="F23924" t="str">
            <v>Secondary</v>
          </cell>
        </row>
        <row r="23925">
          <cell r="A23925">
            <v>3125403</v>
          </cell>
          <cell r="B23925">
            <v>136711</v>
          </cell>
          <cell r="C23925" t="str">
            <v>Queensmead School</v>
          </cell>
          <cell r="D23925" t="str">
            <v>Hillingdon</v>
          </cell>
          <cell r="E23925" t="str">
            <v>Academy Converters</v>
          </cell>
          <cell r="F23925" t="str">
            <v>Secondary</v>
          </cell>
        </row>
        <row r="23926">
          <cell r="A23926">
            <v>2057014</v>
          </cell>
          <cell r="B23926">
            <v>100378</v>
          </cell>
          <cell r="C23926" t="str">
            <v>Queensmill School</v>
          </cell>
          <cell r="D23926" t="str">
            <v>Hammersmith and Fulham</v>
          </cell>
          <cell r="E23926" t="str">
            <v>Community Special School</v>
          </cell>
          <cell r="F23926" t="str">
            <v>Special</v>
          </cell>
        </row>
        <row r="23927">
          <cell r="A23927">
            <v>8803614</v>
          </cell>
          <cell r="B23927">
            <v>113471</v>
          </cell>
          <cell r="C23927" t="str">
            <v>Queensway Catholic Primary School</v>
          </cell>
          <cell r="D23927" t="str">
            <v>Torbay</v>
          </cell>
          <cell r="E23927" t="str">
            <v>Voluntary Aided School</v>
          </cell>
          <cell r="F23927" t="str">
            <v>Primary</v>
          </cell>
        </row>
        <row r="23928">
          <cell r="A23928">
            <v>3542012</v>
          </cell>
          <cell r="B23928">
            <v>105772</v>
          </cell>
          <cell r="C23928" t="str">
            <v>Queensway Community Primary School</v>
          </cell>
          <cell r="D23928" t="str">
            <v>Rochdale</v>
          </cell>
          <cell r="E23928" t="str">
            <v>Community School</v>
          </cell>
          <cell r="F23928" t="str">
            <v>Primary</v>
          </cell>
        </row>
        <row r="23929">
          <cell r="A23929">
            <v>9262241</v>
          </cell>
          <cell r="B23929">
            <v>120897</v>
          </cell>
          <cell r="C23929" t="str">
            <v>Queensway Infant School and Nursery, Thetford</v>
          </cell>
          <cell r="D23929" t="str">
            <v>Norfolk</v>
          </cell>
          <cell r="E23929" t="str">
            <v>Community School</v>
          </cell>
          <cell r="F23929" t="str">
            <v>Primary</v>
          </cell>
        </row>
        <row r="23930">
          <cell r="A23930">
            <v>3832356</v>
          </cell>
          <cell r="B23930">
            <v>107858</v>
          </cell>
          <cell r="C23930" t="str">
            <v>Queensway Primary School</v>
          </cell>
          <cell r="D23930" t="str">
            <v>Leeds</v>
          </cell>
          <cell r="E23930" t="str">
            <v>Community School</v>
          </cell>
          <cell r="F23930" t="str">
            <v>Primary</v>
          </cell>
        </row>
        <row r="23931">
          <cell r="A23931">
            <v>9312057</v>
          </cell>
          <cell r="B23931">
            <v>122996</v>
          </cell>
          <cell r="C23931" t="str">
            <v>Queensway School</v>
          </cell>
          <cell r="D23931" t="str">
            <v>Oxfordshire</v>
          </cell>
          <cell r="E23931" t="str">
            <v>Community School</v>
          </cell>
          <cell r="F23931" t="str">
            <v>Primary</v>
          </cell>
        </row>
        <row r="23932">
          <cell r="A23932">
            <v>3022071</v>
          </cell>
          <cell r="B23932">
            <v>101312</v>
          </cell>
          <cell r="C23932" t="str">
            <v>Queenswell Infant School</v>
          </cell>
          <cell r="D23932" t="str">
            <v>Barnet</v>
          </cell>
          <cell r="E23932" t="str">
            <v>Community School</v>
          </cell>
          <cell r="F23932" t="str">
            <v>Primary</v>
          </cell>
        </row>
        <row r="23933">
          <cell r="A23933">
            <v>3022072</v>
          </cell>
          <cell r="B23933">
            <v>101313</v>
          </cell>
          <cell r="C23933" t="str">
            <v>Queenswell Junior School</v>
          </cell>
          <cell r="D23933" t="str">
            <v>Barnet</v>
          </cell>
          <cell r="E23933" t="str">
            <v>Community School</v>
          </cell>
          <cell r="F23933" t="str">
            <v>Primary</v>
          </cell>
        </row>
        <row r="23934">
          <cell r="A23934">
            <v>8942128</v>
          </cell>
          <cell r="B23934">
            <v>123415</v>
          </cell>
          <cell r="C23934" t="str">
            <v>Queenswood Primary School and Nursery</v>
          </cell>
          <cell r="D23934" t="str">
            <v>Telford and Wrekin</v>
          </cell>
          <cell r="E23934" t="str">
            <v>Community School</v>
          </cell>
          <cell r="F23934" t="str">
            <v>Primary</v>
          </cell>
        </row>
        <row r="23935">
          <cell r="A23935">
            <v>3836098</v>
          </cell>
          <cell r="B23935">
            <v>108109</v>
          </cell>
          <cell r="C23935" t="str">
            <v>Queenswood School</v>
          </cell>
          <cell r="D23935" t="str">
            <v>Leeds</v>
          </cell>
          <cell r="E23935" t="str">
            <v>Other Independent School</v>
          </cell>
          <cell r="F23935" t="str">
            <v>Not applicable</v>
          </cell>
        </row>
        <row r="23936">
          <cell r="A23936">
            <v>9196020</v>
          </cell>
          <cell r="B23936">
            <v>117609</v>
          </cell>
          <cell r="C23936" t="str">
            <v>Queenswood School</v>
          </cell>
          <cell r="D23936" t="str">
            <v>Hertfordshire</v>
          </cell>
          <cell r="E23936" t="str">
            <v>Other Independent School</v>
          </cell>
          <cell r="F23936" t="str">
            <v>Not applicable</v>
          </cell>
        </row>
        <row r="23937">
          <cell r="A23937">
            <v>8846011</v>
          </cell>
          <cell r="B23937">
            <v>131353</v>
          </cell>
          <cell r="C23937" t="str">
            <v>Queenswood School</v>
          </cell>
          <cell r="D23937" t="str">
            <v>Herefordshire</v>
          </cell>
          <cell r="E23937" t="str">
            <v>Other Independent Special School</v>
          </cell>
          <cell r="F23937" t="str">
            <v>Not applicable</v>
          </cell>
        </row>
        <row r="23938">
          <cell r="A23938">
            <v>8553069</v>
          </cell>
          <cell r="B23938">
            <v>120152</v>
          </cell>
          <cell r="C23938" t="str">
            <v>Queniborough Church of England Primary School</v>
          </cell>
          <cell r="D23938" t="str">
            <v>Leicestershire</v>
          </cell>
          <cell r="E23938" t="str">
            <v>Voluntary Controlled School</v>
          </cell>
          <cell r="F23938" t="str">
            <v>Primary</v>
          </cell>
        </row>
        <row r="23939">
          <cell r="A23939">
            <v>8883082</v>
          </cell>
          <cell r="B23939">
            <v>119378</v>
          </cell>
          <cell r="C23939" t="str">
            <v>Quernmore Church of England Voluntary Controlled Primary School</v>
          </cell>
          <cell r="D23939" t="str">
            <v>Lancashire</v>
          </cell>
          <cell r="E23939" t="str">
            <v>Voluntary Controlled School</v>
          </cell>
          <cell r="F23939" t="str">
            <v>Primary</v>
          </cell>
        </row>
        <row r="23940">
          <cell r="A23940">
            <v>9083881</v>
          </cell>
          <cell r="B23940">
            <v>112028</v>
          </cell>
          <cell r="C23940" t="str">
            <v>Quethiock CofE VA School</v>
          </cell>
          <cell r="D23940" t="str">
            <v>Cornwall</v>
          </cell>
          <cell r="E23940" t="str">
            <v>Voluntary Aided School</v>
          </cell>
          <cell r="F23940" t="str">
            <v>Primary</v>
          </cell>
        </row>
        <row r="23941">
          <cell r="A23941">
            <v>8504152</v>
          </cell>
          <cell r="B23941">
            <v>116425</v>
          </cell>
          <cell r="C23941" t="str">
            <v>Quilley School of Engineering</v>
          </cell>
          <cell r="D23941" t="str">
            <v>Hampshire</v>
          </cell>
          <cell r="E23941" t="str">
            <v>Community School</v>
          </cell>
          <cell r="F23941" t="str">
            <v>Secondary</v>
          </cell>
        </row>
        <row r="23942">
          <cell r="A23942">
            <v>8812541</v>
          </cell>
          <cell r="B23942">
            <v>114884</v>
          </cell>
          <cell r="C23942" t="str">
            <v>Quilters Infant School</v>
          </cell>
          <cell r="D23942" t="str">
            <v>Essex</v>
          </cell>
          <cell r="E23942" t="str">
            <v>Foundation School</v>
          </cell>
          <cell r="F23942" t="str">
            <v>Primary</v>
          </cell>
        </row>
        <row r="23943">
          <cell r="A23943">
            <v>8812181</v>
          </cell>
          <cell r="B23943">
            <v>114801</v>
          </cell>
          <cell r="C23943" t="str">
            <v>Quilters Junior School</v>
          </cell>
          <cell r="D23943" t="str">
            <v>Essex</v>
          </cell>
          <cell r="E23943" t="str">
            <v>Foundation School</v>
          </cell>
          <cell r="F23943" t="str">
            <v>Primary</v>
          </cell>
        </row>
        <row r="23944">
          <cell r="A23944">
            <v>2134295</v>
          </cell>
          <cell r="B23944">
            <v>101149</v>
          </cell>
          <cell r="C23944" t="str">
            <v>Quintin Kynaston School</v>
          </cell>
          <cell r="D23944" t="str">
            <v>Westminster</v>
          </cell>
          <cell r="E23944" t="str">
            <v>Foundation School</v>
          </cell>
          <cell r="F23944" t="str">
            <v>Secondary</v>
          </cell>
        </row>
        <row r="23945">
          <cell r="A23945">
            <v>2134295</v>
          </cell>
          <cell r="B23945">
            <v>137646</v>
          </cell>
          <cell r="C23945" t="str">
            <v>Quintin Kynaston School</v>
          </cell>
          <cell r="D23945" t="str">
            <v>Westminster</v>
          </cell>
          <cell r="E23945" t="str">
            <v>Academy Converters</v>
          </cell>
          <cell r="F23945" t="str">
            <v>Secondary</v>
          </cell>
        </row>
        <row r="23946">
          <cell r="A23946">
            <v>3303004</v>
          </cell>
          <cell r="B23946">
            <v>103399</v>
          </cell>
          <cell r="C23946" t="str">
            <v>Quinton Church Primary School</v>
          </cell>
          <cell r="D23946" t="str">
            <v>Birmingham</v>
          </cell>
          <cell r="E23946" t="str">
            <v>Voluntary Controlled School</v>
          </cell>
          <cell r="F23946" t="str">
            <v>Primary</v>
          </cell>
        </row>
        <row r="23947">
          <cell r="A23947">
            <v>9286043</v>
          </cell>
          <cell r="B23947">
            <v>122137</v>
          </cell>
          <cell r="C23947" t="str">
            <v>Quinton House School</v>
          </cell>
          <cell r="D23947" t="str">
            <v>Northamptonshire</v>
          </cell>
          <cell r="E23947" t="str">
            <v>Other Independent School</v>
          </cell>
          <cell r="F23947" t="str">
            <v>Not applicable</v>
          </cell>
        </row>
        <row r="23948">
          <cell r="A23948">
            <v>9372043</v>
          </cell>
          <cell r="B23948">
            <v>125519</v>
          </cell>
          <cell r="C23948" t="str">
            <v>Quinton Primary School</v>
          </cell>
          <cell r="D23948" t="str">
            <v>Warwickshire</v>
          </cell>
          <cell r="E23948" t="str">
            <v>Community School</v>
          </cell>
          <cell r="F23948" t="str">
            <v>Primary</v>
          </cell>
        </row>
        <row r="23949">
          <cell r="A23949">
            <v>3166066</v>
          </cell>
          <cell r="B23949">
            <v>134627</v>
          </cell>
          <cell r="C23949" t="str">
            <v>Quwwatt Ul Islam Girls School</v>
          </cell>
          <cell r="D23949" t="str">
            <v>Newham</v>
          </cell>
          <cell r="E23949" t="str">
            <v>Other Independent School</v>
          </cell>
          <cell r="F23949" t="str">
            <v>Not applicable</v>
          </cell>
        </row>
        <row r="23950">
          <cell r="A23950">
            <v>8815263</v>
          </cell>
          <cell r="B23950">
            <v>115303</v>
          </cell>
          <cell r="C23950" t="str">
            <v>R A Butler Infant School</v>
          </cell>
          <cell r="D23950" t="str">
            <v>Essex</v>
          </cell>
          <cell r="E23950" t="str">
            <v>Foundation School</v>
          </cell>
          <cell r="F23950" t="str">
            <v>Primary</v>
          </cell>
        </row>
        <row r="23951">
          <cell r="A23951">
            <v>8815263</v>
          </cell>
          <cell r="B23951">
            <v>136325</v>
          </cell>
          <cell r="C23951" t="str">
            <v>R A Butler Infant School</v>
          </cell>
          <cell r="D23951" t="str">
            <v>Essex</v>
          </cell>
          <cell r="E23951" t="str">
            <v>Academy Converters</v>
          </cell>
          <cell r="F23951" t="str">
            <v>Primary</v>
          </cell>
        </row>
        <row r="23952">
          <cell r="A23952">
            <v>8815264</v>
          </cell>
          <cell r="B23952">
            <v>115304</v>
          </cell>
          <cell r="C23952" t="str">
            <v>R A Butler Junior School</v>
          </cell>
          <cell r="D23952" t="str">
            <v>Essex</v>
          </cell>
          <cell r="E23952" t="str">
            <v>Foundation School</v>
          </cell>
          <cell r="F23952" t="str">
            <v>Primary</v>
          </cell>
        </row>
        <row r="23953">
          <cell r="A23953">
            <v>8815264</v>
          </cell>
          <cell r="B23953">
            <v>136328</v>
          </cell>
          <cell r="C23953" t="str">
            <v>R A Butler Junior School</v>
          </cell>
          <cell r="D23953" t="str">
            <v>Essex</v>
          </cell>
          <cell r="E23953" t="str">
            <v>Academy Converters</v>
          </cell>
          <cell r="F23953" t="str">
            <v>Primary</v>
          </cell>
        </row>
        <row r="23954">
          <cell r="A23954">
            <v>8856028</v>
          </cell>
          <cell r="B23954">
            <v>117038</v>
          </cell>
          <cell r="C23954" t="str">
            <v>R G S Worcester</v>
          </cell>
          <cell r="D23954" t="str">
            <v>Worcestershire</v>
          </cell>
          <cell r="E23954" t="str">
            <v>Other Independent School</v>
          </cell>
          <cell r="F23954" t="str">
            <v>Not applicable</v>
          </cell>
        </row>
        <row r="23955">
          <cell r="A23955">
            <v>3592043</v>
          </cell>
          <cell r="B23955">
            <v>106424</v>
          </cell>
          <cell r="C23955" t="str">
            <v>R L Hughes Primary School</v>
          </cell>
          <cell r="D23955" t="str">
            <v>Wigan</v>
          </cell>
          <cell r="E23955" t="str">
            <v>Community School</v>
          </cell>
          <cell r="F23955" t="str">
            <v>Primary</v>
          </cell>
        </row>
        <row r="23956">
          <cell r="A23956">
            <v>330944</v>
          </cell>
          <cell r="B23956">
            <v>134308</v>
          </cell>
          <cell r="C23956" t="str">
            <v>R N B Learning Zone</v>
          </cell>
          <cell r="D23956" t="str">
            <v>Birmingham</v>
          </cell>
          <cell r="E23956" t="str">
            <v>Playing for Success Centres</v>
          </cell>
          <cell r="F23956" t="str">
            <v>Not applicable</v>
          </cell>
        </row>
        <row r="23957">
          <cell r="A23957">
            <v>9044031</v>
          </cell>
          <cell r="B23957">
            <v>128345</v>
          </cell>
          <cell r="C23957" t="str">
            <v>Raans Secondary School</v>
          </cell>
          <cell r="D23957" t="str">
            <v>Pre LGR (1997) Buckinghamshire</v>
          </cell>
          <cell r="E23957" t="str">
            <v>Community School</v>
          </cell>
          <cell r="F23957" t="str">
            <v>Secondary</v>
          </cell>
        </row>
        <row r="23958">
          <cell r="A23958">
            <v>3122064</v>
          </cell>
          <cell r="B23958">
            <v>102408</v>
          </cell>
          <cell r="C23958" t="str">
            <v>Rabbsfarm Primary School</v>
          </cell>
          <cell r="D23958" t="str">
            <v>Hillingdon</v>
          </cell>
          <cell r="E23958" t="str">
            <v>Community School</v>
          </cell>
          <cell r="F23958" t="str">
            <v>Primary</v>
          </cell>
        </row>
        <row r="23959">
          <cell r="A23959">
            <v>8216001</v>
          </cell>
          <cell r="B23959">
            <v>130331</v>
          </cell>
          <cell r="C23959" t="str">
            <v>Rabia Girls' and Boys' School</v>
          </cell>
          <cell r="D23959" t="str">
            <v>Luton</v>
          </cell>
          <cell r="E23959" t="str">
            <v>Other Independent School</v>
          </cell>
          <cell r="F23959" t="str">
            <v>Not applicable</v>
          </cell>
        </row>
        <row r="23960">
          <cell r="A23960">
            <v>9062101</v>
          </cell>
          <cell r="B23960">
            <v>128396</v>
          </cell>
          <cell r="C23960" t="str">
            <v>Raby Park County Junior School</v>
          </cell>
          <cell r="D23960" t="str">
            <v>Pre LGR (1998) Cheshire</v>
          </cell>
          <cell r="E23960" t="str">
            <v>Community School</v>
          </cell>
          <cell r="F23960" t="str">
            <v>Primary</v>
          </cell>
        </row>
        <row r="23961">
          <cell r="A23961">
            <v>3912680</v>
          </cell>
          <cell r="B23961">
            <v>128129</v>
          </cell>
          <cell r="C23961" t="str">
            <v>Raby Street Primary School</v>
          </cell>
          <cell r="D23961" t="str">
            <v>Newcastle upon Tyne</v>
          </cell>
          <cell r="E23961" t="str">
            <v>Community School</v>
          </cell>
          <cell r="F23961" t="str">
            <v>Primary</v>
          </cell>
        </row>
        <row r="23962">
          <cell r="A23962">
            <v>9372614</v>
          </cell>
          <cell r="B23962">
            <v>125616</v>
          </cell>
          <cell r="C23962" t="str">
            <v>Race Leys Infant School</v>
          </cell>
          <cell r="D23962" t="str">
            <v>Warwickshire</v>
          </cell>
          <cell r="E23962" t="str">
            <v>Community School</v>
          </cell>
          <cell r="F23962" t="str">
            <v>Primary</v>
          </cell>
        </row>
        <row r="23963">
          <cell r="A23963">
            <v>9372615</v>
          </cell>
          <cell r="B23963">
            <v>125617</v>
          </cell>
          <cell r="C23963" t="str">
            <v>Race Leys Junior School</v>
          </cell>
          <cell r="D23963" t="str">
            <v>Warwickshire</v>
          </cell>
          <cell r="E23963" t="str">
            <v>Community School</v>
          </cell>
          <cell r="F23963" t="str">
            <v>Primary</v>
          </cell>
        </row>
        <row r="23964">
          <cell r="A23964">
            <v>9372078</v>
          </cell>
          <cell r="B23964">
            <v>130147</v>
          </cell>
          <cell r="C23964" t="str">
            <v>Racemeadow First School</v>
          </cell>
          <cell r="D23964" t="str">
            <v>Warwickshire</v>
          </cell>
          <cell r="E23964" t="str">
            <v>Community School</v>
          </cell>
          <cell r="F23964" t="str">
            <v>Primary</v>
          </cell>
        </row>
        <row r="23965">
          <cell r="A23965">
            <v>9372617</v>
          </cell>
          <cell r="B23965">
            <v>125619</v>
          </cell>
          <cell r="C23965" t="str">
            <v>Racemeadow Primary School</v>
          </cell>
          <cell r="D23965" t="str">
            <v>Warwickshire</v>
          </cell>
          <cell r="E23965" t="str">
            <v>Community School</v>
          </cell>
          <cell r="F23965" t="str">
            <v>Primary</v>
          </cell>
        </row>
        <row r="23966">
          <cell r="A23966">
            <v>2111032</v>
          </cell>
          <cell r="B23966">
            <v>100886</v>
          </cell>
          <cell r="C23966" t="str">
            <v>Rachel Keeling Nursery School</v>
          </cell>
          <cell r="D23966" t="str">
            <v>Tower Hamlets</v>
          </cell>
          <cell r="E23966" t="str">
            <v>LA Nursery School</v>
          </cell>
          <cell r="F23966" t="str">
            <v>Nursery</v>
          </cell>
        </row>
        <row r="23967">
          <cell r="A23967">
            <v>8507023</v>
          </cell>
          <cell r="B23967">
            <v>116611</v>
          </cell>
          <cell r="C23967" t="str">
            <v>Rachel Madocks School</v>
          </cell>
          <cell r="D23967" t="str">
            <v>Hampshire</v>
          </cell>
          <cell r="E23967" t="str">
            <v>Community Special School</v>
          </cell>
          <cell r="F23967" t="str">
            <v>Special</v>
          </cell>
        </row>
        <row r="23968">
          <cell r="A23968">
            <v>2031001</v>
          </cell>
          <cell r="B23968">
            <v>100097</v>
          </cell>
          <cell r="C23968" t="str">
            <v>Rachel McMillan Nursery School</v>
          </cell>
          <cell r="D23968" t="str">
            <v>Greenwich</v>
          </cell>
          <cell r="E23968" t="str">
            <v>LA Nursery School</v>
          </cell>
          <cell r="F23968" t="str">
            <v>Nursery</v>
          </cell>
        </row>
        <row r="23969">
          <cell r="A23969">
            <v>343940</v>
          </cell>
          <cell r="B23969">
            <v>135592</v>
          </cell>
          <cell r="C23969" t="str">
            <v>Racing for Success Study Centre</v>
          </cell>
          <cell r="D23969" t="str">
            <v>Sefton</v>
          </cell>
          <cell r="E23969" t="str">
            <v>Playing for Success Centres</v>
          </cell>
          <cell r="F23969" t="str">
            <v>Not applicable</v>
          </cell>
        </row>
        <row r="23970">
          <cell r="A23970">
            <v>3522232</v>
          </cell>
          <cell r="B23970">
            <v>105448</v>
          </cell>
          <cell r="C23970" t="str">
            <v>Rack House Primary School</v>
          </cell>
          <cell r="D23970" t="str">
            <v>Manchester</v>
          </cell>
          <cell r="E23970" t="str">
            <v>Community School</v>
          </cell>
          <cell r="F23970" t="str">
            <v>Primary</v>
          </cell>
        </row>
        <row r="23971">
          <cell r="A23971">
            <v>8783772</v>
          </cell>
          <cell r="B23971">
            <v>113495</v>
          </cell>
          <cell r="C23971" t="str">
            <v>Rackenford Church of England Primary School</v>
          </cell>
          <cell r="D23971" t="str">
            <v>Devon</v>
          </cell>
          <cell r="E23971" t="str">
            <v>Voluntary Aided School</v>
          </cell>
          <cell r="F23971" t="str">
            <v>Primary</v>
          </cell>
        </row>
        <row r="23972">
          <cell r="A23972">
            <v>9113329</v>
          </cell>
          <cell r="B23972">
            <v>128713</v>
          </cell>
          <cell r="C23972" t="str">
            <v>Rackenford CofE First School</v>
          </cell>
          <cell r="D23972" t="str">
            <v>Pre LGR (1998) Devon</v>
          </cell>
          <cell r="E23972" t="str">
            <v>Voluntary Aided School</v>
          </cell>
          <cell r="F23972" t="str">
            <v>Primary</v>
          </cell>
        </row>
        <row r="23973">
          <cell r="A23973">
            <v>9262130</v>
          </cell>
          <cell r="B23973">
            <v>120843</v>
          </cell>
          <cell r="C23973" t="str">
            <v>Rackheath Primary School</v>
          </cell>
          <cell r="D23973" t="str">
            <v>Norfolk</v>
          </cell>
          <cell r="E23973" t="str">
            <v>Community School</v>
          </cell>
          <cell r="F23973" t="str">
            <v>Primary</v>
          </cell>
        </row>
        <row r="23974">
          <cell r="A23974">
            <v>8932180</v>
          </cell>
          <cell r="B23974">
            <v>123448</v>
          </cell>
          <cell r="C23974" t="str">
            <v>Radbrook Primary School</v>
          </cell>
          <cell r="D23974" t="str">
            <v>Shropshire</v>
          </cell>
          <cell r="E23974" t="str">
            <v>Community School</v>
          </cell>
          <cell r="F23974" t="str">
            <v>Primary</v>
          </cell>
        </row>
        <row r="23975">
          <cell r="A23975">
            <v>9192453</v>
          </cell>
          <cell r="B23975">
            <v>117354</v>
          </cell>
          <cell r="C23975" t="str">
            <v>Radburn Primary School</v>
          </cell>
          <cell r="D23975" t="str">
            <v>Hertfordshire</v>
          </cell>
          <cell r="E23975" t="str">
            <v>Community School</v>
          </cell>
          <cell r="F23975" t="str">
            <v>Primary</v>
          </cell>
        </row>
        <row r="23976">
          <cell r="A23976">
            <v>3513028</v>
          </cell>
          <cell r="B23976">
            <v>105330</v>
          </cell>
          <cell r="C23976" t="str">
            <v>Radcliffe Hall Church of England/Methodist Controlled Primary School</v>
          </cell>
          <cell r="D23976" t="str">
            <v>Bury</v>
          </cell>
          <cell r="E23976" t="str">
            <v>Voluntary Controlled School</v>
          </cell>
          <cell r="F23976" t="str">
            <v>Primary</v>
          </cell>
        </row>
        <row r="23977">
          <cell r="A23977">
            <v>3512034</v>
          </cell>
          <cell r="B23977">
            <v>105303</v>
          </cell>
          <cell r="C23977" t="str">
            <v>Radcliffe Infant School</v>
          </cell>
          <cell r="D23977" t="str">
            <v>Bury</v>
          </cell>
          <cell r="E23977" t="str">
            <v>Community School</v>
          </cell>
          <cell r="F23977" t="str">
            <v>Primary</v>
          </cell>
        </row>
        <row r="23978">
          <cell r="A23978">
            <v>3512028</v>
          </cell>
          <cell r="B23978">
            <v>105298</v>
          </cell>
          <cell r="C23978" t="str">
            <v>Radcliffe Junior School</v>
          </cell>
          <cell r="D23978" t="str">
            <v>Bury</v>
          </cell>
          <cell r="E23978" t="str">
            <v>Community School</v>
          </cell>
          <cell r="F23978" t="str">
            <v>Primary</v>
          </cell>
        </row>
        <row r="23979">
          <cell r="A23979">
            <v>3512051</v>
          </cell>
          <cell r="B23979">
            <v>133723</v>
          </cell>
          <cell r="C23979" t="str">
            <v>Radcliffe Primary School</v>
          </cell>
          <cell r="D23979" t="str">
            <v>Bury</v>
          </cell>
          <cell r="E23979" t="str">
            <v>Community School</v>
          </cell>
          <cell r="F23979" t="str">
            <v>Primary</v>
          </cell>
        </row>
        <row r="23980">
          <cell r="A23980">
            <v>3514018</v>
          </cell>
          <cell r="B23980">
            <v>105356</v>
          </cell>
          <cell r="C23980" t="str">
            <v>Radcliffe Riverside School</v>
          </cell>
          <cell r="D23980" t="str">
            <v>Bury</v>
          </cell>
          <cell r="E23980" t="str">
            <v>Community School</v>
          </cell>
          <cell r="F23980" t="str">
            <v>Secondary</v>
          </cell>
        </row>
        <row r="23981">
          <cell r="A23981">
            <v>3514801</v>
          </cell>
          <cell r="B23981">
            <v>134361</v>
          </cell>
          <cell r="C23981" t="str">
            <v>Radcliffe Riverside School</v>
          </cell>
          <cell r="D23981" t="str">
            <v>Bury</v>
          </cell>
          <cell r="E23981" t="str">
            <v>Community School</v>
          </cell>
          <cell r="F23981" t="str">
            <v>Secondary</v>
          </cell>
        </row>
        <row r="23982">
          <cell r="A23982">
            <v>8912810</v>
          </cell>
          <cell r="B23982">
            <v>122669</v>
          </cell>
          <cell r="C23982" t="str">
            <v>Radcliffe-on-Trent Infant and Nursery School</v>
          </cell>
          <cell r="D23982" t="str">
            <v>Nottinghamshire</v>
          </cell>
          <cell r="E23982" t="str">
            <v>Community School</v>
          </cell>
          <cell r="F23982" t="str">
            <v>Primary</v>
          </cell>
        </row>
        <row r="23983">
          <cell r="A23983">
            <v>8912812</v>
          </cell>
          <cell r="B23983">
            <v>122670</v>
          </cell>
          <cell r="C23983" t="str">
            <v>Radcliffe-on-Trent Junior School</v>
          </cell>
          <cell r="D23983" t="str">
            <v>Nottinghamshire</v>
          </cell>
          <cell r="E23983" t="str">
            <v>Community School</v>
          </cell>
          <cell r="F23983" t="str">
            <v>Primary</v>
          </cell>
        </row>
        <row r="23984">
          <cell r="A23984">
            <v>3552087</v>
          </cell>
          <cell r="B23984">
            <v>105921</v>
          </cell>
          <cell r="C23984" t="str">
            <v>Radclyffe Community Primary School</v>
          </cell>
          <cell r="D23984" t="str">
            <v>Salford</v>
          </cell>
          <cell r="E23984" t="str">
            <v>Community School</v>
          </cell>
          <cell r="F23984" t="str">
            <v>Primary</v>
          </cell>
        </row>
        <row r="23985">
          <cell r="A23985">
            <v>3302157</v>
          </cell>
          <cell r="B23985">
            <v>103246</v>
          </cell>
          <cell r="C23985" t="str">
            <v>Raddlebarn Primary School</v>
          </cell>
          <cell r="D23985" t="str">
            <v>Birmingham</v>
          </cell>
          <cell r="E23985" t="str">
            <v>Community School</v>
          </cell>
          <cell r="F23985" t="str">
            <v>Primary</v>
          </cell>
        </row>
        <row r="23986">
          <cell r="A23986">
            <v>3312047</v>
          </cell>
          <cell r="B23986">
            <v>103649</v>
          </cell>
          <cell r="C23986" t="str">
            <v>Radford Primary School</v>
          </cell>
          <cell r="D23986" t="str">
            <v>Coventry</v>
          </cell>
          <cell r="E23986" t="str">
            <v>Community School</v>
          </cell>
          <cell r="F23986" t="str">
            <v>Primary</v>
          </cell>
        </row>
        <row r="23987">
          <cell r="A23987">
            <v>8922088</v>
          </cell>
          <cell r="B23987">
            <v>122435</v>
          </cell>
          <cell r="C23987" t="str">
            <v>Radford Primary School</v>
          </cell>
          <cell r="D23987" t="str">
            <v>Nottingham</v>
          </cell>
          <cell r="E23987" t="str">
            <v>Community School</v>
          </cell>
          <cell r="F23987" t="str">
            <v>Primary</v>
          </cell>
        </row>
        <row r="23988">
          <cell r="A23988">
            <v>9373152</v>
          </cell>
          <cell r="B23988">
            <v>125665</v>
          </cell>
          <cell r="C23988" t="str">
            <v>Radford Semele CofE Primary School</v>
          </cell>
          <cell r="D23988" t="str">
            <v>Warwickshire</v>
          </cell>
          <cell r="E23988" t="str">
            <v>Voluntary Controlled School</v>
          </cell>
          <cell r="F23988" t="str">
            <v>Primary</v>
          </cell>
        </row>
        <row r="23989">
          <cell r="A23989">
            <v>9096050</v>
          </cell>
          <cell r="B23989">
            <v>132112</v>
          </cell>
          <cell r="C23989" t="str">
            <v>Radical Education</v>
          </cell>
          <cell r="D23989" t="str">
            <v>Cumbria</v>
          </cell>
          <cell r="E23989" t="str">
            <v>Other Independent Special School</v>
          </cell>
          <cell r="F23989" t="str">
            <v>Not applicable</v>
          </cell>
        </row>
        <row r="23990">
          <cell r="A23990">
            <v>8352214</v>
          </cell>
          <cell r="B23990">
            <v>113717</v>
          </cell>
          <cell r="C23990" t="str">
            <v>Radipole Primary School</v>
          </cell>
          <cell r="D23990" t="str">
            <v>Dorset</v>
          </cell>
          <cell r="E23990" t="str">
            <v>Community School</v>
          </cell>
          <cell r="F23990" t="str">
            <v>Primary</v>
          </cell>
        </row>
        <row r="23991">
          <cell r="A23991">
            <v>9196215</v>
          </cell>
          <cell r="B23991">
            <v>117646</v>
          </cell>
          <cell r="C23991" t="str">
            <v>Radlett Lodge School</v>
          </cell>
          <cell r="D23991" t="str">
            <v>Hertfordshire</v>
          </cell>
          <cell r="E23991" t="str">
            <v>Other Independent Special School</v>
          </cell>
          <cell r="F23991" t="str">
            <v>Not applicable</v>
          </cell>
        </row>
        <row r="23992">
          <cell r="A23992">
            <v>9196226</v>
          </cell>
          <cell r="B23992">
            <v>117652</v>
          </cell>
          <cell r="C23992" t="str">
            <v>Radlett Nursery and Infant School</v>
          </cell>
          <cell r="D23992" t="str">
            <v>Hertfordshire</v>
          </cell>
          <cell r="E23992" t="str">
            <v>Other Independent School</v>
          </cell>
          <cell r="F23992" t="str">
            <v>Not applicable</v>
          </cell>
        </row>
        <row r="23993">
          <cell r="A23993">
            <v>9196034</v>
          </cell>
          <cell r="B23993">
            <v>117615</v>
          </cell>
          <cell r="C23993" t="str">
            <v>Radlett Preparatory School</v>
          </cell>
          <cell r="D23993" t="str">
            <v>Hertfordshire</v>
          </cell>
          <cell r="E23993" t="str">
            <v>Other Independent School</v>
          </cell>
          <cell r="F23993" t="str">
            <v>Not applicable</v>
          </cell>
        </row>
        <row r="23994">
          <cell r="A23994">
            <v>9313238</v>
          </cell>
          <cell r="B23994">
            <v>123157</v>
          </cell>
          <cell r="C23994" t="str">
            <v>Radley Church of England Primary School</v>
          </cell>
          <cell r="D23994" t="str">
            <v>Oxfordshire</v>
          </cell>
          <cell r="E23994" t="str">
            <v>Voluntary Controlled School</v>
          </cell>
          <cell r="F23994" t="str">
            <v>Primary</v>
          </cell>
        </row>
        <row r="23995">
          <cell r="A23995">
            <v>9316079</v>
          </cell>
          <cell r="B23995">
            <v>123300</v>
          </cell>
          <cell r="C23995" t="str">
            <v>Radley College</v>
          </cell>
          <cell r="D23995" t="str">
            <v>Oxfordshire</v>
          </cell>
          <cell r="E23995" t="str">
            <v>Other Independent School</v>
          </cell>
          <cell r="F23995" t="str">
            <v>Not applicable</v>
          </cell>
        </row>
        <row r="23996">
          <cell r="A23996">
            <v>3352228</v>
          </cell>
          <cell r="B23996">
            <v>104207</v>
          </cell>
          <cell r="C23996" t="str">
            <v>Radleys Primary School</v>
          </cell>
          <cell r="D23996" t="str">
            <v>Walsall</v>
          </cell>
          <cell r="E23996" t="str">
            <v>Community School</v>
          </cell>
          <cell r="F23996" t="str">
            <v>Primary</v>
          </cell>
        </row>
        <row r="23997">
          <cell r="A23997">
            <v>8253339</v>
          </cell>
          <cell r="B23997">
            <v>110467</v>
          </cell>
          <cell r="C23997" t="str">
            <v>Radnage CofE Infant School</v>
          </cell>
          <cell r="D23997" t="str">
            <v>Buckinghamshire</v>
          </cell>
          <cell r="E23997" t="str">
            <v>Voluntary Aided School</v>
          </cell>
          <cell r="F23997" t="str">
            <v>Primary</v>
          </cell>
        </row>
        <row r="23998">
          <cell r="A23998">
            <v>3186006</v>
          </cell>
          <cell r="B23998">
            <v>137018</v>
          </cell>
          <cell r="C23998" t="str">
            <v>Radnor House</v>
          </cell>
          <cell r="D23998" t="str">
            <v>Richmond upon Thames</v>
          </cell>
          <cell r="E23998" t="str">
            <v>Other Independent School</v>
          </cell>
          <cell r="F23998" t="str">
            <v>Not applicable</v>
          </cell>
        </row>
        <row r="23999">
          <cell r="A23999">
            <v>6812039</v>
          </cell>
          <cell r="B23999">
            <v>401580</v>
          </cell>
          <cell r="C23999" t="str">
            <v>Radnor Primary School</v>
          </cell>
          <cell r="D23999" t="str">
            <v>Cardiff</v>
          </cell>
          <cell r="E23999" t="str">
            <v>Welsh Establishment</v>
          </cell>
          <cell r="F23999" t="str">
            <v>Primary</v>
          </cell>
        </row>
        <row r="24000">
          <cell r="A24000">
            <v>6662076</v>
          </cell>
          <cell r="B24000">
            <v>400505</v>
          </cell>
          <cell r="C24000" t="str">
            <v>Radnor Valley C.P. School</v>
          </cell>
          <cell r="D24000" t="str">
            <v>Powys</v>
          </cell>
          <cell r="E24000" t="str">
            <v>Welsh Establishment</v>
          </cell>
          <cell r="F24000" t="str">
            <v>Primary</v>
          </cell>
        </row>
        <row r="24001">
          <cell r="A24001">
            <v>8002247</v>
          </cell>
          <cell r="B24001">
            <v>109069</v>
          </cell>
          <cell r="C24001" t="str">
            <v>Radstock Infant School</v>
          </cell>
          <cell r="D24001" t="str">
            <v>Bath and North East Somerset</v>
          </cell>
          <cell r="E24001" t="str">
            <v>Community School</v>
          </cell>
          <cell r="F24001" t="str">
            <v>Primary</v>
          </cell>
        </row>
        <row r="24002">
          <cell r="A24002">
            <v>8722235</v>
          </cell>
          <cell r="B24002">
            <v>109927</v>
          </cell>
          <cell r="C24002" t="str">
            <v>Radstock Primary School</v>
          </cell>
          <cell r="D24002" t="str">
            <v>Wokingham</v>
          </cell>
          <cell r="E24002" t="str">
            <v>Community School</v>
          </cell>
          <cell r="F24002" t="str">
            <v>Primary</v>
          </cell>
        </row>
        <row r="24003">
          <cell r="A24003">
            <v>8813730</v>
          </cell>
          <cell r="B24003">
            <v>115191</v>
          </cell>
          <cell r="C24003" t="str">
            <v>Radwinter Church of England Voluntary Aided Primary School</v>
          </cell>
          <cell r="D24003" t="str">
            <v>Essex</v>
          </cell>
          <cell r="E24003" t="str">
            <v>Voluntary Aided School</v>
          </cell>
          <cell r="F24003" t="str">
            <v>Primary</v>
          </cell>
        </row>
        <row r="24004">
          <cell r="A24004">
            <v>6814070</v>
          </cell>
          <cell r="B24004">
            <v>401884</v>
          </cell>
          <cell r="C24004" t="str">
            <v>Radyr Comprehensive School</v>
          </cell>
          <cell r="D24004" t="str">
            <v>Cardiff</v>
          </cell>
          <cell r="E24004" t="str">
            <v>Welsh Establishment</v>
          </cell>
          <cell r="F24004" t="str">
            <v>Secondary</v>
          </cell>
        </row>
        <row r="24005">
          <cell r="A24005">
            <v>6812132</v>
          </cell>
          <cell r="B24005">
            <v>401617</v>
          </cell>
          <cell r="C24005" t="str">
            <v>Radyr Primary School</v>
          </cell>
          <cell r="D24005" t="str">
            <v>Cardiff</v>
          </cell>
          <cell r="E24005" t="str">
            <v>Welsh Establishment</v>
          </cell>
          <cell r="F24005" t="str">
            <v>Primary</v>
          </cell>
        </row>
        <row r="24006">
          <cell r="A24006">
            <v>9352163</v>
          </cell>
          <cell r="B24006">
            <v>124651</v>
          </cell>
          <cell r="C24006" t="str">
            <v>Raeburn Infant School</v>
          </cell>
          <cell r="D24006" t="str">
            <v>Suffolk</v>
          </cell>
          <cell r="E24006" t="str">
            <v>Community School</v>
          </cell>
          <cell r="F24006" t="str">
            <v>Primary</v>
          </cell>
        </row>
        <row r="24007">
          <cell r="A24007">
            <v>3442217</v>
          </cell>
          <cell r="B24007">
            <v>105020</v>
          </cell>
          <cell r="C24007" t="str">
            <v>Raeburn Primary School</v>
          </cell>
          <cell r="D24007" t="str">
            <v>Wirral</v>
          </cell>
          <cell r="E24007" t="str">
            <v>Community School</v>
          </cell>
          <cell r="F24007" t="str">
            <v>Primary</v>
          </cell>
        </row>
        <row r="24008">
          <cell r="A24008">
            <v>9312450</v>
          </cell>
          <cell r="B24008">
            <v>123028</v>
          </cell>
          <cell r="C24008" t="str">
            <v>RAF Benson Community Primary School</v>
          </cell>
          <cell r="D24008" t="str">
            <v>Oxfordshire</v>
          </cell>
          <cell r="E24008" t="str">
            <v>Community School</v>
          </cell>
          <cell r="F24008" t="str">
            <v>Primary</v>
          </cell>
        </row>
        <row r="24009">
          <cell r="A24009">
            <v>3082056</v>
          </cell>
          <cell r="B24009">
            <v>102004</v>
          </cell>
          <cell r="C24009" t="str">
            <v>Raglan Infant School</v>
          </cell>
          <cell r="D24009" t="str">
            <v>Enfield</v>
          </cell>
          <cell r="E24009" t="str">
            <v>Community School</v>
          </cell>
          <cell r="F24009" t="str">
            <v>Primary</v>
          </cell>
        </row>
        <row r="24010">
          <cell r="A24010">
            <v>3052021</v>
          </cell>
          <cell r="B24010">
            <v>126791</v>
          </cell>
          <cell r="C24010" t="str">
            <v>Raglan Infant School</v>
          </cell>
          <cell r="D24010" t="str">
            <v>Bromley</v>
          </cell>
          <cell r="E24010" t="str">
            <v>Community School</v>
          </cell>
          <cell r="F24010" t="str">
            <v>Primary</v>
          </cell>
        </row>
        <row r="24011">
          <cell r="A24011">
            <v>3052020</v>
          </cell>
          <cell r="B24011">
            <v>126790</v>
          </cell>
          <cell r="C24011" t="str">
            <v>Raglan Junior School</v>
          </cell>
          <cell r="D24011" t="str">
            <v>Bromley</v>
          </cell>
          <cell r="E24011" t="str">
            <v>Community School</v>
          </cell>
          <cell r="F24011" t="str">
            <v>Primary</v>
          </cell>
        </row>
        <row r="24012">
          <cell r="A24012">
            <v>3055206</v>
          </cell>
          <cell r="B24012">
            <v>101642</v>
          </cell>
          <cell r="C24012" t="str">
            <v>Raglan Primary School</v>
          </cell>
          <cell r="D24012" t="str">
            <v>Bromley</v>
          </cell>
          <cell r="E24012" t="str">
            <v>Foundation School</v>
          </cell>
          <cell r="F24012" t="str">
            <v>Primary</v>
          </cell>
        </row>
        <row r="24013">
          <cell r="A24013">
            <v>6793031</v>
          </cell>
          <cell r="B24013">
            <v>401498</v>
          </cell>
          <cell r="C24013" t="str">
            <v>Raglan V.C. Primary School</v>
          </cell>
          <cell r="D24013" t="str">
            <v>Monmouthshire</v>
          </cell>
          <cell r="E24013" t="str">
            <v>Welsh Establishment</v>
          </cell>
          <cell r="F24013" t="str">
            <v>Primary</v>
          </cell>
        </row>
        <row r="24014">
          <cell r="A24014">
            <v>3732259</v>
          </cell>
          <cell r="B24014">
            <v>127698</v>
          </cell>
          <cell r="C24014" t="str">
            <v>Rainbow Forge Infant and Nursery School</v>
          </cell>
          <cell r="D24014" t="str">
            <v>Sheffield</v>
          </cell>
          <cell r="E24014" t="str">
            <v>Community School</v>
          </cell>
          <cell r="F24014" t="str">
            <v>Primary</v>
          </cell>
        </row>
        <row r="24015">
          <cell r="A24015">
            <v>3732258</v>
          </cell>
          <cell r="B24015">
            <v>127697</v>
          </cell>
          <cell r="C24015" t="str">
            <v>Rainbow Forge Junior School</v>
          </cell>
          <cell r="D24015" t="str">
            <v>Sheffield</v>
          </cell>
          <cell r="E24015" t="str">
            <v>Community School</v>
          </cell>
          <cell r="F24015" t="str">
            <v>Primary</v>
          </cell>
        </row>
        <row r="24016">
          <cell r="A24016">
            <v>3732363</v>
          </cell>
          <cell r="B24016">
            <v>107005</v>
          </cell>
          <cell r="C24016" t="str">
            <v>Rainbow Forge Primary School</v>
          </cell>
          <cell r="D24016" t="str">
            <v>Sheffield</v>
          </cell>
          <cell r="E24016" t="str">
            <v>Community School</v>
          </cell>
          <cell r="F24016" t="str">
            <v>Primary</v>
          </cell>
        </row>
        <row r="24017">
          <cell r="A24017">
            <v>2026390</v>
          </cell>
          <cell r="B24017">
            <v>100086</v>
          </cell>
          <cell r="C24017" t="str">
            <v>Rainbow Montessori School</v>
          </cell>
          <cell r="D24017" t="str">
            <v>Camden</v>
          </cell>
          <cell r="E24017" t="str">
            <v>Other Independent School</v>
          </cell>
          <cell r="F24017" t="str">
            <v>Not applicable</v>
          </cell>
        </row>
        <row r="24018">
          <cell r="A24018">
            <v>3802000</v>
          </cell>
          <cell r="B24018">
            <v>137320</v>
          </cell>
          <cell r="C24018" t="str">
            <v>Rainbow Primary School</v>
          </cell>
          <cell r="D24018" t="str">
            <v>Bradford</v>
          </cell>
          <cell r="E24018" t="str">
            <v>Academy Free Schools</v>
          </cell>
          <cell r="F24018" t="str">
            <v>Primary</v>
          </cell>
        </row>
        <row r="24019">
          <cell r="A24019">
            <v>8866072</v>
          </cell>
          <cell r="B24019">
            <v>119023</v>
          </cell>
          <cell r="C24019" t="str">
            <v>Rainbow Retreat</v>
          </cell>
          <cell r="D24019" t="str">
            <v>Kent</v>
          </cell>
          <cell r="E24019" t="str">
            <v>Other Independent School</v>
          </cell>
          <cell r="F24019" t="str">
            <v>Not applicable</v>
          </cell>
        </row>
        <row r="24020">
          <cell r="A24020">
            <v>8207011</v>
          </cell>
          <cell r="B24020">
            <v>109741</v>
          </cell>
          <cell r="C24020" t="str">
            <v>Rainbow School</v>
          </cell>
          <cell r="D24020" t="str">
            <v>Pre LGR (2009) Bedfordshire</v>
          </cell>
          <cell r="E24020" t="str">
            <v>Community Special School</v>
          </cell>
          <cell r="F24020" t="str">
            <v>Special</v>
          </cell>
        </row>
        <row r="24021">
          <cell r="A24021">
            <v>2126405</v>
          </cell>
          <cell r="B24021">
            <v>134145</v>
          </cell>
          <cell r="C24021" t="str">
            <v>Rainbow School for Children with Autism</v>
          </cell>
          <cell r="D24021" t="str">
            <v>Wandsworth</v>
          </cell>
          <cell r="E24021" t="str">
            <v>Other Independent Special School</v>
          </cell>
          <cell r="F24021" t="str">
            <v>Not applicable</v>
          </cell>
        </row>
        <row r="24022">
          <cell r="A24022">
            <v>8154071</v>
          </cell>
          <cell r="B24022">
            <v>121676</v>
          </cell>
          <cell r="C24022" t="str">
            <v>Raincliffe School</v>
          </cell>
          <cell r="D24022" t="str">
            <v>North Yorkshire</v>
          </cell>
          <cell r="E24022" t="str">
            <v>Community School</v>
          </cell>
          <cell r="F24022" t="str">
            <v>Secondary</v>
          </cell>
        </row>
        <row r="24023">
          <cell r="A24023">
            <v>2115400</v>
          </cell>
          <cell r="B24023">
            <v>100979</v>
          </cell>
          <cell r="C24023" t="str">
            <v>Raine's Foundation School</v>
          </cell>
          <cell r="D24023" t="str">
            <v>Tower Hamlets</v>
          </cell>
          <cell r="E24023" t="str">
            <v>Voluntary Aided School</v>
          </cell>
          <cell r="F24023" t="str">
            <v>Secondary</v>
          </cell>
        </row>
        <row r="24024">
          <cell r="A24024">
            <v>3422063</v>
          </cell>
          <cell r="B24024">
            <v>104780</v>
          </cell>
          <cell r="C24024" t="str">
            <v>Rainford Brook Lodge Community Primary School</v>
          </cell>
          <cell r="D24024" t="str">
            <v>St. Helens</v>
          </cell>
          <cell r="E24024" t="str">
            <v>Community School</v>
          </cell>
          <cell r="F24024" t="str">
            <v>Primary</v>
          </cell>
        </row>
        <row r="24025">
          <cell r="A24025">
            <v>3423108</v>
          </cell>
          <cell r="B24025">
            <v>127345</v>
          </cell>
          <cell r="C24025" t="str">
            <v>Rainford CofE Infant School</v>
          </cell>
          <cell r="D24025" t="str">
            <v>St. Helens</v>
          </cell>
          <cell r="E24025" t="str">
            <v>Voluntary Controlled School</v>
          </cell>
          <cell r="F24025" t="str">
            <v>Primary</v>
          </cell>
        </row>
        <row r="24026">
          <cell r="A24026">
            <v>3423204</v>
          </cell>
          <cell r="B24026">
            <v>127346</v>
          </cell>
          <cell r="C24026" t="str">
            <v>Rainford CofE Junior School</v>
          </cell>
          <cell r="D24026" t="str">
            <v>St. Helens</v>
          </cell>
          <cell r="E24026" t="str">
            <v>Voluntary Controlled School</v>
          </cell>
          <cell r="F24026" t="str">
            <v>Primary</v>
          </cell>
        </row>
        <row r="24027">
          <cell r="A24027">
            <v>3423205</v>
          </cell>
          <cell r="B24027">
            <v>104790</v>
          </cell>
          <cell r="C24027" t="str">
            <v>Rainford CofE Primary School</v>
          </cell>
          <cell r="D24027" t="str">
            <v>St. Helens</v>
          </cell>
          <cell r="E24027" t="str">
            <v>Voluntary Controlled School</v>
          </cell>
          <cell r="F24027" t="str">
            <v>Primary</v>
          </cell>
        </row>
        <row r="24028">
          <cell r="A24028">
            <v>3424050</v>
          </cell>
          <cell r="B24028">
            <v>104826</v>
          </cell>
          <cell r="C24028" t="str">
            <v>Rainford High Technology College</v>
          </cell>
          <cell r="D24028" t="str">
            <v>St. Helens</v>
          </cell>
          <cell r="E24028" t="str">
            <v>Community School</v>
          </cell>
          <cell r="F24028" t="str">
            <v>Secondary</v>
          </cell>
        </row>
        <row r="24029">
          <cell r="A24029">
            <v>8882239</v>
          </cell>
          <cell r="B24029">
            <v>119266</v>
          </cell>
          <cell r="C24029" t="str">
            <v>Rainhall Road Community Primary School</v>
          </cell>
          <cell r="D24029" t="str">
            <v>Lancashire</v>
          </cell>
          <cell r="E24029" t="str">
            <v>Community School</v>
          </cell>
          <cell r="F24029" t="str">
            <v>Primary</v>
          </cell>
        </row>
        <row r="24030">
          <cell r="A24030">
            <v>3112030</v>
          </cell>
          <cell r="B24030">
            <v>126919</v>
          </cell>
          <cell r="C24030" t="str">
            <v>Rainham Infants' School</v>
          </cell>
          <cell r="D24030" t="str">
            <v>Havering</v>
          </cell>
          <cell r="E24030" t="str">
            <v>Community School</v>
          </cell>
          <cell r="F24030" t="str">
            <v>Primary</v>
          </cell>
        </row>
        <row r="24031">
          <cell r="A24031">
            <v>3112029</v>
          </cell>
          <cell r="B24031">
            <v>126918</v>
          </cell>
          <cell r="C24031" t="str">
            <v>Rainham Junior School</v>
          </cell>
          <cell r="D24031" t="str">
            <v>Havering</v>
          </cell>
          <cell r="E24031" t="str">
            <v>Community School</v>
          </cell>
          <cell r="F24031" t="str">
            <v>Primary</v>
          </cell>
        </row>
        <row r="24032">
          <cell r="A24032">
            <v>8875420</v>
          </cell>
          <cell r="B24032">
            <v>118892</v>
          </cell>
          <cell r="C24032" t="str">
            <v>Rainham Mark Grammar School</v>
          </cell>
          <cell r="D24032" t="str">
            <v>Medway</v>
          </cell>
          <cell r="E24032" t="str">
            <v>Foundation School</v>
          </cell>
          <cell r="F24032" t="str">
            <v>Secondary</v>
          </cell>
        </row>
        <row r="24033">
          <cell r="A24033">
            <v>8875420</v>
          </cell>
          <cell r="B24033">
            <v>136864</v>
          </cell>
          <cell r="C24033" t="str">
            <v>Rainham Mark Grammar School</v>
          </cell>
          <cell r="D24033" t="str">
            <v>Medway</v>
          </cell>
          <cell r="E24033" t="str">
            <v>Academy Converters</v>
          </cell>
          <cell r="F24033" t="str">
            <v>Secondary</v>
          </cell>
        </row>
        <row r="24034">
          <cell r="A24034">
            <v>8874199</v>
          </cell>
          <cell r="B24034">
            <v>118823</v>
          </cell>
          <cell r="C24034" t="str">
            <v>Rainham School for Girls</v>
          </cell>
          <cell r="D24034" t="str">
            <v>Medway</v>
          </cell>
          <cell r="E24034" t="str">
            <v>Community School</v>
          </cell>
          <cell r="F24034" t="str">
            <v>Secondary</v>
          </cell>
        </row>
        <row r="24035">
          <cell r="A24035">
            <v>8874199</v>
          </cell>
          <cell r="B24035">
            <v>136456</v>
          </cell>
          <cell r="C24035" t="str">
            <v>Rainham School for Girls</v>
          </cell>
          <cell r="D24035" t="str">
            <v>Medway</v>
          </cell>
          <cell r="E24035" t="str">
            <v>Academy Converters</v>
          </cell>
          <cell r="F24035" t="str">
            <v>Secondary</v>
          </cell>
        </row>
        <row r="24036">
          <cell r="A24036">
            <v>3112089</v>
          </cell>
          <cell r="B24036">
            <v>102324</v>
          </cell>
          <cell r="C24036" t="str">
            <v>Rainham Village Primary School</v>
          </cell>
          <cell r="D24036" t="str">
            <v>Havering</v>
          </cell>
          <cell r="E24036" t="str">
            <v>Community School</v>
          </cell>
          <cell r="F24036" t="str">
            <v>Primary</v>
          </cell>
        </row>
        <row r="24037">
          <cell r="A24037">
            <v>3421001</v>
          </cell>
          <cell r="B24037">
            <v>131447</v>
          </cell>
          <cell r="C24037" t="str">
            <v>Rainhill Community Nursery</v>
          </cell>
          <cell r="D24037" t="str">
            <v>St. Helens</v>
          </cell>
          <cell r="E24037" t="str">
            <v>LA Nursery School</v>
          </cell>
          <cell r="F24037" t="str">
            <v>Nursery</v>
          </cell>
        </row>
        <row r="24038">
          <cell r="A24038">
            <v>3424104</v>
          </cell>
          <cell r="B24038">
            <v>104830</v>
          </cell>
          <cell r="C24038" t="str">
            <v>Rainhill High School</v>
          </cell>
          <cell r="D24038" t="str">
            <v>St. Helens</v>
          </cell>
          <cell r="E24038" t="str">
            <v>Foundation School</v>
          </cell>
          <cell r="F24038" t="str">
            <v>Secondary</v>
          </cell>
        </row>
        <row r="24039">
          <cell r="A24039">
            <v>3422067</v>
          </cell>
          <cell r="B24039">
            <v>127338</v>
          </cell>
          <cell r="C24039" t="str">
            <v>Rainhill Park Primary School</v>
          </cell>
          <cell r="D24039" t="str">
            <v>St. Helens</v>
          </cell>
          <cell r="E24039" t="str">
            <v>Community School</v>
          </cell>
          <cell r="F24039" t="str">
            <v>Primary</v>
          </cell>
        </row>
        <row r="24040">
          <cell r="A24040">
            <v>8952664</v>
          </cell>
          <cell r="B24040">
            <v>111203</v>
          </cell>
          <cell r="C24040" t="str">
            <v>Rainow Primary School</v>
          </cell>
          <cell r="D24040" t="str">
            <v>Cheshire East</v>
          </cell>
          <cell r="E24040" t="str">
            <v>Community School</v>
          </cell>
          <cell r="F24040" t="str">
            <v>Primary</v>
          </cell>
        </row>
        <row r="24041">
          <cell r="A24041">
            <v>937611</v>
          </cell>
          <cell r="B24041">
            <v>129050</v>
          </cell>
          <cell r="C24041" t="str">
            <v>Rainsbrook Secure Training Centre</v>
          </cell>
          <cell r="D24041" t="str">
            <v>Warwickshire</v>
          </cell>
          <cell r="E24041" t="str">
            <v>Secure Units</v>
          </cell>
          <cell r="F24041" t="str">
            <v>Not applicable</v>
          </cell>
        </row>
        <row r="24042">
          <cell r="A24042">
            <v>8815431</v>
          </cell>
          <cell r="B24042">
            <v>115347</v>
          </cell>
          <cell r="C24042" t="str">
            <v>Rainsford High School</v>
          </cell>
          <cell r="D24042" t="str">
            <v>Essex</v>
          </cell>
          <cell r="E24042" t="str">
            <v>Foundation School</v>
          </cell>
          <cell r="F24042" t="str">
            <v>Secondary</v>
          </cell>
        </row>
        <row r="24043">
          <cell r="A24043">
            <v>9383024</v>
          </cell>
          <cell r="B24043">
            <v>125989</v>
          </cell>
          <cell r="C24043" t="str">
            <v>Rake CofE Primary School</v>
          </cell>
          <cell r="D24043" t="str">
            <v>West Sussex</v>
          </cell>
          <cell r="E24043" t="str">
            <v>Voluntary Controlled School</v>
          </cell>
          <cell r="F24043" t="str">
            <v>Primary</v>
          </cell>
        </row>
        <row r="24044">
          <cell r="A24044">
            <v>3362035</v>
          </cell>
          <cell r="B24044">
            <v>104305</v>
          </cell>
          <cell r="C24044" t="str">
            <v>Rake Gate Infant School</v>
          </cell>
          <cell r="D24044" t="str">
            <v>Wolverhampton</v>
          </cell>
          <cell r="E24044" t="str">
            <v>Community School</v>
          </cell>
          <cell r="F24044" t="str">
            <v>Primary</v>
          </cell>
        </row>
        <row r="24045">
          <cell r="A24045">
            <v>3362034</v>
          </cell>
          <cell r="B24045">
            <v>104304</v>
          </cell>
          <cell r="C24045" t="str">
            <v>Rakegate Primary School</v>
          </cell>
          <cell r="D24045" t="str">
            <v>Wolverhampton</v>
          </cell>
          <cell r="E24045" t="str">
            <v>Community School</v>
          </cell>
          <cell r="F24045" t="str">
            <v>Primary</v>
          </cell>
        </row>
        <row r="24046">
          <cell r="A24046">
            <v>8201102</v>
          </cell>
          <cell r="B24046">
            <v>132036</v>
          </cell>
          <cell r="C24046" t="str">
            <v>Raleigh Education Centre</v>
          </cell>
          <cell r="D24046" t="str">
            <v>Pre LGR (2009) Bedfordshire</v>
          </cell>
          <cell r="E24046" t="str">
            <v>Pupil Referral Unit</v>
          </cell>
          <cell r="F24046" t="str">
            <v>PRU</v>
          </cell>
        </row>
        <row r="24047">
          <cell r="A24047">
            <v>9302089</v>
          </cell>
          <cell r="B24047">
            <v>122436</v>
          </cell>
          <cell r="C24047" t="str">
            <v>Raleigh Infant School</v>
          </cell>
          <cell r="D24047" t="str">
            <v>Pre LGR (1998) Nottinghamshire</v>
          </cell>
          <cell r="E24047" t="str">
            <v>Community School</v>
          </cell>
          <cell r="F24047" t="str">
            <v>Primary</v>
          </cell>
        </row>
        <row r="24048">
          <cell r="A24048">
            <v>9262375</v>
          </cell>
          <cell r="B24048">
            <v>120993</v>
          </cell>
          <cell r="C24048" t="str">
            <v>Raleigh Infant School and Nursery</v>
          </cell>
          <cell r="D24048" t="str">
            <v>Norfolk</v>
          </cell>
          <cell r="E24048" t="str">
            <v>Community School</v>
          </cell>
          <cell r="F24048" t="str">
            <v>Primary</v>
          </cell>
        </row>
        <row r="24049">
          <cell r="A24049">
            <v>9022004</v>
          </cell>
          <cell r="B24049">
            <v>109430</v>
          </cell>
          <cell r="C24049" t="str">
            <v>Raleigh School</v>
          </cell>
          <cell r="D24049" t="str">
            <v>Pre LGR (1997) Bedfordshire</v>
          </cell>
          <cell r="E24049" t="str">
            <v>Community School</v>
          </cell>
          <cell r="F24049" t="str">
            <v>Primary</v>
          </cell>
        </row>
        <row r="24050">
          <cell r="A24050">
            <v>8004132</v>
          </cell>
          <cell r="B24050">
            <v>109305</v>
          </cell>
          <cell r="C24050" t="str">
            <v>Ralph Allen School</v>
          </cell>
          <cell r="D24050" t="str">
            <v>Bath and North East Somerset</v>
          </cell>
          <cell r="E24050" t="str">
            <v>Foundation School</v>
          </cell>
          <cell r="F24050" t="str">
            <v>Secondary</v>
          </cell>
        </row>
        <row r="24051">
          <cell r="A24051">
            <v>8162058</v>
          </cell>
          <cell r="B24051">
            <v>121299</v>
          </cell>
          <cell r="C24051" t="str">
            <v>Ralph Butterfield Primary School</v>
          </cell>
          <cell r="D24051" t="str">
            <v>York</v>
          </cell>
          <cell r="E24051" t="str">
            <v>Community School</v>
          </cell>
          <cell r="F24051" t="str">
            <v>Primary</v>
          </cell>
        </row>
        <row r="24052">
          <cell r="A24052">
            <v>3924003</v>
          </cell>
          <cell r="B24052">
            <v>128162</v>
          </cell>
          <cell r="C24052" t="str">
            <v>Ralph Gardner Community High School</v>
          </cell>
          <cell r="D24052" t="str">
            <v>North Tyneside</v>
          </cell>
          <cell r="E24052" t="str">
            <v>Community School</v>
          </cell>
          <cell r="F24052" t="str">
            <v>Secondary</v>
          </cell>
        </row>
        <row r="24053">
          <cell r="A24053">
            <v>9194146</v>
          </cell>
          <cell r="B24053">
            <v>117543</v>
          </cell>
          <cell r="C24053" t="str">
            <v>Ralph Sadleir Middle School</v>
          </cell>
          <cell r="D24053" t="str">
            <v>Hertfordshire</v>
          </cell>
          <cell r="E24053" t="str">
            <v>Community School</v>
          </cell>
          <cell r="F24053" t="str">
            <v>Middle Deemed Secondary</v>
          </cell>
        </row>
        <row r="24054">
          <cell r="A24054">
            <v>3834498</v>
          </cell>
          <cell r="B24054">
            <v>128013</v>
          </cell>
          <cell r="C24054" t="str">
            <v>Ralph Thoresby High School</v>
          </cell>
          <cell r="D24054" t="str">
            <v>Leeds</v>
          </cell>
          <cell r="E24054" t="str">
            <v>Community School</v>
          </cell>
          <cell r="F24054" t="str">
            <v>Secondary</v>
          </cell>
        </row>
        <row r="24055">
          <cell r="A24055">
            <v>3834062</v>
          </cell>
          <cell r="B24055">
            <v>108075</v>
          </cell>
          <cell r="C24055" t="str">
            <v>Ralph Thoresby School</v>
          </cell>
          <cell r="D24055" t="str">
            <v>Leeds</v>
          </cell>
          <cell r="E24055" t="str">
            <v>Community School</v>
          </cell>
          <cell r="F24055" t="str">
            <v>Secondary</v>
          </cell>
        </row>
        <row r="24056">
          <cell r="A24056">
            <v>7026203</v>
          </cell>
          <cell r="B24056">
            <v>132690</v>
          </cell>
          <cell r="C24056" t="str">
            <v>Ralston School</v>
          </cell>
          <cell r="D24056" t="str">
            <v>BFPO Overseas Establishments</v>
          </cell>
          <cell r="E24056" t="str">
            <v>Service Childrens Education</v>
          </cell>
          <cell r="F24056" t="str">
            <v>Not applicable</v>
          </cell>
        </row>
        <row r="24057">
          <cell r="A24057">
            <v>3566008</v>
          </cell>
          <cell r="B24057">
            <v>106150</v>
          </cell>
          <cell r="C24057" t="str">
            <v>Ramillies Hall School</v>
          </cell>
          <cell r="D24057" t="str">
            <v>Stockport</v>
          </cell>
          <cell r="E24057" t="str">
            <v>Other Independent School</v>
          </cell>
          <cell r="F24057" t="str">
            <v>Not applicable</v>
          </cell>
        </row>
        <row r="24058">
          <cell r="A24058">
            <v>8732095</v>
          </cell>
          <cell r="B24058">
            <v>110653</v>
          </cell>
          <cell r="C24058" t="str">
            <v>Ramnoth Junior School</v>
          </cell>
          <cell r="D24058" t="str">
            <v>Cambridgeshire</v>
          </cell>
          <cell r="E24058" t="str">
            <v>Community School</v>
          </cell>
          <cell r="F24058" t="str">
            <v>Primary</v>
          </cell>
        </row>
        <row r="24059">
          <cell r="A24059">
            <v>8912813</v>
          </cell>
          <cell r="B24059">
            <v>122671</v>
          </cell>
          <cell r="C24059" t="str">
            <v>Rampton Primary School</v>
          </cell>
          <cell r="D24059" t="str">
            <v>Nottinghamshire</v>
          </cell>
          <cell r="E24059" t="str">
            <v>Community School</v>
          </cell>
          <cell r="F24059" t="str">
            <v>Primary</v>
          </cell>
        </row>
        <row r="24060">
          <cell r="A24060">
            <v>8212241</v>
          </cell>
          <cell r="B24060">
            <v>109550</v>
          </cell>
          <cell r="C24060" t="str">
            <v>Ramridge Infant School</v>
          </cell>
          <cell r="D24060" t="str">
            <v>Luton</v>
          </cell>
          <cell r="E24060" t="str">
            <v>Community School</v>
          </cell>
          <cell r="F24060" t="str">
            <v>Primary</v>
          </cell>
        </row>
        <row r="24061">
          <cell r="A24061">
            <v>8212240</v>
          </cell>
          <cell r="B24061">
            <v>109549</v>
          </cell>
          <cell r="C24061" t="str">
            <v>Ramridge Junior School</v>
          </cell>
          <cell r="D24061" t="str">
            <v>Luton</v>
          </cell>
          <cell r="E24061" t="str">
            <v>Community School</v>
          </cell>
          <cell r="F24061" t="str">
            <v>Primary</v>
          </cell>
        </row>
        <row r="24062">
          <cell r="A24062">
            <v>8212006</v>
          </cell>
          <cell r="B24062">
            <v>134155</v>
          </cell>
          <cell r="C24062" t="str">
            <v>Ramridge Primary School</v>
          </cell>
          <cell r="D24062" t="str">
            <v>Luton</v>
          </cell>
          <cell r="E24062" t="str">
            <v>Community School</v>
          </cell>
          <cell r="F24062" t="str">
            <v>Primary</v>
          </cell>
        </row>
        <row r="24063">
          <cell r="A24063">
            <v>2043350</v>
          </cell>
          <cell r="B24063">
            <v>100262</v>
          </cell>
          <cell r="C24063" t="str">
            <v>Rams Episcopal Church of England Primary School</v>
          </cell>
          <cell r="D24063" t="str">
            <v>Hackney</v>
          </cell>
          <cell r="E24063" t="str">
            <v>Voluntary Aided School</v>
          </cell>
          <cell r="F24063" t="str">
            <v>Primary</v>
          </cell>
        </row>
        <row r="24064">
          <cell r="A24064">
            <v>831940</v>
          </cell>
          <cell r="B24064">
            <v>132718</v>
          </cell>
          <cell r="C24064" t="str">
            <v>Rams Study Center</v>
          </cell>
          <cell r="D24064" t="str">
            <v>Derby</v>
          </cell>
          <cell r="E24064" t="str">
            <v>Playing for Success Centres</v>
          </cell>
          <cell r="F24064" t="str">
            <v>Not applicable</v>
          </cell>
        </row>
        <row r="24065">
          <cell r="A24065">
            <v>8882121</v>
          </cell>
          <cell r="B24065">
            <v>119196</v>
          </cell>
          <cell r="C24065" t="str">
            <v>Ramsbottom Stubbins Primary School</v>
          </cell>
          <cell r="D24065" t="str">
            <v>Lancashire</v>
          </cell>
          <cell r="E24065" t="str">
            <v>Community School</v>
          </cell>
          <cell r="F24065" t="str">
            <v>Primary</v>
          </cell>
        </row>
        <row r="24066">
          <cell r="A24066">
            <v>8652087</v>
          </cell>
          <cell r="B24066">
            <v>126205</v>
          </cell>
          <cell r="C24066" t="str">
            <v>Ramsbury Primary School</v>
          </cell>
          <cell r="D24066" t="str">
            <v>Wiltshire</v>
          </cell>
          <cell r="E24066" t="str">
            <v>Community School</v>
          </cell>
          <cell r="F24066" t="str">
            <v>Primary</v>
          </cell>
        </row>
        <row r="24067">
          <cell r="A24067">
            <v>9172172</v>
          </cell>
          <cell r="B24067">
            <v>128982</v>
          </cell>
          <cell r="C24067" t="str">
            <v>Ramsdell County Primary School</v>
          </cell>
          <cell r="D24067" t="str">
            <v>Pre LGR (1997) Hampshire</v>
          </cell>
          <cell r="E24067" t="str">
            <v>Community School</v>
          </cell>
          <cell r="F24067" t="str">
            <v>Primary</v>
          </cell>
        </row>
        <row r="24068">
          <cell r="A24068">
            <v>8817021</v>
          </cell>
          <cell r="B24068">
            <v>115449</v>
          </cell>
          <cell r="C24068" t="str">
            <v>Ramsden Hall School</v>
          </cell>
          <cell r="D24068" t="str">
            <v>Essex</v>
          </cell>
          <cell r="E24068" t="str">
            <v>Community Special School</v>
          </cell>
          <cell r="F24068" t="str">
            <v>Special</v>
          </cell>
        </row>
        <row r="24069">
          <cell r="A24069">
            <v>3052048</v>
          </cell>
          <cell r="B24069">
            <v>101619</v>
          </cell>
          <cell r="C24069" t="str">
            <v>Ramsden Infant School</v>
          </cell>
          <cell r="D24069" t="str">
            <v>Bromley</v>
          </cell>
          <cell r="E24069" t="str">
            <v>Community School</v>
          </cell>
          <cell r="F24069" t="str">
            <v>Primary</v>
          </cell>
        </row>
        <row r="24070">
          <cell r="A24070">
            <v>9092512</v>
          </cell>
          <cell r="B24070">
            <v>112208</v>
          </cell>
          <cell r="C24070" t="str">
            <v>Ramsden Infant School</v>
          </cell>
          <cell r="D24070" t="str">
            <v>Cumbria</v>
          </cell>
          <cell r="E24070" t="str">
            <v>Community School</v>
          </cell>
          <cell r="F24070" t="str">
            <v>Primary</v>
          </cell>
        </row>
        <row r="24071">
          <cell r="A24071">
            <v>3052047</v>
          </cell>
          <cell r="B24071">
            <v>101618</v>
          </cell>
          <cell r="C24071" t="str">
            <v>Ramsden Junior School</v>
          </cell>
          <cell r="D24071" t="str">
            <v>Bromley</v>
          </cell>
          <cell r="E24071" t="str">
            <v>Community School</v>
          </cell>
          <cell r="F24071" t="str">
            <v>Primary</v>
          </cell>
        </row>
        <row r="24072">
          <cell r="A24072">
            <v>8912704</v>
          </cell>
          <cell r="B24072">
            <v>122627</v>
          </cell>
          <cell r="C24072" t="str">
            <v>Ramsden Primary School</v>
          </cell>
          <cell r="D24072" t="str">
            <v>Nottinghamshire</v>
          </cell>
          <cell r="E24072" t="str">
            <v>Community School</v>
          </cell>
          <cell r="F24072" t="str">
            <v>Primary</v>
          </cell>
        </row>
        <row r="24073">
          <cell r="A24073">
            <v>8734504</v>
          </cell>
          <cell r="B24073">
            <v>110886</v>
          </cell>
          <cell r="C24073" t="str">
            <v>Ramsey Abbey School</v>
          </cell>
          <cell r="D24073" t="str">
            <v>Cambridgeshire</v>
          </cell>
          <cell r="E24073" t="str">
            <v>Voluntary Controlled School</v>
          </cell>
          <cell r="F24073" t="str">
            <v>Secondary</v>
          </cell>
        </row>
        <row r="24074">
          <cell r="A24074">
            <v>8732218</v>
          </cell>
          <cell r="B24074">
            <v>110686</v>
          </cell>
          <cell r="C24074" t="str">
            <v>Ramsey Community Junior School</v>
          </cell>
          <cell r="D24074" t="str">
            <v>Cambridgeshire</v>
          </cell>
          <cell r="E24074" t="str">
            <v>Community School</v>
          </cell>
          <cell r="F24074" t="str">
            <v>Primary</v>
          </cell>
        </row>
        <row r="24075">
          <cell r="A24075">
            <v>7054004</v>
          </cell>
          <cell r="B24075">
            <v>132466</v>
          </cell>
          <cell r="C24075" t="str">
            <v>Ramsey Grammar School</v>
          </cell>
          <cell r="D24075" t="str">
            <v>Isle of Man Offshore Establishments</v>
          </cell>
          <cell r="E24075" t="str">
            <v>Offshore Schools</v>
          </cell>
          <cell r="F24075" t="str">
            <v>Not applicable</v>
          </cell>
        </row>
        <row r="24076">
          <cell r="A24076">
            <v>8232282</v>
          </cell>
          <cell r="B24076">
            <v>109587</v>
          </cell>
          <cell r="C24076" t="str">
            <v>Ramsey Manor Lower School</v>
          </cell>
          <cell r="D24076" t="str">
            <v>Central Bedfordshire</v>
          </cell>
          <cell r="E24076" t="str">
            <v>Community School</v>
          </cell>
          <cell r="F24076" t="str">
            <v>Primary</v>
          </cell>
        </row>
        <row r="24077">
          <cell r="A24077">
            <v>8812048</v>
          </cell>
          <cell r="B24077">
            <v>114737</v>
          </cell>
          <cell r="C24077" t="str">
            <v>Ramsey Primary School</v>
          </cell>
          <cell r="D24077" t="str">
            <v>Essex</v>
          </cell>
          <cell r="E24077" t="str">
            <v>Community School</v>
          </cell>
          <cell r="F24077" t="str">
            <v>Primary</v>
          </cell>
        </row>
        <row r="24078">
          <cell r="A24078">
            <v>8732216</v>
          </cell>
          <cell r="B24078">
            <v>110684</v>
          </cell>
          <cell r="C24078" t="str">
            <v>Ramsey Spinning Infant School</v>
          </cell>
          <cell r="D24078" t="str">
            <v>Cambridgeshire</v>
          </cell>
          <cell r="E24078" t="str">
            <v>Community School</v>
          </cell>
          <cell r="F24078" t="str">
            <v>Primary</v>
          </cell>
        </row>
        <row r="24079">
          <cell r="A24079">
            <v>8863196</v>
          </cell>
          <cell r="B24079">
            <v>118700</v>
          </cell>
          <cell r="C24079" t="str">
            <v>Ramsgate, Christ Church Church of England Junior School</v>
          </cell>
          <cell r="D24079" t="str">
            <v>Kent</v>
          </cell>
          <cell r="E24079" t="str">
            <v>Voluntary Controlled School</v>
          </cell>
          <cell r="F24079" t="str">
            <v>Primary</v>
          </cell>
        </row>
        <row r="24080">
          <cell r="A24080">
            <v>8863364</v>
          </cell>
          <cell r="B24080">
            <v>118751</v>
          </cell>
          <cell r="C24080" t="str">
            <v>Ramsgate, Holy Trinity Church of England Primary School</v>
          </cell>
          <cell r="D24080" t="str">
            <v>Kent</v>
          </cell>
          <cell r="E24080" t="str">
            <v>Voluntary Aided School</v>
          </cell>
          <cell r="F24080" t="str">
            <v>Primary</v>
          </cell>
        </row>
        <row r="24081">
          <cell r="A24081">
            <v>8402409</v>
          </cell>
          <cell r="B24081">
            <v>114099</v>
          </cell>
          <cell r="C24081" t="str">
            <v>Ramshaw Primary School</v>
          </cell>
          <cell r="D24081" t="str">
            <v>Durham</v>
          </cell>
          <cell r="E24081" t="str">
            <v>Community School</v>
          </cell>
          <cell r="F24081" t="str">
            <v>Primary</v>
          </cell>
        </row>
        <row r="24082">
          <cell r="A24082">
            <v>9222157</v>
          </cell>
          <cell r="B24082">
            <v>129363</v>
          </cell>
          <cell r="C24082" t="str">
            <v>Ramslye County Primary School</v>
          </cell>
          <cell r="D24082" t="str">
            <v>Pre LGR (1998) Kent</v>
          </cell>
          <cell r="E24082" t="str">
            <v>Community School</v>
          </cell>
          <cell r="F24082" t="str">
            <v>Primary</v>
          </cell>
        </row>
        <row r="24083">
          <cell r="A24083">
            <v>8913061</v>
          </cell>
          <cell r="B24083">
            <v>122749</v>
          </cell>
          <cell r="C24083" t="str">
            <v>Ranby CofE Primary School</v>
          </cell>
          <cell r="D24083" t="str">
            <v>Nottinghamshire</v>
          </cell>
          <cell r="E24083" t="str">
            <v>Voluntary Controlled School</v>
          </cell>
          <cell r="F24083" t="str">
            <v>Primary</v>
          </cell>
        </row>
        <row r="24084">
          <cell r="A24084">
            <v>8916010</v>
          </cell>
          <cell r="B24084">
            <v>122928</v>
          </cell>
          <cell r="C24084" t="str">
            <v>Ranby House School</v>
          </cell>
          <cell r="D24084" t="str">
            <v>Nottinghamshire</v>
          </cell>
          <cell r="E24084" t="str">
            <v>Other Independent School</v>
          </cell>
          <cell r="F24084" t="str">
            <v>Not applicable</v>
          </cell>
        </row>
        <row r="24085">
          <cell r="A24085">
            <v>2042489</v>
          </cell>
          <cell r="B24085">
            <v>100236</v>
          </cell>
          <cell r="C24085" t="str">
            <v>Randal Cremer Primary School</v>
          </cell>
          <cell r="D24085" t="str">
            <v>Hackney</v>
          </cell>
          <cell r="E24085" t="str">
            <v>Community School</v>
          </cell>
          <cell r="F24085" t="str">
            <v>Primary</v>
          </cell>
        </row>
        <row r="24086">
          <cell r="A24086">
            <v>8942172</v>
          </cell>
          <cell r="B24086">
            <v>123441</v>
          </cell>
          <cell r="C24086" t="str">
            <v>Randlay Primary School</v>
          </cell>
          <cell r="D24086" t="str">
            <v>Telford and Wrekin</v>
          </cell>
          <cell r="E24086" t="str">
            <v>Community School</v>
          </cell>
          <cell r="F24086" t="str">
            <v>Primary</v>
          </cell>
        </row>
        <row r="24087">
          <cell r="A24087">
            <v>2051034</v>
          </cell>
          <cell r="B24087">
            <v>100315</v>
          </cell>
          <cell r="C24087" t="str">
            <v>Randolph Beresford Early Years Centre</v>
          </cell>
          <cell r="D24087" t="str">
            <v>Hammersmith and Fulham</v>
          </cell>
          <cell r="E24087" t="str">
            <v>LA Nursery School</v>
          </cell>
          <cell r="F24087" t="str">
            <v>Nursery</v>
          </cell>
        </row>
        <row r="24088">
          <cell r="A24088">
            <v>9163063</v>
          </cell>
          <cell r="B24088">
            <v>115645</v>
          </cell>
          <cell r="C24088" t="str">
            <v>Randwick Church of England Primary School</v>
          </cell>
          <cell r="D24088" t="str">
            <v>Gloucestershire</v>
          </cell>
          <cell r="E24088" t="str">
            <v>Voluntary Controlled School</v>
          </cell>
          <cell r="F24088" t="str">
            <v>Primary</v>
          </cell>
        </row>
        <row r="24089">
          <cell r="A24089">
            <v>3162043</v>
          </cell>
          <cell r="B24089">
            <v>102732</v>
          </cell>
          <cell r="C24089" t="str">
            <v>Ranelagh Primary School</v>
          </cell>
          <cell r="D24089" t="str">
            <v>Newham</v>
          </cell>
          <cell r="E24089" t="str">
            <v>Community School</v>
          </cell>
          <cell r="F24089" t="str">
            <v>Primary</v>
          </cell>
        </row>
        <row r="24090">
          <cell r="A24090">
            <v>9352157</v>
          </cell>
          <cell r="B24090">
            <v>124645</v>
          </cell>
          <cell r="C24090" t="str">
            <v>Ranelagh Primary School</v>
          </cell>
          <cell r="D24090" t="str">
            <v>Suffolk</v>
          </cell>
          <cell r="E24090" t="str">
            <v>Community School</v>
          </cell>
          <cell r="F24090" t="str">
            <v>Primary</v>
          </cell>
        </row>
        <row r="24091">
          <cell r="A24091">
            <v>8674603</v>
          </cell>
          <cell r="B24091">
            <v>110082</v>
          </cell>
          <cell r="C24091" t="str">
            <v>Ranelagh School</v>
          </cell>
          <cell r="D24091" t="str">
            <v>Bracknell Forest</v>
          </cell>
          <cell r="E24091" t="str">
            <v>Voluntary Aided School</v>
          </cell>
          <cell r="F24091" t="str">
            <v>Secondary</v>
          </cell>
        </row>
        <row r="24092">
          <cell r="A24092">
            <v>8674603</v>
          </cell>
          <cell r="B24092">
            <v>137267</v>
          </cell>
          <cell r="C24092" t="str">
            <v>Ranelagh School</v>
          </cell>
          <cell r="D24092" t="str">
            <v>Bracknell Forest</v>
          </cell>
          <cell r="E24092" t="str">
            <v>Academy Converters</v>
          </cell>
          <cell r="F24092" t="str">
            <v>Secondary</v>
          </cell>
        </row>
        <row r="24093">
          <cell r="A24093">
            <v>3434106</v>
          </cell>
          <cell r="B24093">
            <v>104953</v>
          </cell>
          <cell r="C24093" t="str">
            <v>Range High School</v>
          </cell>
          <cell r="D24093" t="str">
            <v>Sefton</v>
          </cell>
          <cell r="E24093" t="str">
            <v>Community School</v>
          </cell>
          <cell r="F24093" t="str">
            <v>Secondary</v>
          </cell>
        </row>
        <row r="24094">
          <cell r="A24094">
            <v>3434106</v>
          </cell>
          <cell r="B24094">
            <v>137612</v>
          </cell>
          <cell r="C24094" t="str">
            <v>Range High School</v>
          </cell>
          <cell r="D24094" t="str">
            <v>Sefton</v>
          </cell>
          <cell r="E24094" t="str">
            <v>Academy Converters</v>
          </cell>
          <cell r="F24094" t="str">
            <v>Secondary</v>
          </cell>
        </row>
        <row r="24095">
          <cell r="A24095">
            <v>2092491</v>
          </cell>
          <cell r="B24095">
            <v>100699</v>
          </cell>
          <cell r="C24095" t="str">
            <v>Rangefield Primary School</v>
          </cell>
          <cell r="D24095" t="str">
            <v>Lewisham</v>
          </cell>
          <cell r="E24095" t="str">
            <v>Community School</v>
          </cell>
          <cell r="F24095" t="str">
            <v>Primary</v>
          </cell>
        </row>
        <row r="24096">
          <cell r="A24096">
            <v>8033057</v>
          </cell>
          <cell r="B24096">
            <v>109172</v>
          </cell>
          <cell r="C24096" t="str">
            <v>Rangeworthy Church of England Primary School</v>
          </cell>
          <cell r="D24096" t="str">
            <v>South Gloucestershire</v>
          </cell>
          <cell r="E24096" t="str">
            <v>Voluntary Controlled School</v>
          </cell>
          <cell r="F24096" t="str">
            <v>Primary</v>
          </cell>
        </row>
        <row r="24097">
          <cell r="A24097">
            <v>9032038</v>
          </cell>
          <cell r="B24097">
            <v>128271</v>
          </cell>
          <cell r="C24097" t="str">
            <v>Ranikhet County Infant School</v>
          </cell>
          <cell r="D24097" t="str">
            <v>Pre LGR (1998) Berkshire</v>
          </cell>
          <cell r="E24097" t="str">
            <v>Community School</v>
          </cell>
          <cell r="F24097" t="str">
            <v>Primary</v>
          </cell>
        </row>
        <row r="24098">
          <cell r="A24098">
            <v>9032037</v>
          </cell>
          <cell r="B24098">
            <v>128270</v>
          </cell>
          <cell r="C24098" t="str">
            <v>Ranikhet County Junior School</v>
          </cell>
          <cell r="D24098" t="str">
            <v>Pre LGR (1998) Berkshire</v>
          </cell>
          <cell r="E24098" t="str">
            <v>Community School</v>
          </cell>
          <cell r="F24098" t="str">
            <v>Primary</v>
          </cell>
        </row>
        <row r="24099">
          <cell r="A24099">
            <v>8702248</v>
          </cell>
          <cell r="B24099">
            <v>109939</v>
          </cell>
          <cell r="C24099" t="str">
            <v>Ranikhet Primary School</v>
          </cell>
          <cell r="D24099" t="str">
            <v>Reading</v>
          </cell>
          <cell r="E24099" t="str">
            <v>Community School</v>
          </cell>
          <cell r="F24099" t="str">
            <v>Primary</v>
          </cell>
        </row>
        <row r="24100">
          <cell r="A24100">
            <v>8912876</v>
          </cell>
          <cell r="B24100">
            <v>122686</v>
          </cell>
          <cell r="C24100" t="str">
            <v>Ranskill Primary School</v>
          </cell>
          <cell r="D24100" t="str">
            <v>Nottinghamshire</v>
          </cell>
          <cell r="E24100" t="str">
            <v>Community School</v>
          </cell>
          <cell r="F24100" t="str">
            <v>Primary</v>
          </cell>
        </row>
        <row r="24101">
          <cell r="A24101">
            <v>8502306</v>
          </cell>
          <cell r="B24101">
            <v>116028</v>
          </cell>
          <cell r="C24101" t="str">
            <v>Ranvilles Infant School</v>
          </cell>
          <cell r="D24101" t="str">
            <v>Hampshire</v>
          </cell>
          <cell r="E24101" t="str">
            <v>Community School</v>
          </cell>
          <cell r="F24101" t="str">
            <v>Primary</v>
          </cell>
        </row>
        <row r="24102">
          <cell r="A24102">
            <v>8502289</v>
          </cell>
          <cell r="B24102">
            <v>116019</v>
          </cell>
          <cell r="C24102" t="str">
            <v>Ranvilles Junior School</v>
          </cell>
          <cell r="D24102" t="str">
            <v>Hampshire</v>
          </cell>
          <cell r="E24102" t="str">
            <v>Community School</v>
          </cell>
          <cell r="F24102" t="str">
            <v>Primary</v>
          </cell>
        </row>
        <row r="24103">
          <cell r="A24103">
            <v>3412132</v>
          </cell>
          <cell r="B24103">
            <v>127274</v>
          </cell>
          <cell r="C24103" t="str">
            <v>Ranworth Square County Infant School</v>
          </cell>
          <cell r="D24103" t="str">
            <v>Liverpool</v>
          </cell>
          <cell r="E24103" t="str">
            <v>Community School</v>
          </cell>
          <cell r="F24103" t="str">
            <v>Primary</v>
          </cell>
        </row>
        <row r="24104">
          <cell r="A24104">
            <v>3412130</v>
          </cell>
          <cell r="B24104">
            <v>104571</v>
          </cell>
          <cell r="C24104" t="str">
            <v>Ranworth Square Primary School</v>
          </cell>
          <cell r="D24104" t="str">
            <v>Liverpool</v>
          </cell>
          <cell r="E24104" t="str">
            <v>Community School</v>
          </cell>
          <cell r="F24104" t="str">
            <v>Primary</v>
          </cell>
        </row>
        <row r="24105">
          <cell r="A24105">
            <v>3116057</v>
          </cell>
          <cell r="B24105">
            <v>102358</v>
          </cell>
          <cell r="C24105" t="str">
            <v>Raphael Independent School</v>
          </cell>
          <cell r="D24105" t="str">
            <v>Havering</v>
          </cell>
          <cell r="E24105" t="str">
            <v>Other Independent School</v>
          </cell>
          <cell r="F24105" t="str">
            <v>Not applicable</v>
          </cell>
        </row>
        <row r="24106">
          <cell r="A24106">
            <v>9356081</v>
          </cell>
          <cell r="B24106">
            <v>134054</v>
          </cell>
          <cell r="C24106" t="str">
            <v>Raphael Steiner School</v>
          </cell>
          <cell r="D24106" t="str">
            <v>Suffolk</v>
          </cell>
          <cell r="E24106" t="str">
            <v>Other Independent School</v>
          </cell>
          <cell r="F24106" t="str">
            <v>Not applicable</v>
          </cell>
        </row>
        <row r="24107">
          <cell r="A24107">
            <v>3815402</v>
          </cell>
          <cell r="B24107">
            <v>107576</v>
          </cell>
          <cell r="C24107" t="str">
            <v>Rastrick High School</v>
          </cell>
          <cell r="D24107" t="str">
            <v>Calderdale</v>
          </cell>
          <cell r="E24107" t="str">
            <v>Foundation School</v>
          </cell>
          <cell r="F24107" t="str">
            <v>Secondary</v>
          </cell>
        </row>
        <row r="24108">
          <cell r="A24108">
            <v>3815402</v>
          </cell>
          <cell r="B24108">
            <v>137444</v>
          </cell>
          <cell r="C24108" t="str">
            <v>Rastrick High School</v>
          </cell>
          <cell r="D24108" t="str">
            <v>Calderdale</v>
          </cell>
          <cell r="E24108" t="str">
            <v>Academy Converters</v>
          </cell>
          <cell r="F24108" t="str">
            <v>Secondary</v>
          </cell>
        </row>
        <row r="24109">
          <cell r="A24109">
            <v>3816007</v>
          </cell>
          <cell r="B24109">
            <v>107586</v>
          </cell>
          <cell r="C24109" t="str">
            <v>Rastrick Independent School</v>
          </cell>
          <cell r="D24109" t="str">
            <v>Calderdale</v>
          </cell>
          <cell r="E24109" t="str">
            <v>Other Independent School</v>
          </cell>
          <cell r="F24109" t="str">
            <v>Not applicable</v>
          </cell>
        </row>
        <row r="24110">
          <cell r="A24110">
            <v>8552085</v>
          </cell>
          <cell r="B24110">
            <v>119946</v>
          </cell>
          <cell r="C24110" t="str">
            <v>Ratby Primary School</v>
          </cell>
          <cell r="D24110" t="str">
            <v>Leicestershire</v>
          </cell>
          <cell r="E24110" t="str">
            <v>Community School</v>
          </cell>
          <cell r="F24110" t="str">
            <v>Primary</v>
          </cell>
        </row>
        <row r="24111">
          <cell r="A24111">
            <v>8556001</v>
          </cell>
          <cell r="B24111">
            <v>120316</v>
          </cell>
          <cell r="C24111" t="str">
            <v>Ratcliffe College</v>
          </cell>
          <cell r="D24111" t="str">
            <v>Leicestershire</v>
          </cell>
          <cell r="E24111" t="str">
            <v>Other Independent School</v>
          </cell>
          <cell r="F24111" t="str">
            <v>Not applicable</v>
          </cell>
        </row>
        <row r="24112">
          <cell r="A24112">
            <v>8787087</v>
          </cell>
          <cell r="B24112">
            <v>113656</v>
          </cell>
          <cell r="C24112" t="str">
            <v>Ratcliffe School</v>
          </cell>
          <cell r="D24112" t="str">
            <v>Devon</v>
          </cell>
          <cell r="E24112" t="str">
            <v>Community Special School</v>
          </cell>
          <cell r="F24112" t="str">
            <v>Special</v>
          </cell>
        </row>
        <row r="24113">
          <cell r="A24113">
            <v>9117045</v>
          </cell>
          <cell r="B24113">
            <v>128766</v>
          </cell>
          <cell r="C24113" t="str">
            <v>Ratcliffe School</v>
          </cell>
          <cell r="D24113" t="str">
            <v>Pre LGR (1998) Devon</v>
          </cell>
          <cell r="E24113" t="str">
            <v>Community Special School</v>
          </cell>
          <cell r="F24113" t="str">
            <v>Special</v>
          </cell>
        </row>
        <row r="24114">
          <cell r="A24114">
            <v>3846122</v>
          </cell>
          <cell r="B24114">
            <v>134381</v>
          </cell>
          <cell r="C24114" t="str">
            <v>Rathbone</v>
          </cell>
          <cell r="D24114" t="str">
            <v>Wakefield</v>
          </cell>
          <cell r="E24114" t="str">
            <v>Other Independent School</v>
          </cell>
          <cell r="F24114" t="str">
            <v>Not applicable</v>
          </cell>
        </row>
        <row r="24115">
          <cell r="A24115">
            <v>3336001</v>
          </cell>
          <cell r="B24115">
            <v>134340</v>
          </cell>
          <cell r="C24115" t="str">
            <v>Rathbone Choices</v>
          </cell>
          <cell r="D24115" t="str">
            <v>Sandwell</v>
          </cell>
          <cell r="E24115" t="str">
            <v>Other Independent School</v>
          </cell>
          <cell r="F24115" t="str">
            <v>Not applicable</v>
          </cell>
        </row>
        <row r="24116">
          <cell r="A24116">
            <v>3316026</v>
          </cell>
          <cell r="B24116">
            <v>134382</v>
          </cell>
          <cell r="C24116" t="str">
            <v>Rathbone Choices</v>
          </cell>
          <cell r="D24116" t="str">
            <v>Coventry</v>
          </cell>
          <cell r="E24116" t="str">
            <v>Other Independent School</v>
          </cell>
          <cell r="F24116" t="str">
            <v>Not applicable</v>
          </cell>
        </row>
        <row r="24117">
          <cell r="A24117">
            <v>3826023</v>
          </cell>
          <cell r="B24117">
            <v>134419</v>
          </cell>
          <cell r="C24117" t="str">
            <v>Rathbone Choices</v>
          </cell>
          <cell r="D24117" t="str">
            <v>Kirklees</v>
          </cell>
          <cell r="E24117" t="str">
            <v>Other Independent School</v>
          </cell>
          <cell r="F24117" t="str">
            <v>Not applicable</v>
          </cell>
        </row>
        <row r="24118">
          <cell r="A24118">
            <v>8166009</v>
          </cell>
          <cell r="B24118">
            <v>134483</v>
          </cell>
          <cell r="C24118" t="str">
            <v>Rathbone Choices Centre</v>
          </cell>
          <cell r="D24118" t="str">
            <v>York</v>
          </cell>
          <cell r="E24118" t="str">
            <v>Other Independent School</v>
          </cell>
          <cell r="F24118" t="str">
            <v>Not applicable</v>
          </cell>
        </row>
        <row r="24119">
          <cell r="A24119">
            <v>3412133</v>
          </cell>
          <cell r="B24119">
            <v>104572</v>
          </cell>
          <cell r="C24119" t="str">
            <v>Rathbone Junior Mixed and Infant School</v>
          </cell>
          <cell r="D24119" t="str">
            <v>Liverpool</v>
          </cell>
          <cell r="E24119" t="str">
            <v>Community School</v>
          </cell>
          <cell r="F24119" t="str">
            <v>Primary</v>
          </cell>
        </row>
        <row r="24120">
          <cell r="A24120">
            <v>8026009</v>
          </cell>
          <cell r="B24120">
            <v>134341</v>
          </cell>
          <cell r="C24120" t="str">
            <v>Rathbone Key Stage 4</v>
          </cell>
          <cell r="D24120" t="str">
            <v>North Somerset</v>
          </cell>
          <cell r="E24120" t="str">
            <v>Other Independent School</v>
          </cell>
          <cell r="F24120" t="str">
            <v>Not applicable</v>
          </cell>
        </row>
        <row r="24121">
          <cell r="A24121">
            <v>8266007</v>
          </cell>
          <cell r="B24121">
            <v>134339</v>
          </cell>
          <cell r="C24121" t="str">
            <v>Rathbone Milton Keynes Youth Choices</v>
          </cell>
          <cell r="D24121" t="str">
            <v>Milton Keynes</v>
          </cell>
          <cell r="E24121" t="str">
            <v>Other Independent School</v>
          </cell>
          <cell r="F24121" t="str">
            <v>Not applicable</v>
          </cell>
        </row>
        <row r="24122">
          <cell r="A24122">
            <v>8216008</v>
          </cell>
          <cell r="B24122">
            <v>134925</v>
          </cell>
          <cell r="C24122" t="str">
            <v>Rathbone School</v>
          </cell>
          <cell r="D24122" t="str">
            <v>Luton</v>
          </cell>
          <cell r="E24122" t="str">
            <v>Other Independent School</v>
          </cell>
          <cell r="F24122" t="str">
            <v>Not applicable</v>
          </cell>
        </row>
        <row r="24123">
          <cell r="A24123">
            <v>8306026</v>
          </cell>
          <cell r="B24123">
            <v>134421</v>
          </cell>
          <cell r="C24123" t="str">
            <v>Rathbone Training - Derby Centre</v>
          </cell>
          <cell r="D24123" t="str">
            <v>Derbyshire</v>
          </cell>
          <cell r="E24123" t="str">
            <v>Other Independent School</v>
          </cell>
          <cell r="F24123" t="str">
            <v>Not applicable</v>
          </cell>
        </row>
        <row r="24124">
          <cell r="A24124">
            <v>3596092</v>
          </cell>
          <cell r="B24124">
            <v>134344</v>
          </cell>
          <cell r="C24124" t="str">
            <v>Rathbone Training Wigan</v>
          </cell>
          <cell r="D24124" t="str">
            <v>Wigan</v>
          </cell>
          <cell r="E24124" t="str">
            <v>Other Independent School</v>
          </cell>
          <cell r="F24124" t="str">
            <v>Not applicable</v>
          </cell>
        </row>
        <row r="24125">
          <cell r="A24125">
            <v>2092493</v>
          </cell>
          <cell r="B24125">
            <v>100700</v>
          </cell>
          <cell r="C24125" t="str">
            <v>Rathfern Primary School</v>
          </cell>
          <cell r="D24125" t="str">
            <v>Lewisham</v>
          </cell>
          <cell r="E24125" t="str">
            <v>Community School</v>
          </cell>
          <cell r="F24125" t="str">
            <v>Primary</v>
          </cell>
        </row>
        <row r="24126">
          <cell r="A24126">
            <v>8153365</v>
          </cell>
          <cell r="B24126">
            <v>121633</v>
          </cell>
          <cell r="C24126" t="str">
            <v>Rathmell Church of England Voluntary Aided Primary School</v>
          </cell>
          <cell r="D24126" t="str">
            <v>North Yorkshire</v>
          </cell>
          <cell r="E24126" t="str">
            <v>Voluntary Aided School</v>
          </cell>
          <cell r="F24126" t="str">
            <v>Primary</v>
          </cell>
        </row>
        <row r="24127">
          <cell r="A24127">
            <v>3306075</v>
          </cell>
          <cell r="B24127">
            <v>103583</v>
          </cell>
          <cell r="C24127" t="str">
            <v>Rathvilly School</v>
          </cell>
          <cell r="D24127" t="str">
            <v>Birmingham</v>
          </cell>
          <cell r="E24127" t="str">
            <v>Other Independent School</v>
          </cell>
          <cell r="F24127" t="str">
            <v>Not applicable</v>
          </cell>
        </row>
        <row r="24128">
          <cell r="A24128">
            <v>9353054</v>
          </cell>
          <cell r="B24128">
            <v>124711</v>
          </cell>
          <cell r="C24128" t="str">
            <v>Rattlesden Church of England Voluntary Controlled School</v>
          </cell>
          <cell r="D24128" t="str">
            <v>Suffolk</v>
          </cell>
          <cell r="E24128" t="str">
            <v>Voluntary Controlled School</v>
          </cell>
          <cell r="F24128" t="str">
            <v>Primary</v>
          </cell>
        </row>
        <row r="24129">
          <cell r="A24129">
            <v>8454063</v>
          </cell>
          <cell r="B24129">
            <v>114604</v>
          </cell>
          <cell r="C24129" t="str">
            <v>Ratton School</v>
          </cell>
          <cell r="D24129" t="str">
            <v>East Sussex</v>
          </cell>
          <cell r="E24129" t="str">
            <v>Foundation School</v>
          </cell>
          <cell r="F24129" t="str">
            <v>Secondary</v>
          </cell>
        </row>
        <row r="24130">
          <cell r="A24130">
            <v>9255202</v>
          </cell>
          <cell r="B24130">
            <v>120669</v>
          </cell>
          <cell r="C24130" t="str">
            <v>Rauceby Church of England Primary School</v>
          </cell>
          <cell r="D24130" t="str">
            <v>Lincolnshire</v>
          </cell>
          <cell r="E24130" t="str">
            <v>Foundation School</v>
          </cell>
          <cell r="F24130" t="str">
            <v>Primary</v>
          </cell>
        </row>
        <row r="24131">
          <cell r="A24131">
            <v>9093030</v>
          </cell>
          <cell r="B24131">
            <v>112257</v>
          </cell>
          <cell r="C24131" t="str">
            <v>Raughton Head CofE School</v>
          </cell>
          <cell r="D24131" t="str">
            <v>Cumbria</v>
          </cell>
          <cell r="E24131" t="str">
            <v>Voluntary Controlled School</v>
          </cell>
          <cell r="F24131" t="str">
            <v>Primary</v>
          </cell>
        </row>
        <row r="24132">
          <cell r="A24132">
            <v>9282077</v>
          </cell>
          <cell r="B24132">
            <v>121852</v>
          </cell>
          <cell r="C24132" t="str">
            <v>Raunds Park Infant School</v>
          </cell>
          <cell r="D24132" t="str">
            <v>Northamptonshire</v>
          </cell>
          <cell r="E24132" t="str">
            <v>Community School</v>
          </cell>
          <cell r="F24132" t="str">
            <v>Primary</v>
          </cell>
        </row>
        <row r="24133">
          <cell r="A24133">
            <v>8772126</v>
          </cell>
          <cell r="B24133">
            <v>111006</v>
          </cell>
          <cell r="C24133" t="str">
            <v>Ravenbank Community Primary School</v>
          </cell>
          <cell r="D24133" t="str">
            <v>Warrington</v>
          </cell>
          <cell r="E24133" t="str">
            <v>Community School</v>
          </cell>
          <cell r="F24133" t="str">
            <v>Primary</v>
          </cell>
        </row>
        <row r="24134">
          <cell r="A24134">
            <v>3722066</v>
          </cell>
          <cell r="B24134">
            <v>106873</v>
          </cell>
          <cell r="C24134" t="str">
            <v>Ravenfield Primary School</v>
          </cell>
          <cell r="D24134" t="str">
            <v>Rotherham</v>
          </cell>
          <cell r="E24134" t="str">
            <v>Community School</v>
          </cell>
          <cell r="F24134" t="str">
            <v>Primary</v>
          </cell>
        </row>
        <row r="24135">
          <cell r="A24135">
            <v>8602269</v>
          </cell>
          <cell r="B24135">
            <v>124122</v>
          </cell>
          <cell r="C24135" t="str">
            <v>Ravenhill Primary School</v>
          </cell>
          <cell r="D24135" t="str">
            <v>Staffordshire</v>
          </cell>
          <cell r="E24135" t="str">
            <v>Community School</v>
          </cell>
          <cell r="F24135" t="str">
            <v>Primary</v>
          </cell>
        </row>
        <row r="24136">
          <cell r="A24136">
            <v>8552375</v>
          </cell>
          <cell r="B24136">
            <v>120098</v>
          </cell>
          <cell r="C24136" t="str">
            <v>Ravenhurst Primary School</v>
          </cell>
          <cell r="D24136" t="str">
            <v>Leicestershire</v>
          </cell>
          <cell r="E24136" t="str">
            <v>Community School</v>
          </cell>
          <cell r="F24136" t="str">
            <v>Primary</v>
          </cell>
        </row>
        <row r="24137">
          <cell r="A24137">
            <v>3072121</v>
          </cell>
          <cell r="B24137">
            <v>101885</v>
          </cell>
          <cell r="C24137" t="str">
            <v>Ravenor Primary School</v>
          </cell>
          <cell r="D24137" t="str">
            <v>Ealing</v>
          </cell>
          <cell r="E24137" t="str">
            <v>Community School</v>
          </cell>
          <cell r="F24137" t="str">
            <v>Primary</v>
          </cell>
        </row>
        <row r="24138">
          <cell r="A24138">
            <v>3055403</v>
          </cell>
          <cell r="B24138">
            <v>101669</v>
          </cell>
          <cell r="C24138" t="str">
            <v>Ravens Wood School</v>
          </cell>
          <cell r="D24138" t="str">
            <v>Bromley</v>
          </cell>
          <cell r="E24138" t="str">
            <v>Foundation School</v>
          </cell>
          <cell r="F24138" t="str">
            <v>Secondary</v>
          </cell>
        </row>
        <row r="24139">
          <cell r="A24139">
            <v>3055403</v>
          </cell>
          <cell r="B24139">
            <v>136517</v>
          </cell>
          <cell r="C24139" t="str">
            <v>Ravens Wood School</v>
          </cell>
          <cell r="D24139" t="str">
            <v>Bromley</v>
          </cell>
          <cell r="E24139" t="str">
            <v>Academy Converters</v>
          </cell>
          <cell r="F24139" t="str">
            <v>Secondary</v>
          </cell>
        </row>
        <row r="24140">
          <cell r="A24140">
            <v>203</v>
          </cell>
          <cell r="B24140">
            <v>133797</v>
          </cell>
          <cell r="C24140" t="str">
            <v>Ravensbourne</v>
          </cell>
          <cell r="D24140" t="str">
            <v>Greenwich</v>
          </cell>
          <cell r="E24140" t="str">
            <v>Higher Education Institutions</v>
          </cell>
          <cell r="F24140" t="str">
            <v>Not applicable</v>
          </cell>
        </row>
        <row r="24141">
          <cell r="A24141">
            <v>3117003</v>
          </cell>
          <cell r="B24141">
            <v>102364</v>
          </cell>
          <cell r="C24141" t="str">
            <v>Ravensbourne School</v>
          </cell>
          <cell r="D24141" t="str">
            <v>Havering</v>
          </cell>
          <cell r="E24141" t="str">
            <v>Community Special School</v>
          </cell>
          <cell r="F24141" t="str">
            <v>Special</v>
          </cell>
        </row>
        <row r="24142">
          <cell r="A24142">
            <v>3054011</v>
          </cell>
          <cell r="B24142">
            <v>126795</v>
          </cell>
          <cell r="C24142" t="str">
            <v>Ravensbourne School for Boys</v>
          </cell>
          <cell r="D24142" t="str">
            <v>Bromley</v>
          </cell>
          <cell r="E24142" t="str">
            <v>Community School</v>
          </cell>
          <cell r="F24142" t="str">
            <v>Secondary</v>
          </cell>
        </row>
        <row r="24143">
          <cell r="A24143">
            <v>3054008</v>
          </cell>
          <cell r="B24143">
            <v>126794</v>
          </cell>
          <cell r="C24143" t="str">
            <v>Ravensbourne School for Girls</v>
          </cell>
          <cell r="D24143" t="str">
            <v>Bromley</v>
          </cell>
          <cell r="E24143" t="str">
            <v>Community School</v>
          </cell>
          <cell r="F24143" t="str">
            <v>Secondary</v>
          </cell>
        </row>
        <row r="24144">
          <cell r="A24144">
            <v>3522234</v>
          </cell>
          <cell r="B24144">
            <v>105449</v>
          </cell>
          <cell r="C24144" t="str">
            <v>Ravensbury Community School</v>
          </cell>
          <cell r="D24144" t="str">
            <v>Manchester</v>
          </cell>
          <cell r="E24144" t="str">
            <v>Community School</v>
          </cell>
          <cell r="F24144" t="str">
            <v>Primary</v>
          </cell>
        </row>
        <row r="24145">
          <cell r="A24145">
            <v>3157002</v>
          </cell>
          <cell r="B24145">
            <v>126972</v>
          </cell>
          <cell r="C24145" t="str">
            <v>Ravensbury School</v>
          </cell>
          <cell r="D24145" t="str">
            <v>Merton</v>
          </cell>
          <cell r="E24145" t="str">
            <v>Community Special School</v>
          </cell>
          <cell r="F24145" t="str">
            <v>Special</v>
          </cell>
        </row>
        <row r="24146">
          <cell r="A24146">
            <v>3802051</v>
          </cell>
          <cell r="B24146">
            <v>107216</v>
          </cell>
          <cell r="C24146" t="str">
            <v>Ravenscliffe First School</v>
          </cell>
          <cell r="D24146" t="str">
            <v>Bradford</v>
          </cell>
          <cell r="E24146" t="str">
            <v>Community School</v>
          </cell>
          <cell r="F24146" t="str">
            <v>Primary</v>
          </cell>
        </row>
        <row r="24147">
          <cell r="A24147">
            <v>3817009</v>
          </cell>
          <cell r="B24147">
            <v>107588</v>
          </cell>
          <cell r="C24147" t="str">
            <v>Ravenscliffe High School</v>
          </cell>
          <cell r="D24147" t="str">
            <v>Calderdale</v>
          </cell>
          <cell r="E24147" t="str">
            <v>Community Special School</v>
          </cell>
          <cell r="F24147" t="str">
            <v>Special</v>
          </cell>
        </row>
        <row r="24148">
          <cell r="A24148">
            <v>9362436</v>
          </cell>
          <cell r="B24148">
            <v>125061</v>
          </cell>
          <cell r="C24148" t="str">
            <v>Ravenscote Community Junior School</v>
          </cell>
          <cell r="D24148" t="str">
            <v>Surrey</v>
          </cell>
          <cell r="E24148" t="str">
            <v>Community School</v>
          </cell>
          <cell r="F24148" t="str">
            <v>Primary</v>
          </cell>
        </row>
        <row r="24149">
          <cell r="A24149">
            <v>2056384</v>
          </cell>
          <cell r="B24149">
            <v>100373</v>
          </cell>
          <cell r="C24149" t="str">
            <v>Ravenscourt Park Preparatory School</v>
          </cell>
          <cell r="D24149" t="str">
            <v>Hammersmith and Fulham</v>
          </cell>
          <cell r="E24149" t="str">
            <v>Other Independent School</v>
          </cell>
          <cell r="F24149" t="str">
            <v>Not applicable</v>
          </cell>
        </row>
        <row r="24150">
          <cell r="A24150">
            <v>3402048</v>
          </cell>
          <cell r="B24150">
            <v>104444</v>
          </cell>
          <cell r="C24150" t="str">
            <v>Ravenscroft Community Primary School</v>
          </cell>
          <cell r="D24150" t="str">
            <v>Knowsley</v>
          </cell>
          <cell r="E24150" t="str">
            <v>Community School</v>
          </cell>
          <cell r="F24150" t="str">
            <v>Primary</v>
          </cell>
        </row>
        <row r="24151">
          <cell r="A24151">
            <v>3162056</v>
          </cell>
          <cell r="B24151">
            <v>126986</v>
          </cell>
          <cell r="C24151" t="str">
            <v>Ravenscroft Infant School</v>
          </cell>
          <cell r="D24151" t="str">
            <v>Newham</v>
          </cell>
          <cell r="E24151" t="str">
            <v>Community School</v>
          </cell>
          <cell r="F24151" t="str">
            <v>Primary</v>
          </cell>
        </row>
        <row r="24152">
          <cell r="A24152">
            <v>3162055</v>
          </cell>
          <cell r="B24152">
            <v>102739</v>
          </cell>
          <cell r="C24152" t="str">
            <v>Ravenscroft Primary School</v>
          </cell>
          <cell r="D24152" t="str">
            <v>Newham</v>
          </cell>
          <cell r="E24152" t="str">
            <v>Community School</v>
          </cell>
          <cell r="F24152" t="str">
            <v>Primary</v>
          </cell>
        </row>
        <row r="24153">
          <cell r="A24153">
            <v>8812087</v>
          </cell>
          <cell r="B24153">
            <v>114766</v>
          </cell>
          <cell r="C24153" t="str">
            <v>Ravenscroft Primary School</v>
          </cell>
          <cell r="D24153" t="str">
            <v>Essex</v>
          </cell>
          <cell r="E24153" t="str">
            <v>Community School</v>
          </cell>
          <cell r="F24153" t="str">
            <v>Primary</v>
          </cell>
        </row>
        <row r="24154">
          <cell r="A24154">
            <v>9336038</v>
          </cell>
          <cell r="B24154">
            <v>123918</v>
          </cell>
          <cell r="C24154" t="str">
            <v>Ravenscroft School</v>
          </cell>
          <cell r="D24154" t="str">
            <v>Somerset</v>
          </cell>
          <cell r="E24154" t="str">
            <v>Other Independent School</v>
          </cell>
          <cell r="F24154" t="str">
            <v>Not applicable</v>
          </cell>
        </row>
        <row r="24155">
          <cell r="A24155">
            <v>8312462</v>
          </cell>
          <cell r="B24155">
            <v>112759</v>
          </cell>
          <cell r="C24155" t="str">
            <v>Ravensdale Infant and Nursery School</v>
          </cell>
          <cell r="D24155" t="str">
            <v>Derby</v>
          </cell>
          <cell r="E24155" t="str">
            <v>Community School</v>
          </cell>
          <cell r="F24155" t="str">
            <v>Primary</v>
          </cell>
        </row>
        <row r="24156">
          <cell r="A24156">
            <v>3312049</v>
          </cell>
          <cell r="B24156">
            <v>127095</v>
          </cell>
          <cell r="C24156" t="str">
            <v>Ravensdale Infant School</v>
          </cell>
          <cell r="D24156" t="str">
            <v>Coventry</v>
          </cell>
          <cell r="E24156" t="str">
            <v>Community School</v>
          </cell>
          <cell r="F24156" t="str">
            <v>Primary</v>
          </cell>
        </row>
        <row r="24157">
          <cell r="A24157">
            <v>8312463</v>
          </cell>
          <cell r="B24157">
            <v>112760</v>
          </cell>
          <cell r="C24157" t="str">
            <v>Ravensdale Junior School</v>
          </cell>
          <cell r="D24157" t="str">
            <v>Derby</v>
          </cell>
          <cell r="E24157" t="str">
            <v>Community School</v>
          </cell>
          <cell r="F24157" t="str">
            <v>Primary</v>
          </cell>
        </row>
        <row r="24158">
          <cell r="A24158">
            <v>3312048</v>
          </cell>
          <cell r="B24158">
            <v>127094</v>
          </cell>
          <cell r="C24158" t="str">
            <v>Ravensdale Junior School</v>
          </cell>
          <cell r="D24158" t="str">
            <v>Coventry</v>
          </cell>
          <cell r="E24158" t="str">
            <v>Community School</v>
          </cell>
          <cell r="F24158" t="str">
            <v>Primary</v>
          </cell>
        </row>
        <row r="24159">
          <cell r="A24159">
            <v>8915400</v>
          </cell>
          <cell r="B24159">
            <v>122902</v>
          </cell>
          <cell r="C24159" t="str">
            <v>Ravensdale Middle School</v>
          </cell>
          <cell r="D24159" t="str">
            <v>Nottinghamshire</v>
          </cell>
          <cell r="E24159" t="str">
            <v>Foundation School</v>
          </cell>
          <cell r="F24159" t="str">
            <v>Middle Deemed Secondary</v>
          </cell>
        </row>
        <row r="24160">
          <cell r="A24160">
            <v>3312132</v>
          </cell>
          <cell r="B24160">
            <v>103682</v>
          </cell>
          <cell r="C24160" t="str">
            <v>Ravensdale Primary School</v>
          </cell>
          <cell r="D24160" t="str">
            <v>Coventry</v>
          </cell>
          <cell r="E24160" t="str">
            <v>Community School</v>
          </cell>
          <cell r="F24160" t="str">
            <v>Primary</v>
          </cell>
        </row>
        <row r="24161">
          <cell r="A24161">
            <v>8223327</v>
          </cell>
          <cell r="B24161">
            <v>109623</v>
          </cell>
          <cell r="C24161" t="str">
            <v>Ravensden CofE VA Lower School</v>
          </cell>
          <cell r="D24161" t="str">
            <v>Bedford</v>
          </cell>
          <cell r="E24161" t="str">
            <v>Voluntary Aided School</v>
          </cell>
          <cell r="F24161" t="str">
            <v>Primary</v>
          </cell>
        </row>
        <row r="24162">
          <cell r="A24162">
            <v>3572081</v>
          </cell>
          <cell r="B24162">
            <v>134845</v>
          </cell>
          <cell r="C24162" t="str">
            <v>Ravensfield Primary School</v>
          </cell>
          <cell r="D24162" t="str">
            <v>Tameside</v>
          </cell>
          <cell r="E24162" t="str">
            <v>Community School</v>
          </cell>
          <cell r="F24162" t="str">
            <v>Primary</v>
          </cell>
        </row>
        <row r="24163">
          <cell r="A24163">
            <v>3827005</v>
          </cell>
          <cell r="B24163">
            <v>107799</v>
          </cell>
          <cell r="C24163" t="str">
            <v>Ravenshall School</v>
          </cell>
          <cell r="D24163" t="str">
            <v>Kirklees</v>
          </cell>
          <cell r="E24163" t="str">
            <v>Community Special School</v>
          </cell>
          <cell r="F24163" t="str">
            <v>Special</v>
          </cell>
        </row>
        <row r="24164">
          <cell r="A24164">
            <v>8913290</v>
          </cell>
          <cell r="B24164">
            <v>131814</v>
          </cell>
          <cell r="C24164" t="str">
            <v>Ravenshead CofE Primary School</v>
          </cell>
          <cell r="D24164" t="str">
            <v>Nottinghamshire</v>
          </cell>
          <cell r="E24164" t="str">
            <v>Voluntary Controlled School</v>
          </cell>
          <cell r="F24164" t="str">
            <v>Primary</v>
          </cell>
        </row>
        <row r="24165">
          <cell r="A24165">
            <v>8602157</v>
          </cell>
          <cell r="B24165">
            <v>124056</v>
          </cell>
          <cell r="C24165" t="str">
            <v>Ravensmead Primary School</v>
          </cell>
          <cell r="D24165" t="str">
            <v>Staffordshire</v>
          </cell>
          <cell r="E24165" t="str">
            <v>Community School</v>
          </cell>
          <cell r="F24165" t="str">
            <v>Primary</v>
          </cell>
        </row>
        <row r="24166">
          <cell r="A24166">
            <v>9352064</v>
          </cell>
          <cell r="B24166">
            <v>124571</v>
          </cell>
          <cell r="C24166" t="str">
            <v>Ravensmere Infant School</v>
          </cell>
          <cell r="D24166" t="str">
            <v>Suffolk</v>
          </cell>
          <cell r="E24166" t="str">
            <v>Community School</v>
          </cell>
          <cell r="F24166" t="str">
            <v>Primary</v>
          </cell>
        </row>
        <row r="24167">
          <cell r="A24167">
            <v>3823001</v>
          </cell>
          <cell r="B24167">
            <v>107699</v>
          </cell>
          <cell r="C24167" t="str">
            <v>Ravensthorpe Church of England Voluntary Controlled Junior School</v>
          </cell>
          <cell r="D24167" t="str">
            <v>Kirklees</v>
          </cell>
          <cell r="E24167" t="str">
            <v>Voluntary Controlled School</v>
          </cell>
          <cell r="F24167" t="str">
            <v>Primary</v>
          </cell>
        </row>
        <row r="24168">
          <cell r="A24168">
            <v>3822024</v>
          </cell>
          <cell r="B24168">
            <v>107614</v>
          </cell>
          <cell r="C24168" t="str">
            <v>Ravensthorpe Infant and Nursery School</v>
          </cell>
          <cell r="D24168" t="str">
            <v>Kirklees</v>
          </cell>
          <cell r="E24168" t="str">
            <v>Community School</v>
          </cell>
          <cell r="F24168" t="str">
            <v>Primary</v>
          </cell>
        </row>
        <row r="24169">
          <cell r="A24169">
            <v>9052290</v>
          </cell>
          <cell r="B24169">
            <v>133073</v>
          </cell>
          <cell r="C24169" t="str">
            <v>Ravensthorpe Infant School</v>
          </cell>
          <cell r="D24169" t="str">
            <v>Pre LGR (1998) Cambridgeshire</v>
          </cell>
          <cell r="E24169" t="str">
            <v>Community School</v>
          </cell>
          <cell r="F24169" t="str">
            <v>Primary</v>
          </cell>
        </row>
        <row r="24170">
          <cell r="A24170">
            <v>9052289</v>
          </cell>
          <cell r="B24170">
            <v>128379</v>
          </cell>
          <cell r="C24170" t="str">
            <v>Ravensthorpe Junior School</v>
          </cell>
          <cell r="D24170" t="str">
            <v>Pre LGR (1998) Cambridgeshire</v>
          </cell>
          <cell r="E24170" t="str">
            <v>Community School</v>
          </cell>
          <cell r="F24170" t="str">
            <v>Primary</v>
          </cell>
        </row>
        <row r="24171">
          <cell r="A24171">
            <v>3821002</v>
          </cell>
          <cell r="B24171">
            <v>127773</v>
          </cell>
          <cell r="C24171" t="str">
            <v>Ravensthorpe Nursery School</v>
          </cell>
          <cell r="D24171" t="str">
            <v>Kirklees</v>
          </cell>
          <cell r="E24171" t="str">
            <v>LA Nursery School</v>
          </cell>
          <cell r="F24171" t="str">
            <v>Nursery</v>
          </cell>
        </row>
        <row r="24172">
          <cell r="A24172">
            <v>8742330</v>
          </cell>
          <cell r="B24172">
            <v>110761</v>
          </cell>
          <cell r="C24172" t="str">
            <v>Ravensthorpe Primary School</v>
          </cell>
          <cell r="D24172" t="str">
            <v>Peterborough</v>
          </cell>
          <cell r="E24172" t="str">
            <v>Community School</v>
          </cell>
          <cell r="F24172" t="str">
            <v>Primary</v>
          </cell>
        </row>
        <row r="24173">
          <cell r="A24173">
            <v>2136383</v>
          </cell>
          <cell r="B24173">
            <v>101180</v>
          </cell>
          <cell r="C24173" t="str">
            <v>Ravenstone House</v>
          </cell>
          <cell r="D24173" t="str">
            <v>Westminster</v>
          </cell>
          <cell r="E24173" t="str">
            <v>Other Independent School</v>
          </cell>
          <cell r="F24173" t="str">
            <v>Not applicable</v>
          </cell>
        </row>
        <row r="24174">
          <cell r="A24174">
            <v>2076397</v>
          </cell>
          <cell r="B24174">
            <v>132061</v>
          </cell>
          <cell r="C24174" t="str">
            <v>Ravenstone House</v>
          </cell>
          <cell r="D24174" t="str">
            <v>Kensington and Chelsea</v>
          </cell>
          <cell r="E24174" t="str">
            <v>Other Independent School</v>
          </cell>
          <cell r="F24174" t="str">
            <v>Not applicable</v>
          </cell>
        </row>
        <row r="24175">
          <cell r="A24175">
            <v>9316124</v>
          </cell>
          <cell r="B24175">
            <v>134817</v>
          </cell>
          <cell r="C24175" t="str">
            <v>Ravenstone House Pre Preparatory School and Nursery</v>
          </cell>
          <cell r="D24175" t="str">
            <v>Oxfordshire</v>
          </cell>
          <cell r="E24175" t="str">
            <v>Other Independent School</v>
          </cell>
          <cell r="F24175" t="str">
            <v>Not applicable</v>
          </cell>
        </row>
        <row r="24176">
          <cell r="A24176">
            <v>2136385</v>
          </cell>
          <cell r="B24176">
            <v>130365</v>
          </cell>
          <cell r="C24176" t="str">
            <v>Ravenstone House School</v>
          </cell>
          <cell r="D24176" t="str">
            <v>Westminster</v>
          </cell>
          <cell r="E24176" t="str">
            <v>Other Independent School</v>
          </cell>
          <cell r="F24176" t="str">
            <v>Not applicable</v>
          </cell>
        </row>
        <row r="24177">
          <cell r="A24177">
            <v>2076404</v>
          </cell>
          <cell r="B24177">
            <v>134864</v>
          </cell>
          <cell r="C24177" t="str">
            <v>Ravenstone Preparatory School and Nursery</v>
          </cell>
          <cell r="D24177" t="str">
            <v>Kensington and Chelsea</v>
          </cell>
          <cell r="E24177" t="str">
            <v>Other Independent School</v>
          </cell>
          <cell r="F24177" t="str">
            <v>Not applicable</v>
          </cell>
        </row>
        <row r="24178">
          <cell r="A24178">
            <v>2122495</v>
          </cell>
          <cell r="B24178">
            <v>101017</v>
          </cell>
          <cell r="C24178" t="str">
            <v>Ravenstone Primary School</v>
          </cell>
          <cell r="D24178" t="str">
            <v>Wandsworth</v>
          </cell>
          <cell r="E24178" t="str">
            <v>Community School</v>
          </cell>
          <cell r="F24178" t="str">
            <v>Primary</v>
          </cell>
        </row>
        <row r="24179">
          <cell r="A24179">
            <v>8552087</v>
          </cell>
          <cell r="B24179">
            <v>119947</v>
          </cell>
          <cell r="C24179" t="str">
            <v>Ravenstone Primary School</v>
          </cell>
          <cell r="D24179" t="str">
            <v>Leicestershire</v>
          </cell>
          <cell r="E24179" t="str">
            <v>Community School</v>
          </cell>
          <cell r="F24179" t="str">
            <v>Primary</v>
          </cell>
        </row>
        <row r="24180">
          <cell r="A24180">
            <v>9093062</v>
          </cell>
          <cell r="B24180">
            <v>112268</v>
          </cell>
          <cell r="C24180" t="str">
            <v>Ravenstonedale Endowed School</v>
          </cell>
          <cell r="D24180" t="str">
            <v>Cumbria</v>
          </cell>
          <cell r="E24180" t="str">
            <v>Voluntary Controlled School</v>
          </cell>
          <cell r="F24180" t="str">
            <v>Primary</v>
          </cell>
        </row>
        <row r="24181">
          <cell r="A24181">
            <v>9352162</v>
          </cell>
          <cell r="B24181">
            <v>124650</v>
          </cell>
          <cell r="C24181" t="str">
            <v>Ravenswood Community Primary School</v>
          </cell>
          <cell r="D24181" t="str">
            <v>Suffolk</v>
          </cell>
          <cell r="E24181" t="str">
            <v>Community School</v>
          </cell>
          <cell r="F24181" t="str">
            <v>Primary</v>
          </cell>
        </row>
        <row r="24182">
          <cell r="A24182">
            <v>3912671</v>
          </cell>
          <cell r="B24182">
            <v>128128</v>
          </cell>
          <cell r="C24182" t="str">
            <v>Ravenswood Infant School</v>
          </cell>
          <cell r="D24182" t="str">
            <v>Newcastle upon Tyne</v>
          </cell>
          <cell r="E24182" t="str">
            <v>Community School</v>
          </cell>
          <cell r="F24182" t="str">
            <v>Primary</v>
          </cell>
        </row>
        <row r="24183">
          <cell r="A24183">
            <v>9116042</v>
          </cell>
          <cell r="B24183">
            <v>128738</v>
          </cell>
          <cell r="C24183" t="str">
            <v>Ravenswood Preparatory School</v>
          </cell>
          <cell r="D24183" t="str">
            <v>Pre LGR (1998) Devon</v>
          </cell>
          <cell r="E24183" t="str">
            <v>Other Independent School</v>
          </cell>
          <cell r="F24183" t="str">
            <v>Not applicable</v>
          </cell>
        </row>
        <row r="24184">
          <cell r="A24184">
            <v>3912670</v>
          </cell>
          <cell r="B24184">
            <v>108475</v>
          </cell>
          <cell r="C24184" t="str">
            <v>Ravenswood Primary School</v>
          </cell>
          <cell r="D24184" t="str">
            <v>Newcastle upon Tyne</v>
          </cell>
          <cell r="E24184" t="str">
            <v>Community School</v>
          </cell>
          <cell r="F24184" t="str">
            <v>Primary</v>
          </cell>
        </row>
        <row r="24185">
          <cell r="A24185">
            <v>8027037</v>
          </cell>
          <cell r="B24185">
            <v>109407</v>
          </cell>
          <cell r="C24185" t="str">
            <v>Ravenswood School</v>
          </cell>
          <cell r="D24185" t="str">
            <v>North Somerset</v>
          </cell>
          <cell r="E24185" t="str">
            <v>Community Special School</v>
          </cell>
          <cell r="F24185" t="str">
            <v>Special</v>
          </cell>
        </row>
        <row r="24186">
          <cell r="A24186">
            <v>8153090</v>
          </cell>
          <cell r="B24186">
            <v>121511</v>
          </cell>
          <cell r="C24186" t="str">
            <v>Ravensworth Church of England Primary School</v>
          </cell>
          <cell r="D24186" t="str">
            <v>North Yorkshire</v>
          </cell>
          <cell r="E24186" t="str">
            <v>Voluntary Controlled School</v>
          </cell>
          <cell r="F24186" t="str">
            <v>Primary</v>
          </cell>
        </row>
        <row r="24187">
          <cell r="A24187">
            <v>8072202</v>
          </cell>
          <cell r="B24187">
            <v>111603</v>
          </cell>
          <cell r="C24187" t="str">
            <v>Ravensworth Junior School</v>
          </cell>
          <cell r="D24187" t="str">
            <v>Redcar and Cleveland</v>
          </cell>
          <cell r="E24187" t="str">
            <v>Community School</v>
          </cell>
          <cell r="F24187" t="str">
            <v>Primary</v>
          </cell>
        </row>
        <row r="24188">
          <cell r="A24188">
            <v>3902056</v>
          </cell>
          <cell r="B24188">
            <v>108333</v>
          </cell>
          <cell r="C24188" t="str">
            <v>Ravensworth Terrace Primary School</v>
          </cell>
          <cell r="D24188" t="str">
            <v>Gateshead</v>
          </cell>
          <cell r="E24188" t="str">
            <v>Community School</v>
          </cell>
          <cell r="F24188" t="str">
            <v>Primary</v>
          </cell>
        </row>
        <row r="24189">
          <cell r="A24189">
            <v>8112790</v>
          </cell>
          <cell r="B24189">
            <v>117893</v>
          </cell>
          <cell r="C24189" t="str">
            <v>Rawcliffe Bridge Primary School</v>
          </cell>
          <cell r="D24189" t="str">
            <v>East Riding of Yorkshire</v>
          </cell>
          <cell r="E24189" t="str">
            <v>Community School</v>
          </cell>
          <cell r="F24189" t="str">
            <v>Primary</v>
          </cell>
        </row>
        <row r="24190">
          <cell r="A24190">
            <v>8112789</v>
          </cell>
          <cell r="B24190">
            <v>117892</v>
          </cell>
          <cell r="C24190" t="str">
            <v>Rawcliffe Primary School</v>
          </cell>
          <cell r="D24190" t="str">
            <v>East Riding of Yorkshire</v>
          </cell>
          <cell r="E24190" t="str">
            <v>Community School</v>
          </cell>
          <cell r="F24190" t="str">
            <v>Primary</v>
          </cell>
        </row>
        <row r="24191">
          <cell r="A24191">
            <v>8886097</v>
          </cell>
          <cell r="B24191">
            <v>135219</v>
          </cell>
          <cell r="C24191" t="str">
            <v>Rawdhatul Uloom</v>
          </cell>
          <cell r="D24191" t="str">
            <v>Lancashire</v>
          </cell>
          <cell r="E24191" t="str">
            <v>Other Independent School</v>
          </cell>
          <cell r="F24191" t="str">
            <v>Not applicable</v>
          </cell>
        </row>
        <row r="24192">
          <cell r="A24192">
            <v>8896003</v>
          </cell>
          <cell r="B24192">
            <v>119848</v>
          </cell>
          <cell r="C24192" t="str">
            <v>Rawdhatul Uloom Islamic Primary School</v>
          </cell>
          <cell r="D24192" t="str">
            <v>Blackburn with Darwen</v>
          </cell>
          <cell r="E24192" t="str">
            <v>Other Independent School</v>
          </cell>
          <cell r="F24192" t="str">
            <v>Not applicable</v>
          </cell>
        </row>
        <row r="24193">
          <cell r="A24193">
            <v>3832271</v>
          </cell>
          <cell r="B24193">
            <v>107810</v>
          </cell>
          <cell r="C24193" t="str">
            <v>Rawdon Littlemoor Primary School</v>
          </cell>
          <cell r="D24193" t="str">
            <v>Leeds</v>
          </cell>
          <cell r="E24193" t="str">
            <v>Community School</v>
          </cell>
          <cell r="F24193" t="str">
            <v>Primary</v>
          </cell>
        </row>
        <row r="24194">
          <cell r="A24194">
            <v>3833031</v>
          </cell>
          <cell r="B24194">
            <v>107986</v>
          </cell>
          <cell r="C24194" t="str">
            <v>Rawdon St Peter's Church of England Voluntary Controlled Primary School</v>
          </cell>
          <cell r="D24194" t="str">
            <v>Leeds</v>
          </cell>
          <cell r="E24194" t="str">
            <v>Voluntary Controlled School</v>
          </cell>
          <cell r="F24194" t="str">
            <v>Primary</v>
          </cell>
        </row>
        <row r="24195">
          <cell r="A24195">
            <v>8604158</v>
          </cell>
          <cell r="B24195">
            <v>124435</v>
          </cell>
          <cell r="C24195" t="str">
            <v>Rawlett Community Sports College</v>
          </cell>
          <cell r="D24195" t="str">
            <v>Staffordshire</v>
          </cell>
          <cell r="E24195" t="str">
            <v>Community School</v>
          </cell>
          <cell r="F24195" t="str">
            <v>Secondary</v>
          </cell>
        </row>
        <row r="24196">
          <cell r="A24196">
            <v>8554505</v>
          </cell>
          <cell r="B24196">
            <v>120301</v>
          </cell>
          <cell r="C24196" t="str">
            <v>Rawlins Community College</v>
          </cell>
          <cell r="D24196" t="str">
            <v>Leicestershire</v>
          </cell>
          <cell r="E24196" t="str">
            <v>Voluntary Controlled School</v>
          </cell>
          <cell r="F24196" t="str">
            <v>Secondary</v>
          </cell>
        </row>
        <row r="24197">
          <cell r="A24197">
            <v>8554505</v>
          </cell>
          <cell r="B24197">
            <v>137640</v>
          </cell>
          <cell r="C24197" t="str">
            <v>Rawlins Community College</v>
          </cell>
          <cell r="D24197" t="str">
            <v>Leicestershire</v>
          </cell>
          <cell r="E24197" t="str">
            <v>Academy Converters</v>
          </cell>
          <cell r="F24197" t="str">
            <v>Secondary</v>
          </cell>
        </row>
        <row r="24198">
          <cell r="A24198">
            <v>3722067</v>
          </cell>
          <cell r="B24198">
            <v>106874</v>
          </cell>
          <cell r="C24198" t="str">
            <v>Rawmarsh Ashwood Primary School</v>
          </cell>
          <cell r="D24198" t="str">
            <v>Rotherham</v>
          </cell>
          <cell r="E24198" t="str">
            <v>Community School</v>
          </cell>
          <cell r="F24198" t="str">
            <v>Primary</v>
          </cell>
        </row>
        <row r="24199">
          <cell r="A24199">
            <v>3721001</v>
          </cell>
          <cell r="B24199">
            <v>106827</v>
          </cell>
          <cell r="C24199" t="str">
            <v>Rawmarsh Childrens Centre</v>
          </cell>
          <cell r="D24199" t="str">
            <v>Rotherham</v>
          </cell>
          <cell r="E24199" t="str">
            <v>LA Nursery School</v>
          </cell>
          <cell r="F24199" t="str">
            <v>Nursery</v>
          </cell>
        </row>
        <row r="24200">
          <cell r="A24200">
            <v>3724016</v>
          </cell>
          <cell r="B24200">
            <v>106953</v>
          </cell>
          <cell r="C24200" t="str">
            <v>Rawmarsh Community School - A Sports College</v>
          </cell>
          <cell r="D24200" t="str">
            <v>Rotherham</v>
          </cell>
          <cell r="E24200" t="str">
            <v>Community School</v>
          </cell>
          <cell r="F24200" t="str">
            <v>Secondary</v>
          </cell>
        </row>
        <row r="24201">
          <cell r="A24201">
            <v>3722098</v>
          </cell>
          <cell r="B24201">
            <v>106899</v>
          </cell>
          <cell r="C24201" t="str">
            <v>Rawmarsh Monkwood Infant School</v>
          </cell>
          <cell r="D24201" t="str">
            <v>Rotherham</v>
          </cell>
          <cell r="E24201" t="str">
            <v>Community School</v>
          </cell>
          <cell r="F24201" t="str">
            <v>Primary</v>
          </cell>
        </row>
        <row r="24202">
          <cell r="A24202">
            <v>3722070</v>
          </cell>
          <cell r="B24202">
            <v>106875</v>
          </cell>
          <cell r="C24202" t="str">
            <v>Rawmarsh Rosehill Junior School</v>
          </cell>
          <cell r="D24202" t="str">
            <v>Rotherham</v>
          </cell>
          <cell r="E24202" t="str">
            <v>Community School</v>
          </cell>
          <cell r="F24202" t="str">
            <v>Primary</v>
          </cell>
        </row>
        <row r="24203">
          <cell r="A24203">
            <v>3722071</v>
          </cell>
          <cell r="B24203">
            <v>106876</v>
          </cell>
          <cell r="C24203" t="str">
            <v>Rawmarsh Ryecroft Infant School</v>
          </cell>
          <cell r="D24203" t="str">
            <v>Rotherham</v>
          </cell>
          <cell r="E24203" t="str">
            <v>Community School</v>
          </cell>
          <cell r="F24203" t="str">
            <v>Primary</v>
          </cell>
        </row>
        <row r="24204">
          <cell r="A24204">
            <v>3722101</v>
          </cell>
          <cell r="B24204">
            <v>106902</v>
          </cell>
          <cell r="C24204" t="str">
            <v>Rawmarsh Sandhill Primary School</v>
          </cell>
          <cell r="D24204" t="str">
            <v>Rotherham</v>
          </cell>
          <cell r="E24204" t="str">
            <v>Community School</v>
          </cell>
          <cell r="F24204" t="str">
            <v>Primary</v>
          </cell>
        </row>
        <row r="24205">
          <cell r="A24205">
            <v>3723326</v>
          </cell>
          <cell r="B24205">
            <v>106931</v>
          </cell>
          <cell r="C24205" t="str">
            <v>Rawmarsh St Mary's CofE Primary School</v>
          </cell>
          <cell r="D24205" t="str">
            <v>Rotherham</v>
          </cell>
          <cell r="E24205" t="str">
            <v>Voluntary Aided School</v>
          </cell>
          <cell r="F24205" t="str">
            <v>Primary</v>
          </cell>
        </row>
        <row r="24206">
          <cell r="A24206">
            <v>3722110</v>
          </cell>
          <cell r="B24206">
            <v>106910</v>
          </cell>
          <cell r="C24206" t="str">
            <v>Rawmarsh Thorogate Junior and Infant School</v>
          </cell>
          <cell r="D24206" t="str">
            <v>Rotherham</v>
          </cell>
          <cell r="E24206" t="str">
            <v>Community School</v>
          </cell>
          <cell r="F24206" t="str">
            <v>Primary</v>
          </cell>
        </row>
        <row r="24207">
          <cell r="A24207">
            <v>3812001</v>
          </cell>
          <cell r="B24207">
            <v>107477</v>
          </cell>
          <cell r="C24207" t="str">
            <v>Rawson Junior and Infant School</v>
          </cell>
          <cell r="D24207" t="str">
            <v>Calderdale</v>
          </cell>
          <cell r="E24207" t="str">
            <v>Community School</v>
          </cell>
          <cell r="F24207" t="str">
            <v>Primary</v>
          </cell>
        </row>
        <row r="24208">
          <cell r="A24208">
            <v>3432065</v>
          </cell>
          <cell r="B24208">
            <v>104877</v>
          </cell>
          <cell r="C24208" t="str">
            <v>Rawson Road Primary School</v>
          </cell>
          <cell r="D24208" t="str">
            <v>Sefton</v>
          </cell>
          <cell r="E24208" t="str">
            <v>Community School</v>
          </cell>
          <cell r="F24208" t="str">
            <v>Primary</v>
          </cell>
        </row>
        <row r="24209">
          <cell r="A24209">
            <v>8882409</v>
          </cell>
          <cell r="B24209">
            <v>119280</v>
          </cell>
          <cell r="C24209" t="str">
            <v>Rawtenstall Balladen Community Primary School</v>
          </cell>
          <cell r="D24209" t="str">
            <v>Lancashire</v>
          </cell>
          <cell r="E24209" t="str">
            <v>Community School</v>
          </cell>
          <cell r="F24209" t="str">
            <v>Primary</v>
          </cell>
        </row>
        <row r="24210">
          <cell r="A24210">
            <v>8887044</v>
          </cell>
          <cell r="B24210">
            <v>119879</v>
          </cell>
          <cell r="C24210" t="str">
            <v>Rawtenstall Cribden House Community Special School</v>
          </cell>
          <cell r="D24210" t="str">
            <v>Lancashire</v>
          </cell>
          <cell r="E24210" t="str">
            <v>Community Special School</v>
          </cell>
          <cell r="F24210" t="str">
            <v>Special</v>
          </cell>
        </row>
        <row r="24211">
          <cell r="A24211">
            <v>8883113</v>
          </cell>
          <cell r="B24211">
            <v>119390</v>
          </cell>
          <cell r="C24211" t="str">
            <v>Rawtenstall Newchurch Church of England Primary School</v>
          </cell>
          <cell r="D24211" t="str">
            <v>Lancashire</v>
          </cell>
          <cell r="E24211" t="str">
            <v>Voluntary Controlled School</v>
          </cell>
          <cell r="F24211" t="str">
            <v>Primary</v>
          </cell>
        </row>
        <row r="24212">
          <cell r="A24212">
            <v>8883366</v>
          </cell>
          <cell r="B24212">
            <v>119454</v>
          </cell>
          <cell r="C24212" t="str">
            <v>Rawtenstall St Anne's Church of England Primary School, Edgeside</v>
          </cell>
          <cell r="D24212" t="str">
            <v>Lancashire</v>
          </cell>
          <cell r="E24212" t="str">
            <v>Voluntary Aided School</v>
          </cell>
          <cell r="F24212" t="str">
            <v>Primary</v>
          </cell>
        </row>
        <row r="24213">
          <cell r="A24213">
            <v>8883022</v>
          </cell>
          <cell r="B24213">
            <v>119367</v>
          </cell>
          <cell r="C24213" t="str">
            <v>Rawtenstall St Paul's Constable Lee Church of England Primary School</v>
          </cell>
          <cell r="D24213" t="str">
            <v>Lancashire</v>
          </cell>
          <cell r="E24213" t="str">
            <v>Voluntary Controlled School</v>
          </cell>
          <cell r="F24213" t="str">
            <v>Primary</v>
          </cell>
        </row>
        <row r="24214">
          <cell r="A24214">
            <v>8882128</v>
          </cell>
          <cell r="B24214">
            <v>119198</v>
          </cell>
          <cell r="C24214" t="str">
            <v>Rawtenstall Water Primary School</v>
          </cell>
          <cell r="D24214" t="str">
            <v>Lancashire</v>
          </cell>
          <cell r="E24214" t="str">
            <v>Community School</v>
          </cell>
          <cell r="F24214" t="str">
            <v>Primary</v>
          </cell>
        </row>
        <row r="24215">
          <cell r="A24215">
            <v>3822035</v>
          </cell>
          <cell r="B24215">
            <v>107620</v>
          </cell>
          <cell r="C24215" t="str">
            <v>Rawthorpe Junior School</v>
          </cell>
          <cell r="D24215" t="str">
            <v>Kirklees</v>
          </cell>
          <cell r="E24215" t="str">
            <v>Community School</v>
          </cell>
          <cell r="F24215" t="str">
            <v>Primary</v>
          </cell>
        </row>
        <row r="24216">
          <cell r="A24216">
            <v>3823002</v>
          </cell>
          <cell r="B24216">
            <v>107700</v>
          </cell>
          <cell r="C24216" t="str">
            <v>Rawthorpe St James CofE (VC) Infant and Nursery School</v>
          </cell>
          <cell r="D24216" t="str">
            <v>Kirklees</v>
          </cell>
          <cell r="E24216" t="str">
            <v>Voluntary Controlled School</v>
          </cell>
          <cell r="F24216" t="str">
            <v>Primary</v>
          </cell>
        </row>
        <row r="24217">
          <cell r="A24217">
            <v>3172050</v>
          </cell>
          <cell r="B24217">
            <v>102829</v>
          </cell>
          <cell r="C24217" t="str">
            <v>Ray Lodge Infants' School</v>
          </cell>
          <cell r="D24217" t="str">
            <v>Redbridge</v>
          </cell>
          <cell r="E24217" t="str">
            <v>Community School</v>
          </cell>
          <cell r="F24217" t="str">
            <v>Primary</v>
          </cell>
        </row>
        <row r="24218">
          <cell r="A24218">
            <v>3172049</v>
          </cell>
          <cell r="B24218">
            <v>102828</v>
          </cell>
          <cell r="C24218" t="str">
            <v>Ray Lodge Junior School</v>
          </cell>
          <cell r="D24218" t="str">
            <v>Redbridge</v>
          </cell>
          <cell r="E24218" t="str">
            <v>Community School</v>
          </cell>
          <cell r="F24218" t="str">
            <v>Primary</v>
          </cell>
        </row>
        <row r="24219">
          <cell r="A24219">
            <v>3172070</v>
          </cell>
          <cell r="B24219">
            <v>131305</v>
          </cell>
          <cell r="C24219" t="str">
            <v>Ray Lodge Primary School</v>
          </cell>
          <cell r="D24219" t="str">
            <v>Redbridge</v>
          </cell>
          <cell r="E24219" t="str">
            <v>Community School</v>
          </cell>
          <cell r="F24219" t="str">
            <v>Primary</v>
          </cell>
        </row>
        <row r="24220">
          <cell r="A24220">
            <v>9152341</v>
          </cell>
          <cell r="B24220">
            <v>128887</v>
          </cell>
          <cell r="C24220" t="str">
            <v>Rayleigh Infants' School</v>
          </cell>
          <cell r="D24220" t="str">
            <v>Pre LGR (1998) Essex</v>
          </cell>
          <cell r="E24220" t="str">
            <v>Community School</v>
          </cell>
          <cell r="F24220" t="str">
            <v>Primary</v>
          </cell>
        </row>
        <row r="24221">
          <cell r="A24221">
            <v>9152331</v>
          </cell>
          <cell r="B24221">
            <v>128886</v>
          </cell>
          <cell r="C24221" t="str">
            <v>Rayleigh Junior School</v>
          </cell>
          <cell r="D24221" t="str">
            <v>Pre LGR (1998) Essex</v>
          </cell>
          <cell r="E24221" t="str">
            <v>Community School</v>
          </cell>
          <cell r="F24221" t="str">
            <v>Primary</v>
          </cell>
        </row>
        <row r="24222">
          <cell r="A24222">
            <v>8812999</v>
          </cell>
          <cell r="B24222">
            <v>115063</v>
          </cell>
          <cell r="C24222" t="str">
            <v>Rayleigh Primary School</v>
          </cell>
          <cell r="D24222" t="str">
            <v>Essex</v>
          </cell>
          <cell r="E24222" t="str">
            <v>Community School</v>
          </cell>
          <cell r="F24222" t="str">
            <v>Primary</v>
          </cell>
        </row>
        <row r="24223">
          <cell r="A24223">
            <v>8812410</v>
          </cell>
          <cell r="B24223">
            <v>114842</v>
          </cell>
          <cell r="C24223" t="str">
            <v>Rayne Primary and Nursery School</v>
          </cell>
          <cell r="D24223" t="str">
            <v>Essex</v>
          </cell>
          <cell r="E24223" t="str">
            <v>Community School</v>
          </cell>
          <cell r="F24223" t="str">
            <v>Primary</v>
          </cell>
        </row>
        <row r="24224">
          <cell r="A24224">
            <v>8862565</v>
          </cell>
          <cell r="B24224">
            <v>118518</v>
          </cell>
          <cell r="C24224" t="str">
            <v>Raynehurst Infant School and Nursery</v>
          </cell>
          <cell r="D24224" t="str">
            <v>Kent</v>
          </cell>
          <cell r="E24224" t="str">
            <v>Community School</v>
          </cell>
          <cell r="F24224" t="str">
            <v>Primary</v>
          </cell>
        </row>
        <row r="24225">
          <cell r="A24225">
            <v>8862488</v>
          </cell>
          <cell r="B24225">
            <v>118467</v>
          </cell>
          <cell r="C24225" t="str">
            <v>Raynehurst Junior School</v>
          </cell>
          <cell r="D24225" t="str">
            <v>Kent</v>
          </cell>
          <cell r="E24225" t="str">
            <v>Community School</v>
          </cell>
          <cell r="F24225" t="str">
            <v>Primary</v>
          </cell>
        </row>
        <row r="24226">
          <cell r="A24226">
            <v>8863903</v>
          </cell>
          <cell r="B24226">
            <v>131710</v>
          </cell>
          <cell r="C24226" t="str">
            <v>Raynehurst Primary School</v>
          </cell>
          <cell r="D24226" t="str">
            <v>Kent</v>
          </cell>
          <cell r="E24226" t="str">
            <v>Community School</v>
          </cell>
          <cell r="F24226" t="str">
            <v>Primary</v>
          </cell>
        </row>
        <row r="24227">
          <cell r="A24227">
            <v>3154052</v>
          </cell>
          <cell r="B24227">
            <v>102674</v>
          </cell>
          <cell r="C24227" t="str">
            <v>Raynes Park High School</v>
          </cell>
          <cell r="D24227" t="str">
            <v>Merton</v>
          </cell>
          <cell r="E24227" t="str">
            <v>Community School</v>
          </cell>
          <cell r="F24227" t="str">
            <v>Secondary</v>
          </cell>
        </row>
        <row r="24228">
          <cell r="A24228">
            <v>3082058</v>
          </cell>
          <cell r="B24228">
            <v>126891</v>
          </cell>
          <cell r="C24228" t="str">
            <v>Raynham Infant School</v>
          </cell>
          <cell r="D24228" t="str">
            <v>Enfield</v>
          </cell>
          <cell r="E24228" t="str">
            <v>Community School</v>
          </cell>
          <cell r="F24228" t="str">
            <v>Primary</v>
          </cell>
        </row>
        <row r="24229">
          <cell r="A24229">
            <v>3082057</v>
          </cell>
          <cell r="B24229">
            <v>126890</v>
          </cell>
          <cell r="C24229" t="str">
            <v>Raynham Junior School</v>
          </cell>
          <cell r="D24229" t="str">
            <v>Enfield</v>
          </cell>
          <cell r="E24229" t="str">
            <v>Community School</v>
          </cell>
          <cell r="F24229" t="str">
            <v>Primary</v>
          </cell>
        </row>
        <row r="24230">
          <cell r="A24230">
            <v>3082083</v>
          </cell>
          <cell r="B24230">
            <v>102023</v>
          </cell>
          <cell r="C24230" t="str">
            <v>Raynham Primary School</v>
          </cell>
          <cell r="D24230" t="str">
            <v>Enfield</v>
          </cell>
          <cell r="E24230" t="str">
            <v>Community School</v>
          </cell>
          <cell r="F24230" t="str">
            <v>Primary</v>
          </cell>
        </row>
        <row r="24231">
          <cell r="A24231">
            <v>8233008</v>
          </cell>
          <cell r="B24231">
            <v>109601</v>
          </cell>
          <cell r="C24231" t="str">
            <v>Raynsford VC Lower School</v>
          </cell>
          <cell r="D24231" t="str">
            <v>Central Bedfordshire</v>
          </cell>
          <cell r="E24231" t="str">
            <v>Voluntary Controlled School</v>
          </cell>
          <cell r="F24231" t="str">
            <v>Primary</v>
          </cell>
        </row>
        <row r="24232">
          <cell r="A24232">
            <v>3832239</v>
          </cell>
          <cell r="B24232">
            <v>127868</v>
          </cell>
          <cell r="C24232" t="str">
            <v>Raynville First School</v>
          </cell>
          <cell r="D24232" t="str">
            <v>Leeds</v>
          </cell>
          <cell r="E24232" t="str">
            <v>Community School</v>
          </cell>
          <cell r="F24232" t="str">
            <v>Primary</v>
          </cell>
        </row>
        <row r="24233">
          <cell r="A24233">
            <v>3832489</v>
          </cell>
          <cell r="B24233">
            <v>107965</v>
          </cell>
          <cell r="C24233" t="str">
            <v>Raynville Primary School</v>
          </cell>
          <cell r="D24233" t="str">
            <v>Leeds</v>
          </cell>
          <cell r="E24233" t="str">
            <v>Community School</v>
          </cell>
          <cell r="F24233" t="str">
            <v>Primary</v>
          </cell>
        </row>
        <row r="24234">
          <cell r="A24234">
            <v>8032225</v>
          </cell>
          <cell r="B24234">
            <v>109053</v>
          </cell>
          <cell r="C24234" t="str">
            <v>Raysfield Infants' School</v>
          </cell>
          <cell r="D24234" t="str">
            <v>South Gloucestershire</v>
          </cell>
          <cell r="E24234" t="str">
            <v>Community School</v>
          </cell>
          <cell r="F24234" t="str">
            <v>Primary</v>
          </cell>
        </row>
        <row r="24235">
          <cell r="A24235">
            <v>8032224</v>
          </cell>
          <cell r="B24235">
            <v>109052</v>
          </cell>
          <cell r="C24235" t="str">
            <v>Raysfield Junior School</v>
          </cell>
          <cell r="D24235" t="str">
            <v>South Gloucestershire</v>
          </cell>
          <cell r="E24235" t="str">
            <v>Community School</v>
          </cell>
          <cell r="F24235" t="str">
            <v>Primary</v>
          </cell>
        </row>
        <row r="24236">
          <cell r="A24236">
            <v>8611102</v>
          </cell>
          <cell r="B24236">
            <v>133178</v>
          </cell>
          <cell r="C24236" t="str">
            <v>Reach</v>
          </cell>
          <cell r="D24236" t="str">
            <v>Stoke-on-Trent</v>
          </cell>
          <cell r="E24236" t="str">
            <v>Pupil Referral Unit</v>
          </cell>
          <cell r="F24236" t="str">
            <v>PRU</v>
          </cell>
        </row>
        <row r="24237">
          <cell r="A24237">
            <v>8156019</v>
          </cell>
          <cell r="B24237">
            <v>121748</v>
          </cell>
          <cell r="C24237" t="str">
            <v>Read School</v>
          </cell>
          <cell r="D24237" t="str">
            <v>North Yorkshire</v>
          </cell>
          <cell r="E24237" t="str">
            <v>Other Independent School</v>
          </cell>
          <cell r="F24237" t="str">
            <v>Not applicable</v>
          </cell>
        </row>
        <row r="24238">
          <cell r="A24238">
            <v>8883111</v>
          </cell>
          <cell r="B24238">
            <v>119389</v>
          </cell>
          <cell r="C24238" t="str">
            <v>Read St John's CofE Primary School</v>
          </cell>
          <cell r="D24238" t="str">
            <v>Lancashire</v>
          </cell>
          <cell r="E24238" t="str">
            <v>Voluntary Controlled School</v>
          </cell>
          <cell r="F24238" t="str">
            <v>Primary</v>
          </cell>
        </row>
        <row r="24239">
          <cell r="A24239">
            <v>8726006</v>
          </cell>
          <cell r="B24239">
            <v>110151</v>
          </cell>
          <cell r="C24239" t="str">
            <v>Reading Blue Coat School</v>
          </cell>
          <cell r="D24239" t="str">
            <v>Wokingham</v>
          </cell>
          <cell r="E24239" t="str">
            <v>Other Independent School</v>
          </cell>
          <cell r="F24239" t="str">
            <v>Not applicable</v>
          </cell>
        </row>
        <row r="24240">
          <cell r="A24240">
            <v>8708000</v>
          </cell>
          <cell r="B24240">
            <v>130601</v>
          </cell>
          <cell r="C24240" t="str">
            <v>Reading College and School of Arts and Design</v>
          </cell>
          <cell r="D24240" t="str">
            <v>Reading</v>
          </cell>
          <cell r="E24240" t="str">
            <v>Further Education</v>
          </cell>
          <cell r="F24240" t="str">
            <v>16 Plus</v>
          </cell>
        </row>
        <row r="24241">
          <cell r="A24241">
            <v>8705400</v>
          </cell>
          <cell r="B24241">
            <v>110096</v>
          </cell>
          <cell r="C24241" t="str">
            <v>Reading Girls' School</v>
          </cell>
          <cell r="D24241" t="str">
            <v>Reading</v>
          </cell>
          <cell r="E24241" t="str">
            <v>Foundation School</v>
          </cell>
          <cell r="F24241" t="str">
            <v>Secondary</v>
          </cell>
        </row>
        <row r="24242">
          <cell r="A24242">
            <v>9032811</v>
          </cell>
          <cell r="B24242">
            <v>128284</v>
          </cell>
          <cell r="C24242" t="str">
            <v>Reading Primary Centre</v>
          </cell>
          <cell r="D24242" t="str">
            <v>Pre LGR (1998) Berkshire</v>
          </cell>
          <cell r="E24242" t="str">
            <v>Community School</v>
          </cell>
          <cell r="F24242" t="str">
            <v>Primary</v>
          </cell>
        </row>
        <row r="24243">
          <cell r="A24243">
            <v>8705401</v>
          </cell>
          <cell r="B24243">
            <v>110097</v>
          </cell>
          <cell r="C24243" t="str">
            <v>Reading School</v>
          </cell>
          <cell r="D24243" t="str">
            <v>Reading</v>
          </cell>
          <cell r="E24243" t="str">
            <v>Foundation School</v>
          </cell>
          <cell r="F24243" t="str">
            <v>Secondary</v>
          </cell>
        </row>
        <row r="24244">
          <cell r="A24244">
            <v>8705401</v>
          </cell>
          <cell r="B24244">
            <v>136449</v>
          </cell>
          <cell r="C24244" t="str">
            <v>Reading School</v>
          </cell>
          <cell r="D24244" t="str">
            <v>Reading</v>
          </cell>
          <cell r="E24244" t="str">
            <v>Academy Converters</v>
          </cell>
          <cell r="F24244" t="str">
            <v>Secondary</v>
          </cell>
        </row>
        <row r="24245">
          <cell r="A24245">
            <v>870940</v>
          </cell>
          <cell r="B24245">
            <v>134602</v>
          </cell>
          <cell r="C24245" t="str">
            <v>Reading Study Centre</v>
          </cell>
          <cell r="D24245" t="str">
            <v>Reading</v>
          </cell>
          <cell r="E24245" t="str">
            <v>Playing for Success Centres</v>
          </cell>
          <cell r="F24245" t="str">
            <v>Not applicable</v>
          </cell>
        </row>
        <row r="24246">
          <cell r="A24246">
            <v>8166010</v>
          </cell>
          <cell r="B24246">
            <v>134714</v>
          </cell>
          <cell r="C24246" t="str">
            <v>Real School</v>
          </cell>
          <cell r="D24246" t="str">
            <v>York</v>
          </cell>
          <cell r="E24246" t="str">
            <v>Other Independent School</v>
          </cell>
          <cell r="F24246" t="str">
            <v>Not applicable</v>
          </cell>
        </row>
        <row r="24247">
          <cell r="A24247">
            <v>8958300</v>
          </cell>
          <cell r="B24247">
            <v>130623</v>
          </cell>
          <cell r="C24247" t="str">
            <v>Reaseheath College</v>
          </cell>
          <cell r="D24247" t="str">
            <v>Cheshire East</v>
          </cell>
          <cell r="E24247" t="str">
            <v>Further Education</v>
          </cell>
          <cell r="F24247" t="str">
            <v>16 Plus</v>
          </cell>
        </row>
        <row r="24248">
          <cell r="A24248">
            <v>3302468</v>
          </cell>
          <cell r="B24248">
            <v>103394</v>
          </cell>
          <cell r="C24248" t="str">
            <v>Reaside Junior School</v>
          </cell>
          <cell r="D24248" t="str">
            <v>Birmingham</v>
          </cell>
          <cell r="E24248" t="str">
            <v>Community School</v>
          </cell>
          <cell r="F24248" t="str">
            <v>Primary</v>
          </cell>
        </row>
        <row r="24249">
          <cell r="A24249">
            <v>2085206</v>
          </cell>
          <cell r="B24249">
            <v>100634</v>
          </cell>
          <cell r="C24249" t="str">
            <v>Reay Primary School</v>
          </cell>
          <cell r="D24249" t="str">
            <v>Lambeth</v>
          </cell>
          <cell r="E24249" t="str">
            <v>Foundation School</v>
          </cell>
          <cell r="F24249" t="str">
            <v>Primary</v>
          </cell>
        </row>
        <row r="24250">
          <cell r="A24250">
            <v>3161002</v>
          </cell>
          <cell r="B24250">
            <v>102702</v>
          </cell>
          <cell r="C24250" t="str">
            <v>Rebecca Cheetham Nursery Education Centre</v>
          </cell>
          <cell r="D24250" t="str">
            <v>Newham</v>
          </cell>
          <cell r="E24250" t="str">
            <v>LA Nursery School</v>
          </cell>
          <cell r="F24250" t="str">
            <v>Nursery</v>
          </cell>
        </row>
        <row r="24251">
          <cell r="A24251">
            <v>9332314</v>
          </cell>
          <cell r="B24251">
            <v>123726</v>
          </cell>
          <cell r="C24251" t="str">
            <v>Reckleford Community School and Children's Centre</v>
          </cell>
          <cell r="D24251" t="str">
            <v>Somerset</v>
          </cell>
          <cell r="E24251" t="str">
            <v>Community School</v>
          </cell>
          <cell r="F24251" t="str">
            <v>Primary</v>
          </cell>
        </row>
        <row r="24252">
          <cell r="A24252">
            <v>9263428</v>
          </cell>
          <cell r="B24252">
            <v>134964</v>
          </cell>
          <cell r="C24252" t="str">
            <v>Recreation Road Infant School</v>
          </cell>
          <cell r="D24252" t="str">
            <v>Norfolk</v>
          </cell>
          <cell r="E24252" t="str">
            <v>Community School</v>
          </cell>
          <cell r="F24252" t="str">
            <v>Primary</v>
          </cell>
        </row>
        <row r="24253">
          <cell r="A24253">
            <v>6643317</v>
          </cell>
          <cell r="B24253">
            <v>400385</v>
          </cell>
          <cell r="C24253" t="str">
            <v>Rector Drew V.A.  School</v>
          </cell>
          <cell r="D24253" t="str">
            <v>Flintshire</v>
          </cell>
          <cell r="E24253" t="str">
            <v>Welsh Establishment</v>
          </cell>
          <cell r="F24253" t="str">
            <v>Primary</v>
          </cell>
        </row>
        <row r="24254">
          <cell r="A24254">
            <v>3423320</v>
          </cell>
          <cell r="B24254">
            <v>104797</v>
          </cell>
          <cell r="C24254" t="str">
            <v>Rectory CofE Primary School</v>
          </cell>
          <cell r="D24254" t="str">
            <v>St. Helens</v>
          </cell>
          <cell r="E24254" t="str">
            <v>Voluntary Aided School</v>
          </cell>
          <cell r="F24254" t="str">
            <v>Primary</v>
          </cell>
        </row>
        <row r="24255">
          <cell r="A24255">
            <v>9282198</v>
          </cell>
          <cell r="B24255">
            <v>121940</v>
          </cell>
          <cell r="C24255" t="str">
            <v>Rectory Farm Primary School</v>
          </cell>
          <cell r="D24255" t="str">
            <v>Northamptonshire</v>
          </cell>
          <cell r="E24255" t="str">
            <v>Community School</v>
          </cell>
          <cell r="F24255" t="str">
            <v>Primary</v>
          </cell>
        </row>
        <row r="24256">
          <cell r="A24256">
            <v>8863124</v>
          </cell>
          <cell r="B24256">
            <v>118656</v>
          </cell>
          <cell r="C24256" t="str">
            <v>Reculver Church of England Primary School</v>
          </cell>
          <cell r="D24256" t="str">
            <v>Kent</v>
          </cell>
          <cell r="E24256" t="str">
            <v>Voluntary Controlled School</v>
          </cell>
          <cell r="F24256" t="str">
            <v>Primary</v>
          </cell>
        </row>
        <row r="24257">
          <cell r="A24257">
            <v>9266158</v>
          </cell>
          <cell r="B24257">
            <v>135250</v>
          </cell>
          <cell r="C24257" t="str">
            <v>Red Balloon - Norwich</v>
          </cell>
          <cell r="D24257" t="str">
            <v>Norfolk</v>
          </cell>
          <cell r="E24257" t="str">
            <v>Other Independent School</v>
          </cell>
          <cell r="F24257" t="str">
            <v>Not applicable</v>
          </cell>
        </row>
        <row r="24258">
          <cell r="A24258">
            <v>8736024</v>
          </cell>
          <cell r="B24258">
            <v>131330</v>
          </cell>
          <cell r="C24258" t="str">
            <v>Red Balloon Learner Centre</v>
          </cell>
          <cell r="D24258" t="str">
            <v>Cambridgeshire</v>
          </cell>
          <cell r="E24258" t="str">
            <v>Other Independent School</v>
          </cell>
          <cell r="F24258" t="str">
            <v>Not applicable</v>
          </cell>
        </row>
        <row r="24259">
          <cell r="A24259">
            <v>3416084</v>
          </cell>
          <cell r="B24259">
            <v>136238</v>
          </cell>
          <cell r="C24259" t="str">
            <v>Red Balloon Learner Centre - Merseyside</v>
          </cell>
          <cell r="D24259" t="str">
            <v>Liverpool</v>
          </cell>
          <cell r="E24259" t="str">
            <v>Other Independent Special School</v>
          </cell>
          <cell r="F24259" t="str">
            <v>Not applicable</v>
          </cell>
        </row>
        <row r="24260">
          <cell r="A24260">
            <v>3106204</v>
          </cell>
          <cell r="B24260">
            <v>135687</v>
          </cell>
          <cell r="C24260" t="str">
            <v>Red Balloon Learner Centre - Northwest London</v>
          </cell>
          <cell r="D24260" t="str">
            <v>Harrow</v>
          </cell>
          <cell r="E24260" t="str">
            <v>Other Independent School</v>
          </cell>
          <cell r="F24260" t="str">
            <v>Not applicable</v>
          </cell>
        </row>
        <row r="24261">
          <cell r="A24261">
            <v>9376108</v>
          </cell>
          <cell r="B24261">
            <v>136510</v>
          </cell>
          <cell r="C24261" t="str">
            <v>Red Balloon Learner Centre - Warwick</v>
          </cell>
          <cell r="D24261" t="str">
            <v>Warwickshire</v>
          </cell>
          <cell r="E24261" t="str">
            <v>Other Independent School</v>
          </cell>
          <cell r="F24261" t="str">
            <v>Not applicable</v>
          </cell>
        </row>
        <row r="24262">
          <cell r="A24262">
            <v>8886114</v>
          </cell>
          <cell r="B24262">
            <v>136253</v>
          </cell>
          <cell r="C24262" t="str">
            <v>Red Balloon Learner Centre-Preston</v>
          </cell>
          <cell r="D24262" t="str">
            <v>Lancashire</v>
          </cell>
          <cell r="E24262" t="str">
            <v>Other Independent School</v>
          </cell>
          <cell r="F24262" t="str">
            <v>Not applicable</v>
          </cell>
        </row>
        <row r="24263">
          <cell r="A24263">
            <v>3429900</v>
          </cell>
          <cell r="B24263">
            <v>133154</v>
          </cell>
          <cell r="C24263" t="str">
            <v>Red Bank - Vardy House</v>
          </cell>
          <cell r="D24263" t="str">
            <v>St. Helens</v>
          </cell>
          <cell r="E24263" t="str">
            <v>Secure Units</v>
          </cell>
          <cell r="F24263" t="str">
            <v>Not applicable</v>
          </cell>
        </row>
        <row r="24264">
          <cell r="A24264">
            <v>342612</v>
          </cell>
          <cell r="B24264">
            <v>132982</v>
          </cell>
          <cell r="C24264" t="str">
            <v>Red Bank - Willow House</v>
          </cell>
          <cell r="D24264" t="str">
            <v>St. Helens</v>
          </cell>
          <cell r="E24264" t="str">
            <v>Secure Units</v>
          </cell>
          <cell r="F24264" t="str">
            <v>Not applicable</v>
          </cell>
        </row>
        <row r="24265">
          <cell r="A24265">
            <v>8502388</v>
          </cell>
          <cell r="B24265">
            <v>116079</v>
          </cell>
          <cell r="C24265" t="str">
            <v>Red Barn Community Primary School</v>
          </cell>
          <cell r="D24265" t="str">
            <v>Hampshire</v>
          </cell>
          <cell r="E24265" t="str">
            <v>Community School</v>
          </cell>
          <cell r="F24265" t="str">
            <v>Primary</v>
          </cell>
        </row>
        <row r="24266">
          <cell r="A24266">
            <v>9377012</v>
          </cell>
          <cell r="B24266">
            <v>125797</v>
          </cell>
          <cell r="C24266" t="str">
            <v>Red Deeps School</v>
          </cell>
          <cell r="D24266" t="str">
            <v>Warwickshire</v>
          </cell>
          <cell r="E24266" t="str">
            <v>Community Special School</v>
          </cell>
          <cell r="F24266" t="str">
            <v>Special</v>
          </cell>
        </row>
        <row r="24267">
          <cell r="A24267">
            <v>3067006</v>
          </cell>
          <cell r="B24267">
            <v>101855</v>
          </cell>
          <cell r="C24267" t="str">
            <v>Red Gates School</v>
          </cell>
          <cell r="D24267" t="str">
            <v>Croydon</v>
          </cell>
          <cell r="E24267" t="str">
            <v>Community Special School</v>
          </cell>
          <cell r="F24267" t="str">
            <v>Special</v>
          </cell>
        </row>
        <row r="24268">
          <cell r="A24268">
            <v>3322053</v>
          </cell>
          <cell r="B24268">
            <v>103785</v>
          </cell>
          <cell r="C24268" t="str">
            <v>Red Hall Infant School</v>
          </cell>
          <cell r="D24268" t="str">
            <v>Dudley</v>
          </cell>
          <cell r="E24268" t="str">
            <v>Community School</v>
          </cell>
          <cell r="F24268" t="str">
            <v>Primary</v>
          </cell>
        </row>
        <row r="24269">
          <cell r="A24269">
            <v>3322052</v>
          </cell>
          <cell r="B24269">
            <v>103784</v>
          </cell>
          <cell r="C24269" t="str">
            <v>Red Hall Primary School</v>
          </cell>
          <cell r="D24269" t="str">
            <v>Dudley</v>
          </cell>
          <cell r="E24269" t="str">
            <v>Community School</v>
          </cell>
          <cell r="F24269" t="str">
            <v>Primary</v>
          </cell>
        </row>
        <row r="24270">
          <cell r="A24270">
            <v>8412669</v>
          </cell>
          <cell r="B24270">
            <v>114183</v>
          </cell>
          <cell r="C24270" t="str">
            <v>Red Hall Primary School</v>
          </cell>
          <cell r="D24270" t="str">
            <v>Darlington</v>
          </cell>
          <cell r="E24270" t="str">
            <v>Community School</v>
          </cell>
          <cell r="F24270" t="str">
            <v>Primary</v>
          </cell>
        </row>
        <row r="24271">
          <cell r="A24271">
            <v>8853116</v>
          </cell>
          <cell r="B24271">
            <v>116859</v>
          </cell>
          <cell r="C24271" t="str">
            <v>Red Hill CofE Primary School</v>
          </cell>
          <cell r="D24271" t="str">
            <v>Worcestershire</v>
          </cell>
          <cell r="E24271" t="str">
            <v>Voluntary Controlled School</v>
          </cell>
          <cell r="F24271" t="str">
            <v>Primary</v>
          </cell>
        </row>
        <row r="24272">
          <cell r="A24272">
            <v>8552358</v>
          </cell>
          <cell r="B24272">
            <v>120083</v>
          </cell>
          <cell r="C24272" t="str">
            <v>Red Hill Field Primary School</v>
          </cell>
          <cell r="D24272" t="str">
            <v>Leicestershire</v>
          </cell>
          <cell r="E24272" t="str">
            <v>Community School</v>
          </cell>
          <cell r="F24272" t="str">
            <v>Primary</v>
          </cell>
        </row>
        <row r="24273">
          <cell r="A24273">
            <v>3052026</v>
          </cell>
          <cell r="B24273">
            <v>101604</v>
          </cell>
          <cell r="C24273" t="str">
            <v>Red Hill Primary School</v>
          </cell>
          <cell r="D24273" t="str">
            <v>Bromley</v>
          </cell>
          <cell r="E24273" t="str">
            <v>Community School</v>
          </cell>
          <cell r="F24273" t="str">
            <v>Primary</v>
          </cell>
        </row>
        <row r="24274">
          <cell r="A24274">
            <v>9227015</v>
          </cell>
          <cell r="B24274">
            <v>129460</v>
          </cell>
          <cell r="C24274" t="str">
            <v>Red Hill School</v>
          </cell>
          <cell r="D24274" t="str">
            <v>Pre LGR (1998) Kent</v>
          </cell>
          <cell r="E24274" t="str">
            <v>Community Special School</v>
          </cell>
          <cell r="F24274" t="str">
            <v>Special</v>
          </cell>
        </row>
        <row r="24275">
          <cell r="A24275">
            <v>3946907</v>
          </cell>
          <cell r="B24275">
            <v>135878</v>
          </cell>
          <cell r="C24275" t="str">
            <v>Red House Academy</v>
          </cell>
          <cell r="D24275" t="str">
            <v>Sunderland</v>
          </cell>
          <cell r="E24275" t="str">
            <v>Academy Sponsor Led</v>
          </cell>
          <cell r="F24275" t="str">
            <v>Secondary</v>
          </cell>
        </row>
        <row r="24276">
          <cell r="A24276">
            <v>8156015</v>
          </cell>
          <cell r="B24276">
            <v>121744</v>
          </cell>
          <cell r="C24276" t="str">
            <v>Red House Preparatory School</v>
          </cell>
          <cell r="D24276" t="str">
            <v>North Yorkshire</v>
          </cell>
          <cell r="E24276" t="str">
            <v>Other Independent School</v>
          </cell>
          <cell r="F24276" t="str">
            <v>Not applicable</v>
          </cell>
        </row>
        <row r="24277">
          <cell r="A24277">
            <v>8086000</v>
          </cell>
          <cell r="B24277">
            <v>111767</v>
          </cell>
          <cell r="C24277" t="str">
            <v>Red House School</v>
          </cell>
          <cell r="D24277" t="str">
            <v>Stockton-on-Tees</v>
          </cell>
          <cell r="E24277" t="str">
            <v>Other Independent School</v>
          </cell>
          <cell r="F24277" t="str">
            <v>Not applicable</v>
          </cell>
        </row>
        <row r="24278">
          <cell r="A24278">
            <v>3077003</v>
          </cell>
          <cell r="B24278">
            <v>126881</v>
          </cell>
          <cell r="C24278" t="str">
            <v>Red House School</v>
          </cell>
          <cell r="D24278" t="str">
            <v>Ealing</v>
          </cell>
          <cell r="E24278" t="str">
            <v>Community Special School</v>
          </cell>
          <cell r="F24278" t="str">
            <v>Special</v>
          </cell>
        </row>
        <row r="24279">
          <cell r="A24279">
            <v>8452121</v>
          </cell>
          <cell r="B24279">
            <v>114448</v>
          </cell>
          <cell r="C24279" t="str">
            <v>Red Lake Community Primary School</v>
          </cell>
          <cell r="D24279" t="str">
            <v>East Sussex</v>
          </cell>
          <cell r="E24279" t="str">
            <v>Community School</v>
          </cell>
          <cell r="F24279" t="str">
            <v>Primary</v>
          </cell>
        </row>
        <row r="24280">
          <cell r="A24280">
            <v>3502081</v>
          </cell>
          <cell r="B24280">
            <v>105200</v>
          </cell>
          <cell r="C24280" t="str">
            <v>Red Lane Primary School</v>
          </cell>
          <cell r="D24280" t="str">
            <v>Bolton</v>
          </cell>
          <cell r="E24280" t="str">
            <v>Community School</v>
          </cell>
          <cell r="F24280" t="str">
            <v>Primary</v>
          </cell>
        </row>
        <row r="24281">
          <cell r="A24281">
            <v>8663462</v>
          </cell>
          <cell r="B24281">
            <v>131377</v>
          </cell>
          <cell r="C24281" t="str">
            <v>Red Oaks Primary School</v>
          </cell>
          <cell r="D24281" t="str">
            <v>Swindon</v>
          </cell>
          <cell r="E24281" t="str">
            <v>Community School</v>
          </cell>
          <cell r="F24281" t="str">
            <v>Primary</v>
          </cell>
        </row>
        <row r="24282">
          <cell r="A24282">
            <v>8402125</v>
          </cell>
          <cell r="B24282">
            <v>114008</v>
          </cell>
          <cell r="C24282" t="str">
            <v>Red Rose Primary School</v>
          </cell>
          <cell r="D24282" t="str">
            <v>Durham</v>
          </cell>
          <cell r="E24282" t="str">
            <v>Community School</v>
          </cell>
          <cell r="F24282" t="str">
            <v>Primary</v>
          </cell>
        </row>
        <row r="24283">
          <cell r="A24283">
            <v>8886032</v>
          </cell>
          <cell r="B24283">
            <v>131163</v>
          </cell>
          <cell r="C24283" t="str">
            <v>Red Rose School</v>
          </cell>
          <cell r="D24283" t="str">
            <v>Lancashire</v>
          </cell>
          <cell r="E24283" t="str">
            <v>Other Independent Special School</v>
          </cell>
          <cell r="F24283" t="str">
            <v>Not applicable</v>
          </cell>
        </row>
        <row r="24284">
          <cell r="A24284">
            <v>6816095</v>
          </cell>
          <cell r="B24284">
            <v>402238</v>
          </cell>
          <cell r="C24284" t="str">
            <v>Red Rose School</v>
          </cell>
          <cell r="D24284" t="str">
            <v>Cardiff</v>
          </cell>
          <cell r="E24284" t="str">
            <v>Welsh Establishment</v>
          </cell>
          <cell r="F24284" t="str">
            <v>Not applicable</v>
          </cell>
        </row>
        <row r="24285">
          <cell r="A24285">
            <v>9292101</v>
          </cell>
          <cell r="B24285">
            <v>122197</v>
          </cell>
          <cell r="C24285" t="str">
            <v>Red Row First School</v>
          </cell>
          <cell r="D24285" t="str">
            <v>Northumberland</v>
          </cell>
          <cell r="E24285" t="str">
            <v>Community School</v>
          </cell>
          <cell r="F24285" t="str">
            <v>Primary</v>
          </cell>
        </row>
        <row r="24286">
          <cell r="A24286">
            <v>3721101</v>
          </cell>
          <cell r="B24286">
            <v>106830</v>
          </cell>
          <cell r="C24286" t="str">
            <v>Redbarn Rowan Pupil Referral Unit</v>
          </cell>
          <cell r="D24286" t="str">
            <v>Rotherham</v>
          </cell>
          <cell r="E24286" t="str">
            <v>Pupil Referral Unit</v>
          </cell>
          <cell r="F24286" t="str">
            <v>PRU</v>
          </cell>
        </row>
        <row r="24287">
          <cell r="A24287">
            <v>8234003</v>
          </cell>
          <cell r="B24287">
            <v>109643</v>
          </cell>
          <cell r="C24287" t="str">
            <v>Redborne Upper School and Community College</v>
          </cell>
          <cell r="D24287" t="str">
            <v>Central Bedfordshire</v>
          </cell>
          <cell r="E24287" t="str">
            <v>Community School</v>
          </cell>
          <cell r="F24287" t="str">
            <v>Secondary</v>
          </cell>
        </row>
        <row r="24288">
          <cell r="A24288">
            <v>8234003</v>
          </cell>
          <cell r="B24288">
            <v>136559</v>
          </cell>
          <cell r="C24288" t="str">
            <v>Redborne Upper School and Community College</v>
          </cell>
          <cell r="D24288" t="str">
            <v>Central Bedfordshire</v>
          </cell>
          <cell r="E24288" t="str">
            <v>Academy Converters</v>
          </cell>
          <cell r="F24288" t="str">
            <v>Secondary</v>
          </cell>
        </row>
        <row r="24289">
          <cell r="A24289">
            <v>9192253</v>
          </cell>
          <cell r="B24289">
            <v>117236</v>
          </cell>
          <cell r="C24289" t="str">
            <v>Redbourn Infants' and Nursery School</v>
          </cell>
          <cell r="D24289" t="str">
            <v>Hertfordshire</v>
          </cell>
          <cell r="E24289" t="str">
            <v>Community School</v>
          </cell>
          <cell r="F24289" t="str">
            <v>Primary</v>
          </cell>
        </row>
        <row r="24290">
          <cell r="A24290">
            <v>9192345</v>
          </cell>
          <cell r="B24290">
            <v>117288</v>
          </cell>
          <cell r="C24290" t="str">
            <v>Redbourn Junior School</v>
          </cell>
          <cell r="D24290" t="str">
            <v>Hertfordshire</v>
          </cell>
          <cell r="E24290" t="str">
            <v>Community School</v>
          </cell>
          <cell r="F24290" t="str">
            <v>Primary</v>
          </cell>
        </row>
        <row r="24291">
          <cell r="A24291">
            <v>3178000</v>
          </cell>
          <cell r="B24291">
            <v>130453</v>
          </cell>
          <cell r="C24291" t="str">
            <v>Redbridge College</v>
          </cell>
          <cell r="D24291" t="str">
            <v>Redbridge</v>
          </cell>
          <cell r="E24291" t="str">
            <v>Further Education</v>
          </cell>
          <cell r="F24291" t="str">
            <v>16 Plus</v>
          </cell>
        </row>
        <row r="24292">
          <cell r="A24292">
            <v>8524270</v>
          </cell>
          <cell r="B24292">
            <v>116453</v>
          </cell>
          <cell r="C24292" t="str">
            <v>Redbridge Community School</v>
          </cell>
          <cell r="D24292" t="str">
            <v>Southampton</v>
          </cell>
          <cell r="E24292" t="str">
            <v>Community School</v>
          </cell>
          <cell r="F24292" t="str">
            <v>Secondary</v>
          </cell>
        </row>
        <row r="24293">
          <cell r="A24293">
            <v>3417052</v>
          </cell>
          <cell r="B24293">
            <v>104749</v>
          </cell>
          <cell r="C24293" t="str">
            <v>Redbridge High School</v>
          </cell>
          <cell r="D24293" t="str">
            <v>Liverpool</v>
          </cell>
          <cell r="E24293" t="str">
            <v>Community Special School</v>
          </cell>
          <cell r="F24293" t="str">
            <v>Special</v>
          </cell>
        </row>
        <row r="24294">
          <cell r="A24294">
            <v>3172035</v>
          </cell>
          <cell r="B24294">
            <v>102816</v>
          </cell>
          <cell r="C24294" t="str">
            <v>Redbridge Infants' School</v>
          </cell>
          <cell r="D24294" t="str">
            <v>Redbridge</v>
          </cell>
          <cell r="E24294" t="str">
            <v>Community School</v>
          </cell>
          <cell r="F24294" t="str">
            <v>Primary</v>
          </cell>
        </row>
        <row r="24295">
          <cell r="A24295">
            <v>3173522</v>
          </cell>
          <cell r="B24295">
            <v>133937</v>
          </cell>
          <cell r="C24295" t="str">
            <v>Redbridge Infants' School</v>
          </cell>
          <cell r="D24295" t="str">
            <v>Redbridge</v>
          </cell>
          <cell r="E24295" t="str">
            <v>Community School</v>
          </cell>
          <cell r="F24295" t="str">
            <v>Primary</v>
          </cell>
        </row>
        <row r="24296">
          <cell r="A24296">
            <v>3172034</v>
          </cell>
          <cell r="B24296">
            <v>102815</v>
          </cell>
          <cell r="C24296" t="str">
            <v>Redbridge Junior School</v>
          </cell>
          <cell r="D24296" t="str">
            <v>Redbridge</v>
          </cell>
          <cell r="E24296" t="str">
            <v>Community School</v>
          </cell>
          <cell r="F24296" t="str">
            <v>Primary</v>
          </cell>
        </row>
        <row r="24297">
          <cell r="A24297">
            <v>3173525</v>
          </cell>
          <cell r="B24297">
            <v>133940</v>
          </cell>
          <cell r="C24297" t="str">
            <v>Redbridge Junior School</v>
          </cell>
          <cell r="D24297" t="str">
            <v>Redbridge</v>
          </cell>
          <cell r="E24297" t="str">
            <v>Community School</v>
          </cell>
          <cell r="F24297" t="str">
            <v>Primary</v>
          </cell>
        </row>
        <row r="24298">
          <cell r="A24298">
            <v>8522448</v>
          </cell>
          <cell r="B24298">
            <v>116123</v>
          </cell>
          <cell r="C24298" t="str">
            <v>Redbridge Primary School</v>
          </cell>
          <cell r="D24298" t="str">
            <v>Southampton</v>
          </cell>
          <cell r="E24298" t="str">
            <v>Community School</v>
          </cell>
          <cell r="F24298" t="str">
            <v>Primary</v>
          </cell>
        </row>
        <row r="24299">
          <cell r="A24299">
            <v>3173527</v>
          </cell>
          <cell r="B24299">
            <v>127046</v>
          </cell>
          <cell r="C24299" t="str">
            <v>Redbridge Primary School</v>
          </cell>
          <cell r="D24299" t="str">
            <v>Redbridge</v>
          </cell>
          <cell r="E24299" t="str">
            <v>Community School</v>
          </cell>
          <cell r="F24299" t="str">
            <v>Primary</v>
          </cell>
        </row>
        <row r="24300">
          <cell r="A24300">
            <v>3171101</v>
          </cell>
          <cell r="B24300">
            <v>134366</v>
          </cell>
          <cell r="C24300" t="str">
            <v>Redbridge Tuition Service</v>
          </cell>
          <cell r="D24300" t="str">
            <v>Redbridge</v>
          </cell>
          <cell r="E24300" t="str">
            <v>Pupil Referral Unit</v>
          </cell>
          <cell r="F24300" t="str">
            <v>PRU</v>
          </cell>
        </row>
        <row r="24301">
          <cell r="A24301">
            <v>9163054</v>
          </cell>
          <cell r="B24301">
            <v>115639</v>
          </cell>
          <cell r="C24301" t="str">
            <v>Redbrook Church of England Primary School</v>
          </cell>
          <cell r="D24301" t="str">
            <v>Gloucestershire</v>
          </cell>
          <cell r="E24301" t="str">
            <v>Voluntary Controlled School</v>
          </cell>
          <cell r="F24301" t="str">
            <v>Primary</v>
          </cell>
        </row>
        <row r="24302">
          <cell r="A24302">
            <v>8603493</v>
          </cell>
          <cell r="B24302">
            <v>134665</v>
          </cell>
          <cell r="C24302" t="str">
            <v>Redbrook Hayes Community Primary School</v>
          </cell>
          <cell r="D24302" t="str">
            <v>Staffordshire</v>
          </cell>
          <cell r="E24302" t="str">
            <v>Community School</v>
          </cell>
          <cell r="F24302" t="str">
            <v>Primary</v>
          </cell>
        </row>
        <row r="24303">
          <cell r="A24303">
            <v>3544058</v>
          </cell>
          <cell r="B24303">
            <v>127442</v>
          </cell>
          <cell r="C24303" t="str">
            <v>Redbrook Middle School</v>
          </cell>
          <cell r="D24303" t="str">
            <v>Rochdale</v>
          </cell>
          <cell r="E24303" t="str">
            <v>Community School</v>
          </cell>
          <cell r="F24303" t="str">
            <v>Middle Deemed Secondary</v>
          </cell>
        </row>
        <row r="24304">
          <cell r="A24304">
            <v>8082048</v>
          </cell>
          <cell r="B24304">
            <v>111544</v>
          </cell>
          <cell r="C24304" t="str">
            <v>Redbrook Primary School</v>
          </cell>
          <cell r="D24304" t="str">
            <v>Stockton-on-Tees</v>
          </cell>
          <cell r="E24304" t="str">
            <v>Community School</v>
          </cell>
          <cell r="F24304" t="str">
            <v>Primary</v>
          </cell>
        </row>
        <row r="24305">
          <cell r="A24305">
            <v>3942064</v>
          </cell>
          <cell r="B24305">
            <v>128192</v>
          </cell>
          <cell r="C24305" t="str">
            <v>Redby Infants' School</v>
          </cell>
          <cell r="D24305" t="str">
            <v>Sunderland</v>
          </cell>
          <cell r="E24305" t="str">
            <v>Community School</v>
          </cell>
          <cell r="F24305" t="str">
            <v>Primary</v>
          </cell>
        </row>
        <row r="24306">
          <cell r="A24306">
            <v>3942063</v>
          </cell>
          <cell r="B24306">
            <v>128191</v>
          </cell>
          <cell r="C24306" t="str">
            <v>Redby Junior School</v>
          </cell>
          <cell r="D24306" t="str">
            <v>Sunderland</v>
          </cell>
          <cell r="E24306" t="str">
            <v>Community School</v>
          </cell>
          <cell r="F24306" t="str">
            <v>Primary</v>
          </cell>
        </row>
        <row r="24307">
          <cell r="A24307">
            <v>3942177</v>
          </cell>
          <cell r="B24307">
            <v>108831</v>
          </cell>
          <cell r="C24307" t="str">
            <v>Redby Primary School</v>
          </cell>
          <cell r="D24307" t="str">
            <v>Sunderland</v>
          </cell>
          <cell r="E24307" t="str">
            <v>Community School</v>
          </cell>
          <cell r="F24307" t="str">
            <v>Primary</v>
          </cell>
        </row>
        <row r="24308">
          <cell r="A24308">
            <v>3942177</v>
          </cell>
          <cell r="B24308">
            <v>137463</v>
          </cell>
          <cell r="C24308" t="str">
            <v>Redby Primary School</v>
          </cell>
          <cell r="D24308" t="str">
            <v>Sunderland</v>
          </cell>
          <cell r="E24308" t="str">
            <v>Academy Converters</v>
          </cell>
          <cell r="F24308" t="str">
            <v>Primary</v>
          </cell>
        </row>
        <row r="24309">
          <cell r="A24309">
            <v>8078005</v>
          </cell>
          <cell r="B24309">
            <v>130573</v>
          </cell>
          <cell r="C24309" t="str">
            <v>Redcar &amp; Cleveland College</v>
          </cell>
          <cell r="D24309" t="str">
            <v>Redcar and Cleveland</v>
          </cell>
          <cell r="E24309" t="str">
            <v>Further Education</v>
          </cell>
          <cell r="F24309" t="str">
            <v>16 Plus</v>
          </cell>
        </row>
        <row r="24310">
          <cell r="A24310">
            <v>8074141</v>
          </cell>
          <cell r="B24310">
            <v>111755</v>
          </cell>
          <cell r="C24310" t="str">
            <v>Redcar Community College A Specialist Visual and Performing Arts Centre</v>
          </cell>
          <cell r="D24310" t="str">
            <v>Redcar and Cleveland</v>
          </cell>
          <cell r="E24310" t="str">
            <v>Foundation School</v>
          </cell>
          <cell r="F24310" t="str">
            <v>Secondary</v>
          </cell>
        </row>
        <row r="24311">
          <cell r="A24311">
            <v>9262252</v>
          </cell>
          <cell r="B24311">
            <v>120905</v>
          </cell>
          <cell r="C24311" t="str">
            <v>Redcastle Family School</v>
          </cell>
          <cell r="D24311" t="str">
            <v>Norfolk</v>
          </cell>
          <cell r="E24311" t="str">
            <v>Community School</v>
          </cell>
          <cell r="F24311" t="str">
            <v>Primary</v>
          </cell>
        </row>
        <row r="24312">
          <cell r="A24312">
            <v>8011014</v>
          </cell>
          <cell r="B24312">
            <v>108904</v>
          </cell>
          <cell r="C24312" t="str">
            <v>Redcliffe Early Years Centre</v>
          </cell>
          <cell r="D24312" t="str">
            <v>Bristol City of</v>
          </cell>
          <cell r="E24312" t="str">
            <v>LA Nursery School</v>
          </cell>
          <cell r="F24312" t="str">
            <v>Nursery</v>
          </cell>
        </row>
        <row r="24313">
          <cell r="A24313">
            <v>2076003</v>
          </cell>
          <cell r="B24313">
            <v>100507</v>
          </cell>
          <cell r="C24313" t="str">
            <v>Redcliffe School</v>
          </cell>
          <cell r="D24313" t="str">
            <v>Kensington and Chelsea</v>
          </cell>
          <cell r="E24313" t="str">
            <v>Other Independent School</v>
          </cell>
          <cell r="F24313" t="str">
            <v>Not applicable</v>
          </cell>
        </row>
        <row r="24314">
          <cell r="A24314">
            <v>3446025</v>
          </cell>
          <cell r="B24314">
            <v>105125</v>
          </cell>
          <cell r="C24314" t="str">
            <v>Redcourt - St Anselm's</v>
          </cell>
          <cell r="D24314" t="str">
            <v>Wirral</v>
          </cell>
          <cell r="E24314" t="str">
            <v>Other Independent School</v>
          </cell>
          <cell r="F24314" t="str">
            <v>Not applicable</v>
          </cell>
        </row>
        <row r="24315">
          <cell r="A24315">
            <v>3332141</v>
          </cell>
          <cell r="B24315">
            <v>103954</v>
          </cell>
          <cell r="C24315" t="str">
            <v>Reddal Hill Primary School</v>
          </cell>
          <cell r="D24315" t="str">
            <v>Sandwell</v>
          </cell>
          <cell r="E24315" t="str">
            <v>Community School</v>
          </cell>
          <cell r="F24315" t="str">
            <v>Primary</v>
          </cell>
        </row>
        <row r="24316">
          <cell r="A24316">
            <v>3114001</v>
          </cell>
          <cell r="B24316">
            <v>102338</v>
          </cell>
          <cell r="C24316" t="str">
            <v>Redden Court School</v>
          </cell>
          <cell r="D24316" t="str">
            <v>Havering</v>
          </cell>
          <cell r="E24316" t="str">
            <v>Community School</v>
          </cell>
          <cell r="F24316" t="str">
            <v>Secondary</v>
          </cell>
        </row>
        <row r="24317">
          <cell r="A24317">
            <v>3114001</v>
          </cell>
          <cell r="B24317">
            <v>137396</v>
          </cell>
          <cell r="C24317" t="str">
            <v>Redden Court School</v>
          </cell>
          <cell r="D24317" t="str">
            <v>Havering</v>
          </cell>
          <cell r="E24317" t="str">
            <v>Academy Converters</v>
          </cell>
          <cell r="F24317" t="str">
            <v>Secondary</v>
          </cell>
        </row>
        <row r="24318">
          <cell r="A24318">
            <v>3106063</v>
          </cell>
          <cell r="B24318">
            <v>102253</v>
          </cell>
          <cell r="C24318" t="str">
            <v>Reddiford School</v>
          </cell>
          <cell r="D24318" t="str">
            <v>Harrow</v>
          </cell>
          <cell r="E24318" t="str">
            <v>Other Independent School</v>
          </cell>
          <cell r="F24318" t="str">
            <v>Not applicable</v>
          </cell>
        </row>
        <row r="24319">
          <cell r="A24319">
            <v>3561005</v>
          </cell>
          <cell r="B24319">
            <v>106018</v>
          </cell>
          <cell r="C24319" t="str">
            <v>Reddish Vale Early Years Centre</v>
          </cell>
          <cell r="D24319" t="str">
            <v>Stockport</v>
          </cell>
          <cell r="E24319" t="str">
            <v>LA Nursery School</v>
          </cell>
          <cell r="F24319" t="str">
            <v>Nursery</v>
          </cell>
        </row>
        <row r="24320">
          <cell r="A24320">
            <v>3564033</v>
          </cell>
          <cell r="B24320">
            <v>106134</v>
          </cell>
          <cell r="C24320" t="str">
            <v>Reddish Vale Technology College</v>
          </cell>
          <cell r="D24320" t="str">
            <v>Stockport</v>
          </cell>
          <cell r="E24320" t="str">
            <v>Foundation School</v>
          </cell>
          <cell r="F24320" t="str">
            <v>Secondary</v>
          </cell>
        </row>
        <row r="24321">
          <cell r="A24321">
            <v>8852126</v>
          </cell>
          <cell r="B24321">
            <v>116719</v>
          </cell>
          <cell r="C24321" t="str">
            <v>Redditch, Arrowcrest First School</v>
          </cell>
          <cell r="D24321" t="str">
            <v>Worcestershire</v>
          </cell>
          <cell r="E24321" t="str">
            <v>Community School</v>
          </cell>
          <cell r="F24321" t="str">
            <v>Primary</v>
          </cell>
        </row>
        <row r="24322">
          <cell r="A24322">
            <v>8854033</v>
          </cell>
          <cell r="B24322">
            <v>116945</v>
          </cell>
          <cell r="C24322" t="str">
            <v>Redditch, Bridley Moor High School</v>
          </cell>
          <cell r="D24322" t="str">
            <v>Worcestershire</v>
          </cell>
          <cell r="E24322" t="str">
            <v>Community School</v>
          </cell>
          <cell r="F24322" t="str">
            <v>Secondary</v>
          </cell>
        </row>
        <row r="24323">
          <cell r="A24323">
            <v>8852129</v>
          </cell>
          <cell r="B24323">
            <v>116722</v>
          </cell>
          <cell r="C24323" t="str">
            <v>Redditch, Claybrook First School</v>
          </cell>
          <cell r="D24323" t="str">
            <v>Worcestershire</v>
          </cell>
          <cell r="E24323" t="str">
            <v>Community School</v>
          </cell>
          <cell r="F24323" t="str">
            <v>Primary</v>
          </cell>
        </row>
        <row r="24324">
          <cell r="A24324">
            <v>8854419</v>
          </cell>
          <cell r="B24324">
            <v>116968</v>
          </cell>
          <cell r="C24324" t="str">
            <v>Redditch, Dingleside Middle School</v>
          </cell>
          <cell r="D24324" t="str">
            <v>Worcestershire</v>
          </cell>
          <cell r="E24324" t="str">
            <v>Community School</v>
          </cell>
          <cell r="F24324" t="str">
            <v>Middle Deemed Secondary</v>
          </cell>
        </row>
        <row r="24325">
          <cell r="A24325">
            <v>8852133</v>
          </cell>
          <cell r="B24325">
            <v>116726</v>
          </cell>
          <cell r="C24325" t="str">
            <v>Redditch, Icknield First School</v>
          </cell>
          <cell r="D24325" t="str">
            <v>Worcestershire</v>
          </cell>
          <cell r="E24325" t="str">
            <v>Community School</v>
          </cell>
          <cell r="F24325" t="str">
            <v>Primary</v>
          </cell>
        </row>
        <row r="24326">
          <cell r="A24326">
            <v>8852132</v>
          </cell>
          <cell r="B24326">
            <v>116725</v>
          </cell>
          <cell r="C24326" t="str">
            <v>Redditch, Ipsley First School</v>
          </cell>
          <cell r="D24326" t="str">
            <v>Worcestershire</v>
          </cell>
          <cell r="E24326" t="str">
            <v>Community School</v>
          </cell>
          <cell r="F24326" t="str">
            <v>Primary</v>
          </cell>
        </row>
        <row r="24327">
          <cell r="A24327">
            <v>8854420</v>
          </cell>
          <cell r="B24327">
            <v>116969</v>
          </cell>
          <cell r="C24327" t="str">
            <v>Redditch, Lodge Farm Middle School</v>
          </cell>
          <cell r="D24327" t="str">
            <v>Worcestershire</v>
          </cell>
          <cell r="E24327" t="str">
            <v>Community School</v>
          </cell>
          <cell r="F24327" t="str">
            <v>Middle Deemed Secondary</v>
          </cell>
        </row>
        <row r="24328">
          <cell r="A24328">
            <v>8852190</v>
          </cell>
          <cell r="B24328">
            <v>116764</v>
          </cell>
          <cell r="C24328" t="str">
            <v>Redditch, Marlfield Farm First School</v>
          </cell>
          <cell r="D24328" t="str">
            <v>Worcestershire</v>
          </cell>
          <cell r="E24328" t="str">
            <v>Community School</v>
          </cell>
          <cell r="F24328" t="str">
            <v>Primary</v>
          </cell>
        </row>
        <row r="24329">
          <cell r="A24329">
            <v>8854421</v>
          </cell>
          <cell r="B24329">
            <v>116970</v>
          </cell>
          <cell r="C24329" t="str">
            <v>Redditch, Moatfield Middle School</v>
          </cell>
          <cell r="D24329" t="str">
            <v>Worcestershire</v>
          </cell>
          <cell r="E24329" t="str">
            <v>Community School</v>
          </cell>
          <cell r="F24329" t="str">
            <v>Middle Deemed Secondary</v>
          </cell>
        </row>
        <row r="24330">
          <cell r="A24330">
            <v>8852194</v>
          </cell>
          <cell r="B24330">
            <v>116767</v>
          </cell>
          <cell r="C24330" t="str">
            <v>Redditch, Ravens Bank First School</v>
          </cell>
          <cell r="D24330" t="str">
            <v>Worcestershire</v>
          </cell>
          <cell r="E24330" t="str">
            <v>Community School</v>
          </cell>
          <cell r="F24330" t="str">
            <v>Primary</v>
          </cell>
        </row>
        <row r="24331">
          <cell r="A24331">
            <v>8853373</v>
          </cell>
          <cell r="B24331">
            <v>116912</v>
          </cell>
          <cell r="C24331" t="str">
            <v>Redditch, St John Fisher Catholic First School</v>
          </cell>
          <cell r="D24331" t="str">
            <v>Worcestershire</v>
          </cell>
          <cell r="E24331" t="str">
            <v>Voluntary Aided School</v>
          </cell>
          <cell r="F24331" t="str">
            <v>Primary</v>
          </cell>
        </row>
        <row r="24332">
          <cell r="A24332">
            <v>8854581</v>
          </cell>
          <cell r="B24332">
            <v>116989</v>
          </cell>
          <cell r="C24332" t="str">
            <v>Redditch, St Peter's CofE Middle School</v>
          </cell>
          <cell r="D24332" t="str">
            <v>Worcestershire</v>
          </cell>
          <cell r="E24332" t="str">
            <v>Voluntary Controlled School</v>
          </cell>
          <cell r="F24332" t="str">
            <v>Middle Deemed Secondary</v>
          </cell>
        </row>
        <row r="24333">
          <cell r="A24333">
            <v>8854578</v>
          </cell>
          <cell r="B24333">
            <v>116986</v>
          </cell>
          <cell r="C24333" t="str">
            <v>Redditch, St Stephen's CofE Middle School</v>
          </cell>
          <cell r="D24333" t="str">
            <v>Worcestershire</v>
          </cell>
          <cell r="E24333" t="str">
            <v>Voluntary Controlled School</v>
          </cell>
          <cell r="F24333" t="str">
            <v>Middle Deemed Secondary</v>
          </cell>
        </row>
        <row r="24334">
          <cell r="A24334">
            <v>8854035</v>
          </cell>
          <cell r="B24334">
            <v>116947</v>
          </cell>
          <cell r="C24334" t="str">
            <v>Redditch, the Abbey High School</v>
          </cell>
          <cell r="D24334" t="str">
            <v>Worcestershire</v>
          </cell>
          <cell r="E24334" t="str">
            <v>Community School</v>
          </cell>
          <cell r="F24334" t="str">
            <v>Secondary</v>
          </cell>
        </row>
        <row r="24335">
          <cell r="A24335">
            <v>8854036</v>
          </cell>
          <cell r="B24335">
            <v>116948</v>
          </cell>
          <cell r="C24335" t="str">
            <v>Redditch, the Leys High School</v>
          </cell>
          <cell r="D24335" t="str">
            <v>Worcestershire</v>
          </cell>
          <cell r="E24335" t="str">
            <v>Community School</v>
          </cell>
          <cell r="F24335" t="str">
            <v>Secondary</v>
          </cell>
        </row>
        <row r="24336">
          <cell r="A24336">
            <v>9224201</v>
          </cell>
          <cell r="B24336">
            <v>129430</v>
          </cell>
          <cell r="C24336" t="str">
            <v>Rede School</v>
          </cell>
          <cell r="D24336" t="str">
            <v>Pre LGR (1998) Kent</v>
          </cell>
          <cell r="E24336" t="str">
            <v>Community School</v>
          </cell>
          <cell r="F24336" t="str">
            <v>Secondary</v>
          </cell>
        </row>
        <row r="24337">
          <cell r="A24337">
            <v>9366537</v>
          </cell>
          <cell r="B24337">
            <v>125426</v>
          </cell>
          <cell r="C24337" t="str">
            <v>Redehall Preparatory School</v>
          </cell>
          <cell r="D24337" t="str">
            <v>Surrey</v>
          </cell>
          <cell r="E24337" t="str">
            <v>Other Independent School</v>
          </cell>
          <cell r="F24337" t="str">
            <v>Not applicable</v>
          </cell>
        </row>
        <row r="24338">
          <cell r="A24338">
            <v>9196242</v>
          </cell>
          <cell r="B24338">
            <v>133738</v>
          </cell>
          <cell r="C24338" t="str">
            <v>Redemption Academy</v>
          </cell>
          <cell r="D24338" t="str">
            <v>Hertfordshire</v>
          </cell>
          <cell r="E24338" t="str">
            <v>Other Independent School</v>
          </cell>
          <cell r="F24338" t="str">
            <v>Not applicable</v>
          </cell>
        </row>
        <row r="24339">
          <cell r="A24339">
            <v>3922072</v>
          </cell>
          <cell r="B24339">
            <v>108599</v>
          </cell>
          <cell r="C24339" t="str">
            <v>Redesdale Primary School</v>
          </cell>
          <cell r="D24339" t="str">
            <v>North Tyneside</v>
          </cell>
          <cell r="E24339" t="str">
            <v>Foundation School</v>
          </cell>
          <cell r="F24339" t="str">
            <v>Primary</v>
          </cell>
        </row>
        <row r="24340">
          <cell r="A24340">
            <v>3914495</v>
          </cell>
          <cell r="B24340">
            <v>128134</v>
          </cell>
          <cell r="C24340" t="str">
            <v>Redewood School</v>
          </cell>
          <cell r="D24340" t="str">
            <v>Newcastle upon Tyne</v>
          </cell>
          <cell r="E24340" t="str">
            <v>Community School</v>
          </cell>
          <cell r="F24340" t="str">
            <v>Secondary</v>
          </cell>
        </row>
        <row r="24341">
          <cell r="A24341">
            <v>8032168</v>
          </cell>
          <cell r="B24341">
            <v>109011</v>
          </cell>
          <cell r="C24341" t="str">
            <v>Redfield Edge Primary School</v>
          </cell>
          <cell r="D24341" t="str">
            <v>South Gloucestershire</v>
          </cell>
          <cell r="E24341" t="str">
            <v>Community School</v>
          </cell>
          <cell r="F24341" t="str">
            <v>Primary</v>
          </cell>
        </row>
        <row r="24342">
          <cell r="A24342">
            <v>9265200</v>
          </cell>
          <cell r="B24342">
            <v>121190</v>
          </cell>
          <cell r="C24342" t="str">
            <v>Redgate Junior School</v>
          </cell>
          <cell r="D24342" t="str">
            <v>Norfolk</v>
          </cell>
          <cell r="E24342" t="str">
            <v>Foundation School</v>
          </cell>
          <cell r="F24342" t="str">
            <v>Primary</v>
          </cell>
        </row>
        <row r="24343">
          <cell r="A24343">
            <v>3432086</v>
          </cell>
          <cell r="B24343">
            <v>104885</v>
          </cell>
          <cell r="C24343" t="str">
            <v>Redgate Primary School</v>
          </cell>
          <cell r="D24343" t="str">
            <v>Sefton</v>
          </cell>
          <cell r="E24343" t="str">
            <v>Community School</v>
          </cell>
          <cell r="F24343" t="str">
            <v>Primary</v>
          </cell>
        </row>
        <row r="24344">
          <cell r="A24344">
            <v>8917014</v>
          </cell>
          <cell r="B24344">
            <v>122950</v>
          </cell>
          <cell r="C24344" t="str">
            <v>Redgate School</v>
          </cell>
          <cell r="D24344" t="str">
            <v>Nottinghamshire</v>
          </cell>
          <cell r="E24344" t="str">
            <v>Community Special School</v>
          </cell>
          <cell r="F24344" t="str">
            <v>Special</v>
          </cell>
        </row>
        <row r="24345">
          <cell r="A24345">
            <v>9353100</v>
          </cell>
          <cell r="B24345">
            <v>129918</v>
          </cell>
          <cell r="C24345" t="str">
            <v>Redgrave and Botesdale Primary School</v>
          </cell>
          <cell r="D24345" t="str">
            <v>Suffolk</v>
          </cell>
          <cell r="E24345" t="str">
            <v>Voluntary Controlled School</v>
          </cell>
          <cell r="F24345" t="str">
            <v>Primary</v>
          </cell>
        </row>
        <row r="24346">
          <cell r="A24346">
            <v>8857021</v>
          </cell>
          <cell r="B24346">
            <v>131491</v>
          </cell>
          <cell r="C24346" t="str">
            <v>Redgrove School</v>
          </cell>
          <cell r="D24346" t="str">
            <v>Worcestershire</v>
          </cell>
          <cell r="E24346" t="str">
            <v>Community Special School</v>
          </cell>
          <cell r="F24346" t="str">
            <v>Special</v>
          </cell>
        </row>
        <row r="24347">
          <cell r="A24347">
            <v>8914084</v>
          </cell>
          <cell r="B24347">
            <v>136361</v>
          </cell>
          <cell r="C24347" t="str">
            <v>Redhill Academy</v>
          </cell>
          <cell r="D24347" t="str">
            <v>Nottinghamshire</v>
          </cell>
          <cell r="E24347" t="str">
            <v>Academy Converters</v>
          </cell>
          <cell r="F24347" t="str">
            <v>Secondary</v>
          </cell>
        </row>
        <row r="24348">
          <cell r="A24348">
            <v>8305206</v>
          </cell>
          <cell r="B24348">
            <v>112980</v>
          </cell>
          <cell r="C24348" t="str">
            <v>Redhill Foundation Primary School</v>
          </cell>
          <cell r="D24348" t="str">
            <v>Derbyshire</v>
          </cell>
          <cell r="E24348" t="str">
            <v>Foundation School</v>
          </cell>
          <cell r="F24348" t="str">
            <v>Primary</v>
          </cell>
        </row>
        <row r="24349">
          <cell r="A24349">
            <v>9342186</v>
          </cell>
          <cell r="B24349">
            <v>129879</v>
          </cell>
          <cell r="C24349" t="str">
            <v>Redhill Infant School</v>
          </cell>
          <cell r="D24349" t="str">
            <v>Pre LGR (1997) Staffordshire</v>
          </cell>
          <cell r="E24349" t="str">
            <v>Community School</v>
          </cell>
          <cell r="F24349" t="str">
            <v>Primary</v>
          </cell>
        </row>
        <row r="24350">
          <cell r="A24350">
            <v>3302159</v>
          </cell>
          <cell r="B24350">
            <v>103247</v>
          </cell>
          <cell r="C24350" t="str">
            <v>Redhill Junior and Infant School</v>
          </cell>
          <cell r="D24350" t="str">
            <v>Birmingham</v>
          </cell>
          <cell r="E24350" t="str">
            <v>Community School</v>
          </cell>
          <cell r="F24350" t="str">
            <v>Primary</v>
          </cell>
        </row>
        <row r="24351">
          <cell r="A24351">
            <v>6686015</v>
          </cell>
          <cell r="B24351">
            <v>401991</v>
          </cell>
          <cell r="C24351" t="str">
            <v>Redhill Preparatory School</v>
          </cell>
          <cell r="D24351" t="str">
            <v>Pembrokeshire</v>
          </cell>
          <cell r="E24351" t="str">
            <v>Welsh Establishment</v>
          </cell>
          <cell r="F24351" t="str">
            <v>Not applicable</v>
          </cell>
        </row>
        <row r="24352">
          <cell r="A24352">
            <v>8602185</v>
          </cell>
          <cell r="B24352">
            <v>124073</v>
          </cell>
          <cell r="C24352" t="str">
            <v>Redhill Primary School</v>
          </cell>
          <cell r="D24352" t="str">
            <v>Staffordshire</v>
          </cell>
          <cell r="E24352" t="str">
            <v>Community School</v>
          </cell>
          <cell r="F24352" t="str">
            <v>Primary</v>
          </cell>
        </row>
        <row r="24353">
          <cell r="A24353">
            <v>8942201</v>
          </cell>
          <cell r="B24353">
            <v>131394</v>
          </cell>
          <cell r="C24353" t="str">
            <v>Redhill Primary School</v>
          </cell>
          <cell r="D24353" t="str">
            <v>Telford and Wrekin</v>
          </cell>
          <cell r="E24353" t="str">
            <v>Community School</v>
          </cell>
          <cell r="F24353" t="str">
            <v>Primary</v>
          </cell>
        </row>
        <row r="24354">
          <cell r="A24354">
            <v>8914084</v>
          </cell>
          <cell r="B24354">
            <v>122846</v>
          </cell>
          <cell r="C24354" t="str">
            <v>Redhill School</v>
          </cell>
          <cell r="D24354" t="str">
            <v>Nottinghamshire</v>
          </cell>
          <cell r="E24354" t="str">
            <v>Foundation School</v>
          </cell>
          <cell r="F24354" t="str">
            <v>Secondary</v>
          </cell>
        </row>
        <row r="24355">
          <cell r="A24355">
            <v>3324119</v>
          </cell>
          <cell r="B24355">
            <v>103865</v>
          </cell>
          <cell r="C24355" t="str">
            <v>Redhill School and Specialist Language College</v>
          </cell>
          <cell r="D24355" t="str">
            <v>Dudley</v>
          </cell>
          <cell r="E24355" t="str">
            <v>Foundation School</v>
          </cell>
          <cell r="F24355" t="str">
            <v>Secondary</v>
          </cell>
        </row>
        <row r="24356">
          <cell r="A24356">
            <v>8782031</v>
          </cell>
          <cell r="B24356">
            <v>113084</v>
          </cell>
          <cell r="C24356" t="str">
            <v>Redhills Community Primary School</v>
          </cell>
          <cell r="D24356" t="str">
            <v>Devon</v>
          </cell>
          <cell r="E24356" t="str">
            <v>Community School</v>
          </cell>
          <cell r="F24356" t="str">
            <v>Primary</v>
          </cell>
        </row>
        <row r="24357">
          <cell r="A24357">
            <v>3352232</v>
          </cell>
          <cell r="B24357">
            <v>104209</v>
          </cell>
          <cell r="C24357" t="str">
            <v>Redhouse Primary School</v>
          </cell>
          <cell r="D24357" t="str">
            <v>Walsall</v>
          </cell>
          <cell r="E24357" t="str">
            <v>Community School</v>
          </cell>
          <cell r="F24357" t="str">
            <v>Primary</v>
          </cell>
        </row>
        <row r="24358">
          <cell r="A24358">
            <v>9012113</v>
          </cell>
          <cell r="B24358">
            <v>128221</v>
          </cell>
          <cell r="C24358" t="str">
            <v>Redhouse Primary School</v>
          </cell>
          <cell r="D24358" t="str">
            <v>Pre LGR (1996) Avon</v>
          </cell>
          <cell r="E24358" t="str">
            <v>Community School</v>
          </cell>
          <cell r="F24358" t="str">
            <v>Primary</v>
          </cell>
        </row>
        <row r="24359">
          <cell r="A24359">
            <v>8709900</v>
          </cell>
          <cell r="B24359">
            <v>134337</v>
          </cell>
          <cell r="C24359" t="str">
            <v>Redland Education Centre</v>
          </cell>
          <cell r="D24359" t="str">
            <v>Reading</v>
          </cell>
          <cell r="E24359" t="str">
            <v>Miscellaneous</v>
          </cell>
          <cell r="F24359" t="str">
            <v>Not applicable</v>
          </cell>
        </row>
        <row r="24360">
          <cell r="A24360">
            <v>8014627</v>
          </cell>
          <cell r="B24360">
            <v>130914</v>
          </cell>
          <cell r="C24360" t="str">
            <v>Redland Green</v>
          </cell>
          <cell r="D24360" t="str">
            <v>Bristol City of</v>
          </cell>
          <cell r="E24360" t="str">
            <v>Community School</v>
          </cell>
          <cell r="F24360" t="str">
            <v>Secondary</v>
          </cell>
        </row>
        <row r="24361">
          <cell r="A24361">
            <v>8014802</v>
          </cell>
          <cell r="B24361">
            <v>130916</v>
          </cell>
          <cell r="C24361" t="str">
            <v>Redland Green 16-19</v>
          </cell>
          <cell r="D24361" t="str">
            <v>Bristol City of</v>
          </cell>
          <cell r="E24361" t="str">
            <v>Community School</v>
          </cell>
          <cell r="F24361" t="str">
            <v>16 Plus</v>
          </cell>
        </row>
        <row r="24362">
          <cell r="A24362">
            <v>9016129</v>
          </cell>
          <cell r="B24362">
            <v>128246</v>
          </cell>
          <cell r="C24362" t="str">
            <v>Redland High Junior School</v>
          </cell>
          <cell r="D24362" t="str">
            <v>Pre LGR (1996) Avon</v>
          </cell>
          <cell r="E24362" t="str">
            <v>Other Independent School</v>
          </cell>
          <cell r="F24362" t="str">
            <v>Not applicable</v>
          </cell>
        </row>
        <row r="24363">
          <cell r="A24363">
            <v>8016016</v>
          </cell>
          <cell r="B24363">
            <v>109372</v>
          </cell>
          <cell r="C24363" t="str">
            <v>Redland High School for Girls</v>
          </cell>
          <cell r="D24363" t="str">
            <v>Bristol City of</v>
          </cell>
          <cell r="E24363" t="str">
            <v>Other Independent School</v>
          </cell>
          <cell r="F24363" t="str">
            <v>Not applicable</v>
          </cell>
        </row>
        <row r="24364">
          <cell r="A24364">
            <v>8652180</v>
          </cell>
          <cell r="B24364">
            <v>126260</v>
          </cell>
          <cell r="C24364" t="str">
            <v>Redland Primary School</v>
          </cell>
          <cell r="D24364" t="str">
            <v>Wiltshire</v>
          </cell>
          <cell r="E24364" t="str">
            <v>Community School</v>
          </cell>
          <cell r="F24364" t="str">
            <v>Primary</v>
          </cell>
        </row>
        <row r="24365">
          <cell r="A24365">
            <v>8706012</v>
          </cell>
          <cell r="B24365">
            <v>134500</v>
          </cell>
          <cell r="C24365" t="str">
            <v>Redlands Education Centre</v>
          </cell>
          <cell r="D24365" t="str">
            <v>Reading</v>
          </cell>
          <cell r="E24365" t="str">
            <v>Other Independent School</v>
          </cell>
          <cell r="F24365" t="str">
            <v>Not applicable</v>
          </cell>
        </row>
        <row r="24366">
          <cell r="A24366">
            <v>8912611</v>
          </cell>
          <cell r="B24366">
            <v>122603</v>
          </cell>
          <cell r="C24366" t="str">
            <v>Redlands Primary and Nursery School</v>
          </cell>
          <cell r="D24366" t="str">
            <v>Nottinghamshire</v>
          </cell>
          <cell r="E24366" t="str">
            <v>Community School</v>
          </cell>
          <cell r="F24366" t="str">
            <v>Primary</v>
          </cell>
        </row>
        <row r="24367">
          <cell r="A24367">
            <v>2112499</v>
          </cell>
          <cell r="B24367">
            <v>100917</v>
          </cell>
          <cell r="C24367" t="str">
            <v>Redlands Primary School</v>
          </cell>
          <cell r="D24367" t="str">
            <v>Tower Hamlets</v>
          </cell>
          <cell r="E24367" t="str">
            <v>Community School</v>
          </cell>
          <cell r="F24367" t="str">
            <v>Primary</v>
          </cell>
        </row>
        <row r="24368">
          <cell r="A24368">
            <v>8702018</v>
          </cell>
          <cell r="B24368">
            <v>109787</v>
          </cell>
          <cell r="C24368" t="str">
            <v>Redlands Primary School</v>
          </cell>
          <cell r="D24368" t="str">
            <v>Reading</v>
          </cell>
          <cell r="E24368" t="str">
            <v>Community School</v>
          </cell>
          <cell r="F24368" t="str">
            <v>Primary</v>
          </cell>
        </row>
        <row r="24369">
          <cell r="A24369">
            <v>8502074</v>
          </cell>
          <cell r="B24369">
            <v>115892</v>
          </cell>
          <cell r="C24369" t="str">
            <v>Redlands Primary School</v>
          </cell>
          <cell r="D24369" t="str">
            <v>Hampshire</v>
          </cell>
          <cell r="E24369" t="str">
            <v>Community School</v>
          </cell>
          <cell r="F24369" t="str">
            <v>Primary</v>
          </cell>
        </row>
        <row r="24370">
          <cell r="A24370">
            <v>8653378</v>
          </cell>
          <cell r="B24370">
            <v>126408</v>
          </cell>
          <cell r="C24370" t="str">
            <v>Redlynch Church of England Voluntary Aided Primary School</v>
          </cell>
          <cell r="D24370" t="str">
            <v>Wiltshire</v>
          </cell>
          <cell r="E24370" t="str">
            <v>Voluntary Aided School</v>
          </cell>
          <cell r="F24370" t="str">
            <v>Primary</v>
          </cell>
        </row>
        <row r="24371">
          <cell r="A24371">
            <v>9163064</v>
          </cell>
          <cell r="B24371">
            <v>115646</v>
          </cell>
          <cell r="C24371" t="str">
            <v>Redmarley Church of England Primary School</v>
          </cell>
          <cell r="D24371" t="str">
            <v>Gloucestershire</v>
          </cell>
          <cell r="E24371" t="str">
            <v>Voluntary Controlled School</v>
          </cell>
          <cell r="F24371" t="str">
            <v>Primary</v>
          </cell>
        </row>
        <row r="24372">
          <cell r="A24372">
            <v>9163064</v>
          </cell>
          <cell r="B24372">
            <v>137132</v>
          </cell>
          <cell r="C24372" t="str">
            <v>Redmarley Church of England Primary School</v>
          </cell>
          <cell r="D24372" t="str">
            <v>Gloucestershire</v>
          </cell>
          <cell r="E24372" t="str">
            <v>Academy Converters</v>
          </cell>
          <cell r="F24372" t="str">
            <v>Primary</v>
          </cell>
        </row>
        <row r="24373">
          <cell r="A24373">
            <v>8553072</v>
          </cell>
          <cell r="B24373">
            <v>120154</v>
          </cell>
          <cell r="C24373" t="str">
            <v>Redmile Church of England Primary School</v>
          </cell>
          <cell r="D24373" t="str">
            <v>Leicestershire</v>
          </cell>
          <cell r="E24373" t="str">
            <v>Voluntary Controlled School</v>
          </cell>
          <cell r="F24373" t="str">
            <v>Primary</v>
          </cell>
        </row>
        <row r="24374">
          <cell r="A24374">
            <v>8554053</v>
          </cell>
          <cell r="B24374">
            <v>120271</v>
          </cell>
          <cell r="C24374" t="str">
            <v>Redmoor High School</v>
          </cell>
          <cell r="D24374" t="str">
            <v>Leicestershire</v>
          </cell>
          <cell r="E24374" t="str">
            <v>Community School</v>
          </cell>
          <cell r="F24374" t="str">
            <v>Secondary</v>
          </cell>
        </row>
        <row r="24375">
          <cell r="A24375">
            <v>3302161</v>
          </cell>
          <cell r="B24375">
            <v>103249</v>
          </cell>
          <cell r="C24375" t="str">
            <v>Rednal Hill Infant School</v>
          </cell>
          <cell r="D24375" t="str">
            <v>Birmingham</v>
          </cell>
          <cell r="E24375" t="str">
            <v>Community School</v>
          </cell>
          <cell r="F24375" t="str">
            <v>Primary</v>
          </cell>
        </row>
        <row r="24376">
          <cell r="A24376">
            <v>3302160</v>
          </cell>
          <cell r="B24376">
            <v>103248</v>
          </cell>
          <cell r="C24376" t="str">
            <v>Rednal Hill Junior School</v>
          </cell>
          <cell r="D24376" t="str">
            <v>Birmingham</v>
          </cell>
          <cell r="E24376" t="str">
            <v>Community School</v>
          </cell>
          <cell r="F24376" t="str">
            <v>Primary</v>
          </cell>
        </row>
        <row r="24377">
          <cell r="A24377">
            <v>9165407</v>
          </cell>
          <cell r="B24377">
            <v>115758</v>
          </cell>
          <cell r="C24377" t="str">
            <v>Rednock School</v>
          </cell>
          <cell r="D24377" t="str">
            <v>Gloucestershire</v>
          </cell>
          <cell r="E24377" t="str">
            <v>Foundation School</v>
          </cell>
          <cell r="F24377" t="str">
            <v>Secondary</v>
          </cell>
        </row>
        <row r="24378">
          <cell r="A24378">
            <v>2102500</v>
          </cell>
          <cell r="B24378">
            <v>100807</v>
          </cell>
          <cell r="C24378" t="str">
            <v>Redriff Primary School</v>
          </cell>
          <cell r="D24378" t="str">
            <v>Southwark</v>
          </cell>
          <cell r="E24378" t="str">
            <v>Community School</v>
          </cell>
          <cell r="F24378" t="str">
            <v>Primary</v>
          </cell>
        </row>
        <row r="24379">
          <cell r="A24379">
            <v>2102500</v>
          </cell>
          <cell r="B24379">
            <v>137648</v>
          </cell>
          <cell r="C24379" t="str">
            <v>Redriff Primary School</v>
          </cell>
          <cell r="D24379" t="str">
            <v>Southwark</v>
          </cell>
          <cell r="E24379" t="str">
            <v>Academy Converters</v>
          </cell>
          <cell r="F24379" t="str">
            <v>Primary</v>
          </cell>
        </row>
        <row r="24380">
          <cell r="A24380">
            <v>8686018</v>
          </cell>
          <cell r="B24380">
            <v>110167</v>
          </cell>
          <cell r="C24380" t="str">
            <v>Redroofs Theatre School</v>
          </cell>
          <cell r="D24380" t="str">
            <v>Windsor and Maidenhead</v>
          </cell>
          <cell r="E24380" t="str">
            <v>Other Independent School</v>
          </cell>
          <cell r="F24380" t="str">
            <v>Not applicable</v>
          </cell>
        </row>
        <row r="24381">
          <cell r="A24381">
            <v>9084159</v>
          </cell>
          <cell r="B24381">
            <v>112054</v>
          </cell>
          <cell r="C24381" t="str">
            <v>Redruth School: A Technology College</v>
          </cell>
          <cell r="D24381" t="str">
            <v>Cornwall</v>
          </cell>
          <cell r="E24381" t="str">
            <v>Community School</v>
          </cell>
          <cell r="F24381" t="str">
            <v>Secondary</v>
          </cell>
        </row>
        <row r="24382">
          <cell r="A24382">
            <v>3722020</v>
          </cell>
          <cell r="B24382">
            <v>106843</v>
          </cell>
          <cell r="C24382" t="str">
            <v>Redscope Junior School</v>
          </cell>
          <cell r="D24382" t="str">
            <v>Rotherham</v>
          </cell>
          <cell r="E24382" t="str">
            <v>Community School</v>
          </cell>
          <cell r="F24382" t="str">
            <v>Primary</v>
          </cell>
        </row>
        <row r="24383">
          <cell r="A24383">
            <v>3722021</v>
          </cell>
          <cell r="B24383">
            <v>106844</v>
          </cell>
          <cell r="C24383" t="str">
            <v>Redscope Primary School</v>
          </cell>
          <cell r="D24383" t="str">
            <v>Rotherham</v>
          </cell>
          <cell r="E24383" t="str">
            <v>Community School</v>
          </cell>
          <cell r="F24383" t="str">
            <v>Primary</v>
          </cell>
        </row>
        <row r="24384">
          <cell r="A24384">
            <v>3306009</v>
          </cell>
          <cell r="B24384">
            <v>137560</v>
          </cell>
          <cell r="C24384" t="str">
            <v>Redstone Educational Academy</v>
          </cell>
          <cell r="D24384" t="str">
            <v>Birmingham</v>
          </cell>
          <cell r="E24384" t="str">
            <v>Other Independent School</v>
          </cell>
          <cell r="F24384" t="str">
            <v>Not applicable</v>
          </cell>
        </row>
        <row r="24385">
          <cell r="A24385">
            <v>341940</v>
          </cell>
          <cell r="B24385">
            <v>132703</v>
          </cell>
          <cell r="C24385" t="str">
            <v>Reduc@Te</v>
          </cell>
          <cell r="D24385" t="str">
            <v>Liverpool</v>
          </cell>
          <cell r="E24385" t="str">
            <v>Playing for Success Centres</v>
          </cell>
          <cell r="F24385" t="str">
            <v>Not applicable</v>
          </cell>
        </row>
        <row r="24386">
          <cell r="A24386">
            <v>8871106</v>
          </cell>
          <cell r="B24386">
            <v>118236</v>
          </cell>
          <cell r="C24386" t="str">
            <v>Redvers Centre</v>
          </cell>
          <cell r="D24386" t="str">
            <v>Medway</v>
          </cell>
          <cell r="E24386" t="str">
            <v>Pupil Referral Unit</v>
          </cell>
          <cell r="F24386" t="str">
            <v>PRU</v>
          </cell>
        </row>
        <row r="24387">
          <cell r="A24387">
            <v>3934008</v>
          </cell>
          <cell r="B24387">
            <v>128187</v>
          </cell>
          <cell r="C24387" t="str">
            <v>Redwell Comprehensive School</v>
          </cell>
          <cell r="D24387" t="str">
            <v>South Tyneside</v>
          </cell>
          <cell r="E24387" t="str">
            <v>Community School</v>
          </cell>
          <cell r="F24387" t="str">
            <v>Secondary</v>
          </cell>
        </row>
        <row r="24388">
          <cell r="A24388">
            <v>9282215</v>
          </cell>
          <cell r="B24388">
            <v>121949</v>
          </cell>
          <cell r="C24388" t="str">
            <v>Redwell Infant School</v>
          </cell>
          <cell r="D24388" t="str">
            <v>Northamptonshire</v>
          </cell>
          <cell r="E24388" t="str">
            <v>Community School</v>
          </cell>
          <cell r="F24388" t="str">
            <v>Primary</v>
          </cell>
        </row>
        <row r="24389">
          <cell r="A24389">
            <v>9282216</v>
          </cell>
          <cell r="B24389">
            <v>121950</v>
          </cell>
          <cell r="C24389" t="str">
            <v>Redwell Junior School</v>
          </cell>
          <cell r="D24389" t="str">
            <v>Northamptonshire</v>
          </cell>
          <cell r="E24389" t="str">
            <v>Community School</v>
          </cell>
          <cell r="F24389" t="str">
            <v>Primary</v>
          </cell>
        </row>
        <row r="24390">
          <cell r="A24390">
            <v>8033058</v>
          </cell>
          <cell r="B24390">
            <v>109173</v>
          </cell>
          <cell r="C24390" t="str">
            <v>Redwick and Northwick Church of England Primary School</v>
          </cell>
          <cell r="D24390" t="str">
            <v>South Gloucestershire</v>
          </cell>
          <cell r="E24390" t="str">
            <v>Voluntary Controlled School</v>
          </cell>
          <cell r="F24390" t="str">
            <v>Primary</v>
          </cell>
        </row>
        <row r="24391">
          <cell r="A24391">
            <v>3547015</v>
          </cell>
          <cell r="B24391">
            <v>135202</v>
          </cell>
          <cell r="C24391" t="str">
            <v>Redwood</v>
          </cell>
          <cell r="D24391" t="str">
            <v>Rochdale</v>
          </cell>
          <cell r="E24391" t="str">
            <v>Community Special School</v>
          </cell>
          <cell r="F24391" t="str">
            <v>Special</v>
          </cell>
        </row>
        <row r="24392">
          <cell r="A24392">
            <v>3837044</v>
          </cell>
          <cell r="B24392">
            <v>128062</v>
          </cell>
          <cell r="C24392" t="str">
            <v>Redwood Croft School</v>
          </cell>
          <cell r="D24392" t="str">
            <v>Leeds</v>
          </cell>
          <cell r="E24392" t="str">
            <v>Community Special School</v>
          </cell>
          <cell r="F24392" t="str">
            <v>Special</v>
          </cell>
        </row>
        <row r="24393">
          <cell r="A24393">
            <v>8312474</v>
          </cell>
          <cell r="B24393">
            <v>112768</v>
          </cell>
          <cell r="C24393" t="str">
            <v>Redwood Junior School</v>
          </cell>
          <cell r="D24393" t="str">
            <v>Derby</v>
          </cell>
          <cell r="E24393" t="str">
            <v>Community School</v>
          </cell>
          <cell r="F24393" t="str">
            <v>Primary</v>
          </cell>
        </row>
        <row r="24394">
          <cell r="A24394">
            <v>8517046</v>
          </cell>
          <cell r="B24394">
            <v>116628</v>
          </cell>
          <cell r="C24394" t="str">
            <v>Redwood Park School</v>
          </cell>
          <cell r="D24394" t="str">
            <v>Portsmouth</v>
          </cell>
          <cell r="E24394" t="str">
            <v>Community Special School</v>
          </cell>
          <cell r="F24394" t="str">
            <v>Special</v>
          </cell>
        </row>
        <row r="24395">
          <cell r="A24395">
            <v>8312505</v>
          </cell>
          <cell r="B24395">
            <v>112770</v>
          </cell>
          <cell r="C24395" t="str">
            <v>Redwood Primary School</v>
          </cell>
          <cell r="D24395" t="str">
            <v>Derby</v>
          </cell>
          <cell r="E24395" t="str">
            <v>Community School</v>
          </cell>
          <cell r="F24395" t="str">
            <v>Primary</v>
          </cell>
        </row>
        <row r="24396">
          <cell r="A24396">
            <v>8656042</v>
          </cell>
          <cell r="B24396">
            <v>135755</v>
          </cell>
          <cell r="C24396" t="str">
            <v>Redwood Primary School</v>
          </cell>
          <cell r="D24396" t="str">
            <v>Wiltshire</v>
          </cell>
          <cell r="E24396" t="str">
            <v>Other Independent School</v>
          </cell>
          <cell r="F24396" t="str">
            <v>Not applicable</v>
          </cell>
        </row>
        <row r="24397">
          <cell r="A24397">
            <v>9192078</v>
          </cell>
          <cell r="B24397">
            <v>117129</v>
          </cell>
          <cell r="C24397" t="str">
            <v>Reed First School</v>
          </cell>
          <cell r="D24397" t="str">
            <v>Hertfordshire</v>
          </cell>
          <cell r="E24397" t="str">
            <v>Community School</v>
          </cell>
          <cell r="F24397" t="str">
            <v>Primary</v>
          </cell>
        </row>
        <row r="24398">
          <cell r="A24398">
            <v>3066063</v>
          </cell>
          <cell r="B24398">
            <v>101838</v>
          </cell>
          <cell r="C24398" t="str">
            <v>Reedham Park School Limited</v>
          </cell>
          <cell r="D24398" t="str">
            <v>Croydon</v>
          </cell>
          <cell r="E24398" t="str">
            <v>Other Independent School</v>
          </cell>
          <cell r="F24398" t="str">
            <v>Not applicable</v>
          </cell>
        </row>
        <row r="24399">
          <cell r="A24399">
            <v>9262131</v>
          </cell>
          <cell r="B24399">
            <v>120844</v>
          </cell>
          <cell r="C24399" t="str">
            <v>Reedham Primary School</v>
          </cell>
          <cell r="D24399" t="str">
            <v>Norfolk</v>
          </cell>
          <cell r="E24399" t="str">
            <v>Community School</v>
          </cell>
          <cell r="F24399" t="str">
            <v>Primary</v>
          </cell>
        </row>
        <row r="24400">
          <cell r="A24400">
            <v>9192333</v>
          </cell>
          <cell r="B24400">
            <v>117280</v>
          </cell>
          <cell r="C24400" t="str">
            <v>Reedings Junior School</v>
          </cell>
          <cell r="D24400" t="str">
            <v>Hertfordshire</v>
          </cell>
          <cell r="E24400" t="str">
            <v>Community School</v>
          </cell>
          <cell r="F24400" t="str">
            <v>Primary</v>
          </cell>
        </row>
        <row r="24401">
          <cell r="A24401">
            <v>8881050</v>
          </cell>
          <cell r="B24401">
            <v>133060</v>
          </cell>
          <cell r="C24401" t="str">
            <v>Reedley Hallows Nursery School and Childrens Centre</v>
          </cell>
          <cell r="D24401" t="str">
            <v>Lancashire</v>
          </cell>
          <cell r="E24401" t="str">
            <v>LA Nursery School</v>
          </cell>
          <cell r="F24401" t="str">
            <v>Nursery</v>
          </cell>
        </row>
        <row r="24402">
          <cell r="A24402">
            <v>8882646</v>
          </cell>
          <cell r="B24402">
            <v>119320</v>
          </cell>
          <cell r="C24402" t="str">
            <v>Reedley Primary School</v>
          </cell>
          <cell r="D24402" t="str">
            <v>Lancashire</v>
          </cell>
          <cell r="E24402" t="str">
            <v>Community School</v>
          </cell>
          <cell r="F24402" t="str">
            <v>Primary</v>
          </cell>
        </row>
        <row r="24403">
          <cell r="A24403">
            <v>9202791</v>
          </cell>
          <cell r="B24403">
            <v>129244</v>
          </cell>
          <cell r="C24403" t="str">
            <v>Reedness First School</v>
          </cell>
          <cell r="D24403" t="str">
            <v>Pre LGR (1996) Humberside</v>
          </cell>
          <cell r="E24403" t="str">
            <v>Community School</v>
          </cell>
          <cell r="F24403" t="str">
            <v>Primary</v>
          </cell>
        </row>
        <row r="24404">
          <cell r="A24404">
            <v>8112912</v>
          </cell>
          <cell r="B24404">
            <v>117939</v>
          </cell>
          <cell r="C24404" t="str">
            <v>Reedness Primary School</v>
          </cell>
          <cell r="D24404" t="str">
            <v>East Riding of Yorkshire</v>
          </cell>
          <cell r="E24404" t="str">
            <v>Community School</v>
          </cell>
          <cell r="F24404" t="str">
            <v>Primary</v>
          </cell>
        </row>
        <row r="24405">
          <cell r="A24405">
            <v>9366009</v>
          </cell>
          <cell r="B24405">
            <v>125321</v>
          </cell>
          <cell r="C24405" t="str">
            <v>Reeds School</v>
          </cell>
          <cell r="D24405" t="str">
            <v>Surrey</v>
          </cell>
          <cell r="E24405" t="str">
            <v>Other Independent School</v>
          </cell>
          <cell r="F24405" t="str">
            <v>Not applicable</v>
          </cell>
        </row>
        <row r="24406">
          <cell r="A24406">
            <v>9253136</v>
          </cell>
          <cell r="B24406">
            <v>120581</v>
          </cell>
          <cell r="C24406" t="str">
            <v>Reepham Church of England Primary School</v>
          </cell>
          <cell r="D24406" t="str">
            <v>Lincolnshire</v>
          </cell>
          <cell r="E24406" t="str">
            <v>Voluntary Controlled School</v>
          </cell>
          <cell r="F24406" t="str">
            <v>Primary</v>
          </cell>
        </row>
        <row r="24407">
          <cell r="A24407">
            <v>9264042</v>
          </cell>
          <cell r="B24407">
            <v>121161</v>
          </cell>
          <cell r="C24407" t="str">
            <v>Reepham High School and College</v>
          </cell>
          <cell r="D24407" t="str">
            <v>Norfolk</v>
          </cell>
          <cell r="E24407" t="str">
            <v>Community School</v>
          </cell>
          <cell r="F24407" t="str">
            <v>Secondary</v>
          </cell>
        </row>
        <row r="24408">
          <cell r="A24408">
            <v>9262132</v>
          </cell>
          <cell r="B24408">
            <v>120845</v>
          </cell>
          <cell r="C24408" t="str">
            <v>Reepham Primary School</v>
          </cell>
          <cell r="D24408" t="str">
            <v>Norfolk</v>
          </cell>
          <cell r="E24408" t="str">
            <v>Community School</v>
          </cell>
          <cell r="F24408" t="str">
            <v>Primary</v>
          </cell>
        </row>
        <row r="24409">
          <cell r="A24409">
            <v>8737010</v>
          </cell>
          <cell r="B24409">
            <v>110942</v>
          </cell>
          <cell r="C24409" t="str">
            <v>Rees Thomas Special School</v>
          </cell>
          <cell r="D24409" t="str">
            <v>Cambridgeshire</v>
          </cell>
          <cell r="E24409" t="str">
            <v>Community Special School</v>
          </cell>
          <cell r="F24409" t="str">
            <v>Special</v>
          </cell>
        </row>
        <row r="24410">
          <cell r="A24410">
            <v>8152096</v>
          </cell>
          <cell r="B24410">
            <v>121311</v>
          </cell>
          <cell r="C24410" t="str">
            <v>Reeth Community Primary School</v>
          </cell>
          <cell r="D24410" t="str">
            <v>North Yorkshire</v>
          </cell>
          <cell r="E24410" t="str">
            <v>Community School</v>
          </cell>
          <cell r="F24410" t="str">
            <v>Primary</v>
          </cell>
        </row>
        <row r="24411">
          <cell r="A24411">
            <v>9356048</v>
          </cell>
          <cell r="B24411">
            <v>129999</v>
          </cell>
          <cell r="C24411" t="str">
            <v>Reeves Hall School</v>
          </cell>
          <cell r="D24411" t="str">
            <v>Suffolk</v>
          </cell>
          <cell r="E24411" t="str">
            <v>Other Independent School</v>
          </cell>
          <cell r="F24411" t="str">
            <v>Not applicable</v>
          </cell>
        </row>
        <row r="24412">
          <cell r="A24412">
            <v>9359900</v>
          </cell>
          <cell r="B24412">
            <v>132971</v>
          </cell>
          <cell r="C24412" t="str">
            <v>Reeves Hall School</v>
          </cell>
          <cell r="D24412" t="str">
            <v>Suffolk</v>
          </cell>
          <cell r="E24412" t="str">
            <v>Miscellaneous</v>
          </cell>
          <cell r="F24412" t="str">
            <v>Not applicable</v>
          </cell>
        </row>
        <row r="24413">
          <cell r="A24413">
            <v>3802052</v>
          </cell>
          <cell r="B24413">
            <v>107217</v>
          </cell>
          <cell r="C24413" t="str">
            <v>Reevy Hill Primary School</v>
          </cell>
          <cell r="D24413" t="str">
            <v>Bradford</v>
          </cell>
          <cell r="E24413" t="str">
            <v>Community School</v>
          </cell>
          <cell r="F24413" t="str">
            <v>Primary</v>
          </cell>
        </row>
        <row r="24414">
          <cell r="A24414">
            <v>9262285</v>
          </cell>
          <cell r="B24414">
            <v>120925</v>
          </cell>
          <cell r="C24414" t="str">
            <v>Reffley Community School</v>
          </cell>
          <cell r="D24414" t="str">
            <v>Norfolk</v>
          </cell>
          <cell r="E24414" t="str">
            <v>Community School</v>
          </cell>
          <cell r="F24414" t="str">
            <v>Primary</v>
          </cell>
        </row>
        <row r="24415">
          <cell r="A24415">
            <v>9256051</v>
          </cell>
          <cell r="B24415">
            <v>130907</v>
          </cell>
          <cell r="C24415" t="str">
            <v>Regard for Learning Education Centre</v>
          </cell>
          <cell r="D24415" t="str">
            <v>Lincolnshire</v>
          </cell>
          <cell r="E24415" t="str">
            <v>Other Independent Special School</v>
          </cell>
          <cell r="F24415" t="str">
            <v>Not applicable</v>
          </cell>
        </row>
        <row r="24416">
          <cell r="A24416">
            <v>8857024</v>
          </cell>
          <cell r="B24416">
            <v>131532</v>
          </cell>
          <cell r="C24416" t="str">
            <v>Regency High School</v>
          </cell>
          <cell r="D24416" t="str">
            <v>Worcestershire</v>
          </cell>
          <cell r="E24416" t="str">
            <v>Community Special School</v>
          </cell>
          <cell r="F24416" t="str">
            <v>Special</v>
          </cell>
        </row>
        <row r="24417">
          <cell r="A24417">
            <v>8568602</v>
          </cell>
          <cell r="B24417">
            <v>130757</v>
          </cell>
          <cell r="C24417" t="str">
            <v>Regent College</v>
          </cell>
          <cell r="D24417" t="str">
            <v>Leicester</v>
          </cell>
          <cell r="E24417" t="str">
            <v>Further Education</v>
          </cell>
          <cell r="F24417" t="str">
            <v>16 Plus</v>
          </cell>
        </row>
        <row r="24418">
          <cell r="A24418">
            <v>8617904</v>
          </cell>
          <cell r="B24418">
            <v>131968</v>
          </cell>
          <cell r="C24418" t="str">
            <v>Regent College</v>
          </cell>
          <cell r="D24418" t="str">
            <v>Stoke-on-Trent</v>
          </cell>
          <cell r="E24418" t="str">
            <v>Special College</v>
          </cell>
          <cell r="F24418" t="str">
            <v>16 Plus</v>
          </cell>
        </row>
        <row r="24419">
          <cell r="A24419">
            <v>3106080</v>
          </cell>
          <cell r="B24419">
            <v>134891</v>
          </cell>
          <cell r="C24419" t="str">
            <v>Regent College</v>
          </cell>
          <cell r="D24419" t="str">
            <v>Harrow</v>
          </cell>
          <cell r="E24419" t="str">
            <v>Other Independent School</v>
          </cell>
          <cell r="F24419" t="str">
            <v>Not applicable</v>
          </cell>
        </row>
        <row r="24420">
          <cell r="A24420">
            <v>3912003</v>
          </cell>
          <cell r="B24420">
            <v>108440</v>
          </cell>
          <cell r="C24420" t="str">
            <v>Regent Farm First School</v>
          </cell>
          <cell r="D24420" t="str">
            <v>Newcastle upon Tyne</v>
          </cell>
          <cell r="E24420" t="str">
            <v>Community School</v>
          </cell>
          <cell r="F24420" t="str">
            <v>Primary</v>
          </cell>
        </row>
        <row r="24421">
          <cell r="A24421">
            <v>3337014</v>
          </cell>
          <cell r="B24421">
            <v>104033</v>
          </cell>
          <cell r="C24421" t="str">
            <v>Regent School</v>
          </cell>
          <cell r="D24421" t="str">
            <v>Sandwell</v>
          </cell>
          <cell r="E24421" t="str">
            <v>Community Special School</v>
          </cell>
          <cell r="F24421" t="str">
            <v>Special</v>
          </cell>
        </row>
        <row r="24422">
          <cell r="A24422">
            <v>3167005</v>
          </cell>
          <cell r="B24422">
            <v>127008</v>
          </cell>
          <cell r="C24422" t="str">
            <v>Regent School</v>
          </cell>
          <cell r="D24422" t="str">
            <v>Newham</v>
          </cell>
          <cell r="E24422" t="str">
            <v>Community Special School</v>
          </cell>
          <cell r="F24422" t="str">
            <v>Special</v>
          </cell>
        </row>
        <row r="24423">
          <cell r="A24423">
            <v>8886100</v>
          </cell>
          <cell r="B24423">
            <v>135420</v>
          </cell>
          <cell r="C24423" t="str">
            <v>Regent School - Green Corns</v>
          </cell>
          <cell r="D24423" t="str">
            <v>Lancashire</v>
          </cell>
          <cell r="E24423" t="str">
            <v>Other Independent Special School</v>
          </cell>
          <cell r="F24423" t="str">
            <v>Not applicable</v>
          </cell>
        </row>
        <row r="24424">
          <cell r="A24424">
            <v>3106078</v>
          </cell>
          <cell r="B24424">
            <v>134206</v>
          </cell>
          <cell r="C24424" t="str">
            <v>Regent Tutorial College</v>
          </cell>
          <cell r="D24424" t="str">
            <v>Harrow</v>
          </cell>
          <cell r="E24424" t="str">
            <v>Other Independent School</v>
          </cell>
          <cell r="F24424" t="str">
            <v>Not applicable</v>
          </cell>
        </row>
        <row r="24425">
          <cell r="A24425">
            <v>8524262</v>
          </cell>
          <cell r="B24425">
            <v>116450</v>
          </cell>
          <cell r="C24425" t="str">
            <v>Regents Park Community College</v>
          </cell>
          <cell r="D24425" t="str">
            <v>Southampton</v>
          </cell>
          <cell r="E24425" t="str">
            <v>Foundation School</v>
          </cell>
          <cell r="F24425" t="str">
            <v>Secondary</v>
          </cell>
        </row>
        <row r="24426">
          <cell r="A24426">
            <v>3302063</v>
          </cell>
          <cell r="B24426">
            <v>103193</v>
          </cell>
          <cell r="C24426" t="str">
            <v>Regents Park Community Primary School</v>
          </cell>
          <cell r="D24426" t="str">
            <v>Birmingham</v>
          </cell>
          <cell r="E24426" t="str">
            <v>Community School</v>
          </cell>
          <cell r="F24426" t="str">
            <v>Primary</v>
          </cell>
        </row>
        <row r="24427">
          <cell r="A24427">
            <v>3063408</v>
          </cell>
          <cell r="B24427">
            <v>101800</v>
          </cell>
          <cell r="C24427" t="str">
            <v>Regina Coeli Catholic Primary School</v>
          </cell>
          <cell r="D24427" t="str">
            <v>Croydon</v>
          </cell>
          <cell r="E24427" t="str">
            <v>Voluntary Aided School</v>
          </cell>
          <cell r="F24427" t="str">
            <v>Primary</v>
          </cell>
        </row>
        <row r="24428">
          <cell r="A24428">
            <v>8862249</v>
          </cell>
          <cell r="B24428">
            <v>118351</v>
          </cell>
          <cell r="C24428" t="str">
            <v>Regis Manor Community Primary School</v>
          </cell>
          <cell r="D24428" t="str">
            <v>Kent</v>
          </cell>
          <cell r="E24428" t="str">
            <v>Community School</v>
          </cell>
          <cell r="F24428" t="str">
            <v>Primary</v>
          </cell>
        </row>
        <row r="24429">
          <cell r="A24429">
            <v>8862249</v>
          </cell>
          <cell r="B24429">
            <v>136794</v>
          </cell>
          <cell r="C24429" t="str">
            <v>Regis Manor Community Primary School</v>
          </cell>
          <cell r="D24429" t="str">
            <v>Kent</v>
          </cell>
          <cell r="E24429" t="str">
            <v>Academy Converters</v>
          </cell>
          <cell r="F24429" t="str">
            <v>Primary</v>
          </cell>
        </row>
        <row r="24430">
          <cell r="A24430">
            <v>3364116</v>
          </cell>
          <cell r="B24430">
            <v>104388</v>
          </cell>
          <cell r="C24430" t="str">
            <v>Regis School</v>
          </cell>
          <cell r="D24430" t="str">
            <v>Wolverhampton</v>
          </cell>
          <cell r="E24430" t="str">
            <v>Community School</v>
          </cell>
          <cell r="F24430" t="str">
            <v>Secondary</v>
          </cell>
        </row>
        <row r="24431">
          <cell r="A24431">
            <v>8412663</v>
          </cell>
          <cell r="B24431">
            <v>114178</v>
          </cell>
          <cell r="C24431" t="str">
            <v>Reid Street Primary School</v>
          </cell>
          <cell r="D24431" t="str">
            <v>Darlington</v>
          </cell>
          <cell r="E24431" t="str">
            <v>Community School</v>
          </cell>
          <cell r="F24431" t="str">
            <v>Primary</v>
          </cell>
        </row>
        <row r="24432">
          <cell r="A24432">
            <v>8412663</v>
          </cell>
          <cell r="B24432">
            <v>136836</v>
          </cell>
          <cell r="C24432" t="str">
            <v>Reid Street Primary School</v>
          </cell>
          <cell r="D24432" t="str">
            <v>Darlington</v>
          </cell>
          <cell r="E24432" t="str">
            <v>Academy Converters</v>
          </cell>
          <cell r="F24432" t="str">
            <v>Primary</v>
          </cell>
        </row>
        <row r="24433">
          <cell r="A24433">
            <v>9364103</v>
          </cell>
          <cell r="B24433">
            <v>130099</v>
          </cell>
          <cell r="C24433" t="str">
            <v>Reigate College</v>
          </cell>
          <cell r="D24433" t="str">
            <v>Surrey</v>
          </cell>
          <cell r="E24433" t="str">
            <v>Community School</v>
          </cell>
          <cell r="F24433" t="str">
            <v>Secondary</v>
          </cell>
        </row>
        <row r="24434">
          <cell r="A24434">
            <v>9368601</v>
          </cell>
          <cell r="B24434">
            <v>130829</v>
          </cell>
          <cell r="C24434" t="str">
            <v>Reigate College</v>
          </cell>
          <cell r="D24434" t="str">
            <v>Surrey</v>
          </cell>
          <cell r="E24434" t="str">
            <v>Further Education</v>
          </cell>
          <cell r="F24434" t="str">
            <v>16 Plus</v>
          </cell>
        </row>
        <row r="24435">
          <cell r="A24435">
            <v>9366531</v>
          </cell>
          <cell r="B24435">
            <v>125422</v>
          </cell>
          <cell r="C24435" t="str">
            <v>Reigate Grammar School</v>
          </cell>
          <cell r="D24435" t="str">
            <v>Surrey</v>
          </cell>
          <cell r="E24435" t="str">
            <v>Other Independent School</v>
          </cell>
          <cell r="F24435" t="str">
            <v>Not applicable</v>
          </cell>
        </row>
        <row r="24436">
          <cell r="A24436">
            <v>8312426</v>
          </cell>
          <cell r="B24436">
            <v>112730</v>
          </cell>
          <cell r="C24436" t="str">
            <v>Reigate Infant School</v>
          </cell>
          <cell r="D24436" t="str">
            <v>Derby</v>
          </cell>
          <cell r="E24436" t="str">
            <v>Community School</v>
          </cell>
          <cell r="F24436" t="str">
            <v>Primary</v>
          </cell>
        </row>
        <row r="24437">
          <cell r="A24437">
            <v>8312425</v>
          </cell>
          <cell r="B24437">
            <v>112729</v>
          </cell>
          <cell r="C24437" t="str">
            <v>Reigate Junior School</v>
          </cell>
          <cell r="D24437" t="str">
            <v>Derby</v>
          </cell>
          <cell r="E24437" t="str">
            <v>Community School</v>
          </cell>
          <cell r="F24437" t="str">
            <v>Primary</v>
          </cell>
        </row>
        <row r="24438">
          <cell r="A24438">
            <v>9363387</v>
          </cell>
          <cell r="B24438">
            <v>125196</v>
          </cell>
          <cell r="C24438" t="str">
            <v>Reigate Parish CofE (Aided) Infant School</v>
          </cell>
          <cell r="D24438" t="str">
            <v>Surrey</v>
          </cell>
          <cell r="E24438" t="str">
            <v>Voluntary Aided School</v>
          </cell>
          <cell r="F24438" t="str">
            <v>Primary</v>
          </cell>
        </row>
        <row r="24439">
          <cell r="A24439">
            <v>8312000</v>
          </cell>
          <cell r="B24439">
            <v>131402</v>
          </cell>
          <cell r="C24439" t="str">
            <v>Reigate Primary School</v>
          </cell>
          <cell r="D24439" t="str">
            <v>Derby</v>
          </cell>
          <cell r="E24439" t="str">
            <v>Community School</v>
          </cell>
          <cell r="F24439" t="str">
            <v>Primary</v>
          </cell>
        </row>
        <row r="24440">
          <cell r="A24440">
            <v>9362457</v>
          </cell>
          <cell r="B24440">
            <v>125070</v>
          </cell>
          <cell r="C24440" t="str">
            <v>Reigate Priory Community Junior School</v>
          </cell>
          <cell r="D24440" t="str">
            <v>Surrey</v>
          </cell>
          <cell r="E24440" t="str">
            <v>Community School</v>
          </cell>
          <cell r="F24440" t="str">
            <v>Primary</v>
          </cell>
        </row>
        <row r="24441">
          <cell r="A24441">
            <v>9364157</v>
          </cell>
          <cell r="B24441">
            <v>125257</v>
          </cell>
          <cell r="C24441" t="str">
            <v>Reigate School</v>
          </cell>
          <cell r="D24441" t="str">
            <v>Surrey</v>
          </cell>
          <cell r="E24441" t="str">
            <v>Community School</v>
          </cell>
          <cell r="F24441" t="str">
            <v>Secondary</v>
          </cell>
        </row>
        <row r="24442">
          <cell r="A24442">
            <v>9366081</v>
          </cell>
          <cell r="B24442">
            <v>125358</v>
          </cell>
          <cell r="C24442" t="str">
            <v>Reigate St Mary's Preparatory School</v>
          </cell>
          <cell r="D24442" t="str">
            <v>Surrey</v>
          </cell>
          <cell r="E24442" t="str">
            <v>Other Independent School</v>
          </cell>
          <cell r="F24442" t="str">
            <v>Not applicable</v>
          </cell>
        </row>
        <row r="24443">
          <cell r="A24443">
            <v>9361127</v>
          </cell>
          <cell r="B24443">
            <v>135893</v>
          </cell>
          <cell r="C24443" t="str">
            <v>Reigate Valley College</v>
          </cell>
          <cell r="D24443" t="str">
            <v>Surrey</v>
          </cell>
          <cell r="E24443" t="str">
            <v>Pupil Referral Unit</v>
          </cell>
          <cell r="F24443" t="str">
            <v>PRU</v>
          </cell>
        </row>
        <row r="24444">
          <cell r="A24444">
            <v>9272409</v>
          </cell>
          <cell r="B24444">
            <v>129656</v>
          </cell>
          <cell r="C24444" t="str">
            <v>Reighton and Speeton County Primary School</v>
          </cell>
          <cell r="D24444" t="str">
            <v>Pre LGR (1996) North Yorkshire</v>
          </cell>
          <cell r="E24444" t="str">
            <v>Community School</v>
          </cell>
          <cell r="F24444" t="str">
            <v>Primary</v>
          </cell>
        </row>
        <row r="24445">
          <cell r="A24445">
            <v>3732334</v>
          </cell>
          <cell r="B24445">
            <v>107077</v>
          </cell>
          <cell r="C24445" t="str">
            <v>Reignhead Primary School</v>
          </cell>
          <cell r="D24445" t="str">
            <v>Sheffield</v>
          </cell>
          <cell r="E24445" t="str">
            <v>Community School</v>
          </cell>
          <cell r="F24445" t="str">
            <v>Primary</v>
          </cell>
        </row>
        <row r="24446">
          <cell r="A24446">
            <v>8691112</v>
          </cell>
          <cell r="B24446">
            <v>131067</v>
          </cell>
          <cell r="C24446" t="str">
            <v>Reintegration Service</v>
          </cell>
          <cell r="D24446" t="str">
            <v>West Berkshire</v>
          </cell>
          <cell r="E24446" t="str">
            <v>Pupil Referral Unit</v>
          </cell>
          <cell r="F24446" t="str">
            <v>PRU</v>
          </cell>
        </row>
        <row r="24447">
          <cell r="A24447">
            <v>3501112</v>
          </cell>
          <cell r="B24447">
            <v>129759</v>
          </cell>
          <cell r="C24447" t="str">
            <v>Re-Intergration Unit</v>
          </cell>
          <cell r="D24447" t="str">
            <v>Bolton</v>
          </cell>
          <cell r="E24447" t="str">
            <v>Pupil Referral Unit</v>
          </cell>
          <cell r="F24447" t="str">
            <v>PRU</v>
          </cell>
        </row>
        <row r="24448">
          <cell r="A24448">
            <v>3822036</v>
          </cell>
          <cell r="B24448">
            <v>107621</v>
          </cell>
          <cell r="C24448" t="str">
            <v>Reinwood  Community Junior School</v>
          </cell>
          <cell r="D24448" t="str">
            <v>Kirklees</v>
          </cell>
          <cell r="E24448" t="str">
            <v>Community School</v>
          </cell>
          <cell r="F24448" t="str">
            <v>Primary</v>
          </cell>
        </row>
        <row r="24449">
          <cell r="A24449">
            <v>3822037</v>
          </cell>
          <cell r="B24449">
            <v>107622</v>
          </cell>
          <cell r="C24449" t="str">
            <v>Reinwood Infant and Nursery School</v>
          </cell>
          <cell r="D24449" t="str">
            <v>Kirklees</v>
          </cell>
          <cell r="E24449" t="str">
            <v>Community School</v>
          </cell>
          <cell r="F24449" t="str">
            <v>Primary</v>
          </cell>
        </row>
        <row r="24450">
          <cell r="A24450">
            <v>9166017</v>
          </cell>
          <cell r="B24450">
            <v>115787</v>
          </cell>
          <cell r="C24450" t="str">
            <v>Rendcomb College</v>
          </cell>
          <cell r="D24450" t="str">
            <v>Gloucestershire</v>
          </cell>
          <cell r="E24450" t="str">
            <v>Other Independent School</v>
          </cell>
          <cell r="F24450" t="str">
            <v>Not applicable</v>
          </cell>
        </row>
        <row r="24451">
          <cell r="A24451">
            <v>8552062</v>
          </cell>
          <cell r="B24451">
            <v>119935</v>
          </cell>
          <cell r="C24451" t="str">
            <v>Rendell Primary School</v>
          </cell>
          <cell r="D24451" t="str">
            <v>Leicestershire</v>
          </cell>
          <cell r="E24451" t="str">
            <v>Community School</v>
          </cell>
          <cell r="F24451" t="str">
            <v>Primary</v>
          </cell>
        </row>
        <row r="24452">
          <cell r="A24452">
            <v>9353346</v>
          </cell>
          <cell r="B24452">
            <v>134882</v>
          </cell>
          <cell r="C24452" t="str">
            <v>Rendlesham Community Primary School</v>
          </cell>
          <cell r="D24452" t="str">
            <v>Suffolk</v>
          </cell>
          <cell r="E24452" t="str">
            <v>Community School</v>
          </cell>
          <cell r="F24452" t="str">
            <v>Primary</v>
          </cell>
        </row>
        <row r="24453">
          <cell r="A24453">
            <v>8223011</v>
          </cell>
          <cell r="B24453">
            <v>109603</v>
          </cell>
          <cell r="C24453" t="str">
            <v>Renhold VC Lower School</v>
          </cell>
          <cell r="D24453" t="str">
            <v>Bedford</v>
          </cell>
          <cell r="E24453" t="str">
            <v>Voluntary Controlled School</v>
          </cell>
          <cell r="F24453" t="str">
            <v>Primary</v>
          </cell>
        </row>
        <row r="24454">
          <cell r="A24454">
            <v>8302101</v>
          </cell>
          <cell r="B24454">
            <v>112545</v>
          </cell>
          <cell r="C24454" t="str">
            <v>Renishaw Primary School</v>
          </cell>
          <cell r="D24454" t="str">
            <v>Derbyshire</v>
          </cell>
          <cell r="E24454" t="str">
            <v>Community School</v>
          </cell>
          <cell r="F24454" t="str">
            <v>Primary</v>
          </cell>
        </row>
        <row r="24455">
          <cell r="A24455">
            <v>9092055</v>
          </cell>
          <cell r="B24455">
            <v>128570</v>
          </cell>
          <cell r="C24455" t="str">
            <v>Renwick County Primary School</v>
          </cell>
          <cell r="D24455" t="str">
            <v>Cumbria</v>
          </cell>
          <cell r="E24455" t="str">
            <v>Community School</v>
          </cell>
          <cell r="F24455" t="str">
            <v>Primary</v>
          </cell>
        </row>
        <row r="24456">
          <cell r="A24456">
            <v>8305202</v>
          </cell>
          <cell r="B24456">
            <v>112976</v>
          </cell>
          <cell r="C24456" t="str">
            <v>Repton Primary School</v>
          </cell>
          <cell r="D24456" t="str">
            <v>Derbyshire</v>
          </cell>
          <cell r="E24456" t="str">
            <v>Community School</v>
          </cell>
          <cell r="F24456" t="str">
            <v>Primary</v>
          </cell>
        </row>
        <row r="24457">
          <cell r="A24457">
            <v>8306001</v>
          </cell>
          <cell r="B24457">
            <v>113009</v>
          </cell>
          <cell r="C24457" t="str">
            <v>Repton School</v>
          </cell>
          <cell r="D24457" t="str">
            <v>Derbyshire</v>
          </cell>
          <cell r="E24457" t="str">
            <v>Other Independent School</v>
          </cell>
          <cell r="F24457" t="str">
            <v>Not applicable</v>
          </cell>
        </row>
        <row r="24458">
          <cell r="A24458">
            <v>9081101</v>
          </cell>
          <cell r="B24458">
            <v>134752</v>
          </cell>
          <cell r="C24458" t="str">
            <v>Restormel PRU</v>
          </cell>
          <cell r="D24458" t="str">
            <v>Cornwall</v>
          </cell>
          <cell r="E24458" t="str">
            <v>Pupil Referral Unit</v>
          </cell>
          <cell r="F24458" t="str">
            <v>PRU</v>
          </cell>
        </row>
        <row r="24459">
          <cell r="A24459">
            <v>8914465</v>
          </cell>
          <cell r="B24459">
            <v>133703</v>
          </cell>
          <cell r="C24459" t="str">
            <v>Retford Oaks High School</v>
          </cell>
          <cell r="D24459" t="str">
            <v>Nottinghamshire</v>
          </cell>
          <cell r="E24459" t="str">
            <v>Community School</v>
          </cell>
          <cell r="F24459" t="str">
            <v>Secondary</v>
          </cell>
        </row>
        <row r="24460">
          <cell r="A24460">
            <v>8812460</v>
          </cell>
          <cell r="B24460">
            <v>114856</v>
          </cell>
          <cell r="C24460" t="str">
            <v>Rettendon Primary School</v>
          </cell>
          <cell r="D24460" t="str">
            <v>Essex</v>
          </cell>
          <cell r="E24460" t="str">
            <v>Community School</v>
          </cell>
          <cell r="F24460" t="str">
            <v>Primary</v>
          </cell>
        </row>
        <row r="24461">
          <cell r="A24461">
            <v>2031107</v>
          </cell>
          <cell r="B24461">
            <v>134334</v>
          </cell>
          <cell r="C24461" t="str">
            <v>Revitalise</v>
          </cell>
          <cell r="D24461" t="str">
            <v>Greenwich</v>
          </cell>
          <cell r="E24461" t="str">
            <v>Pupil Referral Unit</v>
          </cell>
          <cell r="F24461" t="str">
            <v>PRU</v>
          </cell>
        </row>
        <row r="24462">
          <cell r="A24462">
            <v>8902210</v>
          </cell>
          <cell r="B24462">
            <v>119248</v>
          </cell>
          <cell r="C24462" t="str">
            <v>Revoe Community Primary School</v>
          </cell>
          <cell r="D24462" t="str">
            <v>Blackpool</v>
          </cell>
          <cell r="E24462" t="str">
            <v>Community School</v>
          </cell>
          <cell r="F24462" t="str">
            <v>Primary</v>
          </cell>
        </row>
        <row r="24463">
          <cell r="A24463">
            <v>8941101</v>
          </cell>
          <cell r="B24463">
            <v>133589</v>
          </cell>
          <cell r="C24463" t="str">
            <v>Revolution (KS3 PRU)</v>
          </cell>
          <cell r="D24463" t="str">
            <v>Telford and Wrekin</v>
          </cell>
          <cell r="E24463" t="str">
            <v>Pupil Referral Unit</v>
          </cell>
          <cell r="F24463" t="str">
            <v>PRU</v>
          </cell>
        </row>
        <row r="24464">
          <cell r="A24464">
            <v>9354055</v>
          </cell>
          <cell r="B24464">
            <v>129987</v>
          </cell>
          <cell r="C24464" t="str">
            <v>Reydon High School</v>
          </cell>
          <cell r="D24464" t="str">
            <v>Suffolk</v>
          </cell>
          <cell r="E24464" t="str">
            <v>Community School</v>
          </cell>
          <cell r="F24464" t="str">
            <v>Secondary</v>
          </cell>
        </row>
        <row r="24465">
          <cell r="A24465">
            <v>9352130</v>
          </cell>
          <cell r="B24465">
            <v>124623</v>
          </cell>
          <cell r="C24465" t="str">
            <v>Reydon Primary School</v>
          </cell>
          <cell r="D24465" t="str">
            <v>Suffolk</v>
          </cell>
          <cell r="E24465" t="str">
            <v>Community School</v>
          </cell>
          <cell r="F24465" t="str">
            <v>Primary</v>
          </cell>
        </row>
        <row r="24466">
          <cell r="A24466">
            <v>3347002</v>
          </cell>
          <cell r="B24466">
            <v>104131</v>
          </cell>
          <cell r="C24466" t="str">
            <v>Reynalds Cross School</v>
          </cell>
          <cell r="D24466" t="str">
            <v>Solihull</v>
          </cell>
          <cell r="E24466" t="str">
            <v>Community Special School</v>
          </cell>
          <cell r="F24466" t="str">
            <v>Special</v>
          </cell>
        </row>
        <row r="24467">
          <cell r="A24467">
            <v>8122183</v>
          </cell>
          <cell r="B24467">
            <v>117790</v>
          </cell>
          <cell r="C24467" t="str">
            <v>Reynolds Infants' School</v>
          </cell>
          <cell r="D24467" t="str">
            <v>North East Lincolnshire</v>
          </cell>
          <cell r="E24467" t="str">
            <v>Community School</v>
          </cell>
          <cell r="F24467" t="str">
            <v>Primary</v>
          </cell>
        </row>
        <row r="24468">
          <cell r="A24468">
            <v>8122114</v>
          </cell>
          <cell r="B24468">
            <v>117734</v>
          </cell>
          <cell r="C24468" t="str">
            <v>Reynolds Junior School</v>
          </cell>
          <cell r="D24468" t="str">
            <v>North East Lincolnshire</v>
          </cell>
          <cell r="E24468" t="str">
            <v>Community School</v>
          </cell>
          <cell r="F24468" t="str">
            <v>Primary</v>
          </cell>
        </row>
        <row r="24469">
          <cell r="A24469">
            <v>8123528</v>
          </cell>
          <cell r="B24469">
            <v>131255</v>
          </cell>
          <cell r="C24469" t="str">
            <v>Reynolds Primary School</v>
          </cell>
          <cell r="D24469" t="str">
            <v>North East Lincolnshire</v>
          </cell>
          <cell r="E24469" t="str">
            <v>Community School</v>
          </cell>
          <cell r="F24469" t="str">
            <v>Primary</v>
          </cell>
        </row>
        <row r="24470">
          <cell r="A24470">
            <v>6663036</v>
          </cell>
          <cell r="B24470">
            <v>400554</v>
          </cell>
          <cell r="C24470" t="str">
            <v>Rhayader C.I.W. School</v>
          </cell>
          <cell r="D24470" t="str">
            <v>Powys</v>
          </cell>
          <cell r="E24470" t="str">
            <v>Welsh Establishment</v>
          </cell>
          <cell r="F24470" t="str">
            <v>Primary</v>
          </cell>
        </row>
        <row r="24471">
          <cell r="A24471">
            <v>7023002</v>
          </cell>
          <cell r="B24471">
            <v>133015</v>
          </cell>
          <cell r="C24471" t="str">
            <v>Rhein Middle School</v>
          </cell>
          <cell r="D24471" t="str">
            <v>BFPO Overseas Establishments</v>
          </cell>
          <cell r="E24471" t="str">
            <v>Service Childrens Education</v>
          </cell>
          <cell r="F24471" t="str">
            <v>Not applicable</v>
          </cell>
        </row>
        <row r="24472">
          <cell r="A24472">
            <v>6643004</v>
          </cell>
          <cell r="B24472">
            <v>400376</v>
          </cell>
          <cell r="C24472" t="str">
            <v>Rhes-Y-Cae Controlled</v>
          </cell>
          <cell r="D24472" t="str">
            <v>Flintshire</v>
          </cell>
          <cell r="E24472" t="str">
            <v>Welsh Establishment</v>
          </cell>
          <cell r="F24472" t="str">
            <v>Primary</v>
          </cell>
        </row>
        <row r="24473">
          <cell r="A24473">
            <v>6632169</v>
          </cell>
          <cell r="B24473">
            <v>400288</v>
          </cell>
          <cell r="C24473" t="str">
            <v>Rhewl C.P. School</v>
          </cell>
          <cell r="D24473" t="str">
            <v>Denbighshire</v>
          </cell>
          <cell r="E24473" t="str">
            <v>Welsh Establishment</v>
          </cell>
          <cell r="F24473" t="str">
            <v>Primary</v>
          </cell>
        </row>
        <row r="24474">
          <cell r="A24474">
            <v>6742167</v>
          </cell>
          <cell r="B24474">
            <v>401193</v>
          </cell>
          <cell r="C24474" t="str">
            <v>Rhigos Primary School</v>
          </cell>
          <cell r="D24474" t="str">
            <v>Rhondda, Cynon, Taff</v>
          </cell>
          <cell r="E24474" t="str">
            <v>Welsh Establishment</v>
          </cell>
          <cell r="F24474" t="str">
            <v>Primary</v>
          </cell>
        </row>
        <row r="24475">
          <cell r="A24475">
            <v>6762369</v>
          </cell>
          <cell r="B24475">
            <v>401375</v>
          </cell>
          <cell r="C24475" t="str">
            <v>Rhiw Syr Dafydd Junior School</v>
          </cell>
          <cell r="D24475" t="str">
            <v>Caerphilly</v>
          </cell>
          <cell r="E24475" t="str">
            <v>Welsh Establishment</v>
          </cell>
          <cell r="F24475" t="str">
            <v>Primary</v>
          </cell>
        </row>
        <row r="24476">
          <cell r="A24476">
            <v>6762392</v>
          </cell>
          <cell r="B24476">
            <v>402116</v>
          </cell>
          <cell r="C24476" t="str">
            <v>Rhiw Syr Dafyedd Primary</v>
          </cell>
          <cell r="D24476" t="str">
            <v>Caerphilly</v>
          </cell>
          <cell r="E24476" t="str">
            <v>Welsh Establishment</v>
          </cell>
          <cell r="F24476" t="str">
            <v>Primary</v>
          </cell>
        </row>
        <row r="24477">
          <cell r="A24477">
            <v>6812092</v>
          </cell>
          <cell r="B24477">
            <v>401606</v>
          </cell>
          <cell r="C24477" t="str">
            <v>Rhiwbeina Primary School</v>
          </cell>
          <cell r="D24477" t="str">
            <v>Cardiff</v>
          </cell>
          <cell r="E24477" t="str">
            <v>Welsh Establishment</v>
          </cell>
          <cell r="F24477" t="str">
            <v>Primary</v>
          </cell>
        </row>
        <row r="24478">
          <cell r="A24478">
            <v>6742289</v>
          </cell>
          <cell r="B24478">
            <v>401248</v>
          </cell>
          <cell r="C24478" t="str">
            <v>Rhiwgarn Infant School</v>
          </cell>
          <cell r="D24478" t="str">
            <v>Rhondda, Cynon, Taff</v>
          </cell>
          <cell r="E24478" t="str">
            <v>Welsh Establishment</v>
          </cell>
          <cell r="F24478" t="str">
            <v>Primary</v>
          </cell>
        </row>
        <row r="24479">
          <cell r="A24479">
            <v>2086406</v>
          </cell>
          <cell r="B24479">
            <v>134086</v>
          </cell>
          <cell r="C24479" t="str">
            <v>Rhoda Reid School</v>
          </cell>
          <cell r="D24479" t="str">
            <v>Lambeth</v>
          </cell>
          <cell r="E24479" t="str">
            <v>Other Independent School</v>
          </cell>
          <cell r="F24479" t="str">
            <v>Not applicable</v>
          </cell>
        </row>
        <row r="24480">
          <cell r="A24480">
            <v>3092072</v>
          </cell>
          <cell r="B24480">
            <v>102128</v>
          </cell>
          <cell r="C24480" t="str">
            <v>Rhodes Avenue Primary School</v>
          </cell>
          <cell r="D24480" t="str">
            <v>Haringey</v>
          </cell>
          <cell r="E24480" t="str">
            <v>Community School</v>
          </cell>
          <cell r="F24480" t="str">
            <v>Primary</v>
          </cell>
        </row>
        <row r="24481">
          <cell r="A24481">
            <v>3804034</v>
          </cell>
          <cell r="B24481">
            <v>107364</v>
          </cell>
          <cell r="C24481" t="str">
            <v>Rhodesway School</v>
          </cell>
          <cell r="D24481" t="str">
            <v>Bradford</v>
          </cell>
          <cell r="E24481" t="str">
            <v>Community School</v>
          </cell>
          <cell r="F24481" t="str">
            <v>Secondary</v>
          </cell>
        </row>
        <row r="24482">
          <cell r="A24482">
            <v>6712200</v>
          </cell>
          <cell r="B24482">
            <v>401003</v>
          </cell>
          <cell r="C24482" t="str">
            <v>Rhos Primary School</v>
          </cell>
          <cell r="D24482" t="str">
            <v>Neath Port Talbot</v>
          </cell>
          <cell r="E24482" t="str">
            <v>Welsh Establishment</v>
          </cell>
          <cell r="F24482" t="str">
            <v>Primary</v>
          </cell>
        </row>
        <row r="24483">
          <cell r="A24483">
            <v>6632255</v>
          </cell>
          <cell r="B24483">
            <v>400300</v>
          </cell>
          <cell r="C24483" t="str">
            <v>Rhos Street C.P. School</v>
          </cell>
          <cell r="D24483" t="str">
            <v>Denbighshire</v>
          </cell>
          <cell r="E24483" t="str">
            <v>Welsh Establishment</v>
          </cell>
          <cell r="F24483" t="str">
            <v>Primary</v>
          </cell>
        </row>
        <row r="24484">
          <cell r="A24484">
            <v>6652191</v>
          </cell>
          <cell r="B24484">
            <v>400417</v>
          </cell>
          <cell r="C24484" t="str">
            <v>Rhosddu Primary School</v>
          </cell>
          <cell r="D24484" t="str">
            <v>Wrexham</v>
          </cell>
          <cell r="E24484" t="str">
            <v>Welsh Establishment</v>
          </cell>
          <cell r="F24484" t="str">
            <v>Primary</v>
          </cell>
        </row>
        <row r="24485">
          <cell r="A24485">
            <v>6662074</v>
          </cell>
          <cell r="B24485">
            <v>400503</v>
          </cell>
          <cell r="C24485" t="str">
            <v>Rhosgoch C.P. School</v>
          </cell>
          <cell r="D24485" t="str">
            <v>Powys</v>
          </cell>
          <cell r="E24485" t="str">
            <v>Welsh Establishment</v>
          </cell>
          <cell r="F24485" t="str">
            <v>Primary</v>
          </cell>
        </row>
        <row r="24486">
          <cell r="A24486">
            <v>6652200</v>
          </cell>
          <cell r="B24486">
            <v>400424</v>
          </cell>
          <cell r="C24486" t="str">
            <v>Rhostyllen C.P. School</v>
          </cell>
          <cell r="D24486" t="str">
            <v>Wrexham</v>
          </cell>
          <cell r="E24486" t="str">
            <v>Welsh Establishment</v>
          </cell>
          <cell r="F24486" t="str">
            <v>Primary</v>
          </cell>
        </row>
        <row r="24487">
          <cell r="A24487">
            <v>6772310</v>
          </cell>
          <cell r="B24487">
            <v>401415</v>
          </cell>
          <cell r="C24487" t="str">
            <v>Rhos-Y-Fedwyn Primary</v>
          </cell>
          <cell r="D24487" t="str">
            <v>Blaenau Gwent</v>
          </cell>
          <cell r="E24487" t="str">
            <v>Welsh Establishment</v>
          </cell>
          <cell r="F24487" t="str">
            <v>Primary</v>
          </cell>
        </row>
        <row r="24488">
          <cell r="A24488">
            <v>6652272</v>
          </cell>
          <cell r="B24488">
            <v>402151</v>
          </cell>
          <cell r="C24488" t="str">
            <v>Rhosymedre Community Primary School</v>
          </cell>
          <cell r="D24488" t="str">
            <v>Wrexham</v>
          </cell>
          <cell r="E24488" t="str">
            <v>Welsh Establishment</v>
          </cell>
          <cell r="F24488" t="str">
            <v>Primary</v>
          </cell>
        </row>
        <row r="24489">
          <cell r="A24489">
            <v>6652206</v>
          </cell>
          <cell r="B24489">
            <v>400430</v>
          </cell>
          <cell r="C24489" t="str">
            <v>Rhosymedre Infants C.P. School</v>
          </cell>
          <cell r="D24489" t="str">
            <v>Wrexham</v>
          </cell>
          <cell r="E24489" t="str">
            <v>Welsh Establishment</v>
          </cell>
          <cell r="F24489" t="str">
            <v>Primary</v>
          </cell>
        </row>
        <row r="24490">
          <cell r="A24490">
            <v>6652201</v>
          </cell>
          <cell r="B24490">
            <v>400425</v>
          </cell>
          <cell r="C24490" t="str">
            <v>Rhosymedre Junior C.P</v>
          </cell>
          <cell r="D24490" t="str">
            <v>Wrexham</v>
          </cell>
          <cell r="E24490" t="str">
            <v>Welsh Establishment</v>
          </cell>
          <cell r="F24490" t="str">
            <v>Primary</v>
          </cell>
        </row>
        <row r="24491">
          <cell r="A24491">
            <v>6732133</v>
          </cell>
          <cell r="B24491">
            <v>401100</v>
          </cell>
          <cell r="C24491" t="str">
            <v>Rhws Primary School</v>
          </cell>
          <cell r="D24491" t="str">
            <v>The Vale of Glamorgan</v>
          </cell>
          <cell r="E24491" t="str">
            <v>Welsh Establishment</v>
          </cell>
          <cell r="F24491" t="str">
            <v>Primary</v>
          </cell>
        </row>
        <row r="24492">
          <cell r="A24492">
            <v>8884026</v>
          </cell>
          <cell r="B24492">
            <v>119721</v>
          </cell>
          <cell r="C24492" t="str">
            <v>Rhyddings Business and Enterprise School</v>
          </cell>
          <cell r="D24492" t="str">
            <v>Lancashire</v>
          </cell>
          <cell r="E24492" t="str">
            <v>Community School</v>
          </cell>
          <cell r="F24492" t="str">
            <v>Secondary</v>
          </cell>
        </row>
        <row r="24493">
          <cell r="A24493">
            <v>6672343</v>
          </cell>
          <cell r="B24493">
            <v>400625</v>
          </cell>
          <cell r="C24493" t="str">
            <v>Rhydlewis C.P. School</v>
          </cell>
          <cell r="D24493" t="str">
            <v>Ceredigion</v>
          </cell>
          <cell r="E24493" t="str">
            <v>Welsh Establishment</v>
          </cell>
          <cell r="F24493" t="str">
            <v>Primary</v>
          </cell>
        </row>
        <row r="24494">
          <cell r="A24494">
            <v>6762193</v>
          </cell>
          <cell r="B24494">
            <v>401326</v>
          </cell>
          <cell r="C24494" t="str">
            <v>Rhydri Primary School</v>
          </cell>
          <cell r="D24494" t="str">
            <v>Caerphilly</v>
          </cell>
          <cell r="E24494" t="str">
            <v>Welsh Establishment</v>
          </cell>
          <cell r="F24494" t="str">
            <v>Primary</v>
          </cell>
        </row>
        <row r="24495">
          <cell r="A24495">
            <v>6741006</v>
          </cell>
          <cell r="B24495">
            <v>400015</v>
          </cell>
          <cell r="C24495" t="str">
            <v>Rhydyfelin Nursery School</v>
          </cell>
          <cell r="D24495" t="str">
            <v>Rhondda, Cynon, Taff</v>
          </cell>
          <cell r="E24495" t="str">
            <v>Welsh Establishment</v>
          </cell>
          <cell r="F24495" t="str">
            <v>Nursery</v>
          </cell>
        </row>
        <row r="24496">
          <cell r="A24496">
            <v>6712203</v>
          </cell>
          <cell r="B24496">
            <v>401005</v>
          </cell>
          <cell r="C24496" t="str">
            <v>Rhydyfro Primary School</v>
          </cell>
          <cell r="D24496" t="str">
            <v>Neath Port Talbot</v>
          </cell>
          <cell r="E24496" t="str">
            <v>Welsh Establishment</v>
          </cell>
          <cell r="F24496" t="str">
            <v>Primary</v>
          </cell>
        </row>
        <row r="24497">
          <cell r="A24497">
            <v>6691102</v>
          </cell>
          <cell r="B24497">
            <v>401947</v>
          </cell>
          <cell r="C24497" t="str">
            <v>Rhydygors Pupil Referral Unit</v>
          </cell>
          <cell r="D24497" t="str">
            <v>Carmarthenshire</v>
          </cell>
          <cell r="E24497" t="str">
            <v>Welsh Establishment</v>
          </cell>
          <cell r="F24497" t="str">
            <v>Not applicable</v>
          </cell>
        </row>
        <row r="24498">
          <cell r="A24498">
            <v>6812041</v>
          </cell>
          <cell r="B24498">
            <v>401581</v>
          </cell>
          <cell r="C24498" t="str">
            <v>Rhydypenau Primary School</v>
          </cell>
          <cell r="D24498" t="str">
            <v>Cardiff</v>
          </cell>
          <cell r="E24498" t="str">
            <v>Welsh Establishment</v>
          </cell>
          <cell r="F24498" t="str">
            <v>Primary</v>
          </cell>
        </row>
        <row r="24499">
          <cell r="A24499">
            <v>6634003</v>
          </cell>
          <cell r="B24499">
            <v>401691</v>
          </cell>
          <cell r="C24499" t="str">
            <v>Rhyl High School</v>
          </cell>
          <cell r="D24499" t="str">
            <v>Denbighshire</v>
          </cell>
          <cell r="E24499" t="str">
            <v>Welsh Establishment</v>
          </cell>
          <cell r="F24499" t="str">
            <v>Secondary</v>
          </cell>
        </row>
        <row r="24500">
          <cell r="A24500">
            <v>2022502</v>
          </cell>
          <cell r="B24500">
            <v>100021</v>
          </cell>
          <cell r="C24500" t="str">
            <v>Rhyl Primary School</v>
          </cell>
          <cell r="D24500" t="str">
            <v>Camden</v>
          </cell>
          <cell r="E24500" t="str">
            <v>Community School</v>
          </cell>
          <cell r="F24500" t="str">
            <v>Primary</v>
          </cell>
        </row>
        <row r="24501">
          <cell r="A24501">
            <v>6764090</v>
          </cell>
          <cell r="B24501">
            <v>401841</v>
          </cell>
          <cell r="C24501" t="str">
            <v>Rhymney Comprehensive School</v>
          </cell>
          <cell r="D24501" t="str">
            <v>Caerphilly</v>
          </cell>
          <cell r="E24501" t="str">
            <v>Welsh Establishment</v>
          </cell>
          <cell r="F24501" t="str">
            <v>Secondary</v>
          </cell>
        </row>
        <row r="24502">
          <cell r="A24502">
            <v>8934406</v>
          </cell>
          <cell r="B24502">
            <v>123575</v>
          </cell>
          <cell r="C24502" t="str">
            <v>Rhyn Park School and Performing Arts College</v>
          </cell>
          <cell r="D24502" t="str">
            <v>Shropshire</v>
          </cell>
          <cell r="E24502" t="str">
            <v>Community School</v>
          </cell>
          <cell r="F24502" t="str">
            <v>Secondary</v>
          </cell>
        </row>
        <row r="24503">
          <cell r="A24503">
            <v>3512030</v>
          </cell>
          <cell r="B24503">
            <v>105300</v>
          </cell>
          <cell r="C24503" t="str">
            <v>Ribble Drive Community Primary School</v>
          </cell>
          <cell r="D24503" t="str">
            <v>Bury</v>
          </cell>
          <cell r="E24503" t="str">
            <v>Community School</v>
          </cell>
          <cell r="F24503" t="str">
            <v>Primary</v>
          </cell>
        </row>
        <row r="24504">
          <cell r="A24504">
            <v>8881027</v>
          </cell>
          <cell r="B24504">
            <v>119089</v>
          </cell>
          <cell r="C24504" t="str">
            <v>Ribblesdale Nursery School</v>
          </cell>
          <cell r="D24504" t="str">
            <v>Lancashire</v>
          </cell>
          <cell r="E24504" t="str">
            <v>LA Nursery School</v>
          </cell>
          <cell r="F24504" t="str">
            <v>Nursery</v>
          </cell>
        </row>
        <row r="24505">
          <cell r="A24505">
            <v>8884013</v>
          </cell>
          <cell r="B24505">
            <v>119716</v>
          </cell>
          <cell r="C24505" t="str">
            <v>Ribblesdale School</v>
          </cell>
          <cell r="D24505" t="str">
            <v>Lancashire</v>
          </cell>
          <cell r="E24505" t="str">
            <v>Community School</v>
          </cell>
          <cell r="F24505" t="str">
            <v>Secondary</v>
          </cell>
        </row>
        <row r="24506">
          <cell r="A24506">
            <v>8882195</v>
          </cell>
          <cell r="B24506">
            <v>119235</v>
          </cell>
          <cell r="C24506" t="str">
            <v>Ribbleton Avenue Infant School</v>
          </cell>
          <cell r="D24506" t="str">
            <v>Lancashire</v>
          </cell>
          <cell r="E24506" t="str">
            <v>Community School</v>
          </cell>
          <cell r="F24506" t="str">
            <v>Primary</v>
          </cell>
        </row>
        <row r="24507">
          <cell r="A24507">
            <v>8883001</v>
          </cell>
          <cell r="B24507">
            <v>119354</v>
          </cell>
          <cell r="C24507" t="str">
            <v>Ribbleton Avenue Methodist Junior School</v>
          </cell>
          <cell r="D24507" t="str">
            <v>Lancashire</v>
          </cell>
          <cell r="E24507" t="str">
            <v>Voluntary Controlled School</v>
          </cell>
          <cell r="F24507" t="str">
            <v>Primary</v>
          </cell>
        </row>
        <row r="24508">
          <cell r="A24508">
            <v>8883573</v>
          </cell>
          <cell r="B24508">
            <v>119559</v>
          </cell>
          <cell r="C24508" t="str">
            <v>Ribby with Wrea Endowed CofE Primary School</v>
          </cell>
          <cell r="D24508" t="str">
            <v>Lancashire</v>
          </cell>
          <cell r="E24508" t="str">
            <v>Voluntary Aided School</v>
          </cell>
          <cell r="F24508" t="str">
            <v>Primary</v>
          </cell>
        </row>
        <row r="24509">
          <cell r="A24509">
            <v>8883589</v>
          </cell>
          <cell r="B24509">
            <v>119571</v>
          </cell>
          <cell r="C24509" t="str">
            <v>Ribchester St Wilfrid's Church of England Voluntary Aided Primary School</v>
          </cell>
          <cell r="D24509" t="str">
            <v>Lancashire</v>
          </cell>
          <cell r="E24509" t="str">
            <v>Voluntary Aided School</v>
          </cell>
          <cell r="F24509" t="str">
            <v>Primary</v>
          </cell>
        </row>
        <row r="24510">
          <cell r="A24510">
            <v>9165400</v>
          </cell>
          <cell r="B24510">
            <v>115751</v>
          </cell>
          <cell r="C24510" t="str">
            <v>Ribston Hall High School</v>
          </cell>
          <cell r="D24510" t="str">
            <v>Gloucestershire</v>
          </cell>
          <cell r="E24510" t="str">
            <v>Foundation School</v>
          </cell>
          <cell r="F24510" t="str">
            <v>Secondary</v>
          </cell>
        </row>
        <row r="24511">
          <cell r="A24511">
            <v>9165400</v>
          </cell>
          <cell r="B24511">
            <v>136767</v>
          </cell>
          <cell r="C24511" t="str">
            <v>Ribston Hall High School</v>
          </cell>
          <cell r="D24511" t="str">
            <v>Gloucestershire</v>
          </cell>
          <cell r="E24511" t="str">
            <v>Academy Converters</v>
          </cell>
          <cell r="F24511" t="str">
            <v>Secondary</v>
          </cell>
        </row>
        <row r="24512">
          <cell r="A24512">
            <v>3154050</v>
          </cell>
          <cell r="B24512">
            <v>102673</v>
          </cell>
          <cell r="C24512" t="str">
            <v>Ricards Lodge High School</v>
          </cell>
          <cell r="D24512" t="str">
            <v>Merton</v>
          </cell>
          <cell r="E24512" t="str">
            <v>Community School</v>
          </cell>
          <cell r="F24512" t="str">
            <v>Secondary</v>
          </cell>
        </row>
        <row r="24513">
          <cell r="A24513">
            <v>8152410</v>
          </cell>
          <cell r="B24513">
            <v>121457</v>
          </cell>
          <cell r="C24513" t="str">
            <v>Riccall Community Primary School</v>
          </cell>
          <cell r="D24513" t="str">
            <v>North Yorkshire</v>
          </cell>
          <cell r="E24513" t="str">
            <v>Community School</v>
          </cell>
          <cell r="F24513" t="str">
            <v>Primary</v>
          </cell>
        </row>
        <row r="24514">
          <cell r="A24514">
            <v>3412160</v>
          </cell>
          <cell r="B24514">
            <v>104586</v>
          </cell>
          <cell r="C24514" t="str">
            <v>Rice Lane Infant and Nursery School</v>
          </cell>
          <cell r="D24514" t="str">
            <v>Liverpool</v>
          </cell>
          <cell r="E24514" t="str">
            <v>Community School</v>
          </cell>
          <cell r="F24514" t="str">
            <v>Primary</v>
          </cell>
        </row>
        <row r="24515">
          <cell r="A24515">
            <v>3412158</v>
          </cell>
          <cell r="B24515">
            <v>104585</v>
          </cell>
          <cell r="C24515" t="str">
            <v>Rice Lane Junior School</v>
          </cell>
          <cell r="D24515" t="str">
            <v>Liverpool</v>
          </cell>
          <cell r="E24515" t="str">
            <v>Community School</v>
          </cell>
          <cell r="F24515" t="str">
            <v>Primary</v>
          </cell>
        </row>
        <row r="24516">
          <cell r="A24516">
            <v>9022169</v>
          </cell>
          <cell r="B24516">
            <v>132864</v>
          </cell>
          <cell r="C24516" t="str">
            <v>Rice Trevor Lower School</v>
          </cell>
          <cell r="D24516" t="str">
            <v>Pre LGR (1997) Bedfordshire</v>
          </cell>
          <cell r="E24516" t="str">
            <v>Community School</v>
          </cell>
          <cell r="F24516" t="str">
            <v>Primary</v>
          </cell>
        </row>
        <row r="24517">
          <cell r="A24517">
            <v>3012054</v>
          </cell>
          <cell r="B24517">
            <v>101218</v>
          </cell>
          <cell r="C24517" t="str">
            <v>Richard Alibon Infants' School</v>
          </cell>
          <cell r="D24517" t="str">
            <v>Barking and Dagenham</v>
          </cell>
          <cell r="E24517" t="str">
            <v>Community School</v>
          </cell>
          <cell r="F24517" t="str">
            <v>Primary</v>
          </cell>
        </row>
        <row r="24518">
          <cell r="A24518">
            <v>3012053</v>
          </cell>
          <cell r="B24518">
            <v>101217</v>
          </cell>
          <cell r="C24518" t="str">
            <v>Richard Alibon Junior School</v>
          </cell>
          <cell r="D24518" t="str">
            <v>Barking and Dagenham</v>
          </cell>
          <cell r="E24518" t="str">
            <v>Community School</v>
          </cell>
          <cell r="F24518" t="str">
            <v>Primary</v>
          </cell>
        </row>
        <row r="24519">
          <cell r="A24519">
            <v>3012070</v>
          </cell>
          <cell r="B24519">
            <v>130357</v>
          </cell>
          <cell r="C24519" t="str">
            <v>Richard Alibon Primary School with ARP for Cognitive and Learning Difficulties : SEN Base</v>
          </cell>
          <cell r="D24519" t="str">
            <v>Barking and Dagenham</v>
          </cell>
          <cell r="E24519" t="str">
            <v>Community School</v>
          </cell>
          <cell r="F24519" t="str">
            <v>Primary</v>
          </cell>
        </row>
        <row r="24520">
          <cell r="A24520">
            <v>2082504</v>
          </cell>
          <cell r="B24520">
            <v>100578</v>
          </cell>
          <cell r="C24520" t="str">
            <v>Richard Atkins Primary School</v>
          </cell>
          <cell r="D24520" t="str">
            <v>Lambeth</v>
          </cell>
          <cell r="E24520" t="str">
            <v>Community School</v>
          </cell>
          <cell r="F24520" t="str">
            <v>Primary</v>
          </cell>
        </row>
        <row r="24521">
          <cell r="A24521">
            <v>3942159</v>
          </cell>
          <cell r="B24521">
            <v>108819</v>
          </cell>
          <cell r="C24521" t="str">
            <v>Richard Avenue Primary School</v>
          </cell>
          <cell r="D24521" t="str">
            <v>Sunderland</v>
          </cell>
          <cell r="E24521" t="str">
            <v>Community School</v>
          </cell>
          <cell r="F24521" t="str">
            <v>Primary</v>
          </cell>
        </row>
        <row r="24522">
          <cell r="A24522">
            <v>8912203</v>
          </cell>
          <cell r="B24522">
            <v>122512</v>
          </cell>
          <cell r="C24522" t="str">
            <v>Richard Bonington Primary and Nursery School</v>
          </cell>
          <cell r="D24522" t="str">
            <v>Nottinghamshire</v>
          </cell>
          <cell r="E24522" t="str">
            <v>Community School</v>
          </cell>
          <cell r="F24522" t="str">
            <v>Primary</v>
          </cell>
        </row>
        <row r="24523">
          <cell r="A24523">
            <v>9097016</v>
          </cell>
          <cell r="B24523">
            <v>128611</v>
          </cell>
          <cell r="C24523" t="str">
            <v>Richard Brunskill School</v>
          </cell>
          <cell r="D24523" t="str">
            <v>Cumbria</v>
          </cell>
          <cell r="E24523" t="str">
            <v>Community Special School</v>
          </cell>
          <cell r="F24523" t="str">
            <v>Special</v>
          </cell>
        </row>
        <row r="24524">
          <cell r="A24524">
            <v>3145401</v>
          </cell>
          <cell r="B24524">
            <v>102606</v>
          </cell>
          <cell r="C24524" t="str">
            <v>Richard Challoner School</v>
          </cell>
          <cell r="D24524" t="str">
            <v>Kingston upon Thames</v>
          </cell>
          <cell r="E24524" t="str">
            <v>Voluntary Aided School</v>
          </cell>
          <cell r="F24524" t="str">
            <v>Secondary</v>
          </cell>
        </row>
        <row r="24525">
          <cell r="A24525">
            <v>3145401</v>
          </cell>
          <cell r="B24525">
            <v>137299</v>
          </cell>
          <cell r="C24525" t="str">
            <v>Richard Challoner School</v>
          </cell>
          <cell r="D24525" t="str">
            <v>Kingston upon Thames</v>
          </cell>
          <cell r="E24525" t="str">
            <v>Academy Converters</v>
          </cell>
          <cell r="F24525" t="str">
            <v>Secondary</v>
          </cell>
        </row>
        <row r="24526">
          <cell r="A24526">
            <v>8602150</v>
          </cell>
          <cell r="B24526">
            <v>124052</v>
          </cell>
          <cell r="C24526" t="str">
            <v>Richard Clarke First School</v>
          </cell>
          <cell r="D24526" t="str">
            <v>Staffordshire</v>
          </cell>
          <cell r="E24526" t="str">
            <v>Community School</v>
          </cell>
          <cell r="F24526" t="str">
            <v>Primary</v>
          </cell>
        </row>
        <row r="24527">
          <cell r="A24527">
            <v>2067030</v>
          </cell>
          <cell r="B24527">
            <v>100467</v>
          </cell>
          <cell r="C24527" t="str">
            <v>Richard Cloudesley PH School</v>
          </cell>
          <cell r="D24527" t="str">
            <v>Islington</v>
          </cell>
          <cell r="E24527" t="str">
            <v>Community Special School</v>
          </cell>
          <cell r="F24527" t="str">
            <v>Special</v>
          </cell>
        </row>
        <row r="24528">
          <cell r="A24528">
            <v>9294800</v>
          </cell>
          <cell r="B24528">
            <v>122370</v>
          </cell>
          <cell r="C24528" t="str">
            <v>Richard Coates Church of England Middle School</v>
          </cell>
          <cell r="D24528" t="str">
            <v>Northumberland</v>
          </cell>
          <cell r="E24528" t="str">
            <v>Voluntary Aided School</v>
          </cell>
          <cell r="F24528" t="str">
            <v>Middle Deemed Secondary</v>
          </cell>
        </row>
        <row r="24529">
          <cell r="A24529">
            <v>2022507</v>
          </cell>
          <cell r="B24529">
            <v>100022</v>
          </cell>
          <cell r="C24529" t="str">
            <v>Richard Cobden Primary School</v>
          </cell>
          <cell r="D24529" t="str">
            <v>Camden</v>
          </cell>
          <cell r="E24529" t="str">
            <v>Community School</v>
          </cell>
          <cell r="F24529" t="str">
            <v>Primary</v>
          </cell>
        </row>
        <row r="24530">
          <cell r="A24530">
            <v>8603440</v>
          </cell>
          <cell r="B24530">
            <v>124338</v>
          </cell>
          <cell r="C24530" t="str">
            <v>Richard Crosse CofE (A) Primary School</v>
          </cell>
          <cell r="D24530" t="str">
            <v>Staffordshire</v>
          </cell>
          <cell r="E24530" t="str">
            <v>Voluntary Aided School</v>
          </cell>
          <cell r="F24530" t="str">
            <v>Primary</v>
          </cell>
        </row>
        <row r="24531">
          <cell r="A24531">
            <v>8812083</v>
          </cell>
          <cell r="B24531">
            <v>114765</v>
          </cell>
          <cell r="C24531" t="str">
            <v>Richard de Clare Community Primary School</v>
          </cell>
          <cell r="D24531" t="str">
            <v>Essex</v>
          </cell>
          <cell r="E24531" t="str">
            <v>Community School</v>
          </cell>
          <cell r="F24531" t="str">
            <v>Primary</v>
          </cell>
        </row>
        <row r="24532">
          <cell r="A24532">
            <v>8883185</v>
          </cell>
          <cell r="B24532">
            <v>119409</v>
          </cell>
          <cell r="C24532" t="str">
            <v>Richard Durning's Endowed Primary School</v>
          </cell>
          <cell r="D24532" t="str">
            <v>Lancashire</v>
          </cell>
          <cell r="E24532" t="str">
            <v>Voluntary Controlled School</v>
          </cell>
          <cell r="F24532" t="str">
            <v>Primary</v>
          </cell>
        </row>
        <row r="24533">
          <cell r="A24533">
            <v>3422055</v>
          </cell>
          <cell r="B24533">
            <v>127336</v>
          </cell>
          <cell r="C24533" t="str">
            <v>Richard Evans Community Infant School</v>
          </cell>
          <cell r="D24533" t="str">
            <v>St. Helens</v>
          </cell>
          <cell r="E24533" t="str">
            <v>Community School</v>
          </cell>
          <cell r="F24533" t="str">
            <v>Primary</v>
          </cell>
        </row>
        <row r="24534">
          <cell r="A24534">
            <v>3422054</v>
          </cell>
          <cell r="B24534">
            <v>127335</v>
          </cell>
          <cell r="C24534" t="str">
            <v>Richard Evans Community Junior School</v>
          </cell>
          <cell r="D24534" t="str">
            <v>St. Helens</v>
          </cell>
          <cell r="E24534" t="str">
            <v>Community School</v>
          </cell>
          <cell r="F24534" t="str">
            <v>Primary</v>
          </cell>
        </row>
        <row r="24535">
          <cell r="A24535">
            <v>3422069</v>
          </cell>
          <cell r="B24535">
            <v>104785</v>
          </cell>
          <cell r="C24535" t="str">
            <v>Richard Evans Community Primary School</v>
          </cell>
          <cell r="D24535" t="str">
            <v>St. Helens</v>
          </cell>
          <cell r="E24535" t="str">
            <v>Community School</v>
          </cell>
          <cell r="F24535" t="str">
            <v>Primary</v>
          </cell>
        </row>
        <row r="24536">
          <cell r="A24536">
            <v>9194006</v>
          </cell>
          <cell r="B24536">
            <v>117501</v>
          </cell>
          <cell r="C24536" t="str">
            <v>Richard Hale School</v>
          </cell>
          <cell r="D24536" t="str">
            <v>Hertfordshire</v>
          </cell>
          <cell r="E24536" t="str">
            <v>Foundation School</v>
          </cell>
          <cell r="F24536" t="str">
            <v>Secondary</v>
          </cell>
        </row>
        <row r="24537">
          <cell r="A24537">
            <v>8553330</v>
          </cell>
          <cell r="B24537">
            <v>120205</v>
          </cell>
          <cell r="C24537" t="str">
            <v>Richard Hill Church of England Primary School</v>
          </cell>
          <cell r="D24537" t="str">
            <v>Leicestershire</v>
          </cell>
          <cell r="E24537" t="str">
            <v>Voluntary Aided School</v>
          </cell>
          <cell r="F24537" t="str">
            <v>Primary</v>
          </cell>
        </row>
        <row r="24538">
          <cell r="A24538">
            <v>9338600</v>
          </cell>
          <cell r="B24538">
            <v>130808</v>
          </cell>
          <cell r="C24538" t="str">
            <v>Richard Huish College</v>
          </cell>
          <cell r="D24538" t="str">
            <v>Somerset</v>
          </cell>
          <cell r="E24538" t="str">
            <v>Further Education</v>
          </cell>
          <cell r="F24538" t="str">
            <v>16 Plus</v>
          </cell>
        </row>
        <row r="24539">
          <cell r="A24539">
            <v>9084160</v>
          </cell>
          <cell r="B24539">
            <v>112055</v>
          </cell>
          <cell r="C24539" t="str">
            <v>Richard Lander School</v>
          </cell>
          <cell r="D24539" t="str">
            <v>Cornwall</v>
          </cell>
          <cell r="E24539" t="str">
            <v>Community School</v>
          </cell>
          <cell r="F24539" t="str">
            <v>Secondary</v>
          </cell>
        </row>
        <row r="24540">
          <cell r="A24540">
            <v>3312051</v>
          </cell>
          <cell r="B24540">
            <v>127097</v>
          </cell>
          <cell r="C24540" t="str">
            <v>Richard Lee Infant School</v>
          </cell>
          <cell r="D24540" t="str">
            <v>Coventry</v>
          </cell>
          <cell r="E24540" t="str">
            <v>Community School</v>
          </cell>
          <cell r="F24540" t="str">
            <v>Primary</v>
          </cell>
        </row>
        <row r="24541">
          <cell r="A24541">
            <v>3312050</v>
          </cell>
          <cell r="B24541">
            <v>127096</v>
          </cell>
          <cell r="C24541" t="str">
            <v>Richard Lee Junior School</v>
          </cell>
          <cell r="D24541" t="str">
            <v>Coventry</v>
          </cell>
          <cell r="E24541" t="str">
            <v>Community School</v>
          </cell>
          <cell r="F24541" t="str">
            <v>Primary</v>
          </cell>
        </row>
        <row r="24542">
          <cell r="A24542">
            <v>3312143</v>
          </cell>
          <cell r="B24542">
            <v>103693</v>
          </cell>
          <cell r="C24542" t="str">
            <v>Richard Lee Primary School</v>
          </cell>
          <cell r="D24542" t="str">
            <v>Coventry</v>
          </cell>
          <cell r="E24542" t="str">
            <v>Community School</v>
          </cell>
          <cell r="F24542" t="str">
            <v>Primary</v>
          </cell>
        </row>
        <row r="24543">
          <cell r="A24543">
            <v>3702007</v>
          </cell>
          <cell r="B24543">
            <v>106555</v>
          </cell>
          <cell r="C24543" t="str">
            <v>Richard Newman Infant School</v>
          </cell>
          <cell r="D24543" t="str">
            <v>Barnsley</v>
          </cell>
          <cell r="E24543" t="str">
            <v>Community School</v>
          </cell>
          <cell r="F24543" t="str">
            <v>Primary</v>
          </cell>
        </row>
        <row r="24544">
          <cell r="A24544">
            <v>3702139</v>
          </cell>
          <cell r="B24544">
            <v>131159</v>
          </cell>
          <cell r="C24544" t="str">
            <v>Richard Newman Primary School</v>
          </cell>
          <cell r="D24544" t="str">
            <v>Barnsley</v>
          </cell>
          <cell r="E24544" t="str">
            <v>Community School</v>
          </cell>
          <cell r="F24544" t="str">
            <v>Primary</v>
          </cell>
        </row>
        <row r="24545">
          <cell r="A24545">
            <v>3837025</v>
          </cell>
          <cell r="B24545">
            <v>108122</v>
          </cell>
          <cell r="C24545" t="str">
            <v>Richard Oastler School</v>
          </cell>
          <cell r="D24545" t="str">
            <v>Leeds</v>
          </cell>
          <cell r="E24545" t="str">
            <v>Community Special School</v>
          </cell>
          <cell r="F24545" t="str">
            <v>Special</v>
          </cell>
        </row>
        <row r="24546">
          <cell r="A24546">
            <v>9096906</v>
          </cell>
          <cell r="B24546">
            <v>135621</v>
          </cell>
          <cell r="C24546" t="str">
            <v>Richard Rose Central Academy</v>
          </cell>
          <cell r="D24546" t="str">
            <v>Cumbria</v>
          </cell>
          <cell r="E24546" t="str">
            <v>Academy Sponsor Led</v>
          </cell>
          <cell r="F24546" t="str">
            <v>Secondary</v>
          </cell>
        </row>
        <row r="24547">
          <cell r="A24547">
            <v>9096905</v>
          </cell>
          <cell r="B24547">
            <v>135620</v>
          </cell>
          <cell r="C24547" t="str">
            <v>Richard Rose Morton Academy</v>
          </cell>
          <cell r="D24547" t="str">
            <v>Cumbria</v>
          </cell>
          <cell r="E24547" t="str">
            <v>Academy Sponsor Led</v>
          </cell>
          <cell r="F24547" t="str">
            <v>Secondary</v>
          </cell>
        </row>
        <row r="24548">
          <cell r="A24548">
            <v>9174268</v>
          </cell>
          <cell r="B24548">
            <v>129043</v>
          </cell>
          <cell r="C24548" t="str">
            <v>Richard Taunton College</v>
          </cell>
          <cell r="D24548" t="str">
            <v>Pre LGR (1997) Hampshire</v>
          </cell>
          <cell r="E24548" t="str">
            <v>Community School</v>
          </cell>
          <cell r="F24548" t="str">
            <v>Secondary</v>
          </cell>
        </row>
        <row r="24549">
          <cell r="A24549">
            <v>8153368</v>
          </cell>
          <cell r="B24549">
            <v>121634</v>
          </cell>
          <cell r="C24549" t="str">
            <v>Richard Taylor Church of England Primary School</v>
          </cell>
          <cell r="D24549" t="str">
            <v>North Yorkshire</v>
          </cell>
          <cell r="E24549" t="str">
            <v>Voluntary Aided School</v>
          </cell>
          <cell r="F24549" t="str">
            <v>Primary</v>
          </cell>
        </row>
        <row r="24550">
          <cell r="A24550">
            <v>8153353</v>
          </cell>
          <cell r="B24550">
            <v>121623</v>
          </cell>
          <cell r="C24550" t="str">
            <v>Richard Thornton's Church of England Voluntary Aided Primary School</v>
          </cell>
          <cell r="D24550" t="str">
            <v>North Yorkshire</v>
          </cell>
          <cell r="E24550" t="str">
            <v>Voluntary Aided School</v>
          </cell>
          <cell r="F24550" t="str">
            <v>Primary</v>
          </cell>
        </row>
        <row r="24551">
          <cell r="A24551">
            <v>8603119</v>
          </cell>
          <cell r="B24551">
            <v>124281</v>
          </cell>
          <cell r="C24551" t="str">
            <v>Richard Wakefield CofE (VC) Primary School</v>
          </cell>
          <cell r="D24551" t="str">
            <v>Staffordshire</v>
          </cell>
          <cell r="E24551" t="str">
            <v>Voluntary Controlled School</v>
          </cell>
          <cell r="F24551" t="str">
            <v>Primary</v>
          </cell>
        </row>
        <row r="24552">
          <cell r="A24552">
            <v>9192443</v>
          </cell>
          <cell r="B24552">
            <v>117346</v>
          </cell>
          <cell r="C24552" t="str">
            <v>Richard Whittington Primary School</v>
          </cell>
          <cell r="D24552" t="str">
            <v>Hertfordshire</v>
          </cell>
          <cell r="E24552" t="str">
            <v>Community School</v>
          </cell>
          <cell r="F24552" t="str">
            <v>Primary</v>
          </cell>
        </row>
        <row r="24553">
          <cell r="A24553">
            <v>3922069</v>
          </cell>
          <cell r="B24553">
            <v>108596</v>
          </cell>
          <cell r="C24553" t="str">
            <v>Richardson Dees Primary School</v>
          </cell>
          <cell r="D24553" t="str">
            <v>North Tyneside</v>
          </cell>
          <cell r="E24553" t="str">
            <v>Community School</v>
          </cell>
          <cell r="F24553" t="str">
            <v>Primary</v>
          </cell>
        </row>
        <row r="24554">
          <cell r="A24554">
            <v>8303086</v>
          </cell>
          <cell r="B24554">
            <v>112853</v>
          </cell>
          <cell r="C24554" t="str">
            <v>Richardson Endowed Primary School</v>
          </cell>
          <cell r="D24554" t="str">
            <v>Derbyshire</v>
          </cell>
          <cell r="E24554" t="str">
            <v>Voluntary Controlled School</v>
          </cell>
          <cell r="F24554" t="str">
            <v>Primary</v>
          </cell>
        </row>
        <row r="24555">
          <cell r="A24555">
            <v>3188006</v>
          </cell>
          <cell r="B24555">
            <v>131095</v>
          </cell>
          <cell r="C24555" t="str">
            <v>Richmond Adult Community College</v>
          </cell>
          <cell r="D24555" t="str">
            <v>Richmond upon Thames</v>
          </cell>
          <cell r="E24555" t="str">
            <v>Further Education</v>
          </cell>
          <cell r="F24555" t="str">
            <v>16 Plus</v>
          </cell>
        </row>
        <row r="24556">
          <cell r="A24556">
            <v>8822099</v>
          </cell>
          <cell r="B24556">
            <v>114775</v>
          </cell>
          <cell r="C24556" t="str">
            <v>Richmond Avenue Junior School</v>
          </cell>
          <cell r="D24556" t="str">
            <v>Southend-on-Sea</v>
          </cell>
          <cell r="E24556" t="str">
            <v>Community School</v>
          </cell>
          <cell r="F24556" t="str">
            <v>Primary</v>
          </cell>
        </row>
        <row r="24557">
          <cell r="A24557">
            <v>8823823</v>
          </cell>
          <cell r="B24557">
            <v>133957</v>
          </cell>
          <cell r="C24557" t="str">
            <v>Richmond Avenue Primary School</v>
          </cell>
          <cell r="D24557" t="str">
            <v>Southend-on-Sea</v>
          </cell>
          <cell r="E24557" t="str">
            <v>Community School</v>
          </cell>
          <cell r="F24557" t="str">
            <v>Primary</v>
          </cell>
        </row>
        <row r="24558">
          <cell r="A24558">
            <v>8153092</v>
          </cell>
          <cell r="B24558">
            <v>121512</v>
          </cell>
          <cell r="C24558" t="str">
            <v>Richmond Church of England Primary School</v>
          </cell>
          <cell r="D24558" t="str">
            <v>North Yorkshire</v>
          </cell>
          <cell r="E24558" t="str">
            <v>Voluntary Controlled School</v>
          </cell>
          <cell r="F24558" t="str">
            <v>Primary</v>
          </cell>
        </row>
        <row r="24559">
          <cell r="A24559">
            <v>3832217</v>
          </cell>
          <cell r="B24559">
            <v>127860</v>
          </cell>
          <cell r="C24559" t="str">
            <v>Richmond Hill First School</v>
          </cell>
          <cell r="D24559" t="str">
            <v>Leeds</v>
          </cell>
          <cell r="E24559" t="str">
            <v>Community School</v>
          </cell>
          <cell r="F24559" t="str">
            <v>Primary</v>
          </cell>
        </row>
        <row r="24560">
          <cell r="A24560">
            <v>3832451</v>
          </cell>
          <cell r="B24560">
            <v>107927</v>
          </cell>
          <cell r="C24560" t="str">
            <v>Richmond Hill Primary School</v>
          </cell>
          <cell r="D24560" t="str">
            <v>Leeds</v>
          </cell>
          <cell r="E24560" t="str">
            <v>Community School</v>
          </cell>
          <cell r="F24560" t="str">
            <v>Primary</v>
          </cell>
        </row>
        <row r="24561">
          <cell r="A24561">
            <v>3712210</v>
          </cell>
          <cell r="B24561">
            <v>133709</v>
          </cell>
          <cell r="C24561" t="str">
            <v>Richmond Hill Primary School</v>
          </cell>
          <cell r="D24561" t="str">
            <v>Doncaster</v>
          </cell>
          <cell r="E24561" t="str">
            <v>Community School</v>
          </cell>
          <cell r="F24561" t="str">
            <v>Primary</v>
          </cell>
        </row>
        <row r="24562">
          <cell r="A24562">
            <v>8217014</v>
          </cell>
          <cell r="B24562">
            <v>109743</v>
          </cell>
          <cell r="C24562" t="str">
            <v>Richmond Hill School</v>
          </cell>
          <cell r="D24562" t="str">
            <v>Luton</v>
          </cell>
          <cell r="E24562" t="str">
            <v>Community Special School</v>
          </cell>
          <cell r="F24562" t="str">
            <v>Special</v>
          </cell>
        </row>
        <row r="24563">
          <cell r="A24563">
            <v>3836004</v>
          </cell>
          <cell r="B24563">
            <v>108103</v>
          </cell>
          <cell r="C24563" t="str">
            <v>Richmond House School</v>
          </cell>
          <cell r="D24563" t="str">
            <v>Leeds</v>
          </cell>
          <cell r="E24563" t="str">
            <v>Other Independent School</v>
          </cell>
          <cell r="F24563" t="str">
            <v>Not applicable</v>
          </cell>
        </row>
        <row r="24564">
          <cell r="A24564">
            <v>9246214</v>
          </cell>
          <cell r="B24564">
            <v>129548</v>
          </cell>
          <cell r="C24564" t="str">
            <v>Richmond House School</v>
          </cell>
          <cell r="D24564" t="str">
            <v>Pre LGR (1997) Leicestershire</v>
          </cell>
          <cell r="E24564" t="str">
            <v>Other Independent School</v>
          </cell>
          <cell r="F24564" t="str">
            <v>Not applicable</v>
          </cell>
        </row>
        <row r="24565">
          <cell r="A24565">
            <v>3532045</v>
          </cell>
          <cell r="B24565">
            <v>105643</v>
          </cell>
          <cell r="C24565" t="str">
            <v>Richmond Infant and Nursery School</v>
          </cell>
          <cell r="D24565" t="str">
            <v>Oldham</v>
          </cell>
          <cell r="E24565" t="str">
            <v>Community School</v>
          </cell>
          <cell r="F24565" t="str">
            <v>Primary</v>
          </cell>
        </row>
        <row r="24566">
          <cell r="A24566">
            <v>8872407</v>
          </cell>
          <cell r="B24566">
            <v>118426</v>
          </cell>
          <cell r="C24566" t="str">
            <v>Richmond Infant School</v>
          </cell>
          <cell r="D24566" t="str">
            <v>Medway</v>
          </cell>
          <cell r="E24566" t="str">
            <v>Community School</v>
          </cell>
          <cell r="F24566" t="str">
            <v>Primary</v>
          </cell>
        </row>
        <row r="24567">
          <cell r="A24567">
            <v>8822118</v>
          </cell>
          <cell r="B24567">
            <v>114783</v>
          </cell>
          <cell r="C24567" t="str">
            <v>Richmond Infants' and Nursery School</v>
          </cell>
          <cell r="D24567" t="str">
            <v>Southend-on-Sea</v>
          </cell>
          <cell r="E24567" t="str">
            <v>Community School</v>
          </cell>
          <cell r="F24567" t="str">
            <v>Primary</v>
          </cell>
        </row>
        <row r="24568">
          <cell r="A24568">
            <v>3532046</v>
          </cell>
          <cell r="B24568">
            <v>105644</v>
          </cell>
          <cell r="C24568" t="str">
            <v>Richmond Junior School</v>
          </cell>
          <cell r="D24568" t="str">
            <v>Oldham</v>
          </cell>
          <cell r="E24568" t="str">
            <v>Community School</v>
          </cell>
          <cell r="F24568" t="str">
            <v>Primary</v>
          </cell>
        </row>
        <row r="24569">
          <cell r="A24569">
            <v>8153210</v>
          </cell>
          <cell r="B24569">
            <v>121544</v>
          </cell>
          <cell r="C24569" t="str">
            <v>Richmond Methodist Primary School</v>
          </cell>
          <cell r="D24569" t="str">
            <v>North Yorkshire</v>
          </cell>
          <cell r="E24569" t="str">
            <v>Voluntary Controlled School</v>
          </cell>
          <cell r="F24569" t="str">
            <v>Primary</v>
          </cell>
        </row>
        <row r="24570">
          <cell r="A24570">
            <v>3186907</v>
          </cell>
          <cell r="B24570">
            <v>136208</v>
          </cell>
          <cell r="C24570" t="str">
            <v>Richmond Park Academy</v>
          </cell>
          <cell r="D24570" t="str">
            <v>Richmond upon Thames</v>
          </cell>
          <cell r="E24570" t="str">
            <v>Academy Sponsor Led</v>
          </cell>
          <cell r="F24570" t="str">
            <v>Secondary</v>
          </cell>
        </row>
        <row r="24571">
          <cell r="A24571">
            <v>6692380</v>
          </cell>
          <cell r="B24571">
            <v>400838</v>
          </cell>
          <cell r="C24571" t="str">
            <v>Richmond Park Primary School</v>
          </cell>
          <cell r="D24571" t="str">
            <v>Carmarthenshire</v>
          </cell>
          <cell r="E24571" t="str">
            <v>Welsh Establishment</v>
          </cell>
          <cell r="F24571" t="str">
            <v>Primary</v>
          </cell>
        </row>
        <row r="24572">
          <cell r="A24572">
            <v>3527060</v>
          </cell>
          <cell r="B24572">
            <v>132175</v>
          </cell>
          <cell r="C24572" t="str">
            <v>Richmond Park School</v>
          </cell>
          <cell r="D24572" t="str">
            <v>Manchester</v>
          </cell>
          <cell r="E24572" t="str">
            <v>Community Special School</v>
          </cell>
          <cell r="F24572" t="str">
            <v>Special</v>
          </cell>
        </row>
        <row r="24573">
          <cell r="A24573">
            <v>8862242</v>
          </cell>
          <cell r="B24573">
            <v>118347</v>
          </cell>
          <cell r="C24573" t="str">
            <v>Richmond Primary School</v>
          </cell>
          <cell r="D24573" t="str">
            <v>Kent</v>
          </cell>
          <cell r="E24573" t="str">
            <v>Community School</v>
          </cell>
          <cell r="F24573" t="str">
            <v>Primary</v>
          </cell>
        </row>
        <row r="24574">
          <cell r="A24574">
            <v>8552351</v>
          </cell>
          <cell r="B24574">
            <v>120076</v>
          </cell>
          <cell r="C24574" t="str">
            <v>Richmond Primary School</v>
          </cell>
          <cell r="D24574" t="str">
            <v>Leicestershire</v>
          </cell>
          <cell r="E24574" t="str">
            <v>Community School</v>
          </cell>
          <cell r="F24574" t="str">
            <v>Primary</v>
          </cell>
        </row>
        <row r="24575">
          <cell r="A24575">
            <v>3532001</v>
          </cell>
          <cell r="B24575">
            <v>134246</v>
          </cell>
          <cell r="C24575" t="str">
            <v>Richmond Primary School</v>
          </cell>
          <cell r="D24575" t="str">
            <v>Oldham</v>
          </cell>
          <cell r="E24575" t="str">
            <v>Community School</v>
          </cell>
          <cell r="F24575" t="str">
            <v>Primary</v>
          </cell>
        </row>
        <row r="24576">
          <cell r="A24576">
            <v>8154076</v>
          </cell>
          <cell r="B24576">
            <v>121680</v>
          </cell>
          <cell r="C24576" t="str">
            <v>Richmond School</v>
          </cell>
          <cell r="D24576" t="str">
            <v>North Yorkshire</v>
          </cell>
          <cell r="E24576" t="str">
            <v>Community School</v>
          </cell>
          <cell r="F24576" t="str">
            <v>Secondary</v>
          </cell>
        </row>
        <row r="24577">
          <cell r="A24577">
            <v>3188005</v>
          </cell>
          <cell r="B24577">
            <v>130454</v>
          </cell>
          <cell r="C24577" t="str">
            <v>Richmond-upon-Thames College</v>
          </cell>
          <cell r="D24577" t="str">
            <v>Richmond upon Thames</v>
          </cell>
          <cell r="E24577" t="str">
            <v>Further Education</v>
          </cell>
          <cell r="F24577" t="str">
            <v>16 Plus</v>
          </cell>
        </row>
        <row r="24578">
          <cell r="A24578">
            <v>9353055</v>
          </cell>
          <cell r="B24578">
            <v>129912</v>
          </cell>
          <cell r="C24578" t="str">
            <v>Rickinghall VC Primary School</v>
          </cell>
          <cell r="D24578" t="str">
            <v>Suffolk</v>
          </cell>
          <cell r="E24578" t="str">
            <v>Voluntary Controlled School</v>
          </cell>
          <cell r="F24578" t="str">
            <v>Primary</v>
          </cell>
        </row>
        <row r="24579">
          <cell r="A24579">
            <v>3942158</v>
          </cell>
          <cell r="B24579">
            <v>108818</v>
          </cell>
          <cell r="C24579" t="str">
            <v>Rickleton Primary School</v>
          </cell>
          <cell r="D24579" t="str">
            <v>Sunderland</v>
          </cell>
          <cell r="E24579" t="str">
            <v>Community School</v>
          </cell>
          <cell r="F24579" t="str">
            <v>Primary</v>
          </cell>
        </row>
        <row r="24580">
          <cell r="A24580">
            <v>8262149</v>
          </cell>
          <cell r="B24580">
            <v>110267</v>
          </cell>
          <cell r="C24580" t="str">
            <v>Rickley Junior School</v>
          </cell>
          <cell r="D24580" t="str">
            <v>Milton Keynes</v>
          </cell>
          <cell r="E24580" t="str">
            <v>Community School</v>
          </cell>
          <cell r="F24580" t="str">
            <v>Primary</v>
          </cell>
        </row>
        <row r="24581">
          <cell r="A24581">
            <v>8265208</v>
          </cell>
          <cell r="B24581">
            <v>135870</v>
          </cell>
          <cell r="C24581" t="str">
            <v>Rickley Park Primary School</v>
          </cell>
          <cell r="D24581" t="str">
            <v>Milton Keynes</v>
          </cell>
          <cell r="E24581" t="str">
            <v>Community School</v>
          </cell>
          <cell r="F24581" t="str">
            <v>Primary</v>
          </cell>
        </row>
        <row r="24582">
          <cell r="A24582">
            <v>8813247</v>
          </cell>
          <cell r="B24582">
            <v>115130</v>
          </cell>
          <cell r="C24582" t="str">
            <v>Rickling Church of England Voluntary Controlled Primary School</v>
          </cell>
          <cell r="D24582" t="str">
            <v>Essex</v>
          </cell>
          <cell r="E24582" t="str">
            <v>Voluntary Controlled School</v>
          </cell>
          <cell r="F24582" t="str">
            <v>Primary</v>
          </cell>
        </row>
        <row r="24583">
          <cell r="A24583">
            <v>9192379</v>
          </cell>
          <cell r="B24583">
            <v>117304</v>
          </cell>
          <cell r="C24583" t="str">
            <v>Rickmansworth Park Junior Mixed and Infant School</v>
          </cell>
          <cell r="D24583" t="str">
            <v>Hertfordshire</v>
          </cell>
          <cell r="E24583" t="str">
            <v>Community School</v>
          </cell>
          <cell r="F24583" t="str">
            <v>Primary</v>
          </cell>
        </row>
        <row r="24584">
          <cell r="A24584">
            <v>9195400</v>
          </cell>
          <cell r="B24584">
            <v>117572</v>
          </cell>
          <cell r="C24584" t="str">
            <v>Rickmansworth School</v>
          </cell>
          <cell r="D24584" t="str">
            <v>Hertfordshire</v>
          </cell>
          <cell r="E24584" t="str">
            <v>Foundation School</v>
          </cell>
          <cell r="F24584" t="str">
            <v>Secondary</v>
          </cell>
        </row>
        <row r="24585">
          <cell r="A24585">
            <v>9195400</v>
          </cell>
          <cell r="B24585">
            <v>136606</v>
          </cell>
          <cell r="C24585" t="str">
            <v>Rickmansworth School</v>
          </cell>
          <cell r="D24585" t="str">
            <v>Hertfordshire</v>
          </cell>
          <cell r="E24585" t="str">
            <v>Academy Converters</v>
          </cell>
          <cell r="F24585" t="str">
            <v>Secondary</v>
          </cell>
        </row>
        <row r="24586">
          <cell r="A24586">
            <v>8302006</v>
          </cell>
          <cell r="B24586">
            <v>112496</v>
          </cell>
          <cell r="C24586" t="str">
            <v>Riddings Infant and Nursery School</v>
          </cell>
          <cell r="D24586" t="str">
            <v>Derbyshire</v>
          </cell>
          <cell r="E24586" t="str">
            <v>Community School</v>
          </cell>
          <cell r="F24586" t="str">
            <v>Primary</v>
          </cell>
        </row>
        <row r="24587">
          <cell r="A24587">
            <v>8302007</v>
          </cell>
          <cell r="B24587">
            <v>112497</v>
          </cell>
          <cell r="C24587" t="str">
            <v>Riddings Junior School</v>
          </cell>
          <cell r="D24587" t="str">
            <v>Derbyshire</v>
          </cell>
          <cell r="E24587" t="str">
            <v>Community School</v>
          </cell>
          <cell r="F24587" t="str">
            <v>Primary</v>
          </cell>
        </row>
        <row r="24588">
          <cell r="A24588">
            <v>8132152</v>
          </cell>
          <cell r="B24588">
            <v>117765</v>
          </cell>
          <cell r="C24588" t="str">
            <v>Riddings Junior School</v>
          </cell>
          <cell r="D24588" t="str">
            <v>North Lincolnshire</v>
          </cell>
          <cell r="E24588" t="str">
            <v>Community School</v>
          </cell>
          <cell r="F24588" t="str">
            <v>Primary</v>
          </cell>
        </row>
        <row r="24589">
          <cell r="A24589">
            <v>3803365</v>
          </cell>
          <cell r="B24589">
            <v>107340</v>
          </cell>
          <cell r="C24589" t="str">
            <v>Riddlesden St Mary's CofE Primary School</v>
          </cell>
          <cell r="D24589" t="str">
            <v>Bradford</v>
          </cell>
          <cell r="E24589" t="str">
            <v>Voluntary Aided School</v>
          </cell>
          <cell r="F24589" t="str">
            <v>Primary</v>
          </cell>
        </row>
        <row r="24590">
          <cell r="A24590">
            <v>3065400</v>
          </cell>
          <cell r="B24590">
            <v>101818</v>
          </cell>
          <cell r="C24590" t="str">
            <v>Riddlesdown Collegiate</v>
          </cell>
          <cell r="D24590" t="str">
            <v>Croydon</v>
          </cell>
          <cell r="E24590" t="str">
            <v>Foundation School</v>
          </cell>
          <cell r="F24590" t="str">
            <v>Secondary</v>
          </cell>
        </row>
        <row r="24591">
          <cell r="A24591">
            <v>9266000</v>
          </cell>
          <cell r="B24591">
            <v>121221</v>
          </cell>
          <cell r="C24591" t="str">
            <v>Riddlesworth Hall School</v>
          </cell>
          <cell r="D24591" t="str">
            <v>Norfolk</v>
          </cell>
          <cell r="E24591" t="str">
            <v>Other Independent School</v>
          </cell>
          <cell r="F24591" t="str">
            <v>Not applicable</v>
          </cell>
        </row>
        <row r="24592">
          <cell r="A24592">
            <v>8502101</v>
          </cell>
          <cell r="B24592">
            <v>115909</v>
          </cell>
          <cell r="C24592" t="str">
            <v>Riders Infant School</v>
          </cell>
          <cell r="D24592" t="str">
            <v>Hampshire</v>
          </cell>
          <cell r="E24592" t="str">
            <v>Community School</v>
          </cell>
          <cell r="F24592" t="str">
            <v>Primary</v>
          </cell>
        </row>
        <row r="24593">
          <cell r="A24593">
            <v>8502100</v>
          </cell>
          <cell r="B24593">
            <v>115908</v>
          </cell>
          <cell r="C24593" t="str">
            <v>Riders Junior School</v>
          </cell>
          <cell r="D24593" t="str">
            <v>Hampshire</v>
          </cell>
          <cell r="E24593" t="str">
            <v>Community School</v>
          </cell>
          <cell r="F24593" t="str">
            <v>Primary</v>
          </cell>
        </row>
        <row r="24594">
          <cell r="A24594">
            <v>3572016</v>
          </cell>
          <cell r="B24594">
            <v>106187</v>
          </cell>
          <cell r="C24594" t="str">
            <v>Ridge Hill Primary School and Nursery</v>
          </cell>
          <cell r="D24594" t="str">
            <v>Tameside</v>
          </cell>
          <cell r="E24594" t="str">
            <v>Community School</v>
          </cell>
          <cell r="F24594" t="str">
            <v>Primary</v>
          </cell>
        </row>
        <row r="24595">
          <cell r="A24595">
            <v>9036062</v>
          </cell>
          <cell r="B24595">
            <v>128295</v>
          </cell>
          <cell r="C24595" t="str">
            <v>Ridge House School</v>
          </cell>
          <cell r="D24595" t="str">
            <v>Pre LGR (1998) Berkshire</v>
          </cell>
          <cell r="E24595" t="str">
            <v>Other Independent School</v>
          </cell>
          <cell r="F24595" t="str">
            <v>Not applicable</v>
          </cell>
        </row>
        <row r="24596">
          <cell r="A24596">
            <v>8872669</v>
          </cell>
          <cell r="B24596">
            <v>118580</v>
          </cell>
          <cell r="C24596" t="str">
            <v>Ridge Meadow Primary School</v>
          </cell>
          <cell r="D24596" t="str">
            <v>Medway</v>
          </cell>
          <cell r="E24596" t="str">
            <v>Community School</v>
          </cell>
          <cell r="F24596" t="str">
            <v>Primary</v>
          </cell>
        </row>
        <row r="24597">
          <cell r="A24597">
            <v>8867051</v>
          </cell>
          <cell r="B24597">
            <v>119050</v>
          </cell>
          <cell r="C24597" t="str">
            <v>Ridge View School</v>
          </cell>
          <cell r="D24597" t="str">
            <v>Kent</v>
          </cell>
          <cell r="E24597" t="str">
            <v>Community Special School</v>
          </cell>
          <cell r="F24597" t="str">
            <v>Special</v>
          </cell>
        </row>
        <row r="24598">
          <cell r="A24598">
            <v>8732453</v>
          </cell>
          <cell r="B24598">
            <v>133311</v>
          </cell>
          <cell r="C24598" t="str">
            <v>Ridgefield Primary School</v>
          </cell>
          <cell r="D24598" t="str">
            <v>Cambridgeshire</v>
          </cell>
          <cell r="E24598" t="str">
            <v>Foundation School</v>
          </cell>
          <cell r="F24598" t="str">
            <v>Primary</v>
          </cell>
        </row>
        <row r="24599">
          <cell r="A24599">
            <v>9342376</v>
          </cell>
          <cell r="B24599">
            <v>129906</v>
          </cell>
          <cell r="C24599" t="str">
            <v>Ridgeway First School</v>
          </cell>
          <cell r="D24599" t="str">
            <v>Pre LGR (1997) Staffordshire</v>
          </cell>
          <cell r="E24599" t="str">
            <v>Community School</v>
          </cell>
          <cell r="F24599" t="str">
            <v>Primary</v>
          </cell>
        </row>
        <row r="24600">
          <cell r="A24600">
            <v>3444018</v>
          </cell>
          <cell r="B24600">
            <v>105097</v>
          </cell>
          <cell r="C24600" t="str">
            <v>Ridgeway High School</v>
          </cell>
          <cell r="D24600" t="str">
            <v>Wirral</v>
          </cell>
          <cell r="E24600" t="str">
            <v>Foundation School</v>
          </cell>
          <cell r="F24600" t="str">
            <v>Secondary</v>
          </cell>
        </row>
        <row r="24601">
          <cell r="A24601">
            <v>8527038</v>
          </cell>
          <cell r="B24601">
            <v>116623</v>
          </cell>
          <cell r="C24601" t="str">
            <v>Ridgeway House School</v>
          </cell>
          <cell r="D24601" t="str">
            <v>Southampton</v>
          </cell>
          <cell r="E24601" t="str">
            <v>Community Special School</v>
          </cell>
          <cell r="F24601" t="str">
            <v>Special</v>
          </cell>
        </row>
        <row r="24602">
          <cell r="A24602">
            <v>8312458</v>
          </cell>
          <cell r="B24602">
            <v>112757</v>
          </cell>
          <cell r="C24602" t="str">
            <v>Ridgeway Infant School</v>
          </cell>
          <cell r="D24602" t="str">
            <v>Derby</v>
          </cell>
          <cell r="E24602" t="str">
            <v>Community School</v>
          </cell>
          <cell r="F24602" t="str">
            <v>Primary</v>
          </cell>
        </row>
        <row r="24603">
          <cell r="A24603">
            <v>3062070</v>
          </cell>
          <cell r="B24603">
            <v>101762</v>
          </cell>
          <cell r="C24603" t="str">
            <v>Ridgeway Infants' School</v>
          </cell>
          <cell r="D24603" t="str">
            <v>Croydon</v>
          </cell>
          <cell r="E24603" t="str">
            <v>Community School</v>
          </cell>
          <cell r="F24603" t="str">
            <v>Primary</v>
          </cell>
        </row>
        <row r="24604">
          <cell r="A24604">
            <v>3062069</v>
          </cell>
          <cell r="B24604">
            <v>101761</v>
          </cell>
          <cell r="C24604" t="str">
            <v>Ridgeway Junior School</v>
          </cell>
          <cell r="D24604" t="str">
            <v>Croydon</v>
          </cell>
          <cell r="E24604" t="str">
            <v>Community School</v>
          </cell>
          <cell r="F24604" t="str">
            <v>Primary</v>
          </cell>
        </row>
        <row r="24605">
          <cell r="A24605">
            <v>8854422</v>
          </cell>
          <cell r="B24605">
            <v>116971</v>
          </cell>
          <cell r="C24605" t="str">
            <v>Ridgeway Middle School</v>
          </cell>
          <cell r="D24605" t="str">
            <v>Worcestershire</v>
          </cell>
          <cell r="E24605" t="str">
            <v>Community School</v>
          </cell>
          <cell r="F24605" t="str">
            <v>Middle Deemed Secondary</v>
          </cell>
        </row>
        <row r="24606">
          <cell r="A24606">
            <v>9344166</v>
          </cell>
          <cell r="B24606">
            <v>129946</v>
          </cell>
          <cell r="C24606" t="str">
            <v>Ridgeway Middle School</v>
          </cell>
          <cell r="D24606" t="str">
            <v>Pre LGR (1997) Staffordshire</v>
          </cell>
          <cell r="E24606" t="str">
            <v>Community School</v>
          </cell>
          <cell r="F24606" t="str">
            <v>Middle Deemed Secondary</v>
          </cell>
        </row>
        <row r="24607">
          <cell r="A24607">
            <v>3932005</v>
          </cell>
          <cell r="B24607">
            <v>108669</v>
          </cell>
          <cell r="C24607" t="str">
            <v>Ridgeway Primary School</v>
          </cell>
          <cell r="D24607" t="str">
            <v>South Tyneside</v>
          </cell>
          <cell r="E24607" t="str">
            <v>Community School</v>
          </cell>
          <cell r="F24607" t="str">
            <v>Primary</v>
          </cell>
        </row>
        <row r="24608">
          <cell r="A24608">
            <v>8302102</v>
          </cell>
          <cell r="B24608">
            <v>112546</v>
          </cell>
          <cell r="C24608" t="str">
            <v>Ridgeway Primary School</v>
          </cell>
          <cell r="D24608" t="str">
            <v>Derbyshire</v>
          </cell>
          <cell r="E24608" t="str">
            <v>Community School</v>
          </cell>
          <cell r="F24608" t="str">
            <v>Primary</v>
          </cell>
        </row>
        <row r="24609">
          <cell r="A24609">
            <v>8602418</v>
          </cell>
          <cell r="B24609">
            <v>124214</v>
          </cell>
          <cell r="C24609" t="str">
            <v>Ridgeway Primary School</v>
          </cell>
          <cell r="D24609" t="str">
            <v>Staffordshire</v>
          </cell>
          <cell r="E24609" t="str">
            <v>Community School</v>
          </cell>
          <cell r="F24609" t="str">
            <v>Primary</v>
          </cell>
        </row>
        <row r="24610">
          <cell r="A24610">
            <v>3062107</v>
          </cell>
          <cell r="B24610">
            <v>130915</v>
          </cell>
          <cell r="C24610" t="str">
            <v>Ridgeway Primary School</v>
          </cell>
          <cell r="D24610" t="str">
            <v>Croydon</v>
          </cell>
          <cell r="E24610" t="str">
            <v>Community School</v>
          </cell>
          <cell r="F24610" t="str">
            <v>Primary</v>
          </cell>
        </row>
        <row r="24611">
          <cell r="A24611">
            <v>8227012</v>
          </cell>
          <cell r="B24611">
            <v>109742</v>
          </cell>
          <cell r="C24611" t="str">
            <v>Ridgeway School</v>
          </cell>
          <cell r="D24611" t="str">
            <v>Bedford</v>
          </cell>
          <cell r="E24611" t="str">
            <v>Community Special School</v>
          </cell>
          <cell r="F24611" t="str">
            <v>Special</v>
          </cell>
        </row>
        <row r="24612">
          <cell r="A24612">
            <v>8794178</v>
          </cell>
          <cell r="B24612">
            <v>113535</v>
          </cell>
          <cell r="C24612" t="str">
            <v>Ridgeway School</v>
          </cell>
          <cell r="D24612" t="str">
            <v>Plymouth</v>
          </cell>
          <cell r="E24612" t="str">
            <v>Community School</v>
          </cell>
          <cell r="F24612" t="str">
            <v>Secondary</v>
          </cell>
        </row>
        <row r="24613">
          <cell r="A24613">
            <v>9377028</v>
          </cell>
          <cell r="B24613">
            <v>125805</v>
          </cell>
          <cell r="C24613" t="str">
            <v>Ridgeway School</v>
          </cell>
          <cell r="D24613" t="str">
            <v>Warwickshire</v>
          </cell>
          <cell r="E24613" t="str">
            <v>Community Special School</v>
          </cell>
          <cell r="F24613" t="str">
            <v>Special</v>
          </cell>
        </row>
        <row r="24614">
          <cell r="A24614">
            <v>8794178</v>
          </cell>
          <cell r="B24614">
            <v>136556</v>
          </cell>
          <cell r="C24614" t="str">
            <v>Ridgeway School</v>
          </cell>
          <cell r="D24614" t="str">
            <v>Plymouth</v>
          </cell>
          <cell r="E24614" t="str">
            <v>Academy Converters</v>
          </cell>
          <cell r="F24614" t="str">
            <v>Secondary</v>
          </cell>
        </row>
        <row r="24615">
          <cell r="A24615">
            <v>6666043</v>
          </cell>
          <cell r="B24615">
            <v>402101</v>
          </cell>
          <cell r="C24615" t="str">
            <v>Ridgeway School</v>
          </cell>
          <cell r="D24615" t="str">
            <v>Powys</v>
          </cell>
          <cell r="E24615" t="str">
            <v>Welsh Establishment</v>
          </cell>
          <cell r="F24615" t="str">
            <v>Not applicable</v>
          </cell>
        </row>
        <row r="24616">
          <cell r="A24616">
            <v>8861115</v>
          </cell>
          <cell r="B24616">
            <v>132032</v>
          </cell>
          <cell r="C24616" t="str">
            <v>Ridgewaye Centre</v>
          </cell>
          <cell r="D24616" t="str">
            <v>Kent</v>
          </cell>
          <cell r="E24616" t="str">
            <v>Pupil Referral Unit</v>
          </cell>
          <cell r="F24616" t="str">
            <v>PRU</v>
          </cell>
        </row>
        <row r="24617">
          <cell r="A24617">
            <v>8813319</v>
          </cell>
          <cell r="B24617">
            <v>115142</v>
          </cell>
          <cell r="C24617" t="str">
            <v>Ridgewell Church of England Voluntary Aided Primary School</v>
          </cell>
          <cell r="D24617" t="str">
            <v>Essex</v>
          </cell>
          <cell r="E24617" t="str">
            <v>Voluntary Aided School</v>
          </cell>
          <cell r="F24617" t="str">
            <v>Primary</v>
          </cell>
        </row>
        <row r="24618">
          <cell r="A24618">
            <v>8887113</v>
          </cell>
          <cell r="B24618">
            <v>135013</v>
          </cell>
          <cell r="C24618" t="str">
            <v>Ridgewood Community High School</v>
          </cell>
          <cell r="D24618" t="str">
            <v>Lancashire</v>
          </cell>
          <cell r="E24618" t="str">
            <v>Community Special School</v>
          </cell>
          <cell r="F24618" t="str">
            <v>Special</v>
          </cell>
        </row>
        <row r="24619">
          <cell r="A24619">
            <v>3324121</v>
          </cell>
          <cell r="B24619">
            <v>103866</v>
          </cell>
          <cell r="C24619" t="str">
            <v>Ridgewood High School</v>
          </cell>
          <cell r="D24619" t="str">
            <v>Dudley</v>
          </cell>
          <cell r="E24619" t="str">
            <v>Foundation School</v>
          </cell>
          <cell r="F24619" t="str">
            <v>Secondary</v>
          </cell>
        </row>
        <row r="24620">
          <cell r="A24620">
            <v>3714033</v>
          </cell>
          <cell r="B24620">
            <v>106789</v>
          </cell>
          <cell r="C24620" t="str">
            <v>Ridgewood School</v>
          </cell>
          <cell r="D24620" t="str">
            <v>Doncaster</v>
          </cell>
          <cell r="E24620" t="str">
            <v>Community School</v>
          </cell>
          <cell r="F24620" t="str">
            <v>Secondary</v>
          </cell>
        </row>
        <row r="24621">
          <cell r="A24621">
            <v>3714033</v>
          </cell>
          <cell r="B24621">
            <v>137603</v>
          </cell>
          <cell r="C24621" t="str">
            <v>Ridgewood School</v>
          </cell>
          <cell r="D24621" t="str">
            <v>Doncaster</v>
          </cell>
          <cell r="E24621" t="str">
            <v>Academy Converters</v>
          </cell>
          <cell r="F24621" t="str">
            <v>Secondary</v>
          </cell>
        </row>
        <row r="24622">
          <cell r="A24622">
            <v>8232118</v>
          </cell>
          <cell r="B24622">
            <v>109476</v>
          </cell>
          <cell r="C24622" t="str">
            <v>Ridgmont Lower School</v>
          </cell>
          <cell r="D24622" t="str">
            <v>Central Bedfordshire</v>
          </cell>
          <cell r="E24622" t="str">
            <v>Community School</v>
          </cell>
          <cell r="F24622" t="str">
            <v>Primary</v>
          </cell>
        </row>
        <row r="24623">
          <cell r="A24623">
            <v>8886049</v>
          </cell>
          <cell r="B24623">
            <v>133339</v>
          </cell>
          <cell r="C24623" t="str">
            <v>Ridgway Park</v>
          </cell>
          <cell r="D24623" t="str">
            <v>Lancashire</v>
          </cell>
          <cell r="E24623" t="str">
            <v>Other Independent Special School</v>
          </cell>
          <cell r="F24623" t="str">
            <v>Not applicable</v>
          </cell>
        </row>
        <row r="24624">
          <cell r="A24624">
            <v>3302446</v>
          </cell>
          <cell r="B24624">
            <v>103373</v>
          </cell>
          <cell r="C24624" t="str">
            <v>Ridpool Primary and Nursery School</v>
          </cell>
          <cell r="D24624" t="str">
            <v>Birmingham</v>
          </cell>
          <cell r="E24624" t="str">
            <v>Community School</v>
          </cell>
          <cell r="F24624" t="str">
            <v>Primary</v>
          </cell>
        </row>
        <row r="24625">
          <cell r="A24625">
            <v>9077000</v>
          </cell>
          <cell r="B24625">
            <v>128525</v>
          </cell>
          <cell r="C24625" t="str">
            <v>Rievaulx School</v>
          </cell>
          <cell r="D24625" t="str">
            <v>Pre LGR (1996) Cleveland</v>
          </cell>
          <cell r="E24625" t="str">
            <v>Community Special School</v>
          </cell>
          <cell r="F24625" t="str">
            <v>Special</v>
          </cell>
        </row>
        <row r="24626">
          <cell r="A24626">
            <v>8052341</v>
          </cell>
          <cell r="B24626">
            <v>111640</v>
          </cell>
          <cell r="C24626" t="str">
            <v>Rift House Primary School</v>
          </cell>
          <cell r="D24626" t="str">
            <v>Hartlepool</v>
          </cell>
          <cell r="E24626" t="str">
            <v>Community School</v>
          </cell>
          <cell r="F24626" t="str">
            <v>Primary</v>
          </cell>
        </row>
        <row r="24627">
          <cell r="A24627">
            <v>8857001</v>
          </cell>
          <cell r="B24627">
            <v>117049</v>
          </cell>
          <cell r="C24627" t="str">
            <v>Rigby Hall Day Special School</v>
          </cell>
          <cell r="D24627" t="str">
            <v>Worcestershire</v>
          </cell>
          <cell r="E24627" t="str">
            <v>Community Special School</v>
          </cell>
          <cell r="F24627" t="str">
            <v>Special</v>
          </cell>
        </row>
        <row r="24628">
          <cell r="A24628">
            <v>2036300</v>
          </cell>
          <cell r="B24628">
            <v>134402</v>
          </cell>
          <cell r="C24628" t="str">
            <v>Right Choice Project</v>
          </cell>
          <cell r="D24628" t="str">
            <v>Greenwich</v>
          </cell>
          <cell r="E24628" t="str">
            <v>Other Independent School</v>
          </cell>
          <cell r="F24628" t="str">
            <v>Not applicable</v>
          </cell>
        </row>
        <row r="24629">
          <cell r="A24629">
            <v>3306210</v>
          </cell>
          <cell r="B24629">
            <v>136134</v>
          </cell>
          <cell r="C24629" t="str">
            <v>Rightrack</v>
          </cell>
          <cell r="D24629" t="str">
            <v>Birmingham</v>
          </cell>
          <cell r="E24629" t="str">
            <v>Other Independent Special School</v>
          </cell>
          <cell r="F24629" t="str">
            <v>Not applicable</v>
          </cell>
        </row>
        <row r="24630">
          <cell r="A24630">
            <v>9386188</v>
          </cell>
          <cell r="B24630">
            <v>126132</v>
          </cell>
          <cell r="C24630" t="str">
            <v>Rikkyo School-in-England</v>
          </cell>
          <cell r="D24630" t="str">
            <v>West Sussex</v>
          </cell>
          <cell r="E24630" t="str">
            <v>Other Independent School</v>
          </cell>
          <cell r="F24630" t="str">
            <v>Not applicable</v>
          </cell>
        </row>
        <row r="24631">
          <cell r="A24631">
            <v>8152411</v>
          </cell>
          <cell r="B24631">
            <v>121458</v>
          </cell>
          <cell r="C24631" t="str">
            <v>Rillington Community Primary School</v>
          </cell>
          <cell r="D24631" t="str">
            <v>North Yorkshire</v>
          </cell>
          <cell r="E24631" t="str">
            <v>Community School</v>
          </cell>
          <cell r="F24631" t="str">
            <v>Primary</v>
          </cell>
        </row>
        <row r="24632">
          <cell r="A24632">
            <v>3433385</v>
          </cell>
          <cell r="B24632">
            <v>134371</v>
          </cell>
          <cell r="C24632" t="str">
            <v>Rimrose Hope CofE Primary School</v>
          </cell>
          <cell r="D24632" t="str">
            <v>Sefton</v>
          </cell>
          <cell r="E24632" t="str">
            <v>Voluntary Controlled School</v>
          </cell>
          <cell r="F24632" t="str">
            <v>Primary</v>
          </cell>
        </row>
        <row r="24633">
          <cell r="A24633">
            <v>2062007</v>
          </cell>
          <cell r="B24633">
            <v>100396</v>
          </cell>
          <cell r="C24633" t="str">
            <v>Ring Cross Primary School</v>
          </cell>
          <cell r="D24633" t="str">
            <v>Islington</v>
          </cell>
          <cell r="E24633" t="str">
            <v>Community School</v>
          </cell>
          <cell r="F24633" t="str">
            <v>Primary</v>
          </cell>
        </row>
        <row r="24634">
          <cell r="A24634">
            <v>6802038</v>
          </cell>
          <cell r="B24634">
            <v>401523</v>
          </cell>
          <cell r="C24634" t="str">
            <v>Ringland Infant School</v>
          </cell>
          <cell r="D24634" t="str">
            <v>Newport</v>
          </cell>
          <cell r="E24634" t="str">
            <v>Welsh Establishment</v>
          </cell>
          <cell r="F24634" t="str">
            <v>Not applicable</v>
          </cell>
        </row>
        <row r="24635">
          <cell r="A24635">
            <v>6802042</v>
          </cell>
          <cell r="B24635">
            <v>401527</v>
          </cell>
          <cell r="C24635" t="str">
            <v>Ringland Junior School</v>
          </cell>
          <cell r="D24635" t="str">
            <v>Newport</v>
          </cell>
          <cell r="E24635" t="str">
            <v>Welsh Establishment</v>
          </cell>
          <cell r="F24635" t="str">
            <v>Not applicable</v>
          </cell>
        </row>
        <row r="24636">
          <cell r="A24636">
            <v>6802316</v>
          </cell>
          <cell r="B24636">
            <v>402047</v>
          </cell>
          <cell r="C24636" t="str">
            <v>Ringland Primary</v>
          </cell>
          <cell r="D24636" t="str">
            <v>Newport</v>
          </cell>
          <cell r="E24636" t="str">
            <v>Welsh Establishment</v>
          </cell>
          <cell r="F24636" t="str">
            <v>Primary</v>
          </cell>
        </row>
        <row r="24637">
          <cell r="A24637">
            <v>8454041</v>
          </cell>
          <cell r="B24637">
            <v>114593</v>
          </cell>
          <cell r="C24637" t="str">
            <v>Ringmer Community College</v>
          </cell>
          <cell r="D24637" t="str">
            <v>East Sussex</v>
          </cell>
          <cell r="E24637" t="str">
            <v>Community School</v>
          </cell>
          <cell r="F24637" t="str">
            <v>Secondary</v>
          </cell>
        </row>
        <row r="24638">
          <cell r="A24638">
            <v>8454041</v>
          </cell>
          <cell r="B24638">
            <v>137232</v>
          </cell>
          <cell r="C24638" t="str">
            <v>Ringmer Community College</v>
          </cell>
          <cell r="D24638" t="str">
            <v>East Sussex</v>
          </cell>
          <cell r="E24638" t="str">
            <v>Academy Converters</v>
          </cell>
          <cell r="F24638" t="str">
            <v>Secondary</v>
          </cell>
        </row>
        <row r="24639">
          <cell r="A24639">
            <v>8452083</v>
          </cell>
          <cell r="B24639">
            <v>114415</v>
          </cell>
          <cell r="C24639" t="str">
            <v>Ringmer Primary School</v>
          </cell>
          <cell r="D24639" t="str">
            <v>East Sussex</v>
          </cell>
          <cell r="E24639" t="str">
            <v>Community School</v>
          </cell>
          <cell r="F24639" t="str">
            <v>Primary</v>
          </cell>
        </row>
        <row r="24640">
          <cell r="A24640">
            <v>9353101</v>
          </cell>
          <cell r="B24640">
            <v>124741</v>
          </cell>
          <cell r="C24640" t="str">
            <v>Ringsfield Church of England Voluntary Controlled Primary School</v>
          </cell>
          <cell r="D24640" t="str">
            <v>Suffolk</v>
          </cell>
          <cell r="E24640" t="str">
            <v>Voluntary Controlled School</v>
          </cell>
          <cell r="F24640" t="str">
            <v>Primary</v>
          </cell>
        </row>
        <row r="24641">
          <cell r="A24641">
            <v>9352105</v>
          </cell>
          <cell r="B24641">
            <v>124604</v>
          </cell>
          <cell r="C24641" t="str">
            <v>Ringshall School</v>
          </cell>
          <cell r="D24641" t="str">
            <v>Suffolk</v>
          </cell>
          <cell r="E24641" t="str">
            <v>Community School</v>
          </cell>
          <cell r="F24641" t="str">
            <v>Primary</v>
          </cell>
        </row>
        <row r="24642">
          <cell r="A24642">
            <v>9283053</v>
          </cell>
          <cell r="B24642">
            <v>121989</v>
          </cell>
          <cell r="C24642" t="str">
            <v>Ringstead Church of England Primary School</v>
          </cell>
          <cell r="D24642" t="str">
            <v>Northamptonshire</v>
          </cell>
          <cell r="E24642" t="str">
            <v>Voluntary Controlled School</v>
          </cell>
          <cell r="F24642" t="str">
            <v>Primary</v>
          </cell>
        </row>
        <row r="24643">
          <cell r="A24643">
            <v>3522008</v>
          </cell>
          <cell r="B24643">
            <v>131931</v>
          </cell>
          <cell r="C24643" t="str">
            <v>Ringway Primary School</v>
          </cell>
          <cell r="D24643" t="str">
            <v>Manchester</v>
          </cell>
          <cell r="E24643" t="str">
            <v>Community School</v>
          </cell>
          <cell r="F24643" t="str">
            <v>Primary</v>
          </cell>
        </row>
        <row r="24644">
          <cell r="A24644">
            <v>8503132</v>
          </cell>
          <cell r="B24644">
            <v>116309</v>
          </cell>
          <cell r="C24644" t="str">
            <v>Ringwood Church of England Infant School</v>
          </cell>
          <cell r="D24644" t="str">
            <v>Hampshire</v>
          </cell>
          <cell r="E24644" t="str">
            <v>Voluntary Controlled School</v>
          </cell>
          <cell r="F24644" t="str">
            <v>Primary</v>
          </cell>
        </row>
        <row r="24645">
          <cell r="A24645">
            <v>8502175</v>
          </cell>
          <cell r="B24645">
            <v>115943</v>
          </cell>
          <cell r="C24645" t="str">
            <v>Ringwood Junior School</v>
          </cell>
          <cell r="D24645" t="str">
            <v>Hampshire</v>
          </cell>
          <cell r="E24645" t="str">
            <v>Community School</v>
          </cell>
          <cell r="F24645" t="str">
            <v>Primary</v>
          </cell>
        </row>
        <row r="24646">
          <cell r="A24646">
            <v>8505403</v>
          </cell>
          <cell r="B24646">
            <v>116496</v>
          </cell>
          <cell r="C24646" t="str">
            <v>Ringwood School</v>
          </cell>
          <cell r="D24646" t="str">
            <v>Hampshire</v>
          </cell>
          <cell r="E24646" t="str">
            <v>Foundation School</v>
          </cell>
          <cell r="F24646" t="str">
            <v>Secondary</v>
          </cell>
        </row>
        <row r="24647">
          <cell r="A24647">
            <v>8505403</v>
          </cell>
          <cell r="B24647">
            <v>136657</v>
          </cell>
          <cell r="C24647" t="str">
            <v>Ringwood School Academy</v>
          </cell>
          <cell r="D24647" t="str">
            <v>Hampshire</v>
          </cell>
          <cell r="E24647" t="str">
            <v>Academy Converters</v>
          </cell>
          <cell r="F24647" t="str">
            <v>Secondary</v>
          </cell>
        </row>
        <row r="24648">
          <cell r="A24648">
            <v>8356022</v>
          </cell>
          <cell r="B24648">
            <v>113943</v>
          </cell>
          <cell r="C24648" t="str">
            <v>Ringwood Waldorf School</v>
          </cell>
          <cell r="D24648" t="str">
            <v>Dorset</v>
          </cell>
          <cell r="E24648" t="str">
            <v>Other Independent School</v>
          </cell>
          <cell r="F24648" t="str">
            <v>Not applicable</v>
          </cell>
        </row>
        <row r="24649">
          <cell r="A24649">
            <v>9363031</v>
          </cell>
          <cell r="B24649">
            <v>125147</v>
          </cell>
          <cell r="C24649" t="str">
            <v>Ripley CofE Primary School</v>
          </cell>
          <cell r="D24649" t="str">
            <v>Surrey</v>
          </cell>
          <cell r="E24649" t="str">
            <v>Voluntary Controlled School</v>
          </cell>
          <cell r="F24649" t="str">
            <v>Primary</v>
          </cell>
        </row>
        <row r="24650">
          <cell r="A24650">
            <v>9366307</v>
          </cell>
          <cell r="B24650">
            <v>125391</v>
          </cell>
          <cell r="C24650" t="str">
            <v>Ripley Court School</v>
          </cell>
          <cell r="D24650" t="str">
            <v>Surrey</v>
          </cell>
          <cell r="E24650" t="str">
            <v>Other Independent School</v>
          </cell>
          <cell r="F24650" t="str">
            <v>Not applicable</v>
          </cell>
        </row>
        <row r="24651">
          <cell r="A24651">
            <v>8153261</v>
          </cell>
          <cell r="B24651">
            <v>121580</v>
          </cell>
          <cell r="C24651" t="str">
            <v>Ripley Endowed Church of England School</v>
          </cell>
          <cell r="D24651" t="str">
            <v>North Yorkshire</v>
          </cell>
          <cell r="E24651" t="str">
            <v>Voluntary Controlled School</v>
          </cell>
          <cell r="F24651" t="str">
            <v>Primary</v>
          </cell>
        </row>
        <row r="24652">
          <cell r="A24652">
            <v>8302202</v>
          </cell>
          <cell r="B24652">
            <v>112612</v>
          </cell>
          <cell r="C24652" t="str">
            <v>Ripley Infant School</v>
          </cell>
          <cell r="D24652" t="str">
            <v>Derbyshire</v>
          </cell>
          <cell r="E24652" t="str">
            <v>Community School</v>
          </cell>
          <cell r="F24652" t="str">
            <v>Primary</v>
          </cell>
        </row>
        <row r="24653">
          <cell r="A24653">
            <v>8302201</v>
          </cell>
          <cell r="B24653">
            <v>112611</v>
          </cell>
          <cell r="C24653" t="str">
            <v>Ripley Junior School</v>
          </cell>
          <cell r="D24653" t="str">
            <v>Derbyshire</v>
          </cell>
          <cell r="E24653" t="str">
            <v>Community School</v>
          </cell>
          <cell r="F24653" t="str">
            <v>Primary</v>
          </cell>
        </row>
        <row r="24654">
          <cell r="A24654">
            <v>8301013</v>
          </cell>
          <cell r="B24654">
            <v>112478</v>
          </cell>
          <cell r="C24654" t="str">
            <v>Ripley Nursery School</v>
          </cell>
          <cell r="D24654" t="str">
            <v>Derbyshire</v>
          </cell>
          <cell r="E24654" t="str">
            <v>LA Nursery School</v>
          </cell>
          <cell r="F24654" t="str">
            <v>Nursery</v>
          </cell>
        </row>
        <row r="24655">
          <cell r="A24655">
            <v>8884689</v>
          </cell>
          <cell r="B24655">
            <v>136731</v>
          </cell>
          <cell r="C24655" t="str">
            <v>Ripley St Thomas Church of England Academy</v>
          </cell>
          <cell r="D24655" t="str">
            <v>Lancashire</v>
          </cell>
          <cell r="E24655" t="str">
            <v>Academy Converters</v>
          </cell>
          <cell r="F24655" t="str">
            <v>Secondary</v>
          </cell>
        </row>
        <row r="24656">
          <cell r="A24656">
            <v>8884689</v>
          </cell>
          <cell r="B24656">
            <v>119796</v>
          </cell>
          <cell r="C24656" t="str">
            <v>Ripley St Thomas Church of England High School</v>
          </cell>
          <cell r="D24656" t="str">
            <v>Lancashire</v>
          </cell>
          <cell r="E24656" t="str">
            <v>Voluntary Aided School</v>
          </cell>
          <cell r="F24656" t="str">
            <v>Secondary</v>
          </cell>
        </row>
        <row r="24657">
          <cell r="A24657">
            <v>8156016</v>
          </cell>
          <cell r="B24657">
            <v>121745</v>
          </cell>
          <cell r="C24657" t="str">
            <v>Ripon Cathedral Choir School</v>
          </cell>
          <cell r="D24657" t="str">
            <v>North Yorkshire</v>
          </cell>
          <cell r="E24657" t="str">
            <v>Other Independent School</v>
          </cell>
          <cell r="F24657" t="str">
            <v>Not applicable</v>
          </cell>
        </row>
        <row r="24658">
          <cell r="A24658">
            <v>8153262</v>
          </cell>
          <cell r="B24658">
            <v>121581</v>
          </cell>
          <cell r="C24658" t="str">
            <v>Ripon Cathedral Church of England Primary School</v>
          </cell>
          <cell r="D24658" t="str">
            <v>North Yorkshire</v>
          </cell>
          <cell r="E24658" t="str">
            <v>Voluntary Aided School</v>
          </cell>
          <cell r="F24658" t="str">
            <v>Primary</v>
          </cell>
        </row>
        <row r="24659">
          <cell r="A24659">
            <v>8154203</v>
          </cell>
          <cell r="B24659">
            <v>121688</v>
          </cell>
          <cell r="C24659" t="str">
            <v>Ripon College</v>
          </cell>
          <cell r="D24659" t="str">
            <v>North Yorkshire</v>
          </cell>
          <cell r="E24659" t="str">
            <v>Community School</v>
          </cell>
          <cell r="F24659" t="str">
            <v>Secondary</v>
          </cell>
        </row>
        <row r="24660">
          <cell r="A24660">
            <v>8154215</v>
          </cell>
          <cell r="B24660">
            <v>121694</v>
          </cell>
          <cell r="C24660" t="str">
            <v>Ripon Grammar School</v>
          </cell>
          <cell r="D24660" t="str">
            <v>North Yorkshire</v>
          </cell>
          <cell r="E24660" t="str">
            <v>Community School</v>
          </cell>
          <cell r="F24660" t="str">
            <v>Secondary</v>
          </cell>
        </row>
        <row r="24661">
          <cell r="A24661">
            <v>8152388</v>
          </cell>
          <cell r="B24661">
            <v>121442</v>
          </cell>
          <cell r="C24661" t="str">
            <v>Ripon, Greystone Community Primary School</v>
          </cell>
          <cell r="D24661" t="str">
            <v>North Yorkshire</v>
          </cell>
          <cell r="E24661" t="str">
            <v>Community School</v>
          </cell>
          <cell r="F24661" t="str">
            <v>Primary</v>
          </cell>
        </row>
        <row r="24662">
          <cell r="A24662">
            <v>9253051</v>
          </cell>
          <cell r="B24662">
            <v>120535</v>
          </cell>
          <cell r="C24662" t="str">
            <v>Rippingale Church of England Primary School</v>
          </cell>
          <cell r="D24662" t="str">
            <v>Lincolnshire</v>
          </cell>
          <cell r="E24662" t="str">
            <v>Voluntary Controlled School</v>
          </cell>
          <cell r="F24662" t="str">
            <v>Primary</v>
          </cell>
        </row>
        <row r="24663">
          <cell r="A24663">
            <v>935942</v>
          </cell>
          <cell r="B24663">
            <v>134980</v>
          </cell>
          <cell r="C24663" t="str">
            <v>Ripple Effect Study Centre</v>
          </cell>
          <cell r="D24663" t="str">
            <v>Suffolk</v>
          </cell>
          <cell r="E24663" t="str">
            <v>Playing for Success Centres</v>
          </cell>
          <cell r="F24663" t="str">
            <v>Not applicable</v>
          </cell>
        </row>
        <row r="24664">
          <cell r="A24664">
            <v>3012016</v>
          </cell>
          <cell r="B24664">
            <v>101199</v>
          </cell>
          <cell r="C24664" t="str">
            <v>Ripple Infants' School</v>
          </cell>
          <cell r="D24664" t="str">
            <v>Barking and Dagenham</v>
          </cell>
          <cell r="E24664" t="str">
            <v>Community School</v>
          </cell>
          <cell r="F24664" t="str">
            <v>Primary</v>
          </cell>
        </row>
        <row r="24665">
          <cell r="A24665">
            <v>3012015</v>
          </cell>
          <cell r="B24665">
            <v>101198</v>
          </cell>
          <cell r="C24665" t="str">
            <v>Ripple Primary School</v>
          </cell>
          <cell r="D24665" t="str">
            <v>Barking and Dagenham</v>
          </cell>
          <cell r="E24665" t="str">
            <v>Community School</v>
          </cell>
          <cell r="F24665" t="str">
            <v>Primary</v>
          </cell>
        </row>
        <row r="24666">
          <cell r="A24666">
            <v>8866047</v>
          </cell>
          <cell r="B24666">
            <v>118995</v>
          </cell>
          <cell r="C24666" t="str">
            <v>Ripplevale School</v>
          </cell>
          <cell r="D24666" t="str">
            <v>Kent</v>
          </cell>
          <cell r="E24666" t="str">
            <v>Other Independent Special School</v>
          </cell>
          <cell r="F24666" t="str">
            <v>Not applicable</v>
          </cell>
        </row>
        <row r="24667">
          <cell r="A24667">
            <v>3812061</v>
          </cell>
          <cell r="B24667">
            <v>107514</v>
          </cell>
          <cell r="C24667" t="str">
            <v>Ripponden Junior and Infant School</v>
          </cell>
          <cell r="D24667" t="str">
            <v>Calderdale</v>
          </cell>
          <cell r="E24667" t="str">
            <v>Community School</v>
          </cell>
          <cell r="F24667" t="str">
            <v>Primary</v>
          </cell>
        </row>
        <row r="24668">
          <cell r="A24668">
            <v>9353056</v>
          </cell>
          <cell r="B24668">
            <v>124712</v>
          </cell>
          <cell r="C24668" t="str">
            <v>Risby Church of England Voluntary Controlled Primary School</v>
          </cell>
          <cell r="D24668" t="str">
            <v>Suffolk</v>
          </cell>
          <cell r="E24668" t="str">
            <v>Voluntary Controlled School</v>
          </cell>
          <cell r="F24668" t="str">
            <v>Primary</v>
          </cell>
        </row>
        <row r="24669">
          <cell r="A24669">
            <v>6764068</v>
          </cell>
          <cell r="B24669">
            <v>401836</v>
          </cell>
          <cell r="C24669" t="str">
            <v>Risca Community Comprehensive School</v>
          </cell>
          <cell r="D24669" t="str">
            <v>Caerphilly</v>
          </cell>
          <cell r="E24669" t="str">
            <v>Welsh Establishment</v>
          </cell>
          <cell r="F24669" t="str">
            <v>Secondary</v>
          </cell>
        </row>
        <row r="24670">
          <cell r="A24670">
            <v>6762105</v>
          </cell>
          <cell r="B24670">
            <v>401317</v>
          </cell>
          <cell r="C24670" t="str">
            <v>Risca Primary School</v>
          </cell>
          <cell r="D24670" t="str">
            <v>Caerphilly</v>
          </cell>
          <cell r="E24670" t="str">
            <v>Welsh Establishment</v>
          </cell>
          <cell r="F24670" t="str">
            <v>Primary</v>
          </cell>
        </row>
        <row r="24671">
          <cell r="A24671">
            <v>8412664</v>
          </cell>
          <cell r="B24671">
            <v>114179</v>
          </cell>
          <cell r="C24671" t="str">
            <v>Rise Carr Primary School</v>
          </cell>
          <cell r="D24671" t="str">
            <v>Darlington</v>
          </cell>
          <cell r="E24671" t="str">
            <v>Community School</v>
          </cell>
          <cell r="F24671" t="str">
            <v>Primary</v>
          </cell>
        </row>
        <row r="24672">
          <cell r="A24672">
            <v>3156589</v>
          </cell>
          <cell r="B24672">
            <v>136678</v>
          </cell>
          <cell r="C24672" t="str">
            <v>Rise Education</v>
          </cell>
          <cell r="D24672" t="str">
            <v>Merton</v>
          </cell>
          <cell r="E24672" t="str">
            <v>Other Independent School</v>
          </cell>
          <cell r="F24672" t="str">
            <v>Not applicable</v>
          </cell>
        </row>
        <row r="24673">
          <cell r="A24673">
            <v>9206017</v>
          </cell>
          <cell r="B24673">
            <v>129334</v>
          </cell>
          <cell r="C24673" t="str">
            <v>Rise Hall School</v>
          </cell>
          <cell r="D24673" t="str">
            <v>Pre LGR (1996) Humberside</v>
          </cell>
          <cell r="E24673" t="str">
            <v>Other Independent School</v>
          </cell>
          <cell r="F24673" t="str">
            <v>Not applicable</v>
          </cell>
        </row>
        <row r="24674">
          <cell r="A24674">
            <v>8922159</v>
          </cell>
          <cell r="B24674">
            <v>122482</v>
          </cell>
          <cell r="C24674" t="str">
            <v>Rise Park Infant and Nursery School</v>
          </cell>
          <cell r="D24674" t="str">
            <v>Nottingham</v>
          </cell>
          <cell r="E24674" t="str">
            <v>Community School</v>
          </cell>
          <cell r="F24674" t="str">
            <v>Primary</v>
          </cell>
        </row>
        <row r="24675">
          <cell r="A24675">
            <v>3112060</v>
          </cell>
          <cell r="B24675">
            <v>102302</v>
          </cell>
          <cell r="C24675" t="str">
            <v>Rise Park Infant School</v>
          </cell>
          <cell r="D24675" t="str">
            <v>Havering</v>
          </cell>
          <cell r="E24675" t="str">
            <v>Community School</v>
          </cell>
          <cell r="F24675" t="str">
            <v>Primary</v>
          </cell>
        </row>
        <row r="24676">
          <cell r="A24676">
            <v>3112059</v>
          </cell>
          <cell r="B24676">
            <v>102301</v>
          </cell>
          <cell r="C24676" t="str">
            <v>Rise Park Junior School</v>
          </cell>
          <cell r="D24676" t="str">
            <v>Havering</v>
          </cell>
          <cell r="E24676" t="str">
            <v>Community School</v>
          </cell>
          <cell r="F24676" t="str">
            <v>Primary</v>
          </cell>
        </row>
        <row r="24677">
          <cell r="A24677">
            <v>8922151</v>
          </cell>
          <cell r="B24677">
            <v>122474</v>
          </cell>
          <cell r="C24677" t="str">
            <v>Rise Park Primary and Nursery School</v>
          </cell>
          <cell r="D24677" t="str">
            <v>Nottingham</v>
          </cell>
          <cell r="E24677" t="str">
            <v>Community School</v>
          </cell>
          <cell r="F24677" t="str">
            <v>Primary</v>
          </cell>
        </row>
        <row r="24678">
          <cell r="A24678">
            <v>8154004</v>
          </cell>
          <cell r="B24678">
            <v>121663</v>
          </cell>
          <cell r="C24678" t="str">
            <v>Risedale Sports and Community College</v>
          </cell>
          <cell r="D24678" t="str">
            <v>North Yorkshire</v>
          </cell>
          <cell r="E24678" t="str">
            <v>Community School</v>
          </cell>
          <cell r="F24678" t="str">
            <v>Secondary</v>
          </cell>
        </row>
        <row r="24679">
          <cell r="A24679">
            <v>8223328</v>
          </cell>
          <cell r="B24679">
            <v>109624</v>
          </cell>
          <cell r="C24679" t="str">
            <v>Riseley CofE Lower School</v>
          </cell>
          <cell r="D24679" t="str">
            <v>Bedford</v>
          </cell>
          <cell r="E24679" t="str">
            <v>Voluntary Aided School</v>
          </cell>
          <cell r="F24679" t="str">
            <v>Primary</v>
          </cell>
        </row>
        <row r="24680">
          <cell r="A24680">
            <v>8883130</v>
          </cell>
          <cell r="B24680">
            <v>119396</v>
          </cell>
          <cell r="C24680" t="str">
            <v>Rishton Methodist Primary School</v>
          </cell>
          <cell r="D24680" t="str">
            <v>Lancashire</v>
          </cell>
          <cell r="E24680" t="str">
            <v>Voluntary Controlled School</v>
          </cell>
          <cell r="F24680" t="str">
            <v>Primary</v>
          </cell>
        </row>
        <row r="24681">
          <cell r="A24681">
            <v>8883316</v>
          </cell>
          <cell r="B24681">
            <v>119427</v>
          </cell>
          <cell r="C24681" t="str">
            <v>Rishton St Peter and St Paul's Church of England Primary School</v>
          </cell>
          <cell r="D24681" t="str">
            <v>Lancashire</v>
          </cell>
          <cell r="E24681" t="str">
            <v>Voluntary Aided School</v>
          </cell>
          <cell r="F24681" t="str">
            <v>Primary</v>
          </cell>
        </row>
        <row r="24682">
          <cell r="A24682">
            <v>3816001</v>
          </cell>
          <cell r="B24682">
            <v>107583</v>
          </cell>
          <cell r="C24682" t="str">
            <v>Rishworth School</v>
          </cell>
          <cell r="D24682" t="str">
            <v>Calderdale</v>
          </cell>
          <cell r="E24682" t="str">
            <v>Other Independent School</v>
          </cell>
          <cell r="F24682" t="str">
            <v>Not applicable</v>
          </cell>
        </row>
        <row r="24683">
          <cell r="A24683">
            <v>9344108</v>
          </cell>
          <cell r="B24683">
            <v>129935</v>
          </cell>
          <cell r="C24683" t="str">
            <v>Rising Brook High School</v>
          </cell>
          <cell r="D24683" t="str">
            <v>Pre LGR (1997) Staffordshire</v>
          </cell>
          <cell r="E24683" t="str">
            <v>Community School</v>
          </cell>
          <cell r="F24683" t="str">
            <v>Secondary</v>
          </cell>
        </row>
        <row r="24684">
          <cell r="A24684">
            <v>3092040</v>
          </cell>
          <cell r="B24684">
            <v>102105</v>
          </cell>
          <cell r="C24684" t="str">
            <v>Risley Avenue Infant School</v>
          </cell>
          <cell r="D24684" t="str">
            <v>Haringey</v>
          </cell>
          <cell r="E24684" t="str">
            <v>Community School</v>
          </cell>
          <cell r="F24684" t="str">
            <v>Primary</v>
          </cell>
        </row>
        <row r="24685">
          <cell r="A24685">
            <v>3092039</v>
          </cell>
          <cell r="B24685">
            <v>102104</v>
          </cell>
          <cell r="C24685" t="str">
            <v>Risley Avenue Junior School</v>
          </cell>
          <cell r="D24685" t="str">
            <v>Haringey</v>
          </cell>
          <cell r="E24685" t="str">
            <v>Community School</v>
          </cell>
          <cell r="F24685" t="str">
            <v>Primary</v>
          </cell>
        </row>
        <row r="24686">
          <cell r="A24686">
            <v>3092084</v>
          </cell>
          <cell r="B24686">
            <v>131879</v>
          </cell>
          <cell r="C24686" t="str">
            <v>Risley Avenue Primary School</v>
          </cell>
          <cell r="D24686" t="str">
            <v>Haringey</v>
          </cell>
          <cell r="E24686" t="str">
            <v>Community School</v>
          </cell>
          <cell r="F24686" t="str">
            <v>Primary</v>
          </cell>
        </row>
        <row r="24687">
          <cell r="A24687">
            <v>8303082</v>
          </cell>
          <cell r="B24687">
            <v>112850</v>
          </cell>
          <cell r="C24687" t="str">
            <v>Risley Lower Grammar CofE Primary School</v>
          </cell>
          <cell r="D24687" t="str">
            <v>Derbyshire</v>
          </cell>
          <cell r="E24687" t="str">
            <v>Voluntary Controlled School</v>
          </cell>
          <cell r="F24687" t="str">
            <v>Primary</v>
          </cell>
        </row>
        <row r="24688">
          <cell r="A24688">
            <v>8113035</v>
          </cell>
          <cell r="B24688">
            <v>117988</v>
          </cell>
          <cell r="C24688" t="str">
            <v>Riston Church of England Voluntary Controlled Primary School</v>
          </cell>
          <cell r="D24688" t="str">
            <v>East Riding of Yorkshire</v>
          </cell>
          <cell r="E24688" t="str">
            <v>Voluntary Controlled School</v>
          </cell>
          <cell r="F24688" t="str">
            <v>Primary</v>
          </cell>
        </row>
        <row r="24689">
          <cell r="A24689">
            <v>8962725</v>
          </cell>
          <cell r="B24689">
            <v>130270</v>
          </cell>
          <cell r="C24689" t="str">
            <v>Rivacre Valley Primary School</v>
          </cell>
          <cell r="D24689" t="str">
            <v>Cheshire West and Chester</v>
          </cell>
          <cell r="E24689" t="str">
            <v>Community School</v>
          </cell>
          <cell r="F24689" t="str">
            <v>Primary</v>
          </cell>
        </row>
        <row r="24690">
          <cell r="A24690">
            <v>3732085</v>
          </cell>
          <cell r="B24690">
            <v>127657</v>
          </cell>
          <cell r="C24690" t="str">
            <v>Rivelin Middle School</v>
          </cell>
          <cell r="D24690" t="str">
            <v>Sheffield</v>
          </cell>
          <cell r="E24690" t="str">
            <v>Community School</v>
          </cell>
          <cell r="F24690" t="str">
            <v>Middle Deemed Primary</v>
          </cell>
        </row>
        <row r="24691">
          <cell r="A24691">
            <v>3732086</v>
          </cell>
          <cell r="B24691">
            <v>127658</v>
          </cell>
          <cell r="C24691" t="str">
            <v>Rivelin Nursery and First School</v>
          </cell>
          <cell r="D24691" t="str">
            <v>Sheffield</v>
          </cell>
          <cell r="E24691" t="str">
            <v>Community School</v>
          </cell>
          <cell r="F24691" t="str">
            <v>Primary</v>
          </cell>
        </row>
        <row r="24692">
          <cell r="A24692">
            <v>3732338</v>
          </cell>
          <cell r="B24692">
            <v>107081</v>
          </cell>
          <cell r="C24692" t="str">
            <v>Rivelin Primary School</v>
          </cell>
          <cell r="D24692" t="str">
            <v>Sheffield</v>
          </cell>
          <cell r="E24692" t="str">
            <v>Community School</v>
          </cell>
          <cell r="F24692" t="str">
            <v>Primary</v>
          </cell>
        </row>
        <row r="24693">
          <cell r="A24693">
            <v>8813205</v>
          </cell>
          <cell r="B24693">
            <v>115105</v>
          </cell>
          <cell r="C24693" t="str">
            <v>Rivenhall Church of England Voluntary Controlled Primary School</v>
          </cell>
          <cell r="D24693" t="str">
            <v>Essex</v>
          </cell>
          <cell r="E24693" t="str">
            <v>Voluntary Controlled School</v>
          </cell>
          <cell r="F24693" t="str">
            <v>Primary</v>
          </cell>
        </row>
        <row r="24694">
          <cell r="A24694">
            <v>9383374</v>
          </cell>
          <cell r="B24694">
            <v>135808</v>
          </cell>
          <cell r="C24694" t="str">
            <v>River Beach Primary School</v>
          </cell>
          <cell r="D24694" t="str">
            <v>West Sussex</v>
          </cell>
          <cell r="E24694" t="str">
            <v>Community School</v>
          </cell>
          <cell r="F24694" t="str">
            <v>Primary</v>
          </cell>
        </row>
        <row r="24695">
          <cell r="A24695">
            <v>2116385</v>
          </cell>
          <cell r="B24695">
            <v>100303</v>
          </cell>
          <cell r="C24695" t="str">
            <v>River House Montessori School</v>
          </cell>
          <cell r="D24695" t="str">
            <v>Tower Hamlets</v>
          </cell>
          <cell r="E24695" t="str">
            <v>Other Independent School</v>
          </cell>
          <cell r="F24695" t="str">
            <v>Not applicable</v>
          </cell>
        </row>
        <row r="24696">
          <cell r="A24696">
            <v>9377001</v>
          </cell>
          <cell r="B24696">
            <v>125795</v>
          </cell>
          <cell r="C24696" t="str">
            <v>River House School</v>
          </cell>
          <cell r="D24696" t="str">
            <v>Warwickshire</v>
          </cell>
          <cell r="E24696" t="str">
            <v>Community Special School</v>
          </cell>
          <cell r="F24696" t="str">
            <v>Special</v>
          </cell>
        </row>
        <row r="24697">
          <cell r="A24697">
            <v>8862312</v>
          </cell>
          <cell r="B24697">
            <v>118393</v>
          </cell>
          <cell r="C24697" t="str">
            <v>River Primary School</v>
          </cell>
          <cell r="D24697" t="str">
            <v>Kent</v>
          </cell>
          <cell r="E24697" t="str">
            <v>Community School</v>
          </cell>
          <cell r="F24697" t="str">
            <v>Primary</v>
          </cell>
        </row>
        <row r="24698">
          <cell r="A24698">
            <v>9256032</v>
          </cell>
          <cell r="B24698">
            <v>136234</v>
          </cell>
          <cell r="C24698" t="str">
            <v>River School</v>
          </cell>
          <cell r="D24698" t="str">
            <v>Lincolnshire</v>
          </cell>
          <cell r="E24698" t="str">
            <v>Other Independent Special School</v>
          </cell>
          <cell r="F24698" t="str">
            <v>Not applicable</v>
          </cell>
        </row>
        <row r="24699">
          <cell r="A24699">
            <v>3552041</v>
          </cell>
          <cell r="B24699">
            <v>136076</v>
          </cell>
          <cell r="C24699" t="str">
            <v>River View Community Primary School</v>
          </cell>
          <cell r="D24699" t="str">
            <v>Salford</v>
          </cell>
          <cell r="E24699" t="str">
            <v>Community School</v>
          </cell>
          <cell r="F24699" t="str">
            <v>Primary</v>
          </cell>
        </row>
        <row r="24700">
          <cell r="A24700">
            <v>9297011</v>
          </cell>
          <cell r="B24700">
            <v>129710</v>
          </cell>
          <cell r="C24700" t="str">
            <v>Riverbank School</v>
          </cell>
          <cell r="D24700" t="str">
            <v>Northumberland</v>
          </cell>
          <cell r="E24700" t="str">
            <v>Community Special School</v>
          </cell>
          <cell r="F24700" t="str">
            <v>Special</v>
          </cell>
        </row>
        <row r="24701">
          <cell r="A24701">
            <v>6817008</v>
          </cell>
          <cell r="B24701">
            <v>401932</v>
          </cell>
          <cell r="C24701" t="str">
            <v>Riverbank Special School</v>
          </cell>
          <cell r="D24701" t="str">
            <v>Cardiff</v>
          </cell>
          <cell r="E24701" t="str">
            <v>Welsh Establishment</v>
          </cell>
          <cell r="F24701" t="str">
            <v>Not applicable</v>
          </cell>
        </row>
        <row r="24702">
          <cell r="A24702">
            <v>9362880</v>
          </cell>
          <cell r="B24702">
            <v>125092</v>
          </cell>
          <cell r="C24702" t="str">
            <v>Riverbridge Primary School</v>
          </cell>
          <cell r="D24702" t="str">
            <v>Surrey</v>
          </cell>
          <cell r="E24702" t="str">
            <v>Community School</v>
          </cell>
          <cell r="F24702" t="str">
            <v>Primary</v>
          </cell>
        </row>
        <row r="24703">
          <cell r="A24703">
            <v>8072340</v>
          </cell>
          <cell r="B24703">
            <v>111639</v>
          </cell>
          <cell r="C24703" t="str">
            <v>Riverdale Primary School</v>
          </cell>
          <cell r="D24703" t="str">
            <v>Redcar and Cleveland</v>
          </cell>
          <cell r="E24703" t="str">
            <v>Community School</v>
          </cell>
          <cell r="F24703" t="str">
            <v>Primary</v>
          </cell>
        </row>
        <row r="24704">
          <cell r="A24704">
            <v>8862459</v>
          </cell>
          <cell r="B24704">
            <v>118453</v>
          </cell>
          <cell r="C24704" t="str">
            <v>Riverhead Infants' School</v>
          </cell>
          <cell r="D24704" t="str">
            <v>Kent</v>
          </cell>
          <cell r="E24704" t="str">
            <v>Community School</v>
          </cell>
          <cell r="F24704" t="str">
            <v>Primary</v>
          </cell>
        </row>
        <row r="24705">
          <cell r="A24705">
            <v>3202058</v>
          </cell>
          <cell r="B24705">
            <v>103067</v>
          </cell>
          <cell r="C24705" t="str">
            <v>Riverley Primary School</v>
          </cell>
          <cell r="D24705" t="str">
            <v>Waltham Forest</v>
          </cell>
          <cell r="E24705" t="str">
            <v>Community School</v>
          </cell>
          <cell r="F24705" t="str">
            <v>Primary</v>
          </cell>
        </row>
        <row r="24706">
          <cell r="A24706">
            <v>8722167</v>
          </cell>
          <cell r="B24706">
            <v>109894</v>
          </cell>
          <cell r="C24706" t="str">
            <v>Rivermead Primary School</v>
          </cell>
          <cell r="D24706" t="str">
            <v>Wokingham</v>
          </cell>
          <cell r="E24706" t="str">
            <v>Community School</v>
          </cell>
          <cell r="F24706" t="str">
            <v>Primary</v>
          </cell>
        </row>
        <row r="24707">
          <cell r="A24707">
            <v>8877016</v>
          </cell>
          <cell r="B24707">
            <v>134150</v>
          </cell>
          <cell r="C24707" t="str">
            <v>Rivermead School</v>
          </cell>
          <cell r="D24707" t="str">
            <v>Medway</v>
          </cell>
          <cell r="E24707" t="str">
            <v>Community Special School</v>
          </cell>
          <cell r="F24707" t="str">
            <v>Special</v>
          </cell>
        </row>
        <row r="24708">
          <cell r="A24708">
            <v>9362450</v>
          </cell>
          <cell r="B24708">
            <v>130051</v>
          </cell>
          <cell r="C24708" t="str">
            <v>Rivermede Middle School</v>
          </cell>
          <cell r="D24708" t="str">
            <v>Surrey</v>
          </cell>
          <cell r="E24708" t="str">
            <v>Community School</v>
          </cell>
          <cell r="F24708" t="str">
            <v>Middle Deemed Primary</v>
          </cell>
        </row>
        <row r="24709">
          <cell r="A24709">
            <v>3134022</v>
          </cell>
          <cell r="B24709">
            <v>137009</v>
          </cell>
          <cell r="C24709" t="str">
            <v>Rivers Academy West London</v>
          </cell>
          <cell r="D24709" t="str">
            <v>Hounslow</v>
          </cell>
          <cell r="E24709" t="str">
            <v>Academy Converters</v>
          </cell>
          <cell r="F24709" t="str">
            <v>Secondary</v>
          </cell>
        </row>
        <row r="24710">
          <cell r="A24710">
            <v>9191109</v>
          </cell>
          <cell r="B24710">
            <v>135890</v>
          </cell>
          <cell r="C24710" t="str">
            <v>Rivers Education Support Centre</v>
          </cell>
          <cell r="D24710" t="str">
            <v>Hertfordshire</v>
          </cell>
          <cell r="E24710" t="str">
            <v>Pupil Referral Unit</v>
          </cell>
          <cell r="F24710" t="str">
            <v>PRU</v>
          </cell>
        </row>
        <row r="24711">
          <cell r="A24711">
            <v>8262155</v>
          </cell>
          <cell r="B24711">
            <v>110272</v>
          </cell>
          <cell r="C24711" t="str">
            <v>Rivers Infant School</v>
          </cell>
          <cell r="D24711" t="str">
            <v>Milton Keynes</v>
          </cell>
          <cell r="E24711" t="str">
            <v>Community School</v>
          </cell>
          <cell r="F24711" t="str">
            <v>Primary</v>
          </cell>
        </row>
        <row r="24712">
          <cell r="A24712">
            <v>2122511</v>
          </cell>
          <cell r="B24712">
            <v>101018</v>
          </cell>
          <cell r="C24712" t="str">
            <v>Riversdale Primary School</v>
          </cell>
          <cell r="D24712" t="str">
            <v>Wandsworth</v>
          </cell>
          <cell r="E24712" t="str">
            <v>Community School</v>
          </cell>
          <cell r="F24712" t="str">
            <v>Primary</v>
          </cell>
        </row>
        <row r="24713">
          <cell r="A24713">
            <v>9346083</v>
          </cell>
          <cell r="B24713">
            <v>130354</v>
          </cell>
          <cell r="C24713" t="str">
            <v>Riversholme School</v>
          </cell>
          <cell r="D24713" t="str">
            <v>Pre LGR (1997) Staffordshire</v>
          </cell>
          <cell r="E24713" t="str">
            <v>Other Independent School</v>
          </cell>
          <cell r="F24713" t="str">
            <v>Not applicable</v>
          </cell>
        </row>
        <row r="24714">
          <cell r="A24714">
            <v>3721110</v>
          </cell>
          <cell r="B24714">
            <v>136060</v>
          </cell>
          <cell r="C24714" t="str">
            <v>Riverside</v>
          </cell>
          <cell r="D24714" t="str">
            <v>Rotherham</v>
          </cell>
          <cell r="E24714" t="str">
            <v>Pupil Referral Unit</v>
          </cell>
          <cell r="F24714" t="str">
            <v>PRU</v>
          </cell>
        </row>
        <row r="24715">
          <cell r="A24715">
            <v>8564252</v>
          </cell>
          <cell r="B24715">
            <v>120288</v>
          </cell>
          <cell r="C24715" t="str">
            <v>Riverside Business and Enterprise College</v>
          </cell>
          <cell r="D24715" t="str">
            <v>Leicester</v>
          </cell>
          <cell r="E24715" t="str">
            <v>Community School</v>
          </cell>
          <cell r="F24715" t="str">
            <v>Secondary</v>
          </cell>
        </row>
        <row r="24716">
          <cell r="A24716">
            <v>8768020</v>
          </cell>
          <cell r="B24716">
            <v>130622</v>
          </cell>
          <cell r="C24716" t="str">
            <v>Riverside College Halton</v>
          </cell>
          <cell r="D24716" t="str">
            <v>Halton</v>
          </cell>
          <cell r="E24716" t="str">
            <v>Further Education</v>
          </cell>
          <cell r="F24716" t="str">
            <v>16 Plus</v>
          </cell>
        </row>
        <row r="24717">
          <cell r="A24717">
            <v>8793772</v>
          </cell>
          <cell r="B24717">
            <v>135348</v>
          </cell>
          <cell r="C24717" t="str">
            <v>Riverside Community Primary School</v>
          </cell>
          <cell r="D24717" t="str">
            <v>Plymouth</v>
          </cell>
          <cell r="E24717" t="str">
            <v>Community School</v>
          </cell>
          <cell r="F24717" t="str">
            <v>Primary</v>
          </cell>
        </row>
        <row r="24718">
          <cell r="A24718">
            <v>8552368</v>
          </cell>
          <cell r="B24718">
            <v>120092</v>
          </cell>
          <cell r="C24718" t="str">
            <v>Riverside Community Primary School Birstall</v>
          </cell>
          <cell r="D24718" t="str">
            <v>Leicestershire</v>
          </cell>
          <cell r="E24718" t="str">
            <v>Community School</v>
          </cell>
          <cell r="F24718" t="str">
            <v>Primary</v>
          </cell>
        </row>
        <row r="24719">
          <cell r="A24719">
            <v>8507009</v>
          </cell>
          <cell r="B24719">
            <v>116600</v>
          </cell>
          <cell r="C24719" t="str">
            <v>Riverside Community Special School</v>
          </cell>
          <cell r="D24719" t="str">
            <v>Hampshire</v>
          </cell>
          <cell r="E24719" t="str">
            <v>Community Special School</v>
          </cell>
          <cell r="F24719" t="str">
            <v>Special</v>
          </cell>
        </row>
        <row r="24720">
          <cell r="A24720">
            <v>9389900</v>
          </cell>
          <cell r="B24720">
            <v>133179</v>
          </cell>
          <cell r="C24720" t="str">
            <v>Riverside Education Trust</v>
          </cell>
          <cell r="D24720" t="str">
            <v>West Sussex</v>
          </cell>
          <cell r="E24720" t="str">
            <v>Miscellaneous</v>
          </cell>
          <cell r="F24720" t="str">
            <v>Not applicable</v>
          </cell>
        </row>
        <row r="24721">
          <cell r="A24721">
            <v>8262253</v>
          </cell>
          <cell r="B24721">
            <v>110334</v>
          </cell>
          <cell r="C24721" t="str">
            <v>Riverside First School</v>
          </cell>
          <cell r="D24721" t="str">
            <v>Milton Keynes</v>
          </cell>
          <cell r="E24721" t="str">
            <v>Community School</v>
          </cell>
          <cell r="F24721" t="str">
            <v>Primary</v>
          </cell>
        </row>
        <row r="24722">
          <cell r="A24722">
            <v>8812806</v>
          </cell>
          <cell r="B24722">
            <v>115004</v>
          </cell>
          <cell r="C24722" t="str">
            <v>Riverside Infant School</v>
          </cell>
          <cell r="D24722" t="str">
            <v>Essex</v>
          </cell>
          <cell r="E24722" t="str">
            <v>Community School</v>
          </cell>
          <cell r="F24722" t="str">
            <v>Primary</v>
          </cell>
        </row>
        <row r="24723">
          <cell r="A24723">
            <v>3812082</v>
          </cell>
          <cell r="B24723">
            <v>107529</v>
          </cell>
          <cell r="C24723" t="str">
            <v>Riverside Junior School</v>
          </cell>
          <cell r="D24723" t="str">
            <v>Calderdale</v>
          </cell>
          <cell r="E24723" t="str">
            <v>Community School</v>
          </cell>
          <cell r="F24723" t="str">
            <v>Primary</v>
          </cell>
        </row>
        <row r="24724">
          <cell r="A24724">
            <v>8812506</v>
          </cell>
          <cell r="B24724">
            <v>114873</v>
          </cell>
          <cell r="C24724" t="str">
            <v>Riverside Junior School</v>
          </cell>
          <cell r="D24724" t="str">
            <v>Essex</v>
          </cell>
          <cell r="E24724" t="str">
            <v>Community School</v>
          </cell>
          <cell r="F24724" t="str">
            <v>Primary</v>
          </cell>
        </row>
        <row r="24725">
          <cell r="A24725">
            <v>9354005</v>
          </cell>
          <cell r="B24725">
            <v>124789</v>
          </cell>
          <cell r="C24725" t="str">
            <v>Riverside Middle School</v>
          </cell>
          <cell r="D24725" t="str">
            <v>Suffolk</v>
          </cell>
          <cell r="E24725" t="str">
            <v>Community School</v>
          </cell>
          <cell r="F24725" t="str">
            <v>Middle Deemed Secondary</v>
          </cell>
        </row>
        <row r="24726">
          <cell r="A24726">
            <v>9351000</v>
          </cell>
          <cell r="B24726">
            <v>129962</v>
          </cell>
          <cell r="C24726" t="str">
            <v>Riverside Nursery School</v>
          </cell>
          <cell r="D24726" t="str">
            <v>Suffolk</v>
          </cell>
          <cell r="E24726" t="str">
            <v>LA Nursery School</v>
          </cell>
          <cell r="F24726" t="str">
            <v>Nursery</v>
          </cell>
        </row>
        <row r="24727">
          <cell r="A24727">
            <v>2102514</v>
          </cell>
          <cell r="B24727">
            <v>100808</v>
          </cell>
          <cell r="C24727" t="str">
            <v>Riverside Primary School</v>
          </cell>
          <cell r="D24727" t="str">
            <v>Southwark</v>
          </cell>
          <cell r="E24727" t="str">
            <v>Community School</v>
          </cell>
          <cell r="F24727" t="str">
            <v>Primary</v>
          </cell>
        </row>
        <row r="24728">
          <cell r="A24728">
            <v>3442107</v>
          </cell>
          <cell r="B24728">
            <v>104996</v>
          </cell>
          <cell r="C24728" t="str">
            <v>Riverside Primary School</v>
          </cell>
          <cell r="D24728" t="str">
            <v>Wirral</v>
          </cell>
          <cell r="E24728" t="str">
            <v>Community School</v>
          </cell>
          <cell r="F24728" t="str">
            <v>Primary</v>
          </cell>
        </row>
        <row r="24729">
          <cell r="A24729">
            <v>3922021</v>
          </cell>
          <cell r="B24729">
            <v>108575</v>
          </cell>
          <cell r="C24729" t="str">
            <v>Riverside Primary School</v>
          </cell>
          <cell r="D24729" t="str">
            <v>North Tyneside</v>
          </cell>
          <cell r="E24729" t="str">
            <v>Community School</v>
          </cell>
          <cell r="F24729" t="str">
            <v>Primary</v>
          </cell>
        </row>
        <row r="24730">
          <cell r="A24730">
            <v>8843393</v>
          </cell>
          <cell r="B24730">
            <v>128077</v>
          </cell>
          <cell r="C24730" t="str">
            <v>Riverside Primary School</v>
          </cell>
          <cell r="D24730" t="str">
            <v>Herefordshire</v>
          </cell>
          <cell r="E24730" t="str">
            <v>Community School</v>
          </cell>
          <cell r="F24730" t="str">
            <v>Primary</v>
          </cell>
        </row>
        <row r="24731">
          <cell r="A24731">
            <v>8873757</v>
          </cell>
          <cell r="B24731">
            <v>134011</v>
          </cell>
          <cell r="C24731" t="str">
            <v>Riverside Primary School</v>
          </cell>
          <cell r="D24731" t="str">
            <v>Medway</v>
          </cell>
          <cell r="E24731" t="str">
            <v>Community School</v>
          </cell>
          <cell r="F24731" t="str">
            <v>Primary</v>
          </cell>
        </row>
        <row r="24732">
          <cell r="A24732">
            <v>8813840</v>
          </cell>
          <cell r="B24732">
            <v>135903</v>
          </cell>
          <cell r="C24732" t="str">
            <v>Riverside Primary School</v>
          </cell>
          <cell r="D24732" t="str">
            <v>Essex</v>
          </cell>
          <cell r="E24732" t="str">
            <v>Community School</v>
          </cell>
          <cell r="F24732" t="str">
            <v>Primary</v>
          </cell>
        </row>
        <row r="24733">
          <cell r="A24733">
            <v>8923325</v>
          </cell>
          <cell r="B24733">
            <v>134843</v>
          </cell>
          <cell r="C24733" t="str">
            <v>Riverside Primary School and Early Years Unit</v>
          </cell>
          <cell r="D24733" t="str">
            <v>Nottingham</v>
          </cell>
          <cell r="E24733" t="str">
            <v>Community School</v>
          </cell>
          <cell r="F24733" t="str">
            <v>Primary</v>
          </cell>
        </row>
        <row r="24734">
          <cell r="A24734">
            <v>3057008</v>
          </cell>
          <cell r="B24734">
            <v>101699</v>
          </cell>
          <cell r="C24734" t="str">
            <v>Riverside School</v>
          </cell>
          <cell r="D24734" t="str">
            <v>Bromley</v>
          </cell>
          <cell r="E24734" t="str">
            <v>Community Special School</v>
          </cell>
          <cell r="F24734" t="str">
            <v>Special</v>
          </cell>
        </row>
        <row r="24735">
          <cell r="A24735">
            <v>3097006</v>
          </cell>
          <cell r="B24735">
            <v>102178</v>
          </cell>
          <cell r="C24735" t="str">
            <v>Riverside School</v>
          </cell>
          <cell r="D24735" t="str">
            <v>Haringey</v>
          </cell>
          <cell r="E24735" t="str">
            <v>Community Special School</v>
          </cell>
          <cell r="F24735" t="str">
            <v>Special</v>
          </cell>
        </row>
        <row r="24736">
          <cell r="A24736">
            <v>9096040</v>
          </cell>
          <cell r="B24736">
            <v>112458</v>
          </cell>
          <cell r="C24736" t="str">
            <v>Riverside School</v>
          </cell>
          <cell r="D24736" t="str">
            <v>Cumbria</v>
          </cell>
          <cell r="E24736" t="str">
            <v>Other Independent School</v>
          </cell>
          <cell r="F24736" t="str">
            <v>Not applicable</v>
          </cell>
        </row>
        <row r="24737">
          <cell r="A24737">
            <v>8867054</v>
          </cell>
          <cell r="B24737">
            <v>119053</v>
          </cell>
          <cell r="C24737" t="str">
            <v>Riverside School</v>
          </cell>
          <cell r="D24737" t="str">
            <v>Kent</v>
          </cell>
          <cell r="E24737" t="str">
            <v>Community Special School</v>
          </cell>
          <cell r="F24737" t="str">
            <v>Special</v>
          </cell>
        </row>
        <row r="24738">
          <cell r="A24738">
            <v>3057012</v>
          </cell>
          <cell r="B24738">
            <v>135232</v>
          </cell>
          <cell r="C24738" t="str">
            <v>Riverside School</v>
          </cell>
          <cell r="D24738" t="str">
            <v>Bromley</v>
          </cell>
          <cell r="E24738" t="str">
            <v>Community Special School</v>
          </cell>
          <cell r="F24738" t="str">
            <v>Special</v>
          </cell>
        </row>
        <row r="24739">
          <cell r="A24739">
            <v>6656043</v>
          </cell>
          <cell r="B24739">
            <v>402029</v>
          </cell>
          <cell r="C24739" t="str">
            <v>Riverside School</v>
          </cell>
          <cell r="D24739" t="str">
            <v>Wrexham</v>
          </cell>
          <cell r="E24739" t="str">
            <v>Welsh Establishment</v>
          </cell>
          <cell r="F24739" t="str">
            <v>Not applicable</v>
          </cell>
        </row>
        <row r="24740">
          <cell r="A24740">
            <v>8117025</v>
          </cell>
          <cell r="B24740">
            <v>118148</v>
          </cell>
          <cell r="C24740" t="str">
            <v>Riverside Special School</v>
          </cell>
          <cell r="D24740" t="str">
            <v>East Riding of Yorkshire</v>
          </cell>
          <cell r="E24740" t="str">
            <v>Community Special School</v>
          </cell>
          <cell r="F24740" t="str">
            <v>Special</v>
          </cell>
        </row>
        <row r="24741">
          <cell r="A24741">
            <v>3416051</v>
          </cell>
          <cell r="B24741">
            <v>134570</v>
          </cell>
          <cell r="C24741" t="str">
            <v>Riverside Study Centre</v>
          </cell>
          <cell r="D24741" t="str">
            <v>Liverpool</v>
          </cell>
          <cell r="E24741" t="str">
            <v>Other Independent School</v>
          </cell>
          <cell r="F24741" t="str">
            <v>Not applicable</v>
          </cell>
        </row>
        <row r="24742">
          <cell r="A24742">
            <v>8857022</v>
          </cell>
          <cell r="B24742">
            <v>131492</v>
          </cell>
          <cell r="C24742" t="str">
            <v>Riversides School</v>
          </cell>
          <cell r="D24742" t="str">
            <v>Worcestershire</v>
          </cell>
          <cell r="E24742" t="str">
            <v>Community Special School</v>
          </cell>
          <cell r="F24742" t="str">
            <v>Special</v>
          </cell>
        </row>
        <row r="24743">
          <cell r="A24743">
            <v>2036169</v>
          </cell>
          <cell r="B24743">
            <v>100200</v>
          </cell>
          <cell r="C24743" t="str">
            <v>Riverston School</v>
          </cell>
          <cell r="D24743" t="str">
            <v>Greenwich</v>
          </cell>
          <cell r="E24743" t="str">
            <v>Other Independent School</v>
          </cell>
          <cell r="F24743" t="str">
            <v>Not applicable</v>
          </cell>
        </row>
        <row r="24744">
          <cell r="A24744">
            <v>9363065</v>
          </cell>
          <cell r="B24744">
            <v>131072</v>
          </cell>
          <cell r="C24744" t="str">
            <v>Riverview CofE Primary and Nursery School VA</v>
          </cell>
          <cell r="D24744" t="str">
            <v>Surrey</v>
          </cell>
          <cell r="E24744" t="str">
            <v>Voluntary Aided School</v>
          </cell>
          <cell r="F24744" t="str">
            <v>Primary</v>
          </cell>
        </row>
        <row r="24745">
          <cell r="A24745">
            <v>9362094</v>
          </cell>
          <cell r="B24745">
            <v>124962</v>
          </cell>
          <cell r="C24745" t="str">
            <v>Riverview CofE Primary School</v>
          </cell>
          <cell r="D24745" t="str">
            <v>Surrey</v>
          </cell>
          <cell r="E24745" t="str">
            <v>Community School</v>
          </cell>
          <cell r="F24745" t="str">
            <v>Primary</v>
          </cell>
        </row>
        <row r="24746">
          <cell r="A24746">
            <v>8862462</v>
          </cell>
          <cell r="B24746">
            <v>118454</v>
          </cell>
          <cell r="C24746" t="str">
            <v>Riverview Infant School</v>
          </cell>
          <cell r="D24746" t="str">
            <v>Kent</v>
          </cell>
          <cell r="E24746" t="str">
            <v>Community School</v>
          </cell>
          <cell r="F24746" t="str">
            <v>Primary</v>
          </cell>
        </row>
        <row r="24747">
          <cell r="A24747">
            <v>8862444</v>
          </cell>
          <cell r="B24747">
            <v>118444</v>
          </cell>
          <cell r="C24747" t="str">
            <v>Riverview Junior School</v>
          </cell>
          <cell r="D24747" t="str">
            <v>Kent</v>
          </cell>
          <cell r="E24747" t="str">
            <v>Community School</v>
          </cell>
          <cell r="F24747" t="str">
            <v>Primary</v>
          </cell>
        </row>
        <row r="24748">
          <cell r="A24748">
            <v>8603500</v>
          </cell>
          <cell r="B24748">
            <v>135281</v>
          </cell>
          <cell r="C24748" t="str">
            <v>Riverview Primary School</v>
          </cell>
          <cell r="D24748" t="str">
            <v>Staffordshire</v>
          </cell>
          <cell r="E24748" t="str">
            <v>Community School</v>
          </cell>
          <cell r="F24748" t="str">
            <v>Primary</v>
          </cell>
        </row>
        <row r="24749">
          <cell r="A24749">
            <v>9357001</v>
          </cell>
          <cell r="B24749">
            <v>124902</v>
          </cell>
          <cell r="C24749" t="str">
            <v>Riverwalk School</v>
          </cell>
          <cell r="D24749" t="str">
            <v>Suffolk</v>
          </cell>
          <cell r="E24749" t="str">
            <v>Community Special School</v>
          </cell>
          <cell r="F24749" t="str">
            <v>Special</v>
          </cell>
        </row>
        <row r="24750">
          <cell r="A24750">
            <v>9344513</v>
          </cell>
          <cell r="B24750">
            <v>129951</v>
          </cell>
          <cell r="C24750" t="str">
            <v>Riverway CofE Middle School</v>
          </cell>
          <cell r="D24750" t="str">
            <v>Pre LGR (1997) Staffordshire</v>
          </cell>
          <cell r="E24750" t="str">
            <v>Voluntary Controlled School</v>
          </cell>
          <cell r="F24750" t="str">
            <v>Middle Deemed Secondary</v>
          </cell>
        </row>
        <row r="24751">
          <cell r="A24751">
            <v>3504501</v>
          </cell>
          <cell r="B24751">
            <v>105261</v>
          </cell>
          <cell r="C24751" t="str">
            <v>Rivington and Blackrod High School</v>
          </cell>
          <cell r="D24751" t="str">
            <v>Bolton</v>
          </cell>
          <cell r="E24751" t="str">
            <v>Voluntary Controlled School</v>
          </cell>
          <cell r="F24751" t="str">
            <v>Secondary</v>
          </cell>
        </row>
        <row r="24752">
          <cell r="A24752">
            <v>8883481</v>
          </cell>
          <cell r="B24752">
            <v>119509</v>
          </cell>
          <cell r="C24752" t="str">
            <v>Rivington Foundation Primary School</v>
          </cell>
          <cell r="D24752" t="str">
            <v>Lancashire</v>
          </cell>
          <cell r="E24752" t="str">
            <v>Foundation School</v>
          </cell>
          <cell r="F24752" t="str">
            <v>Primary</v>
          </cell>
        </row>
        <row r="24753">
          <cell r="A24753">
            <v>3424007</v>
          </cell>
          <cell r="B24753">
            <v>127357</v>
          </cell>
          <cell r="C24753" t="str">
            <v>Rivington High School</v>
          </cell>
          <cell r="D24753" t="str">
            <v>St. Helens</v>
          </cell>
          <cell r="E24753" t="str">
            <v>Community School</v>
          </cell>
          <cell r="F24753" t="str">
            <v>Secondary</v>
          </cell>
        </row>
        <row r="24754">
          <cell r="A24754">
            <v>8886031</v>
          </cell>
          <cell r="B24754">
            <v>131149</v>
          </cell>
          <cell r="C24754" t="str">
            <v>Rivington Park Independent School</v>
          </cell>
          <cell r="D24754" t="str">
            <v>Lancashire</v>
          </cell>
          <cell r="E24754" t="str">
            <v>Other Independent School</v>
          </cell>
          <cell r="F24754" t="str">
            <v>Not applicable</v>
          </cell>
        </row>
        <row r="24755">
          <cell r="A24755">
            <v>3422007</v>
          </cell>
          <cell r="B24755">
            <v>104761</v>
          </cell>
          <cell r="C24755" t="str">
            <v>Rivington Primary School</v>
          </cell>
          <cell r="D24755" t="str">
            <v>St. Helens</v>
          </cell>
          <cell r="E24755" t="str">
            <v>Community School</v>
          </cell>
          <cell r="F24755" t="str">
            <v>Primary</v>
          </cell>
        </row>
        <row r="24756">
          <cell r="A24756">
            <v>8557905</v>
          </cell>
          <cell r="B24756">
            <v>131990</v>
          </cell>
          <cell r="C24756" t="str">
            <v>RNIB College Loughborough</v>
          </cell>
          <cell r="D24756" t="str">
            <v>Leicestershire</v>
          </cell>
          <cell r="E24756" t="str">
            <v>Special College</v>
          </cell>
          <cell r="F24756" t="str">
            <v>16 Plus</v>
          </cell>
        </row>
        <row r="24757">
          <cell r="A24757">
            <v>8937000</v>
          </cell>
          <cell r="B24757">
            <v>123628</v>
          </cell>
          <cell r="C24757" t="str">
            <v>Rnib Condover Hall School</v>
          </cell>
          <cell r="D24757" t="str">
            <v>Shropshire</v>
          </cell>
          <cell r="E24757" t="str">
            <v>Non-Maintained Special School</v>
          </cell>
          <cell r="F24757" t="str">
            <v>Special</v>
          </cell>
        </row>
        <row r="24758">
          <cell r="A24758">
            <v>9377020</v>
          </cell>
          <cell r="B24758">
            <v>122155</v>
          </cell>
          <cell r="C24758" t="str">
            <v>Rnib Pears Centre for Specialist Learning</v>
          </cell>
          <cell r="D24758" t="str">
            <v>Warwickshire</v>
          </cell>
          <cell r="E24758" t="str">
            <v>Non-Maintained Special School</v>
          </cell>
          <cell r="F24758" t="str">
            <v>Special</v>
          </cell>
        </row>
        <row r="24759">
          <cell r="A24759">
            <v>9367906</v>
          </cell>
          <cell r="B24759">
            <v>131989</v>
          </cell>
          <cell r="C24759" t="str">
            <v>Rnib Redhill College</v>
          </cell>
          <cell r="D24759" t="str">
            <v>Surrey</v>
          </cell>
          <cell r="E24759" t="str">
            <v>Special College</v>
          </cell>
          <cell r="F24759" t="str">
            <v>16 Plus</v>
          </cell>
        </row>
        <row r="24760">
          <cell r="A24760">
            <v>3437005</v>
          </cell>
          <cell r="B24760">
            <v>104978</v>
          </cell>
          <cell r="C24760" t="str">
            <v>Rnib Sunshine House School</v>
          </cell>
          <cell r="D24760" t="str">
            <v>Sefton</v>
          </cell>
          <cell r="E24760" t="str">
            <v>Non-Maintained Special School</v>
          </cell>
          <cell r="F24760" t="str">
            <v>Special</v>
          </cell>
        </row>
        <row r="24761">
          <cell r="A24761">
            <v>9387017</v>
          </cell>
          <cell r="B24761">
            <v>126166</v>
          </cell>
          <cell r="C24761" t="str">
            <v>Rnib Sunshine House School</v>
          </cell>
          <cell r="D24761" t="str">
            <v>West Sussex</v>
          </cell>
          <cell r="E24761" t="str">
            <v>Non-Maintained Special School</v>
          </cell>
          <cell r="F24761" t="str">
            <v>Special</v>
          </cell>
        </row>
        <row r="24762">
          <cell r="A24762">
            <v>3127005</v>
          </cell>
          <cell r="B24762">
            <v>102463</v>
          </cell>
          <cell r="C24762" t="str">
            <v>RNIB Sunshine House School and Children's Home</v>
          </cell>
          <cell r="D24762" t="str">
            <v>Hillingdon</v>
          </cell>
          <cell r="E24762" t="str">
            <v>Non-Maintained Special School</v>
          </cell>
          <cell r="F24762" t="str">
            <v>Special</v>
          </cell>
        </row>
        <row r="24763">
          <cell r="A24763">
            <v>9097015</v>
          </cell>
          <cell r="B24763">
            <v>128610</v>
          </cell>
          <cell r="C24763" t="str">
            <v>Roa Island School</v>
          </cell>
          <cell r="D24763" t="str">
            <v>Cumbria</v>
          </cell>
          <cell r="E24763" t="str">
            <v>Community Special School</v>
          </cell>
          <cell r="F24763" t="str">
            <v>Special</v>
          </cell>
        </row>
        <row r="24764">
          <cell r="A24764">
            <v>8812317</v>
          </cell>
          <cell r="B24764">
            <v>114823</v>
          </cell>
          <cell r="C24764" t="str">
            <v>Roach Vale Primary School</v>
          </cell>
          <cell r="D24764" t="str">
            <v>Essex</v>
          </cell>
          <cell r="E24764" t="str">
            <v>Community School</v>
          </cell>
          <cell r="F24764" t="str">
            <v>Primary</v>
          </cell>
        </row>
        <row r="24765">
          <cell r="A24765">
            <v>8606017</v>
          </cell>
          <cell r="B24765">
            <v>124495</v>
          </cell>
          <cell r="C24765" t="str">
            <v>Roaches School</v>
          </cell>
          <cell r="D24765" t="str">
            <v>Staffordshire</v>
          </cell>
          <cell r="E24765" t="str">
            <v>Other Independent Special School</v>
          </cell>
          <cell r="F24765" t="str">
            <v>Not applicable</v>
          </cell>
        </row>
        <row r="24766">
          <cell r="A24766">
            <v>9282079</v>
          </cell>
          <cell r="B24766">
            <v>121854</v>
          </cell>
          <cell r="C24766" t="str">
            <v>Roade Primary School</v>
          </cell>
          <cell r="D24766" t="str">
            <v>Northamptonshire</v>
          </cell>
          <cell r="E24766" t="str">
            <v>Community School</v>
          </cell>
          <cell r="F24766" t="str">
            <v>Primary</v>
          </cell>
        </row>
        <row r="24767">
          <cell r="A24767">
            <v>9284033</v>
          </cell>
          <cell r="B24767">
            <v>122057</v>
          </cell>
          <cell r="C24767" t="str">
            <v>Roade School Sports College</v>
          </cell>
          <cell r="D24767" t="str">
            <v>Northamptonshire</v>
          </cell>
          <cell r="E24767" t="str">
            <v>Foundation School</v>
          </cell>
          <cell r="F24767" t="str">
            <v>Secondary</v>
          </cell>
        </row>
        <row r="24768">
          <cell r="A24768">
            <v>9196081</v>
          </cell>
          <cell r="B24768">
            <v>129170</v>
          </cell>
          <cell r="C24768" t="str">
            <v>Roasry Priory High School</v>
          </cell>
          <cell r="D24768" t="str">
            <v>Hertfordshire</v>
          </cell>
          <cell r="E24768" t="str">
            <v>Other Independent School</v>
          </cell>
          <cell r="F24768" t="str">
            <v>Not applicable</v>
          </cell>
        </row>
        <row r="24769">
          <cell r="A24769">
            <v>6812043</v>
          </cell>
          <cell r="B24769">
            <v>401582</v>
          </cell>
          <cell r="C24769" t="str">
            <v>Roath Park Primary School</v>
          </cell>
          <cell r="D24769" t="str">
            <v>Cardiff</v>
          </cell>
          <cell r="E24769" t="str">
            <v>Welsh Establishment</v>
          </cell>
          <cell r="F24769" t="str">
            <v>Primary</v>
          </cell>
        </row>
        <row r="24770">
          <cell r="A24770">
            <v>9082521</v>
          </cell>
          <cell r="B24770">
            <v>111922</v>
          </cell>
          <cell r="C24770" t="str">
            <v>Robartes Junior School</v>
          </cell>
          <cell r="D24770" t="str">
            <v>Cornwall</v>
          </cell>
          <cell r="E24770" t="str">
            <v>Community School</v>
          </cell>
          <cell r="F24770" t="str">
            <v>Primary</v>
          </cell>
        </row>
        <row r="24771">
          <cell r="A24771">
            <v>8732070</v>
          </cell>
          <cell r="B24771">
            <v>110635</v>
          </cell>
          <cell r="C24771" t="str">
            <v>Robert Arkenstall Primary School</v>
          </cell>
          <cell r="D24771" t="str">
            <v>Cambridgeshire</v>
          </cell>
          <cell r="E24771" t="str">
            <v>Community School</v>
          </cell>
          <cell r="F24771" t="str">
            <v>Primary</v>
          </cell>
        </row>
        <row r="24772">
          <cell r="A24772">
            <v>8552192</v>
          </cell>
          <cell r="B24772">
            <v>119992</v>
          </cell>
          <cell r="C24772" t="str">
            <v>Robert Bakewell Primary School and Community Centre</v>
          </cell>
          <cell r="D24772" t="str">
            <v>Leicestershire</v>
          </cell>
          <cell r="E24772" t="str">
            <v>Community School</v>
          </cell>
          <cell r="F24772" t="str">
            <v>Primary</v>
          </cell>
        </row>
        <row r="24773">
          <cell r="A24773">
            <v>2062515</v>
          </cell>
          <cell r="B24773">
            <v>100422</v>
          </cell>
          <cell r="C24773" t="str">
            <v>Robert Blair Primary School</v>
          </cell>
          <cell r="D24773" t="str">
            <v>Islington</v>
          </cell>
          <cell r="E24773" t="str">
            <v>Community School</v>
          </cell>
          <cell r="F24773" t="str">
            <v>Primary</v>
          </cell>
        </row>
        <row r="24774">
          <cell r="A24774">
            <v>9334300</v>
          </cell>
          <cell r="B24774">
            <v>123878</v>
          </cell>
          <cell r="C24774" t="str">
            <v>Robert Blake Science College</v>
          </cell>
          <cell r="D24774" t="str">
            <v>Somerset</v>
          </cell>
          <cell r="E24774" t="str">
            <v>Foundation School</v>
          </cell>
          <cell r="F24774" t="str">
            <v>Secondary</v>
          </cell>
        </row>
        <row r="24775">
          <cell r="A24775">
            <v>8234034</v>
          </cell>
          <cell r="B24775">
            <v>109652</v>
          </cell>
          <cell r="C24775" t="str">
            <v>Robert Bloomfield Middle School</v>
          </cell>
          <cell r="D24775" t="str">
            <v>Central Bedfordshire</v>
          </cell>
          <cell r="E24775" t="str">
            <v>Foundation School</v>
          </cell>
          <cell r="F24775" t="str">
            <v>Middle Deemed Secondary</v>
          </cell>
        </row>
        <row r="24776">
          <cell r="A24776">
            <v>8234034</v>
          </cell>
          <cell r="B24776">
            <v>136713</v>
          </cell>
          <cell r="C24776" t="str">
            <v>Robert Bloomfield Middle School</v>
          </cell>
          <cell r="D24776" t="str">
            <v>Central Bedfordshire</v>
          </cell>
          <cell r="E24776" t="str">
            <v>Academy Converters</v>
          </cell>
          <cell r="F24776" t="str">
            <v>Middle Deemed Secondary</v>
          </cell>
        </row>
        <row r="24777">
          <cell r="A24777">
            <v>2102516</v>
          </cell>
          <cell r="B24777">
            <v>100809</v>
          </cell>
          <cell r="C24777" t="str">
            <v>Robert Browning Primary School</v>
          </cell>
          <cell r="D24777" t="str">
            <v>Southwark</v>
          </cell>
          <cell r="E24777" t="str">
            <v>Community School</v>
          </cell>
          <cell r="F24777" t="str">
            <v>Primary</v>
          </cell>
        </row>
        <row r="24778">
          <cell r="A24778">
            <v>8224047</v>
          </cell>
          <cell r="B24778">
            <v>109660</v>
          </cell>
          <cell r="C24778" t="str">
            <v>Robert Bruce Middle School</v>
          </cell>
          <cell r="D24778" t="str">
            <v>Bedford</v>
          </cell>
          <cell r="E24778" t="str">
            <v>Foundation School</v>
          </cell>
          <cell r="F24778" t="str">
            <v>Middle Deemed Secondary</v>
          </cell>
        </row>
        <row r="24779">
          <cell r="A24779">
            <v>3014027</v>
          </cell>
          <cell r="B24779">
            <v>101245</v>
          </cell>
          <cell r="C24779" t="str">
            <v>Robert Clack School</v>
          </cell>
          <cell r="D24779" t="str">
            <v>Barking and Dagenham</v>
          </cell>
          <cell r="E24779" t="str">
            <v>Community School</v>
          </cell>
          <cell r="F24779" t="str">
            <v>Secondary</v>
          </cell>
        </row>
        <row r="24780">
          <cell r="A24780">
            <v>9327011</v>
          </cell>
          <cell r="B24780">
            <v>129834</v>
          </cell>
          <cell r="C24780" t="str">
            <v>Robert Clive Special School</v>
          </cell>
          <cell r="D24780" t="str">
            <v>Pre LGR (1998) Shropshire</v>
          </cell>
          <cell r="E24780" t="str">
            <v>Community Special School</v>
          </cell>
          <cell r="F24780" t="str">
            <v>Special</v>
          </cell>
        </row>
        <row r="24781">
          <cell r="A24781">
            <v>9092611</v>
          </cell>
          <cell r="B24781">
            <v>128582</v>
          </cell>
          <cell r="C24781" t="str">
            <v>Robert Ferguson Infant School</v>
          </cell>
          <cell r="D24781" t="str">
            <v>Cumbria</v>
          </cell>
          <cell r="E24781" t="str">
            <v>Community School</v>
          </cell>
          <cell r="F24781" t="str">
            <v>Primary</v>
          </cell>
        </row>
        <row r="24782">
          <cell r="A24782">
            <v>9092605</v>
          </cell>
          <cell r="B24782">
            <v>128581</v>
          </cell>
          <cell r="C24782" t="str">
            <v>Robert Ferguson Junior School</v>
          </cell>
          <cell r="D24782" t="str">
            <v>Cumbria</v>
          </cell>
          <cell r="E24782" t="str">
            <v>Community School</v>
          </cell>
          <cell r="F24782" t="str">
            <v>Primary</v>
          </cell>
        </row>
        <row r="24783">
          <cell r="A24783">
            <v>9092710</v>
          </cell>
          <cell r="B24783">
            <v>112242</v>
          </cell>
          <cell r="C24783" t="str">
            <v>Robert Ferguson Primary School</v>
          </cell>
          <cell r="D24783" t="str">
            <v>Cumbria</v>
          </cell>
          <cell r="E24783" t="str">
            <v>Community School</v>
          </cell>
          <cell r="F24783" t="str">
            <v>Primary</v>
          </cell>
        </row>
        <row r="24784">
          <cell r="A24784">
            <v>9327004</v>
          </cell>
          <cell r="B24784">
            <v>129831</v>
          </cell>
          <cell r="C24784" t="str">
            <v>Robert Jones and Agnes Hunt Orthopaedic Hospital</v>
          </cell>
          <cell r="D24784" t="str">
            <v>Pre LGR (1998) Shropshire</v>
          </cell>
          <cell r="E24784" t="str">
            <v>Community Special School</v>
          </cell>
          <cell r="F24784" t="str">
            <v>Special</v>
          </cell>
        </row>
        <row r="24785">
          <cell r="A24785">
            <v>8912696</v>
          </cell>
          <cell r="B24785">
            <v>122623</v>
          </cell>
          <cell r="C24785" t="str">
            <v>Robert Jones Infant and Nursery School</v>
          </cell>
          <cell r="D24785" t="str">
            <v>Nottinghamshire</v>
          </cell>
          <cell r="E24785" t="str">
            <v>Community School</v>
          </cell>
          <cell r="F24785" t="str">
            <v>Primary</v>
          </cell>
        </row>
        <row r="24786">
          <cell r="A24786">
            <v>8912695</v>
          </cell>
          <cell r="B24786">
            <v>122622</v>
          </cell>
          <cell r="C24786" t="str">
            <v>Robert Jones Junior School</v>
          </cell>
          <cell r="D24786" t="str">
            <v>Nottinghamshire</v>
          </cell>
          <cell r="E24786" t="str">
            <v>Community School</v>
          </cell>
          <cell r="F24786" t="str">
            <v>Primary</v>
          </cell>
        </row>
        <row r="24787">
          <cell r="A24787">
            <v>9265206</v>
          </cell>
          <cell r="B24787">
            <v>121196</v>
          </cell>
          <cell r="C24787" t="str">
            <v>Robert Kett Junior School</v>
          </cell>
          <cell r="D24787" t="str">
            <v>Norfolk</v>
          </cell>
          <cell r="E24787" t="str">
            <v>Foundation School</v>
          </cell>
          <cell r="F24787" t="str">
            <v>Primary</v>
          </cell>
        </row>
        <row r="24788">
          <cell r="A24788">
            <v>8662211</v>
          </cell>
          <cell r="B24788">
            <v>126281</v>
          </cell>
          <cell r="C24788" t="str">
            <v>Robert Le Kyng Primary School</v>
          </cell>
          <cell r="D24788" t="str">
            <v>Swindon</v>
          </cell>
          <cell r="E24788" t="str">
            <v>Community School</v>
          </cell>
          <cell r="F24788" t="str">
            <v>Primary</v>
          </cell>
        </row>
        <row r="24789">
          <cell r="A24789">
            <v>9382151</v>
          </cell>
          <cell r="B24789">
            <v>125899</v>
          </cell>
          <cell r="C24789" t="str">
            <v>Robert May County First School</v>
          </cell>
          <cell r="D24789" t="str">
            <v>West Sussex</v>
          </cell>
          <cell r="E24789" t="str">
            <v>Community School</v>
          </cell>
          <cell r="F24789" t="str">
            <v>Primary</v>
          </cell>
        </row>
        <row r="24790">
          <cell r="A24790">
            <v>8504511</v>
          </cell>
          <cell r="B24790">
            <v>116477</v>
          </cell>
          <cell r="C24790" t="str">
            <v>Robert May's School</v>
          </cell>
          <cell r="D24790" t="str">
            <v>Hampshire</v>
          </cell>
          <cell r="E24790" t="str">
            <v>Voluntary Controlled School</v>
          </cell>
          <cell r="F24790" t="str">
            <v>Secondary</v>
          </cell>
        </row>
        <row r="24791">
          <cell r="A24791">
            <v>8912224</v>
          </cell>
          <cell r="B24791">
            <v>122521</v>
          </cell>
          <cell r="C24791" t="str">
            <v>Robert Mellors Primary and Nursery School</v>
          </cell>
          <cell r="D24791" t="str">
            <v>Nottinghamshire</v>
          </cell>
          <cell r="E24791" t="str">
            <v>Community School</v>
          </cell>
          <cell r="F24791" t="str">
            <v>Primary</v>
          </cell>
        </row>
        <row r="24792">
          <cell r="A24792">
            <v>8912865</v>
          </cell>
          <cell r="B24792">
            <v>122685</v>
          </cell>
          <cell r="C24792" t="str">
            <v>Robert Miles Junior School</v>
          </cell>
          <cell r="D24792" t="str">
            <v>Nottinghamshire</v>
          </cell>
          <cell r="E24792" t="str">
            <v>Community School</v>
          </cell>
          <cell r="F24792" t="str">
            <v>Primary</v>
          </cell>
        </row>
        <row r="24793">
          <cell r="A24793">
            <v>9147022</v>
          </cell>
          <cell r="B24793">
            <v>114689</v>
          </cell>
          <cell r="C24793" t="str">
            <v>Robert Mitchell School</v>
          </cell>
          <cell r="D24793" t="str">
            <v>Pre LGR (1997) East Sussex</v>
          </cell>
          <cell r="E24793" t="str">
            <v>Community Special School</v>
          </cell>
          <cell r="F24793" t="str">
            <v>Special</v>
          </cell>
        </row>
        <row r="24794">
          <cell r="A24794">
            <v>2031022</v>
          </cell>
          <cell r="B24794">
            <v>100102</v>
          </cell>
          <cell r="C24794" t="str">
            <v>Robert Owen Early Years Centre</v>
          </cell>
          <cell r="D24794" t="str">
            <v>Greenwich</v>
          </cell>
          <cell r="E24794" t="str">
            <v>LA Nursery School</v>
          </cell>
          <cell r="F24794" t="str">
            <v>Nursery</v>
          </cell>
        </row>
        <row r="24795">
          <cell r="A24795">
            <v>9255413</v>
          </cell>
          <cell r="B24795">
            <v>120709</v>
          </cell>
          <cell r="C24795" t="str">
            <v>Robert Pattinson School</v>
          </cell>
          <cell r="D24795" t="str">
            <v>Lincolnshire</v>
          </cell>
          <cell r="E24795" t="str">
            <v>Foundation School</v>
          </cell>
          <cell r="F24795" t="str">
            <v>Secondary</v>
          </cell>
        </row>
        <row r="24796">
          <cell r="A24796">
            <v>8232202</v>
          </cell>
          <cell r="B24796">
            <v>109522</v>
          </cell>
          <cell r="C24796" t="str">
            <v>Robert Peel Lower School</v>
          </cell>
          <cell r="D24796" t="str">
            <v>Central Bedfordshire</v>
          </cell>
          <cell r="E24796" t="str">
            <v>Foundation School</v>
          </cell>
          <cell r="F24796" t="str">
            <v>Primary</v>
          </cell>
        </row>
        <row r="24797">
          <cell r="A24797">
            <v>8723057</v>
          </cell>
          <cell r="B24797">
            <v>109989</v>
          </cell>
          <cell r="C24797" t="str">
            <v>Robert Piggott CofE Infant School</v>
          </cell>
          <cell r="D24797" t="str">
            <v>Wokingham</v>
          </cell>
          <cell r="E24797" t="str">
            <v>Voluntary Controlled School</v>
          </cell>
          <cell r="F24797" t="str">
            <v>Primary</v>
          </cell>
        </row>
        <row r="24798">
          <cell r="A24798">
            <v>8723061</v>
          </cell>
          <cell r="B24798">
            <v>109993</v>
          </cell>
          <cell r="C24798" t="str">
            <v>Robert Piggott CofE Junior School</v>
          </cell>
          <cell r="D24798" t="str">
            <v>Wokingham</v>
          </cell>
          <cell r="E24798" t="str">
            <v>Voluntary Controlled School</v>
          </cell>
          <cell r="F24798" t="str">
            <v>Primary</v>
          </cell>
        </row>
        <row r="24799">
          <cell r="A24799">
            <v>9066068</v>
          </cell>
          <cell r="B24799">
            <v>111488</v>
          </cell>
          <cell r="C24799" t="str">
            <v>Robert Raikes Tutorial School</v>
          </cell>
          <cell r="D24799" t="str">
            <v>Pre LGR (1998) Cheshire</v>
          </cell>
          <cell r="E24799" t="str">
            <v>Other Independent School</v>
          </cell>
          <cell r="F24799" t="str">
            <v>Not applicable</v>
          </cell>
        </row>
        <row r="24800">
          <cell r="A24800">
            <v>8692128</v>
          </cell>
          <cell r="B24800">
            <v>109861</v>
          </cell>
          <cell r="C24800" t="str">
            <v>Robert Sandilands Primary School and Nursery</v>
          </cell>
          <cell r="D24800" t="str">
            <v>West Berkshire</v>
          </cell>
          <cell r="E24800" t="str">
            <v>Community School</v>
          </cell>
          <cell r="F24800" t="str">
            <v>Primary</v>
          </cell>
        </row>
        <row r="24801">
          <cell r="A24801">
            <v>8922090</v>
          </cell>
          <cell r="B24801">
            <v>122437</v>
          </cell>
          <cell r="C24801" t="str">
            <v>Robert Shaw Primary School</v>
          </cell>
          <cell r="D24801" t="str">
            <v>Nottingham</v>
          </cell>
          <cell r="E24801" t="str">
            <v>Community School</v>
          </cell>
          <cell r="F24801" t="str">
            <v>Primary</v>
          </cell>
        </row>
        <row r="24802">
          <cell r="A24802">
            <v>9342267</v>
          </cell>
          <cell r="B24802">
            <v>129886</v>
          </cell>
          <cell r="C24802" t="str">
            <v>Robert Sherborne Infant School</v>
          </cell>
          <cell r="D24802" t="str">
            <v>Pre LGR (1997) Staffordshire</v>
          </cell>
          <cell r="E24802" t="str">
            <v>Community School</v>
          </cell>
          <cell r="F24802" t="str">
            <v>Primary</v>
          </cell>
        </row>
        <row r="24803">
          <cell r="A24803">
            <v>8163212</v>
          </cell>
          <cell r="B24803">
            <v>121545</v>
          </cell>
          <cell r="C24803" t="str">
            <v>Robert Wilkinson Primary School</v>
          </cell>
          <cell r="D24803" t="str">
            <v>York</v>
          </cell>
          <cell r="E24803" t="str">
            <v>Voluntary Controlled School</v>
          </cell>
          <cell r="F24803" t="str">
            <v>Primary</v>
          </cell>
        </row>
        <row r="24804">
          <cell r="A24804">
            <v>3322144</v>
          </cell>
          <cell r="B24804">
            <v>103821</v>
          </cell>
          <cell r="C24804" t="str">
            <v>Roberts Primary School</v>
          </cell>
          <cell r="D24804" t="str">
            <v>Dudley</v>
          </cell>
          <cell r="E24804" t="str">
            <v>Community School</v>
          </cell>
          <cell r="F24804" t="str">
            <v>Primary</v>
          </cell>
        </row>
        <row r="24805">
          <cell r="A24805">
            <v>3432012</v>
          </cell>
          <cell r="B24805">
            <v>104855</v>
          </cell>
          <cell r="C24805" t="str">
            <v>Roberts Primary School</v>
          </cell>
          <cell r="D24805" t="str">
            <v>Sefton</v>
          </cell>
          <cell r="E24805" t="str">
            <v>Community School</v>
          </cell>
          <cell r="F24805" t="str">
            <v>Primary</v>
          </cell>
        </row>
        <row r="24806">
          <cell r="A24806">
            <v>8454035</v>
          </cell>
          <cell r="B24806">
            <v>114588</v>
          </cell>
          <cell r="C24806" t="str">
            <v>Robertsbridge Community College</v>
          </cell>
          <cell r="D24806" t="str">
            <v>East Sussex</v>
          </cell>
          <cell r="E24806" t="str">
            <v>Community School</v>
          </cell>
          <cell r="F24806" t="str">
            <v>Secondary</v>
          </cell>
        </row>
        <row r="24807">
          <cell r="A24807">
            <v>6741003</v>
          </cell>
          <cell r="B24807">
            <v>400014</v>
          </cell>
          <cell r="C24807" t="str">
            <v>Robertstown Nursery School</v>
          </cell>
          <cell r="D24807" t="str">
            <v>Rhondda, Cynon, Taff</v>
          </cell>
          <cell r="E24807" t="str">
            <v>Welsh Establishment</v>
          </cell>
          <cell r="F24807" t="str">
            <v>Nursery</v>
          </cell>
        </row>
        <row r="24808">
          <cell r="A24808">
            <v>8252292</v>
          </cell>
          <cell r="B24808">
            <v>110360</v>
          </cell>
          <cell r="C24808" t="str">
            <v>Robertswood School</v>
          </cell>
          <cell r="D24808" t="str">
            <v>Buckinghamshire</v>
          </cell>
          <cell r="E24808" t="str">
            <v>Community School</v>
          </cell>
          <cell r="F24808" t="str">
            <v>Primary</v>
          </cell>
        </row>
        <row r="24809">
          <cell r="A24809">
            <v>3823034</v>
          </cell>
          <cell r="B24809">
            <v>107721</v>
          </cell>
          <cell r="C24809" t="str">
            <v>Roberttown Church of England Voluntary Controlled Junior and Infant School</v>
          </cell>
          <cell r="D24809" t="str">
            <v>Kirklees</v>
          </cell>
          <cell r="E24809" t="str">
            <v>Voluntary Controlled School</v>
          </cell>
          <cell r="F24809" t="str">
            <v>Primary</v>
          </cell>
        </row>
        <row r="24810">
          <cell r="A24810">
            <v>8912005</v>
          </cell>
          <cell r="B24810">
            <v>122402</v>
          </cell>
          <cell r="C24810" t="str">
            <v>Robin Hood Infant and Nursery School</v>
          </cell>
          <cell r="D24810" t="str">
            <v>Nottinghamshire</v>
          </cell>
          <cell r="E24810" t="str">
            <v>Community School</v>
          </cell>
          <cell r="F24810" t="str">
            <v>Primary</v>
          </cell>
        </row>
        <row r="24811">
          <cell r="A24811">
            <v>8922144</v>
          </cell>
          <cell r="B24811">
            <v>122469</v>
          </cell>
          <cell r="C24811" t="str">
            <v>Robin Hood Infant and Nursery School</v>
          </cell>
          <cell r="D24811" t="str">
            <v>Nottingham</v>
          </cell>
          <cell r="E24811" t="str">
            <v>Community School</v>
          </cell>
          <cell r="F24811" t="str">
            <v>Primary</v>
          </cell>
        </row>
        <row r="24812">
          <cell r="A24812">
            <v>3192037</v>
          </cell>
          <cell r="B24812">
            <v>102981</v>
          </cell>
          <cell r="C24812" t="str">
            <v>Robin Hood Infants' School</v>
          </cell>
          <cell r="D24812" t="str">
            <v>Sutton</v>
          </cell>
          <cell r="E24812" t="str">
            <v>Community School</v>
          </cell>
          <cell r="F24812" t="str">
            <v>Primary</v>
          </cell>
        </row>
        <row r="24813">
          <cell r="A24813">
            <v>3302460</v>
          </cell>
          <cell r="B24813">
            <v>103386</v>
          </cell>
          <cell r="C24813" t="str">
            <v>Robin Hood Junior and Infant School</v>
          </cell>
          <cell r="D24813" t="str">
            <v>Birmingham</v>
          </cell>
          <cell r="E24813" t="str">
            <v>Community School</v>
          </cell>
          <cell r="F24813" t="str">
            <v>Primary</v>
          </cell>
        </row>
        <row r="24814">
          <cell r="A24814">
            <v>3192041</v>
          </cell>
          <cell r="B24814">
            <v>102984</v>
          </cell>
          <cell r="C24814" t="str">
            <v>Robin Hood Junior School</v>
          </cell>
          <cell r="D24814" t="str">
            <v>Sutton</v>
          </cell>
          <cell r="E24814" t="str">
            <v>Community School</v>
          </cell>
          <cell r="F24814" t="str">
            <v>Primary</v>
          </cell>
        </row>
        <row r="24815">
          <cell r="A24815">
            <v>8912103</v>
          </cell>
          <cell r="B24815">
            <v>122449</v>
          </cell>
          <cell r="C24815" t="str">
            <v>Robin Hood Junior School</v>
          </cell>
          <cell r="D24815" t="str">
            <v>Nottinghamshire</v>
          </cell>
          <cell r="E24815" t="str">
            <v>Community School</v>
          </cell>
          <cell r="F24815" t="str">
            <v>Primary</v>
          </cell>
        </row>
        <row r="24816">
          <cell r="A24816">
            <v>8922145</v>
          </cell>
          <cell r="B24816">
            <v>122470</v>
          </cell>
          <cell r="C24816" t="str">
            <v>Robin Hood Junior School</v>
          </cell>
          <cell r="D24816" t="str">
            <v>Nottingham</v>
          </cell>
          <cell r="E24816" t="str">
            <v>Community School</v>
          </cell>
          <cell r="F24816" t="str">
            <v>Primary</v>
          </cell>
        </row>
        <row r="24817">
          <cell r="A24817">
            <v>8912945</v>
          </cell>
          <cell r="B24817">
            <v>132144</v>
          </cell>
          <cell r="C24817" t="str">
            <v>Robin Hood Primary and Nursery School</v>
          </cell>
          <cell r="D24817" t="str">
            <v>Nottinghamshire</v>
          </cell>
          <cell r="E24817" t="str">
            <v>Community School</v>
          </cell>
          <cell r="F24817" t="str">
            <v>Primary</v>
          </cell>
        </row>
        <row r="24818">
          <cell r="A24818">
            <v>3142020</v>
          </cell>
          <cell r="B24818">
            <v>102573</v>
          </cell>
          <cell r="C24818" t="str">
            <v>Robin Hood Primary School</v>
          </cell>
          <cell r="D24818" t="str">
            <v>Kingston upon Thames</v>
          </cell>
          <cell r="E24818" t="str">
            <v>Community School</v>
          </cell>
          <cell r="F24818" t="str">
            <v>Primary</v>
          </cell>
        </row>
        <row r="24819">
          <cell r="A24819">
            <v>3832309</v>
          </cell>
          <cell r="B24819">
            <v>107831</v>
          </cell>
          <cell r="C24819" t="str">
            <v>Robin Hood Primary School</v>
          </cell>
          <cell r="D24819" t="str">
            <v>Leeds</v>
          </cell>
          <cell r="E24819" t="str">
            <v>Community School</v>
          </cell>
          <cell r="F24819" t="str">
            <v>Primary</v>
          </cell>
        </row>
        <row r="24820">
          <cell r="A24820">
            <v>8923329</v>
          </cell>
          <cell r="B24820">
            <v>131007</v>
          </cell>
          <cell r="C24820" t="str">
            <v>Robin Hood Primary School</v>
          </cell>
          <cell r="D24820" t="str">
            <v>Nottingham</v>
          </cell>
          <cell r="E24820" t="str">
            <v>Community School</v>
          </cell>
          <cell r="F24820" t="str">
            <v>Primary</v>
          </cell>
        </row>
        <row r="24821">
          <cell r="A24821">
            <v>3422008</v>
          </cell>
          <cell r="B24821">
            <v>104762</v>
          </cell>
          <cell r="C24821" t="str">
            <v>Robins Lane Community Primary School</v>
          </cell>
          <cell r="D24821" t="str">
            <v>St. Helens</v>
          </cell>
          <cell r="E24821" t="str">
            <v>Community School</v>
          </cell>
          <cell r="F24821" t="str">
            <v>Primary</v>
          </cell>
        </row>
        <row r="24822">
          <cell r="A24822">
            <v>3422009</v>
          </cell>
          <cell r="B24822">
            <v>133200</v>
          </cell>
          <cell r="C24822" t="str">
            <v>Robins Lane County Infant School</v>
          </cell>
          <cell r="D24822" t="str">
            <v>St. Helens</v>
          </cell>
          <cell r="E24822" t="str">
            <v>Miscellaneous</v>
          </cell>
          <cell r="F24822" t="str">
            <v>Not applicable</v>
          </cell>
        </row>
        <row r="24823">
          <cell r="A24823">
            <v>2132816</v>
          </cell>
          <cell r="B24823">
            <v>101117</v>
          </cell>
          <cell r="C24823" t="str">
            <v>Robinsfield Infant School</v>
          </cell>
          <cell r="D24823" t="str">
            <v>Westminster</v>
          </cell>
          <cell r="E24823" t="str">
            <v>Community School</v>
          </cell>
          <cell r="F24823" t="str">
            <v>Primary</v>
          </cell>
        </row>
        <row r="24824">
          <cell r="A24824">
            <v>9372584</v>
          </cell>
          <cell r="B24824">
            <v>125594</v>
          </cell>
          <cell r="C24824" t="str">
            <v>Robinson's End Middle School</v>
          </cell>
          <cell r="D24824" t="str">
            <v>Warwickshire</v>
          </cell>
          <cell r="E24824" t="str">
            <v>Community School</v>
          </cell>
          <cell r="F24824" t="str">
            <v>Middle Deemed Primary</v>
          </cell>
        </row>
        <row r="24825">
          <cell r="A24825">
            <v>9165200</v>
          </cell>
          <cell r="B24825">
            <v>115730</v>
          </cell>
          <cell r="C24825" t="str">
            <v>Robinswood Primary School</v>
          </cell>
          <cell r="D24825" t="str">
            <v>Gloucestershire</v>
          </cell>
          <cell r="E24825" t="str">
            <v>Foundation School</v>
          </cell>
          <cell r="F24825" t="str">
            <v>Primary</v>
          </cell>
        </row>
        <row r="24826">
          <cell r="A24826">
            <v>9165200</v>
          </cell>
          <cell r="B24826">
            <v>136528</v>
          </cell>
          <cell r="C24826" t="str">
            <v>Robinswood Primary School</v>
          </cell>
          <cell r="D24826" t="str">
            <v>Gloucestershire</v>
          </cell>
          <cell r="E24826" t="str">
            <v>Academy Converters</v>
          </cell>
          <cell r="F24826" t="str">
            <v>Primary</v>
          </cell>
        </row>
        <row r="24827">
          <cell r="A24827">
            <v>3812070</v>
          </cell>
          <cell r="B24827">
            <v>127759</v>
          </cell>
          <cell r="C24827" t="str">
            <v>Robinwood Junior and Infant School</v>
          </cell>
          <cell r="D24827" t="str">
            <v>Calderdale</v>
          </cell>
          <cell r="E24827" t="str">
            <v>Community School</v>
          </cell>
          <cell r="F24827" t="str">
            <v>Primary</v>
          </cell>
        </row>
        <row r="24828">
          <cell r="A24828">
            <v>8452161</v>
          </cell>
          <cell r="B24828">
            <v>114483</v>
          </cell>
          <cell r="C24828" t="str">
            <v>Robsack Wood Community Primary School</v>
          </cell>
          <cell r="D24828" t="str">
            <v>East Sussex</v>
          </cell>
          <cell r="E24828" t="str">
            <v>Community School</v>
          </cell>
          <cell r="F24828" t="str">
            <v>Primary</v>
          </cell>
        </row>
        <row r="24829">
          <cell r="A24829">
            <v>3402002</v>
          </cell>
          <cell r="B24829">
            <v>104420</v>
          </cell>
          <cell r="C24829" t="str">
            <v>Roby Park Primary School</v>
          </cell>
          <cell r="D24829" t="str">
            <v>Knowsley</v>
          </cell>
          <cell r="E24829" t="str">
            <v>Community School</v>
          </cell>
          <cell r="F24829" t="str">
            <v>Primary</v>
          </cell>
        </row>
        <row r="24830">
          <cell r="A24830">
            <v>6682273</v>
          </cell>
          <cell r="B24830">
            <v>400694</v>
          </cell>
          <cell r="C24830" t="str">
            <v>Roch C.P. School</v>
          </cell>
          <cell r="D24830" t="str">
            <v>Pembrokeshire</v>
          </cell>
          <cell r="E24830" t="str">
            <v>Welsh Establishment</v>
          </cell>
          <cell r="F24830" t="str">
            <v>Primary</v>
          </cell>
        </row>
        <row r="24831">
          <cell r="A24831">
            <v>3544075</v>
          </cell>
          <cell r="B24831">
            <v>127454</v>
          </cell>
          <cell r="C24831" t="str">
            <v>Roch Valley High School</v>
          </cell>
          <cell r="D24831" t="str">
            <v>Rochdale</v>
          </cell>
          <cell r="E24831" t="str">
            <v>Community School</v>
          </cell>
          <cell r="F24831" t="str">
            <v>Secondary</v>
          </cell>
        </row>
        <row r="24832">
          <cell r="A24832">
            <v>3546006</v>
          </cell>
          <cell r="B24832">
            <v>134575</v>
          </cell>
          <cell r="C24832" t="str">
            <v>Rochdale Girls School</v>
          </cell>
          <cell r="D24832" t="str">
            <v>Rochdale</v>
          </cell>
          <cell r="E24832" t="str">
            <v>Other Independent School</v>
          </cell>
          <cell r="F24832" t="str">
            <v>Not applicable</v>
          </cell>
        </row>
        <row r="24833">
          <cell r="A24833">
            <v>3546200</v>
          </cell>
          <cell r="B24833">
            <v>135737</v>
          </cell>
          <cell r="C24833" t="str">
            <v>Rochdale Old Road</v>
          </cell>
          <cell r="D24833" t="str">
            <v>Rochdale</v>
          </cell>
          <cell r="E24833" t="str">
            <v>Other Independent Special School</v>
          </cell>
          <cell r="F24833" t="str">
            <v>Not applicable</v>
          </cell>
        </row>
        <row r="24834">
          <cell r="A24834">
            <v>3541100</v>
          </cell>
          <cell r="B24834">
            <v>133409</v>
          </cell>
          <cell r="C24834" t="str">
            <v>Rochdale Pupil Referral Service</v>
          </cell>
          <cell r="D24834" t="str">
            <v>Rochdale</v>
          </cell>
          <cell r="E24834" t="str">
            <v>Pupil Referral Unit</v>
          </cell>
          <cell r="F24834" t="str">
            <v>PRU</v>
          </cell>
        </row>
        <row r="24835">
          <cell r="A24835">
            <v>3548004</v>
          </cell>
          <cell r="B24835">
            <v>135659</v>
          </cell>
          <cell r="C24835" t="str">
            <v>Rochdale Sixth Form College</v>
          </cell>
          <cell r="D24835" t="str">
            <v>Rochdale</v>
          </cell>
          <cell r="E24835" t="str">
            <v>Further Education</v>
          </cell>
          <cell r="F24835" t="str">
            <v>16 Plus</v>
          </cell>
        </row>
        <row r="24836">
          <cell r="A24836">
            <v>9082410</v>
          </cell>
          <cell r="B24836">
            <v>111887</v>
          </cell>
          <cell r="C24836" t="str">
            <v>Roche Community Primary School</v>
          </cell>
          <cell r="D24836" t="str">
            <v>Cornwall</v>
          </cell>
          <cell r="E24836" t="str">
            <v>Community School</v>
          </cell>
          <cell r="F24836" t="str">
            <v>Primary</v>
          </cell>
        </row>
        <row r="24837">
          <cell r="A24837">
            <v>8876004</v>
          </cell>
          <cell r="B24837">
            <v>119006</v>
          </cell>
          <cell r="C24837" t="str">
            <v>Rochester Independent College</v>
          </cell>
          <cell r="D24837" t="str">
            <v>Medway</v>
          </cell>
          <cell r="E24837" t="str">
            <v>Other Independent School</v>
          </cell>
          <cell r="F24837" t="str">
            <v>Not applicable</v>
          </cell>
        </row>
        <row r="24838">
          <cell r="A24838">
            <v>9156245</v>
          </cell>
          <cell r="B24838">
            <v>128926</v>
          </cell>
          <cell r="C24838" t="str">
            <v>Rochford College</v>
          </cell>
          <cell r="D24838" t="str">
            <v>Pre LGR (1998) Essex</v>
          </cell>
          <cell r="E24838" t="str">
            <v>Other Independent School</v>
          </cell>
          <cell r="F24838" t="str">
            <v>Not applicable</v>
          </cell>
        </row>
        <row r="24839">
          <cell r="A24839">
            <v>8815275</v>
          </cell>
          <cell r="B24839">
            <v>115315</v>
          </cell>
          <cell r="C24839" t="str">
            <v>Rochford Primary and Nursery School</v>
          </cell>
          <cell r="D24839" t="str">
            <v>Essex</v>
          </cell>
          <cell r="E24839" t="str">
            <v>Foundation School</v>
          </cell>
          <cell r="F24839" t="str">
            <v>Primary</v>
          </cell>
        </row>
        <row r="24840">
          <cell r="A24840">
            <v>3444011</v>
          </cell>
          <cell r="B24840">
            <v>105094</v>
          </cell>
          <cell r="C24840" t="str">
            <v>Rock Ferry High School</v>
          </cell>
          <cell r="D24840" t="str">
            <v>Wirral</v>
          </cell>
          <cell r="E24840" t="str">
            <v>Community School</v>
          </cell>
          <cell r="F24840" t="str">
            <v>Secondary</v>
          </cell>
        </row>
        <row r="24841">
          <cell r="A24841">
            <v>3442258</v>
          </cell>
          <cell r="B24841">
            <v>105045</v>
          </cell>
          <cell r="C24841" t="str">
            <v>Rock Ferry Primary School</v>
          </cell>
          <cell r="D24841" t="str">
            <v>Wirral</v>
          </cell>
          <cell r="E24841" t="str">
            <v>Community School</v>
          </cell>
          <cell r="F24841" t="str">
            <v>Primary</v>
          </cell>
        </row>
        <row r="24842">
          <cell r="A24842">
            <v>9296044</v>
          </cell>
          <cell r="B24842">
            <v>122380</v>
          </cell>
          <cell r="C24842" t="str">
            <v>Rock Hall School</v>
          </cell>
          <cell r="D24842" t="str">
            <v>Northumberland</v>
          </cell>
          <cell r="E24842" t="str">
            <v>Other Independent School</v>
          </cell>
          <cell r="F24842" t="str">
            <v>Not applicable</v>
          </cell>
        </row>
        <row r="24843">
          <cell r="A24843">
            <v>3076078</v>
          </cell>
          <cell r="B24843">
            <v>130999</v>
          </cell>
          <cell r="C24843" t="str">
            <v>Rock Small School</v>
          </cell>
          <cell r="D24843" t="str">
            <v>Ealing</v>
          </cell>
          <cell r="E24843" t="str">
            <v>Other Independent School</v>
          </cell>
          <cell r="F24843" t="str">
            <v>Not applicable</v>
          </cell>
        </row>
        <row r="24844">
          <cell r="A24844">
            <v>8783317</v>
          </cell>
          <cell r="B24844">
            <v>113436</v>
          </cell>
          <cell r="C24844" t="str">
            <v>Rockbeare Church of England Primary School</v>
          </cell>
          <cell r="D24844" t="str">
            <v>Devon</v>
          </cell>
          <cell r="E24844" t="str">
            <v>Voluntary Aided School</v>
          </cell>
          <cell r="F24844" t="str">
            <v>Primary</v>
          </cell>
        </row>
        <row r="24845">
          <cell r="A24845">
            <v>9093031</v>
          </cell>
          <cell r="B24845">
            <v>112258</v>
          </cell>
          <cell r="C24845" t="str">
            <v>Rockcliffe CofE School</v>
          </cell>
          <cell r="D24845" t="str">
            <v>Cumbria</v>
          </cell>
          <cell r="E24845" t="str">
            <v>Voluntary Controlled School</v>
          </cell>
          <cell r="F24845" t="str">
            <v>Primary</v>
          </cell>
        </row>
        <row r="24846">
          <cell r="A24846">
            <v>3922041</v>
          </cell>
          <cell r="B24846">
            <v>108583</v>
          </cell>
          <cell r="C24846" t="str">
            <v>Rockcliffe First School</v>
          </cell>
          <cell r="D24846" t="str">
            <v>North Tyneside</v>
          </cell>
          <cell r="E24846" t="str">
            <v>Foundation School</v>
          </cell>
          <cell r="F24846" t="str">
            <v>Primary</v>
          </cell>
        </row>
        <row r="24847">
          <cell r="A24847">
            <v>6801002</v>
          </cell>
          <cell r="B24847">
            <v>400032</v>
          </cell>
          <cell r="C24847" t="str">
            <v>Rockfield Nursery School</v>
          </cell>
          <cell r="D24847" t="str">
            <v>Newport</v>
          </cell>
          <cell r="E24847" t="str">
            <v>Welsh Establishment</v>
          </cell>
          <cell r="F24847" t="str">
            <v>Nursery</v>
          </cell>
        </row>
        <row r="24848">
          <cell r="A24848">
            <v>3722038</v>
          </cell>
          <cell r="B24848">
            <v>106855</v>
          </cell>
          <cell r="C24848" t="str">
            <v>Rockingham Junior and Infant School</v>
          </cell>
          <cell r="D24848" t="str">
            <v>Rotherham</v>
          </cell>
          <cell r="E24848" t="str">
            <v>Community School</v>
          </cell>
          <cell r="F24848" t="str">
            <v>Primary</v>
          </cell>
        </row>
        <row r="24849">
          <cell r="A24849">
            <v>9282018</v>
          </cell>
          <cell r="B24849">
            <v>121807</v>
          </cell>
          <cell r="C24849" t="str">
            <v>Rockingham Primary School</v>
          </cell>
          <cell r="D24849" t="str">
            <v>Northamptonshire</v>
          </cell>
          <cell r="E24849" t="str">
            <v>Community School</v>
          </cell>
          <cell r="F24849" t="str">
            <v>Primary</v>
          </cell>
        </row>
        <row r="24850">
          <cell r="A24850">
            <v>9262134</v>
          </cell>
          <cell r="B24850">
            <v>120846</v>
          </cell>
          <cell r="C24850" t="str">
            <v>Rockland St Mary Primary School</v>
          </cell>
          <cell r="D24850" t="str">
            <v>Norfolk</v>
          </cell>
          <cell r="E24850" t="str">
            <v>Community School</v>
          </cell>
          <cell r="F24850" t="str">
            <v>Primary</v>
          </cell>
        </row>
        <row r="24851">
          <cell r="A24851">
            <v>9262135</v>
          </cell>
          <cell r="B24851">
            <v>120847</v>
          </cell>
          <cell r="C24851" t="str">
            <v>Rocklands Community Primary School</v>
          </cell>
          <cell r="D24851" t="str">
            <v>Norfolk</v>
          </cell>
          <cell r="E24851" t="str">
            <v>Community School</v>
          </cell>
          <cell r="F24851" t="str">
            <v>Primary</v>
          </cell>
        </row>
        <row r="24852">
          <cell r="A24852">
            <v>8607036</v>
          </cell>
          <cell r="B24852">
            <v>124517</v>
          </cell>
          <cell r="C24852" t="str">
            <v>Rocklands School</v>
          </cell>
          <cell r="D24852" t="str">
            <v>Staffordshire</v>
          </cell>
          <cell r="E24852" t="str">
            <v>Community Special School</v>
          </cell>
          <cell r="F24852" t="str">
            <v>Special</v>
          </cell>
        </row>
        <row r="24853">
          <cell r="A24853">
            <v>9116068</v>
          </cell>
          <cell r="B24853">
            <v>128741</v>
          </cell>
          <cell r="C24853" t="str">
            <v>Rocklands School</v>
          </cell>
          <cell r="D24853" t="str">
            <v>Pre LGR (1998) Devon</v>
          </cell>
          <cell r="E24853" t="str">
            <v>Other Independent School</v>
          </cell>
          <cell r="F24853" t="str">
            <v>Not applicable</v>
          </cell>
        </row>
        <row r="24854">
          <cell r="A24854">
            <v>3707002</v>
          </cell>
          <cell r="B24854">
            <v>106660</v>
          </cell>
          <cell r="C24854" t="str">
            <v>Rockley Mount School</v>
          </cell>
          <cell r="D24854" t="str">
            <v>Barnsley</v>
          </cell>
          <cell r="E24854" t="str">
            <v>Community Special School</v>
          </cell>
          <cell r="F24854" t="str">
            <v>Special</v>
          </cell>
        </row>
        <row r="24855">
          <cell r="A24855">
            <v>2032804</v>
          </cell>
          <cell r="B24855">
            <v>100151</v>
          </cell>
          <cell r="C24855" t="str">
            <v>Rockliffe Manor Primary School</v>
          </cell>
          <cell r="D24855" t="str">
            <v>Greenwich</v>
          </cell>
          <cell r="E24855" t="str">
            <v>Community School</v>
          </cell>
          <cell r="F24855" t="str">
            <v>Primary</v>
          </cell>
        </row>
        <row r="24856">
          <cell r="A24856">
            <v>3062102</v>
          </cell>
          <cell r="B24856">
            <v>101783</v>
          </cell>
          <cell r="C24856" t="str">
            <v>Rockmount Primary School</v>
          </cell>
          <cell r="D24856" t="str">
            <v>Croydon</v>
          </cell>
          <cell r="E24856" t="str">
            <v>Community School</v>
          </cell>
          <cell r="F24856" t="str">
            <v>Primary</v>
          </cell>
        </row>
        <row r="24857">
          <cell r="A24857">
            <v>8452149</v>
          </cell>
          <cell r="B24857">
            <v>114471</v>
          </cell>
          <cell r="C24857" t="str">
            <v>Rocks Park Primary School</v>
          </cell>
          <cell r="D24857" t="str">
            <v>East Sussex</v>
          </cell>
          <cell r="E24857" t="str">
            <v>Community School</v>
          </cell>
          <cell r="F24857" t="str">
            <v>Primary</v>
          </cell>
        </row>
        <row r="24858">
          <cell r="A24858">
            <v>9333186</v>
          </cell>
          <cell r="B24858">
            <v>123800</v>
          </cell>
          <cell r="C24858" t="str">
            <v>Rockwell Green Church of England Primary School</v>
          </cell>
          <cell r="D24858" t="str">
            <v>Somerset</v>
          </cell>
          <cell r="E24858" t="str">
            <v>Voluntary Controlled School</v>
          </cell>
          <cell r="F24858" t="str">
            <v>Primary</v>
          </cell>
        </row>
        <row r="24859">
          <cell r="A24859">
            <v>8881001</v>
          </cell>
          <cell r="B24859">
            <v>119065</v>
          </cell>
          <cell r="C24859" t="str">
            <v>Rockwood Nursery School</v>
          </cell>
          <cell r="D24859" t="str">
            <v>Lancashire</v>
          </cell>
          <cell r="E24859" t="str">
            <v>LA Nursery School</v>
          </cell>
          <cell r="F24859" t="str">
            <v>Nursery</v>
          </cell>
        </row>
        <row r="24860">
          <cell r="A24860">
            <v>8608300</v>
          </cell>
          <cell r="B24860">
            <v>130816</v>
          </cell>
          <cell r="C24860" t="str">
            <v>Rodbaston College</v>
          </cell>
          <cell r="D24860" t="str">
            <v>Staffordshire</v>
          </cell>
          <cell r="E24860" t="str">
            <v>Further Education</v>
          </cell>
          <cell r="F24860" t="str">
            <v>16 Plus</v>
          </cell>
        </row>
        <row r="24861">
          <cell r="A24861">
            <v>9162123</v>
          </cell>
          <cell r="B24861">
            <v>115565</v>
          </cell>
          <cell r="C24861" t="str">
            <v>Rodborough Community Primary School</v>
          </cell>
          <cell r="D24861" t="str">
            <v>Gloucestershire</v>
          </cell>
          <cell r="E24861" t="str">
            <v>Community School</v>
          </cell>
          <cell r="F24861" t="str">
            <v>Primary</v>
          </cell>
        </row>
        <row r="24862">
          <cell r="A24862">
            <v>9364165</v>
          </cell>
          <cell r="B24862">
            <v>125260</v>
          </cell>
          <cell r="C24862" t="str">
            <v>Rodborough Technology College</v>
          </cell>
          <cell r="D24862" t="str">
            <v>Surrey</v>
          </cell>
          <cell r="E24862" t="str">
            <v>Community School</v>
          </cell>
          <cell r="F24862" t="str">
            <v>Secondary</v>
          </cell>
        </row>
        <row r="24863">
          <cell r="A24863">
            <v>9364165</v>
          </cell>
          <cell r="B24863">
            <v>137019</v>
          </cell>
          <cell r="C24863" t="str">
            <v>Rodborough Technology College</v>
          </cell>
          <cell r="D24863" t="str">
            <v>Surrey</v>
          </cell>
          <cell r="E24863" t="str">
            <v>Academy Converters</v>
          </cell>
          <cell r="F24863" t="str">
            <v>Secondary</v>
          </cell>
        </row>
        <row r="24864">
          <cell r="A24864">
            <v>8662204</v>
          </cell>
          <cell r="B24864">
            <v>126275</v>
          </cell>
          <cell r="C24864" t="str">
            <v>Rodbourne Cheney Primary School</v>
          </cell>
          <cell r="D24864" t="str">
            <v>Swindon</v>
          </cell>
          <cell r="E24864" t="str">
            <v>Community School</v>
          </cell>
          <cell r="F24864" t="str">
            <v>Primary</v>
          </cell>
        </row>
        <row r="24865">
          <cell r="A24865">
            <v>8952349</v>
          </cell>
          <cell r="B24865">
            <v>111159</v>
          </cell>
          <cell r="C24865" t="str">
            <v>Rode Heath Primary School</v>
          </cell>
          <cell r="D24865" t="str">
            <v>Cheshire East</v>
          </cell>
          <cell r="E24865" t="str">
            <v>Community School</v>
          </cell>
          <cell r="F24865" t="str">
            <v>Primary</v>
          </cell>
        </row>
        <row r="24866">
          <cell r="A24866">
            <v>9333287</v>
          </cell>
          <cell r="B24866">
            <v>123823</v>
          </cell>
          <cell r="C24866" t="str">
            <v>Rode Methodist VC First School</v>
          </cell>
          <cell r="D24866" t="str">
            <v>Somerset</v>
          </cell>
          <cell r="E24866" t="str">
            <v>Voluntary Controlled School</v>
          </cell>
          <cell r="F24866" t="str">
            <v>Primary</v>
          </cell>
        </row>
        <row r="24867">
          <cell r="A24867">
            <v>8032218</v>
          </cell>
          <cell r="B24867">
            <v>109048</v>
          </cell>
          <cell r="C24867" t="str">
            <v>Rodford Infants' School</v>
          </cell>
          <cell r="D24867" t="str">
            <v>South Gloucestershire</v>
          </cell>
          <cell r="E24867" t="str">
            <v>Community School</v>
          </cell>
          <cell r="F24867" t="str">
            <v>Primary</v>
          </cell>
        </row>
        <row r="24868">
          <cell r="A24868">
            <v>8032202</v>
          </cell>
          <cell r="B24868">
            <v>109036</v>
          </cell>
          <cell r="C24868" t="str">
            <v>Rodford Junior School</v>
          </cell>
          <cell r="D24868" t="str">
            <v>South Gloucestershire</v>
          </cell>
          <cell r="E24868" t="str">
            <v>Community School</v>
          </cell>
          <cell r="F24868" t="str">
            <v>Primary</v>
          </cell>
        </row>
        <row r="24869">
          <cell r="A24869">
            <v>8032004</v>
          </cell>
          <cell r="B24869">
            <v>131702</v>
          </cell>
          <cell r="C24869" t="str">
            <v>Rodford Primary School</v>
          </cell>
          <cell r="D24869" t="str">
            <v>South Gloucestershire</v>
          </cell>
          <cell r="E24869" t="str">
            <v>Community School</v>
          </cell>
          <cell r="F24869" t="str">
            <v>Primary</v>
          </cell>
        </row>
        <row r="24870">
          <cell r="A24870">
            <v>3834103</v>
          </cell>
          <cell r="B24870">
            <v>108080</v>
          </cell>
          <cell r="C24870" t="str">
            <v>Rodillian School</v>
          </cell>
          <cell r="D24870" t="str">
            <v>Leeds</v>
          </cell>
          <cell r="E24870" t="str">
            <v>Community School</v>
          </cell>
          <cell r="F24870" t="str">
            <v>Secondary</v>
          </cell>
        </row>
        <row r="24871">
          <cell r="A24871">
            <v>3012018</v>
          </cell>
          <cell r="B24871">
            <v>126714</v>
          </cell>
          <cell r="C24871" t="str">
            <v>Roding Infant School</v>
          </cell>
          <cell r="D24871" t="str">
            <v>Barking and Dagenham</v>
          </cell>
          <cell r="E24871" t="str">
            <v>Community School</v>
          </cell>
          <cell r="F24871" t="str">
            <v>Primary</v>
          </cell>
        </row>
        <row r="24872">
          <cell r="A24872">
            <v>3012017</v>
          </cell>
          <cell r="B24872">
            <v>126713</v>
          </cell>
          <cell r="C24872" t="str">
            <v>Roding Junior School</v>
          </cell>
          <cell r="D24872" t="str">
            <v>Barking and Dagenham</v>
          </cell>
          <cell r="E24872" t="str">
            <v>Community School</v>
          </cell>
          <cell r="F24872" t="str">
            <v>Primary</v>
          </cell>
        </row>
        <row r="24873">
          <cell r="A24873">
            <v>3012067</v>
          </cell>
          <cell r="B24873">
            <v>101230</v>
          </cell>
          <cell r="C24873" t="str">
            <v>Roding Primary School</v>
          </cell>
          <cell r="D24873" t="str">
            <v>Barking and Dagenham</v>
          </cell>
          <cell r="E24873" t="str">
            <v>Community School</v>
          </cell>
          <cell r="F24873" t="str">
            <v>Primary</v>
          </cell>
        </row>
        <row r="24874">
          <cell r="A24874">
            <v>3172051</v>
          </cell>
          <cell r="B24874">
            <v>102830</v>
          </cell>
          <cell r="C24874" t="str">
            <v>Roding Primary School</v>
          </cell>
          <cell r="D24874" t="str">
            <v>Redbridge</v>
          </cell>
          <cell r="E24874" t="str">
            <v>Community School</v>
          </cell>
          <cell r="F24874" t="str">
            <v>Primary</v>
          </cell>
        </row>
        <row r="24875">
          <cell r="A24875">
            <v>8814499</v>
          </cell>
          <cell r="B24875">
            <v>115235</v>
          </cell>
          <cell r="C24875" t="str">
            <v>Roding Valley High School</v>
          </cell>
          <cell r="D24875" t="str">
            <v>Essex</v>
          </cell>
          <cell r="E24875" t="str">
            <v>Community School</v>
          </cell>
          <cell r="F24875" t="str">
            <v>Secondary</v>
          </cell>
        </row>
        <row r="24876">
          <cell r="A24876">
            <v>8815226</v>
          </cell>
          <cell r="B24876">
            <v>115266</v>
          </cell>
          <cell r="C24876" t="str">
            <v>Rodings Primary School</v>
          </cell>
          <cell r="D24876" t="str">
            <v>Essex</v>
          </cell>
          <cell r="E24876" t="str">
            <v>Foundation School</v>
          </cell>
          <cell r="F24876" t="str">
            <v>Primary</v>
          </cell>
        </row>
        <row r="24877">
          <cell r="A24877">
            <v>9323088</v>
          </cell>
          <cell r="B24877">
            <v>129801</v>
          </cell>
          <cell r="C24877" t="str">
            <v>Rodington CofE Primary School</v>
          </cell>
          <cell r="D24877" t="str">
            <v>Pre LGR (1998) Shropshire</v>
          </cell>
          <cell r="E24877" t="str">
            <v>Voluntary Controlled School</v>
          </cell>
          <cell r="F24877" t="str">
            <v>Primary</v>
          </cell>
        </row>
        <row r="24878">
          <cell r="A24878">
            <v>9323092</v>
          </cell>
          <cell r="B24878">
            <v>133170</v>
          </cell>
          <cell r="C24878" t="str">
            <v>Rodington CofE Primary School</v>
          </cell>
          <cell r="D24878" t="str">
            <v>Pre LGR (1998) Shropshire</v>
          </cell>
          <cell r="E24878" t="str">
            <v>Miscellaneous</v>
          </cell>
          <cell r="F24878" t="str">
            <v>Not applicable</v>
          </cell>
        </row>
        <row r="24879">
          <cell r="A24879">
            <v>3832166</v>
          </cell>
          <cell r="B24879">
            <v>127844</v>
          </cell>
          <cell r="C24879" t="str">
            <v>Rodley First School</v>
          </cell>
          <cell r="D24879" t="str">
            <v>Leeds</v>
          </cell>
          <cell r="E24879" t="str">
            <v>Community School</v>
          </cell>
          <cell r="F24879" t="str">
            <v>Primary</v>
          </cell>
        </row>
        <row r="24880">
          <cell r="A24880">
            <v>3832498</v>
          </cell>
          <cell r="B24880">
            <v>107974</v>
          </cell>
          <cell r="C24880" t="str">
            <v>Rodley Village Primary School</v>
          </cell>
          <cell r="D24880" t="str">
            <v>Leeds</v>
          </cell>
          <cell r="E24880" t="str">
            <v>Community School</v>
          </cell>
          <cell r="F24880" t="str">
            <v>Primary</v>
          </cell>
        </row>
        <row r="24881">
          <cell r="A24881">
            <v>9162085</v>
          </cell>
          <cell r="B24881">
            <v>115535</v>
          </cell>
          <cell r="C24881" t="str">
            <v>Rodmarton School</v>
          </cell>
          <cell r="D24881" t="str">
            <v>Gloucestershire</v>
          </cell>
          <cell r="E24881" t="str">
            <v>Community School</v>
          </cell>
          <cell r="F24881" t="str">
            <v>Primary</v>
          </cell>
        </row>
        <row r="24882">
          <cell r="A24882">
            <v>8453334</v>
          </cell>
          <cell r="B24882">
            <v>114561</v>
          </cell>
          <cell r="C24882" t="str">
            <v>Rodmell Church of England Primary School</v>
          </cell>
          <cell r="D24882" t="str">
            <v>East Sussex</v>
          </cell>
          <cell r="E24882" t="str">
            <v>Voluntary Aided School</v>
          </cell>
          <cell r="F24882" t="str">
            <v>Primary</v>
          </cell>
        </row>
        <row r="24883">
          <cell r="A24883">
            <v>8862239</v>
          </cell>
          <cell r="B24883">
            <v>118346</v>
          </cell>
          <cell r="C24883" t="str">
            <v>Rodmersham School</v>
          </cell>
          <cell r="D24883" t="str">
            <v>Kent</v>
          </cell>
          <cell r="E24883" t="str">
            <v>Community School</v>
          </cell>
          <cell r="F24883" t="str">
            <v>Primary</v>
          </cell>
        </row>
        <row r="24884">
          <cell r="A24884">
            <v>3527047</v>
          </cell>
          <cell r="B24884">
            <v>105616</v>
          </cell>
          <cell r="C24884" t="str">
            <v>Rodney House School</v>
          </cell>
          <cell r="D24884" t="str">
            <v>Manchester</v>
          </cell>
          <cell r="E24884" t="str">
            <v>Community Special School</v>
          </cell>
          <cell r="F24884" t="str">
            <v>Special</v>
          </cell>
        </row>
        <row r="24885">
          <cell r="A24885">
            <v>8916009</v>
          </cell>
          <cell r="B24885">
            <v>122927</v>
          </cell>
          <cell r="C24885" t="str">
            <v>Rodney School</v>
          </cell>
          <cell r="D24885" t="str">
            <v>Nottinghamshire</v>
          </cell>
          <cell r="E24885" t="str">
            <v>Other Independent School</v>
          </cell>
          <cell r="F24885" t="str">
            <v>Not applicable</v>
          </cell>
        </row>
        <row r="24886">
          <cell r="A24886">
            <v>8312428</v>
          </cell>
          <cell r="B24886">
            <v>112732</v>
          </cell>
          <cell r="C24886" t="str">
            <v>Roe Farm Infant School</v>
          </cell>
          <cell r="D24886" t="str">
            <v>Derby</v>
          </cell>
          <cell r="E24886" t="str">
            <v>Community School</v>
          </cell>
          <cell r="F24886" t="str">
            <v>Primary</v>
          </cell>
        </row>
        <row r="24887">
          <cell r="A24887">
            <v>8312427</v>
          </cell>
          <cell r="B24887">
            <v>112731</v>
          </cell>
          <cell r="C24887" t="str">
            <v>Roe Farm Junior School</v>
          </cell>
          <cell r="D24887" t="str">
            <v>Derby</v>
          </cell>
          <cell r="E24887" t="str">
            <v>Community School</v>
          </cell>
          <cell r="F24887" t="str">
            <v>Primary</v>
          </cell>
        </row>
        <row r="24888">
          <cell r="A24888">
            <v>8312001</v>
          </cell>
          <cell r="B24888">
            <v>131401</v>
          </cell>
          <cell r="C24888" t="str">
            <v>Roe Farm Primary School</v>
          </cell>
          <cell r="D24888" t="str">
            <v>Derby</v>
          </cell>
          <cell r="E24888" t="str">
            <v>Community School</v>
          </cell>
          <cell r="F24888" t="str">
            <v>Primary</v>
          </cell>
        </row>
        <row r="24889">
          <cell r="A24889">
            <v>3042042</v>
          </cell>
          <cell r="B24889">
            <v>101512</v>
          </cell>
          <cell r="C24889" t="str">
            <v>Roe Green Infant School</v>
          </cell>
          <cell r="D24889" t="str">
            <v>Brent</v>
          </cell>
          <cell r="E24889" t="str">
            <v>Community School</v>
          </cell>
          <cell r="F24889" t="str">
            <v>Primary</v>
          </cell>
        </row>
        <row r="24890">
          <cell r="A24890">
            <v>3042041</v>
          </cell>
          <cell r="B24890">
            <v>101511</v>
          </cell>
          <cell r="C24890" t="str">
            <v>Roe Green Junior School</v>
          </cell>
          <cell r="D24890" t="str">
            <v>Brent</v>
          </cell>
          <cell r="E24890" t="str">
            <v>Community School</v>
          </cell>
          <cell r="F24890" t="str">
            <v>Primary</v>
          </cell>
        </row>
        <row r="24891">
          <cell r="A24891">
            <v>8892015</v>
          </cell>
          <cell r="B24891">
            <v>119127</v>
          </cell>
          <cell r="C24891" t="str">
            <v>Roe Lee Park Primary School</v>
          </cell>
          <cell r="D24891" t="str">
            <v>Blackburn with Darwen</v>
          </cell>
          <cell r="E24891" t="str">
            <v>Community School</v>
          </cell>
          <cell r="F24891" t="str">
            <v>Primary</v>
          </cell>
        </row>
        <row r="24892">
          <cell r="A24892">
            <v>3732278</v>
          </cell>
          <cell r="B24892">
            <v>127704</v>
          </cell>
          <cell r="C24892" t="str">
            <v>Roe Wood Middle School</v>
          </cell>
          <cell r="D24892" t="str">
            <v>Sheffield</v>
          </cell>
          <cell r="E24892" t="str">
            <v>Community School</v>
          </cell>
          <cell r="F24892" t="str">
            <v>Middle Deemed Primary</v>
          </cell>
        </row>
        <row r="24893">
          <cell r="A24893">
            <v>9192196</v>
          </cell>
          <cell r="B24893">
            <v>117204</v>
          </cell>
          <cell r="C24893" t="str">
            <v>Roebuck Infant School</v>
          </cell>
          <cell r="D24893" t="str">
            <v>Hertfordshire</v>
          </cell>
          <cell r="E24893" t="str">
            <v>Community School</v>
          </cell>
          <cell r="F24893" t="str">
            <v>Primary</v>
          </cell>
        </row>
        <row r="24894">
          <cell r="A24894">
            <v>9192187</v>
          </cell>
          <cell r="B24894">
            <v>117199</v>
          </cell>
          <cell r="C24894" t="str">
            <v>Roebuck Junior School</v>
          </cell>
          <cell r="D24894" t="str">
            <v>Hertfordshire</v>
          </cell>
          <cell r="E24894" t="str">
            <v>Community School</v>
          </cell>
          <cell r="F24894" t="str">
            <v>Primary</v>
          </cell>
        </row>
        <row r="24895">
          <cell r="A24895">
            <v>9192024</v>
          </cell>
          <cell r="B24895">
            <v>133263</v>
          </cell>
          <cell r="C24895" t="str">
            <v>Roebuck Primary School and Nursery</v>
          </cell>
          <cell r="D24895" t="str">
            <v>Hertfordshire</v>
          </cell>
          <cell r="E24895" t="str">
            <v>Community School</v>
          </cell>
          <cell r="F24895" t="str">
            <v>Primary</v>
          </cell>
        </row>
        <row r="24896">
          <cell r="A24896">
            <v>8153264</v>
          </cell>
          <cell r="B24896">
            <v>121583</v>
          </cell>
          <cell r="C24896" t="str">
            <v>Roecliffe Church of England Primary School</v>
          </cell>
          <cell r="D24896" t="str">
            <v>North Yorkshire</v>
          </cell>
          <cell r="E24896" t="str">
            <v>Voluntary Controlled School</v>
          </cell>
          <cell r="F24896" t="str">
            <v>Primary</v>
          </cell>
        </row>
        <row r="24897">
          <cell r="A24897">
            <v>8232129</v>
          </cell>
          <cell r="B24897">
            <v>109484</v>
          </cell>
          <cell r="C24897" t="str">
            <v>Roecroft Lower School</v>
          </cell>
          <cell r="D24897" t="str">
            <v>Central Bedfordshire</v>
          </cell>
          <cell r="E24897" t="str">
            <v>Community School</v>
          </cell>
          <cell r="F24897" t="str">
            <v>Primary</v>
          </cell>
        </row>
        <row r="24898">
          <cell r="A24898">
            <v>8466006</v>
          </cell>
          <cell r="B24898">
            <v>114616</v>
          </cell>
          <cell r="C24898" t="str">
            <v>Roedean School</v>
          </cell>
          <cell r="D24898" t="str">
            <v>Brighton and Hove</v>
          </cell>
          <cell r="E24898" t="str">
            <v>Other Independent School</v>
          </cell>
          <cell r="F24898" t="str">
            <v>Not applicable</v>
          </cell>
        </row>
        <row r="24899">
          <cell r="A24899">
            <v>2123390</v>
          </cell>
          <cell r="B24899">
            <v>101038</v>
          </cell>
          <cell r="C24899" t="str">
            <v>Roehampton CofE Primary School</v>
          </cell>
          <cell r="D24899" t="str">
            <v>Wandsworth</v>
          </cell>
          <cell r="E24899" t="str">
            <v>Voluntary Aided School</v>
          </cell>
          <cell r="F24899" t="str">
            <v>Primary</v>
          </cell>
        </row>
        <row r="24900">
          <cell r="A24900">
            <v>2122800</v>
          </cell>
          <cell r="B24900">
            <v>126688</v>
          </cell>
          <cell r="C24900" t="str">
            <v>Roehampton Gate School</v>
          </cell>
          <cell r="D24900" t="str">
            <v>Wandsworth</v>
          </cell>
          <cell r="E24900" t="str">
            <v>Community School</v>
          </cell>
          <cell r="F24900" t="str">
            <v>Primary</v>
          </cell>
        </row>
        <row r="24901">
          <cell r="A24901">
            <v>212</v>
          </cell>
          <cell r="B24901">
            <v>133884</v>
          </cell>
          <cell r="C24901" t="str">
            <v>Roehampton University</v>
          </cell>
          <cell r="D24901" t="str">
            <v>Wandsworth</v>
          </cell>
          <cell r="E24901" t="str">
            <v>Higher Education Institutions</v>
          </cell>
          <cell r="F24901" t="str">
            <v>Not applicable</v>
          </cell>
        </row>
        <row r="24902">
          <cell r="A24902">
            <v>9383027</v>
          </cell>
          <cell r="B24902">
            <v>125991</v>
          </cell>
          <cell r="C24902" t="str">
            <v>Rogate CofE Primary School</v>
          </cell>
          <cell r="D24902" t="str">
            <v>West Sussex</v>
          </cell>
          <cell r="E24902" t="str">
            <v>Voluntary Controlled School</v>
          </cell>
          <cell r="F24902" t="str">
            <v>Primary</v>
          </cell>
        </row>
        <row r="24903">
          <cell r="A24903">
            <v>3202040</v>
          </cell>
          <cell r="B24903">
            <v>103056</v>
          </cell>
          <cell r="C24903" t="str">
            <v>Roger Ascham Primary School</v>
          </cell>
          <cell r="D24903" t="str">
            <v>Waltham Forest</v>
          </cell>
          <cell r="E24903" t="str">
            <v>Community School</v>
          </cell>
          <cell r="F24903" t="str">
            <v>Primary</v>
          </cell>
        </row>
        <row r="24904">
          <cell r="A24904">
            <v>3202040</v>
          </cell>
          <cell r="B24904">
            <v>136362</v>
          </cell>
          <cell r="C24904" t="str">
            <v>Roger Ascham Primary School</v>
          </cell>
          <cell r="D24904" t="str">
            <v>Waltham Forest</v>
          </cell>
          <cell r="E24904" t="str">
            <v>Academy Converters</v>
          </cell>
          <cell r="F24904" t="str">
            <v>Primary</v>
          </cell>
        </row>
        <row r="24905">
          <cell r="A24905">
            <v>9193039</v>
          </cell>
          <cell r="B24905">
            <v>117406</v>
          </cell>
          <cell r="C24905" t="str">
            <v>Roger de Clare School</v>
          </cell>
          <cell r="D24905" t="str">
            <v>Hertfordshire</v>
          </cell>
          <cell r="E24905" t="str">
            <v>Voluntary Controlled School</v>
          </cell>
          <cell r="F24905" t="str">
            <v>Primary</v>
          </cell>
        </row>
        <row r="24906">
          <cell r="A24906">
            <v>6802276</v>
          </cell>
          <cell r="B24906">
            <v>401540</v>
          </cell>
          <cell r="C24906" t="str">
            <v>Rogerstone Primary School</v>
          </cell>
          <cell r="D24906" t="str">
            <v>Newport</v>
          </cell>
          <cell r="E24906" t="str">
            <v>Welsh Establishment</v>
          </cell>
          <cell r="F24906" t="str">
            <v>Primary</v>
          </cell>
        </row>
        <row r="24907">
          <cell r="A24907">
            <v>6792164</v>
          </cell>
          <cell r="B24907">
            <v>401470</v>
          </cell>
          <cell r="C24907" t="str">
            <v>Rogiet C.P. School</v>
          </cell>
          <cell r="D24907" t="str">
            <v>Monmouthshire</v>
          </cell>
          <cell r="E24907" t="str">
            <v>Welsh Establishment</v>
          </cell>
          <cell r="F24907" t="str">
            <v>Primary</v>
          </cell>
        </row>
        <row r="24908">
          <cell r="A24908">
            <v>3062063</v>
          </cell>
          <cell r="B24908">
            <v>101757</v>
          </cell>
          <cell r="C24908" t="str">
            <v>Roke Primary School</v>
          </cell>
          <cell r="D24908" t="str">
            <v>Croydon</v>
          </cell>
          <cell r="E24908" t="str">
            <v>Community School</v>
          </cell>
          <cell r="F24908" t="str">
            <v>Primary</v>
          </cell>
        </row>
        <row r="24909">
          <cell r="A24909">
            <v>9372418</v>
          </cell>
          <cell r="B24909">
            <v>125577</v>
          </cell>
          <cell r="C24909" t="str">
            <v>Rokeby Infant School</v>
          </cell>
          <cell r="D24909" t="str">
            <v>Warwickshire</v>
          </cell>
          <cell r="E24909" t="str">
            <v>Community School</v>
          </cell>
          <cell r="F24909" t="str">
            <v>Primary</v>
          </cell>
        </row>
        <row r="24910">
          <cell r="A24910">
            <v>9372579</v>
          </cell>
          <cell r="B24910">
            <v>125589</v>
          </cell>
          <cell r="C24910" t="str">
            <v>Rokeby Junior School</v>
          </cell>
          <cell r="D24910" t="str">
            <v>Warwickshire</v>
          </cell>
          <cell r="E24910" t="str">
            <v>Community School</v>
          </cell>
          <cell r="F24910" t="str">
            <v>Primary</v>
          </cell>
        </row>
        <row r="24911">
          <cell r="A24911">
            <v>3146065</v>
          </cell>
          <cell r="B24911">
            <v>126951</v>
          </cell>
          <cell r="C24911" t="str">
            <v>Rokeby Junior School</v>
          </cell>
          <cell r="D24911" t="str">
            <v>Kingston upon Thames</v>
          </cell>
          <cell r="E24911" t="str">
            <v>Other Independent School</v>
          </cell>
          <cell r="F24911" t="str">
            <v>Not applicable</v>
          </cell>
        </row>
        <row r="24912">
          <cell r="A24912">
            <v>8102600</v>
          </cell>
          <cell r="B24912">
            <v>117813</v>
          </cell>
          <cell r="C24912" t="str">
            <v>Rokeby Park Primary School</v>
          </cell>
          <cell r="D24912" t="str">
            <v>Kingston upon Hull City of</v>
          </cell>
          <cell r="E24912" t="str">
            <v>Community School</v>
          </cell>
          <cell r="F24912" t="str">
            <v>Primary</v>
          </cell>
        </row>
        <row r="24913">
          <cell r="A24913">
            <v>9373597</v>
          </cell>
          <cell r="B24913">
            <v>135309</v>
          </cell>
          <cell r="C24913" t="str">
            <v>Rokeby Primary School</v>
          </cell>
          <cell r="D24913" t="str">
            <v>Warwickshire</v>
          </cell>
          <cell r="E24913" t="str">
            <v>Community School</v>
          </cell>
          <cell r="F24913" t="str">
            <v>Primary</v>
          </cell>
        </row>
        <row r="24914">
          <cell r="A24914">
            <v>3164016</v>
          </cell>
          <cell r="B24914">
            <v>102777</v>
          </cell>
          <cell r="C24914" t="str">
            <v>Rokeby School</v>
          </cell>
          <cell r="D24914" t="str">
            <v>Newham</v>
          </cell>
          <cell r="E24914" t="str">
            <v>Community School</v>
          </cell>
          <cell r="F24914" t="str">
            <v>Secondary</v>
          </cell>
        </row>
        <row r="24915">
          <cell r="A24915">
            <v>3146005</v>
          </cell>
          <cell r="B24915">
            <v>102612</v>
          </cell>
          <cell r="C24915" t="str">
            <v>Rokeby Senior School</v>
          </cell>
          <cell r="D24915" t="str">
            <v>Kingston upon Thames</v>
          </cell>
          <cell r="E24915" t="str">
            <v>Other Independent School</v>
          </cell>
          <cell r="F24915" t="str">
            <v>Not applicable</v>
          </cell>
        </row>
        <row r="24916">
          <cell r="A24916">
            <v>3092042</v>
          </cell>
          <cell r="B24916">
            <v>102107</v>
          </cell>
          <cell r="C24916" t="str">
            <v>Rokesly Infant School</v>
          </cell>
          <cell r="D24916" t="str">
            <v>Haringey</v>
          </cell>
          <cell r="E24916" t="str">
            <v>Community School</v>
          </cell>
          <cell r="F24916" t="str">
            <v>Primary</v>
          </cell>
        </row>
        <row r="24917">
          <cell r="A24917">
            <v>3092041</v>
          </cell>
          <cell r="B24917">
            <v>102106</v>
          </cell>
          <cell r="C24917" t="str">
            <v>Rokesly Junior School</v>
          </cell>
          <cell r="D24917" t="str">
            <v>Haringey</v>
          </cell>
          <cell r="E24917" t="str">
            <v>Community School</v>
          </cell>
          <cell r="F24917" t="str">
            <v>Primary</v>
          </cell>
        </row>
        <row r="24918">
          <cell r="A24918">
            <v>9265212</v>
          </cell>
          <cell r="B24918">
            <v>121202</v>
          </cell>
          <cell r="C24918" t="str">
            <v>Rollesby Primary School</v>
          </cell>
          <cell r="D24918" t="str">
            <v>Norfolk</v>
          </cell>
          <cell r="E24918" t="str">
            <v>Foundation School</v>
          </cell>
          <cell r="F24918" t="str">
            <v>Primary</v>
          </cell>
        </row>
        <row r="24919">
          <cell r="A24919">
            <v>8562295</v>
          </cell>
          <cell r="B24919">
            <v>120032</v>
          </cell>
          <cell r="C24919" t="str">
            <v>Rolleston Infant School</v>
          </cell>
          <cell r="D24919" t="str">
            <v>Leicester</v>
          </cell>
          <cell r="E24919" t="str">
            <v>Community School</v>
          </cell>
          <cell r="F24919" t="str">
            <v>Primary</v>
          </cell>
        </row>
        <row r="24920">
          <cell r="A24920">
            <v>8562296</v>
          </cell>
          <cell r="B24920">
            <v>120033</v>
          </cell>
          <cell r="C24920" t="str">
            <v>Rolleston Junior School and Special Unit</v>
          </cell>
          <cell r="D24920" t="str">
            <v>Leicester</v>
          </cell>
          <cell r="E24920" t="str">
            <v>Community School</v>
          </cell>
          <cell r="F24920" t="str">
            <v>Primary</v>
          </cell>
        </row>
        <row r="24921">
          <cell r="A24921">
            <v>8562388</v>
          </cell>
          <cell r="B24921">
            <v>134305</v>
          </cell>
          <cell r="C24921" t="str">
            <v>Rolleston Primary School</v>
          </cell>
          <cell r="D24921" t="str">
            <v>Leicester</v>
          </cell>
          <cell r="E24921" t="str">
            <v>Community School</v>
          </cell>
          <cell r="F24921" t="str">
            <v>Primary</v>
          </cell>
        </row>
        <row r="24922">
          <cell r="A24922">
            <v>3522013</v>
          </cell>
          <cell r="B24922">
            <v>131953</v>
          </cell>
          <cell r="C24922" t="str">
            <v>Rolls Crescent Primary School</v>
          </cell>
          <cell r="D24922" t="str">
            <v>Manchester</v>
          </cell>
          <cell r="E24922" t="str">
            <v>Community School</v>
          </cell>
          <cell r="F24922" t="str">
            <v>Primary</v>
          </cell>
        </row>
        <row r="24923">
          <cell r="A24923">
            <v>8815208</v>
          </cell>
          <cell r="B24923">
            <v>115248</v>
          </cell>
          <cell r="C24923" t="str">
            <v>Rolph CofE Primary School</v>
          </cell>
          <cell r="D24923" t="str">
            <v>Essex</v>
          </cell>
          <cell r="E24923" t="str">
            <v>Voluntary Aided School</v>
          </cell>
          <cell r="F24923" t="str">
            <v>Primary</v>
          </cell>
        </row>
        <row r="24924">
          <cell r="A24924">
            <v>8862287</v>
          </cell>
          <cell r="B24924">
            <v>118379</v>
          </cell>
          <cell r="C24924" t="str">
            <v>Rolvenden Primary School</v>
          </cell>
          <cell r="D24924" t="str">
            <v>Kent</v>
          </cell>
          <cell r="E24924" t="str">
            <v>Community School</v>
          </cell>
          <cell r="F24924" t="str">
            <v>Primary</v>
          </cell>
        </row>
        <row r="24925">
          <cell r="A24925">
            <v>9191110</v>
          </cell>
          <cell r="B24925">
            <v>136247</v>
          </cell>
          <cell r="C24925" t="str">
            <v>Roman Fields</v>
          </cell>
          <cell r="D24925" t="str">
            <v>Hertfordshire</v>
          </cell>
          <cell r="E24925" t="str">
            <v>Pupil Referral Unit</v>
          </cell>
          <cell r="F24925" t="str">
            <v>PRU</v>
          </cell>
        </row>
        <row r="24926">
          <cell r="A24926">
            <v>9352149</v>
          </cell>
          <cell r="B24926">
            <v>129971</v>
          </cell>
          <cell r="C24926" t="str">
            <v>Roman Hill Junior School</v>
          </cell>
          <cell r="D24926" t="str">
            <v>Suffolk</v>
          </cell>
          <cell r="E24926" t="str">
            <v>Community School</v>
          </cell>
          <cell r="F24926" t="str">
            <v>Primary</v>
          </cell>
        </row>
        <row r="24927">
          <cell r="A24927">
            <v>9354068</v>
          </cell>
          <cell r="B24927">
            <v>124828</v>
          </cell>
          <cell r="C24927" t="str">
            <v>Roman Hill Middle School</v>
          </cell>
          <cell r="D24927" t="str">
            <v>Suffolk</v>
          </cell>
          <cell r="E24927" t="str">
            <v>Community School</v>
          </cell>
          <cell r="F24927" t="str">
            <v>Middle Deemed Secondary</v>
          </cell>
        </row>
        <row r="24928">
          <cell r="A24928">
            <v>9352141</v>
          </cell>
          <cell r="B24928">
            <v>124634</v>
          </cell>
          <cell r="C24928" t="str">
            <v>Roman Hill Primary School</v>
          </cell>
          <cell r="D24928" t="str">
            <v>Suffolk</v>
          </cell>
          <cell r="E24928" t="str">
            <v>Community School</v>
          </cell>
          <cell r="F24928" t="str">
            <v>Primary</v>
          </cell>
        </row>
        <row r="24929">
          <cell r="A24929">
            <v>3902208</v>
          </cell>
          <cell r="B24929">
            <v>128107</v>
          </cell>
          <cell r="C24929" t="str">
            <v>Roman Road Infant School</v>
          </cell>
          <cell r="D24929" t="str">
            <v>Gateshead</v>
          </cell>
          <cell r="E24929" t="str">
            <v>Community School</v>
          </cell>
          <cell r="F24929" t="str">
            <v>Primary</v>
          </cell>
        </row>
        <row r="24930">
          <cell r="A24930">
            <v>3902207</v>
          </cell>
          <cell r="B24930">
            <v>128106</v>
          </cell>
          <cell r="C24930" t="str">
            <v>Roman Road Junior School</v>
          </cell>
          <cell r="D24930" t="str">
            <v>Gateshead</v>
          </cell>
          <cell r="E24930" t="str">
            <v>Community School</v>
          </cell>
          <cell r="F24930" t="str">
            <v>Primary</v>
          </cell>
        </row>
        <row r="24931">
          <cell r="A24931">
            <v>3162058</v>
          </cell>
          <cell r="B24931">
            <v>102740</v>
          </cell>
          <cell r="C24931" t="str">
            <v>Roman Road Primary School</v>
          </cell>
          <cell r="D24931" t="str">
            <v>Newham</v>
          </cell>
          <cell r="E24931" t="str">
            <v>Community School</v>
          </cell>
          <cell r="F24931" t="str">
            <v>Primary</v>
          </cell>
        </row>
        <row r="24932">
          <cell r="A24932">
            <v>3902229</v>
          </cell>
          <cell r="B24932">
            <v>108376</v>
          </cell>
          <cell r="C24932" t="str">
            <v>Roman Road Primary School</v>
          </cell>
          <cell r="D24932" t="str">
            <v>Gateshead</v>
          </cell>
          <cell r="E24932" t="str">
            <v>Community School</v>
          </cell>
          <cell r="F24932" t="str">
            <v>Primary</v>
          </cell>
        </row>
        <row r="24933">
          <cell r="A24933">
            <v>8852141</v>
          </cell>
          <cell r="B24933">
            <v>116733</v>
          </cell>
          <cell r="C24933" t="str">
            <v>Roman Way First School</v>
          </cell>
          <cell r="D24933" t="str">
            <v>Worcestershire</v>
          </cell>
          <cell r="E24933" t="str">
            <v>Community School</v>
          </cell>
          <cell r="F24933" t="str">
            <v>Primary</v>
          </cell>
        </row>
        <row r="24934">
          <cell r="A24934">
            <v>9192421</v>
          </cell>
          <cell r="B24934">
            <v>117332</v>
          </cell>
          <cell r="C24934" t="str">
            <v>Roman Way First School</v>
          </cell>
          <cell r="D24934" t="str">
            <v>Hertfordshire</v>
          </cell>
          <cell r="E24934" t="str">
            <v>Community School</v>
          </cell>
          <cell r="F24934" t="str">
            <v>Primary</v>
          </cell>
        </row>
        <row r="24935">
          <cell r="A24935">
            <v>8502318</v>
          </cell>
          <cell r="B24935">
            <v>116038</v>
          </cell>
          <cell r="C24935" t="str">
            <v>Roman Way Primary School</v>
          </cell>
          <cell r="D24935" t="str">
            <v>Hampshire</v>
          </cell>
          <cell r="E24935" t="str">
            <v>Community School</v>
          </cell>
          <cell r="F24935" t="str">
            <v>Primary</v>
          </cell>
        </row>
        <row r="24936">
          <cell r="A24936">
            <v>8152097</v>
          </cell>
          <cell r="B24936">
            <v>121312</v>
          </cell>
          <cell r="C24936" t="str">
            <v>Romanby Primary School</v>
          </cell>
          <cell r="D24936" t="str">
            <v>North Yorkshire</v>
          </cell>
          <cell r="E24936" t="str">
            <v>Community School</v>
          </cell>
          <cell r="F24936" t="str">
            <v>Primary</v>
          </cell>
        </row>
        <row r="24937">
          <cell r="A24937">
            <v>8267015</v>
          </cell>
          <cell r="B24937">
            <v>110580</v>
          </cell>
          <cell r="C24937" t="str">
            <v>Romans Field School</v>
          </cell>
          <cell r="D24937" t="str">
            <v>Milton Keynes</v>
          </cell>
          <cell r="E24937" t="str">
            <v>Community Special School</v>
          </cell>
          <cell r="F24937" t="str">
            <v>Special</v>
          </cell>
        </row>
        <row r="24938">
          <cell r="A24938">
            <v>3562083</v>
          </cell>
          <cell r="B24938">
            <v>106075</v>
          </cell>
          <cell r="C24938" t="str">
            <v>Romiley Primary School</v>
          </cell>
          <cell r="D24938" t="str">
            <v>Stockport</v>
          </cell>
          <cell r="E24938" t="str">
            <v>Community School</v>
          </cell>
          <cell r="F24938" t="str">
            <v>Primary</v>
          </cell>
        </row>
        <row r="24939">
          <cell r="A24939">
            <v>6732182</v>
          </cell>
          <cell r="B24939">
            <v>402221</v>
          </cell>
          <cell r="C24939" t="str">
            <v>Romilly Community Primary School</v>
          </cell>
          <cell r="D24939" t="str">
            <v>The Vale of Glamorgan</v>
          </cell>
          <cell r="E24939" t="str">
            <v>Welsh Establishment</v>
          </cell>
          <cell r="F24939" t="str">
            <v>Primary</v>
          </cell>
        </row>
        <row r="24940">
          <cell r="A24940">
            <v>6732135</v>
          </cell>
          <cell r="B24940">
            <v>401102</v>
          </cell>
          <cell r="C24940" t="str">
            <v>Romilly Infant School</v>
          </cell>
          <cell r="D24940" t="str">
            <v>The Vale of Glamorgan</v>
          </cell>
          <cell r="E24940" t="str">
            <v>Welsh Establishment</v>
          </cell>
          <cell r="F24940" t="str">
            <v>Primary</v>
          </cell>
        </row>
        <row r="24941">
          <cell r="A24941">
            <v>6732134</v>
          </cell>
          <cell r="B24941">
            <v>401101</v>
          </cell>
          <cell r="C24941" t="str">
            <v>Romilly Junior School</v>
          </cell>
          <cell r="D24941" t="str">
            <v>The Vale of Glamorgan</v>
          </cell>
          <cell r="E24941" t="str">
            <v>Welsh Establishment</v>
          </cell>
          <cell r="F24941" t="str">
            <v>Primary</v>
          </cell>
        </row>
        <row r="24942">
          <cell r="A24942">
            <v>8012066</v>
          </cell>
          <cell r="B24942">
            <v>108954</v>
          </cell>
          <cell r="C24942" t="str">
            <v>Romney Avenue Infant and Nursery School</v>
          </cell>
          <cell r="D24942" t="str">
            <v>Bristol City of</v>
          </cell>
          <cell r="E24942" t="str">
            <v>Community School</v>
          </cell>
          <cell r="F24942" t="str">
            <v>Primary</v>
          </cell>
        </row>
        <row r="24943">
          <cell r="A24943">
            <v>8012065</v>
          </cell>
          <cell r="B24943">
            <v>108953</v>
          </cell>
          <cell r="C24943" t="str">
            <v>Romney Avenue Junior School</v>
          </cell>
          <cell r="D24943" t="str">
            <v>Bristol City of</v>
          </cell>
          <cell r="E24943" t="str">
            <v>Community School</v>
          </cell>
          <cell r="F24943" t="str">
            <v>Primary</v>
          </cell>
        </row>
        <row r="24944">
          <cell r="A24944">
            <v>8503382</v>
          </cell>
          <cell r="B24944">
            <v>116368</v>
          </cell>
          <cell r="C24944" t="str">
            <v>Romsey Abbey Church of England Primary School</v>
          </cell>
          <cell r="D24944" t="str">
            <v>Hampshire</v>
          </cell>
          <cell r="E24944" t="str">
            <v>Voluntary Aided School</v>
          </cell>
          <cell r="F24944" t="str">
            <v>Primary</v>
          </cell>
        </row>
        <row r="24945">
          <cell r="A24945">
            <v>8502173</v>
          </cell>
          <cell r="B24945">
            <v>115941</v>
          </cell>
          <cell r="C24945" t="str">
            <v>Romsey Infant School</v>
          </cell>
          <cell r="D24945" t="str">
            <v>Hampshire</v>
          </cell>
          <cell r="E24945" t="str">
            <v>Community School</v>
          </cell>
          <cell r="F24945" t="str">
            <v>Primary</v>
          </cell>
        </row>
        <row r="24946">
          <cell r="A24946">
            <v>8732113</v>
          </cell>
          <cell r="B24946">
            <v>110661</v>
          </cell>
          <cell r="C24946" t="str">
            <v>Romsey Junior School</v>
          </cell>
          <cell r="D24946" t="str">
            <v>Cambridgeshire</v>
          </cell>
          <cell r="E24946" t="str">
            <v>Community School</v>
          </cell>
          <cell r="F24946" t="str">
            <v>Primary</v>
          </cell>
        </row>
        <row r="24947">
          <cell r="A24947">
            <v>8502174</v>
          </cell>
          <cell r="B24947">
            <v>115942</v>
          </cell>
          <cell r="C24947" t="str">
            <v>Romsey Junior School</v>
          </cell>
          <cell r="D24947" t="str">
            <v>Hampshire</v>
          </cell>
          <cell r="E24947" t="str">
            <v>Community School</v>
          </cell>
          <cell r="F24947" t="str">
            <v>Primary</v>
          </cell>
        </row>
        <row r="24948">
          <cell r="A24948">
            <v>8503668</v>
          </cell>
          <cell r="B24948">
            <v>134945</v>
          </cell>
          <cell r="C24948" t="str">
            <v>Romsey Primary School</v>
          </cell>
          <cell r="D24948" t="str">
            <v>Hampshire</v>
          </cell>
          <cell r="E24948" t="str">
            <v>Community School</v>
          </cell>
          <cell r="F24948" t="str">
            <v>Primary</v>
          </cell>
        </row>
        <row r="24949">
          <cell r="A24949">
            <v>8853097</v>
          </cell>
          <cell r="B24949">
            <v>116846</v>
          </cell>
          <cell r="C24949" t="str">
            <v>Romsley St Kenelm's CofE Primary School</v>
          </cell>
          <cell r="D24949" t="str">
            <v>Worcestershire</v>
          </cell>
          <cell r="E24949" t="str">
            <v>Voluntary Controlled School</v>
          </cell>
          <cell r="F24949" t="str">
            <v>Primary</v>
          </cell>
        </row>
        <row r="24950">
          <cell r="A24950">
            <v>3161003</v>
          </cell>
          <cell r="B24950">
            <v>102703</v>
          </cell>
          <cell r="C24950" t="str">
            <v>Ronald Openshaw Nursery School</v>
          </cell>
          <cell r="D24950" t="str">
            <v>Newham</v>
          </cell>
          <cell r="E24950" t="str">
            <v>LA Nursery School</v>
          </cell>
          <cell r="F24950" t="str">
            <v>Nursery</v>
          </cell>
        </row>
        <row r="24951">
          <cell r="A24951">
            <v>2122807</v>
          </cell>
          <cell r="B24951">
            <v>101031</v>
          </cell>
          <cell r="C24951" t="str">
            <v>Ronald Ross Primary School</v>
          </cell>
          <cell r="D24951" t="str">
            <v>Wandsworth</v>
          </cell>
          <cell r="E24951" t="str">
            <v>Community School</v>
          </cell>
          <cell r="F24951" t="str">
            <v>Primary</v>
          </cell>
        </row>
        <row r="24952">
          <cell r="A24952">
            <v>9281000</v>
          </cell>
          <cell r="B24952">
            <v>121782</v>
          </cell>
          <cell r="C24952" t="str">
            <v>Ronald Tree Nursery School and Children's Centre</v>
          </cell>
          <cell r="D24952" t="str">
            <v>Northamptonshire</v>
          </cell>
          <cell r="E24952" t="str">
            <v>LA Nursery School</v>
          </cell>
          <cell r="F24952" t="str">
            <v>Nursery</v>
          </cell>
        </row>
        <row r="24953">
          <cell r="A24953">
            <v>3332143</v>
          </cell>
          <cell r="B24953">
            <v>127162</v>
          </cell>
          <cell r="C24953" t="str">
            <v>Rood End Infant School</v>
          </cell>
          <cell r="D24953" t="str">
            <v>Sandwell</v>
          </cell>
          <cell r="E24953" t="str">
            <v>Community School</v>
          </cell>
          <cell r="F24953" t="str">
            <v>Primary</v>
          </cell>
        </row>
        <row r="24954">
          <cell r="A24954">
            <v>3332142</v>
          </cell>
          <cell r="B24954">
            <v>127161</v>
          </cell>
          <cell r="C24954" t="str">
            <v>Rood End Junior School</v>
          </cell>
          <cell r="D24954" t="str">
            <v>Sandwell</v>
          </cell>
          <cell r="E24954" t="str">
            <v>Community School</v>
          </cell>
          <cell r="F24954" t="str">
            <v>Primary</v>
          </cell>
        </row>
        <row r="24955">
          <cell r="A24955">
            <v>3332179</v>
          </cell>
          <cell r="B24955">
            <v>103984</v>
          </cell>
          <cell r="C24955" t="str">
            <v>Rood End Primary School</v>
          </cell>
          <cell r="D24955" t="str">
            <v>Sandwell</v>
          </cell>
          <cell r="E24955" t="str">
            <v>Community School</v>
          </cell>
          <cell r="F24955" t="str">
            <v>Primary</v>
          </cell>
        </row>
        <row r="24956">
          <cell r="A24956">
            <v>3302292</v>
          </cell>
          <cell r="B24956">
            <v>103316</v>
          </cell>
          <cell r="C24956" t="str">
            <v>Rookery Infant School</v>
          </cell>
          <cell r="D24956" t="str">
            <v>Birmingham</v>
          </cell>
          <cell r="E24956" t="str">
            <v>Community School</v>
          </cell>
          <cell r="F24956" t="str">
            <v>Primary</v>
          </cell>
        </row>
        <row r="24957">
          <cell r="A24957">
            <v>3302164</v>
          </cell>
          <cell r="B24957">
            <v>103250</v>
          </cell>
          <cell r="C24957" t="str">
            <v>Rookery Junior School</v>
          </cell>
          <cell r="D24957" t="str">
            <v>Birmingham</v>
          </cell>
          <cell r="E24957" t="str">
            <v>Community School</v>
          </cell>
          <cell r="F24957" t="str">
            <v>Primary</v>
          </cell>
        </row>
        <row r="24958">
          <cell r="A24958">
            <v>3302481</v>
          </cell>
          <cell r="B24958">
            <v>132138</v>
          </cell>
          <cell r="C24958" t="str">
            <v>Rookery School &amp; Children's Centre</v>
          </cell>
          <cell r="D24958" t="str">
            <v>Birmingham</v>
          </cell>
          <cell r="E24958" t="str">
            <v>Community School</v>
          </cell>
          <cell r="F24958" t="str">
            <v>Primary</v>
          </cell>
        </row>
        <row r="24959">
          <cell r="A24959">
            <v>3302481</v>
          </cell>
          <cell r="B24959">
            <v>137168</v>
          </cell>
          <cell r="C24959" t="str">
            <v>Rookery School &amp; Children's Centre</v>
          </cell>
          <cell r="D24959" t="str">
            <v>Birmingham</v>
          </cell>
          <cell r="E24959" t="str">
            <v>Academy Converters</v>
          </cell>
          <cell r="F24959" t="str">
            <v>Primary</v>
          </cell>
        </row>
        <row r="24960">
          <cell r="A24960">
            <v>8506061</v>
          </cell>
          <cell r="B24960">
            <v>116531</v>
          </cell>
          <cell r="C24960" t="str">
            <v>Rookesbury Park School</v>
          </cell>
          <cell r="D24960" t="str">
            <v>Hampshire</v>
          </cell>
          <cell r="E24960" t="str">
            <v>Other Independent School</v>
          </cell>
          <cell r="F24960" t="str">
            <v>Not applicable</v>
          </cell>
        </row>
        <row r="24961">
          <cell r="A24961">
            <v>8402321</v>
          </cell>
          <cell r="B24961">
            <v>114063</v>
          </cell>
          <cell r="C24961" t="str">
            <v>Rookhope Primary School</v>
          </cell>
          <cell r="D24961" t="str">
            <v>Durham</v>
          </cell>
          <cell r="E24961" t="str">
            <v>Community School</v>
          </cell>
          <cell r="F24961" t="str">
            <v>Primary</v>
          </cell>
        </row>
        <row r="24962">
          <cell r="A24962">
            <v>3104027</v>
          </cell>
          <cell r="B24962">
            <v>102240</v>
          </cell>
          <cell r="C24962" t="str">
            <v>Rooks Heath High School</v>
          </cell>
          <cell r="D24962" t="str">
            <v>Harrow</v>
          </cell>
          <cell r="E24962" t="str">
            <v>Community School</v>
          </cell>
          <cell r="F24962" t="str">
            <v>Secondary</v>
          </cell>
        </row>
        <row r="24963">
          <cell r="A24963">
            <v>3104027</v>
          </cell>
          <cell r="B24963">
            <v>137198</v>
          </cell>
          <cell r="C24963" t="str">
            <v>Rooks Heath High School</v>
          </cell>
          <cell r="D24963" t="str">
            <v>Harrow</v>
          </cell>
          <cell r="E24963" t="str">
            <v>Academy Converters</v>
          </cell>
          <cell r="F24963" t="str">
            <v>Secondary</v>
          </cell>
        </row>
        <row r="24964">
          <cell r="A24964">
            <v>3842131</v>
          </cell>
          <cell r="B24964">
            <v>108198</v>
          </cell>
          <cell r="C24964" t="str">
            <v>Rooks Nest Junior, Infant and Nursery School</v>
          </cell>
          <cell r="D24964" t="str">
            <v>Wakefield</v>
          </cell>
          <cell r="E24964" t="str">
            <v>Community School</v>
          </cell>
          <cell r="F24964" t="str">
            <v>Primary</v>
          </cell>
        </row>
        <row r="24965">
          <cell r="A24965">
            <v>3842131</v>
          </cell>
          <cell r="B24965">
            <v>137438</v>
          </cell>
          <cell r="C24965" t="str">
            <v>Rooks Nest Junior, Infant and Nursery School</v>
          </cell>
          <cell r="D24965" t="str">
            <v>Wakefield</v>
          </cell>
          <cell r="E24965" t="str">
            <v>Academy Converters</v>
          </cell>
          <cell r="F24965" t="str">
            <v>Primary</v>
          </cell>
        </row>
        <row r="24966">
          <cell r="A24966">
            <v>8502391</v>
          </cell>
          <cell r="B24966">
            <v>116081</v>
          </cell>
          <cell r="C24966" t="str">
            <v>Rookwood Infants' School</v>
          </cell>
          <cell r="D24966" t="str">
            <v>Hampshire</v>
          </cell>
          <cell r="E24966" t="str">
            <v>Community School</v>
          </cell>
          <cell r="F24966" t="str">
            <v>Primary</v>
          </cell>
        </row>
        <row r="24967">
          <cell r="A24967">
            <v>8506011</v>
          </cell>
          <cell r="B24967">
            <v>116513</v>
          </cell>
          <cell r="C24967" t="str">
            <v>Rookwood School</v>
          </cell>
          <cell r="D24967" t="str">
            <v>Hampshire</v>
          </cell>
          <cell r="E24967" t="str">
            <v>Other Independent School</v>
          </cell>
          <cell r="F24967" t="str">
            <v>Not applicable</v>
          </cell>
        </row>
        <row r="24968">
          <cell r="A24968">
            <v>3546020</v>
          </cell>
          <cell r="B24968">
            <v>131392</v>
          </cell>
          <cell r="C24968" t="str">
            <v>Rooley Moor - Green Corns</v>
          </cell>
          <cell r="D24968" t="str">
            <v>Rochdale</v>
          </cell>
          <cell r="E24968" t="str">
            <v>Other Independent Special School</v>
          </cell>
          <cell r="F24968" t="str">
            <v>Not applicable</v>
          </cell>
        </row>
        <row r="24969">
          <cell r="A24969">
            <v>8113036</v>
          </cell>
          <cell r="B24969">
            <v>117989</v>
          </cell>
          <cell r="C24969" t="str">
            <v>Roos Church of England Voluntary Controlled Primary School</v>
          </cell>
          <cell r="D24969" t="str">
            <v>East Riding of Yorkshire</v>
          </cell>
          <cell r="E24969" t="str">
            <v>Voluntary Controlled School</v>
          </cell>
          <cell r="F24969" t="str">
            <v>Primary</v>
          </cell>
        </row>
        <row r="24970">
          <cell r="A24970">
            <v>9092511</v>
          </cell>
          <cell r="B24970">
            <v>112207</v>
          </cell>
          <cell r="C24970" t="str">
            <v>Roose School</v>
          </cell>
          <cell r="D24970" t="str">
            <v>Cumbria</v>
          </cell>
          <cell r="E24970" t="str">
            <v>Community School</v>
          </cell>
          <cell r="F24970" t="str">
            <v>Primary</v>
          </cell>
        </row>
        <row r="24971">
          <cell r="A24971">
            <v>8402000</v>
          </cell>
          <cell r="B24971">
            <v>113993</v>
          </cell>
          <cell r="C24971" t="str">
            <v>Ropery Walk Primary School</v>
          </cell>
          <cell r="D24971" t="str">
            <v>Durham</v>
          </cell>
          <cell r="E24971" t="str">
            <v>Community School</v>
          </cell>
          <cell r="F24971" t="str">
            <v>Primary</v>
          </cell>
        </row>
        <row r="24972">
          <cell r="A24972">
            <v>8503138</v>
          </cell>
          <cell r="B24972">
            <v>116312</v>
          </cell>
          <cell r="C24972" t="str">
            <v>Ropley Church of England Primary School</v>
          </cell>
          <cell r="D24972" t="str">
            <v>Hampshire</v>
          </cell>
          <cell r="E24972" t="str">
            <v>Voluntary Controlled School</v>
          </cell>
          <cell r="F24972" t="str">
            <v>Primary</v>
          </cell>
        </row>
        <row r="24973">
          <cell r="A24973">
            <v>8402383</v>
          </cell>
          <cell r="B24973">
            <v>114085</v>
          </cell>
          <cell r="C24973" t="str">
            <v>Rosa Street Primary School</v>
          </cell>
          <cell r="D24973" t="str">
            <v>Durham</v>
          </cell>
          <cell r="E24973" t="str">
            <v>Community School</v>
          </cell>
          <cell r="F24973" t="str">
            <v>Primary</v>
          </cell>
        </row>
        <row r="24974">
          <cell r="A24974">
            <v>9196198</v>
          </cell>
          <cell r="B24974">
            <v>129173</v>
          </cell>
          <cell r="C24974" t="str">
            <v>Rosary Priory Preparatory School</v>
          </cell>
          <cell r="D24974" t="str">
            <v>Hertfordshire</v>
          </cell>
          <cell r="E24974" t="str">
            <v>Other Independent School</v>
          </cell>
          <cell r="F24974" t="str">
            <v>Not applicable</v>
          </cell>
        </row>
        <row r="24975">
          <cell r="A24975">
            <v>2023391</v>
          </cell>
          <cell r="B24975">
            <v>100035</v>
          </cell>
          <cell r="C24975" t="str">
            <v>Rosary Roman Catholic Primary School</v>
          </cell>
          <cell r="D24975" t="str">
            <v>Camden</v>
          </cell>
          <cell r="E24975" t="str">
            <v>Voluntary Aided School</v>
          </cell>
          <cell r="F24975" t="str">
            <v>Primary</v>
          </cell>
        </row>
        <row r="24976">
          <cell r="A24976">
            <v>3732240</v>
          </cell>
          <cell r="B24976">
            <v>127688</v>
          </cell>
          <cell r="C24976" t="str">
            <v>Roscoe Bank Junior and Infant School</v>
          </cell>
          <cell r="D24976" t="str">
            <v>Sheffield</v>
          </cell>
          <cell r="E24976" t="str">
            <v>Community School</v>
          </cell>
          <cell r="F24976" t="str">
            <v>Primary</v>
          </cell>
        </row>
        <row r="24977">
          <cell r="A24977">
            <v>3412137</v>
          </cell>
          <cell r="B24977">
            <v>104574</v>
          </cell>
          <cell r="C24977" t="str">
            <v>Roscoe Infants' School</v>
          </cell>
          <cell r="D24977" t="str">
            <v>Liverpool</v>
          </cell>
          <cell r="E24977" t="str">
            <v>Community School</v>
          </cell>
          <cell r="F24977" t="str">
            <v>Primary</v>
          </cell>
        </row>
        <row r="24978">
          <cell r="A24978">
            <v>3412136</v>
          </cell>
          <cell r="B24978">
            <v>104573</v>
          </cell>
          <cell r="C24978" t="str">
            <v>Roscoe Junior School</v>
          </cell>
          <cell r="D24978" t="str">
            <v>Liverpool</v>
          </cell>
          <cell r="E24978" t="str">
            <v>Community School</v>
          </cell>
          <cell r="F24978" t="str">
            <v>Primary</v>
          </cell>
        </row>
        <row r="24979">
          <cell r="A24979">
            <v>3413966</v>
          </cell>
          <cell r="B24979">
            <v>135595</v>
          </cell>
          <cell r="C24979" t="str">
            <v>Roscoe Primary School</v>
          </cell>
          <cell r="D24979" t="str">
            <v>Liverpool</v>
          </cell>
          <cell r="E24979" t="str">
            <v>Community School</v>
          </cell>
          <cell r="F24979" t="str">
            <v>Primary</v>
          </cell>
        </row>
        <row r="24980">
          <cell r="A24980">
            <v>3412208</v>
          </cell>
          <cell r="B24980">
            <v>127284</v>
          </cell>
          <cell r="C24980" t="str">
            <v>Roscommon County Primary School</v>
          </cell>
          <cell r="D24980" t="str">
            <v>Liverpool</v>
          </cell>
          <cell r="E24980" t="str">
            <v>Community School</v>
          </cell>
          <cell r="F24980" t="str">
            <v>Primary</v>
          </cell>
        </row>
        <row r="24981">
          <cell r="A24981">
            <v>3503003</v>
          </cell>
          <cell r="B24981">
            <v>105204</v>
          </cell>
          <cell r="C24981" t="str">
            <v>Roscow Fold Primary School</v>
          </cell>
          <cell r="D24981" t="str">
            <v>Bolton</v>
          </cell>
          <cell r="E24981" t="str">
            <v>Voluntary Controlled School</v>
          </cell>
          <cell r="F24981" t="str">
            <v>Primary</v>
          </cell>
        </row>
        <row r="24982">
          <cell r="A24982">
            <v>3594017</v>
          </cell>
          <cell r="B24982">
            <v>106522</v>
          </cell>
          <cell r="C24982" t="str">
            <v>Rose Bridge High School</v>
          </cell>
          <cell r="D24982" t="str">
            <v>Wigan</v>
          </cell>
          <cell r="E24982" t="str">
            <v>Community School</v>
          </cell>
          <cell r="F24982" t="str">
            <v>Secondary</v>
          </cell>
        </row>
        <row r="24983">
          <cell r="A24983">
            <v>303</v>
          </cell>
          <cell r="B24983">
            <v>133810</v>
          </cell>
          <cell r="C24983" t="str">
            <v>Rose Bruford College</v>
          </cell>
          <cell r="D24983" t="str">
            <v>Bexley</v>
          </cell>
          <cell r="E24983" t="str">
            <v>Higher Education Institutions</v>
          </cell>
          <cell r="F24983" t="str">
            <v>Not applicable</v>
          </cell>
        </row>
        <row r="24984">
          <cell r="A24984">
            <v>2037017</v>
          </cell>
          <cell r="B24984">
            <v>126587</v>
          </cell>
          <cell r="C24984" t="str">
            <v>Rose Cottage School</v>
          </cell>
          <cell r="D24984" t="str">
            <v>Greenwich</v>
          </cell>
          <cell r="E24984" t="str">
            <v>Community Special School</v>
          </cell>
          <cell r="F24984" t="str">
            <v>Special</v>
          </cell>
        </row>
        <row r="24985">
          <cell r="A24985">
            <v>9382199</v>
          </cell>
          <cell r="B24985">
            <v>125928</v>
          </cell>
          <cell r="C24985" t="str">
            <v>Rose Green Infant School</v>
          </cell>
          <cell r="D24985" t="str">
            <v>West Sussex</v>
          </cell>
          <cell r="E24985" t="str">
            <v>Community School</v>
          </cell>
          <cell r="F24985" t="str">
            <v>Primary</v>
          </cell>
        </row>
        <row r="24986">
          <cell r="A24986">
            <v>9382008</v>
          </cell>
          <cell r="B24986">
            <v>125818</v>
          </cell>
          <cell r="C24986" t="str">
            <v>Rose Green Junior School</v>
          </cell>
          <cell r="D24986" t="str">
            <v>West Sussex</v>
          </cell>
          <cell r="E24986" t="str">
            <v>Community School</v>
          </cell>
          <cell r="F24986" t="str">
            <v>Primary</v>
          </cell>
        </row>
        <row r="24987">
          <cell r="A24987">
            <v>3562084</v>
          </cell>
          <cell r="B24987">
            <v>106076</v>
          </cell>
          <cell r="C24987" t="str">
            <v>Rose Hill Primary School</v>
          </cell>
          <cell r="D24987" t="str">
            <v>Stockport</v>
          </cell>
          <cell r="E24987" t="str">
            <v>Community School</v>
          </cell>
          <cell r="F24987" t="str">
            <v>Primary</v>
          </cell>
        </row>
        <row r="24988">
          <cell r="A24988">
            <v>9312531</v>
          </cell>
          <cell r="B24988">
            <v>123049</v>
          </cell>
          <cell r="C24988" t="str">
            <v>Rose Hill Primary School</v>
          </cell>
          <cell r="D24988" t="str">
            <v>Oxfordshire</v>
          </cell>
          <cell r="E24988" t="str">
            <v>Community School</v>
          </cell>
          <cell r="F24988" t="str">
            <v>Primary</v>
          </cell>
        </row>
        <row r="24989">
          <cell r="A24989">
            <v>9352167</v>
          </cell>
          <cell r="B24989">
            <v>124655</v>
          </cell>
          <cell r="C24989" t="str">
            <v>Rose Hill Primary School</v>
          </cell>
          <cell r="D24989" t="str">
            <v>Suffolk</v>
          </cell>
          <cell r="E24989" t="str">
            <v>Community School</v>
          </cell>
          <cell r="F24989" t="str">
            <v>Primary</v>
          </cell>
        </row>
        <row r="24990">
          <cell r="A24990">
            <v>9166010</v>
          </cell>
          <cell r="B24990">
            <v>115782</v>
          </cell>
          <cell r="C24990" t="str">
            <v>Rose Hill School</v>
          </cell>
          <cell r="D24990" t="str">
            <v>Gloucestershire</v>
          </cell>
          <cell r="E24990" t="str">
            <v>Other Independent School</v>
          </cell>
          <cell r="F24990" t="str">
            <v>Not applicable</v>
          </cell>
        </row>
        <row r="24991">
          <cell r="A24991">
            <v>8857013</v>
          </cell>
          <cell r="B24991">
            <v>117060</v>
          </cell>
          <cell r="C24991" t="str">
            <v>Rose Hill School</v>
          </cell>
          <cell r="D24991" t="str">
            <v>Worcestershire</v>
          </cell>
          <cell r="E24991" t="str">
            <v>Community Special School</v>
          </cell>
          <cell r="F24991" t="str">
            <v>Special</v>
          </cell>
        </row>
        <row r="24992">
          <cell r="A24992">
            <v>8866013</v>
          </cell>
          <cell r="B24992">
            <v>118951</v>
          </cell>
          <cell r="C24992" t="str">
            <v>Rose Hill School</v>
          </cell>
          <cell r="D24992" t="str">
            <v>Kent</v>
          </cell>
          <cell r="E24992" t="str">
            <v>Other Independent School</v>
          </cell>
          <cell r="F24992" t="str">
            <v>Not applicable</v>
          </cell>
        </row>
        <row r="24993">
          <cell r="A24993">
            <v>8862245</v>
          </cell>
          <cell r="B24993">
            <v>118348</v>
          </cell>
          <cell r="C24993" t="str">
            <v>Rose Street Primary School</v>
          </cell>
          <cell r="D24993" t="str">
            <v>Kent</v>
          </cell>
          <cell r="E24993" t="str">
            <v>Community School</v>
          </cell>
          <cell r="F24993" t="str">
            <v>Primary</v>
          </cell>
        </row>
        <row r="24994">
          <cell r="A24994">
            <v>8062359</v>
          </cell>
          <cell r="B24994">
            <v>111657</v>
          </cell>
          <cell r="C24994" t="str">
            <v>Rose Wood Primary School</v>
          </cell>
          <cell r="D24994" t="str">
            <v>Middlesbrough</v>
          </cell>
          <cell r="E24994" t="str">
            <v>Community School</v>
          </cell>
          <cell r="F24994" t="str">
            <v>Primary</v>
          </cell>
        </row>
        <row r="24995">
          <cell r="A24995">
            <v>9232241</v>
          </cell>
          <cell r="B24995">
            <v>129469</v>
          </cell>
          <cell r="C24995" t="str">
            <v>Roseacre County Infant School</v>
          </cell>
          <cell r="D24995" t="str">
            <v>Pre LGR (1998) Lancashire</v>
          </cell>
          <cell r="E24995" t="str">
            <v>Community School</v>
          </cell>
          <cell r="F24995" t="str">
            <v>Primary</v>
          </cell>
        </row>
        <row r="24996">
          <cell r="A24996">
            <v>9232213</v>
          </cell>
          <cell r="B24996">
            <v>129468</v>
          </cell>
          <cell r="C24996" t="str">
            <v>Roseacre County Junior School</v>
          </cell>
          <cell r="D24996" t="str">
            <v>Pre LGR (1998) Lancashire</v>
          </cell>
          <cell r="E24996" t="str">
            <v>Community School</v>
          </cell>
          <cell r="F24996" t="str">
            <v>Primary</v>
          </cell>
        </row>
        <row r="24997">
          <cell r="A24997">
            <v>8865203</v>
          </cell>
          <cell r="B24997">
            <v>118849</v>
          </cell>
          <cell r="C24997" t="str">
            <v>Roseacre Junior School</v>
          </cell>
          <cell r="D24997" t="str">
            <v>Kent</v>
          </cell>
          <cell r="E24997" t="str">
            <v>Foundation School</v>
          </cell>
          <cell r="F24997" t="str">
            <v>Primary</v>
          </cell>
        </row>
        <row r="24998">
          <cell r="A24998">
            <v>8902829</v>
          </cell>
          <cell r="B24998">
            <v>119349</v>
          </cell>
          <cell r="C24998" t="str">
            <v>Roseacre Primary School</v>
          </cell>
          <cell r="D24998" t="str">
            <v>Blackpool</v>
          </cell>
          <cell r="E24998" t="str">
            <v>Community School</v>
          </cell>
          <cell r="F24998" t="str">
            <v>Primary</v>
          </cell>
        </row>
        <row r="24999">
          <cell r="A24999">
            <v>9076001</v>
          </cell>
          <cell r="B24999">
            <v>128523</v>
          </cell>
          <cell r="C24999" t="str">
            <v>Rosebank High School</v>
          </cell>
          <cell r="D24999" t="str">
            <v>Pre LGR (1996) Cleveland</v>
          </cell>
          <cell r="E24999" t="str">
            <v>Other Independent School</v>
          </cell>
          <cell r="F24999" t="str">
            <v>Not applicable</v>
          </cell>
        </row>
        <row r="25000">
          <cell r="A25000">
            <v>3832415</v>
          </cell>
          <cell r="B25000">
            <v>107891</v>
          </cell>
          <cell r="C25000" t="str">
            <v>Rosebank Primary School</v>
          </cell>
          <cell r="D25000" t="str">
            <v>Leeds</v>
          </cell>
          <cell r="E25000" t="str">
            <v>Community School</v>
          </cell>
          <cell r="F25000" t="str">
            <v>Primary</v>
          </cell>
        </row>
        <row r="25001">
          <cell r="A25001">
            <v>8967120</v>
          </cell>
          <cell r="B25001">
            <v>111513</v>
          </cell>
          <cell r="C25001" t="str">
            <v>Rosebank School</v>
          </cell>
          <cell r="D25001" t="str">
            <v>Cheshire West and Chester</v>
          </cell>
          <cell r="E25001" t="str">
            <v>Community Special School</v>
          </cell>
          <cell r="F25001" t="str">
            <v>Special</v>
          </cell>
        </row>
        <row r="25002">
          <cell r="A25002">
            <v>8407023</v>
          </cell>
          <cell r="B25002">
            <v>114343</v>
          </cell>
          <cell r="C25002" t="str">
            <v>Rosebank School</v>
          </cell>
          <cell r="D25002" t="str">
            <v>Durham</v>
          </cell>
          <cell r="E25002" t="str">
            <v>Community Special School</v>
          </cell>
          <cell r="F25002" t="str">
            <v>Special</v>
          </cell>
        </row>
        <row r="25003">
          <cell r="A25003">
            <v>8152426</v>
          </cell>
          <cell r="B25003">
            <v>121465</v>
          </cell>
          <cell r="C25003" t="str">
            <v>Roseberry Community Primary School</v>
          </cell>
          <cell r="D25003" t="str">
            <v>North Yorkshire</v>
          </cell>
          <cell r="E25003" t="str">
            <v>Community School</v>
          </cell>
          <cell r="F25003" t="str">
            <v>Primary</v>
          </cell>
        </row>
        <row r="25004">
          <cell r="A25004">
            <v>8082008</v>
          </cell>
          <cell r="B25004">
            <v>111526</v>
          </cell>
          <cell r="C25004" t="str">
            <v>Roseberry Infant School</v>
          </cell>
          <cell r="D25004" t="str">
            <v>Stockton-on-Tees</v>
          </cell>
          <cell r="E25004" t="str">
            <v>Community School</v>
          </cell>
          <cell r="F25004" t="str">
            <v>Primary</v>
          </cell>
        </row>
        <row r="25005">
          <cell r="A25005">
            <v>8082007</v>
          </cell>
          <cell r="B25005">
            <v>111525</v>
          </cell>
          <cell r="C25005" t="str">
            <v>Roseberry Junior School</v>
          </cell>
          <cell r="D25005" t="str">
            <v>Stockton-on-Tees</v>
          </cell>
          <cell r="E25005" t="str">
            <v>Community School</v>
          </cell>
          <cell r="F25005" t="str">
            <v>Primary</v>
          </cell>
        </row>
        <row r="25006">
          <cell r="A25006">
            <v>8402744</v>
          </cell>
          <cell r="B25006">
            <v>114208</v>
          </cell>
          <cell r="C25006" t="str">
            <v>Roseberry Primary and Nursery School</v>
          </cell>
          <cell r="D25006" t="str">
            <v>Durham</v>
          </cell>
          <cell r="E25006" t="str">
            <v>Community School</v>
          </cell>
          <cell r="F25006" t="str">
            <v>Primary</v>
          </cell>
        </row>
        <row r="25007">
          <cell r="A25007">
            <v>8083397</v>
          </cell>
          <cell r="B25007">
            <v>135126</v>
          </cell>
          <cell r="C25007" t="str">
            <v>Roseberry Primary School</v>
          </cell>
          <cell r="D25007" t="str">
            <v>Stockton-on-Tees</v>
          </cell>
          <cell r="E25007" t="str">
            <v>Community School</v>
          </cell>
          <cell r="F25007" t="str">
            <v>Primary</v>
          </cell>
        </row>
        <row r="25008">
          <cell r="A25008">
            <v>8404042</v>
          </cell>
          <cell r="B25008">
            <v>114287</v>
          </cell>
          <cell r="C25008" t="str">
            <v>Roseberry Sports and Community College</v>
          </cell>
          <cell r="D25008" t="str">
            <v>Durham</v>
          </cell>
          <cell r="E25008" t="str">
            <v>Community School</v>
          </cell>
          <cell r="F25008" t="str">
            <v>Secondary</v>
          </cell>
        </row>
        <row r="25009">
          <cell r="A25009">
            <v>9262193</v>
          </cell>
          <cell r="B25009">
            <v>120871</v>
          </cell>
          <cell r="C25009" t="str">
            <v>Rosebery Avenue First School</v>
          </cell>
          <cell r="D25009" t="str">
            <v>Norfolk</v>
          </cell>
          <cell r="E25009" t="str">
            <v>Community School</v>
          </cell>
          <cell r="F25009" t="str">
            <v>Primary</v>
          </cell>
        </row>
        <row r="25010">
          <cell r="A25010">
            <v>8552336</v>
          </cell>
          <cell r="B25010">
            <v>120062</v>
          </cell>
          <cell r="C25010" t="str">
            <v>Rosebery Primary School</v>
          </cell>
          <cell r="D25010" t="str">
            <v>Leicestershire</v>
          </cell>
          <cell r="E25010" t="str">
            <v>Community School</v>
          </cell>
          <cell r="F25010" t="str">
            <v>Primary</v>
          </cell>
        </row>
        <row r="25011">
          <cell r="A25011">
            <v>9365407</v>
          </cell>
          <cell r="B25011">
            <v>125307</v>
          </cell>
          <cell r="C25011" t="str">
            <v>Rosebery School</v>
          </cell>
          <cell r="D25011" t="str">
            <v>Surrey</v>
          </cell>
          <cell r="E25011" t="str">
            <v>Foundation School</v>
          </cell>
          <cell r="F25011" t="str">
            <v>Secondary</v>
          </cell>
        </row>
        <row r="25012">
          <cell r="A25012">
            <v>9365407</v>
          </cell>
          <cell r="B25012">
            <v>137736</v>
          </cell>
          <cell r="C25012" t="str">
            <v>Rosebery School</v>
          </cell>
          <cell r="D25012" t="str">
            <v>Surrey</v>
          </cell>
          <cell r="E25012" t="str">
            <v>Academy Converters</v>
          </cell>
          <cell r="F25012" t="str">
            <v>Secondary</v>
          </cell>
        </row>
        <row r="25013">
          <cell r="A25013">
            <v>8083398</v>
          </cell>
          <cell r="B25013">
            <v>135143</v>
          </cell>
          <cell r="C25013" t="str">
            <v>Rosebrook Primary School</v>
          </cell>
          <cell r="D25013" t="str">
            <v>Stockton-on-Tees</v>
          </cell>
          <cell r="E25013" t="str">
            <v>Community School</v>
          </cell>
          <cell r="F25013" t="str">
            <v>Primary</v>
          </cell>
        </row>
        <row r="25014">
          <cell r="A25014">
            <v>8913794</v>
          </cell>
          <cell r="B25014">
            <v>135165</v>
          </cell>
          <cell r="C25014" t="str">
            <v>Rosebrook Primary School</v>
          </cell>
          <cell r="D25014" t="str">
            <v>Nottinghamshire</v>
          </cell>
          <cell r="E25014" t="str">
            <v>Community School</v>
          </cell>
          <cell r="F25014" t="str">
            <v>Primary</v>
          </cell>
        </row>
        <row r="25015">
          <cell r="A25015">
            <v>8074009</v>
          </cell>
          <cell r="B25015">
            <v>111728</v>
          </cell>
          <cell r="C25015" t="str">
            <v>Rosecroft School</v>
          </cell>
          <cell r="D25015" t="str">
            <v>Redcar and Cleveland</v>
          </cell>
          <cell r="E25015" t="str">
            <v>Community School</v>
          </cell>
          <cell r="F25015" t="str">
            <v>Secondary</v>
          </cell>
        </row>
        <row r="25016">
          <cell r="A25016">
            <v>3526028</v>
          </cell>
          <cell r="B25016">
            <v>105590</v>
          </cell>
          <cell r="C25016" t="str">
            <v>Rosecroft School Didsbury</v>
          </cell>
          <cell r="D25016" t="str">
            <v>Manchester</v>
          </cell>
          <cell r="E25016" t="str">
            <v>Other Independent School</v>
          </cell>
          <cell r="F25016" t="str">
            <v>Not applicable</v>
          </cell>
        </row>
        <row r="25017">
          <cell r="A25017">
            <v>8152098</v>
          </cell>
          <cell r="B25017">
            <v>121313</v>
          </cell>
          <cell r="C25017" t="str">
            <v>Rosedale Abbey Community Primary School</v>
          </cell>
          <cell r="D25017" t="str">
            <v>North Yorkshire</v>
          </cell>
          <cell r="E25017" t="str">
            <v>Community School</v>
          </cell>
          <cell r="F25017" t="str">
            <v>Primary</v>
          </cell>
        </row>
        <row r="25018">
          <cell r="A25018">
            <v>3353101</v>
          </cell>
          <cell r="B25018">
            <v>104225</v>
          </cell>
          <cell r="C25018" t="str">
            <v>Rosedale Church of England C Infant School</v>
          </cell>
          <cell r="D25018" t="str">
            <v>Walsall</v>
          </cell>
          <cell r="E25018" t="str">
            <v>Voluntary Controlled School</v>
          </cell>
          <cell r="F25018" t="str">
            <v>Primary</v>
          </cell>
        </row>
        <row r="25019">
          <cell r="A25019">
            <v>3125406</v>
          </cell>
          <cell r="B25019">
            <v>102446</v>
          </cell>
          <cell r="C25019" t="str">
            <v>Rosedale College</v>
          </cell>
          <cell r="D25019" t="str">
            <v>Hillingdon</v>
          </cell>
          <cell r="E25019" t="str">
            <v>Foundation School</v>
          </cell>
          <cell r="F25019" t="str">
            <v>Secondary</v>
          </cell>
        </row>
        <row r="25020">
          <cell r="A25020">
            <v>3125406</v>
          </cell>
          <cell r="B25020">
            <v>137077</v>
          </cell>
          <cell r="C25020" t="str">
            <v>Rosedale College</v>
          </cell>
          <cell r="D25020" t="str">
            <v>Hillingdon</v>
          </cell>
          <cell r="E25020" t="str">
            <v>Academy Converters</v>
          </cell>
          <cell r="F25020" t="str">
            <v>Secondary</v>
          </cell>
        </row>
        <row r="25021">
          <cell r="A25021">
            <v>3712135</v>
          </cell>
          <cell r="B25021">
            <v>133127</v>
          </cell>
          <cell r="C25021" t="str">
            <v>Rosedale Road First School</v>
          </cell>
          <cell r="D25021" t="str">
            <v>Doncaster</v>
          </cell>
          <cell r="E25021" t="str">
            <v>Miscellaneous</v>
          </cell>
          <cell r="F25021" t="str">
            <v>Not applicable</v>
          </cell>
        </row>
        <row r="25022">
          <cell r="A25022">
            <v>8882226</v>
          </cell>
          <cell r="B25022">
            <v>119258</v>
          </cell>
          <cell r="C25022" t="str">
            <v>Rosegrove Infant School</v>
          </cell>
          <cell r="D25022" t="str">
            <v>Lancashire</v>
          </cell>
          <cell r="E25022" t="str">
            <v>Community School</v>
          </cell>
          <cell r="F25022" t="str">
            <v>Primary</v>
          </cell>
        </row>
        <row r="25023">
          <cell r="A25023">
            <v>8881007</v>
          </cell>
          <cell r="B25023">
            <v>119070</v>
          </cell>
          <cell r="C25023" t="str">
            <v>Rosegrove Nursery School</v>
          </cell>
          <cell r="D25023" t="str">
            <v>Lancashire</v>
          </cell>
          <cell r="E25023" t="str">
            <v>LA Nursery School</v>
          </cell>
          <cell r="F25023" t="str">
            <v>Nursery</v>
          </cell>
        </row>
        <row r="25024">
          <cell r="A25024">
            <v>3402024</v>
          </cell>
          <cell r="B25024">
            <v>104436</v>
          </cell>
          <cell r="C25024" t="str">
            <v>Roseheath Community Primary School</v>
          </cell>
          <cell r="D25024" t="str">
            <v>Knowsley</v>
          </cell>
          <cell r="E25024" t="str">
            <v>Community School</v>
          </cell>
          <cell r="F25024" t="str">
            <v>Primary</v>
          </cell>
        </row>
        <row r="25025">
          <cell r="A25025">
            <v>3402037</v>
          </cell>
          <cell r="B25025">
            <v>127238</v>
          </cell>
          <cell r="C25025" t="str">
            <v>Roseheath County Infant School</v>
          </cell>
          <cell r="D25025" t="str">
            <v>Knowsley</v>
          </cell>
          <cell r="E25025" t="str">
            <v>Community School</v>
          </cell>
          <cell r="F25025" t="str">
            <v>Primary</v>
          </cell>
        </row>
        <row r="25026">
          <cell r="A25026">
            <v>6772308</v>
          </cell>
          <cell r="B25026">
            <v>401413</v>
          </cell>
          <cell r="C25026" t="str">
            <v>Roseheyworth Millennium School</v>
          </cell>
          <cell r="D25026" t="str">
            <v>Blaenau Gwent</v>
          </cell>
          <cell r="E25026" t="str">
            <v>Welsh Establishment</v>
          </cell>
          <cell r="F25026" t="str">
            <v>Primary</v>
          </cell>
        </row>
        <row r="25027">
          <cell r="A25027">
            <v>8312429</v>
          </cell>
          <cell r="B25027">
            <v>112733</v>
          </cell>
          <cell r="C25027" t="str">
            <v>Rosehill Infant and Nursery School</v>
          </cell>
          <cell r="D25027" t="str">
            <v>Derby</v>
          </cell>
          <cell r="E25027" t="str">
            <v>Community School</v>
          </cell>
          <cell r="F25027" t="str">
            <v>Primary</v>
          </cell>
        </row>
        <row r="25028">
          <cell r="A25028">
            <v>8082055</v>
          </cell>
          <cell r="B25028">
            <v>111548</v>
          </cell>
          <cell r="C25028" t="str">
            <v>Rosehill Infant School</v>
          </cell>
          <cell r="D25028" t="str">
            <v>Stockton-on-Tees</v>
          </cell>
          <cell r="E25028" t="str">
            <v>Community School</v>
          </cell>
          <cell r="F25028" t="str">
            <v>Primary</v>
          </cell>
        </row>
        <row r="25029">
          <cell r="A25029">
            <v>8882158</v>
          </cell>
          <cell r="B25029">
            <v>119211</v>
          </cell>
          <cell r="C25029" t="str">
            <v>Rosehill Junior School</v>
          </cell>
          <cell r="D25029" t="str">
            <v>Lancashire</v>
          </cell>
          <cell r="E25029" t="str">
            <v>Community School</v>
          </cell>
          <cell r="F25029" t="str">
            <v>Primary</v>
          </cell>
        </row>
        <row r="25030">
          <cell r="A25030">
            <v>3572080</v>
          </cell>
          <cell r="B25030">
            <v>133576</v>
          </cell>
          <cell r="C25030" t="str">
            <v>Rosehill Methodist Community Primary School</v>
          </cell>
          <cell r="D25030" t="str">
            <v>Tameside</v>
          </cell>
          <cell r="E25030" t="str">
            <v>Voluntary Controlled School</v>
          </cell>
          <cell r="F25030" t="str">
            <v>Primary</v>
          </cell>
        </row>
        <row r="25031">
          <cell r="A25031">
            <v>8881019</v>
          </cell>
          <cell r="B25031">
            <v>119081</v>
          </cell>
          <cell r="C25031" t="str">
            <v>Rosehill Nursery School</v>
          </cell>
          <cell r="D25031" t="str">
            <v>Lancashire</v>
          </cell>
          <cell r="E25031" t="str">
            <v>LA Nursery School</v>
          </cell>
          <cell r="F25031" t="str">
            <v>Nursery</v>
          </cell>
        </row>
        <row r="25032">
          <cell r="A25032">
            <v>3597013</v>
          </cell>
          <cell r="B25032">
            <v>106550</v>
          </cell>
          <cell r="C25032" t="str">
            <v>Rosehill School</v>
          </cell>
          <cell r="D25032" t="str">
            <v>Wigan</v>
          </cell>
          <cell r="E25032" t="str">
            <v>Community Special School</v>
          </cell>
          <cell r="F25032" t="str">
            <v>Special</v>
          </cell>
        </row>
        <row r="25033">
          <cell r="A25033">
            <v>8927035</v>
          </cell>
          <cell r="B25033">
            <v>122964</v>
          </cell>
          <cell r="C25033" t="str">
            <v>Rosehill School</v>
          </cell>
          <cell r="D25033" t="str">
            <v>Nottingham</v>
          </cell>
          <cell r="E25033" t="str">
            <v>Community Special School</v>
          </cell>
          <cell r="F25033" t="str">
            <v>Special</v>
          </cell>
        </row>
        <row r="25034">
          <cell r="A25034">
            <v>8452135</v>
          </cell>
          <cell r="B25034">
            <v>114459</v>
          </cell>
          <cell r="C25034" t="str">
            <v>Roselands Infants' School</v>
          </cell>
          <cell r="D25034" t="str">
            <v>East Sussex</v>
          </cell>
          <cell r="E25034" t="str">
            <v>Community School</v>
          </cell>
          <cell r="F25034" t="str">
            <v>Primary</v>
          </cell>
        </row>
        <row r="25035">
          <cell r="A25035">
            <v>8802473</v>
          </cell>
          <cell r="B25035">
            <v>113242</v>
          </cell>
          <cell r="C25035" t="str">
            <v>Roselands Primary School</v>
          </cell>
          <cell r="D25035" t="str">
            <v>Torbay</v>
          </cell>
          <cell r="E25035" t="str">
            <v>Community School</v>
          </cell>
          <cell r="F25035" t="str">
            <v>Primary</v>
          </cell>
        </row>
        <row r="25036">
          <cell r="A25036">
            <v>9192429</v>
          </cell>
          <cell r="B25036">
            <v>117338</v>
          </cell>
          <cell r="C25036" t="str">
            <v>Roselands Primary School</v>
          </cell>
          <cell r="D25036" t="str">
            <v>Hertfordshire</v>
          </cell>
          <cell r="E25036" t="str">
            <v>Community School</v>
          </cell>
          <cell r="F25036" t="str">
            <v>Primary</v>
          </cell>
        </row>
        <row r="25037">
          <cell r="A25037">
            <v>8886095</v>
          </cell>
          <cell r="B25037">
            <v>135092</v>
          </cell>
          <cell r="C25037" t="str">
            <v>Roselyn House School</v>
          </cell>
          <cell r="D25037" t="str">
            <v>Lancashire</v>
          </cell>
          <cell r="E25037" t="str">
            <v>Other Independent Special School</v>
          </cell>
          <cell r="F25037" t="str">
            <v>Not applicable</v>
          </cell>
        </row>
        <row r="25038">
          <cell r="A25038">
            <v>9086056</v>
          </cell>
          <cell r="B25038">
            <v>112072</v>
          </cell>
          <cell r="C25038" t="str">
            <v>Roselyon Preparatory School</v>
          </cell>
          <cell r="D25038" t="str">
            <v>Cornwall</v>
          </cell>
          <cell r="E25038" t="str">
            <v>Other Independent School</v>
          </cell>
          <cell r="F25038" t="str">
            <v>Not applicable</v>
          </cell>
        </row>
        <row r="25039">
          <cell r="A25039">
            <v>8011007</v>
          </cell>
          <cell r="B25039">
            <v>108898</v>
          </cell>
          <cell r="C25039" t="str">
            <v>Rosemary Early Years Centre</v>
          </cell>
          <cell r="D25039" t="str">
            <v>Bristol City of</v>
          </cell>
          <cell r="E25039" t="str">
            <v>LA Nursery School</v>
          </cell>
          <cell r="F25039" t="str">
            <v>Nursery</v>
          </cell>
        </row>
        <row r="25040">
          <cell r="A25040">
            <v>8401038</v>
          </cell>
          <cell r="B25040">
            <v>113989</v>
          </cell>
          <cell r="C25040" t="str">
            <v>Rosemary Lane Nursery School</v>
          </cell>
          <cell r="D25040" t="str">
            <v>Durham</v>
          </cell>
          <cell r="E25040" t="str">
            <v>LA Nursery School</v>
          </cell>
          <cell r="F25040" t="str">
            <v>Nursery</v>
          </cell>
        </row>
        <row r="25041">
          <cell r="A25041">
            <v>9264093</v>
          </cell>
          <cell r="B25041">
            <v>121186</v>
          </cell>
          <cell r="C25041" t="str">
            <v>Rosemary Musker High School, Thetford</v>
          </cell>
          <cell r="D25041" t="str">
            <v>Norfolk</v>
          </cell>
          <cell r="E25041" t="str">
            <v>Community School</v>
          </cell>
          <cell r="F25041" t="str">
            <v>Secondary</v>
          </cell>
        </row>
        <row r="25042">
          <cell r="A25042">
            <v>9177012</v>
          </cell>
          <cell r="B25042">
            <v>129071</v>
          </cell>
          <cell r="C25042" t="str">
            <v>Rosemary Portal School</v>
          </cell>
          <cell r="D25042" t="str">
            <v>Pre LGR (1997) Hampshire</v>
          </cell>
          <cell r="E25042" t="str">
            <v>Community Special School</v>
          </cell>
          <cell r="F25042" t="str">
            <v>Special</v>
          </cell>
        </row>
        <row r="25043">
          <cell r="A25043">
            <v>2067170</v>
          </cell>
          <cell r="B25043">
            <v>100471</v>
          </cell>
          <cell r="C25043" t="str">
            <v>Rosemary Sld School</v>
          </cell>
          <cell r="D25043" t="str">
            <v>Islington</v>
          </cell>
          <cell r="E25043" t="str">
            <v>Community Special School</v>
          </cell>
          <cell r="F25043" t="str">
            <v>Special</v>
          </cell>
        </row>
        <row r="25044">
          <cell r="A25044">
            <v>2046406</v>
          </cell>
          <cell r="B25044">
            <v>132065</v>
          </cell>
          <cell r="C25044" t="str">
            <v>Rosemary Works School</v>
          </cell>
          <cell r="D25044" t="str">
            <v>Hackney</v>
          </cell>
          <cell r="E25044" t="str">
            <v>Other Independent School</v>
          </cell>
          <cell r="F25044" t="str">
            <v>Not applicable</v>
          </cell>
        </row>
        <row r="25045">
          <cell r="A25045">
            <v>2046408</v>
          </cell>
          <cell r="B25045">
            <v>132791</v>
          </cell>
          <cell r="C25045" t="str">
            <v>Rosemary Works School</v>
          </cell>
          <cell r="D25045" t="str">
            <v>Hackney</v>
          </cell>
          <cell r="E25045" t="str">
            <v>Other Independent School</v>
          </cell>
          <cell r="F25045" t="str">
            <v>Not applicable</v>
          </cell>
        </row>
        <row r="25046">
          <cell r="A25046">
            <v>2086151</v>
          </cell>
          <cell r="B25046">
            <v>100645</v>
          </cell>
          <cell r="C25046" t="str">
            <v>Rosemead Preparatory School</v>
          </cell>
          <cell r="D25046" t="str">
            <v>Lambeth</v>
          </cell>
          <cell r="E25046" t="str">
            <v>Other Independent School</v>
          </cell>
          <cell r="F25046" t="str">
            <v>Not applicable</v>
          </cell>
        </row>
        <row r="25047">
          <cell r="A25047">
            <v>9386017</v>
          </cell>
          <cell r="B25047">
            <v>130188</v>
          </cell>
          <cell r="C25047" t="str">
            <v>Rosemead School</v>
          </cell>
          <cell r="D25047" t="str">
            <v>West Sussex</v>
          </cell>
          <cell r="E25047" t="str">
            <v>Other Independent School</v>
          </cell>
          <cell r="F25047" t="str">
            <v>Not applicable</v>
          </cell>
        </row>
        <row r="25048">
          <cell r="A25048">
            <v>3826009</v>
          </cell>
          <cell r="B25048">
            <v>107788</v>
          </cell>
          <cell r="C25048" t="str">
            <v>Rosemeade School</v>
          </cell>
          <cell r="D25048" t="str">
            <v>Kirklees</v>
          </cell>
          <cell r="E25048" t="str">
            <v>Other Independent School</v>
          </cell>
          <cell r="F25048" t="str">
            <v>Not applicable</v>
          </cell>
        </row>
        <row r="25049">
          <cell r="A25049">
            <v>9082241</v>
          </cell>
          <cell r="B25049">
            <v>111858</v>
          </cell>
          <cell r="C25049" t="str">
            <v>Rosemellin Community Primary School</v>
          </cell>
          <cell r="D25049" t="str">
            <v>Cornwall</v>
          </cell>
          <cell r="E25049" t="str">
            <v>Community School</v>
          </cell>
          <cell r="F25049" t="str">
            <v>Primary</v>
          </cell>
        </row>
        <row r="25050">
          <cell r="A25050">
            <v>2082523</v>
          </cell>
          <cell r="B25050">
            <v>100580</v>
          </cell>
          <cell r="C25050" t="str">
            <v>Rosendale Infant School</v>
          </cell>
          <cell r="D25050" t="str">
            <v>Lambeth</v>
          </cell>
          <cell r="E25050" t="str">
            <v>Community School</v>
          </cell>
          <cell r="F25050" t="str">
            <v>Primary</v>
          </cell>
        </row>
        <row r="25051">
          <cell r="A25051">
            <v>2082522</v>
          </cell>
          <cell r="B25051">
            <v>100579</v>
          </cell>
          <cell r="C25051" t="str">
            <v>Rosendale Junior School</v>
          </cell>
          <cell r="D25051" t="str">
            <v>Lambeth</v>
          </cell>
          <cell r="E25051" t="str">
            <v>Community School</v>
          </cell>
          <cell r="F25051" t="str">
            <v>Primary</v>
          </cell>
        </row>
        <row r="25052">
          <cell r="A25052">
            <v>2082899</v>
          </cell>
          <cell r="B25052">
            <v>131335</v>
          </cell>
          <cell r="C25052" t="str">
            <v>Rosendale Primary School</v>
          </cell>
          <cell r="D25052" t="str">
            <v>Lambeth</v>
          </cell>
          <cell r="E25052" t="str">
            <v>Community School</v>
          </cell>
          <cell r="F25052" t="str">
            <v>Primary</v>
          </cell>
        </row>
        <row r="25053">
          <cell r="A25053">
            <v>3162060</v>
          </cell>
          <cell r="B25053">
            <v>130236</v>
          </cell>
          <cell r="C25053" t="str">
            <v>Rosetta Infant School</v>
          </cell>
          <cell r="D25053" t="str">
            <v>Newham</v>
          </cell>
          <cell r="E25053" t="str">
            <v>Community School</v>
          </cell>
          <cell r="F25053" t="str">
            <v>Primary</v>
          </cell>
        </row>
        <row r="25054">
          <cell r="A25054">
            <v>3162059</v>
          </cell>
          <cell r="B25054">
            <v>102741</v>
          </cell>
          <cell r="C25054" t="str">
            <v>Rosetta Primary School</v>
          </cell>
          <cell r="D25054" t="str">
            <v>Newham</v>
          </cell>
          <cell r="E25054" t="str">
            <v>Community School</v>
          </cell>
          <cell r="F25054" t="str">
            <v>Primary</v>
          </cell>
        </row>
        <row r="25055">
          <cell r="A25055">
            <v>8882839</v>
          </cell>
          <cell r="B25055">
            <v>133437</v>
          </cell>
          <cell r="C25055" t="str">
            <v>Rosewood Primary School</v>
          </cell>
          <cell r="D25055" t="str">
            <v>Lancashire</v>
          </cell>
          <cell r="E25055" t="str">
            <v>Community School</v>
          </cell>
          <cell r="F25055" t="str">
            <v>Primary</v>
          </cell>
        </row>
        <row r="25056">
          <cell r="A25056">
            <v>3327008</v>
          </cell>
          <cell r="B25056">
            <v>103882</v>
          </cell>
          <cell r="C25056" t="str">
            <v>Rosewood School</v>
          </cell>
          <cell r="D25056" t="str">
            <v>Dudley</v>
          </cell>
          <cell r="E25056" t="str">
            <v>Community Special School</v>
          </cell>
          <cell r="F25056" t="str">
            <v>Special</v>
          </cell>
        </row>
        <row r="25057">
          <cell r="A25057">
            <v>8527050</v>
          </cell>
          <cell r="B25057">
            <v>133747</v>
          </cell>
          <cell r="C25057" t="str">
            <v>Rosewood School</v>
          </cell>
          <cell r="D25057" t="str">
            <v>Southampton</v>
          </cell>
          <cell r="E25057" t="str">
            <v>Non-Maintained Special School</v>
          </cell>
          <cell r="F25057" t="str">
            <v>Special</v>
          </cell>
        </row>
        <row r="25058">
          <cell r="A25058">
            <v>8082346</v>
          </cell>
          <cell r="B25058">
            <v>111645</v>
          </cell>
          <cell r="C25058" t="str">
            <v>Roseworth Primary School</v>
          </cell>
          <cell r="D25058" t="str">
            <v>Stockton-on-Tees</v>
          </cell>
          <cell r="E25058" t="str">
            <v>Community School</v>
          </cell>
          <cell r="F25058" t="str">
            <v>Primary</v>
          </cell>
        </row>
        <row r="25059">
          <cell r="A25059">
            <v>3023512</v>
          </cell>
          <cell r="B25059">
            <v>101340</v>
          </cell>
          <cell r="C25059" t="str">
            <v>Rosh Pinah Primary School</v>
          </cell>
          <cell r="D25059" t="str">
            <v>Barnet</v>
          </cell>
          <cell r="E25059" t="str">
            <v>Voluntary Aided School</v>
          </cell>
          <cell r="F25059" t="str">
            <v>Primary</v>
          </cell>
        </row>
        <row r="25060">
          <cell r="A25060">
            <v>8863018</v>
          </cell>
          <cell r="B25060">
            <v>118593</v>
          </cell>
          <cell r="C25060" t="str">
            <v>Rosherville Church of England Primary School</v>
          </cell>
          <cell r="D25060" t="str">
            <v>Kent</v>
          </cell>
          <cell r="E25060" t="str">
            <v>Voluntary Controlled School</v>
          </cell>
          <cell r="F25060" t="str">
            <v>Primary</v>
          </cell>
        </row>
        <row r="25061">
          <cell r="A25061">
            <v>9082239</v>
          </cell>
          <cell r="B25061">
            <v>111856</v>
          </cell>
          <cell r="C25061" t="str">
            <v>Roskear School</v>
          </cell>
          <cell r="D25061" t="str">
            <v>Cornwall</v>
          </cell>
          <cell r="E25061" t="str">
            <v>Community School</v>
          </cell>
          <cell r="F25061" t="str">
            <v>Primary</v>
          </cell>
        </row>
        <row r="25062">
          <cell r="A25062">
            <v>9093316</v>
          </cell>
          <cell r="B25062">
            <v>112306</v>
          </cell>
          <cell r="C25062" t="str">
            <v>Rosley CofE School</v>
          </cell>
          <cell r="D25062" t="str">
            <v>Cumbria</v>
          </cell>
          <cell r="E25062" t="str">
            <v>Voluntary Aided School</v>
          </cell>
          <cell r="F25062" t="str">
            <v>Primary</v>
          </cell>
        </row>
        <row r="25063">
          <cell r="A25063">
            <v>8303083</v>
          </cell>
          <cell r="B25063">
            <v>112851</v>
          </cell>
          <cell r="C25063" t="str">
            <v>Rosliston CofE Primary School</v>
          </cell>
          <cell r="D25063" t="str">
            <v>Derbyshire</v>
          </cell>
          <cell r="E25063" t="str">
            <v>Voluntary Controlled School</v>
          </cell>
          <cell r="F25063" t="str">
            <v>Primary</v>
          </cell>
        </row>
        <row r="25064">
          <cell r="A25064">
            <v>8886044</v>
          </cell>
          <cell r="B25064">
            <v>119818</v>
          </cell>
          <cell r="C25064" t="str">
            <v>Rossall School</v>
          </cell>
          <cell r="D25064" t="str">
            <v>Lancashire</v>
          </cell>
          <cell r="E25064" t="str">
            <v>Other Independent School</v>
          </cell>
          <cell r="F25064" t="str">
            <v>Not applicable</v>
          </cell>
        </row>
        <row r="25065">
          <cell r="A25065">
            <v>8886038</v>
          </cell>
          <cell r="B25065">
            <v>131811</v>
          </cell>
          <cell r="C25065" t="str">
            <v>Rossendale Education Centre</v>
          </cell>
          <cell r="D25065" t="str">
            <v>Lancashire</v>
          </cell>
          <cell r="E25065" t="str">
            <v>Other Independent School</v>
          </cell>
          <cell r="F25065" t="str">
            <v>Not applicable</v>
          </cell>
        </row>
        <row r="25066">
          <cell r="A25066">
            <v>8886020</v>
          </cell>
          <cell r="B25066">
            <v>119845</v>
          </cell>
          <cell r="C25066" t="str">
            <v>Rossendale School</v>
          </cell>
          <cell r="D25066" t="str">
            <v>Lancashire</v>
          </cell>
          <cell r="E25066" t="str">
            <v>Other Independent Special School</v>
          </cell>
          <cell r="F25066" t="str">
            <v>Not applicable</v>
          </cell>
        </row>
        <row r="25067">
          <cell r="A25067">
            <v>8152382</v>
          </cell>
          <cell r="B25067">
            <v>121437</v>
          </cell>
          <cell r="C25067" t="str">
            <v>Rossett Acre Primary School</v>
          </cell>
          <cell r="D25067" t="str">
            <v>North Yorkshire</v>
          </cell>
          <cell r="E25067" t="str">
            <v>Community School</v>
          </cell>
          <cell r="F25067" t="str">
            <v>Primary</v>
          </cell>
        </row>
        <row r="25068">
          <cell r="A25068">
            <v>8154217</v>
          </cell>
          <cell r="B25068">
            <v>121696</v>
          </cell>
          <cell r="C25068" t="str">
            <v>Rossett School</v>
          </cell>
          <cell r="D25068" t="str">
            <v>North Yorkshire</v>
          </cell>
          <cell r="E25068" t="str">
            <v>Community School</v>
          </cell>
          <cell r="F25068" t="str">
            <v>Secondary</v>
          </cell>
        </row>
        <row r="25069">
          <cell r="A25069">
            <v>8154217</v>
          </cell>
          <cell r="B25069">
            <v>136896</v>
          </cell>
          <cell r="C25069" t="str">
            <v>Rossett School</v>
          </cell>
          <cell r="D25069" t="str">
            <v>North Yorkshire</v>
          </cell>
          <cell r="E25069" t="str">
            <v>Academy Converters</v>
          </cell>
          <cell r="F25069" t="str">
            <v>Secondary</v>
          </cell>
        </row>
        <row r="25070">
          <cell r="A25070">
            <v>9192256</v>
          </cell>
          <cell r="B25070">
            <v>117239</v>
          </cell>
          <cell r="C25070" t="str">
            <v>Rossgate Primary School</v>
          </cell>
          <cell r="D25070" t="str">
            <v>Hertfordshire</v>
          </cell>
          <cell r="E25070" t="str">
            <v>Community School</v>
          </cell>
          <cell r="F25070" t="str">
            <v>Primary</v>
          </cell>
        </row>
        <row r="25071">
          <cell r="A25071">
            <v>9336013</v>
          </cell>
          <cell r="B25071">
            <v>123907</v>
          </cell>
          <cell r="C25071" t="str">
            <v>Rossholme School</v>
          </cell>
          <cell r="D25071" t="str">
            <v>Somerset</v>
          </cell>
          <cell r="E25071" t="str">
            <v>Other Independent School</v>
          </cell>
          <cell r="F25071" t="str">
            <v>Not applicable</v>
          </cell>
        </row>
        <row r="25072">
          <cell r="A25072">
            <v>3714608</v>
          </cell>
          <cell r="B25072">
            <v>136675</v>
          </cell>
          <cell r="C25072" t="str">
            <v>Rossington All Saints Academy</v>
          </cell>
          <cell r="D25072" t="str">
            <v>Doncaster</v>
          </cell>
          <cell r="E25072" t="str">
            <v>Academy Sponsor Led</v>
          </cell>
          <cell r="F25072" t="str">
            <v>Secondary</v>
          </cell>
        </row>
        <row r="25073">
          <cell r="A25073">
            <v>3714607</v>
          </cell>
          <cell r="B25073">
            <v>133942</v>
          </cell>
          <cell r="C25073" t="str">
            <v>Rossington All Saints Church of England (VA) School - A Sports College</v>
          </cell>
          <cell r="D25073" t="str">
            <v>Doncaster</v>
          </cell>
          <cell r="E25073" t="str">
            <v>Voluntary Aided School</v>
          </cell>
          <cell r="F25073" t="str">
            <v>Secondary</v>
          </cell>
        </row>
        <row r="25074">
          <cell r="A25074">
            <v>3717003</v>
          </cell>
          <cell r="B25074">
            <v>106819</v>
          </cell>
          <cell r="C25074" t="str">
            <v>Rossington Hall School</v>
          </cell>
          <cell r="D25074" t="str">
            <v>Doncaster</v>
          </cell>
          <cell r="E25074" t="str">
            <v>Community Special School</v>
          </cell>
          <cell r="F25074" t="str">
            <v>Special</v>
          </cell>
        </row>
        <row r="25075">
          <cell r="A25075">
            <v>3714034</v>
          </cell>
          <cell r="B25075">
            <v>106790</v>
          </cell>
          <cell r="C25075" t="str">
            <v>Rossington High School</v>
          </cell>
          <cell r="D25075" t="str">
            <v>Doncaster</v>
          </cell>
          <cell r="E25075" t="str">
            <v>Community School</v>
          </cell>
          <cell r="F25075" t="str">
            <v>Secondary</v>
          </cell>
        </row>
        <row r="25076">
          <cell r="A25076">
            <v>3712090</v>
          </cell>
          <cell r="B25076">
            <v>106687</v>
          </cell>
          <cell r="C25076" t="str">
            <v>Rossington Holmescarr Junior School</v>
          </cell>
          <cell r="D25076" t="str">
            <v>Doncaster</v>
          </cell>
          <cell r="E25076" t="str">
            <v>Community School</v>
          </cell>
          <cell r="F25076" t="str">
            <v>Primary</v>
          </cell>
        </row>
        <row r="25077">
          <cell r="A25077">
            <v>3712091</v>
          </cell>
          <cell r="B25077">
            <v>106688</v>
          </cell>
          <cell r="C25077" t="str">
            <v>Rossington Pheasant Bank Junior School</v>
          </cell>
          <cell r="D25077" t="str">
            <v>Doncaster</v>
          </cell>
          <cell r="E25077" t="str">
            <v>Community School</v>
          </cell>
          <cell r="F25077" t="str">
            <v>Primary</v>
          </cell>
        </row>
        <row r="25078">
          <cell r="A25078">
            <v>3712091</v>
          </cell>
          <cell r="B25078">
            <v>137455</v>
          </cell>
          <cell r="C25078" t="str">
            <v>Rossington Pheasant Bank Junior School</v>
          </cell>
          <cell r="D25078" t="str">
            <v>Doncaster</v>
          </cell>
          <cell r="E25078" t="str">
            <v>Academy Converters</v>
          </cell>
          <cell r="F25078" t="str">
            <v>Primary</v>
          </cell>
        </row>
        <row r="25079">
          <cell r="A25079">
            <v>3713309</v>
          </cell>
          <cell r="B25079">
            <v>106765</v>
          </cell>
          <cell r="C25079" t="str">
            <v>Rossington St Michael's CofE Primary School</v>
          </cell>
          <cell r="D25079" t="str">
            <v>Doncaster</v>
          </cell>
          <cell r="E25079" t="str">
            <v>Voluntary Aided School</v>
          </cell>
          <cell r="F25079" t="str">
            <v>Primary</v>
          </cell>
        </row>
        <row r="25080">
          <cell r="A25080">
            <v>3712115</v>
          </cell>
          <cell r="B25080">
            <v>106698</v>
          </cell>
          <cell r="C25080" t="str">
            <v>Rossington Tornedale Infant School</v>
          </cell>
          <cell r="D25080" t="str">
            <v>Doncaster</v>
          </cell>
          <cell r="E25080" t="str">
            <v>Community School</v>
          </cell>
          <cell r="F25080" t="str">
            <v>Primary</v>
          </cell>
        </row>
        <row r="25081">
          <cell r="A25081">
            <v>8922123</v>
          </cell>
          <cell r="B25081">
            <v>122461</v>
          </cell>
          <cell r="C25081" t="str">
            <v>Rosslyn Infant School</v>
          </cell>
          <cell r="D25081" t="str">
            <v>Nottingham</v>
          </cell>
          <cell r="E25081" t="str">
            <v>Community School</v>
          </cell>
          <cell r="F25081" t="str">
            <v>Primary</v>
          </cell>
        </row>
        <row r="25082">
          <cell r="A25082">
            <v>8922121</v>
          </cell>
          <cell r="B25082">
            <v>122459</v>
          </cell>
          <cell r="C25082" t="str">
            <v>Rosslyn Junior School</v>
          </cell>
          <cell r="D25082" t="str">
            <v>Nottingham</v>
          </cell>
          <cell r="E25082" t="str">
            <v>Community School</v>
          </cell>
          <cell r="F25082" t="str">
            <v>Primary</v>
          </cell>
        </row>
        <row r="25083">
          <cell r="A25083">
            <v>8923322</v>
          </cell>
          <cell r="B25083">
            <v>134425</v>
          </cell>
          <cell r="C25083" t="str">
            <v>Rosslyn Park Primary and Nursery School</v>
          </cell>
          <cell r="D25083" t="str">
            <v>Nottingham</v>
          </cell>
          <cell r="E25083" t="str">
            <v>Community School</v>
          </cell>
          <cell r="F25083" t="str">
            <v>Primary</v>
          </cell>
        </row>
        <row r="25084">
          <cell r="A25084">
            <v>3306048</v>
          </cell>
          <cell r="B25084">
            <v>103573</v>
          </cell>
          <cell r="C25084" t="str">
            <v>Rosslyn School</v>
          </cell>
          <cell r="D25084" t="str">
            <v>Birmingham</v>
          </cell>
          <cell r="E25084" t="str">
            <v>Other Independent School</v>
          </cell>
          <cell r="F25084" t="str">
            <v>Not applicable</v>
          </cell>
        </row>
        <row r="25085">
          <cell r="A25085">
            <v>8052342</v>
          </cell>
          <cell r="B25085">
            <v>111641</v>
          </cell>
          <cell r="C25085" t="str">
            <v>Rossmere Primary School</v>
          </cell>
          <cell r="D25085" t="str">
            <v>Hartlepool</v>
          </cell>
          <cell r="E25085" t="str">
            <v>Community School</v>
          </cell>
          <cell r="F25085" t="str">
            <v>Primary</v>
          </cell>
        </row>
        <row r="25086">
          <cell r="A25086">
            <v>8364111</v>
          </cell>
          <cell r="B25086">
            <v>113866</v>
          </cell>
          <cell r="C25086" t="str">
            <v>Rossmore Community College</v>
          </cell>
          <cell r="D25086" t="str">
            <v>Poole</v>
          </cell>
          <cell r="E25086" t="str">
            <v>Community School</v>
          </cell>
          <cell r="F25086" t="str">
            <v>Secondary</v>
          </cell>
        </row>
        <row r="25087">
          <cell r="A25087">
            <v>8962279</v>
          </cell>
          <cell r="B25087">
            <v>111112</v>
          </cell>
          <cell r="C25087" t="str">
            <v>Rossmore School</v>
          </cell>
          <cell r="D25087" t="str">
            <v>Cheshire West and Chester</v>
          </cell>
          <cell r="E25087" t="str">
            <v>Community School</v>
          </cell>
          <cell r="F25087" t="str">
            <v>Primary</v>
          </cell>
        </row>
        <row r="25088">
          <cell r="A25088">
            <v>9292224</v>
          </cell>
          <cell r="B25088">
            <v>122221</v>
          </cell>
          <cell r="C25088" t="str">
            <v>Rothbury First School</v>
          </cell>
          <cell r="D25088" t="str">
            <v>Northumberland</v>
          </cell>
          <cell r="E25088" t="str">
            <v>Community School</v>
          </cell>
          <cell r="F25088" t="str">
            <v>Primary</v>
          </cell>
        </row>
        <row r="25089">
          <cell r="A25089">
            <v>9224096</v>
          </cell>
          <cell r="B25089">
            <v>129423</v>
          </cell>
          <cell r="C25089" t="str">
            <v>Rothelawe School</v>
          </cell>
          <cell r="D25089" t="str">
            <v>Pre LGR (1998) Kent</v>
          </cell>
          <cell r="E25089" t="str">
            <v>Community School</v>
          </cell>
          <cell r="F25089" t="str">
            <v>Secondary</v>
          </cell>
        </row>
        <row r="25090">
          <cell r="A25090">
            <v>3728003</v>
          </cell>
          <cell r="B25090">
            <v>130528</v>
          </cell>
          <cell r="C25090" t="str">
            <v>Rother Valley College</v>
          </cell>
          <cell r="D25090" t="str">
            <v>Rotherham</v>
          </cell>
          <cell r="E25090" t="str">
            <v>Further Education</v>
          </cell>
          <cell r="F25090" t="str">
            <v>16 Plus</v>
          </cell>
        </row>
        <row r="25091">
          <cell r="A25091">
            <v>9024109</v>
          </cell>
          <cell r="B25091">
            <v>128257</v>
          </cell>
          <cell r="C25091" t="str">
            <v>Rotheram High School</v>
          </cell>
          <cell r="D25091" t="str">
            <v>Pre LGR (1997) Bedfordshire</v>
          </cell>
          <cell r="E25091" t="str">
            <v>Community School</v>
          </cell>
          <cell r="F25091" t="str">
            <v>Secondary</v>
          </cell>
        </row>
        <row r="25092">
          <cell r="A25092">
            <v>2062525</v>
          </cell>
          <cell r="B25092">
            <v>100424</v>
          </cell>
          <cell r="C25092" t="str">
            <v>Rotherfield Infant School</v>
          </cell>
          <cell r="D25092" t="str">
            <v>Islington</v>
          </cell>
          <cell r="E25092" t="str">
            <v>Community School</v>
          </cell>
          <cell r="F25092" t="str">
            <v>Primary</v>
          </cell>
        </row>
        <row r="25093">
          <cell r="A25093">
            <v>2062524</v>
          </cell>
          <cell r="B25093">
            <v>100423</v>
          </cell>
          <cell r="C25093" t="str">
            <v>Rotherfield Junior School</v>
          </cell>
          <cell r="D25093" t="str">
            <v>Islington</v>
          </cell>
          <cell r="E25093" t="str">
            <v>Community School</v>
          </cell>
          <cell r="F25093" t="str">
            <v>Primary</v>
          </cell>
        </row>
        <row r="25094">
          <cell r="A25094">
            <v>8452084</v>
          </cell>
          <cell r="B25094">
            <v>114416</v>
          </cell>
          <cell r="C25094" t="str">
            <v>Rotherfield Primary School</v>
          </cell>
          <cell r="D25094" t="str">
            <v>East Sussex</v>
          </cell>
          <cell r="E25094" t="str">
            <v>Community School</v>
          </cell>
          <cell r="F25094" t="str">
            <v>Primary</v>
          </cell>
        </row>
        <row r="25095">
          <cell r="A25095">
            <v>2062857</v>
          </cell>
          <cell r="B25095">
            <v>131740</v>
          </cell>
          <cell r="C25095" t="str">
            <v>Rotherfield Primary School</v>
          </cell>
          <cell r="D25095" t="str">
            <v>Islington</v>
          </cell>
          <cell r="E25095" t="str">
            <v>Community School</v>
          </cell>
          <cell r="F25095" t="str">
            <v>Primary</v>
          </cell>
        </row>
        <row r="25096">
          <cell r="A25096">
            <v>3728000</v>
          </cell>
          <cell r="B25096">
            <v>130527</v>
          </cell>
          <cell r="C25096" t="str">
            <v>Rotherham College of Arts and Technology</v>
          </cell>
          <cell r="D25096" t="str">
            <v>Rotherham</v>
          </cell>
          <cell r="E25096" t="str">
            <v>Further Education</v>
          </cell>
          <cell r="F25096" t="str">
            <v>16 Plus</v>
          </cell>
        </row>
        <row r="25097">
          <cell r="A25097">
            <v>372940</v>
          </cell>
          <cell r="B25097">
            <v>134001</v>
          </cell>
          <cell r="C25097" t="str">
            <v>Rotherham United FC Study Support Centre</v>
          </cell>
          <cell r="D25097" t="str">
            <v>Rotherham</v>
          </cell>
          <cell r="E25097" t="str">
            <v>Playing for Success Centres</v>
          </cell>
          <cell r="F25097" t="str">
            <v>Not applicable</v>
          </cell>
        </row>
        <row r="25098">
          <cell r="A25098">
            <v>2102526</v>
          </cell>
          <cell r="B25098">
            <v>100810</v>
          </cell>
          <cell r="C25098" t="str">
            <v>Rotherhithe Primary School</v>
          </cell>
          <cell r="D25098" t="str">
            <v>Southwark</v>
          </cell>
          <cell r="E25098" t="str">
            <v>Community School</v>
          </cell>
          <cell r="F25098" t="str">
            <v>Primary</v>
          </cell>
        </row>
        <row r="25099">
          <cell r="A25099">
            <v>9283203</v>
          </cell>
          <cell r="B25099">
            <v>122014</v>
          </cell>
          <cell r="C25099" t="str">
            <v>Rothersthorpe Church of England Primary School</v>
          </cell>
          <cell r="D25099" t="str">
            <v>Northamptonshire</v>
          </cell>
          <cell r="E25099" t="str">
            <v>Voluntary Controlled School</v>
          </cell>
          <cell r="F25099" t="str">
            <v>Primary</v>
          </cell>
        </row>
        <row r="25100">
          <cell r="A25100">
            <v>8211014</v>
          </cell>
          <cell r="B25100">
            <v>109419</v>
          </cell>
          <cell r="C25100" t="str">
            <v>Rothesay Nursery and Children's Centre</v>
          </cell>
          <cell r="D25100" t="str">
            <v>Luton</v>
          </cell>
          <cell r="E25100" t="str">
            <v>LA Nursery School</v>
          </cell>
          <cell r="F25100" t="str">
            <v>Nursery</v>
          </cell>
        </row>
        <row r="25101">
          <cell r="A25101">
            <v>8553074</v>
          </cell>
          <cell r="B25101">
            <v>120155</v>
          </cell>
          <cell r="C25101" t="str">
            <v>Rothley Church of England Primary School</v>
          </cell>
          <cell r="D25101" t="str">
            <v>Leicestershire</v>
          </cell>
          <cell r="E25101" t="str">
            <v>Voluntary Controlled School</v>
          </cell>
          <cell r="F25101" t="str">
            <v>Primary</v>
          </cell>
        </row>
        <row r="25102">
          <cell r="A25102">
            <v>3833043</v>
          </cell>
          <cell r="B25102">
            <v>107993</v>
          </cell>
          <cell r="C25102" t="str">
            <v>Rothwell Church of England Voluntary Controlled Primary School</v>
          </cell>
          <cell r="D25102" t="str">
            <v>Leeds</v>
          </cell>
          <cell r="E25102" t="str">
            <v>Voluntary Controlled School</v>
          </cell>
          <cell r="F25102" t="str">
            <v>Primary</v>
          </cell>
        </row>
        <row r="25103">
          <cell r="A25103">
            <v>3832313</v>
          </cell>
          <cell r="B25103">
            <v>107833</v>
          </cell>
          <cell r="C25103" t="str">
            <v>Rothwell Haigh Road Infant School</v>
          </cell>
          <cell r="D25103" t="str">
            <v>Leeds</v>
          </cell>
          <cell r="E25103" t="str">
            <v>Community School</v>
          </cell>
          <cell r="F25103" t="str">
            <v>Primary</v>
          </cell>
        </row>
        <row r="25104">
          <cell r="A25104">
            <v>3832307</v>
          </cell>
          <cell r="B25104">
            <v>127890</v>
          </cell>
          <cell r="C25104" t="str">
            <v>Rothwell Infant School</v>
          </cell>
          <cell r="D25104" t="str">
            <v>Leeds</v>
          </cell>
          <cell r="E25104" t="str">
            <v>Community School</v>
          </cell>
          <cell r="F25104" t="str">
            <v>Primary</v>
          </cell>
        </row>
        <row r="25105">
          <cell r="A25105">
            <v>9282080</v>
          </cell>
          <cell r="B25105">
            <v>121855</v>
          </cell>
          <cell r="C25105" t="str">
            <v>Rothwell Junior School</v>
          </cell>
          <cell r="D25105" t="str">
            <v>Northamptonshire</v>
          </cell>
          <cell r="E25105" t="str">
            <v>Community School</v>
          </cell>
          <cell r="F25105" t="str">
            <v>Primary</v>
          </cell>
        </row>
        <row r="25106">
          <cell r="A25106">
            <v>3832506</v>
          </cell>
          <cell r="B25106">
            <v>107982</v>
          </cell>
          <cell r="C25106" t="str">
            <v>Rothwell Primary School</v>
          </cell>
          <cell r="D25106" t="str">
            <v>Leeds</v>
          </cell>
          <cell r="E25106" t="str">
            <v>Community School</v>
          </cell>
          <cell r="F25106" t="str">
            <v>Primary</v>
          </cell>
        </row>
        <row r="25107">
          <cell r="A25107">
            <v>3833364</v>
          </cell>
          <cell r="B25107">
            <v>108018</v>
          </cell>
          <cell r="C25107" t="str">
            <v>Rothwell St Mary's RC Primary School</v>
          </cell>
          <cell r="D25107" t="str">
            <v>Leeds</v>
          </cell>
          <cell r="E25107" t="str">
            <v>Voluntary Aided School</v>
          </cell>
          <cell r="F25107" t="str">
            <v>Primary</v>
          </cell>
        </row>
        <row r="25108">
          <cell r="A25108">
            <v>9282081</v>
          </cell>
          <cell r="B25108">
            <v>121856</v>
          </cell>
          <cell r="C25108" t="str">
            <v>Rothwell Victoria Infant School</v>
          </cell>
          <cell r="D25108" t="str">
            <v>Northamptonshire</v>
          </cell>
          <cell r="E25108" t="str">
            <v>Community School</v>
          </cell>
          <cell r="F25108" t="str">
            <v>Primary</v>
          </cell>
        </row>
        <row r="25109">
          <cell r="A25109">
            <v>3832306</v>
          </cell>
          <cell r="B25109">
            <v>127889</v>
          </cell>
          <cell r="C25109" t="str">
            <v>Rothwell West Junior School</v>
          </cell>
          <cell r="D25109" t="str">
            <v>Leeds</v>
          </cell>
          <cell r="E25109" t="str">
            <v>Community School</v>
          </cell>
          <cell r="F25109" t="str">
            <v>Primary</v>
          </cell>
        </row>
        <row r="25110">
          <cell r="A25110">
            <v>7072013</v>
          </cell>
          <cell r="B25110">
            <v>132485</v>
          </cell>
          <cell r="C25110" t="str">
            <v>Rouge Bouillon School</v>
          </cell>
          <cell r="D25110" t="str">
            <v>Jersey Offshore Establishments</v>
          </cell>
          <cell r="E25110" t="str">
            <v>Offshore Schools</v>
          </cell>
          <cell r="F25110" t="str">
            <v>Not applicable</v>
          </cell>
        </row>
        <row r="25111">
          <cell r="A25111">
            <v>6806003</v>
          </cell>
          <cell r="B25111">
            <v>402012</v>
          </cell>
          <cell r="C25111" t="str">
            <v>Rougemont School</v>
          </cell>
          <cell r="D25111" t="str">
            <v>Newport</v>
          </cell>
          <cell r="E25111" t="str">
            <v>Welsh Establishment</v>
          </cell>
          <cell r="F25111" t="str">
            <v>Not applicable</v>
          </cell>
        </row>
        <row r="25112">
          <cell r="A25112">
            <v>3352104</v>
          </cell>
          <cell r="B25112">
            <v>104177</v>
          </cell>
          <cell r="C25112" t="str">
            <v>Rough Hay Primary School</v>
          </cell>
          <cell r="D25112" t="str">
            <v>Walsall</v>
          </cell>
          <cell r="E25112" t="str">
            <v>Community School</v>
          </cell>
          <cell r="F25112" t="str">
            <v>Primary</v>
          </cell>
        </row>
        <row r="25113">
          <cell r="A25113">
            <v>9353123</v>
          </cell>
          <cell r="B25113">
            <v>124756</v>
          </cell>
          <cell r="C25113" t="str">
            <v>Rougham Church of England Voluntary Controlled Primary School</v>
          </cell>
          <cell r="D25113" t="str">
            <v>Suffolk</v>
          </cell>
          <cell r="E25113" t="str">
            <v>Voluntary Controlled School</v>
          </cell>
          <cell r="F25113" t="str">
            <v>Primary</v>
          </cell>
        </row>
        <row r="25114">
          <cell r="A25114">
            <v>3546027</v>
          </cell>
          <cell r="B25114">
            <v>133445</v>
          </cell>
          <cell r="C25114" t="str">
            <v>Roughbank Farm</v>
          </cell>
          <cell r="D25114" t="str">
            <v>Rochdale</v>
          </cell>
          <cell r="E25114" t="str">
            <v>Other Independent Special School</v>
          </cell>
          <cell r="F25114" t="str">
            <v>Not applicable</v>
          </cell>
        </row>
        <row r="25115">
          <cell r="A25115">
            <v>8883094</v>
          </cell>
          <cell r="B25115">
            <v>119383</v>
          </cell>
          <cell r="C25115" t="str">
            <v>Roughlee Church of England Primary School</v>
          </cell>
          <cell r="D25115" t="str">
            <v>Lancashire</v>
          </cell>
          <cell r="E25115" t="str">
            <v>Voluntary Controlled School</v>
          </cell>
          <cell r="F25115" t="str">
            <v>Primary</v>
          </cell>
        </row>
        <row r="25116">
          <cell r="A25116">
            <v>3722035</v>
          </cell>
          <cell r="B25116">
            <v>106852</v>
          </cell>
          <cell r="C25116" t="str">
            <v>Roughwood Junior School</v>
          </cell>
          <cell r="D25116" t="str">
            <v>Rotherham</v>
          </cell>
          <cell r="E25116" t="str">
            <v>Community School</v>
          </cell>
          <cell r="F25116" t="str">
            <v>Primary</v>
          </cell>
        </row>
        <row r="25117">
          <cell r="A25117">
            <v>3722036</v>
          </cell>
          <cell r="B25117">
            <v>106853</v>
          </cell>
          <cell r="C25117" t="str">
            <v>Roughwood Primary School</v>
          </cell>
          <cell r="D25117" t="str">
            <v>Rotherham</v>
          </cell>
          <cell r="E25117" t="str">
            <v>Community School</v>
          </cell>
          <cell r="F25117" t="str">
            <v>Primary</v>
          </cell>
        </row>
        <row r="25118">
          <cell r="A25118">
            <v>9192365</v>
          </cell>
          <cell r="B25118">
            <v>117299</v>
          </cell>
          <cell r="C25118" t="str">
            <v>Round Diamond Primary School</v>
          </cell>
          <cell r="D25118" t="str">
            <v>Hertfordshire</v>
          </cell>
          <cell r="E25118" t="str">
            <v>Community School</v>
          </cell>
          <cell r="F25118" t="str">
            <v>Primary</v>
          </cell>
        </row>
        <row r="25119">
          <cell r="A25119">
            <v>8912901</v>
          </cell>
          <cell r="B25119">
            <v>122707</v>
          </cell>
          <cell r="C25119" t="str">
            <v>Round Hill Primary School</v>
          </cell>
          <cell r="D25119" t="str">
            <v>Nottinghamshire</v>
          </cell>
          <cell r="E25119" t="str">
            <v>Community School</v>
          </cell>
          <cell r="F25119" t="str">
            <v>Primary</v>
          </cell>
        </row>
        <row r="25120">
          <cell r="A25120">
            <v>9097005</v>
          </cell>
          <cell r="B25120">
            <v>128609</v>
          </cell>
          <cell r="C25120" t="str">
            <v>Round Hills School</v>
          </cell>
          <cell r="D25120" t="str">
            <v>Cumbria</v>
          </cell>
          <cell r="E25120" t="str">
            <v>Community Special School</v>
          </cell>
          <cell r="F25120" t="str">
            <v>Special</v>
          </cell>
        </row>
        <row r="25121">
          <cell r="A25121">
            <v>9377030</v>
          </cell>
          <cell r="B25121">
            <v>125806</v>
          </cell>
          <cell r="C25121" t="str">
            <v>Round Oak School and Support Service</v>
          </cell>
          <cell r="D25121" t="str">
            <v>Warwickshire</v>
          </cell>
          <cell r="E25121" t="str">
            <v>Community Special School</v>
          </cell>
          <cell r="F25121" t="str">
            <v>Special</v>
          </cell>
        </row>
        <row r="25122">
          <cell r="A25122">
            <v>3837012</v>
          </cell>
          <cell r="B25122">
            <v>128050</v>
          </cell>
          <cell r="C25122" t="str">
            <v>Roundhay Lodge School</v>
          </cell>
          <cell r="D25122" t="str">
            <v>Leeds</v>
          </cell>
          <cell r="E25122" t="str">
            <v>Community Special School</v>
          </cell>
          <cell r="F25122" t="str">
            <v>Special</v>
          </cell>
        </row>
        <row r="25123">
          <cell r="A25123">
            <v>3834005</v>
          </cell>
          <cell r="B25123">
            <v>127952</v>
          </cell>
          <cell r="C25123" t="str">
            <v>Roundhay School</v>
          </cell>
          <cell r="D25123" t="str">
            <v>Leeds</v>
          </cell>
          <cell r="E25123" t="str">
            <v>Community School</v>
          </cell>
          <cell r="F25123" t="str">
            <v>Secondary</v>
          </cell>
        </row>
        <row r="25124">
          <cell r="A25124">
            <v>3834063</v>
          </cell>
          <cell r="B25124">
            <v>108076</v>
          </cell>
          <cell r="C25124" t="str">
            <v>Roundhay School Technology &amp; Language College</v>
          </cell>
          <cell r="D25124" t="str">
            <v>Leeds</v>
          </cell>
          <cell r="E25124" t="str">
            <v>Community School</v>
          </cell>
          <cell r="F25124" t="str">
            <v>Secondary</v>
          </cell>
        </row>
        <row r="25125">
          <cell r="A25125">
            <v>3833329</v>
          </cell>
          <cell r="B25125">
            <v>108007</v>
          </cell>
          <cell r="C25125" t="str">
            <v>Roundhay St John's Church of England Primary School</v>
          </cell>
          <cell r="D25125" t="str">
            <v>Leeds</v>
          </cell>
          <cell r="E25125" t="str">
            <v>Voluntary Aided School</v>
          </cell>
          <cell r="F25125" t="str">
            <v>Primary</v>
          </cell>
        </row>
        <row r="25126">
          <cell r="A25126">
            <v>8554022</v>
          </cell>
          <cell r="B25126">
            <v>120249</v>
          </cell>
          <cell r="C25126" t="str">
            <v>Roundhill Community College</v>
          </cell>
          <cell r="D25126" t="str">
            <v>Leicestershire</v>
          </cell>
          <cell r="E25126" t="str">
            <v>Community School</v>
          </cell>
          <cell r="F25126" t="str">
            <v>Secondary</v>
          </cell>
        </row>
        <row r="25127">
          <cell r="A25127">
            <v>3332145</v>
          </cell>
          <cell r="B25127">
            <v>127164</v>
          </cell>
          <cell r="C25127" t="str">
            <v>Rounds Green Infant School</v>
          </cell>
          <cell r="D25127" t="str">
            <v>Sandwell</v>
          </cell>
          <cell r="E25127" t="str">
            <v>Community School</v>
          </cell>
          <cell r="F25127" t="str">
            <v>Primary</v>
          </cell>
        </row>
        <row r="25128">
          <cell r="A25128">
            <v>3332144</v>
          </cell>
          <cell r="B25128">
            <v>127163</v>
          </cell>
          <cell r="C25128" t="str">
            <v>Rounds Green Junior School</v>
          </cell>
          <cell r="D25128" t="str">
            <v>Sandwell</v>
          </cell>
          <cell r="E25128" t="str">
            <v>Community School</v>
          </cell>
          <cell r="F25128" t="str">
            <v>Primary</v>
          </cell>
        </row>
        <row r="25129">
          <cell r="A25129">
            <v>3332175</v>
          </cell>
          <cell r="B25129">
            <v>103980</v>
          </cell>
          <cell r="C25129" t="str">
            <v>Rounds Green Primary School</v>
          </cell>
          <cell r="D25129" t="str">
            <v>Sandwell</v>
          </cell>
          <cell r="E25129" t="str">
            <v>Community School</v>
          </cell>
          <cell r="F25129" t="str">
            <v>Primary</v>
          </cell>
        </row>
        <row r="25130">
          <cell r="A25130">
            <v>3192039</v>
          </cell>
          <cell r="B25130">
            <v>127029</v>
          </cell>
          <cell r="C25130" t="str">
            <v>Roundshaw Infant School</v>
          </cell>
          <cell r="D25130" t="str">
            <v>Sutton</v>
          </cell>
          <cell r="E25130" t="str">
            <v>Community School</v>
          </cell>
          <cell r="F25130" t="str">
            <v>Primary</v>
          </cell>
        </row>
        <row r="25131">
          <cell r="A25131">
            <v>3192036</v>
          </cell>
          <cell r="B25131">
            <v>127028</v>
          </cell>
          <cell r="C25131" t="str">
            <v>Roundshaw Junior School</v>
          </cell>
          <cell r="D25131" t="str">
            <v>Sutton</v>
          </cell>
          <cell r="E25131" t="str">
            <v>Community School</v>
          </cell>
          <cell r="F25131" t="str">
            <v>Primary</v>
          </cell>
        </row>
        <row r="25132">
          <cell r="A25132">
            <v>8656017</v>
          </cell>
          <cell r="B25132">
            <v>126529</v>
          </cell>
          <cell r="C25132" t="str">
            <v>Roundstone Preparatory School</v>
          </cell>
          <cell r="D25132" t="str">
            <v>Wiltshire</v>
          </cell>
          <cell r="E25132" t="str">
            <v>Other Independent School</v>
          </cell>
          <cell r="F25132" t="str">
            <v>Not applicable</v>
          </cell>
        </row>
        <row r="25133">
          <cell r="A25133">
            <v>3532022</v>
          </cell>
          <cell r="B25133">
            <v>105634</v>
          </cell>
          <cell r="C25133" t="str">
            <v>Roundthorn Community Primary School</v>
          </cell>
          <cell r="D25133" t="str">
            <v>Oldham</v>
          </cell>
          <cell r="E25133" t="str">
            <v>Community School</v>
          </cell>
          <cell r="F25133" t="str">
            <v>Primary</v>
          </cell>
        </row>
        <row r="25134">
          <cell r="A25134">
            <v>3807014</v>
          </cell>
          <cell r="B25134">
            <v>127753</v>
          </cell>
          <cell r="C25134" t="str">
            <v>Roundthorn School</v>
          </cell>
          <cell r="D25134" t="str">
            <v>Bradford</v>
          </cell>
          <cell r="E25134" t="str">
            <v>Community Special School</v>
          </cell>
          <cell r="F25134" t="str">
            <v>Special</v>
          </cell>
        </row>
        <row r="25135">
          <cell r="A25135">
            <v>8912210</v>
          </cell>
          <cell r="B25135">
            <v>122515</v>
          </cell>
          <cell r="C25135" t="str">
            <v>Roundwood Junior School</v>
          </cell>
          <cell r="D25135" t="str">
            <v>Nottinghamshire</v>
          </cell>
          <cell r="E25135" t="str">
            <v>Community School</v>
          </cell>
          <cell r="F25135" t="str">
            <v>Primary</v>
          </cell>
        </row>
        <row r="25136">
          <cell r="A25136">
            <v>9194070</v>
          </cell>
          <cell r="B25136">
            <v>117520</v>
          </cell>
          <cell r="C25136" t="str">
            <v>Roundwood Park School</v>
          </cell>
          <cell r="D25136" t="str">
            <v>Hertfordshire</v>
          </cell>
          <cell r="E25136" t="str">
            <v>Foundation School</v>
          </cell>
          <cell r="F25136" t="str">
            <v>Secondary</v>
          </cell>
        </row>
        <row r="25137">
          <cell r="A25137">
            <v>9194070</v>
          </cell>
          <cell r="B25137">
            <v>136973</v>
          </cell>
          <cell r="C25137" t="str">
            <v>Roundwood Park School</v>
          </cell>
          <cell r="D25137" t="str">
            <v>Hertfordshire</v>
          </cell>
          <cell r="E25137" t="str">
            <v>Academy Converters</v>
          </cell>
          <cell r="F25137" t="str">
            <v>Secondary</v>
          </cell>
        </row>
        <row r="25138">
          <cell r="A25138">
            <v>8252038</v>
          </cell>
          <cell r="B25138">
            <v>110228</v>
          </cell>
          <cell r="C25138" t="str">
            <v>Roundwood Primary School</v>
          </cell>
          <cell r="D25138" t="str">
            <v>Buckinghamshire</v>
          </cell>
          <cell r="E25138" t="str">
            <v>Community School</v>
          </cell>
          <cell r="F25138" t="str">
            <v>Primary</v>
          </cell>
        </row>
        <row r="25139">
          <cell r="A25139">
            <v>9192203</v>
          </cell>
          <cell r="B25139">
            <v>117211</v>
          </cell>
          <cell r="C25139" t="str">
            <v>Roundwood Primary School</v>
          </cell>
          <cell r="D25139" t="str">
            <v>Hertfordshire</v>
          </cell>
          <cell r="E25139" t="str">
            <v>Community School</v>
          </cell>
          <cell r="F25139" t="str">
            <v>Primary</v>
          </cell>
        </row>
        <row r="25140">
          <cell r="A25140">
            <v>3527049</v>
          </cell>
          <cell r="B25140">
            <v>105617</v>
          </cell>
          <cell r="C25140" t="str">
            <v>Roundwood School</v>
          </cell>
          <cell r="D25140" t="str">
            <v>Manchester</v>
          </cell>
          <cell r="E25140" t="str">
            <v>Community Special School</v>
          </cell>
          <cell r="F25140" t="str">
            <v>Special</v>
          </cell>
        </row>
        <row r="25141">
          <cell r="A25141">
            <v>8921106</v>
          </cell>
          <cell r="B25141">
            <v>131636</v>
          </cell>
          <cell r="C25141" t="str">
            <v>Rowan Centre</v>
          </cell>
          <cell r="D25141" t="str">
            <v>Nottingham</v>
          </cell>
          <cell r="E25141" t="str">
            <v>Pupil Referral Unit</v>
          </cell>
          <cell r="F25141" t="str">
            <v>PRU</v>
          </cell>
        </row>
        <row r="25142">
          <cell r="A25142">
            <v>9287030</v>
          </cell>
          <cell r="B25142">
            <v>130956</v>
          </cell>
          <cell r="C25142" t="str">
            <v>Rowan Gate Primary School</v>
          </cell>
          <cell r="D25142" t="str">
            <v>Northamptonshire</v>
          </cell>
          <cell r="E25142" t="str">
            <v>Community Special School</v>
          </cell>
          <cell r="F25142" t="str">
            <v>Special</v>
          </cell>
        </row>
        <row r="25143">
          <cell r="A25143">
            <v>9287031</v>
          </cell>
          <cell r="B25143">
            <v>131079</v>
          </cell>
          <cell r="C25143" t="str">
            <v>Rowan Gate Primary School</v>
          </cell>
          <cell r="D25143" t="str">
            <v>Northamptonshire</v>
          </cell>
          <cell r="E25143" t="str">
            <v>Community Special School</v>
          </cell>
          <cell r="F25143" t="str">
            <v>Special</v>
          </cell>
        </row>
        <row r="25144">
          <cell r="A25144">
            <v>3154056</v>
          </cell>
          <cell r="B25144">
            <v>102677</v>
          </cell>
          <cell r="C25144" t="str">
            <v>Rowan High School</v>
          </cell>
          <cell r="D25144" t="str">
            <v>Merton</v>
          </cell>
          <cell r="E25144" t="str">
            <v>Community School</v>
          </cell>
          <cell r="F25144" t="str">
            <v>Secondary</v>
          </cell>
        </row>
        <row r="25145">
          <cell r="A25145">
            <v>3066099</v>
          </cell>
          <cell r="B25145">
            <v>134890</v>
          </cell>
          <cell r="C25145" t="str">
            <v>Rowan House</v>
          </cell>
          <cell r="D25145" t="str">
            <v>Croydon</v>
          </cell>
          <cell r="E25145" t="str">
            <v>Other Independent Special School</v>
          </cell>
          <cell r="F25145" t="str">
            <v>Not applicable</v>
          </cell>
        </row>
        <row r="25146">
          <cell r="A25146">
            <v>3316028</v>
          </cell>
          <cell r="B25146">
            <v>135396</v>
          </cell>
          <cell r="C25146" t="str">
            <v>Rowan House</v>
          </cell>
          <cell r="D25146" t="str">
            <v>Coventry</v>
          </cell>
          <cell r="E25146" t="str">
            <v>Other Independent Special School</v>
          </cell>
          <cell r="F25146" t="str">
            <v>Not applicable</v>
          </cell>
        </row>
        <row r="25147">
          <cell r="A25147">
            <v>3437013</v>
          </cell>
          <cell r="B25147">
            <v>104983</v>
          </cell>
          <cell r="C25147" t="str">
            <v>Rowan Park School</v>
          </cell>
          <cell r="D25147" t="str">
            <v>Sefton</v>
          </cell>
          <cell r="E25147" t="str">
            <v>Community Special School</v>
          </cell>
          <cell r="F25147" t="str">
            <v>Special</v>
          </cell>
        </row>
        <row r="25148">
          <cell r="A25148">
            <v>9366031</v>
          </cell>
          <cell r="B25148">
            <v>125333</v>
          </cell>
          <cell r="C25148" t="str">
            <v>Rowan Preparatory School</v>
          </cell>
          <cell r="D25148" t="str">
            <v>Surrey</v>
          </cell>
          <cell r="E25148" t="str">
            <v>Other Independent School</v>
          </cell>
          <cell r="F25148" t="str">
            <v>Not applicable</v>
          </cell>
        </row>
        <row r="25149">
          <cell r="A25149">
            <v>9162158</v>
          </cell>
          <cell r="B25149">
            <v>115592</v>
          </cell>
          <cell r="C25149" t="str">
            <v>Rowanfield Infant School</v>
          </cell>
          <cell r="D25149" t="str">
            <v>Gloucestershire</v>
          </cell>
          <cell r="E25149" t="str">
            <v>Community School</v>
          </cell>
          <cell r="F25149" t="str">
            <v>Primary</v>
          </cell>
        </row>
        <row r="25150">
          <cell r="A25150">
            <v>9162157</v>
          </cell>
          <cell r="B25150">
            <v>115591</v>
          </cell>
          <cell r="C25150" t="str">
            <v>Rowanfield Junior School</v>
          </cell>
          <cell r="D25150" t="str">
            <v>Gloucestershire</v>
          </cell>
          <cell r="E25150" t="str">
            <v>Community School</v>
          </cell>
          <cell r="F25150" t="str">
            <v>Primary</v>
          </cell>
        </row>
        <row r="25151">
          <cell r="A25151">
            <v>9162157</v>
          </cell>
          <cell r="B25151">
            <v>137255</v>
          </cell>
          <cell r="C25151" t="str">
            <v>Rowanfield Junior School</v>
          </cell>
          <cell r="D25151" t="str">
            <v>Gloucestershire</v>
          </cell>
          <cell r="E25151" t="str">
            <v>Academy Converters</v>
          </cell>
          <cell r="F25151" t="str">
            <v>Primary</v>
          </cell>
        </row>
        <row r="25152">
          <cell r="A25152">
            <v>9192296</v>
          </cell>
          <cell r="B25152">
            <v>117257</v>
          </cell>
          <cell r="C25152" t="str">
            <v>Rowans Primary School</v>
          </cell>
          <cell r="D25152" t="str">
            <v>Hertfordshire</v>
          </cell>
          <cell r="E25152" t="str">
            <v>Community School</v>
          </cell>
          <cell r="F25152" t="str">
            <v>Primary</v>
          </cell>
        </row>
        <row r="25153">
          <cell r="A25153">
            <v>8655222</v>
          </cell>
          <cell r="B25153">
            <v>126409</v>
          </cell>
          <cell r="C25153" t="str">
            <v>Rowde Church of England Voluntary Aided Primary School</v>
          </cell>
          <cell r="D25153" t="str">
            <v>Wiltshire</v>
          </cell>
          <cell r="E25153" t="str">
            <v>Voluntary Aided School</v>
          </cell>
          <cell r="F25153" t="str">
            <v>Primary</v>
          </cell>
        </row>
        <row r="25154">
          <cell r="A25154">
            <v>8657002</v>
          </cell>
          <cell r="B25154">
            <v>126546</v>
          </cell>
          <cell r="C25154" t="str">
            <v>Rowdeford School</v>
          </cell>
          <cell r="D25154" t="str">
            <v>Wiltshire</v>
          </cell>
          <cell r="E25154" t="str">
            <v>Community Special School</v>
          </cell>
          <cell r="F25154" t="str">
            <v>Special</v>
          </cell>
        </row>
        <row r="25155">
          <cell r="A25155">
            <v>8936021</v>
          </cell>
          <cell r="B25155">
            <v>123625</v>
          </cell>
          <cell r="C25155" t="str">
            <v>Rowden Hill School</v>
          </cell>
          <cell r="D25155" t="str">
            <v>Shropshire</v>
          </cell>
          <cell r="E25155" t="str">
            <v>Other Independent Special School</v>
          </cell>
          <cell r="F25155" t="str">
            <v>Not applicable</v>
          </cell>
        </row>
        <row r="25156">
          <cell r="A25156">
            <v>8846006</v>
          </cell>
          <cell r="B25156">
            <v>117042</v>
          </cell>
          <cell r="C25156" t="str">
            <v>Rowden House School</v>
          </cell>
          <cell r="D25156" t="str">
            <v>Herefordshire</v>
          </cell>
          <cell r="E25156" t="str">
            <v>Other Independent Special School</v>
          </cell>
          <cell r="F25156" t="str">
            <v>Not applicable</v>
          </cell>
        </row>
        <row r="25157">
          <cell r="A25157">
            <v>3062038</v>
          </cell>
          <cell r="B25157">
            <v>101735</v>
          </cell>
          <cell r="C25157" t="str">
            <v>Rowdown Infants' School</v>
          </cell>
          <cell r="D25157" t="str">
            <v>Croydon</v>
          </cell>
          <cell r="E25157" t="str">
            <v>Community School</v>
          </cell>
          <cell r="F25157" t="str">
            <v>Primary</v>
          </cell>
        </row>
        <row r="25158">
          <cell r="A25158">
            <v>3062037</v>
          </cell>
          <cell r="B25158">
            <v>101734</v>
          </cell>
          <cell r="C25158" t="str">
            <v>Rowdown Junior School</v>
          </cell>
          <cell r="D25158" t="str">
            <v>Croydon</v>
          </cell>
          <cell r="E25158" t="str">
            <v>Community School</v>
          </cell>
          <cell r="F25158" t="str">
            <v>Primary</v>
          </cell>
        </row>
        <row r="25159">
          <cell r="A25159">
            <v>3062108</v>
          </cell>
          <cell r="B25159">
            <v>131339</v>
          </cell>
          <cell r="C25159" t="str">
            <v>Rowdown Primary School</v>
          </cell>
          <cell r="D25159" t="str">
            <v>Croydon</v>
          </cell>
          <cell r="E25159" t="str">
            <v>Community School</v>
          </cell>
          <cell r="F25159" t="str">
            <v>Primary</v>
          </cell>
        </row>
        <row r="25160">
          <cell r="A25160">
            <v>9106062</v>
          </cell>
          <cell r="B25160">
            <v>128676</v>
          </cell>
          <cell r="C25160" t="str">
            <v>Rowen House School</v>
          </cell>
          <cell r="D25160" t="str">
            <v>Pre LGR (1997) Derbyshire</v>
          </cell>
          <cell r="E25160" t="str">
            <v>Other Independent School</v>
          </cell>
          <cell r="F25160" t="str">
            <v>Not applicable</v>
          </cell>
        </row>
        <row r="25161">
          <cell r="A25161">
            <v>3712108</v>
          </cell>
          <cell r="B25161">
            <v>137629</v>
          </cell>
          <cell r="C25161" t="str">
            <v>Rowena Academy</v>
          </cell>
          <cell r="D25161" t="str">
            <v>Doncaster</v>
          </cell>
          <cell r="E25161" t="str">
            <v>Academy Converters</v>
          </cell>
          <cell r="F25161" t="str">
            <v>Primary</v>
          </cell>
        </row>
        <row r="25162">
          <cell r="A25162">
            <v>3712108</v>
          </cell>
          <cell r="B25162">
            <v>106695</v>
          </cell>
          <cell r="C25162" t="str">
            <v>Rowena Nursery and Infant School</v>
          </cell>
          <cell r="D25162" t="str">
            <v>Doncaster</v>
          </cell>
          <cell r="E25162" t="str">
            <v>Community School</v>
          </cell>
          <cell r="F25162" t="str">
            <v>Primary</v>
          </cell>
        </row>
        <row r="25163">
          <cell r="A25163">
            <v>8867044</v>
          </cell>
          <cell r="B25163">
            <v>119045</v>
          </cell>
          <cell r="C25163" t="str">
            <v>Rowhill School</v>
          </cell>
          <cell r="D25163" t="str">
            <v>Kent</v>
          </cell>
          <cell r="E25163" t="str">
            <v>Community Special School</v>
          </cell>
          <cell r="F25163" t="str">
            <v>Special</v>
          </cell>
        </row>
        <row r="25164">
          <cell r="A25164">
            <v>3091001</v>
          </cell>
          <cell r="B25164">
            <v>102072</v>
          </cell>
          <cell r="C25164" t="str">
            <v>Rowland Hill Nursery School</v>
          </cell>
          <cell r="D25164" t="str">
            <v>Haringey</v>
          </cell>
          <cell r="E25164" t="str">
            <v>LA Nursery School</v>
          </cell>
          <cell r="F25164" t="str">
            <v>Nursery</v>
          </cell>
        </row>
        <row r="25165">
          <cell r="A25165">
            <v>8503136</v>
          </cell>
          <cell r="B25165">
            <v>116310</v>
          </cell>
          <cell r="C25165" t="str">
            <v>Rowlands Castle St John's Church of England Controlled Primary School</v>
          </cell>
          <cell r="D25165" t="str">
            <v>Hampshire</v>
          </cell>
          <cell r="E25165" t="str">
            <v>Voluntary Controlled School</v>
          </cell>
          <cell r="F25165" t="str">
            <v>Primary</v>
          </cell>
        </row>
        <row r="25166">
          <cell r="A25166">
            <v>3902239</v>
          </cell>
          <cell r="B25166">
            <v>131081</v>
          </cell>
          <cell r="C25166" t="str">
            <v>Rowlands Gill Community Primary School</v>
          </cell>
          <cell r="D25166" t="str">
            <v>Gateshead</v>
          </cell>
          <cell r="E25166" t="str">
            <v>Community School</v>
          </cell>
          <cell r="F25166" t="str">
            <v>Primary</v>
          </cell>
        </row>
        <row r="25167">
          <cell r="A25167">
            <v>3902191</v>
          </cell>
          <cell r="B25167">
            <v>108354</v>
          </cell>
          <cell r="C25167" t="str">
            <v>Rowlands Gill Infant and Nursery School</v>
          </cell>
          <cell r="D25167" t="str">
            <v>Gateshead</v>
          </cell>
          <cell r="E25167" t="str">
            <v>Community School</v>
          </cell>
          <cell r="F25167" t="str">
            <v>Primary</v>
          </cell>
        </row>
        <row r="25168">
          <cell r="A25168">
            <v>3902176</v>
          </cell>
          <cell r="B25168">
            <v>108345</v>
          </cell>
          <cell r="C25168" t="str">
            <v>Rowlands Gill Junior School</v>
          </cell>
          <cell r="D25168" t="str">
            <v>Gateshead</v>
          </cell>
          <cell r="E25168" t="str">
            <v>Community School</v>
          </cell>
          <cell r="F25168" t="str">
            <v>Primary</v>
          </cell>
        </row>
        <row r="25169">
          <cell r="A25169">
            <v>8562324</v>
          </cell>
          <cell r="B25169">
            <v>120054</v>
          </cell>
          <cell r="C25169" t="str">
            <v>Rowlatts Hill Primary School</v>
          </cell>
          <cell r="D25169" t="str">
            <v>Leicester</v>
          </cell>
          <cell r="E25169" t="str">
            <v>Community School</v>
          </cell>
          <cell r="F25169" t="str">
            <v>Primary</v>
          </cell>
        </row>
        <row r="25170">
          <cell r="A25170">
            <v>8503196</v>
          </cell>
          <cell r="B25170">
            <v>116337</v>
          </cell>
          <cell r="C25170" t="str">
            <v>Rowledge Church of England Controlled Primary School</v>
          </cell>
          <cell r="D25170" t="str">
            <v>Hampshire</v>
          </cell>
          <cell r="E25170" t="str">
            <v>Voluntary Controlled School</v>
          </cell>
          <cell r="F25170" t="str">
            <v>Primary</v>
          </cell>
        </row>
        <row r="25171">
          <cell r="A25171">
            <v>9367016</v>
          </cell>
          <cell r="B25171">
            <v>130135</v>
          </cell>
          <cell r="C25171" t="str">
            <v>Rowley Bristow School</v>
          </cell>
          <cell r="D25171" t="str">
            <v>Surrey</v>
          </cell>
          <cell r="E25171" t="str">
            <v>Community Special School</v>
          </cell>
          <cell r="F25171" t="str">
            <v>Special</v>
          </cell>
        </row>
        <row r="25172">
          <cell r="A25172">
            <v>3332146</v>
          </cell>
          <cell r="B25172">
            <v>103955</v>
          </cell>
          <cell r="C25172" t="str">
            <v>Rowley Hall Primary School</v>
          </cell>
          <cell r="D25172" t="str">
            <v>Sandwell</v>
          </cell>
          <cell r="E25172" t="str">
            <v>Community School</v>
          </cell>
          <cell r="F25172" t="str">
            <v>Primary</v>
          </cell>
        </row>
        <row r="25173">
          <cell r="A25173">
            <v>3822120</v>
          </cell>
          <cell r="B25173">
            <v>107677</v>
          </cell>
          <cell r="C25173" t="str">
            <v>Rowley Lane Junior Infant and Nursery School</v>
          </cell>
          <cell r="D25173" t="str">
            <v>Kirklees</v>
          </cell>
          <cell r="E25173" t="str">
            <v>Community School</v>
          </cell>
          <cell r="F25173" t="str">
            <v>Primary</v>
          </cell>
        </row>
        <row r="25174">
          <cell r="A25174">
            <v>3334114</v>
          </cell>
          <cell r="B25174">
            <v>127169</v>
          </cell>
          <cell r="C25174" t="str">
            <v>Rowley Regis College</v>
          </cell>
          <cell r="D25174" t="str">
            <v>Sandwell</v>
          </cell>
          <cell r="E25174" t="str">
            <v>Community School</v>
          </cell>
          <cell r="F25174" t="str">
            <v>Secondary</v>
          </cell>
        </row>
        <row r="25175">
          <cell r="A25175">
            <v>3338600</v>
          </cell>
          <cell r="B25175">
            <v>130480</v>
          </cell>
          <cell r="C25175" t="str">
            <v>Rowley Regis College</v>
          </cell>
          <cell r="D25175" t="str">
            <v>Sandwell</v>
          </cell>
          <cell r="E25175" t="str">
            <v>Further Education</v>
          </cell>
          <cell r="F25175" t="str">
            <v>16 Plus</v>
          </cell>
        </row>
        <row r="25176">
          <cell r="A25176">
            <v>3351004</v>
          </cell>
          <cell r="B25176">
            <v>104136</v>
          </cell>
          <cell r="C25176" t="str">
            <v>Rowley View Nursery School</v>
          </cell>
          <cell r="D25176" t="str">
            <v>Walsall</v>
          </cell>
          <cell r="E25176" t="str">
            <v>LA Nursery School</v>
          </cell>
          <cell r="F25176" t="str">
            <v>Nursery</v>
          </cell>
        </row>
        <row r="25177">
          <cell r="A25177">
            <v>3734227</v>
          </cell>
          <cell r="B25177">
            <v>127721</v>
          </cell>
          <cell r="C25177" t="str">
            <v>Rowlinson School</v>
          </cell>
          <cell r="D25177" t="str">
            <v>Sheffield</v>
          </cell>
          <cell r="E25177" t="str">
            <v>Community School</v>
          </cell>
          <cell r="F25177" t="str">
            <v>Secondary</v>
          </cell>
        </row>
        <row r="25178">
          <cell r="A25178">
            <v>8502617</v>
          </cell>
          <cell r="B25178">
            <v>116168</v>
          </cell>
          <cell r="C25178" t="str">
            <v>Rowner Infant School</v>
          </cell>
          <cell r="D25178" t="str">
            <v>Hampshire</v>
          </cell>
          <cell r="E25178" t="str">
            <v>Community School</v>
          </cell>
          <cell r="F25178" t="str">
            <v>Primary</v>
          </cell>
        </row>
        <row r="25179">
          <cell r="A25179">
            <v>8502616</v>
          </cell>
          <cell r="B25179">
            <v>116167</v>
          </cell>
          <cell r="C25179" t="str">
            <v>Rowner Junior School</v>
          </cell>
          <cell r="D25179" t="str">
            <v>Hampshire</v>
          </cell>
          <cell r="E25179" t="str">
            <v>Community School</v>
          </cell>
          <cell r="F25179" t="str">
            <v>Primary</v>
          </cell>
        </row>
        <row r="25180">
          <cell r="A25180">
            <v>8503137</v>
          </cell>
          <cell r="B25180">
            <v>116311</v>
          </cell>
          <cell r="C25180" t="str">
            <v>Rownhams St John's Church of England Primary School</v>
          </cell>
          <cell r="D25180" t="str">
            <v>Hampshire</v>
          </cell>
          <cell r="E25180" t="str">
            <v>Voluntary Controlled School</v>
          </cell>
          <cell r="F25180" t="str">
            <v>Primary</v>
          </cell>
        </row>
        <row r="25181">
          <cell r="A25181">
            <v>8303038</v>
          </cell>
          <cell r="B25181">
            <v>112820</v>
          </cell>
          <cell r="C25181" t="str">
            <v>Rowsley CofE (Controlled) Primary School</v>
          </cell>
          <cell r="D25181" t="str">
            <v>Derbyshire</v>
          </cell>
          <cell r="E25181" t="str">
            <v>Voluntary Controlled School</v>
          </cell>
          <cell r="F25181" t="str">
            <v>Primary</v>
          </cell>
        </row>
        <row r="25182">
          <cell r="A25182">
            <v>3102084</v>
          </cell>
          <cell r="B25182">
            <v>102213</v>
          </cell>
          <cell r="C25182" t="str">
            <v>Roxbourne Infant School</v>
          </cell>
          <cell r="D25182" t="str">
            <v>Harrow</v>
          </cell>
          <cell r="E25182" t="str">
            <v>Community School</v>
          </cell>
          <cell r="F25182" t="str">
            <v>Primary</v>
          </cell>
        </row>
        <row r="25183">
          <cell r="A25183">
            <v>3102062</v>
          </cell>
          <cell r="B25183">
            <v>102196</v>
          </cell>
          <cell r="C25183" t="str">
            <v>Roxbourne Junior School</v>
          </cell>
          <cell r="D25183" t="str">
            <v>Harrow</v>
          </cell>
          <cell r="E25183" t="str">
            <v>Community School</v>
          </cell>
          <cell r="F25183" t="str">
            <v>Primary</v>
          </cell>
        </row>
        <row r="25184">
          <cell r="A25184">
            <v>3102090</v>
          </cell>
          <cell r="B25184">
            <v>102218</v>
          </cell>
          <cell r="C25184" t="str">
            <v>Roxeth Manor First School</v>
          </cell>
          <cell r="D25184" t="str">
            <v>Harrow</v>
          </cell>
          <cell r="E25184" t="str">
            <v>Community School</v>
          </cell>
          <cell r="F25184" t="str">
            <v>Primary</v>
          </cell>
        </row>
        <row r="25185">
          <cell r="A25185">
            <v>3106064</v>
          </cell>
          <cell r="B25185">
            <v>102254</v>
          </cell>
          <cell r="C25185" t="str">
            <v>Roxeth Mead School</v>
          </cell>
          <cell r="D25185" t="str">
            <v>Harrow</v>
          </cell>
          <cell r="E25185" t="str">
            <v>Other Independent School</v>
          </cell>
          <cell r="F25185" t="str">
            <v>Not applicable</v>
          </cell>
        </row>
        <row r="25186">
          <cell r="A25186">
            <v>3102050</v>
          </cell>
          <cell r="B25186">
            <v>102185</v>
          </cell>
          <cell r="C25186" t="str">
            <v>Roxeth Primary School</v>
          </cell>
          <cell r="D25186" t="str">
            <v>Harrow</v>
          </cell>
          <cell r="E25186" t="str">
            <v>Community School</v>
          </cell>
          <cell r="F25186" t="str">
            <v>Primary</v>
          </cell>
        </row>
        <row r="25187">
          <cell r="A25187">
            <v>8223329</v>
          </cell>
          <cell r="B25187">
            <v>109625</v>
          </cell>
          <cell r="C25187" t="str">
            <v>Roxton VA CofE Lower School</v>
          </cell>
          <cell r="D25187" t="str">
            <v>Bedford</v>
          </cell>
          <cell r="E25187" t="str">
            <v>Voluntary Aided School</v>
          </cell>
          <cell r="F25187" t="str">
            <v>Primary</v>
          </cell>
        </row>
        <row r="25188">
          <cell r="A25188">
            <v>8813222</v>
          </cell>
          <cell r="B25188">
            <v>115118</v>
          </cell>
          <cell r="C25188" t="str">
            <v>Roxwell Church of England Voluntary Controlled Primary School</v>
          </cell>
          <cell r="D25188" t="str">
            <v>Essex</v>
          </cell>
          <cell r="E25188" t="str">
            <v>Voluntary Controlled School</v>
          </cell>
          <cell r="F25188" t="str">
            <v>Primary</v>
          </cell>
        </row>
        <row r="25189">
          <cell r="A25189">
            <v>2138202</v>
          </cell>
          <cell r="B25189">
            <v>133047</v>
          </cell>
          <cell r="C25189" t="str">
            <v>Royal Academy of Music</v>
          </cell>
          <cell r="D25189" t="str">
            <v>Westminster</v>
          </cell>
          <cell r="E25189" t="str">
            <v>Miscellaneous</v>
          </cell>
          <cell r="F25189" t="str">
            <v>Not applicable</v>
          </cell>
        </row>
        <row r="25190">
          <cell r="A25190">
            <v>213</v>
          </cell>
          <cell r="B25190">
            <v>133861</v>
          </cell>
          <cell r="C25190" t="str">
            <v>Royal Academy of Music</v>
          </cell>
          <cell r="D25190" t="str">
            <v>Westminster</v>
          </cell>
          <cell r="E25190" t="str">
            <v>Higher Education Institutions</v>
          </cell>
          <cell r="F25190" t="str">
            <v>Not applicable</v>
          </cell>
        </row>
        <row r="25191">
          <cell r="A25191">
            <v>916</v>
          </cell>
          <cell r="B25191">
            <v>133819</v>
          </cell>
          <cell r="C25191" t="str">
            <v>Royal Agricultural College</v>
          </cell>
          <cell r="D25191" t="str">
            <v>Gloucestershire</v>
          </cell>
          <cell r="E25191" t="str">
            <v>Higher Education Institutions</v>
          </cell>
          <cell r="F25191" t="str">
            <v>Not applicable</v>
          </cell>
        </row>
        <row r="25192">
          <cell r="A25192">
            <v>9363926</v>
          </cell>
          <cell r="B25192">
            <v>125244</v>
          </cell>
          <cell r="C25192" t="str">
            <v>Royal Alexandra and Albert (Aided) Junior School</v>
          </cell>
          <cell r="D25192" t="str">
            <v>Surrey</v>
          </cell>
          <cell r="E25192" t="str">
            <v>Voluntary Aided School</v>
          </cell>
          <cell r="F25192" t="str">
            <v>Primary</v>
          </cell>
        </row>
        <row r="25193">
          <cell r="A25193">
            <v>9362216</v>
          </cell>
          <cell r="B25193">
            <v>133147</v>
          </cell>
          <cell r="C25193" t="str">
            <v>Royal Alexandra and Albert Junior School</v>
          </cell>
          <cell r="D25193" t="str">
            <v>Surrey</v>
          </cell>
          <cell r="E25193" t="str">
            <v>Community School</v>
          </cell>
          <cell r="F25193" t="str">
            <v>Middle Deemed Primary</v>
          </cell>
        </row>
        <row r="25194">
          <cell r="A25194">
            <v>9364623</v>
          </cell>
          <cell r="B25194">
            <v>125279</v>
          </cell>
          <cell r="C25194" t="str">
            <v>Royal Alexandra and Albert School</v>
          </cell>
          <cell r="D25194" t="str">
            <v>Surrey</v>
          </cell>
          <cell r="E25194" t="str">
            <v>Voluntary Aided School</v>
          </cell>
          <cell r="F25194" t="str">
            <v>Middle Deemed Secondary</v>
          </cell>
        </row>
        <row r="25195">
          <cell r="A25195">
            <v>207</v>
          </cell>
          <cell r="B25195">
            <v>133889</v>
          </cell>
          <cell r="C25195" t="str">
            <v>Royal College of Art</v>
          </cell>
          <cell r="D25195" t="str">
            <v>Kensington and Chelsea</v>
          </cell>
          <cell r="E25195" t="str">
            <v>Higher Education Institutions</v>
          </cell>
          <cell r="F25195" t="str">
            <v>Not applicable</v>
          </cell>
        </row>
        <row r="25196">
          <cell r="A25196">
            <v>207</v>
          </cell>
          <cell r="B25196">
            <v>133888</v>
          </cell>
          <cell r="C25196" t="str">
            <v>Royal College of Music</v>
          </cell>
          <cell r="D25196" t="str">
            <v>Kensington and Chelsea</v>
          </cell>
          <cell r="E25196" t="str">
            <v>Higher Education Institutions</v>
          </cell>
          <cell r="F25196" t="str">
            <v>Not applicable</v>
          </cell>
        </row>
        <row r="25197">
          <cell r="A25197">
            <v>8887110</v>
          </cell>
          <cell r="B25197">
            <v>133688</v>
          </cell>
          <cell r="C25197" t="str">
            <v>Royal Cross Primary School</v>
          </cell>
          <cell r="D25197" t="str">
            <v>Lancashire</v>
          </cell>
          <cell r="E25197" t="str">
            <v>Community Special School</v>
          </cell>
          <cell r="F25197" t="str">
            <v>Special</v>
          </cell>
        </row>
        <row r="25198">
          <cell r="A25198">
            <v>8887062</v>
          </cell>
          <cell r="B25198">
            <v>119885</v>
          </cell>
          <cell r="C25198" t="str">
            <v>Royal Cross Primary School for the Deaf</v>
          </cell>
          <cell r="D25198" t="str">
            <v>Lancashire</v>
          </cell>
          <cell r="E25198" t="str">
            <v>Community Special School</v>
          </cell>
          <cell r="F25198" t="str">
            <v>Special</v>
          </cell>
        </row>
        <row r="25199">
          <cell r="A25199">
            <v>9168004</v>
          </cell>
          <cell r="B25199">
            <v>130684</v>
          </cell>
          <cell r="C25199" t="str">
            <v>Royal Forest of Dean College</v>
          </cell>
          <cell r="D25199" t="str">
            <v>Gloucestershire</v>
          </cell>
          <cell r="E25199" t="str">
            <v>Further Education</v>
          </cell>
          <cell r="F25199" t="str">
            <v>16 Plus</v>
          </cell>
        </row>
        <row r="25200">
          <cell r="A25200">
            <v>9033052</v>
          </cell>
          <cell r="B25200">
            <v>128287</v>
          </cell>
          <cell r="C25200" t="str">
            <v>Royal Free First School</v>
          </cell>
          <cell r="D25200" t="str">
            <v>Pre LGR (1998) Berkshire</v>
          </cell>
          <cell r="E25200" t="str">
            <v>Voluntary Controlled School</v>
          </cell>
          <cell r="F25200" t="str">
            <v>Primary</v>
          </cell>
        </row>
        <row r="25201">
          <cell r="A25201">
            <v>2027201</v>
          </cell>
          <cell r="B25201">
            <v>100094</v>
          </cell>
          <cell r="C25201" t="str">
            <v>Royal Free Hospital Children's School</v>
          </cell>
          <cell r="D25201" t="str">
            <v>Camden</v>
          </cell>
          <cell r="E25201" t="str">
            <v>Community Special School</v>
          </cell>
          <cell r="F25201" t="str">
            <v>Special</v>
          </cell>
        </row>
        <row r="25202">
          <cell r="A25202">
            <v>3916037</v>
          </cell>
          <cell r="B25202">
            <v>108549</v>
          </cell>
          <cell r="C25202" t="str">
            <v>Royal Grammar School</v>
          </cell>
          <cell r="D25202" t="str">
            <v>Newcastle upon Tyne</v>
          </cell>
          <cell r="E25202" t="str">
            <v>Other Independent School</v>
          </cell>
          <cell r="F25202" t="str">
            <v>Not applicable</v>
          </cell>
        </row>
        <row r="25203">
          <cell r="A25203">
            <v>9366534</v>
          </cell>
          <cell r="B25203">
            <v>125424</v>
          </cell>
          <cell r="C25203" t="str">
            <v>Royal Grammar School</v>
          </cell>
          <cell r="D25203" t="str">
            <v>Surrey</v>
          </cell>
          <cell r="E25203" t="str">
            <v>Other Independent School</v>
          </cell>
          <cell r="F25203" t="str">
            <v>Not applicable</v>
          </cell>
        </row>
        <row r="25204">
          <cell r="A25204">
            <v>8006002</v>
          </cell>
          <cell r="B25204">
            <v>109348</v>
          </cell>
          <cell r="C25204" t="str">
            <v>Royal High School GDST</v>
          </cell>
          <cell r="D25204" t="str">
            <v>Bath and North East Somerset</v>
          </cell>
          <cell r="E25204" t="str">
            <v>Other Independent School</v>
          </cell>
          <cell r="F25204" t="str">
            <v>Not applicable</v>
          </cell>
        </row>
        <row r="25205">
          <cell r="A25205">
            <v>936</v>
          </cell>
          <cell r="B25205">
            <v>133896</v>
          </cell>
          <cell r="C25205" t="str">
            <v>Royal Holloway and Bedford New College</v>
          </cell>
          <cell r="D25205" t="str">
            <v>Surrey</v>
          </cell>
          <cell r="E25205" t="str">
            <v>Higher Education Institutions</v>
          </cell>
          <cell r="F25205" t="str">
            <v>Not applicable</v>
          </cell>
        </row>
        <row r="25206">
          <cell r="A25206">
            <v>9356056</v>
          </cell>
          <cell r="B25206">
            <v>124889</v>
          </cell>
          <cell r="C25206" t="str">
            <v>Royal Hospital School</v>
          </cell>
          <cell r="D25206" t="str">
            <v>Suffolk</v>
          </cell>
          <cell r="E25206" t="str">
            <v>Other Independent School</v>
          </cell>
          <cell r="F25206" t="str">
            <v>Not applicable</v>
          </cell>
        </row>
        <row r="25207">
          <cell r="A25207">
            <v>9247214</v>
          </cell>
          <cell r="B25207">
            <v>129555</v>
          </cell>
          <cell r="C25207" t="str">
            <v>Royal Infirmary School</v>
          </cell>
          <cell r="D25207" t="str">
            <v>Pre LGR (1997) Leicestershire</v>
          </cell>
          <cell r="E25207" t="str">
            <v>Community Special School</v>
          </cell>
          <cell r="F25207" t="str">
            <v>Special</v>
          </cell>
        </row>
        <row r="25208">
          <cell r="A25208">
            <v>8254501</v>
          </cell>
          <cell r="B25208">
            <v>110512</v>
          </cell>
          <cell r="C25208" t="str">
            <v>Royal Latin School</v>
          </cell>
          <cell r="D25208" t="str">
            <v>Buckinghamshire</v>
          </cell>
          <cell r="E25208" t="str">
            <v>Voluntary Controlled School</v>
          </cell>
          <cell r="F25208" t="str">
            <v>Secondary</v>
          </cell>
        </row>
        <row r="25209">
          <cell r="A25209">
            <v>8254501</v>
          </cell>
          <cell r="B25209">
            <v>137344</v>
          </cell>
          <cell r="C25209" t="str">
            <v>Royal Latin School</v>
          </cell>
          <cell r="D25209" t="str">
            <v>Buckinghamshire</v>
          </cell>
          <cell r="E25209" t="str">
            <v>Academy Converters</v>
          </cell>
          <cell r="F25209" t="str">
            <v>Secondary</v>
          </cell>
        </row>
        <row r="25210">
          <cell r="A25210">
            <v>3447012</v>
          </cell>
          <cell r="B25210">
            <v>127392</v>
          </cell>
          <cell r="C25210" t="str">
            <v>Royal Liverpool Children's Hospital School</v>
          </cell>
          <cell r="D25210" t="str">
            <v>Wirral</v>
          </cell>
          <cell r="E25210" t="str">
            <v>Community Special School</v>
          </cell>
          <cell r="F25210" t="str">
            <v>Special</v>
          </cell>
        </row>
        <row r="25211">
          <cell r="A25211">
            <v>3557020</v>
          </cell>
          <cell r="B25211">
            <v>106006</v>
          </cell>
          <cell r="C25211" t="str">
            <v>Royal Manchester Children Hospital School</v>
          </cell>
          <cell r="D25211" t="str">
            <v>Salford</v>
          </cell>
          <cell r="E25211" t="str">
            <v>Community Special School</v>
          </cell>
          <cell r="F25211" t="str">
            <v>Special</v>
          </cell>
        </row>
        <row r="25212">
          <cell r="A25212">
            <v>8354188</v>
          </cell>
          <cell r="B25212">
            <v>113880</v>
          </cell>
          <cell r="C25212" t="str">
            <v>Royal Manor Arts College</v>
          </cell>
          <cell r="D25212" t="str">
            <v>Dorset</v>
          </cell>
          <cell r="E25212" t="str">
            <v>Community School</v>
          </cell>
          <cell r="F25212" t="str">
            <v>Secondary</v>
          </cell>
        </row>
        <row r="25213">
          <cell r="A25213">
            <v>9196165</v>
          </cell>
          <cell r="B25213">
            <v>117641</v>
          </cell>
          <cell r="C25213" t="str">
            <v>Royal Masonic School for Girls</v>
          </cell>
          <cell r="D25213" t="str">
            <v>Hertfordshire</v>
          </cell>
          <cell r="E25213" t="str">
            <v>Other Independent School</v>
          </cell>
          <cell r="F25213" t="str">
            <v>Not applicable</v>
          </cell>
        </row>
        <row r="25214">
          <cell r="A25214">
            <v>8847905</v>
          </cell>
          <cell r="B25214">
            <v>133108</v>
          </cell>
          <cell r="C25214" t="str">
            <v>Royal National College for the Blind</v>
          </cell>
          <cell r="D25214" t="str">
            <v>Herefordshire</v>
          </cell>
          <cell r="E25214" t="str">
            <v>Special College</v>
          </cell>
          <cell r="F25214" t="str">
            <v>16 Plus</v>
          </cell>
        </row>
        <row r="25215">
          <cell r="A25215">
            <v>3107001</v>
          </cell>
          <cell r="B25215">
            <v>102259</v>
          </cell>
          <cell r="C25215" t="str">
            <v>Royal National Orthopaedic Hospital School</v>
          </cell>
          <cell r="D25215" t="str">
            <v>Harrow</v>
          </cell>
          <cell r="E25215" t="str">
            <v>Community Special School</v>
          </cell>
          <cell r="F25215" t="str">
            <v>Special</v>
          </cell>
        </row>
        <row r="25216">
          <cell r="A25216">
            <v>352</v>
          </cell>
          <cell r="B25216">
            <v>133843</v>
          </cell>
          <cell r="C25216" t="str">
            <v>Royal Northern College of Music</v>
          </cell>
          <cell r="D25216" t="str">
            <v>Manchester</v>
          </cell>
          <cell r="E25216" t="str">
            <v>Higher Education Institutions</v>
          </cell>
          <cell r="F25216" t="str">
            <v>Not applicable</v>
          </cell>
        </row>
        <row r="25217">
          <cell r="A25217">
            <v>3522238</v>
          </cell>
          <cell r="B25217">
            <v>105450</v>
          </cell>
          <cell r="C25217" t="str">
            <v>Royal Oak Primary School</v>
          </cell>
          <cell r="D25217" t="str">
            <v>Manchester</v>
          </cell>
          <cell r="E25217" t="str">
            <v>Community School</v>
          </cell>
          <cell r="F25217" t="str">
            <v>Primary</v>
          </cell>
        </row>
        <row r="25218">
          <cell r="A25218">
            <v>3834039</v>
          </cell>
          <cell r="B25218">
            <v>127981</v>
          </cell>
          <cell r="C25218" t="str">
            <v>Royal Park Middle School</v>
          </cell>
          <cell r="D25218" t="str">
            <v>Leeds</v>
          </cell>
          <cell r="E25218" t="str">
            <v>Community School</v>
          </cell>
          <cell r="F25218" t="str">
            <v>Middle Deemed Secondary</v>
          </cell>
        </row>
        <row r="25219">
          <cell r="A25219">
            <v>3032069</v>
          </cell>
          <cell r="B25219">
            <v>101445</v>
          </cell>
          <cell r="C25219" t="str">
            <v>Royal Park Primary School</v>
          </cell>
          <cell r="D25219" t="str">
            <v>Bexley</v>
          </cell>
          <cell r="E25219" t="str">
            <v>Community School</v>
          </cell>
          <cell r="F25219" t="str">
            <v>Primary</v>
          </cell>
        </row>
        <row r="25220">
          <cell r="A25220">
            <v>3832422</v>
          </cell>
          <cell r="B25220">
            <v>107898</v>
          </cell>
          <cell r="C25220" t="str">
            <v>Royal Park Primary School</v>
          </cell>
          <cell r="D25220" t="str">
            <v>Leeds</v>
          </cell>
          <cell r="E25220" t="str">
            <v>Community School</v>
          </cell>
          <cell r="F25220" t="str">
            <v>Primary</v>
          </cell>
        </row>
        <row r="25221">
          <cell r="A25221">
            <v>3066009</v>
          </cell>
          <cell r="B25221">
            <v>101835</v>
          </cell>
          <cell r="C25221" t="str">
            <v>Royal Russell School</v>
          </cell>
          <cell r="D25221" t="str">
            <v>Croydon</v>
          </cell>
          <cell r="E25221" t="str">
            <v>Other Independent School</v>
          </cell>
          <cell r="F25221" t="str">
            <v>Not applicable</v>
          </cell>
        </row>
        <row r="25222">
          <cell r="A25222">
            <v>3026095</v>
          </cell>
          <cell r="B25222">
            <v>126737</v>
          </cell>
          <cell r="C25222" t="str">
            <v>Royal School</v>
          </cell>
          <cell r="D25222" t="str">
            <v>Barnet</v>
          </cell>
          <cell r="E25222" t="str">
            <v>Other Independent School</v>
          </cell>
          <cell r="F25222" t="str">
            <v>Not applicable</v>
          </cell>
        </row>
        <row r="25223">
          <cell r="A25223">
            <v>8867017</v>
          </cell>
          <cell r="B25223">
            <v>119030</v>
          </cell>
          <cell r="C25223" t="str">
            <v>Royal School for Deaf Children Margate</v>
          </cell>
          <cell r="D25223" t="str">
            <v>Kent</v>
          </cell>
          <cell r="E25223" t="str">
            <v>Non-Maintained Special School</v>
          </cell>
          <cell r="F25223" t="str">
            <v>Special</v>
          </cell>
        </row>
        <row r="25224">
          <cell r="A25224">
            <v>3417023</v>
          </cell>
          <cell r="B25224">
            <v>104735</v>
          </cell>
          <cell r="C25224" t="str">
            <v>Royal School for the Blind (Liverpool)</v>
          </cell>
          <cell r="D25224" t="str">
            <v>Liverpool</v>
          </cell>
          <cell r="E25224" t="str">
            <v>Non-Maintained Special School</v>
          </cell>
          <cell r="F25224" t="str">
            <v>Special</v>
          </cell>
        </row>
        <row r="25225">
          <cell r="A25225">
            <v>8317023</v>
          </cell>
          <cell r="B25225">
            <v>113044</v>
          </cell>
          <cell r="C25225" t="str">
            <v>Royal School for the Deaf Derby</v>
          </cell>
          <cell r="D25225" t="str">
            <v>Derby</v>
          </cell>
          <cell r="E25225" t="str">
            <v>Non-Maintained Special School</v>
          </cell>
          <cell r="F25225" t="str">
            <v>Special</v>
          </cell>
        </row>
        <row r="25226">
          <cell r="A25226">
            <v>2026386</v>
          </cell>
          <cell r="B25226">
            <v>100083</v>
          </cell>
          <cell r="C25226" t="str">
            <v>Royal School Hampstead</v>
          </cell>
          <cell r="D25226" t="str">
            <v>Camden</v>
          </cell>
          <cell r="E25226" t="str">
            <v>Other Independent School</v>
          </cell>
          <cell r="F25226" t="str">
            <v>Not applicable</v>
          </cell>
        </row>
        <row r="25227">
          <cell r="A25227">
            <v>3567502</v>
          </cell>
          <cell r="B25227">
            <v>106166</v>
          </cell>
          <cell r="C25227" t="str">
            <v>Royal School, Manchester</v>
          </cell>
          <cell r="D25227" t="str">
            <v>Stockport</v>
          </cell>
          <cell r="E25227" t="str">
            <v>Non-Maintained Special School</v>
          </cell>
          <cell r="F25227" t="str">
            <v>Special</v>
          </cell>
        </row>
        <row r="25228">
          <cell r="A25228">
            <v>8461002</v>
          </cell>
          <cell r="B25228">
            <v>114351</v>
          </cell>
          <cell r="C25228" t="str">
            <v>Royal Spa Nursery School</v>
          </cell>
          <cell r="D25228" t="str">
            <v>Brighton and Hove</v>
          </cell>
          <cell r="E25228" t="str">
            <v>LA Nursery School</v>
          </cell>
          <cell r="F25228" t="str">
            <v>Nursery</v>
          </cell>
        </row>
        <row r="25229">
          <cell r="A25229">
            <v>8007017</v>
          </cell>
          <cell r="B25229">
            <v>109396</v>
          </cell>
          <cell r="C25229" t="str">
            <v>Royal United Hospital School</v>
          </cell>
          <cell r="D25229" t="str">
            <v>Bath and North East Somerset</v>
          </cell>
          <cell r="E25229" t="str">
            <v>Community Special School</v>
          </cell>
          <cell r="F25229" t="str">
            <v>Special</v>
          </cell>
        </row>
        <row r="25230">
          <cell r="A25230">
            <v>3366002</v>
          </cell>
          <cell r="B25230">
            <v>104406</v>
          </cell>
          <cell r="C25230" t="str">
            <v>Royal Wolverhampton Junior School</v>
          </cell>
          <cell r="D25230" t="str">
            <v>Wolverhampton</v>
          </cell>
          <cell r="E25230" t="str">
            <v>Other Independent School</v>
          </cell>
          <cell r="F25230" t="str">
            <v>Not applicable</v>
          </cell>
        </row>
        <row r="25231">
          <cell r="A25231">
            <v>3522168</v>
          </cell>
          <cell r="B25231">
            <v>105429</v>
          </cell>
          <cell r="C25231" t="str">
            <v>Royce Primary School</v>
          </cell>
          <cell r="D25231" t="str">
            <v>Manchester</v>
          </cell>
          <cell r="E25231" t="str">
            <v>Community School</v>
          </cell>
          <cell r="F25231" t="str">
            <v>Primary</v>
          </cell>
        </row>
        <row r="25232">
          <cell r="A25232">
            <v>3827014</v>
          </cell>
          <cell r="B25232">
            <v>107805</v>
          </cell>
          <cell r="C25232" t="str">
            <v>Royd Edge School</v>
          </cell>
          <cell r="D25232" t="str">
            <v>Kirklees</v>
          </cell>
          <cell r="E25232" t="str">
            <v>Community Special School</v>
          </cell>
          <cell r="F25232" t="str">
            <v>Special</v>
          </cell>
        </row>
        <row r="25233">
          <cell r="A25233">
            <v>3804072</v>
          </cell>
          <cell r="B25233">
            <v>107394</v>
          </cell>
          <cell r="C25233" t="str">
            <v>Royd Mount Middle School</v>
          </cell>
          <cell r="D25233" t="str">
            <v>Bradford</v>
          </cell>
          <cell r="E25233" t="str">
            <v>Community School</v>
          </cell>
          <cell r="F25233" t="str">
            <v>Middle Deemed Secondary</v>
          </cell>
        </row>
        <row r="25234">
          <cell r="A25234">
            <v>3732306</v>
          </cell>
          <cell r="B25234">
            <v>107057</v>
          </cell>
          <cell r="C25234" t="str">
            <v>Royd Nursery and Infant School</v>
          </cell>
          <cell r="D25234" t="str">
            <v>Sheffield</v>
          </cell>
          <cell r="E25234" t="str">
            <v>Community School</v>
          </cell>
          <cell r="F25234" t="str">
            <v>Primary</v>
          </cell>
        </row>
        <row r="25235">
          <cell r="A25235">
            <v>8812583</v>
          </cell>
          <cell r="B25235">
            <v>114901</v>
          </cell>
          <cell r="C25235" t="str">
            <v>Roydon Primary School</v>
          </cell>
          <cell r="D25235" t="str">
            <v>Essex</v>
          </cell>
          <cell r="E25235" t="str">
            <v>Community School</v>
          </cell>
          <cell r="F25235" t="str">
            <v>Primary</v>
          </cell>
        </row>
        <row r="25236">
          <cell r="A25236">
            <v>9262138</v>
          </cell>
          <cell r="B25236">
            <v>120848</v>
          </cell>
          <cell r="C25236" t="str">
            <v>Roydon Primary School</v>
          </cell>
          <cell r="D25236" t="str">
            <v>Norfolk</v>
          </cell>
          <cell r="E25236" t="str">
            <v>Community School</v>
          </cell>
          <cell r="F25236" t="str">
            <v>Primary</v>
          </cell>
        </row>
        <row r="25237">
          <cell r="A25237">
            <v>3824003</v>
          </cell>
          <cell r="B25237">
            <v>107755</v>
          </cell>
          <cell r="C25237" t="str">
            <v>Royds Hall High School</v>
          </cell>
          <cell r="D25237" t="str">
            <v>Kirklees</v>
          </cell>
          <cell r="E25237" t="str">
            <v>Foundation School</v>
          </cell>
          <cell r="F25237" t="str">
            <v>Secondary</v>
          </cell>
        </row>
        <row r="25238">
          <cell r="A25238">
            <v>3834104</v>
          </cell>
          <cell r="B25238">
            <v>108081</v>
          </cell>
          <cell r="C25238" t="str">
            <v>Royds School Specialist Language College</v>
          </cell>
          <cell r="D25238" t="str">
            <v>Leeds</v>
          </cell>
          <cell r="E25238" t="str">
            <v>Community School</v>
          </cell>
          <cell r="F25238" t="str">
            <v>Secondary</v>
          </cell>
        </row>
        <row r="25239">
          <cell r="A25239">
            <v>9194149</v>
          </cell>
          <cell r="B25239">
            <v>117545</v>
          </cell>
          <cell r="C25239" t="str">
            <v>Roysia Middle School</v>
          </cell>
          <cell r="D25239" t="str">
            <v>Hertfordshire</v>
          </cell>
          <cell r="E25239" t="str">
            <v>Community School</v>
          </cell>
          <cell r="F25239" t="str">
            <v>Middle Deemed Secondary</v>
          </cell>
        </row>
        <row r="25240">
          <cell r="A25240">
            <v>9194149</v>
          </cell>
          <cell r="B25240">
            <v>137657</v>
          </cell>
          <cell r="C25240" t="str">
            <v>Roysia Middle School</v>
          </cell>
          <cell r="D25240" t="str">
            <v>Hertfordshire</v>
          </cell>
          <cell r="E25240" t="str">
            <v>Academy Converters</v>
          </cell>
          <cell r="F25240" t="str">
            <v>Middle Deemed Secondary</v>
          </cell>
        </row>
        <row r="25241">
          <cell r="A25241">
            <v>3704023</v>
          </cell>
          <cell r="B25241">
            <v>106649</v>
          </cell>
          <cell r="C25241" t="str">
            <v>Royston High - A Specialist Science College</v>
          </cell>
          <cell r="D25241" t="str">
            <v>Barnsley</v>
          </cell>
          <cell r="E25241" t="str">
            <v>Community School</v>
          </cell>
          <cell r="F25241" t="str">
            <v>Secondary</v>
          </cell>
        </row>
        <row r="25242">
          <cell r="A25242">
            <v>3702112</v>
          </cell>
          <cell r="B25242">
            <v>106606</v>
          </cell>
          <cell r="C25242" t="str">
            <v>Royston Meadstead Primary School</v>
          </cell>
          <cell r="D25242" t="str">
            <v>Barnsley</v>
          </cell>
          <cell r="E25242" t="str">
            <v>Community School</v>
          </cell>
          <cell r="F25242" t="str">
            <v>Primary</v>
          </cell>
        </row>
        <row r="25243">
          <cell r="A25243">
            <v>3702124</v>
          </cell>
          <cell r="B25243">
            <v>106612</v>
          </cell>
          <cell r="C25243" t="str">
            <v>Royston Parkside Primary School</v>
          </cell>
          <cell r="D25243" t="str">
            <v>Barnsley</v>
          </cell>
          <cell r="E25243" t="str">
            <v>Foundation School</v>
          </cell>
          <cell r="F25243" t="str">
            <v>Primary</v>
          </cell>
        </row>
        <row r="25244">
          <cell r="A25244">
            <v>3052061</v>
          </cell>
          <cell r="B25244">
            <v>101630</v>
          </cell>
          <cell r="C25244" t="str">
            <v>Royston Primary School</v>
          </cell>
          <cell r="D25244" t="str">
            <v>Bromley</v>
          </cell>
          <cell r="E25244" t="str">
            <v>Community School</v>
          </cell>
          <cell r="F25244" t="str">
            <v>Primary</v>
          </cell>
        </row>
        <row r="25245">
          <cell r="A25245">
            <v>3703312</v>
          </cell>
          <cell r="B25245">
            <v>106636</v>
          </cell>
          <cell r="C25245" t="str">
            <v>Royston St John the Baptist Church of England Voluntary Aided Primary School</v>
          </cell>
          <cell r="D25245" t="str">
            <v>Barnsley</v>
          </cell>
          <cell r="E25245" t="str">
            <v>Voluntary Aided School</v>
          </cell>
          <cell r="F25245" t="str">
            <v>Primary</v>
          </cell>
        </row>
        <row r="25246">
          <cell r="A25246">
            <v>3702125</v>
          </cell>
          <cell r="B25246">
            <v>106613</v>
          </cell>
          <cell r="C25246" t="str">
            <v>Royston Summer Fields Primary School</v>
          </cell>
          <cell r="D25246" t="str">
            <v>Barnsley</v>
          </cell>
          <cell r="E25246" t="str">
            <v>Foundation School</v>
          </cell>
          <cell r="F25246" t="str">
            <v>Primary</v>
          </cell>
        </row>
        <row r="25247">
          <cell r="A25247">
            <v>3534022</v>
          </cell>
          <cell r="B25247">
            <v>105734</v>
          </cell>
          <cell r="C25247" t="str">
            <v>Royton and Crompton School</v>
          </cell>
          <cell r="D25247" t="str">
            <v>Oldham</v>
          </cell>
          <cell r="E25247" t="str">
            <v>Foundation School</v>
          </cell>
          <cell r="F25247" t="str">
            <v>Secondary</v>
          </cell>
        </row>
        <row r="25248">
          <cell r="A25248">
            <v>3533507</v>
          </cell>
          <cell r="B25248">
            <v>135341</v>
          </cell>
          <cell r="C25248" t="str">
            <v>Royton Hall Primary School</v>
          </cell>
          <cell r="D25248" t="str">
            <v>Oldham</v>
          </cell>
          <cell r="E25248" t="str">
            <v>Community School</v>
          </cell>
          <cell r="F25248" t="str">
            <v>Primary</v>
          </cell>
        </row>
        <row r="25249">
          <cell r="A25249">
            <v>3154901</v>
          </cell>
          <cell r="B25249">
            <v>136509</v>
          </cell>
          <cell r="C25249" t="str">
            <v>RR6</v>
          </cell>
          <cell r="D25249" t="str">
            <v>Merton</v>
          </cell>
          <cell r="E25249" t="str">
            <v>Sixth Form Centres</v>
          </cell>
          <cell r="F25249" t="str">
            <v>16 Plus</v>
          </cell>
        </row>
        <row r="25250">
          <cell r="A25250">
            <v>3336909</v>
          </cell>
          <cell r="B25250">
            <v>135599</v>
          </cell>
          <cell r="C25250" t="str">
            <v>RSA Academy</v>
          </cell>
          <cell r="D25250" t="str">
            <v>Sandwell</v>
          </cell>
          <cell r="E25250" t="str">
            <v>Academy Sponsor Led</v>
          </cell>
          <cell r="F25250" t="str">
            <v>Secondary</v>
          </cell>
        </row>
        <row r="25251">
          <cell r="A25251">
            <v>9163065</v>
          </cell>
          <cell r="B25251">
            <v>115647</v>
          </cell>
          <cell r="C25251" t="str">
            <v>Ruardean Church of England Primary School</v>
          </cell>
          <cell r="D25251" t="str">
            <v>Gloucestershire</v>
          </cell>
          <cell r="E25251" t="str">
            <v>Voluntary Controlled School</v>
          </cell>
          <cell r="F25251" t="str">
            <v>Primary</v>
          </cell>
        </row>
        <row r="25252">
          <cell r="A25252">
            <v>3301018</v>
          </cell>
          <cell r="B25252">
            <v>103131</v>
          </cell>
          <cell r="C25252" t="str">
            <v>Rubery Nursery School</v>
          </cell>
          <cell r="D25252" t="str">
            <v>Birmingham</v>
          </cell>
          <cell r="E25252" t="str">
            <v>LA Nursery School</v>
          </cell>
          <cell r="F25252" t="str">
            <v>Nursery</v>
          </cell>
        </row>
        <row r="25253">
          <cell r="A25253">
            <v>8851107</v>
          </cell>
          <cell r="B25253">
            <v>130989</v>
          </cell>
          <cell r="C25253" t="str">
            <v>Rubery Pupil Referral Unit</v>
          </cell>
          <cell r="D25253" t="str">
            <v>Worcestershire</v>
          </cell>
          <cell r="E25253" t="str">
            <v>Pupil Referral Unit</v>
          </cell>
          <cell r="F25253" t="str">
            <v>PRU</v>
          </cell>
        </row>
        <row r="25254">
          <cell r="A25254">
            <v>8852139</v>
          </cell>
          <cell r="B25254">
            <v>116732</v>
          </cell>
          <cell r="C25254" t="str">
            <v>Rubery, Callowbrook First School</v>
          </cell>
          <cell r="D25254" t="str">
            <v>Worcestershire</v>
          </cell>
          <cell r="E25254" t="str">
            <v>Community School</v>
          </cell>
          <cell r="F25254" t="str">
            <v>Primary</v>
          </cell>
        </row>
        <row r="25255">
          <cell r="A25255">
            <v>8852909</v>
          </cell>
          <cell r="B25255">
            <v>116775</v>
          </cell>
          <cell r="C25255" t="str">
            <v>Rubery, Gannow Middle School</v>
          </cell>
          <cell r="D25255" t="str">
            <v>Worcestershire</v>
          </cell>
          <cell r="E25255" t="str">
            <v>Community School</v>
          </cell>
          <cell r="F25255" t="str">
            <v>Middle Deemed Primary</v>
          </cell>
        </row>
        <row r="25256">
          <cell r="A25256">
            <v>3346007</v>
          </cell>
          <cell r="B25256">
            <v>104127</v>
          </cell>
          <cell r="C25256" t="str">
            <v>Ruckleigh School</v>
          </cell>
          <cell r="D25256" t="str">
            <v>Solihull</v>
          </cell>
          <cell r="E25256" t="str">
            <v>Other Independent School</v>
          </cell>
          <cell r="F25256" t="str">
            <v>Not applicable</v>
          </cell>
        </row>
        <row r="25257">
          <cell r="A25257">
            <v>8502320</v>
          </cell>
          <cell r="B25257">
            <v>116040</v>
          </cell>
          <cell r="C25257" t="str">
            <v>Rucstall Primary School</v>
          </cell>
          <cell r="D25257" t="str">
            <v>Hampshire</v>
          </cell>
          <cell r="E25257" t="str">
            <v>Community School</v>
          </cell>
          <cell r="F25257" t="str">
            <v>Primary</v>
          </cell>
        </row>
        <row r="25258">
          <cell r="A25258">
            <v>9382051</v>
          </cell>
          <cell r="B25258">
            <v>125849</v>
          </cell>
          <cell r="C25258" t="str">
            <v>Rudgwick Primary School</v>
          </cell>
          <cell r="D25258" t="str">
            <v>West Sussex</v>
          </cell>
          <cell r="E25258" t="str">
            <v>Community School</v>
          </cell>
          <cell r="F25258" t="str">
            <v>Primary</v>
          </cell>
        </row>
        <row r="25259">
          <cell r="A25259">
            <v>9263123</v>
          </cell>
          <cell r="B25259">
            <v>121084</v>
          </cell>
          <cell r="C25259" t="str">
            <v>Rudham CofE Primary School</v>
          </cell>
          <cell r="D25259" t="str">
            <v>Norfolk</v>
          </cell>
          <cell r="E25259" t="str">
            <v>Voluntary Controlled School</v>
          </cell>
          <cell r="F25259" t="str">
            <v>Primary</v>
          </cell>
        </row>
        <row r="25260">
          <cell r="A25260">
            <v>8964126</v>
          </cell>
          <cell r="B25260">
            <v>111409</v>
          </cell>
          <cell r="C25260" t="str">
            <v>Rudheath Community High School</v>
          </cell>
          <cell r="D25260" t="str">
            <v>Cheshire West and Chester</v>
          </cell>
          <cell r="E25260" t="str">
            <v>Community School</v>
          </cell>
          <cell r="F25260" t="str">
            <v>Secondary</v>
          </cell>
        </row>
        <row r="25261">
          <cell r="A25261">
            <v>8962193</v>
          </cell>
          <cell r="B25261">
            <v>111058</v>
          </cell>
          <cell r="C25261" t="str">
            <v>Rudheath Community Primary School</v>
          </cell>
          <cell r="D25261" t="str">
            <v>Cheshire West and Chester</v>
          </cell>
          <cell r="E25261" t="str">
            <v>Community School</v>
          </cell>
          <cell r="F25261" t="str">
            <v>Primary</v>
          </cell>
        </row>
        <row r="25262">
          <cell r="A25262">
            <v>8786029</v>
          </cell>
          <cell r="B25262">
            <v>113603</v>
          </cell>
          <cell r="C25262" t="str">
            <v>Rudolf Steiner School</v>
          </cell>
          <cell r="D25262" t="str">
            <v>Devon</v>
          </cell>
          <cell r="E25262" t="str">
            <v>Other Independent School</v>
          </cell>
          <cell r="F25262" t="str">
            <v>Not applicable</v>
          </cell>
        </row>
        <row r="25263">
          <cell r="A25263">
            <v>9196109</v>
          </cell>
          <cell r="B25263">
            <v>117631</v>
          </cell>
          <cell r="C25263" t="str">
            <v>Rudolf Steiner School</v>
          </cell>
          <cell r="D25263" t="str">
            <v>Hertfordshire</v>
          </cell>
          <cell r="E25263" t="str">
            <v>Other Independent School</v>
          </cell>
          <cell r="F25263" t="str">
            <v>Not applicable</v>
          </cell>
        </row>
        <row r="25264">
          <cell r="A25264">
            <v>9266127</v>
          </cell>
          <cell r="B25264">
            <v>121244</v>
          </cell>
          <cell r="C25264" t="str">
            <v>Rudolf Steiner School</v>
          </cell>
          <cell r="D25264" t="str">
            <v>Norfolk</v>
          </cell>
          <cell r="E25264" t="str">
            <v>Other Independent School</v>
          </cell>
          <cell r="F25264" t="str">
            <v>Not applicable</v>
          </cell>
        </row>
        <row r="25265">
          <cell r="A25265">
            <v>3412195</v>
          </cell>
          <cell r="B25265">
            <v>104598</v>
          </cell>
          <cell r="C25265" t="str">
            <v>Rudston Infant School</v>
          </cell>
          <cell r="D25265" t="str">
            <v>Liverpool</v>
          </cell>
          <cell r="E25265" t="str">
            <v>Community School</v>
          </cell>
          <cell r="F25265" t="str">
            <v>Primary</v>
          </cell>
        </row>
        <row r="25266">
          <cell r="A25266">
            <v>3412139</v>
          </cell>
          <cell r="B25266">
            <v>104575</v>
          </cell>
          <cell r="C25266" t="str">
            <v>Rudston Junior School</v>
          </cell>
          <cell r="D25266" t="str">
            <v>Liverpool</v>
          </cell>
          <cell r="E25266" t="str">
            <v>Community School</v>
          </cell>
          <cell r="F25266" t="str">
            <v>Primary</v>
          </cell>
        </row>
        <row r="25267">
          <cell r="A25267">
            <v>3726001</v>
          </cell>
          <cell r="B25267">
            <v>106964</v>
          </cell>
          <cell r="C25267" t="str">
            <v>Rudston Preparatory School</v>
          </cell>
          <cell r="D25267" t="str">
            <v>Rotherham</v>
          </cell>
          <cell r="E25267" t="str">
            <v>Other Independent School</v>
          </cell>
          <cell r="F25267" t="str">
            <v>Not applicable</v>
          </cell>
        </row>
        <row r="25268">
          <cell r="A25268">
            <v>9142039</v>
          </cell>
          <cell r="B25268">
            <v>128839</v>
          </cell>
          <cell r="C25268" t="str">
            <v>Rudyard Kipling Infant School</v>
          </cell>
          <cell r="D25268" t="str">
            <v>Pre LGR (1997) East Sussex</v>
          </cell>
          <cell r="E25268" t="str">
            <v>Community School</v>
          </cell>
          <cell r="F25268" t="str">
            <v>Primary</v>
          </cell>
        </row>
        <row r="25269">
          <cell r="A25269">
            <v>9142035</v>
          </cell>
          <cell r="B25269">
            <v>128838</v>
          </cell>
          <cell r="C25269" t="str">
            <v>Rudyard Kipling Junior School</v>
          </cell>
          <cell r="D25269" t="str">
            <v>Pre LGR (1997) East Sussex</v>
          </cell>
          <cell r="E25269" t="str">
            <v>Community School</v>
          </cell>
          <cell r="F25269" t="str">
            <v>Primary</v>
          </cell>
        </row>
        <row r="25270">
          <cell r="A25270">
            <v>8462164</v>
          </cell>
          <cell r="B25270">
            <v>114486</v>
          </cell>
          <cell r="C25270" t="str">
            <v>Rudyard Kipling Primary School</v>
          </cell>
          <cell r="D25270" t="str">
            <v>Brighton and Hove</v>
          </cell>
          <cell r="E25270" t="str">
            <v>Community School</v>
          </cell>
          <cell r="F25270" t="str">
            <v>Primary</v>
          </cell>
        </row>
        <row r="25271">
          <cell r="A25271">
            <v>8885206</v>
          </cell>
          <cell r="B25271">
            <v>119483</v>
          </cell>
          <cell r="C25271" t="str">
            <v>Rufford CofE School</v>
          </cell>
          <cell r="D25271" t="str">
            <v>Lancashire</v>
          </cell>
          <cell r="E25271" t="str">
            <v>Voluntary Aided School</v>
          </cell>
          <cell r="F25271" t="str">
            <v>Primary</v>
          </cell>
        </row>
        <row r="25272">
          <cell r="A25272">
            <v>8922172</v>
          </cell>
          <cell r="B25272">
            <v>122494</v>
          </cell>
          <cell r="C25272" t="str">
            <v>Rufford Infant School</v>
          </cell>
          <cell r="D25272" t="str">
            <v>Nottingham</v>
          </cell>
          <cell r="E25272" t="str">
            <v>Community School</v>
          </cell>
          <cell r="F25272" t="str">
            <v>Primary</v>
          </cell>
        </row>
        <row r="25273">
          <cell r="A25273">
            <v>8922178</v>
          </cell>
          <cell r="B25273">
            <v>122500</v>
          </cell>
          <cell r="C25273" t="str">
            <v>Rufford Junior School</v>
          </cell>
          <cell r="D25273" t="str">
            <v>Nottingham</v>
          </cell>
          <cell r="E25273" t="str">
            <v>Community School</v>
          </cell>
          <cell r="F25273" t="str">
            <v>Primary</v>
          </cell>
        </row>
        <row r="25274">
          <cell r="A25274">
            <v>3832002</v>
          </cell>
          <cell r="B25274">
            <v>134317</v>
          </cell>
          <cell r="C25274" t="str">
            <v>Rufford Park Primary School</v>
          </cell>
          <cell r="D25274" t="str">
            <v>Leeds</v>
          </cell>
          <cell r="E25274" t="str">
            <v>Community School</v>
          </cell>
          <cell r="F25274" t="str">
            <v>Primary</v>
          </cell>
        </row>
        <row r="25275">
          <cell r="A25275">
            <v>8923332</v>
          </cell>
          <cell r="B25275">
            <v>136232</v>
          </cell>
          <cell r="C25275" t="str">
            <v>Rufford Primary and Nursery School</v>
          </cell>
          <cell r="D25275" t="str">
            <v>Nottingham</v>
          </cell>
          <cell r="E25275" t="str">
            <v>Community School</v>
          </cell>
          <cell r="F25275" t="str">
            <v>Primary</v>
          </cell>
        </row>
        <row r="25276">
          <cell r="A25276">
            <v>3322118</v>
          </cell>
          <cell r="B25276">
            <v>103803</v>
          </cell>
          <cell r="C25276" t="str">
            <v>Rufford Primary School</v>
          </cell>
          <cell r="D25276" t="str">
            <v>Dudley</v>
          </cell>
          <cell r="E25276" t="str">
            <v>Community School</v>
          </cell>
          <cell r="F25276" t="str">
            <v>Primary</v>
          </cell>
        </row>
        <row r="25277">
          <cell r="A25277">
            <v>8162349</v>
          </cell>
          <cell r="B25277">
            <v>121412</v>
          </cell>
          <cell r="C25277" t="str">
            <v>Rufforth Primary School</v>
          </cell>
          <cell r="D25277" t="str">
            <v>York</v>
          </cell>
          <cell r="E25277" t="str">
            <v>Community School</v>
          </cell>
          <cell r="F25277" t="str">
            <v>Primary</v>
          </cell>
        </row>
        <row r="25278">
          <cell r="A25278">
            <v>3404006</v>
          </cell>
          <cell r="B25278">
            <v>104485</v>
          </cell>
          <cell r="C25278" t="str">
            <v>Ruffwood School</v>
          </cell>
          <cell r="D25278" t="str">
            <v>Knowsley</v>
          </cell>
          <cell r="E25278" t="str">
            <v>Community School</v>
          </cell>
          <cell r="F25278" t="str">
            <v>Secondary</v>
          </cell>
        </row>
        <row r="25279">
          <cell r="A25279">
            <v>9378006</v>
          </cell>
          <cell r="B25279">
            <v>130838</v>
          </cell>
          <cell r="C25279" t="str">
            <v>Rugby College of Further Education</v>
          </cell>
          <cell r="D25279" t="str">
            <v>Warwickshire</v>
          </cell>
          <cell r="E25279" t="str">
            <v>Further Education</v>
          </cell>
          <cell r="F25279" t="str">
            <v>16 Plus</v>
          </cell>
        </row>
        <row r="25280">
          <cell r="A25280">
            <v>9375406</v>
          </cell>
          <cell r="B25280">
            <v>125769</v>
          </cell>
          <cell r="C25280" t="str">
            <v>Rugby High School</v>
          </cell>
          <cell r="D25280" t="str">
            <v>Warwickshire</v>
          </cell>
          <cell r="E25280" t="str">
            <v>Foundation School</v>
          </cell>
          <cell r="F25280" t="str">
            <v>Secondary</v>
          </cell>
        </row>
        <row r="25281">
          <cell r="A25281">
            <v>9375406</v>
          </cell>
          <cell r="B25281">
            <v>136595</v>
          </cell>
          <cell r="C25281" t="str">
            <v>Rugby High School</v>
          </cell>
          <cell r="D25281" t="str">
            <v>Warwickshire</v>
          </cell>
          <cell r="E25281" t="str">
            <v>Academy Converters</v>
          </cell>
          <cell r="F25281" t="str">
            <v>Secondary</v>
          </cell>
        </row>
        <row r="25282">
          <cell r="A25282">
            <v>9376010</v>
          </cell>
          <cell r="B25282">
            <v>125777</v>
          </cell>
          <cell r="C25282" t="str">
            <v>Rugby School</v>
          </cell>
          <cell r="D25282" t="str">
            <v>Warwickshire</v>
          </cell>
          <cell r="E25282" t="str">
            <v>Other Independent School</v>
          </cell>
          <cell r="F25282" t="str">
            <v>Not applicable</v>
          </cell>
        </row>
        <row r="25283">
          <cell r="A25283">
            <v>8606024</v>
          </cell>
          <cell r="B25283">
            <v>132735</v>
          </cell>
          <cell r="C25283" t="str">
            <v>Rugeley  Horizon School</v>
          </cell>
          <cell r="D25283" t="str">
            <v>Staffordshire</v>
          </cell>
          <cell r="E25283" t="str">
            <v>Other Independent Special School</v>
          </cell>
          <cell r="F25283" t="str">
            <v>Not applicable</v>
          </cell>
        </row>
        <row r="25284">
          <cell r="A25284">
            <v>9333286</v>
          </cell>
          <cell r="B25284">
            <v>123822</v>
          </cell>
          <cell r="C25284" t="str">
            <v>Ruishton Church of England Primary School</v>
          </cell>
          <cell r="D25284" t="str">
            <v>Somerset</v>
          </cell>
          <cell r="E25284" t="str">
            <v>Voluntary Controlled School</v>
          </cell>
          <cell r="F25284" t="str">
            <v>Primary</v>
          </cell>
        </row>
        <row r="25285">
          <cell r="A25285">
            <v>3122047</v>
          </cell>
          <cell r="B25285">
            <v>126935</v>
          </cell>
          <cell r="C25285" t="str">
            <v>Ruislip Gardens Infant School</v>
          </cell>
          <cell r="D25285" t="str">
            <v>Hillingdon</v>
          </cell>
          <cell r="E25285" t="str">
            <v>Community School</v>
          </cell>
          <cell r="F25285" t="str">
            <v>Primary</v>
          </cell>
        </row>
        <row r="25286">
          <cell r="A25286">
            <v>3122046</v>
          </cell>
          <cell r="B25286">
            <v>126934</v>
          </cell>
          <cell r="C25286" t="str">
            <v>Ruislip Gardens Junior School</v>
          </cell>
          <cell r="D25286" t="str">
            <v>Hillingdon</v>
          </cell>
          <cell r="E25286" t="str">
            <v>Community School</v>
          </cell>
          <cell r="F25286" t="str">
            <v>Primary</v>
          </cell>
        </row>
        <row r="25287">
          <cell r="A25287">
            <v>3122080</v>
          </cell>
          <cell r="B25287">
            <v>102416</v>
          </cell>
          <cell r="C25287" t="str">
            <v>Ruislip Gardens Primary School</v>
          </cell>
          <cell r="D25287" t="str">
            <v>Hillingdon</v>
          </cell>
          <cell r="E25287" t="str">
            <v>Community School</v>
          </cell>
          <cell r="F25287" t="str">
            <v>Primary</v>
          </cell>
        </row>
        <row r="25288">
          <cell r="A25288">
            <v>3124023</v>
          </cell>
          <cell r="B25288">
            <v>133625</v>
          </cell>
          <cell r="C25288" t="str">
            <v>Ruislip High School</v>
          </cell>
          <cell r="D25288" t="str">
            <v>Hillingdon</v>
          </cell>
          <cell r="E25288" t="str">
            <v>Community School</v>
          </cell>
          <cell r="F25288" t="str">
            <v>Secondary</v>
          </cell>
        </row>
        <row r="25289">
          <cell r="A25289">
            <v>9383005</v>
          </cell>
          <cell r="B25289">
            <v>125975</v>
          </cell>
          <cell r="C25289" t="str">
            <v>Rumboldswhyke CofE Infants' School</v>
          </cell>
          <cell r="D25289" t="str">
            <v>West Sussex</v>
          </cell>
          <cell r="E25289" t="str">
            <v>Voluntary Controlled School</v>
          </cell>
          <cell r="F25289" t="str">
            <v>Primary</v>
          </cell>
        </row>
        <row r="25290">
          <cell r="A25290">
            <v>6814030</v>
          </cell>
          <cell r="B25290">
            <v>401872</v>
          </cell>
          <cell r="C25290" t="str">
            <v>Rumney High School</v>
          </cell>
          <cell r="D25290" t="str">
            <v>Cardiff</v>
          </cell>
          <cell r="E25290" t="str">
            <v>Welsh Establishment</v>
          </cell>
          <cell r="F25290" t="str">
            <v>Secondary</v>
          </cell>
        </row>
        <row r="25291">
          <cell r="A25291">
            <v>6812071</v>
          </cell>
          <cell r="B25291">
            <v>401597</v>
          </cell>
          <cell r="C25291" t="str">
            <v>Rumney Infant School</v>
          </cell>
          <cell r="D25291" t="str">
            <v>Cardiff</v>
          </cell>
          <cell r="E25291" t="str">
            <v>Welsh Establishment</v>
          </cell>
          <cell r="F25291" t="str">
            <v>Primary</v>
          </cell>
        </row>
        <row r="25292">
          <cell r="A25292">
            <v>6812070</v>
          </cell>
          <cell r="B25292">
            <v>401596</v>
          </cell>
          <cell r="C25292" t="str">
            <v>Rumney Junior School</v>
          </cell>
          <cell r="D25292" t="str">
            <v>Cardiff</v>
          </cell>
          <cell r="E25292" t="str">
            <v>Welsh Establishment</v>
          </cell>
          <cell r="F25292" t="str">
            <v>Primary</v>
          </cell>
        </row>
        <row r="25293">
          <cell r="A25293">
            <v>6812317</v>
          </cell>
          <cell r="B25293">
            <v>402219</v>
          </cell>
          <cell r="C25293" t="str">
            <v>Rumney Primary School</v>
          </cell>
          <cell r="D25293" t="str">
            <v>Cardiff</v>
          </cell>
          <cell r="E25293" t="str">
            <v>Welsh Establishment</v>
          </cell>
          <cell r="F25293" t="str">
            <v>Primary</v>
          </cell>
        </row>
        <row r="25294">
          <cell r="A25294">
            <v>7046005</v>
          </cell>
          <cell r="B25294">
            <v>132575</v>
          </cell>
          <cell r="C25294" t="str">
            <v>Rumukoroshe School</v>
          </cell>
          <cell r="D25294" t="str">
            <v>Fieldwork Overseas Establishments</v>
          </cell>
          <cell r="E25294" t="str">
            <v>Service Childrens Education</v>
          </cell>
          <cell r="F25294" t="str">
            <v>Not applicable</v>
          </cell>
        </row>
        <row r="25295">
          <cell r="A25295">
            <v>3507003</v>
          </cell>
          <cell r="B25295">
            <v>105277</v>
          </cell>
          <cell r="C25295" t="str">
            <v>Rumworth School</v>
          </cell>
          <cell r="D25295" t="str">
            <v>Bolton</v>
          </cell>
          <cell r="E25295" t="str">
            <v>Community Special School</v>
          </cell>
          <cell r="F25295" t="str">
            <v>Special</v>
          </cell>
        </row>
        <row r="25296">
          <cell r="A25296">
            <v>8763502</v>
          </cell>
          <cell r="B25296">
            <v>111314</v>
          </cell>
          <cell r="C25296" t="str">
            <v>Runcorn All Saints CofE Primary School</v>
          </cell>
          <cell r="D25296" t="str">
            <v>Halton</v>
          </cell>
          <cell r="E25296" t="str">
            <v>Voluntary Aided School</v>
          </cell>
          <cell r="F25296" t="str">
            <v>Primary</v>
          </cell>
        </row>
        <row r="25297">
          <cell r="A25297">
            <v>9263389</v>
          </cell>
          <cell r="B25297">
            <v>121136</v>
          </cell>
          <cell r="C25297" t="str">
            <v>Runcton Holme Church of England Primary School</v>
          </cell>
          <cell r="D25297" t="str">
            <v>Norfolk</v>
          </cell>
          <cell r="E25297" t="str">
            <v>Voluntary Aided School</v>
          </cell>
          <cell r="F25297" t="str">
            <v>Primary</v>
          </cell>
        </row>
        <row r="25298">
          <cell r="A25298">
            <v>3416034</v>
          </cell>
          <cell r="B25298">
            <v>104728</v>
          </cell>
          <cell r="C25298" t="str">
            <v>Runnymede St Edward's School</v>
          </cell>
          <cell r="D25298" t="str">
            <v>Liverpool</v>
          </cell>
          <cell r="E25298" t="str">
            <v>Other Independent School</v>
          </cell>
          <cell r="F25298" t="str">
            <v>Not applicable</v>
          </cell>
        </row>
        <row r="25299">
          <cell r="A25299">
            <v>8888016</v>
          </cell>
          <cell r="B25299">
            <v>130741</v>
          </cell>
          <cell r="C25299" t="str">
            <v>Runshaw College</v>
          </cell>
          <cell r="D25299" t="str">
            <v>Lancashire</v>
          </cell>
          <cell r="E25299" t="str">
            <v>Further Education</v>
          </cell>
          <cell r="F25299" t="str">
            <v>16 Plus</v>
          </cell>
        </row>
        <row r="25300">
          <cell r="A25300">
            <v>9266007</v>
          </cell>
          <cell r="B25300">
            <v>129632</v>
          </cell>
          <cell r="C25300" t="str">
            <v>Runton and Sutherland School</v>
          </cell>
          <cell r="D25300" t="str">
            <v>Norfolk</v>
          </cell>
          <cell r="E25300" t="str">
            <v>Other Independent School</v>
          </cell>
          <cell r="F25300" t="str">
            <v>Not applicable</v>
          </cell>
        </row>
        <row r="25301">
          <cell r="A25301">
            <v>8812901</v>
          </cell>
          <cell r="B25301">
            <v>115037</v>
          </cell>
          <cell r="C25301" t="str">
            <v>Runwell Community Primary School</v>
          </cell>
          <cell r="D25301" t="str">
            <v>Essex</v>
          </cell>
          <cell r="E25301" t="str">
            <v>Community School</v>
          </cell>
          <cell r="F25301" t="str">
            <v>Primary</v>
          </cell>
        </row>
        <row r="25302">
          <cell r="A25302">
            <v>8812901</v>
          </cell>
          <cell r="B25302">
            <v>137054</v>
          </cell>
          <cell r="C25302" t="str">
            <v>Runwell Community Primary School</v>
          </cell>
          <cell r="D25302" t="str">
            <v>Essex</v>
          </cell>
          <cell r="E25302" t="str">
            <v>Academy Converters</v>
          </cell>
          <cell r="F25302" t="str">
            <v>Primary</v>
          </cell>
        </row>
        <row r="25303">
          <cell r="A25303">
            <v>9316003</v>
          </cell>
          <cell r="B25303">
            <v>123276</v>
          </cell>
          <cell r="C25303" t="str">
            <v>Rupert House School</v>
          </cell>
          <cell r="D25303" t="str">
            <v>Oxfordshire</v>
          </cell>
          <cell r="E25303" t="str">
            <v>Other Independent School</v>
          </cell>
          <cell r="F25303" t="str">
            <v>Not applicable</v>
          </cell>
        </row>
        <row r="25304">
          <cell r="A25304">
            <v>9312574</v>
          </cell>
          <cell r="B25304">
            <v>123070</v>
          </cell>
          <cell r="C25304" t="str">
            <v>Rush Common School</v>
          </cell>
          <cell r="D25304" t="str">
            <v>Oxfordshire</v>
          </cell>
          <cell r="E25304" t="str">
            <v>Community School</v>
          </cell>
          <cell r="F25304" t="str">
            <v>Primary</v>
          </cell>
        </row>
        <row r="25305">
          <cell r="A25305">
            <v>3204074</v>
          </cell>
          <cell r="B25305">
            <v>103104</v>
          </cell>
          <cell r="C25305" t="str">
            <v>Rush Croft Sports College</v>
          </cell>
          <cell r="D25305" t="str">
            <v>Waltham Forest</v>
          </cell>
          <cell r="E25305" t="str">
            <v>Community School</v>
          </cell>
          <cell r="F25305" t="str">
            <v>Secondary</v>
          </cell>
        </row>
        <row r="25306">
          <cell r="A25306">
            <v>3012048</v>
          </cell>
          <cell r="B25306">
            <v>101213</v>
          </cell>
          <cell r="C25306" t="str">
            <v>Rush Green Infants' School</v>
          </cell>
          <cell r="D25306" t="str">
            <v>Barking and Dagenham</v>
          </cell>
          <cell r="E25306" t="str">
            <v>Community School</v>
          </cell>
          <cell r="F25306" t="str">
            <v>Primary</v>
          </cell>
        </row>
        <row r="25307">
          <cell r="A25307">
            <v>3012047</v>
          </cell>
          <cell r="B25307">
            <v>101212</v>
          </cell>
          <cell r="C25307" t="str">
            <v>Rush Green Junior School</v>
          </cell>
          <cell r="D25307" t="str">
            <v>Barking and Dagenham</v>
          </cell>
          <cell r="E25307" t="str">
            <v>Community School</v>
          </cell>
          <cell r="F25307" t="str">
            <v>Primary</v>
          </cell>
        </row>
        <row r="25308">
          <cell r="A25308">
            <v>8653381</v>
          </cell>
          <cell r="B25308">
            <v>126410</v>
          </cell>
          <cell r="C25308" t="str">
            <v>Rushall Church of England Voluntary Aided School</v>
          </cell>
          <cell r="D25308" t="str">
            <v>Wiltshire</v>
          </cell>
          <cell r="E25308" t="str">
            <v>Voluntary Aided School</v>
          </cell>
          <cell r="F25308" t="str">
            <v>Primary</v>
          </cell>
        </row>
        <row r="25309">
          <cell r="A25309">
            <v>3354008</v>
          </cell>
          <cell r="B25309">
            <v>134263</v>
          </cell>
          <cell r="C25309" t="str">
            <v>Rushall Community College</v>
          </cell>
          <cell r="D25309" t="str">
            <v>Walsall</v>
          </cell>
          <cell r="E25309" t="str">
            <v>Community School</v>
          </cell>
          <cell r="F25309" t="str">
            <v>Secondary</v>
          </cell>
        </row>
        <row r="25310">
          <cell r="A25310">
            <v>3352205</v>
          </cell>
          <cell r="B25310">
            <v>104196</v>
          </cell>
          <cell r="C25310" t="str">
            <v>Rushall Junior Mixed and Infant School</v>
          </cell>
          <cell r="D25310" t="str">
            <v>Walsall</v>
          </cell>
          <cell r="E25310" t="str">
            <v>Community School</v>
          </cell>
          <cell r="F25310" t="str">
            <v>Primary</v>
          </cell>
        </row>
        <row r="25311">
          <cell r="A25311">
            <v>8933093</v>
          </cell>
          <cell r="B25311">
            <v>123497</v>
          </cell>
          <cell r="C25311" t="str">
            <v>Rushbury CofE Primary School</v>
          </cell>
          <cell r="D25311" t="str">
            <v>Shropshire</v>
          </cell>
          <cell r="E25311" t="str">
            <v>Voluntary Controlled School</v>
          </cell>
          <cell r="F25311" t="str">
            <v>Primary</v>
          </cell>
        </row>
        <row r="25312">
          <cell r="A25312">
            <v>8914329</v>
          </cell>
          <cell r="B25312">
            <v>122860</v>
          </cell>
          <cell r="C25312" t="str">
            <v>Rushcliffe School</v>
          </cell>
          <cell r="D25312" t="str">
            <v>Nottinghamshire</v>
          </cell>
          <cell r="E25312" t="str">
            <v>Foundation School</v>
          </cell>
          <cell r="F25312" t="str">
            <v>Secondary</v>
          </cell>
        </row>
        <row r="25313">
          <cell r="A25313">
            <v>8352050</v>
          </cell>
          <cell r="B25313">
            <v>113684</v>
          </cell>
          <cell r="C25313" t="str">
            <v>Rushcombe First School</v>
          </cell>
          <cell r="D25313" t="str">
            <v>Dorset</v>
          </cell>
          <cell r="E25313" t="str">
            <v>Community School</v>
          </cell>
          <cell r="F25313" t="str">
            <v>Primary</v>
          </cell>
        </row>
        <row r="25314">
          <cell r="A25314">
            <v>3532065</v>
          </cell>
          <cell r="B25314">
            <v>105659</v>
          </cell>
          <cell r="C25314" t="str">
            <v>Rushcroft Primary School</v>
          </cell>
          <cell r="D25314" t="str">
            <v>Oldham</v>
          </cell>
          <cell r="E25314" t="str">
            <v>Community School</v>
          </cell>
          <cell r="F25314" t="str">
            <v>Primary</v>
          </cell>
        </row>
        <row r="25315">
          <cell r="A25315">
            <v>7052047</v>
          </cell>
          <cell r="B25315">
            <v>132441</v>
          </cell>
          <cell r="C25315" t="str">
            <v>Rushen Primary School</v>
          </cell>
          <cell r="D25315" t="str">
            <v>Isle of Man Offshore Establishments</v>
          </cell>
          <cell r="E25315" t="str">
            <v>Offshore Schools</v>
          </cell>
          <cell r="F25315" t="str">
            <v>Not applicable</v>
          </cell>
        </row>
        <row r="25316">
          <cell r="A25316">
            <v>2092529</v>
          </cell>
          <cell r="B25316">
            <v>100701</v>
          </cell>
          <cell r="C25316" t="str">
            <v>Rushey Green Primary School</v>
          </cell>
          <cell r="D25316" t="str">
            <v>Lewisham</v>
          </cell>
          <cell r="E25316" t="str">
            <v>Community School</v>
          </cell>
          <cell r="F25316" t="str">
            <v>Primary</v>
          </cell>
        </row>
        <row r="25317">
          <cell r="A25317">
            <v>8562231</v>
          </cell>
          <cell r="B25317">
            <v>120009</v>
          </cell>
          <cell r="C25317" t="str">
            <v>Rushey Mead Primary School</v>
          </cell>
          <cell r="D25317" t="str">
            <v>Leicester</v>
          </cell>
          <cell r="E25317" t="str">
            <v>Community School</v>
          </cell>
          <cell r="F25317" t="str">
            <v>Primary</v>
          </cell>
        </row>
        <row r="25318">
          <cell r="A25318">
            <v>8564244</v>
          </cell>
          <cell r="B25318">
            <v>120282</v>
          </cell>
          <cell r="C25318" t="str">
            <v>Rushey Mead School</v>
          </cell>
          <cell r="D25318" t="str">
            <v>Leicester</v>
          </cell>
          <cell r="E25318" t="str">
            <v>Community School</v>
          </cell>
          <cell r="F25318" t="str">
            <v>Secondary</v>
          </cell>
        </row>
        <row r="25319">
          <cell r="A25319">
            <v>9043019</v>
          </cell>
          <cell r="B25319">
            <v>128337</v>
          </cell>
          <cell r="C25319" t="str">
            <v>Rushmead CofE Middle School</v>
          </cell>
          <cell r="D25319" t="str">
            <v>Pre LGR (1997) Buckinghamshire</v>
          </cell>
          <cell r="E25319" t="str">
            <v>Voluntary Controlled School</v>
          </cell>
          <cell r="F25319" t="str">
            <v>Middle Deemed Primary</v>
          </cell>
        </row>
        <row r="25320">
          <cell r="A25320">
            <v>9352170</v>
          </cell>
          <cell r="B25320">
            <v>129973</v>
          </cell>
          <cell r="C25320" t="str">
            <v>Rushmere Hall Infant School</v>
          </cell>
          <cell r="D25320" t="str">
            <v>Suffolk</v>
          </cell>
          <cell r="E25320" t="str">
            <v>Community School</v>
          </cell>
          <cell r="F25320" t="str">
            <v>Primary</v>
          </cell>
        </row>
        <row r="25321">
          <cell r="A25321">
            <v>9352169</v>
          </cell>
          <cell r="B25321">
            <v>129972</v>
          </cell>
          <cell r="C25321" t="str">
            <v>Rushmere Hall Junior School</v>
          </cell>
          <cell r="D25321" t="str">
            <v>Suffolk</v>
          </cell>
          <cell r="E25321" t="str">
            <v>Community School</v>
          </cell>
          <cell r="F25321" t="str">
            <v>Primary</v>
          </cell>
        </row>
        <row r="25322">
          <cell r="A25322">
            <v>9352922</v>
          </cell>
          <cell r="B25322">
            <v>124679</v>
          </cell>
          <cell r="C25322" t="str">
            <v>Rushmere Hall Primary School</v>
          </cell>
          <cell r="D25322" t="str">
            <v>Suffolk</v>
          </cell>
          <cell r="E25322" t="str">
            <v>Community School</v>
          </cell>
          <cell r="F25322" t="str">
            <v>Primary</v>
          </cell>
        </row>
        <row r="25323">
          <cell r="A25323">
            <v>8506070</v>
          </cell>
          <cell r="B25323">
            <v>116577</v>
          </cell>
          <cell r="C25323" t="str">
            <v>Rushmoor Independent Grammar School</v>
          </cell>
          <cell r="D25323" t="str">
            <v>Hampshire</v>
          </cell>
          <cell r="E25323" t="str">
            <v>Other Independent School</v>
          </cell>
          <cell r="F25323" t="str">
            <v>Not applicable</v>
          </cell>
        </row>
        <row r="25324">
          <cell r="A25324">
            <v>8506067</v>
          </cell>
          <cell r="B25324">
            <v>116544</v>
          </cell>
          <cell r="C25324" t="str">
            <v>Rushmoor Independent Preparatory School</v>
          </cell>
          <cell r="D25324" t="str">
            <v>Hampshire</v>
          </cell>
          <cell r="E25324" t="str">
            <v>Other Independent School</v>
          </cell>
          <cell r="F25324" t="str">
            <v>Not applicable</v>
          </cell>
        </row>
        <row r="25325">
          <cell r="A25325">
            <v>8226004</v>
          </cell>
          <cell r="B25325">
            <v>109717</v>
          </cell>
          <cell r="C25325" t="str">
            <v>Rushmoor School</v>
          </cell>
          <cell r="D25325" t="str">
            <v>Bedford</v>
          </cell>
          <cell r="E25325" t="str">
            <v>Other Independent School</v>
          </cell>
          <cell r="F25325" t="str">
            <v>Not applicable</v>
          </cell>
        </row>
        <row r="25326">
          <cell r="A25326">
            <v>2042531</v>
          </cell>
          <cell r="B25326">
            <v>100238</v>
          </cell>
          <cell r="C25326" t="str">
            <v>Rushmore Infants' School</v>
          </cell>
          <cell r="D25326" t="str">
            <v>Hackney</v>
          </cell>
          <cell r="E25326" t="str">
            <v>Community School</v>
          </cell>
          <cell r="F25326" t="str">
            <v>Primary</v>
          </cell>
        </row>
        <row r="25327">
          <cell r="A25327">
            <v>2042530</v>
          </cell>
          <cell r="B25327">
            <v>100237</v>
          </cell>
          <cell r="C25327" t="str">
            <v>Rushmore Junior School</v>
          </cell>
          <cell r="D25327" t="str">
            <v>Hackney</v>
          </cell>
          <cell r="E25327" t="str">
            <v>Community School</v>
          </cell>
          <cell r="F25327" t="str">
            <v>Primary</v>
          </cell>
        </row>
        <row r="25328">
          <cell r="A25328">
            <v>2042533</v>
          </cell>
          <cell r="B25328">
            <v>130302</v>
          </cell>
          <cell r="C25328" t="str">
            <v>Rushmore Primary School</v>
          </cell>
          <cell r="D25328" t="str">
            <v>Hackney</v>
          </cell>
          <cell r="E25328" t="str">
            <v>Community School</v>
          </cell>
          <cell r="F25328" t="str">
            <v>Primary</v>
          </cell>
        </row>
        <row r="25329">
          <cell r="A25329">
            <v>8603103</v>
          </cell>
          <cell r="B25329">
            <v>124272</v>
          </cell>
          <cell r="C25329" t="str">
            <v>Rushton CofE (C) Primary School</v>
          </cell>
          <cell r="D25329" t="str">
            <v>Staffordshire</v>
          </cell>
          <cell r="E25329" t="str">
            <v>Voluntary Controlled School</v>
          </cell>
          <cell r="F25329" t="str">
            <v>Primary</v>
          </cell>
        </row>
        <row r="25330">
          <cell r="A25330">
            <v>9282088</v>
          </cell>
          <cell r="B25330">
            <v>121863</v>
          </cell>
          <cell r="C25330" t="str">
            <v>Rushton Primary School</v>
          </cell>
          <cell r="D25330" t="str">
            <v>Northamptonshire</v>
          </cell>
          <cell r="E25330" t="str">
            <v>Community School</v>
          </cell>
          <cell r="F25330" t="str">
            <v>Primary</v>
          </cell>
        </row>
        <row r="25331">
          <cell r="A25331">
            <v>8853098</v>
          </cell>
          <cell r="B25331">
            <v>116847</v>
          </cell>
          <cell r="C25331" t="str">
            <v>Rushwick CofE Primary School</v>
          </cell>
          <cell r="D25331" t="str">
            <v>Worcestershire</v>
          </cell>
          <cell r="E25331" t="str">
            <v>Voluntary Controlled School</v>
          </cell>
          <cell r="F25331" t="str">
            <v>Primary</v>
          </cell>
        </row>
        <row r="25332">
          <cell r="A25332">
            <v>3192047</v>
          </cell>
          <cell r="B25332">
            <v>102989</v>
          </cell>
          <cell r="C25332" t="str">
            <v>Rushy Meadow Primary School</v>
          </cell>
          <cell r="D25332" t="str">
            <v>Sutton</v>
          </cell>
          <cell r="E25332" t="str">
            <v>Community School</v>
          </cell>
          <cell r="F25332" t="str">
            <v>Primary</v>
          </cell>
        </row>
        <row r="25333">
          <cell r="A25333">
            <v>9318285</v>
          </cell>
          <cell r="B25333">
            <v>130794</v>
          </cell>
          <cell r="C25333" t="str">
            <v>Ruskin College</v>
          </cell>
          <cell r="D25333" t="str">
            <v>Oxfordshire</v>
          </cell>
          <cell r="E25333" t="str">
            <v>Further Education</v>
          </cell>
          <cell r="F25333" t="str">
            <v>16 Plus</v>
          </cell>
        </row>
        <row r="25334">
          <cell r="A25334">
            <v>3331103</v>
          </cell>
          <cell r="B25334">
            <v>103890</v>
          </cell>
          <cell r="C25334" t="str">
            <v>Ruskin House Pupil Referral Unit</v>
          </cell>
          <cell r="D25334" t="str">
            <v>Sandwell</v>
          </cell>
          <cell r="E25334" t="str">
            <v>Pupil Referral Unit</v>
          </cell>
          <cell r="F25334" t="str">
            <v>PRU</v>
          </cell>
        </row>
        <row r="25335">
          <cell r="A25335">
            <v>9282128</v>
          </cell>
          <cell r="B25335">
            <v>121889</v>
          </cell>
          <cell r="C25335" t="str">
            <v>Ruskin Infant School</v>
          </cell>
          <cell r="D25335" t="str">
            <v>Northamptonshire</v>
          </cell>
          <cell r="E25335" t="str">
            <v>Community School</v>
          </cell>
          <cell r="F25335" t="str">
            <v>Primary</v>
          </cell>
        </row>
        <row r="25336">
          <cell r="A25336">
            <v>9282135</v>
          </cell>
          <cell r="B25336">
            <v>121896</v>
          </cell>
          <cell r="C25336" t="str">
            <v>Ruskin Junior School</v>
          </cell>
          <cell r="D25336" t="str">
            <v>Northamptonshire</v>
          </cell>
          <cell r="E25336" t="str">
            <v>Community School</v>
          </cell>
          <cell r="F25336" t="str">
            <v>Primary</v>
          </cell>
        </row>
        <row r="25337">
          <cell r="A25337">
            <v>8662094</v>
          </cell>
          <cell r="B25337">
            <v>126209</v>
          </cell>
          <cell r="C25337" t="str">
            <v>Ruskin Junior School</v>
          </cell>
          <cell r="D25337" t="str">
            <v>Swindon</v>
          </cell>
          <cell r="E25337" t="str">
            <v>Community School</v>
          </cell>
          <cell r="F25337" t="str">
            <v>Primary</v>
          </cell>
        </row>
        <row r="25338">
          <cell r="A25338">
            <v>9168223</v>
          </cell>
          <cell r="B25338">
            <v>133036</v>
          </cell>
          <cell r="C25338" t="str">
            <v>Ruskin Mill College</v>
          </cell>
          <cell r="D25338" t="str">
            <v>Gloucestershire</v>
          </cell>
          <cell r="E25338" t="str">
            <v>Special College</v>
          </cell>
          <cell r="F25338" t="str">
            <v>16 Plus</v>
          </cell>
        </row>
        <row r="25339">
          <cell r="A25339">
            <v>8954139</v>
          </cell>
          <cell r="B25339">
            <v>111417</v>
          </cell>
          <cell r="C25339" t="str">
            <v>Ruskin Sports College - A Community High School</v>
          </cell>
          <cell r="D25339" t="str">
            <v>Cheshire East</v>
          </cell>
          <cell r="E25339" t="str">
            <v>Community School</v>
          </cell>
          <cell r="F25339" t="str">
            <v>Secondary</v>
          </cell>
        </row>
        <row r="25340">
          <cell r="A25340">
            <v>9255226</v>
          </cell>
          <cell r="B25340">
            <v>120693</v>
          </cell>
          <cell r="C25340" t="str">
            <v>Ruskington Chestnut Street CofE Primary School</v>
          </cell>
          <cell r="D25340" t="str">
            <v>Lincolnshire</v>
          </cell>
          <cell r="E25340" t="str">
            <v>Foundation School</v>
          </cell>
          <cell r="F25340" t="str">
            <v>Primary</v>
          </cell>
        </row>
        <row r="25341">
          <cell r="A25341">
            <v>9382052</v>
          </cell>
          <cell r="B25341">
            <v>125850</v>
          </cell>
          <cell r="C25341" t="str">
            <v>Rusper Primary School</v>
          </cell>
          <cell r="D25341" t="str">
            <v>West Sussex</v>
          </cell>
          <cell r="E25341" t="str">
            <v>Community School</v>
          </cell>
          <cell r="F25341" t="str">
            <v>Primary</v>
          </cell>
        </row>
        <row r="25342">
          <cell r="A25342">
            <v>9116083</v>
          </cell>
          <cell r="B25342">
            <v>128744</v>
          </cell>
          <cell r="C25342" t="str">
            <v>Russell College</v>
          </cell>
          <cell r="D25342" t="str">
            <v>Pre LGR (1998) Devon</v>
          </cell>
          <cell r="E25342" t="str">
            <v>Other Independent School</v>
          </cell>
          <cell r="F25342" t="str">
            <v>Not applicable</v>
          </cell>
        </row>
        <row r="25343">
          <cell r="A25343">
            <v>9042025</v>
          </cell>
          <cell r="B25343">
            <v>128316</v>
          </cell>
          <cell r="C25343" t="str">
            <v>Russell County Combined School</v>
          </cell>
          <cell r="D25343" t="str">
            <v>Pre LGR (1997) Buckinghamshire</v>
          </cell>
          <cell r="E25343" t="str">
            <v>Community School</v>
          </cell>
          <cell r="F25343" t="str">
            <v>Primary</v>
          </cell>
        </row>
        <row r="25344">
          <cell r="A25344">
            <v>3805202</v>
          </cell>
          <cell r="B25344">
            <v>107433</v>
          </cell>
          <cell r="C25344" t="str">
            <v>Russell Hall Primary School</v>
          </cell>
          <cell r="D25344" t="str">
            <v>Bradford</v>
          </cell>
          <cell r="E25344" t="str">
            <v>Foundation School</v>
          </cell>
          <cell r="F25344" t="str">
            <v>Primary</v>
          </cell>
        </row>
        <row r="25345">
          <cell r="A25345">
            <v>8866039</v>
          </cell>
          <cell r="B25345">
            <v>118984</v>
          </cell>
          <cell r="C25345" t="str">
            <v>Russell House School</v>
          </cell>
          <cell r="D25345" t="str">
            <v>Kent</v>
          </cell>
          <cell r="E25345" t="str">
            <v>Other Independent School</v>
          </cell>
          <cell r="F25345" t="str">
            <v>Not applicable</v>
          </cell>
        </row>
        <row r="25346">
          <cell r="A25346">
            <v>8232146</v>
          </cell>
          <cell r="B25346">
            <v>109495</v>
          </cell>
          <cell r="C25346" t="str">
            <v>Russell Lower School</v>
          </cell>
          <cell r="D25346" t="str">
            <v>Central Bedfordshire</v>
          </cell>
          <cell r="E25346" t="str">
            <v>Community School</v>
          </cell>
          <cell r="F25346" t="str">
            <v>Primary</v>
          </cell>
        </row>
        <row r="25347">
          <cell r="A25347">
            <v>3572042</v>
          </cell>
          <cell r="B25347">
            <v>106206</v>
          </cell>
          <cell r="C25347" t="str">
            <v>Russell Scott Primary School</v>
          </cell>
          <cell r="D25347" t="str">
            <v>Tameside</v>
          </cell>
          <cell r="E25347" t="str">
            <v>Community School</v>
          </cell>
          <cell r="F25347" t="str">
            <v>Primary</v>
          </cell>
        </row>
        <row r="25348">
          <cell r="A25348">
            <v>8262112</v>
          </cell>
          <cell r="B25348">
            <v>110252</v>
          </cell>
          <cell r="C25348" t="str">
            <v>Russell Street School</v>
          </cell>
          <cell r="D25348" t="str">
            <v>Milton Keynes</v>
          </cell>
          <cell r="E25348" t="str">
            <v>Community School</v>
          </cell>
          <cell r="F25348" t="str">
            <v>Primary</v>
          </cell>
        </row>
        <row r="25349">
          <cell r="A25349">
            <v>3322136</v>
          </cell>
          <cell r="B25349">
            <v>103813</v>
          </cell>
          <cell r="C25349" t="str">
            <v>Russells Hall Primary School</v>
          </cell>
          <cell r="D25349" t="str">
            <v>Dudley</v>
          </cell>
          <cell r="E25349" t="str">
            <v>Community School</v>
          </cell>
          <cell r="F25349" t="str">
            <v>Primary</v>
          </cell>
        </row>
        <row r="25350">
          <cell r="A25350">
            <v>3087008</v>
          </cell>
          <cell r="B25350">
            <v>130958</v>
          </cell>
          <cell r="C25350" t="str">
            <v>Russet House School</v>
          </cell>
          <cell r="D25350" t="str">
            <v>Enfield</v>
          </cell>
          <cell r="E25350" t="str">
            <v>Community Special School</v>
          </cell>
          <cell r="F25350" t="str">
            <v>Special</v>
          </cell>
        </row>
        <row r="25351">
          <cell r="A25351">
            <v>8863913</v>
          </cell>
          <cell r="B25351">
            <v>135164</v>
          </cell>
          <cell r="C25351" t="str">
            <v>Rusthall St Paul's CofE VA Primary School</v>
          </cell>
          <cell r="D25351" t="str">
            <v>Kent</v>
          </cell>
          <cell r="E25351" t="str">
            <v>Voluntary Aided School</v>
          </cell>
          <cell r="F25351" t="str">
            <v>Primary</v>
          </cell>
        </row>
        <row r="25352">
          <cell r="A25352">
            <v>9382053</v>
          </cell>
          <cell r="B25352">
            <v>125851</v>
          </cell>
          <cell r="C25352" t="str">
            <v>Rustington Community Primary School</v>
          </cell>
          <cell r="D25352" t="str">
            <v>West Sussex</v>
          </cell>
          <cell r="E25352" t="str">
            <v>Community School</v>
          </cell>
          <cell r="F25352" t="str">
            <v>Primary</v>
          </cell>
        </row>
        <row r="25353">
          <cell r="A25353">
            <v>8153126</v>
          </cell>
          <cell r="B25353">
            <v>121525</v>
          </cell>
          <cell r="C25353" t="str">
            <v>Ruswarp Church of England Voluntary Controlled Primary School</v>
          </cell>
          <cell r="D25353" t="str">
            <v>North Yorkshire</v>
          </cell>
          <cell r="E25353" t="str">
            <v>Voluntary Controlled School</v>
          </cell>
          <cell r="F25353" t="str">
            <v>Primary</v>
          </cell>
        </row>
        <row r="25354">
          <cell r="A25354">
            <v>3066078</v>
          </cell>
          <cell r="B25354">
            <v>101843</v>
          </cell>
          <cell r="C25354" t="str">
            <v>Rutherford School</v>
          </cell>
          <cell r="D25354" t="str">
            <v>Croydon</v>
          </cell>
          <cell r="E25354" t="str">
            <v>Other Independent Special School</v>
          </cell>
          <cell r="F25354" t="str">
            <v>Not applicable</v>
          </cell>
        </row>
        <row r="25355">
          <cell r="A25355">
            <v>3914488</v>
          </cell>
          <cell r="B25355">
            <v>128133</v>
          </cell>
          <cell r="C25355" t="str">
            <v>Rutherford School</v>
          </cell>
          <cell r="D25355" t="str">
            <v>Newcastle upon Tyne</v>
          </cell>
          <cell r="E25355" t="str">
            <v>Community School</v>
          </cell>
          <cell r="F25355" t="str">
            <v>Secondary</v>
          </cell>
        </row>
        <row r="25356">
          <cell r="A25356">
            <v>6636027</v>
          </cell>
          <cell r="B25356">
            <v>401976</v>
          </cell>
          <cell r="C25356" t="str">
            <v>Ruthin School</v>
          </cell>
          <cell r="D25356" t="str">
            <v>Denbighshire</v>
          </cell>
          <cell r="E25356" t="str">
            <v>Welsh Establishment</v>
          </cell>
          <cell r="F25356" t="str">
            <v>Not applicable</v>
          </cell>
        </row>
        <row r="25357">
          <cell r="A25357">
            <v>8926008</v>
          </cell>
          <cell r="B25357">
            <v>122935</v>
          </cell>
          <cell r="C25357" t="str">
            <v>Rutland House School</v>
          </cell>
          <cell r="D25357" t="str">
            <v>Nottingham</v>
          </cell>
          <cell r="E25357" t="str">
            <v>Other Independent Special School</v>
          </cell>
          <cell r="F25357" t="str">
            <v>Not applicable</v>
          </cell>
        </row>
        <row r="25358">
          <cell r="A25358">
            <v>9244263</v>
          </cell>
          <cell r="B25358">
            <v>129546</v>
          </cell>
          <cell r="C25358" t="str">
            <v>Rutland Sixth Form College</v>
          </cell>
          <cell r="D25358" t="str">
            <v>Pre LGR (1997) Leicestershire</v>
          </cell>
          <cell r="E25358" t="str">
            <v>Community School</v>
          </cell>
          <cell r="F25358" t="str">
            <v>Secondary</v>
          </cell>
        </row>
        <row r="25359">
          <cell r="A25359">
            <v>3154500</v>
          </cell>
          <cell r="B25359">
            <v>102679</v>
          </cell>
          <cell r="C25359" t="str">
            <v>Rutlish School</v>
          </cell>
          <cell r="D25359" t="str">
            <v>Merton</v>
          </cell>
          <cell r="E25359" t="str">
            <v>Voluntary Controlled School</v>
          </cell>
          <cell r="F25359" t="str">
            <v>Secondary</v>
          </cell>
        </row>
        <row r="25360">
          <cell r="A25360">
            <v>2032776</v>
          </cell>
          <cell r="B25360">
            <v>100147</v>
          </cell>
          <cell r="C25360" t="str">
            <v>Ruxley Manor Primary School</v>
          </cell>
          <cell r="D25360" t="str">
            <v>Greenwich</v>
          </cell>
          <cell r="E25360" t="str">
            <v>Community School</v>
          </cell>
          <cell r="F25360" t="str">
            <v>Primary</v>
          </cell>
        </row>
        <row r="25361">
          <cell r="A25361">
            <v>9116129</v>
          </cell>
          <cell r="B25361">
            <v>128750</v>
          </cell>
          <cell r="C25361" t="str">
            <v>Ryalls County School</v>
          </cell>
          <cell r="D25361" t="str">
            <v>Pre LGR (1998) Devon</v>
          </cell>
          <cell r="E25361" t="str">
            <v>Other Independent School</v>
          </cell>
          <cell r="F25361" t="str">
            <v>Not applicable</v>
          </cell>
        </row>
        <row r="25362">
          <cell r="A25362">
            <v>3804063</v>
          </cell>
          <cell r="B25362">
            <v>107385</v>
          </cell>
          <cell r="C25362" t="str">
            <v>Ryan Middle School</v>
          </cell>
          <cell r="D25362" t="str">
            <v>Bradford</v>
          </cell>
          <cell r="E25362" t="str">
            <v>Community School</v>
          </cell>
          <cell r="F25362" t="str">
            <v>Middle Deemed Secondary</v>
          </cell>
        </row>
        <row r="25363">
          <cell r="A25363">
            <v>8862189</v>
          </cell>
          <cell r="B25363">
            <v>118310</v>
          </cell>
          <cell r="C25363" t="str">
            <v>Ryarsh Primary School</v>
          </cell>
          <cell r="D25363" t="str">
            <v>Kent</v>
          </cell>
          <cell r="E25363" t="str">
            <v>Community School</v>
          </cell>
          <cell r="F25363" t="str">
            <v>Primary</v>
          </cell>
        </row>
        <row r="25364">
          <cell r="A25364">
            <v>3815408</v>
          </cell>
          <cell r="B25364">
            <v>107565</v>
          </cell>
          <cell r="C25364" t="str">
            <v>Ryburn Valley High School</v>
          </cell>
          <cell r="D25364" t="str">
            <v>Calderdale</v>
          </cell>
          <cell r="E25364" t="str">
            <v>Foundation School</v>
          </cell>
          <cell r="F25364" t="str">
            <v>Secondary</v>
          </cell>
        </row>
        <row r="25365">
          <cell r="A25365">
            <v>6626019</v>
          </cell>
          <cell r="B25365">
            <v>401972</v>
          </cell>
          <cell r="C25365" t="str">
            <v>Rydal Penrhos</v>
          </cell>
          <cell r="D25365" t="str">
            <v>Conwy</v>
          </cell>
          <cell r="E25365" t="str">
            <v>Welsh Establishment</v>
          </cell>
          <cell r="F25365" t="str">
            <v>Not applicable</v>
          </cell>
        </row>
        <row r="25366">
          <cell r="A25366">
            <v>8026007</v>
          </cell>
          <cell r="B25366">
            <v>109367</v>
          </cell>
          <cell r="C25366" t="str">
            <v>Rydal Pre-Preparatory School</v>
          </cell>
          <cell r="D25366" t="str">
            <v>North Somerset</v>
          </cell>
          <cell r="E25366" t="str">
            <v>Other Independent School</v>
          </cell>
          <cell r="F25366" t="str">
            <v>Not applicable</v>
          </cell>
        </row>
        <row r="25367">
          <cell r="A25367">
            <v>9016098</v>
          </cell>
          <cell r="B25367">
            <v>132862</v>
          </cell>
          <cell r="C25367" t="str">
            <v>Rydal Pre-Preparatory School</v>
          </cell>
          <cell r="D25367" t="str">
            <v>Pre LGR (1996) Avon</v>
          </cell>
          <cell r="E25367" t="str">
            <v>Service Childrens Education</v>
          </cell>
          <cell r="F25367" t="str">
            <v>Not applicable</v>
          </cell>
        </row>
        <row r="25368">
          <cell r="A25368">
            <v>9214001</v>
          </cell>
          <cell r="B25368">
            <v>136753</v>
          </cell>
          <cell r="C25368" t="str">
            <v>Ryde Academy</v>
          </cell>
          <cell r="D25368" t="str">
            <v>Isle of Wight</v>
          </cell>
          <cell r="E25368" t="str">
            <v>Academy Sponsor Led</v>
          </cell>
          <cell r="F25368" t="str">
            <v>Secondary</v>
          </cell>
        </row>
        <row r="25369">
          <cell r="A25369">
            <v>9214015</v>
          </cell>
          <cell r="B25369">
            <v>118205</v>
          </cell>
          <cell r="C25369" t="str">
            <v>Ryde High School</v>
          </cell>
          <cell r="D25369" t="str">
            <v>Isle of Wight</v>
          </cell>
          <cell r="E25369" t="str">
            <v>Community School</v>
          </cell>
          <cell r="F25369" t="str">
            <v>Secondary</v>
          </cell>
        </row>
        <row r="25370">
          <cell r="A25370">
            <v>9216002</v>
          </cell>
          <cell r="B25370">
            <v>118223</v>
          </cell>
          <cell r="C25370" t="str">
            <v>Ryde School with Upper Chine</v>
          </cell>
          <cell r="D25370" t="str">
            <v>Isle of Wight</v>
          </cell>
          <cell r="E25370" t="str">
            <v>Other Independent School</v>
          </cell>
          <cell r="F25370" t="str">
            <v>Not applicable</v>
          </cell>
        </row>
        <row r="25371">
          <cell r="A25371">
            <v>9364193</v>
          </cell>
          <cell r="B25371">
            <v>137137</v>
          </cell>
          <cell r="C25371" t="str">
            <v>Rydens Enterprise School and Sixth Form College</v>
          </cell>
          <cell r="D25371" t="str">
            <v>Surrey</v>
          </cell>
          <cell r="E25371" t="str">
            <v>Academy Converters</v>
          </cell>
          <cell r="F25371" t="str">
            <v>Secondary</v>
          </cell>
        </row>
        <row r="25372">
          <cell r="A25372">
            <v>9364193</v>
          </cell>
          <cell r="B25372">
            <v>125262</v>
          </cell>
          <cell r="C25372" t="str">
            <v>Rydens School</v>
          </cell>
          <cell r="D25372" t="str">
            <v>Surrey</v>
          </cell>
          <cell r="E25372" t="str">
            <v>Foundation School</v>
          </cell>
          <cell r="F25372" t="str">
            <v>Secondary</v>
          </cell>
        </row>
        <row r="25373">
          <cell r="A25373">
            <v>3332003</v>
          </cell>
          <cell r="B25373">
            <v>127151</v>
          </cell>
          <cell r="C25373" t="str">
            <v>Ryders Green Infant School</v>
          </cell>
          <cell r="D25373" t="str">
            <v>Sandwell</v>
          </cell>
          <cell r="E25373" t="str">
            <v>Community School</v>
          </cell>
          <cell r="F25373" t="str">
            <v>Primary</v>
          </cell>
        </row>
        <row r="25374">
          <cell r="A25374">
            <v>3332002</v>
          </cell>
          <cell r="B25374">
            <v>127150</v>
          </cell>
          <cell r="C25374" t="str">
            <v>Ryders Green Junior School</v>
          </cell>
          <cell r="D25374" t="str">
            <v>Sandwell</v>
          </cell>
          <cell r="E25374" t="str">
            <v>Community School</v>
          </cell>
          <cell r="F25374" t="str">
            <v>Primary</v>
          </cell>
        </row>
        <row r="25375">
          <cell r="A25375">
            <v>3332174</v>
          </cell>
          <cell r="B25375">
            <v>103979</v>
          </cell>
          <cell r="C25375" t="str">
            <v>Ryders Green Primary School</v>
          </cell>
          <cell r="D25375" t="str">
            <v>Sandwell</v>
          </cell>
          <cell r="E25375" t="str">
            <v>Community School</v>
          </cell>
          <cell r="F25375" t="str">
            <v>Primary</v>
          </cell>
        </row>
        <row r="25376">
          <cell r="A25376">
            <v>3352224</v>
          </cell>
          <cell r="B25376">
            <v>104205</v>
          </cell>
          <cell r="C25376" t="str">
            <v>Ryders Hayes Community School</v>
          </cell>
          <cell r="D25376" t="str">
            <v>Walsall</v>
          </cell>
          <cell r="E25376" t="str">
            <v>Community School</v>
          </cell>
          <cell r="F25376" t="str">
            <v>Primary</v>
          </cell>
        </row>
        <row r="25377">
          <cell r="A25377">
            <v>3352224</v>
          </cell>
          <cell r="B25377">
            <v>136619</v>
          </cell>
          <cell r="C25377" t="str">
            <v>Ryders Hayes School</v>
          </cell>
          <cell r="D25377" t="str">
            <v>Walsall</v>
          </cell>
          <cell r="E25377" t="str">
            <v>Academy Converters</v>
          </cell>
          <cell r="F25377" t="str">
            <v>Primary</v>
          </cell>
        </row>
        <row r="25378">
          <cell r="A25378">
            <v>9366049</v>
          </cell>
          <cell r="B25378">
            <v>125344</v>
          </cell>
          <cell r="C25378" t="str">
            <v>Rydes Hill Preparatory School</v>
          </cell>
          <cell r="D25378" t="str">
            <v>Surrey</v>
          </cell>
          <cell r="E25378" t="str">
            <v>Other Independent School</v>
          </cell>
          <cell r="F25378" t="str">
            <v>Not applicable</v>
          </cell>
        </row>
        <row r="25379">
          <cell r="A25379">
            <v>3547011</v>
          </cell>
          <cell r="B25379">
            <v>105864</v>
          </cell>
          <cell r="C25379" t="str">
            <v>Rydings Special School</v>
          </cell>
          <cell r="D25379" t="str">
            <v>Rochdale</v>
          </cell>
          <cell r="E25379" t="str">
            <v>Community Special School</v>
          </cell>
          <cell r="F25379" t="str">
            <v>Special</v>
          </cell>
        </row>
        <row r="25380">
          <cell r="A25380">
            <v>9384018</v>
          </cell>
          <cell r="B25380">
            <v>126067</v>
          </cell>
          <cell r="C25380" t="str">
            <v>Rydon Community College</v>
          </cell>
          <cell r="D25380" t="str">
            <v>West Sussex</v>
          </cell>
          <cell r="E25380" t="str">
            <v>Community School</v>
          </cell>
          <cell r="F25380" t="str">
            <v>Middle Deemed Secondary</v>
          </cell>
        </row>
        <row r="25381">
          <cell r="A25381">
            <v>8782474</v>
          </cell>
          <cell r="B25381">
            <v>113243</v>
          </cell>
          <cell r="C25381" t="str">
            <v>Rydon Primary School</v>
          </cell>
          <cell r="D25381" t="str">
            <v>Devon</v>
          </cell>
          <cell r="E25381" t="str">
            <v>Community School</v>
          </cell>
          <cell r="F25381" t="str">
            <v>Primary</v>
          </cell>
        </row>
        <row r="25382">
          <cell r="A25382">
            <v>8782474</v>
          </cell>
          <cell r="B25382">
            <v>137528</v>
          </cell>
          <cell r="C25382" t="str">
            <v>Rydon Primary School</v>
          </cell>
          <cell r="D25382" t="str">
            <v>Devon</v>
          </cell>
          <cell r="E25382" t="str">
            <v>Academy Converters</v>
          </cell>
          <cell r="F25382" t="str">
            <v>Primary</v>
          </cell>
        </row>
        <row r="25383">
          <cell r="A25383">
            <v>8454045</v>
          </cell>
          <cell r="B25383">
            <v>114596</v>
          </cell>
          <cell r="C25383" t="str">
            <v>Rye College</v>
          </cell>
          <cell r="D25383" t="str">
            <v>East Sussex</v>
          </cell>
          <cell r="E25383" t="str">
            <v>Community School</v>
          </cell>
          <cell r="F25383" t="str">
            <v>Secondary</v>
          </cell>
        </row>
        <row r="25384">
          <cell r="A25384">
            <v>8453364</v>
          </cell>
          <cell r="B25384">
            <v>135299</v>
          </cell>
          <cell r="C25384" t="str">
            <v>Rye Community Primary School</v>
          </cell>
          <cell r="D25384" t="str">
            <v>East Sussex</v>
          </cell>
          <cell r="E25384" t="str">
            <v>Community School</v>
          </cell>
          <cell r="F25384" t="str">
            <v>Primary</v>
          </cell>
        </row>
        <row r="25385">
          <cell r="A25385">
            <v>8074125</v>
          </cell>
          <cell r="B25385">
            <v>111742</v>
          </cell>
          <cell r="C25385" t="str">
            <v>Rye Hills School</v>
          </cell>
          <cell r="D25385" t="str">
            <v>Redcar and Cleveland</v>
          </cell>
          <cell r="E25385" t="str">
            <v>Foundation School</v>
          </cell>
          <cell r="F25385" t="str">
            <v>Secondary</v>
          </cell>
        </row>
        <row r="25386">
          <cell r="A25386">
            <v>2103670</v>
          </cell>
          <cell r="B25386">
            <v>134903</v>
          </cell>
          <cell r="C25386" t="str">
            <v>Rye Oak School</v>
          </cell>
          <cell r="D25386" t="str">
            <v>Southwark</v>
          </cell>
          <cell r="E25386" t="str">
            <v>Community School</v>
          </cell>
          <cell r="F25386" t="str">
            <v>Primary</v>
          </cell>
        </row>
        <row r="25387">
          <cell r="A25387">
            <v>9191011</v>
          </cell>
          <cell r="B25387">
            <v>117072</v>
          </cell>
          <cell r="C25387" t="str">
            <v>Rye Park Nursery School</v>
          </cell>
          <cell r="D25387" t="str">
            <v>Hertfordshire</v>
          </cell>
          <cell r="E25387" t="str">
            <v>LA Nursery School</v>
          </cell>
          <cell r="F25387" t="str">
            <v>Nursery</v>
          </cell>
        </row>
        <row r="25388">
          <cell r="A25388">
            <v>9316070</v>
          </cell>
          <cell r="B25388">
            <v>123295</v>
          </cell>
          <cell r="C25388" t="str">
            <v>Rye St Antony School</v>
          </cell>
          <cell r="D25388" t="str">
            <v>Oxfordshire</v>
          </cell>
          <cell r="E25388" t="str">
            <v>Other Independent School</v>
          </cell>
          <cell r="F25388" t="str">
            <v>Not applicable</v>
          </cell>
        </row>
        <row r="25389">
          <cell r="A25389">
            <v>8604511</v>
          </cell>
          <cell r="B25389">
            <v>124450</v>
          </cell>
          <cell r="C25389" t="str">
            <v>Ryecroft CofE (C) Middle School</v>
          </cell>
          <cell r="D25389" t="str">
            <v>Staffordshire</v>
          </cell>
          <cell r="E25389" t="str">
            <v>Voluntary Controlled School</v>
          </cell>
          <cell r="F25389" t="str">
            <v>Middle Deemed Secondary</v>
          </cell>
        </row>
        <row r="25390">
          <cell r="A25390">
            <v>3834021</v>
          </cell>
          <cell r="B25390">
            <v>127967</v>
          </cell>
          <cell r="C25390" t="str">
            <v>Ryecroft Middle School</v>
          </cell>
          <cell r="D25390" t="str">
            <v>Leeds</v>
          </cell>
          <cell r="E25390" t="str">
            <v>Community School</v>
          </cell>
          <cell r="F25390" t="str">
            <v>Middle Deemed Secondary</v>
          </cell>
        </row>
        <row r="25391">
          <cell r="A25391">
            <v>3802097</v>
          </cell>
          <cell r="B25391">
            <v>107245</v>
          </cell>
          <cell r="C25391" t="str">
            <v>Ryecroft Primary School</v>
          </cell>
          <cell r="D25391" t="str">
            <v>Bradford</v>
          </cell>
          <cell r="E25391" t="str">
            <v>Community School</v>
          </cell>
          <cell r="F25391" t="str">
            <v>Primary</v>
          </cell>
        </row>
        <row r="25392">
          <cell r="A25392">
            <v>3832501</v>
          </cell>
          <cell r="B25392">
            <v>107977</v>
          </cell>
          <cell r="C25392" t="str">
            <v>Ryecroft Primary School</v>
          </cell>
          <cell r="D25392" t="str">
            <v>Leeds</v>
          </cell>
          <cell r="E25392" t="str">
            <v>Community School</v>
          </cell>
          <cell r="F25392" t="str">
            <v>Primary</v>
          </cell>
        </row>
        <row r="25393">
          <cell r="A25393">
            <v>8154022</v>
          </cell>
          <cell r="B25393">
            <v>121665</v>
          </cell>
          <cell r="C25393" t="str">
            <v>Ryedale School</v>
          </cell>
          <cell r="D25393" t="str">
            <v>North Yorkshire</v>
          </cell>
          <cell r="E25393" t="str">
            <v>Community School</v>
          </cell>
          <cell r="F25393" t="str">
            <v>Secondary</v>
          </cell>
        </row>
        <row r="25394">
          <cell r="A25394">
            <v>8812686</v>
          </cell>
          <cell r="B25394">
            <v>114949</v>
          </cell>
          <cell r="C25394" t="str">
            <v>Ryedene Community Primary School</v>
          </cell>
          <cell r="D25394" t="str">
            <v>Essex</v>
          </cell>
          <cell r="E25394" t="str">
            <v>Community School</v>
          </cell>
          <cell r="F25394" t="str">
            <v>Primary</v>
          </cell>
        </row>
        <row r="25395">
          <cell r="A25395">
            <v>3122048</v>
          </cell>
          <cell r="B25395">
            <v>102397</v>
          </cell>
          <cell r="C25395" t="str">
            <v>Ryefield Primary School</v>
          </cell>
          <cell r="D25395" t="str">
            <v>Hillingdon</v>
          </cell>
          <cell r="E25395" t="str">
            <v>Community School</v>
          </cell>
          <cell r="F25395" t="str">
            <v>Primary</v>
          </cell>
        </row>
        <row r="25396">
          <cell r="A25396">
            <v>8724041</v>
          </cell>
          <cell r="B25396">
            <v>110054</v>
          </cell>
          <cell r="C25396" t="str">
            <v>Ryeish Green School</v>
          </cell>
          <cell r="D25396" t="str">
            <v>Wokingham</v>
          </cell>
          <cell r="E25396" t="str">
            <v>Community School</v>
          </cell>
          <cell r="F25396" t="str">
            <v>Secondary</v>
          </cell>
        </row>
        <row r="25397">
          <cell r="A25397">
            <v>9284073</v>
          </cell>
          <cell r="B25397">
            <v>122081</v>
          </cell>
          <cell r="C25397" t="str">
            <v>Ryelands Middle School</v>
          </cell>
          <cell r="D25397" t="str">
            <v>Northamptonshire</v>
          </cell>
          <cell r="E25397" t="str">
            <v>Community School</v>
          </cell>
          <cell r="F25397" t="str">
            <v>Middle Deemed Secondary</v>
          </cell>
        </row>
        <row r="25398">
          <cell r="A25398">
            <v>3062032</v>
          </cell>
          <cell r="B25398">
            <v>101732</v>
          </cell>
          <cell r="C25398" t="str">
            <v>Ryelands Primary School</v>
          </cell>
          <cell r="D25398" t="str">
            <v>Croydon</v>
          </cell>
          <cell r="E25398" t="str">
            <v>Community School</v>
          </cell>
          <cell r="F25398" t="str">
            <v>Primary</v>
          </cell>
        </row>
        <row r="25399">
          <cell r="A25399">
            <v>9192450</v>
          </cell>
          <cell r="B25399">
            <v>117351</v>
          </cell>
          <cell r="C25399" t="str">
            <v>Ryelands Primary School</v>
          </cell>
          <cell r="D25399" t="str">
            <v>Hertfordshire</v>
          </cell>
          <cell r="E25399" t="str">
            <v>Community School</v>
          </cell>
          <cell r="F25399" t="str">
            <v>Primary</v>
          </cell>
        </row>
        <row r="25400">
          <cell r="A25400">
            <v>8573116</v>
          </cell>
          <cell r="B25400">
            <v>120182</v>
          </cell>
          <cell r="C25400" t="str">
            <v>Ryhall CofE Primary School</v>
          </cell>
          <cell r="D25400" t="str">
            <v>Rutland</v>
          </cell>
          <cell r="E25400" t="str">
            <v>Voluntary Controlled School</v>
          </cell>
          <cell r="F25400" t="str">
            <v>Primary</v>
          </cell>
        </row>
        <row r="25401">
          <cell r="A25401">
            <v>3842066</v>
          </cell>
          <cell r="B25401">
            <v>108155</v>
          </cell>
          <cell r="C25401" t="str">
            <v>Ryhill First School</v>
          </cell>
          <cell r="D25401" t="str">
            <v>Wakefield</v>
          </cell>
          <cell r="E25401" t="str">
            <v>Community School</v>
          </cell>
          <cell r="F25401" t="str">
            <v>Primary</v>
          </cell>
        </row>
        <row r="25402">
          <cell r="A25402">
            <v>3842195</v>
          </cell>
          <cell r="B25402">
            <v>130972</v>
          </cell>
          <cell r="C25402" t="str">
            <v>Ryhill Junior, Infant and Nursery School</v>
          </cell>
          <cell r="D25402" t="str">
            <v>Wakefield</v>
          </cell>
          <cell r="E25402" t="str">
            <v>Community School</v>
          </cell>
          <cell r="F25402" t="str">
            <v>Primary</v>
          </cell>
        </row>
        <row r="25403">
          <cell r="A25403">
            <v>3942094</v>
          </cell>
          <cell r="B25403">
            <v>108788</v>
          </cell>
          <cell r="C25403" t="str">
            <v>Ryhope Infant School</v>
          </cell>
          <cell r="D25403" t="str">
            <v>Sunderland</v>
          </cell>
          <cell r="E25403" t="str">
            <v>Community School</v>
          </cell>
          <cell r="F25403" t="str">
            <v>Primary</v>
          </cell>
        </row>
        <row r="25404">
          <cell r="A25404">
            <v>3942093</v>
          </cell>
          <cell r="B25404">
            <v>108787</v>
          </cell>
          <cell r="C25404" t="str">
            <v>Ryhope Junior School</v>
          </cell>
          <cell r="D25404" t="str">
            <v>Sunderland</v>
          </cell>
          <cell r="E25404" t="str">
            <v>Community School</v>
          </cell>
          <cell r="F25404" t="str">
            <v>Primary</v>
          </cell>
        </row>
        <row r="25405">
          <cell r="A25405">
            <v>3944054</v>
          </cell>
          <cell r="B25405">
            <v>128205</v>
          </cell>
          <cell r="C25405" t="str">
            <v>Ryhope School</v>
          </cell>
          <cell r="D25405" t="str">
            <v>Sunderland</v>
          </cell>
          <cell r="E25405" t="str">
            <v>Community School</v>
          </cell>
          <cell r="F25405" t="str">
            <v>Secondary</v>
          </cell>
        </row>
        <row r="25406">
          <cell r="A25406">
            <v>8602167</v>
          </cell>
          <cell r="B25406">
            <v>124063</v>
          </cell>
          <cell r="C25406" t="str">
            <v>Rykneld Primary School</v>
          </cell>
          <cell r="D25406" t="str">
            <v>Staffordshire</v>
          </cell>
          <cell r="E25406" t="str">
            <v>Community School</v>
          </cell>
          <cell r="F25406" t="str">
            <v>Primary</v>
          </cell>
        </row>
        <row r="25407">
          <cell r="A25407">
            <v>8754119</v>
          </cell>
          <cell r="B25407">
            <v>111403</v>
          </cell>
          <cell r="C25407" t="str">
            <v>Ryles Park High School</v>
          </cell>
          <cell r="D25407" t="str">
            <v>Pre LGR (2009) Cheshire</v>
          </cell>
          <cell r="E25407" t="str">
            <v>Community School</v>
          </cell>
          <cell r="F25407" t="str">
            <v>Secondary</v>
          </cell>
        </row>
        <row r="25408">
          <cell r="A25408">
            <v>3804088</v>
          </cell>
          <cell r="B25408">
            <v>107404</v>
          </cell>
          <cell r="C25408" t="str">
            <v>Ryshworth Middle School</v>
          </cell>
          <cell r="D25408" t="str">
            <v>Bradford</v>
          </cell>
          <cell r="E25408" t="str">
            <v>Community School</v>
          </cell>
          <cell r="F25408" t="str">
            <v>Middle Deemed Secondary</v>
          </cell>
        </row>
        <row r="25409">
          <cell r="A25409">
            <v>3902188</v>
          </cell>
          <cell r="B25409">
            <v>108352</v>
          </cell>
          <cell r="C25409" t="str">
            <v>Ryton Community Infant School</v>
          </cell>
          <cell r="D25409" t="str">
            <v>Gateshead</v>
          </cell>
          <cell r="E25409" t="str">
            <v>Community School</v>
          </cell>
          <cell r="F25409" t="str">
            <v>Primary</v>
          </cell>
        </row>
        <row r="25410">
          <cell r="A25410">
            <v>3902193</v>
          </cell>
          <cell r="B25410">
            <v>108355</v>
          </cell>
          <cell r="C25410" t="str">
            <v>Ryton Junior School</v>
          </cell>
          <cell r="D25410" t="str">
            <v>Gateshead</v>
          </cell>
          <cell r="E25410" t="str">
            <v>Community School</v>
          </cell>
          <cell r="F25410" t="str">
            <v>Primary</v>
          </cell>
        </row>
        <row r="25411">
          <cell r="A25411">
            <v>8912933</v>
          </cell>
          <cell r="B25411">
            <v>122737</v>
          </cell>
          <cell r="C25411" t="str">
            <v>Ryton Park Primary School</v>
          </cell>
          <cell r="D25411" t="str">
            <v>Nottinghamshire</v>
          </cell>
          <cell r="E25411" t="str">
            <v>Community School</v>
          </cell>
          <cell r="F25411" t="str">
            <v>Primary</v>
          </cell>
        </row>
        <row r="25412">
          <cell r="A25412">
            <v>9373187</v>
          </cell>
          <cell r="B25412">
            <v>125674</v>
          </cell>
          <cell r="C25412" t="str">
            <v>Ryton-On-Dunsmore CofE First School</v>
          </cell>
          <cell r="D25412" t="str">
            <v>Warwickshire</v>
          </cell>
          <cell r="E25412" t="str">
            <v>Voluntary Controlled School</v>
          </cell>
          <cell r="F25412" t="str">
            <v>Primary</v>
          </cell>
        </row>
        <row r="25413">
          <cell r="A25413">
            <v>8715209</v>
          </cell>
          <cell r="B25413">
            <v>109934</v>
          </cell>
          <cell r="C25413" t="str">
            <v>Ryvers Primary School</v>
          </cell>
          <cell r="D25413" t="str">
            <v>Slough</v>
          </cell>
          <cell r="E25413" t="str">
            <v>Foundation School</v>
          </cell>
          <cell r="F25413" t="str">
            <v>Primary</v>
          </cell>
        </row>
        <row r="25414">
          <cell r="A25414">
            <v>8882073</v>
          </cell>
          <cell r="B25414">
            <v>119165</v>
          </cell>
          <cell r="C25414" t="str">
            <v>Sabden Primary School</v>
          </cell>
          <cell r="D25414" t="str">
            <v>Lancashire</v>
          </cell>
          <cell r="E25414" t="str">
            <v>Community School</v>
          </cell>
          <cell r="F25414" t="str">
            <v>Primary</v>
          </cell>
        </row>
        <row r="25415">
          <cell r="A25415">
            <v>8036006</v>
          </cell>
          <cell r="B25415">
            <v>135239</v>
          </cell>
          <cell r="C25415" t="str">
            <v>Sabis International School Uk</v>
          </cell>
          <cell r="D25415" t="str">
            <v>South Gloucestershire</v>
          </cell>
          <cell r="E25415" t="str">
            <v>Other Independent School</v>
          </cell>
          <cell r="F25415" t="str">
            <v>Not applicable</v>
          </cell>
        </row>
        <row r="25416">
          <cell r="A25416">
            <v>8866058</v>
          </cell>
          <cell r="B25416">
            <v>119007</v>
          </cell>
          <cell r="C25416" t="str">
            <v>Sackville School</v>
          </cell>
          <cell r="D25416" t="str">
            <v>Kent</v>
          </cell>
          <cell r="E25416" t="str">
            <v>Other Independent School</v>
          </cell>
          <cell r="F25416" t="str">
            <v>Not applicable</v>
          </cell>
        </row>
        <row r="25417">
          <cell r="A25417">
            <v>9384107</v>
          </cell>
          <cell r="B25417">
            <v>126089</v>
          </cell>
          <cell r="C25417" t="str">
            <v>Sackville School</v>
          </cell>
          <cell r="D25417" t="str">
            <v>West Sussex</v>
          </cell>
          <cell r="E25417" t="str">
            <v>Community School</v>
          </cell>
          <cell r="F25417" t="str">
            <v>Secondary</v>
          </cell>
        </row>
        <row r="25418">
          <cell r="A25418">
            <v>3434623</v>
          </cell>
          <cell r="B25418">
            <v>104961</v>
          </cell>
          <cell r="C25418" t="str">
            <v>Sacred Heart Catholic College</v>
          </cell>
          <cell r="D25418" t="str">
            <v>Sefton</v>
          </cell>
          <cell r="E25418" t="str">
            <v>Voluntary Aided School</v>
          </cell>
          <cell r="F25418" t="str">
            <v>Secondary</v>
          </cell>
        </row>
        <row r="25419">
          <cell r="A25419">
            <v>3123405</v>
          </cell>
          <cell r="B25419">
            <v>102426</v>
          </cell>
          <cell r="C25419" t="str">
            <v>Sacred Heart Catholic Primary School</v>
          </cell>
          <cell r="D25419" t="str">
            <v>Hillingdon</v>
          </cell>
          <cell r="E25419" t="str">
            <v>Voluntary Aided School</v>
          </cell>
          <cell r="F25419" t="str">
            <v>Primary</v>
          </cell>
        </row>
        <row r="25420">
          <cell r="A25420">
            <v>3153501</v>
          </cell>
          <cell r="B25420">
            <v>102668</v>
          </cell>
          <cell r="C25420" t="str">
            <v>Sacred Heart Catholic Primary School</v>
          </cell>
          <cell r="D25420" t="str">
            <v>Merton</v>
          </cell>
          <cell r="E25420" t="str">
            <v>Voluntary Aided School</v>
          </cell>
          <cell r="F25420" t="str">
            <v>Primary</v>
          </cell>
        </row>
        <row r="25421">
          <cell r="A25421">
            <v>3313404</v>
          </cell>
          <cell r="B25421">
            <v>103709</v>
          </cell>
          <cell r="C25421" t="str">
            <v>Sacred Heart Catholic Primary School</v>
          </cell>
          <cell r="D25421" t="str">
            <v>Coventry</v>
          </cell>
          <cell r="E25421" t="str">
            <v>Voluntary Aided School</v>
          </cell>
          <cell r="F25421" t="str">
            <v>Primary</v>
          </cell>
        </row>
        <row r="25422">
          <cell r="A25422">
            <v>3333306</v>
          </cell>
          <cell r="B25422">
            <v>103994</v>
          </cell>
          <cell r="C25422" t="str">
            <v>Sacred Heart Catholic Primary School</v>
          </cell>
          <cell r="D25422" t="str">
            <v>Sandwell</v>
          </cell>
          <cell r="E25422" t="str">
            <v>Voluntary Aided School</v>
          </cell>
          <cell r="F25422" t="str">
            <v>Primary</v>
          </cell>
        </row>
        <row r="25423">
          <cell r="A25423">
            <v>3403321</v>
          </cell>
          <cell r="B25423">
            <v>104465</v>
          </cell>
          <cell r="C25423" t="str">
            <v>Sacred Heart Catholic Primary School</v>
          </cell>
          <cell r="D25423" t="str">
            <v>Knowsley</v>
          </cell>
          <cell r="E25423" t="str">
            <v>Voluntary Aided School</v>
          </cell>
          <cell r="F25423" t="str">
            <v>Primary</v>
          </cell>
        </row>
        <row r="25424">
          <cell r="A25424">
            <v>3413528</v>
          </cell>
          <cell r="B25424">
            <v>104641</v>
          </cell>
          <cell r="C25424" t="str">
            <v>Sacred Heart Catholic Primary School</v>
          </cell>
          <cell r="D25424" t="str">
            <v>Liverpool</v>
          </cell>
          <cell r="E25424" t="str">
            <v>Voluntary Aided School</v>
          </cell>
          <cell r="F25424" t="str">
            <v>Primary</v>
          </cell>
        </row>
        <row r="25425">
          <cell r="A25425">
            <v>3443335</v>
          </cell>
          <cell r="B25425">
            <v>105074</v>
          </cell>
          <cell r="C25425" t="str">
            <v>Sacred Heart Catholic Primary School</v>
          </cell>
          <cell r="D25425" t="str">
            <v>Wirral</v>
          </cell>
          <cell r="E25425" t="str">
            <v>Voluntary Aided School</v>
          </cell>
          <cell r="F25425" t="str">
            <v>Primary</v>
          </cell>
        </row>
        <row r="25426">
          <cell r="A25426">
            <v>3523464</v>
          </cell>
          <cell r="B25426">
            <v>105536</v>
          </cell>
          <cell r="C25426" t="str">
            <v>Sacred Heart Catholic Primary School</v>
          </cell>
          <cell r="D25426" t="str">
            <v>Manchester</v>
          </cell>
          <cell r="E25426" t="str">
            <v>Voluntary Aided School</v>
          </cell>
          <cell r="F25426" t="str">
            <v>Primary</v>
          </cell>
        </row>
        <row r="25427">
          <cell r="A25427">
            <v>3593331</v>
          </cell>
          <cell r="B25427">
            <v>106461</v>
          </cell>
          <cell r="C25427" t="str">
            <v>Sacred Heart Catholic Primary School</v>
          </cell>
          <cell r="D25427" t="str">
            <v>Wigan</v>
          </cell>
          <cell r="E25427" t="str">
            <v>Voluntary Aided School</v>
          </cell>
          <cell r="F25427" t="str">
            <v>Primary</v>
          </cell>
        </row>
        <row r="25428">
          <cell r="A25428">
            <v>3703320</v>
          </cell>
          <cell r="B25428">
            <v>106643</v>
          </cell>
          <cell r="C25428" t="str">
            <v>Sacred Heart Catholic Primary School</v>
          </cell>
          <cell r="D25428" t="str">
            <v>Barnsley</v>
          </cell>
          <cell r="E25428" t="str">
            <v>Voluntary Aided School</v>
          </cell>
          <cell r="F25428" t="str">
            <v>Primary</v>
          </cell>
        </row>
        <row r="25429">
          <cell r="A25429">
            <v>3733401</v>
          </cell>
          <cell r="B25429">
            <v>107111</v>
          </cell>
          <cell r="C25429" t="str">
            <v>Sacred Heart Catholic Primary School</v>
          </cell>
          <cell r="D25429" t="str">
            <v>Sheffield</v>
          </cell>
          <cell r="E25429" t="str">
            <v>Voluntary Aided School</v>
          </cell>
          <cell r="F25429" t="str">
            <v>Primary</v>
          </cell>
        </row>
        <row r="25430">
          <cell r="A25430">
            <v>3833377</v>
          </cell>
          <cell r="B25430">
            <v>108031</v>
          </cell>
          <cell r="C25430" t="str">
            <v>Sacred Heart Catholic Primary School</v>
          </cell>
          <cell r="D25430" t="str">
            <v>Leeds</v>
          </cell>
          <cell r="E25430" t="str">
            <v>Voluntary Aided School</v>
          </cell>
          <cell r="F25430" t="str">
            <v>Primary</v>
          </cell>
        </row>
        <row r="25431">
          <cell r="A25431">
            <v>3843329</v>
          </cell>
          <cell r="B25431">
            <v>108262</v>
          </cell>
          <cell r="C25431" t="str">
            <v>Sacred Heart Catholic Primary School</v>
          </cell>
          <cell r="D25431" t="str">
            <v>Wakefield</v>
          </cell>
          <cell r="E25431" t="str">
            <v>Voluntary Aided School</v>
          </cell>
          <cell r="F25431" t="str">
            <v>Primary</v>
          </cell>
        </row>
        <row r="25432">
          <cell r="A25432">
            <v>8773401</v>
          </cell>
          <cell r="B25432">
            <v>111306</v>
          </cell>
          <cell r="C25432" t="str">
            <v>Sacred Heart Catholic Primary School</v>
          </cell>
          <cell r="D25432" t="str">
            <v>Warrington</v>
          </cell>
          <cell r="E25432" t="str">
            <v>Voluntary Aided School</v>
          </cell>
          <cell r="F25432" t="str">
            <v>Primary</v>
          </cell>
        </row>
        <row r="25433">
          <cell r="A25433">
            <v>9093602</v>
          </cell>
          <cell r="B25433">
            <v>112363</v>
          </cell>
          <cell r="C25433" t="str">
            <v>Sacred Heart Catholic Primary School</v>
          </cell>
          <cell r="D25433" t="str">
            <v>Cumbria</v>
          </cell>
          <cell r="E25433" t="str">
            <v>Voluntary Aided School</v>
          </cell>
          <cell r="F25433" t="str">
            <v>Primary</v>
          </cell>
        </row>
        <row r="25434">
          <cell r="A25434">
            <v>9193424</v>
          </cell>
          <cell r="B25434">
            <v>117493</v>
          </cell>
          <cell r="C25434" t="str">
            <v>Sacred Heart Catholic Primary School</v>
          </cell>
          <cell r="D25434" t="str">
            <v>Hertfordshire</v>
          </cell>
          <cell r="E25434" t="str">
            <v>Voluntary Aided School</v>
          </cell>
          <cell r="F25434" t="str">
            <v>Primary</v>
          </cell>
        </row>
        <row r="25435">
          <cell r="A25435">
            <v>8883642</v>
          </cell>
          <cell r="B25435">
            <v>119606</v>
          </cell>
          <cell r="C25435" t="str">
            <v>Sacred Heart Catholic Primary School</v>
          </cell>
          <cell r="D25435" t="str">
            <v>Lancashire</v>
          </cell>
          <cell r="E25435" t="str">
            <v>Voluntary Aided School</v>
          </cell>
          <cell r="F25435" t="str">
            <v>Primary</v>
          </cell>
        </row>
        <row r="25436">
          <cell r="A25436">
            <v>8563422</v>
          </cell>
          <cell r="B25436">
            <v>120222</v>
          </cell>
          <cell r="C25436" t="str">
            <v>Sacred Heart Catholic Primary School</v>
          </cell>
          <cell r="D25436" t="str">
            <v>Leicester</v>
          </cell>
          <cell r="E25436" t="str">
            <v>Voluntary Aided School</v>
          </cell>
          <cell r="F25436" t="str">
            <v>Primary</v>
          </cell>
        </row>
        <row r="25437">
          <cell r="A25437">
            <v>8823326</v>
          </cell>
          <cell r="B25437">
            <v>115146</v>
          </cell>
          <cell r="C25437" t="str">
            <v>Sacred Heart Catholic Primary School and Nursery</v>
          </cell>
          <cell r="D25437" t="str">
            <v>Southend-on-Sea</v>
          </cell>
          <cell r="E25437" t="str">
            <v>Voluntary Aided School</v>
          </cell>
          <cell r="F25437" t="str">
            <v>Primary</v>
          </cell>
        </row>
        <row r="25438">
          <cell r="A25438">
            <v>9193415</v>
          </cell>
          <cell r="B25438">
            <v>117488</v>
          </cell>
          <cell r="C25438" t="str">
            <v>Sacred Heart Catholic Primary School and Nursery</v>
          </cell>
          <cell r="D25438" t="str">
            <v>Hertfordshire</v>
          </cell>
          <cell r="E25438" t="str">
            <v>Voluntary Aided School</v>
          </cell>
          <cell r="F25438" t="str">
            <v>Primary</v>
          </cell>
        </row>
        <row r="25439">
          <cell r="A25439">
            <v>3593403</v>
          </cell>
          <cell r="B25439">
            <v>106502</v>
          </cell>
          <cell r="C25439" t="str">
            <v>Sacred Heart Catholic Primary School Leigh</v>
          </cell>
          <cell r="D25439" t="str">
            <v>Wigan</v>
          </cell>
          <cell r="E25439" t="str">
            <v>Voluntary Aided School</v>
          </cell>
          <cell r="F25439" t="str">
            <v>Primary</v>
          </cell>
        </row>
        <row r="25440">
          <cell r="A25440">
            <v>2123645</v>
          </cell>
          <cell r="B25440">
            <v>131520</v>
          </cell>
          <cell r="C25440" t="str">
            <v>Sacred Heart Catholic Primary School, Battersea</v>
          </cell>
          <cell r="D25440" t="str">
            <v>Wandsworth</v>
          </cell>
          <cell r="E25440" t="str">
            <v>Voluntary Aided School</v>
          </cell>
          <cell r="F25440" t="str">
            <v>Primary</v>
          </cell>
        </row>
        <row r="25441">
          <cell r="A25441">
            <v>8913690</v>
          </cell>
          <cell r="B25441">
            <v>122811</v>
          </cell>
          <cell r="C25441" t="str">
            <v>Sacred Heart Catholic Primary School, Carlton</v>
          </cell>
          <cell r="D25441" t="str">
            <v>Nottinghamshire</v>
          </cell>
          <cell r="E25441" t="str">
            <v>Voluntary Aided School</v>
          </cell>
          <cell r="F25441" t="str">
            <v>Primary</v>
          </cell>
        </row>
        <row r="25442">
          <cell r="A25442">
            <v>8883783</v>
          </cell>
          <cell r="B25442">
            <v>119670</v>
          </cell>
          <cell r="C25442" t="str">
            <v>Sacred Heart Catholic Primary School, Chorley</v>
          </cell>
          <cell r="D25442" t="str">
            <v>Lancashire</v>
          </cell>
          <cell r="E25442" t="str">
            <v>Voluntary Aided School</v>
          </cell>
          <cell r="F25442" t="str">
            <v>Primary</v>
          </cell>
        </row>
        <row r="25443">
          <cell r="A25443">
            <v>8453354</v>
          </cell>
          <cell r="B25443">
            <v>114575</v>
          </cell>
          <cell r="C25443" t="str">
            <v>Sacred Heart Catholic Primary School, Hastings</v>
          </cell>
          <cell r="D25443" t="str">
            <v>East Sussex</v>
          </cell>
          <cell r="E25443" t="str">
            <v>Voluntary Aided School</v>
          </cell>
          <cell r="F25443" t="str">
            <v>Primary</v>
          </cell>
        </row>
        <row r="25444">
          <cell r="A25444">
            <v>9313820</v>
          </cell>
          <cell r="B25444">
            <v>123204</v>
          </cell>
          <cell r="C25444" t="str">
            <v>Sacred Heart Catholic Primary School, Henley-on-Thames</v>
          </cell>
          <cell r="D25444" t="str">
            <v>Oxfordshire</v>
          </cell>
          <cell r="E25444" t="str">
            <v>Voluntary Aided School</v>
          </cell>
          <cell r="F25444" t="str">
            <v>Primary</v>
          </cell>
        </row>
        <row r="25445">
          <cell r="A25445">
            <v>3593432</v>
          </cell>
          <cell r="B25445">
            <v>130955</v>
          </cell>
          <cell r="C25445" t="str">
            <v>Sacred Heart Catholic Primary School, Hindley Green</v>
          </cell>
          <cell r="D25445" t="str">
            <v>Wigan</v>
          </cell>
          <cell r="E25445" t="str">
            <v>Voluntary Aided School</v>
          </cell>
          <cell r="F25445" t="str">
            <v>Primary</v>
          </cell>
        </row>
        <row r="25446">
          <cell r="A25446">
            <v>8553341</v>
          </cell>
          <cell r="B25446">
            <v>120215</v>
          </cell>
          <cell r="C25446" t="str">
            <v>Sacred Heart Catholic Primary School, Loughborough, Leicestershire</v>
          </cell>
          <cell r="D25446" t="str">
            <v>Leicestershire</v>
          </cell>
          <cell r="E25446" t="str">
            <v>Voluntary Aided School</v>
          </cell>
          <cell r="F25446" t="str">
            <v>Primary</v>
          </cell>
        </row>
        <row r="25447">
          <cell r="A25447">
            <v>2123629</v>
          </cell>
          <cell r="B25447">
            <v>101050</v>
          </cell>
          <cell r="C25447" t="str">
            <v>Sacred Heart Catholic Primary School, Roehampton</v>
          </cell>
          <cell r="D25447" t="str">
            <v>Wandsworth</v>
          </cell>
          <cell r="E25447" t="str">
            <v>Voluntary Aided School</v>
          </cell>
          <cell r="F25447" t="str">
            <v>Primary</v>
          </cell>
        </row>
        <row r="25448">
          <cell r="A25448">
            <v>3813328</v>
          </cell>
          <cell r="B25448">
            <v>107558</v>
          </cell>
          <cell r="C25448" t="str">
            <v>Sacred Heart Catholic Primary School, Sowerby Bridge</v>
          </cell>
          <cell r="D25448" t="str">
            <v>Calderdale</v>
          </cell>
          <cell r="E25448" t="str">
            <v>Voluntary Aided School</v>
          </cell>
          <cell r="F25448" t="str">
            <v>Primary</v>
          </cell>
        </row>
        <row r="25449">
          <cell r="A25449">
            <v>8883720</v>
          </cell>
          <cell r="B25449">
            <v>119632</v>
          </cell>
          <cell r="C25449" t="str">
            <v>Sacred Heart Catholic Primary School, Thornton Cleveleys</v>
          </cell>
          <cell r="D25449" t="str">
            <v>Lancashire</v>
          </cell>
          <cell r="E25449" t="str">
            <v>Voluntary Aided School</v>
          </cell>
          <cell r="F25449" t="str">
            <v>Primary</v>
          </cell>
        </row>
        <row r="25450">
          <cell r="A25450">
            <v>3303409</v>
          </cell>
          <cell r="B25450">
            <v>103477</v>
          </cell>
          <cell r="C25450" t="str">
            <v>Sacred Heart Catholic School</v>
          </cell>
          <cell r="D25450" t="str">
            <v>Birmingham</v>
          </cell>
          <cell r="E25450" t="str">
            <v>Voluntary Aided School</v>
          </cell>
          <cell r="F25450" t="str">
            <v>Primary</v>
          </cell>
        </row>
        <row r="25451">
          <cell r="A25451">
            <v>8803613</v>
          </cell>
          <cell r="B25451">
            <v>113470</v>
          </cell>
          <cell r="C25451" t="str">
            <v>Sacred Heart Catholic School</v>
          </cell>
          <cell r="D25451" t="str">
            <v>Torbay</v>
          </cell>
          <cell r="E25451" t="str">
            <v>Voluntary Aided School</v>
          </cell>
          <cell r="F25451" t="str">
            <v>Primary</v>
          </cell>
        </row>
        <row r="25452">
          <cell r="A25452">
            <v>9186064</v>
          </cell>
          <cell r="B25452">
            <v>129097</v>
          </cell>
          <cell r="C25452" t="str">
            <v>Sacred Heart College</v>
          </cell>
          <cell r="D25452" t="str">
            <v>Pre LGR (1998) Hereford &amp; Worcester</v>
          </cell>
          <cell r="E25452" t="str">
            <v>Other Independent School</v>
          </cell>
          <cell r="F25452" t="str">
            <v>Not applicable</v>
          </cell>
        </row>
        <row r="25453">
          <cell r="A25453">
            <v>2054620</v>
          </cell>
          <cell r="B25453">
            <v>100363</v>
          </cell>
          <cell r="C25453" t="str">
            <v>Sacred Heart High School</v>
          </cell>
          <cell r="D25453" t="str">
            <v>Hammersmith and Fulham</v>
          </cell>
          <cell r="E25453" t="str">
            <v>Voluntary Aided School</v>
          </cell>
          <cell r="F25453" t="str">
            <v>Secondary</v>
          </cell>
        </row>
        <row r="25454">
          <cell r="A25454">
            <v>3914716</v>
          </cell>
          <cell r="B25454">
            <v>108536</v>
          </cell>
          <cell r="C25454" t="str">
            <v>Sacred Heart High School</v>
          </cell>
          <cell r="D25454" t="str">
            <v>Newcastle upon Tyne</v>
          </cell>
          <cell r="E25454" t="str">
            <v>Voluntary Aided School</v>
          </cell>
          <cell r="F25454" t="str">
            <v>Secondary</v>
          </cell>
        </row>
        <row r="25455">
          <cell r="A25455">
            <v>3914716</v>
          </cell>
          <cell r="B25455">
            <v>137708</v>
          </cell>
          <cell r="C25455" t="str">
            <v>Sacred Heart High School</v>
          </cell>
          <cell r="D25455" t="str">
            <v>Newcastle upon Tyne</v>
          </cell>
          <cell r="E25455" t="str">
            <v>Academy Converters</v>
          </cell>
          <cell r="F25455" t="str">
            <v>Secondary</v>
          </cell>
        </row>
        <row r="25456">
          <cell r="A25456">
            <v>2123393</v>
          </cell>
          <cell r="B25456">
            <v>101040</v>
          </cell>
          <cell r="C25456" t="str">
            <v>Sacred Heart Infant School</v>
          </cell>
          <cell r="D25456" t="str">
            <v>Wandsworth</v>
          </cell>
          <cell r="E25456" t="str">
            <v>Voluntary Aided School</v>
          </cell>
          <cell r="F25456" t="str">
            <v>Primary</v>
          </cell>
        </row>
        <row r="25457">
          <cell r="A25457">
            <v>2053394</v>
          </cell>
          <cell r="B25457">
            <v>100348</v>
          </cell>
          <cell r="C25457" t="str">
            <v>Sacred Heart Junior School</v>
          </cell>
          <cell r="D25457" t="str">
            <v>Hammersmith and Fulham</v>
          </cell>
          <cell r="E25457" t="str">
            <v>Voluntary Aided School</v>
          </cell>
          <cell r="F25457" t="str">
            <v>Primary</v>
          </cell>
        </row>
        <row r="25458">
          <cell r="A25458">
            <v>7086004</v>
          </cell>
          <cell r="B25458">
            <v>132354</v>
          </cell>
          <cell r="C25458" t="str">
            <v>Sacred Heart Middle School</v>
          </cell>
          <cell r="D25458" t="str">
            <v>Gibraltar Overseas Establishments</v>
          </cell>
          <cell r="E25458" t="str">
            <v>Service Childrens Education</v>
          </cell>
          <cell r="F25458" t="str">
            <v>Not applicable</v>
          </cell>
        </row>
        <row r="25459">
          <cell r="A25459">
            <v>3115403</v>
          </cell>
          <cell r="B25459">
            <v>102354</v>
          </cell>
          <cell r="C25459" t="str">
            <v>Sacred Heart of Mary Girls' School</v>
          </cell>
          <cell r="D25459" t="str">
            <v>Havering</v>
          </cell>
          <cell r="E25459" t="str">
            <v>Voluntary Aided School</v>
          </cell>
          <cell r="F25459" t="str">
            <v>Secondary</v>
          </cell>
        </row>
        <row r="25460">
          <cell r="A25460">
            <v>3115403</v>
          </cell>
          <cell r="B25460">
            <v>137233</v>
          </cell>
          <cell r="C25460" t="str">
            <v>Sacred Heart of Mary Girls' School</v>
          </cell>
          <cell r="D25460" t="str">
            <v>Havering</v>
          </cell>
          <cell r="E25460" t="str">
            <v>Academy Converters</v>
          </cell>
          <cell r="F25460" t="str">
            <v>Secondary</v>
          </cell>
        </row>
        <row r="25461">
          <cell r="A25461">
            <v>8006007</v>
          </cell>
          <cell r="B25461">
            <v>109359</v>
          </cell>
          <cell r="C25461" t="str">
            <v>Sacred Heart Preparatory School</v>
          </cell>
          <cell r="D25461" t="str">
            <v>Bath and North East Somerset</v>
          </cell>
          <cell r="E25461" t="str">
            <v>Other Independent School</v>
          </cell>
          <cell r="F25461" t="str">
            <v>Not applicable</v>
          </cell>
        </row>
        <row r="25462">
          <cell r="A25462">
            <v>8213361</v>
          </cell>
          <cell r="B25462">
            <v>109640</v>
          </cell>
          <cell r="C25462" t="str">
            <v>Sacred Heart Primary School</v>
          </cell>
          <cell r="D25462" t="str">
            <v>Luton</v>
          </cell>
          <cell r="E25462" t="str">
            <v>Voluntary Aided School</v>
          </cell>
          <cell r="F25462" t="str">
            <v>Primary</v>
          </cell>
        </row>
        <row r="25463">
          <cell r="A25463">
            <v>3333406</v>
          </cell>
          <cell r="B25463">
            <v>135029</v>
          </cell>
          <cell r="C25463" t="str">
            <v>Sacred Heart Primary School</v>
          </cell>
          <cell r="D25463" t="str">
            <v>Sandwell</v>
          </cell>
          <cell r="E25463" t="str">
            <v>Community School</v>
          </cell>
          <cell r="F25463" t="str">
            <v>Primary</v>
          </cell>
        </row>
        <row r="25464">
          <cell r="A25464">
            <v>3833651</v>
          </cell>
          <cell r="B25464">
            <v>127945</v>
          </cell>
          <cell r="C25464" t="str">
            <v>Sacred Heart RC First School</v>
          </cell>
          <cell r="D25464" t="str">
            <v>Leeds</v>
          </cell>
          <cell r="E25464" t="str">
            <v>Voluntary Aided School</v>
          </cell>
          <cell r="F25464" t="str">
            <v>Primary</v>
          </cell>
        </row>
        <row r="25465">
          <cell r="A25465">
            <v>3413531</v>
          </cell>
          <cell r="B25465">
            <v>127298</v>
          </cell>
          <cell r="C25465" t="str">
            <v>Sacred Heart RC Infant School</v>
          </cell>
          <cell r="D25465" t="str">
            <v>Liverpool</v>
          </cell>
          <cell r="E25465" t="str">
            <v>Voluntary Aided School</v>
          </cell>
          <cell r="F25465" t="str">
            <v>Primary</v>
          </cell>
        </row>
        <row r="25466">
          <cell r="A25466">
            <v>3593398</v>
          </cell>
          <cell r="B25466">
            <v>127553</v>
          </cell>
          <cell r="C25466" t="str">
            <v>Sacred Heart RC Infant School</v>
          </cell>
          <cell r="D25466" t="str">
            <v>Wigan</v>
          </cell>
          <cell r="E25466" t="str">
            <v>Voluntary Aided School</v>
          </cell>
          <cell r="F25466" t="str">
            <v>Primary</v>
          </cell>
        </row>
        <row r="25467">
          <cell r="A25467">
            <v>9233740</v>
          </cell>
          <cell r="B25467">
            <v>129486</v>
          </cell>
          <cell r="C25467" t="str">
            <v>Sacred Heart RC Infant School</v>
          </cell>
          <cell r="D25467" t="str">
            <v>Pre LGR (1998) Lancashire</v>
          </cell>
          <cell r="E25467" t="str">
            <v>Voluntary Aided School</v>
          </cell>
          <cell r="F25467" t="str">
            <v>Primary</v>
          </cell>
        </row>
        <row r="25468">
          <cell r="A25468">
            <v>9233756</v>
          </cell>
          <cell r="B25468">
            <v>129487</v>
          </cell>
          <cell r="C25468" t="str">
            <v>Sacred Heart RC Infant School</v>
          </cell>
          <cell r="D25468" t="str">
            <v>Pre LGR (1998) Lancashire</v>
          </cell>
          <cell r="E25468" t="str">
            <v>Voluntary Aided School</v>
          </cell>
          <cell r="F25468" t="str">
            <v>Primary</v>
          </cell>
        </row>
        <row r="25469">
          <cell r="A25469">
            <v>3593392</v>
          </cell>
          <cell r="B25469">
            <v>106495</v>
          </cell>
          <cell r="C25469" t="str">
            <v>Sacred Heart RC Junior and Infant School</v>
          </cell>
          <cell r="D25469" t="str">
            <v>Wigan</v>
          </cell>
          <cell r="E25469" t="str">
            <v>Voluntary Aided School</v>
          </cell>
          <cell r="F25469" t="str">
            <v>Primary</v>
          </cell>
        </row>
        <row r="25470">
          <cell r="A25470">
            <v>3533332</v>
          </cell>
          <cell r="B25470">
            <v>105704</v>
          </cell>
          <cell r="C25470" t="str">
            <v>Sacred Heart RC Junior Infant and Nursery School</v>
          </cell>
          <cell r="D25470" t="str">
            <v>Oldham</v>
          </cell>
          <cell r="E25470" t="str">
            <v>Voluntary Aided School</v>
          </cell>
          <cell r="F25470" t="str">
            <v>Primary</v>
          </cell>
        </row>
        <row r="25471">
          <cell r="A25471">
            <v>2123392</v>
          </cell>
          <cell r="B25471">
            <v>101039</v>
          </cell>
          <cell r="C25471" t="str">
            <v>Sacred Heart RC Junior School</v>
          </cell>
          <cell r="D25471" t="str">
            <v>Wandsworth</v>
          </cell>
          <cell r="E25471" t="str">
            <v>Voluntary Aided School</v>
          </cell>
          <cell r="F25471" t="str">
            <v>Primary</v>
          </cell>
        </row>
        <row r="25472">
          <cell r="A25472">
            <v>8213358</v>
          </cell>
          <cell r="B25472">
            <v>109637</v>
          </cell>
          <cell r="C25472" t="str">
            <v>Sacred Heart RC Junior School</v>
          </cell>
          <cell r="D25472" t="str">
            <v>Luton</v>
          </cell>
          <cell r="E25472" t="str">
            <v>Voluntary Aided School</v>
          </cell>
          <cell r="F25472" t="str">
            <v>Primary</v>
          </cell>
        </row>
        <row r="25473">
          <cell r="A25473">
            <v>2063384</v>
          </cell>
          <cell r="B25473">
            <v>100437</v>
          </cell>
          <cell r="C25473" t="str">
            <v>Sacred Heart RC Primary School</v>
          </cell>
          <cell r="D25473" t="str">
            <v>Islington</v>
          </cell>
          <cell r="E25473" t="str">
            <v>Voluntary Aided School</v>
          </cell>
          <cell r="F25473" t="str">
            <v>Primary</v>
          </cell>
        </row>
        <row r="25474">
          <cell r="A25474">
            <v>3503359</v>
          </cell>
          <cell r="B25474">
            <v>105243</v>
          </cell>
          <cell r="C25474" t="str">
            <v>Sacred Heart RC Primary School</v>
          </cell>
          <cell r="D25474" t="str">
            <v>Bolton</v>
          </cell>
          <cell r="E25474" t="str">
            <v>Voluntary Aided School</v>
          </cell>
          <cell r="F25474" t="str">
            <v>Primary</v>
          </cell>
        </row>
        <row r="25475">
          <cell r="A25475">
            <v>3593397</v>
          </cell>
          <cell r="B25475">
            <v>106499</v>
          </cell>
          <cell r="C25475" t="str">
            <v>Sacred Heart RC Primary School</v>
          </cell>
          <cell r="D25475" t="str">
            <v>Wigan</v>
          </cell>
          <cell r="E25475" t="str">
            <v>Voluntary Aided School</v>
          </cell>
          <cell r="F25475" t="str">
            <v>Primary</v>
          </cell>
        </row>
        <row r="25476">
          <cell r="A25476">
            <v>3913662</v>
          </cell>
          <cell r="B25476">
            <v>108504</v>
          </cell>
          <cell r="C25476" t="str">
            <v>Sacred Heart RC Primary School</v>
          </cell>
          <cell r="D25476" t="str">
            <v>Newcastle upon Tyne</v>
          </cell>
          <cell r="E25476" t="str">
            <v>Voluntary Aided School</v>
          </cell>
          <cell r="F25476" t="str">
            <v>Primary</v>
          </cell>
        </row>
        <row r="25477">
          <cell r="A25477">
            <v>3923314</v>
          </cell>
          <cell r="B25477">
            <v>108619</v>
          </cell>
          <cell r="C25477" t="str">
            <v>Sacred Heart RC Primary School</v>
          </cell>
          <cell r="D25477" t="str">
            <v>North Tyneside</v>
          </cell>
          <cell r="E25477" t="str">
            <v>Voluntary Aided School</v>
          </cell>
          <cell r="F25477" t="str">
            <v>Primary</v>
          </cell>
        </row>
        <row r="25478">
          <cell r="A25478">
            <v>8743379</v>
          </cell>
          <cell r="B25478">
            <v>110855</v>
          </cell>
          <cell r="C25478" t="str">
            <v>Sacred Heart RC Primary School</v>
          </cell>
          <cell r="D25478" t="str">
            <v>Peterborough</v>
          </cell>
          <cell r="E25478" t="str">
            <v>Voluntary Aided School</v>
          </cell>
          <cell r="F25478" t="str">
            <v>Primary</v>
          </cell>
        </row>
        <row r="25479">
          <cell r="A25479">
            <v>8053321</v>
          </cell>
          <cell r="B25479">
            <v>111691</v>
          </cell>
          <cell r="C25479" t="str">
            <v>Sacred Heart RC Primary School</v>
          </cell>
          <cell r="D25479" t="str">
            <v>Hartlepool</v>
          </cell>
          <cell r="E25479" t="str">
            <v>Voluntary Aided School</v>
          </cell>
          <cell r="F25479" t="str">
            <v>Primary</v>
          </cell>
        </row>
        <row r="25480">
          <cell r="A25480">
            <v>8063385</v>
          </cell>
          <cell r="B25480">
            <v>111714</v>
          </cell>
          <cell r="C25480" t="str">
            <v>Sacred Heart RC Primary School</v>
          </cell>
          <cell r="D25480" t="str">
            <v>Middlesbrough</v>
          </cell>
          <cell r="E25480" t="str">
            <v>Voluntary Aided School</v>
          </cell>
          <cell r="F25480" t="str">
            <v>Primary</v>
          </cell>
        </row>
        <row r="25481">
          <cell r="A25481">
            <v>9203410</v>
          </cell>
          <cell r="B25481">
            <v>129257</v>
          </cell>
          <cell r="C25481" t="str">
            <v>Sacred Heart RC Primary School</v>
          </cell>
          <cell r="D25481" t="str">
            <v>Pre LGR (1996) Humberside</v>
          </cell>
          <cell r="E25481" t="str">
            <v>Voluntary Aided School</v>
          </cell>
          <cell r="F25481" t="str">
            <v>Primary</v>
          </cell>
        </row>
        <row r="25482">
          <cell r="A25482">
            <v>9343401</v>
          </cell>
          <cell r="B25482">
            <v>129925</v>
          </cell>
          <cell r="C25482" t="str">
            <v>Sacred Heart RC Primary School</v>
          </cell>
          <cell r="D25482" t="str">
            <v>Pre LGR (1997) Staffordshire</v>
          </cell>
          <cell r="E25482" t="str">
            <v>Voluntary Aided School</v>
          </cell>
          <cell r="F25482" t="str">
            <v>Primary</v>
          </cell>
        </row>
        <row r="25483">
          <cell r="A25483">
            <v>8153902</v>
          </cell>
          <cell r="B25483">
            <v>132728</v>
          </cell>
          <cell r="C25483" t="str">
            <v>Sacred Heart RC Primary School</v>
          </cell>
          <cell r="D25483" t="str">
            <v>North Yorkshire</v>
          </cell>
          <cell r="E25483" t="str">
            <v>Voluntary Aided School</v>
          </cell>
          <cell r="F25483" t="str">
            <v>Primary</v>
          </cell>
        </row>
        <row r="25484">
          <cell r="A25484">
            <v>3523505</v>
          </cell>
          <cell r="B25484">
            <v>134479</v>
          </cell>
          <cell r="C25484" t="str">
            <v>Sacred Heart RC Primary School</v>
          </cell>
          <cell r="D25484" t="str">
            <v>Manchester</v>
          </cell>
          <cell r="E25484" t="str">
            <v>Voluntary Aided School</v>
          </cell>
          <cell r="F25484" t="str">
            <v>Primary</v>
          </cell>
        </row>
        <row r="25485">
          <cell r="A25485">
            <v>3903329</v>
          </cell>
          <cell r="B25485">
            <v>108393</v>
          </cell>
          <cell r="C25485" t="str">
            <v>Sacred Heart RC Voluntary Aided Primary School</v>
          </cell>
          <cell r="D25485" t="str">
            <v>Gateshead</v>
          </cell>
          <cell r="E25485" t="str">
            <v>Voluntary Aided School</v>
          </cell>
          <cell r="F25485" t="str">
            <v>Primary</v>
          </cell>
        </row>
        <row r="25486">
          <cell r="A25486">
            <v>3523414</v>
          </cell>
          <cell r="B25486">
            <v>105518</v>
          </cell>
          <cell r="C25486" t="str">
            <v>Sacred Heart Roman Catholic Infant School Manchester</v>
          </cell>
          <cell r="D25486" t="str">
            <v>Manchester</v>
          </cell>
          <cell r="E25486" t="str">
            <v>Voluntary Aided School</v>
          </cell>
          <cell r="F25486" t="str">
            <v>Primary</v>
          </cell>
        </row>
        <row r="25487">
          <cell r="A25487">
            <v>3523413</v>
          </cell>
          <cell r="B25487">
            <v>105517</v>
          </cell>
          <cell r="C25487" t="str">
            <v>Sacred Heart Roman Catholic Junior School Manchester</v>
          </cell>
          <cell r="D25487" t="str">
            <v>Manchester</v>
          </cell>
          <cell r="E25487" t="str">
            <v>Voluntary Aided School</v>
          </cell>
          <cell r="F25487" t="str">
            <v>Primary</v>
          </cell>
        </row>
        <row r="25488">
          <cell r="A25488">
            <v>3023510</v>
          </cell>
          <cell r="B25488">
            <v>101338</v>
          </cell>
          <cell r="C25488" t="str">
            <v>Sacred Heart Roman Catholic Primary School</v>
          </cell>
          <cell r="D25488" t="str">
            <v>Barnet</v>
          </cell>
          <cell r="E25488" t="str">
            <v>Voluntary Aided School</v>
          </cell>
          <cell r="F25488" t="str">
            <v>Primary</v>
          </cell>
        </row>
        <row r="25489">
          <cell r="A25489">
            <v>3183320</v>
          </cell>
          <cell r="B25489">
            <v>102916</v>
          </cell>
          <cell r="C25489" t="str">
            <v>Sacred Heart Roman Catholic Primary School</v>
          </cell>
          <cell r="D25489" t="str">
            <v>Richmond upon Thames</v>
          </cell>
          <cell r="E25489" t="str">
            <v>Voluntary Aided School</v>
          </cell>
          <cell r="F25489" t="str">
            <v>Primary</v>
          </cell>
        </row>
        <row r="25490">
          <cell r="A25490">
            <v>8893500</v>
          </cell>
          <cell r="B25490">
            <v>119510</v>
          </cell>
          <cell r="C25490" t="str">
            <v>Sacred Heart Roman Catholic Primary School Blackburn</v>
          </cell>
          <cell r="D25490" t="str">
            <v>Blackburn with Darwen</v>
          </cell>
          <cell r="E25490" t="str">
            <v>Voluntary Aided School</v>
          </cell>
          <cell r="F25490" t="str">
            <v>Primary</v>
          </cell>
        </row>
        <row r="25491">
          <cell r="A25491">
            <v>8883764</v>
          </cell>
          <cell r="B25491">
            <v>119658</v>
          </cell>
          <cell r="C25491" t="str">
            <v>Sacred Heart Roman Catholic Primary School, Church</v>
          </cell>
          <cell r="D25491" t="str">
            <v>Lancashire</v>
          </cell>
          <cell r="E25491" t="str">
            <v>Voluntary Aided School</v>
          </cell>
          <cell r="F25491" t="str">
            <v>Primary</v>
          </cell>
        </row>
        <row r="25492">
          <cell r="A25492">
            <v>8883755</v>
          </cell>
          <cell r="B25492">
            <v>119653</v>
          </cell>
          <cell r="C25492" t="str">
            <v>Sacred Heart Roman Catholic Primary School, Colne</v>
          </cell>
          <cell r="D25492" t="str">
            <v>Lancashire</v>
          </cell>
          <cell r="E25492" t="str">
            <v>Voluntary Aided School</v>
          </cell>
          <cell r="F25492" t="str">
            <v>Primary</v>
          </cell>
        </row>
        <row r="25493">
          <cell r="A25493">
            <v>3543505</v>
          </cell>
          <cell r="B25493">
            <v>105828</v>
          </cell>
          <cell r="C25493" t="str">
            <v>Sacred Heart Roman Catholic Primary School, Rochdale</v>
          </cell>
          <cell r="D25493" t="str">
            <v>Rochdale</v>
          </cell>
          <cell r="E25493" t="str">
            <v>Voluntary Aided School</v>
          </cell>
          <cell r="F25493" t="str">
            <v>Primary</v>
          </cell>
        </row>
        <row r="25494">
          <cell r="A25494">
            <v>2105405</v>
          </cell>
          <cell r="B25494">
            <v>100860</v>
          </cell>
          <cell r="C25494" t="str">
            <v>Sacred Heart Roman Catholic Secondary School</v>
          </cell>
          <cell r="D25494" t="str">
            <v>Southwark</v>
          </cell>
          <cell r="E25494" t="str">
            <v>Voluntary Aided School</v>
          </cell>
          <cell r="F25494" t="str">
            <v>Secondary</v>
          </cell>
        </row>
        <row r="25495">
          <cell r="A25495">
            <v>8074639</v>
          </cell>
          <cell r="B25495">
            <v>111763</v>
          </cell>
          <cell r="C25495" t="str">
            <v>Sacred Heart Roman Catholic VA School - A Specialist Science College</v>
          </cell>
          <cell r="D25495" t="str">
            <v>Redcar and Cleveland</v>
          </cell>
          <cell r="E25495" t="str">
            <v>Voluntary Aided School</v>
          </cell>
          <cell r="F25495" t="str">
            <v>Secondary</v>
          </cell>
        </row>
        <row r="25496">
          <cell r="A25496">
            <v>8456020</v>
          </cell>
          <cell r="B25496">
            <v>114636</v>
          </cell>
          <cell r="C25496" t="str">
            <v>Sacred Heart School</v>
          </cell>
          <cell r="D25496" t="str">
            <v>East Sussex</v>
          </cell>
          <cell r="E25496" t="str">
            <v>Other Independent School</v>
          </cell>
          <cell r="F25496" t="str">
            <v>Not applicable</v>
          </cell>
        </row>
        <row r="25497">
          <cell r="A25497">
            <v>9266051</v>
          </cell>
          <cell r="B25497">
            <v>121230</v>
          </cell>
          <cell r="C25497" t="str">
            <v>Sacred Heart School</v>
          </cell>
          <cell r="D25497" t="str">
            <v>Norfolk</v>
          </cell>
          <cell r="E25497" t="str">
            <v>Other Independent School</v>
          </cell>
          <cell r="F25497" t="str">
            <v>Not applicable</v>
          </cell>
        </row>
        <row r="25498">
          <cell r="A25498">
            <v>3014702</v>
          </cell>
          <cell r="B25498">
            <v>126723</v>
          </cell>
          <cell r="C25498" t="str">
            <v>Sacred Heart School</v>
          </cell>
          <cell r="D25498" t="str">
            <v>Barking and Dagenham</v>
          </cell>
          <cell r="E25498" t="str">
            <v>Voluntary Aided School</v>
          </cell>
          <cell r="F25498" t="str">
            <v>Secondary</v>
          </cell>
        </row>
        <row r="25499">
          <cell r="A25499">
            <v>8746036</v>
          </cell>
          <cell r="B25499">
            <v>136233</v>
          </cell>
          <cell r="C25499" t="str">
            <v>Sacrewell Lodge School</v>
          </cell>
          <cell r="D25499" t="str">
            <v>Peterborough</v>
          </cell>
          <cell r="E25499" t="str">
            <v>Other Independent Special School</v>
          </cell>
          <cell r="F25499" t="str">
            <v>Not applicable</v>
          </cell>
        </row>
        <row r="25500">
          <cell r="A25500">
            <v>8402123</v>
          </cell>
          <cell r="B25500">
            <v>114007</v>
          </cell>
          <cell r="C25500" t="str">
            <v>Sacriston Infant School</v>
          </cell>
          <cell r="D25500" t="str">
            <v>Durham</v>
          </cell>
          <cell r="E25500" t="str">
            <v>Community School</v>
          </cell>
          <cell r="F25500" t="str">
            <v>Primary</v>
          </cell>
        </row>
        <row r="25501">
          <cell r="A25501">
            <v>8402122</v>
          </cell>
          <cell r="B25501">
            <v>114006</v>
          </cell>
          <cell r="C25501" t="str">
            <v>Sacriston Junior School</v>
          </cell>
          <cell r="D25501" t="str">
            <v>Durham</v>
          </cell>
          <cell r="E25501" t="str">
            <v>Community School</v>
          </cell>
          <cell r="F25501" t="str">
            <v>Primary</v>
          </cell>
        </row>
        <row r="25502">
          <cell r="A25502">
            <v>8413212</v>
          </cell>
          <cell r="B25502">
            <v>114234</v>
          </cell>
          <cell r="C25502" t="str">
            <v>Sadberge CofE Primary School</v>
          </cell>
          <cell r="D25502" t="str">
            <v>Darlington</v>
          </cell>
          <cell r="E25502" t="str">
            <v>Voluntary Controlled School</v>
          </cell>
          <cell r="F25502" t="str">
            <v>Primary</v>
          </cell>
        </row>
        <row r="25503">
          <cell r="A25503">
            <v>335940</v>
          </cell>
          <cell r="B25503">
            <v>132701</v>
          </cell>
          <cell r="C25503" t="str">
            <v>Saddlers Learning Centre Centre</v>
          </cell>
          <cell r="D25503" t="str">
            <v>Walsall</v>
          </cell>
          <cell r="E25503" t="str">
            <v>Playing for Success Centres</v>
          </cell>
          <cell r="F25503" t="str">
            <v>Not applicable</v>
          </cell>
        </row>
        <row r="25504">
          <cell r="A25504">
            <v>3534026</v>
          </cell>
          <cell r="B25504">
            <v>105736</v>
          </cell>
          <cell r="C25504" t="str">
            <v>Saddleworth School</v>
          </cell>
          <cell r="D25504" t="str">
            <v>Oldham</v>
          </cell>
          <cell r="E25504" t="str">
            <v>Community School</v>
          </cell>
          <cell r="F25504" t="str">
            <v>Secondary</v>
          </cell>
        </row>
        <row r="25505">
          <cell r="A25505">
            <v>9192181</v>
          </cell>
          <cell r="B25505">
            <v>117195</v>
          </cell>
          <cell r="C25505" t="str">
            <v>Saffron Green Primary School</v>
          </cell>
          <cell r="D25505" t="str">
            <v>Hertfordshire</v>
          </cell>
          <cell r="E25505" t="str">
            <v>Community School</v>
          </cell>
          <cell r="F25505" t="str">
            <v>Primary</v>
          </cell>
        </row>
        <row r="25506">
          <cell r="A25506">
            <v>8815408</v>
          </cell>
          <cell r="B25506">
            <v>115324</v>
          </cell>
          <cell r="C25506" t="str">
            <v>Saffron Walden County High School</v>
          </cell>
          <cell r="D25506" t="str">
            <v>Essex</v>
          </cell>
          <cell r="E25506" t="str">
            <v>Foundation School</v>
          </cell>
          <cell r="F25506" t="str">
            <v>Secondary</v>
          </cell>
        </row>
        <row r="25507">
          <cell r="A25507">
            <v>8815408</v>
          </cell>
          <cell r="B25507">
            <v>136776</v>
          </cell>
          <cell r="C25507" t="str">
            <v>Saffron Walden County High School</v>
          </cell>
          <cell r="D25507" t="str">
            <v>Essex</v>
          </cell>
          <cell r="E25507" t="str">
            <v>Academy Converters</v>
          </cell>
          <cell r="F25507" t="str">
            <v>Secondary</v>
          </cell>
        </row>
        <row r="25508">
          <cell r="A25508">
            <v>9336192</v>
          </cell>
          <cell r="B25508">
            <v>130370</v>
          </cell>
          <cell r="C25508" t="str">
            <v>Sage House School</v>
          </cell>
          <cell r="D25508" t="str">
            <v>Somerset</v>
          </cell>
          <cell r="E25508" t="str">
            <v>Other Independent School</v>
          </cell>
          <cell r="F25508" t="str">
            <v>Not applicable</v>
          </cell>
        </row>
        <row r="25509">
          <cell r="A25509">
            <v>6682203</v>
          </cell>
          <cell r="B25509">
            <v>400648</v>
          </cell>
          <cell r="C25509" t="str">
            <v>Sageston C.P. School</v>
          </cell>
          <cell r="D25509" t="str">
            <v>Pembrokeshire</v>
          </cell>
          <cell r="E25509" t="str">
            <v>Welsh Establishment</v>
          </cell>
          <cell r="F25509" t="str">
            <v>Primary</v>
          </cell>
        </row>
        <row r="25510">
          <cell r="A25510">
            <v>3306005</v>
          </cell>
          <cell r="B25510">
            <v>135748</v>
          </cell>
          <cell r="C25510" t="str">
            <v>Sahaara</v>
          </cell>
          <cell r="D25510" t="str">
            <v>Birmingham</v>
          </cell>
          <cell r="E25510" t="str">
            <v>Other Independent School</v>
          </cell>
          <cell r="F25510" t="str">
            <v>Not applicable</v>
          </cell>
        </row>
        <row r="25511">
          <cell r="A25511">
            <v>8963551</v>
          </cell>
          <cell r="B25511">
            <v>111350</v>
          </cell>
          <cell r="C25511" t="str">
            <v>Saighton CofE Primary School</v>
          </cell>
          <cell r="D25511" t="str">
            <v>Cheshire West and Chester</v>
          </cell>
          <cell r="E25511" t="str">
            <v>Voluntary Aided School</v>
          </cell>
          <cell r="F25511" t="str">
            <v>Primary</v>
          </cell>
        </row>
        <row r="25512">
          <cell r="A25512">
            <v>8021100</v>
          </cell>
          <cell r="B25512">
            <v>132102</v>
          </cell>
          <cell r="C25512" t="str">
            <v>Sail PRU</v>
          </cell>
          <cell r="D25512" t="str">
            <v>North Somerset</v>
          </cell>
          <cell r="E25512" t="str">
            <v>Pupil Referral Unit</v>
          </cell>
          <cell r="F25512" t="str">
            <v>PRU</v>
          </cell>
        </row>
        <row r="25513">
          <cell r="A25513">
            <v>8884628</v>
          </cell>
          <cell r="B25513">
            <v>119789</v>
          </cell>
          <cell r="C25513" t="str">
            <v>Saint Aidan's Church of England Technology College</v>
          </cell>
          <cell r="D25513" t="str">
            <v>Lancashire</v>
          </cell>
          <cell r="E25513" t="str">
            <v>Voluntary Aided School</v>
          </cell>
          <cell r="F25513" t="str">
            <v>Secondary</v>
          </cell>
        </row>
        <row r="25514">
          <cell r="A25514">
            <v>9193421</v>
          </cell>
          <cell r="B25514">
            <v>117491</v>
          </cell>
          <cell r="C25514" t="str">
            <v>Saint Alban and St Stephen Catholic Junior School</v>
          </cell>
          <cell r="D25514" t="str">
            <v>Hertfordshire</v>
          </cell>
          <cell r="E25514" t="str">
            <v>Voluntary Aided School</v>
          </cell>
          <cell r="F25514" t="str">
            <v>Primary</v>
          </cell>
        </row>
        <row r="25515">
          <cell r="A25515">
            <v>8073382</v>
          </cell>
          <cell r="B25515">
            <v>111711</v>
          </cell>
          <cell r="C25515" t="str">
            <v>Saint Alban's Roman Catholic Voluntary Aided Primary School</v>
          </cell>
          <cell r="D25515" t="str">
            <v>Redcar and Cleveland</v>
          </cell>
          <cell r="E25515" t="str">
            <v>Voluntary Aided School</v>
          </cell>
          <cell r="F25515" t="str">
            <v>Primary</v>
          </cell>
        </row>
        <row r="25516">
          <cell r="A25516">
            <v>9193391</v>
          </cell>
          <cell r="B25516">
            <v>117471</v>
          </cell>
          <cell r="C25516" t="str">
            <v>Saint Albert the Great Catholic Primary School</v>
          </cell>
          <cell r="D25516" t="str">
            <v>Hertfordshire</v>
          </cell>
          <cell r="E25516" t="str">
            <v>Voluntary Aided School</v>
          </cell>
          <cell r="F25516" t="str">
            <v>Primary</v>
          </cell>
        </row>
        <row r="25517">
          <cell r="A25517">
            <v>8073374</v>
          </cell>
          <cell r="B25517">
            <v>111710</v>
          </cell>
          <cell r="C25517" t="str">
            <v>Saint Andrew's Roman Catholic Voluntary Aided Primary School</v>
          </cell>
          <cell r="D25517" t="str">
            <v>Redcar and Cleveland</v>
          </cell>
          <cell r="E25517" t="str">
            <v>Voluntary Aided School</v>
          </cell>
          <cell r="F25517" t="str">
            <v>Primary</v>
          </cell>
        </row>
        <row r="25518">
          <cell r="A25518">
            <v>8133326</v>
          </cell>
          <cell r="B25518">
            <v>118042</v>
          </cell>
          <cell r="C25518" t="str">
            <v>Saint Augustine Webster Catholic Primary School</v>
          </cell>
          <cell r="D25518" t="str">
            <v>North Lincolnshire</v>
          </cell>
          <cell r="E25518" t="str">
            <v>Voluntary Aided School</v>
          </cell>
          <cell r="F25518" t="str">
            <v>Primary</v>
          </cell>
        </row>
        <row r="25519">
          <cell r="A25519">
            <v>3303302</v>
          </cell>
          <cell r="B25519">
            <v>103412</v>
          </cell>
          <cell r="C25519" t="str">
            <v>Saint Barnabas Church of England Primary School</v>
          </cell>
          <cell r="D25519" t="str">
            <v>Birmingham</v>
          </cell>
          <cell r="E25519" t="str">
            <v>Voluntary Aided School</v>
          </cell>
          <cell r="F25519" t="str">
            <v>Primary</v>
          </cell>
        </row>
        <row r="25520">
          <cell r="A25520">
            <v>8163002</v>
          </cell>
          <cell r="B25520">
            <v>121473</v>
          </cell>
          <cell r="C25520" t="str">
            <v>Saint Barnabas Church of England Voluntary Controlled Primary School</v>
          </cell>
          <cell r="D25520" t="str">
            <v>York</v>
          </cell>
          <cell r="E25520" t="str">
            <v>Voluntary Controlled School</v>
          </cell>
          <cell r="F25520" t="str">
            <v>Primary</v>
          </cell>
        </row>
        <row r="25521">
          <cell r="A25521">
            <v>9254604</v>
          </cell>
          <cell r="B25521">
            <v>120666</v>
          </cell>
          <cell r="C25521" t="str">
            <v>Saint Bede's Catholic Science College</v>
          </cell>
          <cell r="D25521" t="str">
            <v>Lincolnshire</v>
          </cell>
          <cell r="E25521" t="str">
            <v>Voluntary Aided School</v>
          </cell>
          <cell r="F25521" t="str">
            <v>Secondary</v>
          </cell>
        </row>
        <row r="25522">
          <cell r="A25522">
            <v>8073307</v>
          </cell>
          <cell r="B25522">
            <v>111679</v>
          </cell>
          <cell r="C25522" t="str">
            <v>Saint Bede's Catholic VA Primary School</v>
          </cell>
          <cell r="D25522" t="str">
            <v>Redcar and Cleveland</v>
          </cell>
          <cell r="E25522" t="str">
            <v>Voluntary Aided School</v>
          </cell>
          <cell r="F25522" t="str">
            <v>Primary</v>
          </cell>
        </row>
        <row r="25523">
          <cell r="A25523">
            <v>8314607</v>
          </cell>
          <cell r="B25523">
            <v>112973</v>
          </cell>
          <cell r="C25523" t="str">
            <v>Saint Benedict Catholic School and Performing Arts College</v>
          </cell>
          <cell r="D25523" t="str">
            <v>Derby</v>
          </cell>
          <cell r="E25523" t="str">
            <v>Voluntary Aided School</v>
          </cell>
          <cell r="F25523" t="str">
            <v>Secondary</v>
          </cell>
        </row>
        <row r="25524">
          <cell r="A25524">
            <v>8073395</v>
          </cell>
          <cell r="B25524">
            <v>134706</v>
          </cell>
          <cell r="C25524" t="str">
            <v>Saint Benedict's Roman Catholic VA Primary School</v>
          </cell>
          <cell r="D25524" t="str">
            <v>Redcar and Cleveland</v>
          </cell>
          <cell r="E25524" t="str">
            <v>Voluntary Aided School</v>
          </cell>
          <cell r="F25524" t="str">
            <v>Primary</v>
          </cell>
        </row>
        <row r="25525">
          <cell r="A25525">
            <v>9193416</v>
          </cell>
          <cell r="B25525">
            <v>117489</v>
          </cell>
          <cell r="C25525" t="str">
            <v>Saint Bernadette Catholic Primary School</v>
          </cell>
          <cell r="D25525" t="str">
            <v>Hertfordshire</v>
          </cell>
          <cell r="E25525" t="str">
            <v>Voluntary Aided School</v>
          </cell>
          <cell r="F25525" t="str">
            <v>Primary</v>
          </cell>
        </row>
        <row r="25526">
          <cell r="A25526">
            <v>2124734</v>
          </cell>
          <cell r="B25526">
            <v>132173</v>
          </cell>
          <cell r="C25526" t="str">
            <v>Saint Cecilia's, Wandsworth Church of England School</v>
          </cell>
          <cell r="D25526" t="str">
            <v>Wandsworth</v>
          </cell>
          <cell r="E25526" t="str">
            <v>Voluntary Aided School</v>
          </cell>
          <cell r="F25526" t="str">
            <v>Secondary</v>
          </cell>
        </row>
        <row r="25527">
          <cell r="A25527">
            <v>8553338</v>
          </cell>
          <cell r="B25527">
            <v>120212</v>
          </cell>
          <cell r="C25527" t="str">
            <v>Saint Charles' Catholic Primary School, Measham, Leicestershire</v>
          </cell>
          <cell r="D25527" t="str">
            <v>Leicestershire</v>
          </cell>
          <cell r="E25527" t="str">
            <v>Voluntary Aided School</v>
          </cell>
          <cell r="F25527" t="str">
            <v>Primary</v>
          </cell>
        </row>
        <row r="25528">
          <cell r="A25528">
            <v>8553348</v>
          </cell>
          <cell r="B25528">
            <v>120220</v>
          </cell>
          <cell r="C25528" t="str">
            <v>Saint Clare's Catholic Primary School, Coalville, Leicestershire</v>
          </cell>
          <cell r="D25528" t="str">
            <v>Leicestershire</v>
          </cell>
          <cell r="E25528" t="str">
            <v>Voluntary Aided School</v>
          </cell>
          <cell r="F25528" t="str">
            <v>Primary</v>
          </cell>
        </row>
        <row r="25529">
          <cell r="A25529">
            <v>2043658</v>
          </cell>
          <cell r="B25529">
            <v>100273</v>
          </cell>
          <cell r="C25529" t="str">
            <v>Saint Dominic Roman Catholic Infant School</v>
          </cell>
          <cell r="D25529" t="str">
            <v>Hackney</v>
          </cell>
          <cell r="E25529" t="str">
            <v>Voluntary Aided School</v>
          </cell>
          <cell r="F25529" t="str">
            <v>Primary</v>
          </cell>
        </row>
        <row r="25530">
          <cell r="A25530">
            <v>2043428</v>
          </cell>
          <cell r="B25530">
            <v>100265</v>
          </cell>
          <cell r="C25530" t="str">
            <v>Saint Dominic Roman Catholic Junior School</v>
          </cell>
          <cell r="D25530" t="str">
            <v>Hackney</v>
          </cell>
          <cell r="E25530" t="str">
            <v>Voluntary Aided School</v>
          </cell>
          <cell r="F25530" t="str">
            <v>Primary</v>
          </cell>
        </row>
        <row r="25531">
          <cell r="A25531">
            <v>8073391</v>
          </cell>
          <cell r="B25531">
            <v>111719</v>
          </cell>
          <cell r="C25531" t="str">
            <v>Saint Dominic's Roman Catholic Primary School</v>
          </cell>
          <cell r="D25531" t="str">
            <v>Redcar and Cleveland</v>
          </cell>
          <cell r="E25531" t="str">
            <v>Voluntary Aided School</v>
          </cell>
          <cell r="F25531" t="str">
            <v>Primary</v>
          </cell>
        </row>
        <row r="25532">
          <cell r="A25532">
            <v>8655204</v>
          </cell>
          <cell r="B25532">
            <v>126478</v>
          </cell>
          <cell r="C25532" t="str">
            <v>Saint Edmund's Roman Catholic Primary School</v>
          </cell>
          <cell r="D25532" t="str">
            <v>Wiltshire</v>
          </cell>
          <cell r="E25532" t="str">
            <v>Voluntary Aided School</v>
          </cell>
          <cell r="F25532" t="str">
            <v>Primary</v>
          </cell>
        </row>
        <row r="25533">
          <cell r="A25533">
            <v>8655204</v>
          </cell>
          <cell r="B25533">
            <v>137426</v>
          </cell>
          <cell r="C25533" t="str">
            <v>Saint Edmund's Roman Catholic Primary School</v>
          </cell>
          <cell r="D25533" t="str">
            <v>Wiltshire</v>
          </cell>
          <cell r="E25533" t="str">
            <v>Academy Converters</v>
          </cell>
          <cell r="F25533" t="str">
            <v>Primary</v>
          </cell>
        </row>
        <row r="25534">
          <cell r="A25534">
            <v>9356007</v>
          </cell>
          <cell r="B25534">
            <v>124868</v>
          </cell>
          <cell r="C25534" t="str">
            <v>Saint Felix School</v>
          </cell>
          <cell r="D25534" t="str">
            <v>Suffolk</v>
          </cell>
          <cell r="E25534" t="str">
            <v>Other Independent School</v>
          </cell>
          <cell r="F25534" t="str">
            <v>Not applicable</v>
          </cell>
        </row>
        <row r="25535">
          <cell r="A25535">
            <v>8553342</v>
          </cell>
          <cell r="B25535">
            <v>120216</v>
          </cell>
          <cell r="C25535" t="str">
            <v>Saint Francis Catholic Primary School, Melton Mowbray, Leicestershire</v>
          </cell>
          <cell r="D25535" t="str">
            <v>Leicestershire</v>
          </cell>
          <cell r="E25535" t="str">
            <v>Voluntary Aided School</v>
          </cell>
          <cell r="F25535" t="str">
            <v>Primary</v>
          </cell>
        </row>
        <row r="25536">
          <cell r="A25536">
            <v>2073437</v>
          </cell>
          <cell r="B25536">
            <v>100494</v>
          </cell>
          <cell r="C25536" t="str">
            <v>Saint Francis of Assisi Catholic Primary School</v>
          </cell>
          <cell r="D25536" t="str">
            <v>Kensington and Chelsea</v>
          </cell>
          <cell r="E25536" t="str">
            <v>Voluntary Aided School</v>
          </cell>
          <cell r="F25536" t="str">
            <v>Primary</v>
          </cell>
        </row>
        <row r="25537">
          <cell r="A25537">
            <v>8073387</v>
          </cell>
          <cell r="B25537">
            <v>111716</v>
          </cell>
          <cell r="C25537" t="str">
            <v>Saint Gabriel's Catholic Voluntary Aided Primary School</v>
          </cell>
          <cell r="D25537" t="str">
            <v>Redcar and Cleveland</v>
          </cell>
          <cell r="E25537" t="str">
            <v>Voluntary Aided School</v>
          </cell>
          <cell r="F25537" t="str">
            <v>Primary</v>
          </cell>
        </row>
        <row r="25538">
          <cell r="A25538">
            <v>8525415</v>
          </cell>
          <cell r="B25538">
            <v>116507</v>
          </cell>
          <cell r="C25538" t="str">
            <v>Saint George Catholic Voluntary Aided College Southampton</v>
          </cell>
          <cell r="D25538" t="str">
            <v>Southampton</v>
          </cell>
          <cell r="E25538" t="str">
            <v>Voluntary Aided School</v>
          </cell>
          <cell r="F25538" t="str">
            <v>Secondary</v>
          </cell>
        </row>
        <row r="25539">
          <cell r="A25539">
            <v>8865404</v>
          </cell>
          <cell r="B25539">
            <v>118876</v>
          </cell>
          <cell r="C25539" t="str">
            <v>Saint George's Church of England School</v>
          </cell>
          <cell r="D25539" t="str">
            <v>Kent</v>
          </cell>
          <cell r="E25539" t="str">
            <v>Voluntary Aided School</v>
          </cell>
          <cell r="F25539" t="str">
            <v>Secondary</v>
          </cell>
        </row>
        <row r="25540">
          <cell r="A25540">
            <v>8865404</v>
          </cell>
          <cell r="B25540">
            <v>137609</v>
          </cell>
          <cell r="C25540" t="str">
            <v>Saint George's Church of England School</v>
          </cell>
          <cell r="D25540" t="str">
            <v>Kent</v>
          </cell>
          <cell r="E25540" t="str">
            <v>Academy Converters</v>
          </cell>
          <cell r="F25540" t="str">
            <v>Secondary</v>
          </cell>
        </row>
        <row r="25541">
          <cell r="A25541">
            <v>8004608</v>
          </cell>
          <cell r="B25541">
            <v>109329</v>
          </cell>
          <cell r="C25541" t="str">
            <v>Saint Gregory's Catholic College</v>
          </cell>
          <cell r="D25541" t="str">
            <v>Bath and North East Somerset</v>
          </cell>
          <cell r="E25541" t="str">
            <v>Voluntary Aided School</v>
          </cell>
          <cell r="F25541" t="str">
            <v>Secondary</v>
          </cell>
        </row>
        <row r="25542">
          <cell r="A25542">
            <v>8503184</v>
          </cell>
          <cell r="B25542">
            <v>116331</v>
          </cell>
          <cell r="C25542" t="str">
            <v>Saint James' Church of England Primary School</v>
          </cell>
          <cell r="D25542" t="str">
            <v>Hampshire</v>
          </cell>
          <cell r="E25542" t="str">
            <v>Voluntary Controlled School</v>
          </cell>
          <cell r="F25542" t="str">
            <v>Primary</v>
          </cell>
        </row>
        <row r="25543">
          <cell r="A25543">
            <v>8253007</v>
          </cell>
          <cell r="B25543">
            <v>110409</v>
          </cell>
          <cell r="C25543" t="str">
            <v>Saint James Church of England School, Akeley</v>
          </cell>
          <cell r="D25543" t="str">
            <v>Buckinghamshire</v>
          </cell>
          <cell r="E25543" t="str">
            <v>Voluntary Controlled School</v>
          </cell>
          <cell r="F25543" t="str">
            <v>Primary</v>
          </cell>
        </row>
        <row r="25544">
          <cell r="A25544">
            <v>9195418</v>
          </cell>
          <cell r="B25544">
            <v>117590</v>
          </cell>
          <cell r="C25544" t="str">
            <v>Saint Joan of Arc Catholic School</v>
          </cell>
          <cell r="D25544" t="str">
            <v>Hertfordshire</v>
          </cell>
          <cell r="E25544" t="str">
            <v>Voluntary Aided School</v>
          </cell>
          <cell r="F25544" t="str">
            <v>Secondary</v>
          </cell>
        </row>
        <row r="25545">
          <cell r="A25545">
            <v>2124008</v>
          </cell>
          <cell r="B25545">
            <v>135762</v>
          </cell>
          <cell r="C25545" t="str">
            <v>Saint John Bosco College</v>
          </cell>
          <cell r="D25545" t="str">
            <v>Wandsworth</v>
          </cell>
          <cell r="E25545" t="str">
            <v>Voluntary Aided School</v>
          </cell>
          <cell r="F25545" t="str">
            <v>Secondary</v>
          </cell>
        </row>
        <row r="25546">
          <cell r="A25546">
            <v>8553343</v>
          </cell>
          <cell r="B25546">
            <v>120217</v>
          </cell>
          <cell r="C25546" t="str">
            <v>Saint John Fisher Catholic Primary School, Wigston, Leicestershire</v>
          </cell>
          <cell r="D25546" t="str">
            <v>Leicestershire</v>
          </cell>
          <cell r="E25546" t="str">
            <v>Voluntary Aided School</v>
          </cell>
          <cell r="F25546" t="str">
            <v>Primary</v>
          </cell>
        </row>
        <row r="25547">
          <cell r="A25547">
            <v>8305415</v>
          </cell>
          <cell r="B25547">
            <v>113000</v>
          </cell>
          <cell r="C25547" t="str">
            <v>Saint John Houghton Catholic School</v>
          </cell>
          <cell r="D25547" t="str">
            <v>Derbyshire</v>
          </cell>
          <cell r="E25547" t="str">
            <v>Voluntary Aided School</v>
          </cell>
          <cell r="F25547" t="str">
            <v>Secondary</v>
          </cell>
        </row>
        <row r="25548">
          <cell r="A25548">
            <v>8553347</v>
          </cell>
          <cell r="B25548">
            <v>120219</v>
          </cell>
          <cell r="C25548" t="str">
            <v>Saint Joseph's Catholic Primary School Market Harborough Leicestershire</v>
          </cell>
          <cell r="D25548" t="str">
            <v>Leicestershire</v>
          </cell>
          <cell r="E25548" t="str">
            <v>Voluntary Aided School</v>
          </cell>
          <cell r="F25548" t="str">
            <v>Primary</v>
          </cell>
        </row>
        <row r="25549">
          <cell r="A25549">
            <v>8073308</v>
          </cell>
          <cell r="B25549">
            <v>111680</v>
          </cell>
          <cell r="C25549" t="str">
            <v>Saint Joseph's Roman Catholic Primary School</v>
          </cell>
          <cell r="D25549" t="str">
            <v>Redcar and Cleveland</v>
          </cell>
          <cell r="E25549" t="str">
            <v>Voluntary Aided School</v>
          </cell>
          <cell r="F25549" t="str">
            <v>Primary</v>
          </cell>
        </row>
        <row r="25550">
          <cell r="A25550">
            <v>8503001</v>
          </cell>
          <cell r="B25550">
            <v>116267</v>
          </cell>
          <cell r="C25550" t="str">
            <v>Saint Lawrence Church of England Primary School</v>
          </cell>
          <cell r="D25550" t="str">
            <v>Hampshire</v>
          </cell>
          <cell r="E25550" t="str">
            <v>Voluntary Controlled School</v>
          </cell>
          <cell r="F25550" t="str">
            <v>Primary</v>
          </cell>
        </row>
        <row r="25551">
          <cell r="A25551">
            <v>8163305</v>
          </cell>
          <cell r="B25551">
            <v>121607</v>
          </cell>
          <cell r="C25551" t="str">
            <v>Saint Lawrence's Church of England Voluntary Aided Primary School</v>
          </cell>
          <cell r="D25551" t="str">
            <v>York</v>
          </cell>
          <cell r="E25551" t="str">
            <v>Voluntary Aided School</v>
          </cell>
          <cell r="F25551" t="str">
            <v>Primary</v>
          </cell>
        </row>
        <row r="25552">
          <cell r="A25552">
            <v>3413321</v>
          </cell>
          <cell r="B25552">
            <v>104623</v>
          </cell>
          <cell r="C25552" t="str">
            <v>Saint Margaret of Antioch CofE (Aided) Primary School</v>
          </cell>
          <cell r="D25552" t="str">
            <v>Liverpool</v>
          </cell>
          <cell r="E25552" t="str">
            <v>Voluntary Aided School</v>
          </cell>
          <cell r="F25552" t="str">
            <v>Primary</v>
          </cell>
        </row>
        <row r="25553">
          <cell r="A25553">
            <v>9213014</v>
          </cell>
          <cell r="B25553">
            <v>118191</v>
          </cell>
          <cell r="C25553" t="str">
            <v>Saint Margaret's Church of England Primary School</v>
          </cell>
          <cell r="D25553" t="str">
            <v>Isle of Wight</v>
          </cell>
          <cell r="E25553" t="str">
            <v>Voluntary Controlled School</v>
          </cell>
          <cell r="F25553" t="str">
            <v>Primary</v>
          </cell>
        </row>
        <row r="25554">
          <cell r="A25554">
            <v>8554602</v>
          </cell>
          <cell r="B25554">
            <v>120305</v>
          </cell>
          <cell r="C25554" t="str">
            <v>Saint Martin's Catholic School, Stoke Golding</v>
          </cell>
          <cell r="D25554" t="str">
            <v>Leicestershire</v>
          </cell>
          <cell r="E25554" t="str">
            <v>Voluntary Aided School</v>
          </cell>
          <cell r="F25554" t="str">
            <v>Secondary</v>
          </cell>
        </row>
        <row r="25555">
          <cell r="A25555">
            <v>3346002</v>
          </cell>
          <cell r="B25555">
            <v>104123</v>
          </cell>
          <cell r="C25555" t="str">
            <v>Saint Martin's School</v>
          </cell>
          <cell r="D25555" t="str">
            <v>Solihull</v>
          </cell>
          <cell r="E25555" t="str">
            <v>Other Independent School</v>
          </cell>
          <cell r="F25555" t="str">
            <v>Not applicable</v>
          </cell>
        </row>
        <row r="25556">
          <cell r="A25556">
            <v>2033526</v>
          </cell>
          <cell r="B25556">
            <v>100171</v>
          </cell>
          <cell r="C25556" t="str">
            <v>Saint Mary Magdalene Church of England Primary School</v>
          </cell>
          <cell r="D25556" t="str">
            <v>Greenwich</v>
          </cell>
          <cell r="E25556" t="str">
            <v>Voluntary Aided School</v>
          </cell>
          <cell r="F25556" t="str">
            <v>Primary</v>
          </cell>
        </row>
        <row r="25557">
          <cell r="A25557">
            <v>2073542</v>
          </cell>
          <cell r="B25557">
            <v>100499</v>
          </cell>
          <cell r="C25557" t="str">
            <v>Saint Mary RC Primary School</v>
          </cell>
          <cell r="D25557" t="str">
            <v>Kensington and Chelsea</v>
          </cell>
          <cell r="E25557" t="str">
            <v>Voluntary Aided School</v>
          </cell>
          <cell r="F25557" t="str">
            <v>Primary</v>
          </cell>
        </row>
        <row r="25558">
          <cell r="A25558">
            <v>8303505</v>
          </cell>
          <cell r="B25558">
            <v>112901</v>
          </cell>
          <cell r="C25558" t="str">
            <v>Saint Mary's Catholic Primary</v>
          </cell>
          <cell r="D25558" t="str">
            <v>Derbyshire</v>
          </cell>
          <cell r="E25558" t="str">
            <v>Voluntary Aided School</v>
          </cell>
          <cell r="F25558" t="str">
            <v>Primary</v>
          </cell>
        </row>
        <row r="25559">
          <cell r="A25559">
            <v>8553433</v>
          </cell>
          <cell r="B25559">
            <v>120232</v>
          </cell>
          <cell r="C25559" t="str">
            <v>Saint Mary's Catholic Primary School, Loughborough</v>
          </cell>
          <cell r="D25559" t="str">
            <v>Leicestershire</v>
          </cell>
          <cell r="E25559" t="str">
            <v>Voluntary Aided School</v>
          </cell>
          <cell r="F25559" t="str">
            <v>Primary</v>
          </cell>
        </row>
        <row r="25560">
          <cell r="A25560">
            <v>9195422</v>
          </cell>
          <cell r="B25560">
            <v>117594</v>
          </cell>
          <cell r="C25560" t="str">
            <v>Saint Mary's Catholic School</v>
          </cell>
          <cell r="D25560" t="str">
            <v>Hertfordshire</v>
          </cell>
          <cell r="E25560" t="str">
            <v>Voluntary Aided School</v>
          </cell>
          <cell r="F25560" t="str">
            <v>Secondary</v>
          </cell>
        </row>
        <row r="25561">
          <cell r="A25561">
            <v>9195417</v>
          </cell>
          <cell r="B25561">
            <v>117589</v>
          </cell>
          <cell r="C25561" t="str">
            <v>Saint Michael's Catholic High School</v>
          </cell>
          <cell r="D25561" t="str">
            <v>Hertfordshire</v>
          </cell>
          <cell r="E25561" t="str">
            <v>Voluntary Aided School</v>
          </cell>
          <cell r="F25561" t="str">
            <v>Secondary</v>
          </cell>
        </row>
        <row r="25562">
          <cell r="A25562">
            <v>8856036</v>
          </cell>
          <cell r="B25562">
            <v>117046</v>
          </cell>
          <cell r="C25562" t="str">
            <v>Saint Michael's College</v>
          </cell>
          <cell r="D25562" t="str">
            <v>Worcestershire</v>
          </cell>
          <cell r="E25562" t="str">
            <v>Other Independent School</v>
          </cell>
          <cell r="F25562" t="str">
            <v>Not applicable</v>
          </cell>
        </row>
        <row r="25563">
          <cell r="A25563">
            <v>8133324</v>
          </cell>
          <cell r="B25563">
            <v>118040</v>
          </cell>
          <cell r="C25563" t="str">
            <v>Saint Norbert's Catholic Primary School</v>
          </cell>
          <cell r="D25563" t="str">
            <v>North Lincolnshire</v>
          </cell>
          <cell r="E25563" t="str">
            <v>Voluntary Aided School</v>
          </cell>
          <cell r="F25563" t="str">
            <v>Primary</v>
          </cell>
        </row>
        <row r="25564">
          <cell r="A25564">
            <v>8563423</v>
          </cell>
          <cell r="B25564">
            <v>120223</v>
          </cell>
          <cell r="C25564" t="str">
            <v>Saint Patrick's Catholic Primary School</v>
          </cell>
          <cell r="D25564" t="str">
            <v>Leicester</v>
          </cell>
          <cell r="E25564" t="str">
            <v>Voluntary Aided School</v>
          </cell>
          <cell r="F25564" t="str">
            <v>Primary</v>
          </cell>
        </row>
        <row r="25565">
          <cell r="A25565">
            <v>8073309</v>
          </cell>
          <cell r="B25565">
            <v>111681</v>
          </cell>
          <cell r="C25565" t="str">
            <v>Saint Paulinus Catholic Voluntary Aided Primary School</v>
          </cell>
          <cell r="D25565" t="str">
            <v>Redcar and Cleveland</v>
          </cell>
          <cell r="E25565" t="str">
            <v>Voluntary Aided School</v>
          </cell>
          <cell r="F25565" t="str">
            <v>Primary</v>
          </cell>
        </row>
        <row r="25566">
          <cell r="A25566">
            <v>8564723</v>
          </cell>
          <cell r="B25566">
            <v>120307</v>
          </cell>
          <cell r="C25566" t="str">
            <v>Saint Paul's Catholic School</v>
          </cell>
          <cell r="D25566" t="str">
            <v>Leicester</v>
          </cell>
          <cell r="E25566" t="str">
            <v>Voluntary Aided School</v>
          </cell>
          <cell r="F25566" t="str">
            <v>Secondary</v>
          </cell>
        </row>
        <row r="25567">
          <cell r="A25567">
            <v>3593315</v>
          </cell>
          <cell r="B25567">
            <v>106453</v>
          </cell>
          <cell r="C25567" t="str">
            <v>Saint Paul's CofE Primary School</v>
          </cell>
          <cell r="D25567" t="str">
            <v>Wigan</v>
          </cell>
          <cell r="E25567" t="str">
            <v>Voluntary Aided School</v>
          </cell>
          <cell r="F25567" t="str">
            <v>Primary</v>
          </cell>
        </row>
        <row r="25568">
          <cell r="A25568">
            <v>8074638</v>
          </cell>
          <cell r="B25568">
            <v>111762</v>
          </cell>
          <cell r="C25568" t="str">
            <v>Saint Peter's Catholic College of Maths and Computing</v>
          </cell>
          <cell r="D25568" t="str">
            <v>Redcar and Cleveland</v>
          </cell>
          <cell r="E25568" t="str">
            <v>Voluntary Aided School</v>
          </cell>
          <cell r="F25568" t="str">
            <v>Secondary</v>
          </cell>
        </row>
        <row r="25569">
          <cell r="A25569">
            <v>8553335</v>
          </cell>
          <cell r="B25569">
            <v>120210</v>
          </cell>
          <cell r="C25569" t="str">
            <v>Saint Peters Catholic Primary School, Earl Shilton, Leicestershire</v>
          </cell>
          <cell r="D25569" t="str">
            <v>Leicestershire</v>
          </cell>
          <cell r="E25569" t="str">
            <v>Voluntary Aided School</v>
          </cell>
          <cell r="F25569" t="str">
            <v>Primary</v>
          </cell>
        </row>
        <row r="25570">
          <cell r="A25570">
            <v>8553336</v>
          </cell>
          <cell r="B25570">
            <v>120211</v>
          </cell>
          <cell r="C25570" t="str">
            <v>Saint Peter's Catholic Primary School, Hinckley, Leicestershire</v>
          </cell>
          <cell r="D25570" t="str">
            <v>Leicestershire</v>
          </cell>
          <cell r="E25570" t="str">
            <v>Voluntary Aided School</v>
          </cell>
          <cell r="F25570" t="str">
            <v>Primary</v>
          </cell>
        </row>
        <row r="25571">
          <cell r="A25571">
            <v>8073372</v>
          </cell>
          <cell r="B25571">
            <v>111709</v>
          </cell>
          <cell r="C25571" t="str">
            <v>Saint Peter's Roman Catholic Voluntary Aided Primary School</v>
          </cell>
          <cell r="D25571" t="str">
            <v>Redcar and Cleveland</v>
          </cell>
          <cell r="E25571" t="str">
            <v>Voluntary Aided School</v>
          </cell>
          <cell r="F25571" t="str">
            <v>Primary</v>
          </cell>
        </row>
        <row r="25572">
          <cell r="A25572">
            <v>3724601</v>
          </cell>
          <cell r="B25572">
            <v>106962</v>
          </cell>
          <cell r="C25572" t="str">
            <v>Saint Pius X Catholic High School A Specialist School in Humanities</v>
          </cell>
          <cell r="D25572" t="str">
            <v>Rotherham</v>
          </cell>
          <cell r="E25572" t="str">
            <v>Voluntary Aided School</v>
          </cell>
          <cell r="F25572" t="str">
            <v>Secondary</v>
          </cell>
        </row>
        <row r="25573">
          <cell r="A25573">
            <v>8723330</v>
          </cell>
          <cell r="B25573">
            <v>110024</v>
          </cell>
          <cell r="C25573" t="str">
            <v>Saint Sebastian's Church of England Aided Primary School</v>
          </cell>
          <cell r="D25573" t="str">
            <v>Wokingham</v>
          </cell>
          <cell r="E25573" t="str">
            <v>Voluntary Aided School</v>
          </cell>
          <cell r="F25573" t="str">
            <v>Primary</v>
          </cell>
        </row>
        <row r="25574">
          <cell r="A25574">
            <v>3594800</v>
          </cell>
          <cell r="B25574">
            <v>106539</v>
          </cell>
          <cell r="C25574" t="str">
            <v>Saint Thomas More Catholic High School</v>
          </cell>
          <cell r="D25574" t="str">
            <v>Wigan</v>
          </cell>
          <cell r="E25574" t="str">
            <v>Voluntary Aided School</v>
          </cell>
          <cell r="F25574" t="str">
            <v>Secondary</v>
          </cell>
        </row>
        <row r="25575">
          <cell r="A25575">
            <v>2074681</v>
          </cell>
          <cell r="B25575">
            <v>100502</v>
          </cell>
          <cell r="C25575" t="str">
            <v>Saint Thomas More Language College</v>
          </cell>
          <cell r="D25575" t="str">
            <v>Kensington and Chelsea</v>
          </cell>
          <cell r="E25575" t="str">
            <v>Voluntary Aided School</v>
          </cell>
          <cell r="F25575" t="str">
            <v>Secondary</v>
          </cell>
        </row>
        <row r="25576">
          <cell r="A25576">
            <v>9193977</v>
          </cell>
          <cell r="B25576">
            <v>117498</v>
          </cell>
          <cell r="C25576" t="str">
            <v>Saint Vincent de Paul Catholic Primary School</v>
          </cell>
          <cell r="D25576" t="str">
            <v>Hertfordshire</v>
          </cell>
          <cell r="E25576" t="str">
            <v>Voluntary Aided School</v>
          </cell>
          <cell r="F25576" t="str">
            <v>Primary</v>
          </cell>
        </row>
        <row r="25577">
          <cell r="A25577">
            <v>8553339</v>
          </cell>
          <cell r="B25577">
            <v>120213</v>
          </cell>
          <cell r="C25577" t="str">
            <v>Saint Winefride's Catholic Primary School, Shepshed, Leicestershire</v>
          </cell>
          <cell r="D25577" t="str">
            <v>Leicestershire</v>
          </cell>
          <cell r="E25577" t="str">
            <v>Voluntary Aided School</v>
          </cell>
          <cell r="F25577" t="str">
            <v>Primary</v>
          </cell>
        </row>
        <row r="25578">
          <cell r="A25578">
            <v>8826007</v>
          </cell>
          <cell r="B25578">
            <v>115408</v>
          </cell>
          <cell r="C25578" t="str">
            <v>Saint-Pierre Prep School</v>
          </cell>
          <cell r="D25578" t="str">
            <v>Southend-on-Sea</v>
          </cell>
          <cell r="E25578" t="str">
            <v>Other Independent School</v>
          </cell>
          <cell r="F25578" t="str">
            <v>Not applicable</v>
          </cell>
        </row>
        <row r="25579">
          <cell r="A25579">
            <v>9064621</v>
          </cell>
          <cell r="B25579">
            <v>128475</v>
          </cell>
          <cell r="C25579" t="str">
            <v>Saints Fisher and More High School</v>
          </cell>
          <cell r="D25579" t="str">
            <v>Pre LGR (1998) Cheshire</v>
          </cell>
          <cell r="E25579" t="str">
            <v>Voluntary Aided School</v>
          </cell>
          <cell r="F25579" t="str">
            <v>Secondary</v>
          </cell>
        </row>
        <row r="25580">
          <cell r="A25580">
            <v>8764625</v>
          </cell>
          <cell r="B25580">
            <v>111457</v>
          </cell>
          <cell r="C25580" t="str">
            <v>Saints Peter and Paul Catholic College</v>
          </cell>
          <cell r="D25580" t="str">
            <v>Halton</v>
          </cell>
          <cell r="E25580" t="str">
            <v>Voluntary Aided School</v>
          </cell>
          <cell r="F25580" t="str">
            <v>Secondary</v>
          </cell>
        </row>
        <row r="25581">
          <cell r="A25581">
            <v>3403356</v>
          </cell>
          <cell r="B25581">
            <v>104479</v>
          </cell>
          <cell r="C25581" t="str">
            <v>Saints Peter and Paul Catholic Primary School</v>
          </cell>
          <cell r="D25581" t="str">
            <v>Knowsley</v>
          </cell>
          <cell r="E25581" t="str">
            <v>Voluntary Aided School</v>
          </cell>
          <cell r="F25581" t="str">
            <v>Primary</v>
          </cell>
        </row>
        <row r="25582">
          <cell r="A25582">
            <v>3443330</v>
          </cell>
          <cell r="B25582">
            <v>105071</v>
          </cell>
          <cell r="C25582" t="str">
            <v>Saints Peter and Paul Catholic Primary School</v>
          </cell>
          <cell r="D25582" t="str">
            <v>Wirral</v>
          </cell>
          <cell r="E25582" t="str">
            <v>Voluntary Aided School</v>
          </cell>
          <cell r="F25582" t="str">
            <v>Primary</v>
          </cell>
        </row>
        <row r="25583">
          <cell r="A25583">
            <v>928940</v>
          </cell>
          <cell r="B25583">
            <v>134101</v>
          </cell>
          <cell r="C25583" t="str">
            <v>Saints Study Centre</v>
          </cell>
          <cell r="D25583" t="str">
            <v>Northamptonshire</v>
          </cell>
          <cell r="E25583" t="str">
            <v>Playing for Success Centres</v>
          </cell>
          <cell r="F25583" t="str">
            <v>Not applicable</v>
          </cell>
        </row>
        <row r="25584">
          <cell r="A25584">
            <v>852940</v>
          </cell>
          <cell r="B25584">
            <v>132720</v>
          </cell>
          <cell r="C25584" t="str">
            <v>Saints Study Support Centre</v>
          </cell>
          <cell r="D25584" t="str">
            <v>Southampton</v>
          </cell>
          <cell r="E25584" t="str">
            <v>Playing for Success Centres</v>
          </cell>
          <cell r="F25584" t="str">
            <v>Not applicable</v>
          </cell>
        </row>
        <row r="25585">
          <cell r="A25585">
            <v>7046018</v>
          </cell>
          <cell r="B25585">
            <v>132678</v>
          </cell>
          <cell r="C25585" t="str">
            <v>Sakhalin International School</v>
          </cell>
          <cell r="D25585" t="str">
            <v>Fieldwork Overseas Establishments</v>
          </cell>
          <cell r="E25585" t="str">
            <v>Service Childrens Education</v>
          </cell>
          <cell r="F25585" t="str">
            <v>Not applicable</v>
          </cell>
        </row>
        <row r="25586">
          <cell r="A25586">
            <v>3046078</v>
          </cell>
          <cell r="B25586">
            <v>132068</v>
          </cell>
          <cell r="C25586" t="str">
            <v>Sakutu Organisation Montessori</v>
          </cell>
          <cell r="D25586" t="str">
            <v>Brent</v>
          </cell>
          <cell r="E25586" t="str">
            <v>Other Independent School</v>
          </cell>
          <cell r="F25586" t="str">
            <v>Not applicable</v>
          </cell>
        </row>
        <row r="25587">
          <cell r="A25587">
            <v>3306103</v>
          </cell>
          <cell r="B25587">
            <v>133603</v>
          </cell>
          <cell r="C25587" t="str">
            <v>Salafi Independent School</v>
          </cell>
          <cell r="D25587" t="str">
            <v>Birmingham</v>
          </cell>
          <cell r="E25587" t="str">
            <v>Other Independent School</v>
          </cell>
          <cell r="F25587" t="str">
            <v>Not applicable</v>
          </cell>
        </row>
        <row r="25588">
          <cell r="A25588">
            <v>8783124</v>
          </cell>
          <cell r="B25588">
            <v>113405</v>
          </cell>
          <cell r="C25588" t="str">
            <v>Salcombe Church of England Primary School</v>
          </cell>
          <cell r="D25588" t="str">
            <v>Devon</v>
          </cell>
          <cell r="E25588" t="str">
            <v>Voluntary Controlled School</v>
          </cell>
          <cell r="F25588" t="str">
            <v>Primary</v>
          </cell>
        </row>
        <row r="25589">
          <cell r="A25589">
            <v>8783124</v>
          </cell>
          <cell r="B25589">
            <v>137662</v>
          </cell>
          <cell r="C25589" t="str">
            <v>Salcombe Church of England Primary School</v>
          </cell>
          <cell r="D25589" t="str">
            <v>Devon</v>
          </cell>
          <cell r="E25589" t="str">
            <v>Academy Converters</v>
          </cell>
          <cell r="F25589" t="str">
            <v>Primary</v>
          </cell>
        </row>
        <row r="25590">
          <cell r="A25590">
            <v>3086055</v>
          </cell>
          <cell r="B25590">
            <v>102063</v>
          </cell>
          <cell r="C25590" t="str">
            <v>Salcombe School</v>
          </cell>
          <cell r="D25590" t="str">
            <v>Enfield</v>
          </cell>
          <cell r="E25590" t="str">
            <v>Other Independent School</v>
          </cell>
          <cell r="F25590" t="str">
            <v>Not applicable</v>
          </cell>
        </row>
        <row r="25591">
          <cell r="A25591">
            <v>8303008</v>
          </cell>
          <cell r="B25591">
            <v>112799</v>
          </cell>
          <cell r="C25591" t="str">
            <v>Sale and Davys Church of England Primary School</v>
          </cell>
          <cell r="D25591" t="str">
            <v>Derbyshire</v>
          </cell>
          <cell r="E25591" t="str">
            <v>Voluntary Controlled School</v>
          </cell>
          <cell r="F25591" t="str">
            <v>Primary</v>
          </cell>
        </row>
        <row r="25592">
          <cell r="A25592">
            <v>3584010</v>
          </cell>
          <cell r="B25592">
            <v>127539</v>
          </cell>
          <cell r="C25592" t="str">
            <v>Sale Boys' Grammar School</v>
          </cell>
          <cell r="D25592" t="str">
            <v>Trafford</v>
          </cell>
          <cell r="E25592" t="str">
            <v>Community School</v>
          </cell>
          <cell r="F25592" t="str">
            <v>Secondary</v>
          </cell>
        </row>
        <row r="25593">
          <cell r="A25593">
            <v>3584011</v>
          </cell>
          <cell r="B25593">
            <v>127540</v>
          </cell>
          <cell r="C25593" t="str">
            <v>Sale Girls' Grammar School</v>
          </cell>
          <cell r="D25593" t="str">
            <v>Trafford</v>
          </cell>
          <cell r="E25593" t="str">
            <v>Community School</v>
          </cell>
          <cell r="F25593" t="str">
            <v>Secondary</v>
          </cell>
        </row>
        <row r="25594">
          <cell r="A25594">
            <v>3584029</v>
          </cell>
          <cell r="B25594">
            <v>106371</v>
          </cell>
          <cell r="C25594" t="str">
            <v>Sale Grammar School</v>
          </cell>
          <cell r="D25594" t="str">
            <v>Trafford</v>
          </cell>
          <cell r="E25594" t="str">
            <v>Foundation School</v>
          </cell>
          <cell r="F25594" t="str">
            <v>Secondary</v>
          </cell>
        </row>
        <row r="25595">
          <cell r="A25595">
            <v>3584029</v>
          </cell>
          <cell r="B25595">
            <v>136498</v>
          </cell>
          <cell r="C25595" t="str">
            <v>Sale Grammar School</v>
          </cell>
          <cell r="D25595" t="str">
            <v>Trafford</v>
          </cell>
          <cell r="E25595" t="str">
            <v>Academy Converters</v>
          </cell>
          <cell r="F25595" t="str">
            <v>Secondary</v>
          </cell>
        </row>
        <row r="25596">
          <cell r="A25596">
            <v>3585402</v>
          </cell>
          <cell r="B25596">
            <v>106375</v>
          </cell>
          <cell r="C25596" t="str">
            <v>Sale High School</v>
          </cell>
          <cell r="D25596" t="str">
            <v>Trafford</v>
          </cell>
          <cell r="E25596" t="str">
            <v>Foundation School</v>
          </cell>
          <cell r="F25596" t="str">
            <v>Secondary</v>
          </cell>
        </row>
        <row r="25597">
          <cell r="A25597">
            <v>3584009</v>
          </cell>
          <cell r="B25597">
            <v>127538</v>
          </cell>
          <cell r="C25597" t="str">
            <v>Sale West Secondary School</v>
          </cell>
          <cell r="D25597" t="str">
            <v>Trafford</v>
          </cell>
          <cell r="E25597" t="str">
            <v>Community School</v>
          </cell>
          <cell r="F25597" t="str">
            <v>Secondary</v>
          </cell>
        </row>
        <row r="25598">
          <cell r="A25598">
            <v>8453055</v>
          </cell>
          <cell r="B25598">
            <v>114521</v>
          </cell>
          <cell r="C25598" t="str">
            <v>Salehurst Church of England Primary School</v>
          </cell>
          <cell r="D25598" t="str">
            <v>East Sussex</v>
          </cell>
          <cell r="E25598" t="str">
            <v>Voluntary Controlled School</v>
          </cell>
          <cell r="F25598" t="str">
            <v>Primary</v>
          </cell>
        </row>
        <row r="25599">
          <cell r="A25599">
            <v>3824013</v>
          </cell>
          <cell r="B25599">
            <v>107757</v>
          </cell>
          <cell r="C25599" t="str">
            <v>Salendine Nook High School</v>
          </cell>
          <cell r="D25599" t="str">
            <v>Kirklees</v>
          </cell>
          <cell r="E25599" t="str">
            <v>Community School</v>
          </cell>
          <cell r="F25599" t="str">
            <v>Secondary</v>
          </cell>
        </row>
        <row r="25600">
          <cell r="A25600">
            <v>8885202</v>
          </cell>
          <cell r="B25600">
            <v>119807</v>
          </cell>
          <cell r="C25600" t="str">
            <v>Salesbury Church of England Primary School</v>
          </cell>
          <cell r="D25600" t="str">
            <v>Lancashire</v>
          </cell>
          <cell r="E25600" t="str">
            <v>Voluntary Aided School</v>
          </cell>
          <cell r="F25600" t="str">
            <v>Primary</v>
          </cell>
        </row>
        <row r="25601">
          <cell r="A25601">
            <v>2125403</v>
          </cell>
          <cell r="B25601">
            <v>101061</v>
          </cell>
          <cell r="C25601" t="str">
            <v>Salesian College</v>
          </cell>
          <cell r="D25601" t="str">
            <v>Wandsworth</v>
          </cell>
          <cell r="E25601" t="str">
            <v>Voluntary Aided School</v>
          </cell>
          <cell r="F25601" t="str">
            <v>Secondary</v>
          </cell>
        </row>
        <row r="25602">
          <cell r="A25602">
            <v>8506022</v>
          </cell>
          <cell r="B25602">
            <v>116543</v>
          </cell>
          <cell r="C25602" t="str">
            <v>Salesian College</v>
          </cell>
          <cell r="D25602" t="str">
            <v>Hampshire</v>
          </cell>
          <cell r="E25602" t="str">
            <v>Other Independent School</v>
          </cell>
          <cell r="F25602" t="str">
            <v>Not applicable</v>
          </cell>
        </row>
        <row r="25603">
          <cell r="A25603">
            <v>9365412</v>
          </cell>
          <cell r="B25603">
            <v>125312</v>
          </cell>
          <cell r="C25603" t="str">
            <v>Salesian School, Chertsey</v>
          </cell>
          <cell r="D25603" t="str">
            <v>Surrey</v>
          </cell>
          <cell r="E25603" t="str">
            <v>Voluntary Aided School</v>
          </cell>
          <cell r="F25603" t="str">
            <v>Secondary</v>
          </cell>
        </row>
        <row r="25604">
          <cell r="A25604">
            <v>3556905</v>
          </cell>
          <cell r="B25604">
            <v>135071</v>
          </cell>
          <cell r="C25604" t="str">
            <v>Salford City Academy</v>
          </cell>
          <cell r="D25604" t="str">
            <v>Salford</v>
          </cell>
          <cell r="E25604" t="str">
            <v>Academy Sponsor Led</v>
          </cell>
          <cell r="F25604" t="str">
            <v>Secondary</v>
          </cell>
        </row>
        <row r="25605">
          <cell r="A25605">
            <v>3558600</v>
          </cell>
          <cell r="B25605">
            <v>130509</v>
          </cell>
          <cell r="C25605" t="str">
            <v>Salford City College</v>
          </cell>
          <cell r="D25605" t="str">
            <v>Salford</v>
          </cell>
          <cell r="E25605" t="str">
            <v>Further Education</v>
          </cell>
          <cell r="F25605" t="str">
            <v>16 Plus</v>
          </cell>
        </row>
        <row r="25606">
          <cell r="A25606">
            <v>3558010</v>
          </cell>
          <cell r="B25606">
            <v>130508</v>
          </cell>
          <cell r="C25606" t="str">
            <v>Salford College</v>
          </cell>
          <cell r="D25606" t="str">
            <v>Salford</v>
          </cell>
          <cell r="E25606" t="str">
            <v>Further Education</v>
          </cell>
          <cell r="F25606" t="str">
            <v>16 Plus</v>
          </cell>
        </row>
        <row r="25607">
          <cell r="A25607">
            <v>3559900</v>
          </cell>
          <cell r="B25607">
            <v>133035</v>
          </cell>
          <cell r="C25607" t="str">
            <v>Salford Education Inclusion Services at Halton House</v>
          </cell>
          <cell r="D25607" t="str">
            <v>Salford</v>
          </cell>
          <cell r="E25607" t="str">
            <v>Miscellaneous</v>
          </cell>
          <cell r="F25607" t="str">
            <v>Not applicable</v>
          </cell>
        </row>
        <row r="25608">
          <cell r="A25608">
            <v>3559902</v>
          </cell>
          <cell r="B25608">
            <v>131607</v>
          </cell>
          <cell r="C25608" t="str">
            <v>Salford Home Tuition Services</v>
          </cell>
          <cell r="D25608" t="str">
            <v>Salford</v>
          </cell>
          <cell r="E25608" t="str">
            <v>Miscellaneous</v>
          </cell>
          <cell r="F25608" t="str">
            <v>Not applicable</v>
          </cell>
        </row>
        <row r="25609">
          <cell r="A25609">
            <v>9373056</v>
          </cell>
          <cell r="B25609">
            <v>125645</v>
          </cell>
          <cell r="C25609" t="str">
            <v>Salford Priors CofE Primary School</v>
          </cell>
          <cell r="D25609" t="str">
            <v>Warwickshire</v>
          </cell>
          <cell r="E25609" t="str">
            <v>Voluntary Controlled School</v>
          </cell>
          <cell r="F25609" t="str">
            <v>Primary</v>
          </cell>
        </row>
        <row r="25610">
          <cell r="A25610">
            <v>9362503</v>
          </cell>
          <cell r="B25610">
            <v>130059</v>
          </cell>
          <cell r="C25610" t="str">
            <v>Salfords County Middle School</v>
          </cell>
          <cell r="D25610" t="str">
            <v>Surrey</v>
          </cell>
          <cell r="E25610" t="str">
            <v>Community School</v>
          </cell>
          <cell r="F25610" t="str">
            <v>Middle Deemed Primary</v>
          </cell>
        </row>
        <row r="25611">
          <cell r="A25611">
            <v>9362141</v>
          </cell>
          <cell r="B25611">
            <v>130026</v>
          </cell>
          <cell r="C25611" t="str">
            <v>Salfords Middle School</v>
          </cell>
          <cell r="D25611" t="str">
            <v>Surrey</v>
          </cell>
          <cell r="E25611" t="str">
            <v>Community School</v>
          </cell>
          <cell r="F25611" t="str">
            <v>Middle Deemed Primary</v>
          </cell>
        </row>
        <row r="25612">
          <cell r="A25612">
            <v>9362952</v>
          </cell>
          <cell r="B25612">
            <v>125128</v>
          </cell>
          <cell r="C25612" t="str">
            <v>Salfords Primary School</v>
          </cell>
          <cell r="D25612" t="str">
            <v>Surrey</v>
          </cell>
          <cell r="E25612" t="str">
            <v>Community School</v>
          </cell>
          <cell r="F25612" t="str">
            <v>Primary</v>
          </cell>
        </row>
        <row r="25613">
          <cell r="A25613">
            <v>9263066</v>
          </cell>
          <cell r="B25613">
            <v>121053</v>
          </cell>
          <cell r="C25613" t="str">
            <v>Salhouse Voluntary Controlled Primary School</v>
          </cell>
          <cell r="D25613" t="str">
            <v>Norfolk</v>
          </cell>
          <cell r="E25613" t="str">
            <v>Voluntary Controlled School</v>
          </cell>
          <cell r="F25613" t="str">
            <v>Primary</v>
          </cell>
        </row>
        <row r="25614">
          <cell r="A25614">
            <v>8654076</v>
          </cell>
          <cell r="B25614">
            <v>126463</v>
          </cell>
          <cell r="C25614" t="str">
            <v>Salisbury Avon Middle School</v>
          </cell>
          <cell r="D25614" t="str">
            <v>Wiltshire</v>
          </cell>
          <cell r="E25614" t="str">
            <v>Community School</v>
          </cell>
          <cell r="F25614" t="str">
            <v>Middle Deemed Secondary</v>
          </cell>
        </row>
        <row r="25615">
          <cell r="A25615">
            <v>8656022</v>
          </cell>
          <cell r="B25615">
            <v>126518</v>
          </cell>
          <cell r="C25615" t="str">
            <v>Salisbury Cathedral School</v>
          </cell>
          <cell r="D25615" t="str">
            <v>Wiltshire</v>
          </cell>
          <cell r="E25615" t="str">
            <v>Other Independent School</v>
          </cell>
          <cell r="F25615" t="str">
            <v>Not applicable</v>
          </cell>
        </row>
        <row r="25616">
          <cell r="A25616">
            <v>8658200</v>
          </cell>
          <cell r="B25616">
            <v>130852</v>
          </cell>
          <cell r="C25616" t="str">
            <v>Salisbury College</v>
          </cell>
          <cell r="D25616" t="str">
            <v>Wiltshire</v>
          </cell>
          <cell r="E25616" t="str">
            <v>Further Education</v>
          </cell>
          <cell r="F25616" t="str">
            <v>16 Plus</v>
          </cell>
        </row>
        <row r="25617">
          <cell r="A25617">
            <v>9398150</v>
          </cell>
          <cell r="B25617">
            <v>133142</v>
          </cell>
          <cell r="C25617" t="str">
            <v>Salisbury College of Art</v>
          </cell>
          <cell r="D25617" t="str">
            <v>Pre LGR (1997) Wiltshire</v>
          </cell>
          <cell r="E25617" t="str">
            <v>Miscellaneous</v>
          </cell>
          <cell r="F25617" t="str">
            <v>Not applicable</v>
          </cell>
        </row>
        <row r="25618">
          <cell r="A25618">
            <v>9398001</v>
          </cell>
          <cell r="B25618">
            <v>133141</v>
          </cell>
          <cell r="C25618" t="str">
            <v>Salisbury College of Technology</v>
          </cell>
          <cell r="D25618" t="str">
            <v>Pre LGR (1997) Wiltshire</v>
          </cell>
          <cell r="E25618" t="str">
            <v>Miscellaneous</v>
          </cell>
          <cell r="F25618" t="str">
            <v>Not applicable</v>
          </cell>
        </row>
        <row r="25619">
          <cell r="A25619">
            <v>8655418</v>
          </cell>
          <cell r="B25619">
            <v>126469</v>
          </cell>
          <cell r="C25619" t="str">
            <v>Salisbury High School</v>
          </cell>
          <cell r="D25619" t="str">
            <v>Wiltshire</v>
          </cell>
          <cell r="E25619" t="str">
            <v>Foundation School</v>
          </cell>
          <cell r="F25619" t="str">
            <v>Secondary</v>
          </cell>
        </row>
        <row r="25620">
          <cell r="A25620">
            <v>3162062</v>
          </cell>
          <cell r="B25620">
            <v>126987</v>
          </cell>
          <cell r="C25620" t="str">
            <v>Salisbury Infant School</v>
          </cell>
          <cell r="D25620" t="str">
            <v>Newham</v>
          </cell>
          <cell r="E25620" t="str">
            <v>Community School</v>
          </cell>
          <cell r="F25620" t="str">
            <v>Primary</v>
          </cell>
        </row>
        <row r="25621">
          <cell r="A25621">
            <v>9192161</v>
          </cell>
          <cell r="B25621">
            <v>117185</v>
          </cell>
          <cell r="C25621" t="str">
            <v>Salisbury Infants' School</v>
          </cell>
          <cell r="D25621" t="str">
            <v>Hertfordshire</v>
          </cell>
          <cell r="E25621" t="str">
            <v>Community School</v>
          </cell>
          <cell r="F25621" t="str">
            <v>Primary</v>
          </cell>
        </row>
        <row r="25622">
          <cell r="A25622">
            <v>3162061</v>
          </cell>
          <cell r="B25622">
            <v>102742</v>
          </cell>
          <cell r="C25622" t="str">
            <v>Salisbury Primary School</v>
          </cell>
          <cell r="D25622" t="str">
            <v>Newham</v>
          </cell>
          <cell r="E25622" t="str">
            <v>Community School</v>
          </cell>
          <cell r="F25622" t="str">
            <v>Primary</v>
          </cell>
        </row>
        <row r="25623">
          <cell r="A25623">
            <v>3352105</v>
          </cell>
          <cell r="B25623">
            <v>104178</v>
          </cell>
          <cell r="C25623" t="str">
            <v>Salisbury Primary School</v>
          </cell>
          <cell r="D25623" t="str">
            <v>Walsall</v>
          </cell>
          <cell r="E25623" t="str">
            <v>Community School</v>
          </cell>
          <cell r="F25623" t="str">
            <v>Primary</v>
          </cell>
        </row>
        <row r="25624">
          <cell r="A25624">
            <v>8792652</v>
          </cell>
          <cell r="B25624">
            <v>113284</v>
          </cell>
          <cell r="C25624" t="str">
            <v>Salisbury Road Infants' School</v>
          </cell>
          <cell r="D25624" t="str">
            <v>Plymouth</v>
          </cell>
          <cell r="E25624" t="str">
            <v>Community School</v>
          </cell>
          <cell r="F25624" t="str">
            <v>Primary</v>
          </cell>
        </row>
        <row r="25625">
          <cell r="A25625">
            <v>8792651</v>
          </cell>
          <cell r="B25625">
            <v>113283</v>
          </cell>
          <cell r="C25625" t="str">
            <v>Salisbury Road Junior School</v>
          </cell>
          <cell r="D25625" t="str">
            <v>Plymouth</v>
          </cell>
          <cell r="E25625" t="str">
            <v>Community School</v>
          </cell>
          <cell r="F25625" t="str">
            <v>Primary</v>
          </cell>
        </row>
        <row r="25626">
          <cell r="A25626">
            <v>8793774</v>
          </cell>
          <cell r="B25626">
            <v>135350</v>
          </cell>
          <cell r="C25626" t="str">
            <v>Salisbury Road Primary School</v>
          </cell>
          <cell r="D25626" t="str">
            <v>Plymouth</v>
          </cell>
          <cell r="E25626" t="str">
            <v>Community School</v>
          </cell>
          <cell r="F25626" t="str">
            <v>Primary</v>
          </cell>
        </row>
        <row r="25627">
          <cell r="A25627">
            <v>8652191</v>
          </cell>
          <cell r="B25627">
            <v>126265</v>
          </cell>
          <cell r="C25627" t="str">
            <v>Salisbury, Manor Fields Primary School</v>
          </cell>
          <cell r="D25627" t="str">
            <v>Wiltshire</v>
          </cell>
          <cell r="E25627" t="str">
            <v>Community School</v>
          </cell>
          <cell r="F25627" t="str">
            <v>Primary</v>
          </cell>
        </row>
        <row r="25628">
          <cell r="A25628">
            <v>8862335</v>
          </cell>
          <cell r="B25628">
            <v>118410</v>
          </cell>
          <cell r="C25628" t="str">
            <v>Salmestone Primary School</v>
          </cell>
          <cell r="D25628" t="str">
            <v>Kent</v>
          </cell>
          <cell r="E25628" t="str">
            <v>Community School</v>
          </cell>
          <cell r="F25628" t="str">
            <v>Primary</v>
          </cell>
        </row>
        <row r="25629">
          <cell r="A25629">
            <v>8662215</v>
          </cell>
          <cell r="B25629">
            <v>126284</v>
          </cell>
          <cell r="C25629" t="str">
            <v>Salt Way Primary School</v>
          </cell>
          <cell r="D25629" t="str">
            <v>Swindon</v>
          </cell>
          <cell r="E25629" t="str">
            <v>Community School</v>
          </cell>
          <cell r="F25629" t="str">
            <v>Primary</v>
          </cell>
        </row>
        <row r="25630">
          <cell r="A25630">
            <v>3802140</v>
          </cell>
          <cell r="B25630">
            <v>107270</v>
          </cell>
          <cell r="C25630" t="str">
            <v>Saltaire Primary School</v>
          </cell>
          <cell r="D25630" t="str">
            <v>Bradford</v>
          </cell>
          <cell r="E25630" t="str">
            <v>Community School</v>
          </cell>
          <cell r="F25630" t="str">
            <v>Primary</v>
          </cell>
        </row>
        <row r="25631">
          <cell r="A25631">
            <v>9082729</v>
          </cell>
          <cell r="B25631">
            <v>111971</v>
          </cell>
          <cell r="C25631" t="str">
            <v>Saltash Junior School</v>
          </cell>
          <cell r="D25631" t="str">
            <v>Cornwall</v>
          </cell>
          <cell r="E25631" t="str">
            <v>Community School</v>
          </cell>
          <cell r="F25631" t="str">
            <v>Primary</v>
          </cell>
        </row>
        <row r="25632">
          <cell r="A25632">
            <v>9084143</v>
          </cell>
          <cell r="B25632">
            <v>112040</v>
          </cell>
          <cell r="C25632" t="str">
            <v>saltash.net community school</v>
          </cell>
          <cell r="D25632" t="str">
            <v>Cornwall</v>
          </cell>
          <cell r="E25632" t="str">
            <v>Community School</v>
          </cell>
          <cell r="F25632" t="str">
            <v>Secondary</v>
          </cell>
        </row>
        <row r="25633">
          <cell r="A25633">
            <v>9084143</v>
          </cell>
          <cell r="B25633">
            <v>136575</v>
          </cell>
          <cell r="C25633" t="str">
            <v>Saltash.net community school</v>
          </cell>
          <cell r="D25633" t="str">
            <v>Cornwall</v>
          </cell>
          <cell r="E25633" t="str">
            <v>Academy Converters</v>
          </cell>
          <cell r="F25633" t="str">
            <v>Secondary</v>
          </cell>
        </row>
        <row r="25634">
          <cell r="A25634">
            <v>9072027</v>
          </cell>
          <cell r="B25634">
            <v>128491</v>
          </cell>
          <cell r="C25634" t="str">
            <v>Saltburn Infant School</v>
          </cell>
          <cell r="D25634" t="str">
            <v>Pre LGR (1996) Cleveland</v>
          </cell>
          <cell r="E25634" t="str">
            <v>Community School</v>
          </cell>
          <cell r="F25634" t="str">
            <v>Primary</v>
          </cell>
        </row>
        <row r="25635">
          <cell r="A25635">
            <v>9072023</v>
          </cell>
          <cell r="B25635">
            <v>128490</v>
          </cell>
          <cell r="C25635" t="str">
            <v>Saltburn Junior School</v>
          </cell>
          <cell r="D25635" t="str">
            <v>Pre LGR (1996) Cleveland</v>
          </cell>
          <cell r="E25635" t="str">
            <v>Community School</v>
          </cell>
          <cell r="F25635" t="str">
            <v>Primary</v>
          </cell>
        </row>
        <row r="25636">
          <cell r="A25636">
            <v>8072366</v>
          </cell>
          <cell r="B25636">
            <v>111663</v>
          </cell>
          <cell r="C25636" t="str">
            <v>Saltburn Primary School</v>
          </cell>
          <cell r="D25636" t="str">
            <v>Redcar and Cleveland</v>
          </cell>
          <cell r="E25636" t="str">
            <v>Community School</v>
          </cell>
          <cell r="F25636" t="str">
            <v>Primary</v>
          </cell>
        </row>
        <row r="25637">
          <cell r="A25637">
            <v>9243313</v>
          </cell>
          <cell r="B25637">
            <v>129537</v>
          </cell>
          <cell r="C25637" t="str">
            <v>Saltby CofE Primary School</v>
          </cell>
          <cell r="D25637" t="str">
            <v>Pre LGR (1997) Leicestershire</v>
          </cell>
          <cell r="E25637" t="str">
            <v>Voluntary Aided School</v>
          </cell>
          <cell r="F25637" t="str">
            <v>Primary</v>
          </cell>
        </row>
        <row r="25638">
          <cell r="A25638">
            <v>8462157</v>
          </cell>
          <cell r="B25638">
            <v>114479</v>
          </cell>
          <cell r="C25638" t="str">
            <v>Saltdean Primary School</v>
          </cell>
          <cell r="D25638" t="str">
            <v>Brighton and Hove</v>
          </cell>
          <cell r="E25638" t="str">
            <v>Community School</v>
          </cell>
          <cell r="F25638" t="str">
            <v>Primary</v>
          </cell>
        </row>
        <row r="25639">
          <cell r="A25639">
            <v>8916017</v>
          </cell>
          <cell r="B25639">
            <v>122938</v>
          </cell>
          <cell r="C25639" t="str">
            <v>Salterford House School</v>
          </cell>
          <cell r="D25639" t="str">
            <v>Nottinghamshire</v>
          </cell>
          <cell r="E25639" t="str">
            <v>Other Independent School</v>
          </cell>
          <cell r="F25639" t="str">
            <v>Not applicable</v>
          </cell>
        </row>
        <row r="25640">
          <cell r="A25640">
            <v>8882240</v>
          </cell>
          <cell r="B25640">
            <v>119267</v>
          </cell>
          <cell r="C25640" t="str">
            <v>Salterforth Primary School</v>
          </cell>
          <cell r="D25640" t="str">
            <v>Lancashire</v>
          </cell>
          <cell r="E25640" t="str">
            <v>Community School</v>
          </cell>
          <cell r="F25640" t="str">
            <v>Primary</v>
          </cell>
        </row>
        <row r="25641">
          <cell r="A25641">
            <v>8152424</v>
          </cell>
          <cell r="B25641">
            <v>121463</v>
          </cell>
          <cell r="C25641" t="str">
            <v>Saltergate Community Junior School</v>
          </cell>
          <cell r="D25641" t="str">
            <v>North Yorkshire</v>
          </cell>
          <cell r="E25641" t="str">
            <v>Community School</v>
          </cell>
          <cell r="F25641" t="str">
            <v>Primary</v>
          </cell>
        </row>
        <row r="25642">
          <cell r="A25642">
            <v>8152425</v>
          </cell>
          <cell r="B25642">
            <v>121464</v>
          </cell>
          <cell r="C25642" t="str">
            <v>Saltergate Infant School</v>
          </cell>
          <cell r="D25642" t="str">
            <v>North Yorkshire</v>
          </cell>
          <cell r="E25642" t="str">
            <v>Community School</v>
          </cell>
          <cell r="F25642" t="str">
            <v>Primary</v>
          </cell>
        </row>
        <row r="25643">
          <cell r="A25643">
            <v>3812021</v>
          </cell>
          <cell r="B25643">
            <v>107490</v>
          </cell>
          <cell r="C25643" t="str">
            <v>Salterhebble Junior and Infant School</v>
          </cell>
          <cell r="D25643" t="str">
            <v>Calderdale</v>
          </cell>
          <cell r="E25643" t="str">
            <v>Community School</v>
          </cell>
          <cell r="F25643" t="str">
            <v>Primary</v>
          </cell>
        </row>
        <row r="25644">
          <cell r="A25644">
            <v>3815200</v>
          </cell>
          <cell r="B25644">
            <v>107568</v>
          </cell>
          <cell r="C25644" t="str">
            <v>Salterlee Primary School</v>
          </cell>
          <cell r="D25644" t="str">
            <v>Calderdale</v>
          </cell>
          <cell r="E25644" t="str">
            <v>Foundation School</v>
          </cell>
          <cell r="F25644" t="str">
            <v>Primary</v>
          </cell>
        </row>
        <row r="25645">
          <cell r="A25645">
            <v>3815200</v>
          </cell>
          <cell r="B25645">
            <v>137347</v>
          </cell>
          <cell r="C25645" t="str">
            <v>Salterlee Primary School</v>
          </cell>
          <cell r="D25645" t="str">
            <v>Calderdale</v>
          </cell>
          <cell r="E25645" t="str">
            <v>Academy Converters</v>
          </cell>
          <cell r="F25645" t="str">
            <v>Primary</v>
          </cell>
        </row>
        <row r="25646">
          <cell r="A25646">
            <v>8507024</v>
          </cell>
          <cell r="B25646">
            <v>116612</v>
          </cell>
          <cell r="C25646" t="str">
            <v>Salterns School</v>
          </cell>
          <cell r="D25646" t="str">
            <v>Hampshire</v>
          </cell>
          <cell r="E25646" t="str">
            <v>Community Special School</v>
          </cell>
          <cell r="F25646" t="str">
            <v>Special</v>
          </cell>
        </row>
        <row r="25647">
          <cell r="A25647">
            <v>9356010</v>
          </cell>
          <cell r="B25647">
            <v>129992</v>
          </cell>
          <cell r="C25647" t="str">
            <v>Salters Hall School</v>
          </cell>
          <cell r="D25647" t="str">
            <v>Suffolk</v>
          </cell>
          <cell r="E25647" t="str">
            <v>Other Independent School</v>
          </cell>
          <cell r="F25647" t="str">
            <v>Not applicable</v>
          </cell>
        </row>
        <row r="25648">
          <cell r="A25648">
            <v>9137008</v>
          </cell>
          <cell r="B25648">
            <v>128828</v>
          </cell>
          <cell r="C25648" t="str">
            <v>Salters Lane School</v>
          </cell>
          <cell r="D25648" t="str">
            <v>Pre LGR (1997) Durham</v>
          </cell>
          <cell r="E25648" t="str">
            <v>Community Special School</v>
          </cell>
          <cell r="F25648" t="str">
            <v>Special</v>
          </cell>
        </row>
        <row r="25649">
          <cell r="A25649">
            <v>9253137</v>
          </cell>
          <cell r="B25649">
            <v>120582</v>
          </cell>
          <cell r="C25649" t="str">
            <v>Saltfleetby CofE Primary School</v>
          </cell>
          <cell r="D25649" t="str">
            <v>Lincolnshire</v>
          </cell>
          <cell r="E25649" t="str">
            <v>Voluntary Controlled School</v>
          </cell>
          <cell r="F25649" t="str">
            <v>Primary</v>
          </cell>
        </row>
        <row r="25650">
          <cell r="A25650">
            <v>8003102</v>
          </cell>
          <cell r="B25650">
            <v>109205</v>
          </cell>
          <cell r="C25650" t="str">
            <v>Saltford CofE Primary School</v>
          </cell>
          <cell r="D25650" t="str">
            <v>Bath and North East Somerset</v>
          </cell>
          <cell r="E25650" t="str">
            <v>Voluntary Controlled School</v>
          </cell>
          <cell r="F25650" t="str">
            <v>Primary</v>
          </cell>
        </row>
        <row r="25651">
          <cell r="A25651">
            <v>3304008</v>
          </cell>
          <cell r="B25651">
            <v>103480</v>
          </cell>
          <cell r="C25651" t="str">
            <v>Saltley School and Specialist Science College</v>
          </cell>
          <cell r="D25651" t="str">
            <v>Birmingham</v>
          </cell>
          <cell r="E25651" t="str">
            <v>Community School</v>
          </cell>
          <cell r="F25651" t="str">
            <v>Secondary</v>
          </cell>
        </row>
        <row r="25652">
          <cell r="A25652">
            <v>6642078</v>
          </cell>
          <cell r="B25652">
            <v>400356</v>
          </cell>
          <cell r="C25652" t="str">
            <v>Saltney Ferry C.P. School</v>
          </cell>
          <cell r="D25652" t="str">
            <v>Flintshire</v>
          </cell>
          <cell r="E25652" t="str">
            <v>Welsh Establishment</v>
          </cell>
          <cell r="F25652" t="str">
            <v>Primary</v>
          </cell>
        </row>
        <row r="25653">
          <cell r="A25653">
            <v>6642040</v>
          </cell>
          <cell r="B25653">
            <v>400334</v>
          </cell>
          <cell r="C25653" t="str">
            <v>Saltney Wood Memorial C.P. School</v>
          </cell>
          <cell r="D25653" t="str">
            <v>Flintshire</v>
          </cell>
          <cell r="E25653" t="str">
            <v>Welsh Establishment</v>
          </cell>
          <cell r="F25653" t="str">
            <v>Primary</v>
          </cell>
        </row>
        <row r="25654">
          <cell r="A25654">
            <v>9204265</v>
          </cell>
          <cell r="B25654">
            <v>129286</v>
          </cell>
          <cell r="C25654" t="str">
            <v>Saltshouse Junior High School</v>
          </cell>
          <cell r="D25654" t="str">
            <v>Pre LGR (1996) Humberside</v>
          </cell>
          <cell r="E25654" t="str">
            <v>Community School</v>
          </cell>
          <cell r="F25654" t="str">
            <v>Secondary</v>
          </cell>
        </row>
        <row r="25655">
          <cell r="A25655">
            <v>3904025</v>
          </cell>
          <cell r="B25655">
            <v>128113</v>
          </cell>
          <cell r="C25655" t="str">
            <v>Saltwell Senior High School</v>
          </cell>
          <cell r="D25655" t="str">
            <v>Gateshead</v>
          </cell>
          <cell r="E25655" t="str">
            <v>Community School</v>
          </cell>
          <cell r="F25655" t="str">
            <v>Secondary</v>
          </cell>
        </row>
        <row r="25656">
          <cell r="A25656">
            <v>8863350</v>
          </cell>
          <cell r="B25656">
            <v>118744</v>
          </cell>
          <cell r="C25656" t="str">
            <v>Saltwood CofE Primary School</v>
          </cell>
          <cell r="D25656" t="str">
            <v>Kent</v>
          </cell>
          <cell r="E25656" t="str">
            <v>Voluntary Aided School</v>
          </cell>
          <cell r="F25656" t="str">
            <v>Primary</v>
          </cell>
        </row>
        <row r="25657">
          <cell r="A25657">
            <v>3042044</v>
          </cell>
          <cell r="B25657">
            <v>126773</v>
          </cell>
          <cell r="C25657" t="str">
            <v>Salusbury Infant School</v>
          </cell>
          <cell r="D25657" t="str">
            <v>Brent</v>
          </cell>
          <cell r="E25657" t="str">
            <v>Community School</v>
          </cell>
          <cell r="F25657" t="str">
            <v>Primary</v>
          </cell>
        </row>
        <row r="25658">
          <cell r="A25658">
            <v>3042043</v>
          </cell>
          <cell r="B25658">
            <v>126772</v>
          </cell>
          <cell r="C25658" t="str">
            <v>Salusbury Junior School</v>
          </cell>
          <cell r="D25658" t="str">
            <v>Brent</v>
          </cell>
          <cell r="E25658" t="str">
            <v>Community School</v>
          </cell>
          <cell r="F25658" t="str">
            <v>Primary</v>
          </cell>
        </row>
        <row r="25659">
          <cell r="A25659">
            <v>3042070</v>
          </cell>
          <cell r="B25659">
            <v>101527</v>
          </cell>
          <cell r="C25659" t="str">
            <v>Salusbury Primary School</v>
          </cell>
          <cell r="D25659" t="str">
            <v>Brent</v>
          </cell>
          <cell r="E25659" t="str">
            <v>Community School</v>
          </cell>
          <cell r="F25659" t="str">
            <v>Primary</v>
          </cell>
        </row>
        <row r="25660">
          <cell r="A25660">
            <v>3105400</v>
          </cell>
          <cell r="B25660">
            <v>102244</v>
          </cell>
          <cell r="C25660" t="str">
            <v>Salvatorian Roman Catholic College</v>
          </cell>
          <cell r="D25660" t="str">
            <v>Harrow</v>
          </cell>
          <cell r="E25660" t="str">
            <v>Voluntary Aided School</v>
          </cell>
          <cell r="F25660" t="str">
            <v>Secondary</v>
          </cell>
        </row>
        <row r="25661">
          <cell r="A25661">
            <v>8353345</v>
          </cell>
          <cell r="B25661">
            <v>113809</v>
          </cell>
          <cell r="C25661" t="str">
            <v>Salway Ash Church of England Voluntary Aided Primary School</v>
          </cell>
          <cell r="D25661" t="str">
            <v>Dorset</v>
          </cell>
          <cell r="E25661" t="str">
            <v>Voluntary Aided School</v>
          </cell>
          <cell r="F25661" t="str">
            <v>Primary</v>
          </cell>
        </row>
        <row r="25662">
          <cell r="A25662">
            <v>7072010</v>
          </cell>
          <cell r="B25662">
            <v>132517</v>
          </cell>
          <cell r="C25662" t="str">
            <v>Samares School</v>
          </cell>
          <cell r="D25662" t="str">
            <v>Jersey Offshore Establishments</v>
          </cell>
          <cell r="E25662" t="str">
            <v>Offshore Schools</v>
          </cell>
          <cell r="F25662" t="str">
            <v>Not applicable</v>
          </cell>
        </row>
        <row r="25663">
          <cell r="A25663">
            <v>8883590</v>
          </cell>
          <cell r="B25663">
            <v>119572</v>
          </cell>
          <cell r="C25663" t="str">
            <v>Samlesbury Church of England School</v>
          </cell>
          <cell r="D25663" t="str">
            <v>Lancashire</v>
          </cell>
          <cell r="E25663" t="str">
            <v>Voluntary Aided School</v>
          </cell>
          <cell r="F25663" t="str">
            <v>Primary</v>
          </cell>
        </row>
        <row r="25664">
          <cell r="A25664">
            <v>9332211</v>
          </cell>
          <cell r="B25664">
            <v>123705</v>
          </cell>
          <cell r="C25664" t="str">
            <v>Sampford Arundel Community Primary School</v>
          </cell>
          <cell r="D25664" t="str">
            <v>Somerset</v>
          </cell>
          <cell r="E25664" t="str">
            <v>Community School</v>
          </cell>
          <cell r="F25664" t="str">
            <v>Primary</v>
          </cell>
        </row>
        <row r="25665">
          <cell r="A25665">
            <v>8783019</v>
          </cell>
          <cell r="B25665">
            <v>113362</v>
          </cell>
          <cell r="C25665" t="str">
            <v>Sampford Peverell Church of England Primary School</v>
          </cell>
          <cell r="D25665" t="str">
            <v>Devon</v>
          </cell>
          <cell r="E25665" t="str">
            <v>Voluntary Controlled School</v>
          </cell>
          <cell r="F25665" t="str">
            <v>Primary</v>
          </cell>
        </row>
        <row r="25666">
          <cell r="A25666">
            <v>8783019</v>
          </cell>
          <cell r="B25666">
            <v>137651</v>
          </cell>
          <cell r="C25666" t="str">
            <v>Sampford Peverell Church of England Primary School</v>
          </cell>
          <cell r="D25666" t="str">
            <v>Devon</v>
          </cell>
          <cell r="E25666" t="str">
            <v>Academy Converters</v>
          </cell>
          <cell r="F25666" t="str">
            <v>Primary</v>
          </cell>
        </row>
        <row r="25667">
          <cell r="A25667">
            <v>8912711</v>
          </cell>
          <cell r="B25667">
            <v>122630</v>
          </cell>
          <cell r="C25667" t="str">
            <v>Samuel Barlow Primary and Nursery School</v>
          </cell>
          <cell r="D25667" t="str">
            <v>Nottinghamshire</v>
          </cell>
          <cell r="E25667" t="str">
            <v>Community School</v>
          </cell>
          <cell r="F25667" t="str">
            <v>Primary</v>
          </cell>
        </row>
        <row r="25668">
          <cell r="A25668">
            <v>8507073</v>
          </cell>
          <cell r="B25668">
            <v>116640</v>
          </cell>
          <cell r="C25668" t="str">
            <v>Samuel Cody Specialist Sports College</v>
          </cell>
          <cell r="D25668" t="str">
            <v>Hampshire</v>
          </cell>
          <cell r="E25668" t="str">
            <v>Community Special School</v>
          </cell>
          <cell r="F25668" t="str">
            <v>Special</v>
          </cell>
        </row>
        <row r="25669">
          <cell r="A25669">
            <v>9094011</v>
          </cell>
          <cell r="B25669">
            <v>112378</v>
          </cell>
          <cell r="C25669" t="str">
            <v>Samuel King's School</v>
          </cell>
          <cell r="D25669" t="str">
            <v>Cumbria</v>
          </cell>
          <cell r="E25669" t="str">
            <v>Foundation School</v>
          </cell>
          <cell r="F25669" t="str">
            <v>Secondary</v>
          </cell>
        </row>
        <row r="25670">
          <cell r="A25670">
            <v>3577006</v>
          </cell>
          <cell r="B25670">
            <v>106280</v>
          </cell>
          <cell r="C25670" t="str">
            <v>Samuel Laycock School</v>
          </cell>
          <cell r="D25670" t="str">
            <v>Tameside</v>
          </cell>
          <cell r="E25670" t="str">
            <v>Community Special School</v>
          </cell>
          <cell r="F25670" t="str">
            <v>Special</v>
          </cell>
        </row>
        <row r="25671">
          <cell r="A25671">
            <v>9192428</v>
          </cell>
          <cell r="B25671">
            <v>117337</v>
          </cell>
          <cell r="C25671" t="str">
            <v>Samuel Lucas Junior Mixed and Infant School</v>
          </cell>
          <cell r="D25671" t="str">
            <v>Hertfordshire</v>
          </cell>
          <cell r="E25671" t="str">
            <v>Community School</v>
          </cell>
          <cell r="F25671" t="str">
            <v>Primary</v>
          </cell>
        </row>
        <row r="25672">
          <cell r="A25672">
            <v>8737023</v>
          </cell>
          <cell r="B25672">
            <v>110951</v>
          </cell>
          <cell r="C25672" t="str">
            <v>Samuel Pepys School</v>
          </cell>
          <cell r="D25672" t="str">
            <v>Cambridgeshire</v>
          </cell>
          <cell r="E25672" t="str">
            <v>Community Special School</v>
          </cell>
          <cell r="F25672" t="str">
            <v>Special</v>
          </cell>
        </row>
        <row r="25673">
          <cell r="A25673">
            <v>2067146</v>
          </cell>
          <cell r="B25673">
            <v>100469</v>
          </cell>
          <cell r="C25673" t="str">
            <v>Samuel Rhodes MLD School</v>
          </cell>
          <cell r="D25673" t="str">
            <v>Islington</v>
          </cell>
          <cell r="E25673" t="str">
            <v>Community Special School</v>
          </cell>
          <cell r="F25673" t="str">
            <v>Special</v>
          </cell>
        </row>
        <row r="25674">
          <cell r="A25674">
            <v>9354102</v>
          </cell>
          <cell r="B25674">
            <v>136322</v>
          </cell>
          <cell r="C25674" t="str">
            <v>Samuel Ward Academy</v>
          </cell>
          <cell r="D25674" t="str">
            <v>Suffolk</v>
          </cell>
          <cell r="E25674" t="str">
            <v>Academy Converters</v>
          </cell>
          <cell r="F25674" t="str">
            <v>Secondary</v>
          </cell>
        </row>
        <row r="25675">
          <cell r="A25675">
            <v>9354102</v>
          </cell>
          <cell r="B25675">
            <v>124852</v>
          </cell>
          <cell r="C25675" t="str">
            <v>Samuel Ward Arts and Technology College</v>
          </cell>
          <cell r="D25675" t="str">
            <v>Suffolk</v>
          </cell>
          <cell r="E25675" t="str">
            <v>Foundation School</v>
          </cell>
          <cell r="F25675" t="str">
            <v>Secondary</v>
          </cell>
        </row>
        <row r="25676">
          <cell r="A25676">
            <v>8234079</v>
          </cell>
          <cell r="B25676">
            <v>109670</v>
          </cell>
          <cell r="C25676" t="str">
            <v>Samuel Whitbread Community College</v>
          </cell>
          <cell r="D25676" t="str">
            <v>Central Bedfordshire</v>
          </cell>
          <cell r="E25676" t="str">
            <v>Foundation School</v>
          </cell>
          <cell r="F25676" t="str">
            <v>Secondary</v>
          </cell>
        </row>
        <row r="25677">
          <cell r="A25677">
            <v>8032199</v>
          </cell>
          <cell r="B25677">
            <v>109033</v>
          </cell>
          <cell r="C25677" t="str">
            <v>Samuel White's Infant School</v>
          </cell>
          <cell r="D25677" t="str">
            <v>South Gloucestershire</v>
          </cell>
          <cell r="E25677" t="str">
            <v>Community School</v>
          </cell>
          <cell r="F25677" t="str">
            <v>Primary</v>
          </cell>
        </row>
        <row r="25678">
          <cell r="A25678">
            <v>8916905</v>
          </cell>
          <cell r="B25678">
            <v>135583</v>
          </cell>
          <cell r="C25678" t="str">
            <v>Samworth Church Academy</v>
          </cell>
          <cell r="D25678" t="str">
            <v>Nottinghamshire</v>
          </cell>
          <cell r="E25678" t="str">
            <v>Academy Sponsor Led</v>
          </cell>
          <cell r="F25678" t="str">
            <v>Secondary</v>
          </cell>
        </row>
        <row r="25679">
          <cell r="A25679">
            <v>8736009</v>
          </cell>
          <cell r="B25679">
            <v>110921</v>
          </cell>
          <cell r="C25679" t="str">
            <v>Sancton Wood School</v>
          </cell>
          <cell r="D25679" t="str">
            <v>Cambridgeshire</v>
          </cell>
          <cell r="E25679" t="str">
            <v>Other Independent School</v>
          </cell>
          <cell r="F25679" t="str">
            <v>Not applicable</v>
          </cell>
        </row>
        <row r="25680">
          <cell r="A25680">
            <v>3306212</v>
          </cell>
          <cell r="B25680">
            <v>136221</v>
          </cell>
          <cell r="C25680" t="str">
            <v>Sanctuary Education</v>
          </cell>
          <cell r="D25680" t="str">
            <v>Birmingham</v>
          </cell>
          <cell r="E25680" t="str">
            <v>Other Independent School</v>
          </cell>
          <cell r="F25680" t="str">
            <v>Not applicable</v>
          </cell>
        </row>
        <row r="25681">
          <cell r="A25681">
            <v>3431003</v>
          </cell>
          <cell r="B25681">
            <v>104846</v>
          </cell>
          <cell r="C25681" t="str">
            <v>Sand Dunes Nursery School</v>
          </cell>
          <cell r="D25681" t="str">
            <v>Sefton</v>
          </cell>
          <cell r="E25681" t="str">
            <v>LA Nursery School</v>
          </cell>
          <cell r="F25681" t="str">
            <v>Nursery</v>
          </cell>
        </row>
        <row r="25682">
          <cell r="A25682">
            <v>8153099</v>
          </cell>
          <cell r="B25682">
            <v>121513</v>
          </cell>
          <cell r="C25682" t="str">
            <v>Sand Hutton Church of England Voluntary Controlled Primary School</v>
          </cell>
          <cell r="D25682" t="str">
            <v>North Yorkshire</v>
          </cell>
          <cell r="E25682" t="str">
            <v>Voluntary Controlled School</v>
          </cell>
          <cell r="F25682" t="str">
            <v>Primary</v>
          </cell>
        </row>
        <row r="25683">
          <cell r="A25683">
            <v>3843339</v>
          </cell>
          <cell r="B25683">
            <v>108270</v>
          </cell>
          <cell r="C25683" t="str">
            <v>Sandal Endowed Church of England Voluntary Aided Junior School</v>
          </cell>
          <cell r="D25683" t="str">
            <v>Wakefield</v>
          </cell>
          <cell r="E25683" t="str">
            <v>Voluntary Aided School</v>
          </cell>
          <cell r="F25683" t="str">
            <v>Primary</v>
          </cell>
        </row>
        <row r="25684">
          <cell r="A25684">
            <v>3802174</v>
          </cell>
          <cell r="B25684">
            <v>107287</v>
          </cell>
          <cell r="C25684" t="str">
            <v>Sandal Primary School</v>
          </cell>
          <cell r="D25684" t="str">
            <v>Bradford</v>
          </cell>
          <cell r="E25684" t="str">
            <v>Community School</v>
          </cell>
          <cell r="F25684" t="str">
            <v>Primary</v>
          </cell>
        </row>
        <row r="25685">
          <cell r="A25685">
            <v>3717011</v>
          </cell>
          <cell r="B25685">
            <v>106825</v>
          </cell>
          <cell r="C25685" t="str">
            <v>Sandall Wood School</v>
          </cell>
          <cell r="D25685" t="str">
            <v>Doncaster</v>
          </cell>
          <cell r="E25685" t="str">
            <v>Community Special School</v>
          </cell>
          <cell r="F25685" t="str">
            <v>Special</v>
          </cell>
        </row>
        <row r="25686">
          <cell r="A25686">
            <v>8952167</v>
          </cell>
          <cell r="B25686">
            <v>111037</v>
          </cell>
          <cell r="C25686" t="str">
            <v>Sandbach Community Primary School</v>
          </cell>
          <cell r="D25686" t="str">
            <v>Cheshire East</v>
          </cell>
          <cell r="E25686" t="str">
            <v>Community School</v>
          </cell>
          <cell r="F25686" t="str">
            <v>Primary</v>
          </cell>
        </row>
        <row r="25687">
          <cell r="A25687">
            <v>8954123</v>
          </cell>
          <cell r="B25687">
            <v>111406</v>
          </cell>
          <cell r="C25687" t="str">
            <v>Sandbach High School and Sixth Form College</v>
          </cell>
          <cell r="D25687" t="str">
            <v>Cheshire East</v>
          </cell>
          <cell r="E25687" t="str">
            <v>Foundation School</v>
          </cell>
          <cell r="F25687" t="str">
            <v>Secondary</v>
          </cell>
        </row>
        <row r="25688">
          <cell r="A25688">
            <v>8954123</v>
          </cell>
          <cell r="B25688">
            <v>136340</v>
          </cell>
          <cell r="C25688" t="str">
            <v>Sandbach High School and Sixth Form College</v>
          </cell>
          <cell r="D25688" t="str">
            <v>Cheshire East</v>
          </cell>
          <cell r="E25688" t="str">
            <v>Academy Converters</v>
          </cell>
          <cell r="F25688" t="str">
            <v>Secondary</v>
          </cell>
        </row>
        <row r="25689">
          <cell r="A25689">
            <v>8956010</v>
          </cell>
          <cell r="B25689">
            <v>111476</v>
          </cell>
          <cell r="C25689" t="str">
            <v>Sandbach School</v>
          </cell>
          <cell r="D25689" t="str">
            <v>Cheshire East</v>
          </cell>
          <cell r="E25689" t="str">
            <v>Other Independent School</v>
          </cell>
          <cell r="F25689" t="str">
            <v>Not applicable</v>
          </cell>
        </row>
        <row r="25690">
          <cell r="A25690">
            <v>8956010</v>
          </cell>
          <cell r="B25690">
            <v>137491</v>
          </cell>
          <cell r="C25690" t="str">
            <v>Sandbach School</v>
          </cell>
          <cell r="D25690" t="str">
            <v>Cheshire East</v>
          </cell>
          <cell r="E25690" t="str">
            <v>Academy Free Schools</v>
          </cell>
          <cell r="F25690" t="str">
            <v>Not applicable</v>
          </cell>
        </row>
        <row r="25691">
          <cell r="A25691">
            <v>3351000</v>
          </cell>
          <cell r="B25691">
            <v>104134</v>
          </cell>
          <cell r="C25691" t="str">
            <v>Sandbank Nursery School</v>
          </cell>
          <cell r="D25691" t="str">
            <v>Walsall</v>
          </cell>
          <cell r="E25691" t="str">
            <v>LA Nursery School</v>
          </cell>
          <cell r="F25691" t="str">
            <v>Nursery</v>
          </cell>
        </row>
        <row r="25692">
          <cell r="A25692">
            <v>3543511</v>
          </cell>
          <cell r="B25692">
            <v>134966</v>
          </cell>
          <cell r="C25692" t="str">
            <v>Sandbrook Community Primary School</v>
          </cell>
          <cell r="D25692" t="str">
            <v>Rochdale</v>
          </cell>
          <cell r="E25692" t="str">
            <v>Community School</v>
          </cell>
          <cell r="F25692" t="str">
            <v>Primary</v>
          </cell>
        </row>
        <row r="25693">
          <cell r="A25693">
            <v>3442116</v>
          </cell>
          <cell r="B25693">
            <v>105003</v>
          </cell>
          <cell r="C25693" t="str">
            <v>Sandbrook Primary School</v>
          </cell>
          <cell r="D25693" t="str">
            <v>Wirral</v>
          </cell>
          <cell r="E25693" t="str">
            <v>Community School</v>
          </cell>
          <cell r="F25693" t="str">
            <v>Primary</v>
          </cell>
        </row>
        <row r="25694">
          <cell r="A25694">
            <v>8886110</v>
          </cell>
          <cell r="B25694">
            <v>135845</v>
          </cell>
          <cell r="C25694" t="str">
            <v>Sandcastle School</v>
          </cell>
          <cell r="D25694" t="str">
            <v>Lancashire</v>
          </cell>
          <cell r="E25694" t="str">
            <v>Other Independent Special School</v>
          </cell>
          <cell r="F25694" t="str">
            <v>Not applicable</v>
          </cell>
        </row>
        <row r="25695">
          <cell r="A25695">
            <v>9362931</v>
          </cell>
          <cell r="B25695">
            <v>125110</v>
          </cell>
          <cell r="C25695" t="str">
            <v>Sandcross School</v>
          </cell>
          <cell r="D25695" t="str">
            <v>Surrey</v>
          </cell>
          <cell r="E25695" t="str">
            <v>Community School</v>
          </cell>
          <cell r="F25695" t="str">
            <v>Primary</v>
          </cell>
        </row>
        <row r="25696">
          <cell r="A25696">
            <v>3066070</v>
          </cell>
          <cell r="B25696">
            <v>101840</v>
          </cell>
          <cell r="C25696" t="str">
            <v>Sanderstead Junior School</v>
          </cell>
          <cell r="D25696" t="str">
            <v>Croydon</v>
          </cell>
          <cell r="E25696" t="str">
            <v>Other Independent School</v>
          </cell>
          <cell r="F25696" t="str">
            <v>Not applicable</v>
          </cell>
        </row>
        <row r="25697">
          <cell r="A25697">
            <v>8562317</v>
          </cell>
          <cell r="B25697">
            <v>120047</v>
          </cell>
          <cell r="C25697" t="str">
            <v>Sandfield Close Primary School</v>
          </cell>
          <cell r="D25697" t="str">
            <v>Leicester</v>
          </cell>
          <cell r="E25697" t="str">
            <v>Community School</v>
          </cell>
          <cell r="F25697" t="str">
            <v>Primary</v>
          </cell>
        </row>
        <row r="25698">
          <cell r="A25698">
            <v>3417030</v>
          </cell>
          <cell r="B25698">
            <v>104737</v>
          </cell>
          <cell r="C25698" t="str">
            <v>Sandfield Park School</v>
          </cell>
          <cell r="D25698" t="str">
            <v>Liverpool</v>
          </cell>
          <cell r="E25698" t="str">
            <v>Community Special School</v>
          </cell>
          <cell r="F25698" t="str">
            <v>Special</v>
          </cell>
        </row>
        <row r="25699">
          <cell r="A25699">
            <v>3417059</v>
          </cell>
          <cell r="B25699">
            <v>130961</v>
          </cell>
          <cell r="C25699" t="str">
            <v>Sandfield Park School</v>
          </cell>
          <cell r="D25699" t="str">
            <v>Liverpool</v>
          </cell>
          <cell r="E25699" t="str">
            <v>Community Special School</v>
          </cell>
          <cell r="F25699" t="str">
            <v>Special</v>
          </cell>
        </row>
        <row r="25700">
          <cell r="A25700">
            <v>9362128</v>
          </cell>
          <cell r="B25700">
            <v>124972</v>
          </cell>
          <cell r="C25700" t="str">
            <v>Sandfield Primary School</v>
          </cell>
          <cell r="D25700" t="str">
            <v>Surrey</v>
          </cell>
          <cell r="E25700" t="str">
            <v>Community School</v>
          </cell>
          <cell r="F25700" t="str">
            <v>Primary</v>
          </cell>
        </row>
        <row r="25701">
          <cell r="A25701">
            <v>3437012</v>
          </cell>
          <cell r="B25701">
            <v>127379</v>
          </cell>
          <cell r="C25701" t="str">
            <v>Sandfield School</v>
          </cell>
          <cell r="D25701" t="str">
            <v>Sefton</v>
          </cell>
          <cell r="E25701" t="str">
            <v>Community Special School</v>
          </cell>
          <cell r="F25701" t="str">
            <v>Special</v>
          </cell>
        </row>
        <row r="25702">
          <cell r="A25702">
            <v>6714056</v>
          </cell>
          <cell r="B25702">
            <v>401780</v>
          </cell>
          <cell r="C25702" t="str">
            <v>Sandfields Comprehensive School</v>
          </cell>
          <cell r="D25702" t="str">
            <v>Neath Port Talbot</v>
          </cell>
          <cell r="E25702" t="str">
            <v>Welsh Establishment</v>
          </cell>
          <cell r="F25702" t="str">
            <v>Secondary</v>
          </cell>
        </row>
        <row r="25703">
          <cell r="A25703">
            <v>6712161</v>
          </cell>
          <cell r="B25703">
            <v>400987</v>
          </cell>
          <cell r="C25703" t="str">
            <v>Sandfields Primary School</v>
          </cell>
          <cell r="D25703" t="str">
            <v>Neath Port Talbot</v>
          </cell>
          <cell r="E25703" t="str">
            <v>Welsh Establishment</v>
          </cell>
          <cell r="F25703" t="str">
            <v>Primary</v>
          </cell>
        </row>
        <row r="25704">
          <cell r="A25704">
            <v>8354508</v>
          </cell>
          <cell r="B25704">
            <v>113886</v>
          </cell>
          <cell r="C25704" t="str">
            <v>Sandford Church of England Middle School</v>
          </cell>
          <cell r="D25704" t="str">
            <v>Dorset</v>
          </cell>
          <cell r="E25704" t="str">
            <v>Voluntary Controlled School</v>
          </cell>
          <cell r="F25704" t="str">
            <v>Middle Deemed Secondary</v>
          </cell>
        </row>
        <row r="25705">
          <cell r="A25705">
            <v>8612116</v>
          </cell>
          <cell r="B25705">
            <v>124030</v>
          </cell>
          <cell r="C25705" t="str">
            <v>Sandford Hill Primary School</v>
          </cell>
          <cell r="D25705" t="str">
            <v>Stoke-on-Trent</v>
          </cell>
          <cell r="E25705" t="str">
            <v>Community School</v>
          </cell>
          <cell r="F25705" t="str">
            <v>Primary</v>
          </cell>
        </row>
        <row r="25706">
          <cell r="A25706">
            <v>3834460</v>
          </cell>
          <cell r="B25706">
            <v>128001</v>
          </cell>
          <cell r="C25706" t="str">
            <v>Sandford Middle School</v>
          </cell>
          <cell r="D25706" t="str">
            <v>Leeds</v>
          </cell>
          <cell r="E25706" t="str">
            <v>Community School</v>
          </cell>
          <cell r="F25706" t="str">
            <v>Middle Deemed Secondary</v>
          </cell>
        </row>
        <row r="25707">
          <cell r="A25707">
            <v>3832502</v>
          </cell>
          <cell r="B25707">
            <v>107978</v>
          </cell>
          <cell r="C25707" t="str">
            <v>Sandford Primary School</v>
          </cell>
          <cell r="D25707" t="str">
            <v>Leeds</v>
          </cell>
          <cell r="E25707" t="str">
            <v>Community School</v>
          </cell>
          <cell r="F25707" t="str">
            <v>Primary</v>
          </cell>
        </row>
        <row r="25708">
          <cell r="A25708">
            <v>8022283</v>
          </cell>
          <cell r="B25708">
            <v>109100</v>
          </cell>
          <cell r="C25708" t="str">
            <v>Sandford Primary School</v>
          </cell>
          <cell r="D25708" t="str">
            <v>North Somerset</v>
          </cell>
          <cell r="E25708" t="str">
            <v>Community School</v>
          </cell>
          <cell r="F25708" t="str">
            <v>Primary</v>
          </cell>
        </row>
        <row r="25709">
          <cell r="A25709">
            <v>8782059</v>
          </cell>
          <cell r="B25709">
            <v>113107</v>
          </cell>
          <cell r="C25709" t="str">
            <v>Sandford School</v>
          </cell>
          <cell r="D25709" t="str">
            <v>Devon</v>
          </cell>
          <cell r="E25709" t="str">
            <v>Community School</v>
          </cell>
          <cell r="F25709" t="str">
            <v>Primary</v>
          </cell>
        </row>
        <row r="25710">
          <cell r="A25710">
            <v>9167013</v>
          </cell>
          <cell r="B25710">
            <v>115819</v>
          </cell>
          <cell r="C25710" t="str">
            <v>Sandford School</v>
          </cell>
          <cell r="D25710" t="str">
            <v>Gloucestershire</v>
          </cell>
          <cell r="E25710" t="str">
            <v>Community Special School</v>
          </cell>
          <cell r="F25710" t="str">
            <v>Special</v>
          </cell>
        </row>
        <row r="25711">
          <cell r="A25711">
            <v>8353372</v>
          </cell>
          <cell r="B25711">
            <v>113818</v>
          </cell>
          <cell r="C25711" t="str">
            <v>Sandford St Martin's Church of England Voluntary Aided First School</v>
          </cell>
          <cell r="D25711" t="str">
            <v>Dorset</v>
          </cell>
          <cell r="E25711" t="str">
            <v>Voluntary Aided School</v>
          </cell>
          <cell r="F25711" t="str">
            <v>Primary</v>
          </cell>
        </row>
        <row r="25712">
          <cell r="A25712">
            <v>8862545</v>
          </cell>
          <cell r="B25712">
            <v>118505</v>
          </cell>
          <cell r="C25712" t="str">
            <v>Sandgate Primary School</v>
          </cell>
          <cell r="D25712" t="str">
            <v>Kent</v>
          </cell>
          <cell r="E25712" t="str">
            <v>Community School</v>
          </cell>
          <cell r="F25712" t="str">
            <v>Primary</v>
          </cell>
        </row>
        <row r="25713">
          <cell r="A25713">
            <v>9097006</v>
          </cell>
          <cell r="B25713">
            <v>112465</v>
          </cell>
          <cell r="C25713" t="str">
            <v>Sandgate School</v>
          </cell>
          <cell r="D25713" t="str">
            <v>Cumbria</v>
          </cell>
          <cell r="E25713" t="str">
            <v>Community Special School</v>
          </cell>
          <cell r="F25713" t="str">
            <v>Special</v>
          </cell>
        </row>
        <row r="25714">
          <cell r="A25714">
            <v>9214021</v>
          </cell>
          <cell r="B25714">
            <v>118211</v>
          </cell>
          <cell r="C25714" t="str">
            <v>Sandham Middle School</v>
          </cell>
          <cell r="D25714" t="str">
            <v>Isle of Wight</v>
          </cell>
          <cell r="E25714" t="str">
            <v>Community School</v>
          </cell>
          <cell r="F25714" t="str">
            <v>Middle Deemed Secondary</v>
          </cell>
        </row>
        <row r="25715">
          <cell r="A25715">
            <v>3702068</v>
          </cell>
          <cell r="B25715">
            <v>106583</v>
          </cell>
          <cell r="C25715" t="str">
            <v>Sandhill Primary School</v>
          </cell>
          <cell r="D25715" t="str">
            <v>Barnsley</v>
          </cell>
          <cell r="E25715" t="str">
            <v>Community School</v>
          </cell>
          <cell r="F25715" t="str">
            <v>Primary</v>
          </cell>
        </row>
        <row r="25716">
          <cell r="A25716">
            <v>3944071</v>
          </cell>
          <cell r="B25716">
            <v>108867</v>
          </cell>
          <cell r="C25716" t="str">
            <v>Sandhill View School</v>
          </cell>
          <cell r="D25716" t="str">
            <v>Sunderland</v>
          </cell>
          <cell r="E25716" t="str">
            <v>Community School</v>
          </cell>
          <cell r="F25716" t="str">
            <v>Secondary</v>
          </cell>
        </row>
        <row r="25717">
          <cell r="A25717">
            <v>9312401</v>
          </cell>
          <cell r="B25717">
            <v>123027</v>
          </cell>
          <cell r="C25717" t="str">
            <v>Sandhills Community Primary School</v>
          </cell>
          <cell r="D25717" t="str">
            <v>Oxfordshire</v>
          </cell>
          <cell r="E25717" t="str">
            <v>Community School</v>
          </cell>
          <cell r="F25717" t="str">
            <v>Primary</v>
          </cell>
        </row>
        <row r="25718">
          <cell r="A25718">
            <v>9163066</v>
          </cell>
          <cell r="B25718">
            <v>128947</v>
          </cell>
          <cell r="C25718" t="str">
            <v>Sandhurst CofE Primary School</v>
          </cell>
          <cell r="D25718" t="str">
            <v>Gloucestershire</v>
          </cell>
          <cell r="E25718" t="str">
            <v>Voluntary Controlled School</v>
          </cell>
          <cell r="F25718" t="str">
            <v>Primary</v>
          </cell>
        </row>
        <row r="25719">
          <cell r="A25719">
            <v>2092536</v>
          </cell>
          <cell r="B25719">
            <v>100703</v>
          </cell>
          <cell r="C25719" t="str">
            <v>Sandhurst Infant and Nursery School</v>
          </cell>
          <cell r="D25719" t="str">
            <v>Lewisham</v>
          </cell>
          <cell r="E25719" t="str">
            <v>Community School</v>
          </cell>
          <cell r="F25719" t="str">
            <v>Primary</v>
          </cell>
        </row>
        <row r="25720">
          <cell r="A25720">
            <v>2092535</v>
          </cell>
          <cell r="B25720">
            <v>100702</v>
          </cell>
          <cell r="C25720" t="str">
            <v>Sandhurst Junior School</v>
          </cell>
          <cell r="D25720" t="str">
            <v>Lewisham</v>
          </cell>
          <cell r="E25720" t="str">
            <v>Community School</v>
          </cell>
          <cell r="F25720" t="str">
            <v>Primary</v>
          </cell>
        </row>
        <row r="25721">
          <cell r="A25721">
            <v>8862142</v>
          </cell>
          <cell r="B25721">
            <v>118282</v>
          </cell>
          <cell r="C25721" t="str">
            <v>Sandhurst Primary School</v>
          </cell>
          <cell r="D25721" t="str">
            <v>Kent</v>
          </cell>
          <cell r="E25721" t="str">
            <v>Community School</v>
          </cell>
          <cell r="F25721" t="str">
            <v>Primary</v>
          </cell>
        </row>
        <row r="25722">
          <cell r="A25722">
            <v>8674058</v>
          </cell>
          <cell r="B25722">
            <v>110068</v>
          </cell>
          <cell r="C25722" t="str">
            <v>Sandhurst School</v>
          </cell>
          <cell r="D25722" t="str">
            <v>Bracknell Forest</v>
          </cell>
          <cell r="E25722" t="str">
            <v>Community School</v>
          </cell>
          <cell r="F25722" t="str">
            <v>Secondary</v>
          </cell>
        </row>
        <row r="25723">
          <cell r="A25723">
            <v>9386111</v>
          </cell>
          <cell r="B25723">
            <v>126120</v>
          </cell>
          <cell r="C25723" t="str">
            <v>Sandhurst School</v>
          </cell>
          <cell r="D25723" t="str">
            <v>West Sussex</v>
          </cell>
          <cell r="E25723" t="str">
            <v>Other Independent School</v>
          </cell>
          <cell r="F25723" t="str">
            <v>Not applicable</v>
          </cell>
        </row>
        <row r="25724">
          <cell r="A25724">
            <v>8302369</v>
          </cell>
          <cell r="B25724">
            <v>112702</v>
          </cell>
          <cell r="C25724" t="str">
            <v>Sandiacre Cloudside Junior School</v>
          </cell>
          <cell r="D25724" t="str">
            <v>Derbyshire</v>
          </cell>
          <cell r="E25724" t="str">
            <v>Community School</v>
          </cell>
          <cell r="F25724" t="str">
            <v>Primary</v>
          </cell>
        </row>
        <row r="25725">
          <cell r="A25725">
            <v>3522308</v>
          </cell>
          <cell r="B25725">
            <v>105474</v>
          </cell>
          <cell r="C25725" t="str">
            <v>Sandilands Infant School</v>
          </cell>
          <cell r="D25725" t="str">
            <v>Manchester</v>
          </cell>
          <cell r="E25725" t="str">
            <v>Community School</v>
          </cell>
          <cell r="F25725" t="str">
            <v>Primary</v>
          </cell>
        </row>
        <row r="25726">
          <cell r="A25726">
            <v>3522301</v>
          </cell>
          <cell r="B25726">
            <v>105469</v>
          </cell>
          <cell r="C25726" t="str">
            <v>Sandilands Primary School</v>
          </cell>
          <cell r="D25726" t="str">
            <v>Manchester</v>
          </cell>
          <cell r="E25726" t="str">
            <v>Community School</v>
          </cell>
          <cell r="F25726" t="str">
            <v>Primary</v>
          </cell>
        </row>
        <row r="25727">
          <cell r="A25727">
            <v>8962181</v>
          </cell>
          <cell r="B25727">
            <v>111050</v>
          </cell>
          <cell r="C25727" t="str">
            <v>Sandiway Primary School</v>
          </cell>
          <cell r="D25727" t="str">
            <v>Cheshire West and Chester</v>
          </cell>
          <cell r="E25727" t="str">
            <v>Community School</v>
          </cell>
          <cell r="F25727" t="str">
            <v>Primary</v>
          </cell>
        </row>
        <row r="25728">
          <cell r="A25728">
            <v>8862552</v>
          </cell>
          <cell r="B25728">
            <v>118511</v>
          </cell>
          <cell r="C25728" t="str">
            <v>Sandling Primary School</v>
          </cell>
          <cell r="D25728" t="str">
            <v>Kent</v>
          </cell>
          <cell r="E25728" t="str">
            <v>Community School</v>
          </cell>
          <cell r="F25728" t="str">
            <v>Primary</v>
          </cell>
        </row>
        <row r="25729">
          <cell r="A25729">
            <v>9352928</v>
          </cell>
          <cell r="B25729">
            <v>124685</v>
          </cell>
          <cell r="C25729" t="str">
            <v>Sandlings Primary School</v>
          </cell>
          <cell r="D25729" t="str">
            <v>Suffolk</v>
          </cell>
          <cell r="E25729" t="str">
            <v>Community School</v>
          </cell>
          <cell r="F25729" t="str">
            <v>Primary</v>
          </cell>
        </row>
        <row r="25730">
          <cell r="A25730">
            <v>8614044</v>
          </cell>
          <cell r="B25730">
            <v>124389</v>
          </cell>
          <cell r="C25730" t="str">
            <v>Sandon Business and Enterprise College</v>
          </cell>
          <cell r="D25730" t="str">
            <v>Stoke-on-Trent</v>
          </cell>
          <cell r="E25730" t="str">
            <v>Foundation School</v>
          </cell>
          <cell r="F25730" t="str">
            <v>Secondary</v>
          </cell>
        </row>
        <row r="25731">
          <cell r="A25731">
            <v>9192105</v>
          </cell>
          <cell r="B25731">
            <v>117147</v>
          </cell>
          <cell r="C25731" t="str">
            <v>Sandon Junior Mixed and Infant School</v>
          </cell>
          <cell r="D25731" t="str">
            <v>Hertfordshire</v>
          </cell>
          <cell r="E25731" t="str">
            <v>Community School</v>
          </cell>
          <cell r="F25731" t="str">
            <v>Primary</v>
          </cell>
        </row>
        <row r="25732">
          <cell r="A25732">
            <v>8612080</v>
          </cell>
          <cell r="B25732">
            <v>124010</v>
          </cell>
          <cell r="C25732" t="str">
            <v>Sandon Primary School</v>
          </cell>
          <cell r="D25732" t="str">
            <v>Stoke-on-Trent</v>
          </cell>
          <cell r="E25732" t="str">
            <v>Community School</v>
          </cell>
          <cell r="F25732" t="str">
            <v>Primary</v>
          </cell>
        </row>
        <row r="25733">
          <cell r="A25733">
            <v>9214000</v>
          </cell>
          <cell r="B25733">
            <v>136751</v>
          </cell>
          <cell r="C25733" t="str">
            <v>Sandown Bay Academy</v>
          </cell>
          <cell r="D25733" t="str">
            <v>Isle of Wight</v>
          </cell>
          <cell r="E25733" t="str">
            <v>Academy Sponsor Led</v>
          </cell>
          <cell r="F25733" t="str">
            <v>Secondary</v>
          </cell>
        </row>
        <row r="25734">
          <cell r="A25734">
            <v>9213009</v>
          </cell>
          <cell r="B25734">
            <v>118186</v>
          </cell>
          <cell r="C25734" t="str">
            <v>Sandown Church of England Primary School</v>
          </cell>
          <cell r="D25734" t="str">
            <v>Isle of Wight</v>
          </cell>
          <cell r="E25734" t="str">
            <v>Voluntary Controlled School</v>
          </cell>
          <cell r="F25734" t="str">
            <v>Primary</v>
          </cell>
        </row>
        <row r="25735">
          <cell r="A25735">
            <v>3418007</v>
          </cell>
          <cell r="B25735">
            <v>133192</v>
          </cell>
          <cell r="C25735" t="str">
            <v>Sandown College</v>
          </cell>
          <cell r="D25735" t="str">
            <v>Liverpool</v>
          </cell>
          <cell r="E25735" t="str">
            <v>Miscellaneous</v>
          </cell>
          <cell r="F25735" t="str">
            <v>Not applicable</v>
          </cell>
        </row>
        <row r="25736">
          <cell r="A25736">
            <v>9214025</v>
          </cell>
          <cell r="B25736">
            <v>118215</v>
          </cell>
          <cell r="C25736" t="str">
            <v>Sandown High School</v>
          </cell>
          <cell r="D25736" t="str">
            <v>Isle of Wight</v>
          </cell>
          <cell r="E25736" t="str">
            <v>Foundation School</v>
          </cell>
          <cell r="F25736" t="str">
            <v>Secondary</v>
          </cell>
        </row>
        <row r="25737">
          <cell r="A25737">
            <v>8452120</v>
          </cell>
          <cell r="B25737">
            <v>114447</v>
          </cell>
          <cell r="C25737" t="str">
            <v>Sandown Primary School</v>
          </cell>
          <cell r="D25737" t="str">
            <v>East Sussex</v>
          </cell>
          <cell r="E25737" t="str">
            <v>Community School</v>
          </cell>
          <cell r="F25737" t="str">
            <v>Primary</v>
          </cell>
        </row>
        <row r="25738">
          <cell r="A25738">
            <v>8862659</v>
          </cell>
          <cell r="B25738">
            <v>118573</v>
          </cell>
          <cell r="C25738" t="str">
            <v>Sandown School</v>
          </cell>
          <cell r="D25738" t="str">
            <v>Kent</v>
          </cell>
          <cell r="E25738" t="str">
            <v>Community School</v>
          </cell>
          <cell r="F25738" t="str">
            <v>Primary</v>
          </cell>
        </row>
        <row r="25739">
          <cell r="A25739">
            <v>9192106</v>
          </cell>
          <cell r="B25739">
            <v>117148</v>
          </cell>
          <cell r="C25739" t="str">
            <v>Sandridge School</v>
          </cell>
          <cell r="D25739" t="str">
            <v>Hertfordshire</v>
          </cell>
          <cell r="E25739" t="str">
            <v>Community School</v>
          </cell>
          <cell r="F25739" t="str">
            <v>Primary</v>
          </cell>
        </row>
        <row r="25740">
          <cell r="A25740">
            <v>9263390</v>
          </cell>
          <cell r="B25740">
            <v>121137</v>
          </cell>
          <cell r="C25740" t="str">
            <v>Sandringham and West Newton Church of England Primary School</v>
          </cell>
          <cell r="D25740" t="str">
            <v>Norfolk</v>
          </cell>
          <cell r="E25740" t="str">
            <v>Voluntary Aided School</v>
          </cell>
          <cell r="F25740" t="str">
            <v>Primary</v>
          </cell>
        </row>
        <row r="25741">
          <cell r="A25741">
            <v>3162063</v>
          </cell>
          <cell r="B25741">
            <v>102743</v>
          </cell>
          <cell r="C25741" t="str">
            <v>Sandringham Infant School</v>
          </cell>
          <cell r="D25741" t="str">
            <v>Newham</v>
          </cell>
          <cell r="E25741" t="str">
            <v>Community School</v>
          </cell>
          <cell r="F25741" t="str">
            <v>Primary</v>
          </cell>
        </row>
        <row r="25742">
          <cell r="A25742">
            <v>3162086</v>
          </cell>
          <cell r="B25742">
            <v>102756</v>
          </cell>
          <cell r="C25742" t="str">
            <v>Sandringham Junior School</v>
          </cell>
          <cell r="D25742" t="str">
            <v>Newham</v>
          </cell>
          <cell r="E25742" t="str">
            <v>Community School</v>
          </cell>
          <cell r="F25742" t="str">
            <v>Primary</v>
          </cell>
        </row>
        <row r="25743">
          <cell r="A25743">
            <v>3712167</v>
          </cell>
          <cell r="B25743">
            <v>106730</v>
          </cell>
          <cell r="C25743" t="str">
            <v>Sandringham Primary School</v>
          </cell>
          <cell r="D25743" t="str">
            <v>Doncaster</v>
          </cell>
          <cell r="E25743" t="str">
            <v>Community School</v>
          </cell>
          <cell r="F25743" t="str">
            <v>Primary</v>
          </cell>
        </row>
        <row r="25744">
          <cell r="A25744">
            <v>3162096</v>
          </cell>
          <cell r="B25744">
            <v>130381</v>
          </cell>
          <cell r="C25744" t="str">
            <v>Sandringham Primary School</v>
          </cell>
          <cell r="D25744" t="str">
            <v>Newham</v>
          </cell>
          <cell r="E25744" t="str">
            <v>Community School</v>
          </cell>
          <cell r="F25744" t="str">
            <v>Primary</v>
          </cell>
        </row>
        <row r="25745">
          <cell r="A25745">
            <v>9194197</v>
          </cell>
          <cell r="B25745">
            <v>117548</v>
          </cell>
          <cell r="C25745" t="str">
            <v>Sandringham School</v>
          </cell>
          <cell r="D25745" t="str">
            <v>Hertfordshire</v>
          </cell>
          <cell r="E25745" t="str">
            <v>Community School</v>
          </cell>
          <cell r="F25745" t="str">
            <v>Secondary</v>
          </cell>
        </row>
        <row r="25746">
          <cell r="A25746">
            <v>9362913</v>
          </cell>
          <cell r="B25746">
            <v>125097</v>
          </cell>
          <cell r="C25746" t="str">
            <v>Sandringham School</v>
          </cell>
          <cell r="D25746" t="str">
            <v>Surrey</v>
          </cell>
          <cell r="E25746" t="str">
            <v>Community School</v>
          </cell>
          <cell r="F25746" t="str">
            <v>Primary</v>
          </cell>
        </row>
        <row r="25747">
          <cell r="A25747">
            <v>9194197</v>
          </cell>
          <cell r="B25747">
            <v>136609</v>
          </cell>
          <cell r="C25747" t="str">
            <v>Sandringham School</v>
          </cell>
          <cell r="D25747" t="str">
            <v>Hertfordshire</v>
          </cell>
          <cell r="E25747" t="str">
            <v>Academy Converters</v>
          </cell>
          <cell r="F25747" t="str">
            <v>Secondary</v>
          </cell>
        </row>
        <row r="25748">
          <cell r="A25748">
            <v>8656004</v>
          </cell>
          <cell r="B25748">
            <v>126521</v>
          </cell>
          <cell r="C25748" t="str">
            <v>Sandroyd School</v>
          </cell>
          <cell r="D25748" t="str">
            <v>Wiltshire</v>
          </cell>
          <cell r="E25748" t="str">
            <v>Other Independent School</v>
          </cell>
          <cell r="F25748" t="str">
            <v>Not applicable</v>
          </cell>
        </row>
        <row r="25749">
          <cell r="A25749">
            <v>8252051</v>
          </cell>
          <cell r="B25749">
            <v>110235</v>
          </cell>
          <cell r="C25749" t="str">
            <v>Sands First School</v>
          </cell>
          <cell r="D25749" t="str">
            <v>Buckinghamshire</v>
          </cell>
          <cell r="E25749" t="str">
            <v>Community School</v>
          </cell>
          <cell r="F25749" t="str">
            <v>Primary</v>
          </cell>
        </row>
        <row r="25750">
          <cell r="A25750">
            <v>8252278</v>
          </cell>
          <cell r="B25750">
            <v>110349</v>
          </cell>
          <cell r="C25750" t="str">
            <v>Sands Middle School</v>
          </cell>
          <cell r="D25750" t="str">
            <v>Buckinghamshire</v>
          </cell>
          <cell r="E25750" t="str">
            <v>Community School</v>
          </cell>
          <cell r="F25750" t="str">
            <v>Middle Deemed Primary</v>
          </cell>
        </row>
        <row r="25751">
          <cell r="A25751">
            <v>8786042</v>
          </cell>
          <cell r="B25751">
            <v>113619</v>
          </cell>
          <cell r="C25751" t="str">
            <v>Sands School</v>
          </cell>
          <cell r="D25751" t="str">
            <v>Devon</v>
          </cell>
          <cell r="E25751" t="str">
            <v>Other Independent School</v>
          </cell>
          <cell r="F25751" t="str">
            <v>Not applicable</v>
          </cell>
        </row>
        <row r="25752">
          <cell r="A25752">
            <v>9097013</v>
          </cell>
          <cell r="B25752">
            <v>112466</v>
          </cell>
          <cell r="C25752" t="str">
            <v>Sandside Lodge School</v>
          </cell>
          <cell r="D25752" t="str">
            <v>Cumbria</v>
          </cell>
          <cell r="E25752" t="str">
            <v>Community Special School</v>
          </cell>
          <cell r="F25752" t="str">
            <v>Special</v>
          </cell>
        </row>
        <row r="25753">
          <cell r="A25753">
            <v>3336905</v>
          </cell>
          <cell r="B25753">
            <v>134993</v>
          </cell>
          <cell r="C25753" t="str">
            <v>Sandwell Academy</v>
          </cell>
          <cell r="D25753" t="str">
            <v>Sandwell</v>
          </cell>
          <cell r="E25753" t="str">
            <v>Academy Sponsor Led</v>
          </cell>
          <cell r="F25753" t="str">
            <v>Secondary</v>
          </cell>
        </row>
        <row r="25754">
          <cell r="A25754">
            <v>3338000</v>
          </cell>
          <cell r="B25754">
            <v>130479</v>
          </cell>
          <cell r="C25754" t="str">
            <v>Sandwell College</v>
          </cell>
          <cell r="D25754" t="str">
            <v>Sandwell</v>
          </cell>
          <cell r="E25754" t="str">
            <v>Further Education</v>
          </cell>
          <cell r="F25754" t="str">
            <v>16 Plus</v>
          </cell>
        </row>
        <row r="25755">
          <cell r="A25755">
            <v>9077019</v>
          </cell>
          <cell r="B25755">
            <v>128534</v>
          </cell>
          <cell r="C25755" t="str">
            <v>Sandwell School</v>
          </cell>
          <cell r="D25755" t="str">
            <v>Pre LGR (1996) Cleveland</v>
          </cell>
          <cell r="E25755" t="str">
            <v>Community Special School</v>
          </cell>
          <cell r="F25755" t="str">
            <v>Special</v>
          </cell>
        </row>
        <row r="25756">
          <cell r="A25756">
            <v>8862626</v>
          </cell>
          <cell r="B25756">
            <v>118547</v>
          </cell>
          <cell r="C25756" t="str">
            <v>Sandwich Infant School</v>
          </cell>
          <cell r="D25756" t="str">
            <v>Kent</v>
          </cell>
          <cell r="E25756" t="str">
            <v>Community School</v>
          </cell>
          <cell r="F25756" t="str">
            <v>Primary</v>
          </cell>
        </row>
        <row r="25757">
          <cell r="A25757">
            <v>8862627</v>
          </cell>
          <cell r="B25757">
            <v>118548</v>
          </cell>
          <cell r="C25757" t="str">
            <v>Sandwich Junior School</v>
          </cell>
          <cell r="D25757" t="str">
            <v>Kent</v>
          </cell>
          <cell r="E25757" t="str">
            <v>Community School</v>
          </cell>
          <cell r="F25757" t="str">
            <v>Primary</v>
          </cell>
        </row>
        <row r="25758">
          <cell r="A25758">
            <v>8865463</v>
          </cell>
          <cell r="B25758">
            <v>118935</v>
          </cell>
          <cell r="C25758" t="str">
            <v>Sandwich Technology School</v>
          </cell>
          <cell r="D25758" t="str">
            <v>Kent</v>
          </cell>
          <cell r="E25758" t="str">
            <v>Foundation School</v>
          </cell>
          <cell r="F25758" t="str">
            <v>Secondary</v>
          </cell>
        </row>
        <row r="25759">
          <cell r="A25759">
            <v>8865463</v>
          </cell>
          <cell r="B25759">
            <v>136317</v>
          </cell>
          <cell r="C25759" t="str">
            <v>Sandwich Technology School</v>
          </cell>
          <cell r="D25759" t="str">
            <v>Kent</v>
          </cell>
          <cell r="E25759" t="str">
            <v>Academy Converters</v>
          </cell>
          <cell r="F25759" t="str">
            <v>Secondary</v>
          </cell>
        </row>
        <row r="25760">
          <cell r="A25760">
            <v>9082448</v>
          </cell>
          <cell r="B25760">
            <v>136318</v>
          </cell>
          <cell r="C25760" t="str">
            <v>Sandy Hill Academy</v>
          </cell>
          <cell r="D25760" t="str">
            <v>Cornwall</v>
          </cell>
          <cell r="E25760" t="str">
            <v>Academy Converters</v>
          </cell>
          <cell r="F25760" t="str">
            <v>Primary</v>
          </cell>
        </row>
        <row r="25761">
          <cell r="A25761">
            <v>9082448</v>
          </cell>
          <cell r="B25761">
            <v>111904</v>
          </cell>
          <cell r="C25761" t="str">
            <v>Sandy Hill Community Primary School</v>
          </cell>
          <cell r="D25761" t="str">
            <v>Cornwall</v>
          </cell>
          <cell r="E25761" t="str">
            <v>Community School</v>
          </cell>
          <cell r="F25761" t="str">
            <v>Primary</v>
          </cell>
        </row>
        <row r="25762">
          <cell r="A25762">
            <v>8672056</v>
          </cell>
          <cell r="B25762">
            <v>109804</v>
          </cell>
          <cell r="C25762" t="str">
            <v>Sandy Lane Infant and Nursery School</v>
          </cell>
          <cell r="D25762" t="str">
            <v>Bracknell Forest</v>
          </cell>
          <cell r="E25762" t="str">
            <v>Community School</v>
          </cell>
          <cell r="F25762" t="str">
            <v>Primary</v>
          </cell>
        </row>
        <row r="25763">
          <cell r="A25763">
            <v>8672055</v>
          </cell>
          <cell r="B25763">
            <v>109803</v>
          </cell>
          <cell r="C25763" t="str">
            <v>Sandy Lane Junior School</v>
          </cell>
          <cell r="D25763" t="str">
            <v>Bracknell Forest</v>
          </cell>
          <cell r="E25763" t="str">
            <v>Community School</v>
          </cell>
          <cell r="F25763" t="str">
            <v>Primary</v>
          </cell>
        </row>
        <row r="25764">
          <cell r="A25764">
            <v>8771004</v>
          </cell>
          <cell r="B25764">
            <v>110956</v>
          </cell>
          <cell r="C25764" t="str">
            <v>Sandy Lane Nursery School</v>
          </cell>
          <cell r="D25764" t="str">
            <v>Warrington</v>
          </cell>
          <cell r="E25764" t="str">
            <v>LA Nursery School</v>
          </cell>
          <cell r="F25764" t="str">
            <v>Nursery</v>
          </cell>
        </row>
        <row r="25765">
          <cell r="A25765">
            <v>3802055</v>
          </cell>
          <cell r="B25765">
            <v>107219</v>
          </cell>
          <cell r="C25765" t="str">
            <v>Sandy Lane Primary School</v>
          </cell>
          <cell r="D25765" t="str">
            <v>Bradford</v>
          </cell>
          <cell r="E25765" t="str">
            <v>Community School</v>
          </cell>
          <cell r="F25765" t="str">
            <v>Primary</v>
          </cell>
        </row>
        <row r="25766">
          <cell r="A25766">
            <v>8672814</v>
          </cell>
          <cell r="B25766">
            <v>133619</v>
          </cell>
          <cell r="C25766" t="str">
            <v>Sandy Lane Primary School</v>
          </cell>
          <cell r="D25766" t="str">
            <v>Bracknell Forest</v>
          </cell>
          <cell r="E25766" t="str">
            <v>Community School</v>
          </cell>
          <cell r="F25766" t="str">
            <v>Primary</v>
          </cell>
        </row>
        <row r="25767">
          <cell r="A25767">
            <v>8234078</v>
          </cell>
          <cell r="B25767">
            <v>109669</v>
          </cell>
          <cell r="C25767" t="str">
            <v>Sandy Upper School and Community Sports College</v>
          </cell>
          <cell r="D25767" t="str">
            <v>Central Bedfordshire</v>
          </cell>
          <cell r="E25767" t="str">
            <v>Foundation School</v>
          </cell>
          <cell r="F25767" t="str">
            <v>Secondary</v>
          </cell>
        </row>
        <row r="25768">
          <cell r="A25768">
            <v>6642053</v>
          </cell>
          <cell r="B25768">
            <v>400344</v>
          </cell>
          <cell r="C25768" t="str">
            <v>Sandycroft C.P. School</v>
          </cell>
          <cell r="D25768" t="str">
            <v>Flintshire</v>
          </cell>
          <cell r="E25768" t="str">
            <v>Welsh Establishment</v>
          </cell>
          <cell r="F25768" t="str">
            <v>Primary</v>
          </cell>
        </row>
        <row r="25769">
          <cell r="A25769">
            <v>8234033</v>
          </cell>
          <cell r="B25769">
            <v>136541</v>
          </cell>
          <cell r="C25769" t="str">
            <v>Sandye Place Academy</v>
          </cell>
          <cell r="D25769" t="str">
            <v>Central Bedfordshire</v>
          </cell>
          <cell r="E25769" t="str">
            <v>Academy Converters</v>
          </cell>
          <cell r="F25769" t="str">
            <v>Middle Deemed Secondary</v>
          </cell>
        </row>
        <row r="25770">
          <cell r="A25770">
            <v>8234033</v>
          </cell>
          <cell r="B25770">
            <v>109651</v>
          </cell>
          <cell r="C25770" t="str">
            <v>Sandye Place Middle School</v>
          </cell>
          <cell r="D25770" t="str">
            <v>Central Bedfordshire</v>
          </cell>
          <cell r="E25770" t="str">
            <v>Community School</v>
          </cell>
          <cell r="F25770" t="str">
            <v>Middle Deemed Secondary</v>
          </cell>
        </row>
        <row r="25771">
          <cell r="A25771">
            <v>9362348</v>
          </cell>
          <cell r="B25771">
            <v>125024</v>
          </cell>
          <cell r="C25771" t="str">
            <v>Sangers Junior School</v>
          </cell>
          <cell r="D25771" t="str">
            <v>Surrey</v>
          </cell>
          <cell r="E25771" t="str">
            <v>Community School</v>
          </cell>
          <cell r="F25771" t="str">
            <v>Primary</v>
          </cell>
        </row>
        <row r="25772">
          <cell r="A25772">
            <v>8772732</v>
          </cell>
          <cell r="B25772">
            <v>133676</v>
          </cell>
          <cell r="C25772" t="str">
            <v>Sankey Valley St James Church of England Primary School</v>
          </cell>
          <cell r="D25772" t="str">
            <v>Warrington</v>
          </cell>
          <cell r="E25772" t="str">
            <v>Voluntary Aided School</v>
          </cell>
          <cell r="F25772" t="str">
            <v>Primary</v>
          </cell>
        </row>
        <row r="25773">
          <cell r="A25773">
            <v>3201101</v>
          </cell>
          <cell r="B25773">
            <v>133764</v>
          </cell>
          <cell r="C25773" t="str">
            <v>Sansom Road PRU</v>
          </cell>
          <cell r="D25773" t="str">
            <v>Waltham Forest</v>
          </cell>
          <cell r="E25773" t="str">
            <v>Pupil Referral Unit</v>
          </cell>
          <cell r="F25773" t="str">
            <v>PRU</v>
          </cell>
        </row>
        <row r="25774">
          <cell r="A25774">
            <v>2082537</v>
          </cell>
          <cell r="B25774">
            <v>100581</v>
          </cell>
          <cell r="C25774" t="str">
            <v>Santley Primary School</v>
          </cell>
          <cell r="D25774" t="str">
            <v>Lambeth</v>
          </cell>
          <cell r="E25774" t="str">
            <v>Community School</v>
          </cell>
          <cell r="F25774" t="str">
            <v>Primary</v>
          </cell>
        </row>
        <row r="25775">
          <cell r="A25775">
            <v>9163345</v>
          </cell>
          <cell r="B25775">
            <v>115698</v>
          </cell>
          <cell r="C25775" t="str">
            <v>Sapperton Church of England Primary School</v>
          </cell>
          <cell r="D25775" t="str">
            <v>Gloucestershire</v>
          </cell>
          <cell r="E25775" t="str">
            <v>Voluntary Aided School</v>
          </cell>
          <cell r="F25775" t="str">
            <v>Primary</v>
          </cell>
        </row>
        <row r="25776">
          <cell r="A25776">
            <v>3164035</v>
          </cell>
          <cell r="B25776">
            <v>102785</v>
          </cell>
          <cell r="C25776" t="str">
            <v>Sarah Bonnell School</v>
          </cell>
          <cell r="D25776" t="str">
            <v>Newham</v>
          </cell>
          <cell r="E25776" t="str">
            <v>Community School</v>
          </cell>
          <cell r="F25776" t="str">
            <v>Secondary</v>
          </cell>
        </row>
        <row r="25777">
          <cell r="A25777">
            <v>9074123</v>
          </cell>
          <cell r="B25777">
            <v>128512</v>
          </cell>
          <cell r="C25777" t="str">
            <v>Sarah Metcalfe School</v>
          </cell>
          <cell r="D25777" t="str">
            <v>Pre LGR (1996) Cleveland</v>
          </cell>
          <cell r="E25777" t="str">
            <v>Community School</v>
          </cell>
          <cell r="F25777" t="str">
            <v>Secondary</v>
          </cell>
        </row>
        <row r="25778">
          <cell r="A25778">
            <v>8503142</v>
          </cell>
          <cell r="B25778">
            <v>116313</v>
          </cell>
          <cell r="C25778" t="str">
            <v>Sarisbury Church of England Junior School</v>
          </cell>
          <cell r="D25778" t="str">
            <v>Hampshire</v>
          </cell>
          <cell r="E25778" t="str">
            <v>Voluntary Controlled School</v>
          </cell>
          <cell r="F25778" t="str">
            <v>Primary</v>
          </cell>
        </row>
        <row r="25779">
          <cell r="A25779">
            <v>8502282</v>
          </cell>
          <cell r="B25779">
            <v>116012</v>
          </cell>
          <cell r="C25779" t="str">
            <v>Sarisbury Infant School</v>
          </cell>
          <cell r="D25779" t="str">
            <v>Hampshire</v>
          </cell>
          <cell r="E25779" t="str">
            <v>Community School</v>
          </cell>
          <cell r="F25779" t="str">
            <v>Primary</v>
          </cell>
        </row>
        <row r="25780">
          <cell r="A25780">
            <v>9171117</v>
          </cell>
          <cell r="B25780">
            <v>132948</v>
          </cell>
          <cell r="C25780" t="str">
            <v>Sarisbury Pupil Referral Unit</v>
          </cell>
          <cell r="D25780" t="str">
            <v>Pre LGR (1997) Hampshire</v>
          </cell>
          <cell r="E25780" t="str">
            <v>Pupil Referral Unit</v>
          </cell>
          <cell r="F25780" t="str">
            <v>PRU</v>
          </cell>
        </row>
        <row r="25781">
          <cell r="A25781">
            <v>6663306</v>
          </cell>
          <cell r="B25781">
            <v>400563</v>
          </cell>
          <cell r="C25781" t="str">
            <v>Sarn CofE Aided School</v>
          </cell>
          <cell r="D25781" t="str">
            <v>Powys</v>
          </cell>
          <cell r="E25781" t="str">
            <v>Welsh Establishment</v>
          </cell>
          <cell r="F25781" t="str">
            <v>Primary</v>
          </cell>
        </row>
        <row r="25782">
          <cell r="A25782">
            <v>6721022</v>
          </cell>
          <cell r="B25782">
            <v>400010</v>
          </cell>
          <cell r="C25782" t="str">
            <v>Sarn Nursery School</v>
          </cell>
          <cell r="D25782" t="str">
            <v>Bridgend</v>
          </cell>
          <cell r="E25782" t="str">
            <v>Welsh Establishment</v>
          </cell>
          <cell r="F25782" t="str">
            <v>Nursery</v>
          </cell>
        </row>
        <row r="25783">
          <cell r="A25783">
            <v>9193037</v>
          </cell>
          <cell r="B25783">
            <v>117404</v>
          </cell>
          <cell r="C25783" t="str">
            <v>Sarratt Church of England Primary School</v>
          </cell>
          <cell r="D25783" t="str">
            <v>Hertfordshire</v>
          </cell>
          <cell r="E25783" t="str">
            <v>Voluntary Controlled School</v>
          </cell>
          <cell r="F25783" t="str">
            <v>Primary</v>
          </cell>
        </row>
        <row r="25784">
          <cell r="A25784">
            <v>8554020</v>
          </cell>
          <cell r="B25784">
            <v>120248</v>
          </cell>
          <cell r="C25784" t="str">
            <v>Sarson High School</v>
          </cell>
          <cell r="D25784" t="str">
            <v>Leicestershire</v>
          </cell>
          <cell r="E25784" t="str">
            <v>Community School</v>
          </cell>
          <cell r="F25784" t="str">
            <v>Secondary</v>
          </cell>
        </row>
        <row r="25785">
          <cell r="A25785">
            <v>8656906</v>
          </cell>
          <cell r="B25785">
            <v>136183</v>
          </cell>
          <cell r="C25785" t="str">
            <v>Sarum Academy</v>
          </cell>
          <cell r="D25785" t="str">
            <v>Wiltshire</v>
          </cell>
          <cell r="E25785" t="str">
            <v>Academy Sponsor Led</v>
          </cell>
          <cell r="F25785" t="str">
            <v>Secondary</v>
          </cell>
        </row>
        <row r="25786">
          <cell r="A25786">
            <v>2026016</v>
          </cell>
          <cell r="B25786">
            <v>100063</v>
          </cell>
          <cell r="C25786" t="str">
            <v>Sarum Hall School</v>
          </cell>
          <cell r="D25786" t="str">
            <v>Camden</v>
          </cell>
          <cell r="E25786" t="str">
            <v>Other Independent School</v>
          </cell>
          <cell r="F25786" t="str">
            <v>Not applicable</v>
          </cell>
        </row>
        <row r="25787">
          <cell r="A25787">
            <v>8653383</v>
          </cell>
          <cell r="B25787">
            <v>126411</v>
          </cell>
          <cell r="C25787" t="str">
            <v>Sarum St Paul's CofE (VA) Primary School</v>
          </cell>
          <cell r="D25787" t="str">
            <v>Wiltshire</v>
          </cell>
          <cell r="E25787" t="str">
            <v>Voluntary Aided School</v>
          </cell>
          <cell r="F25787" t="str">
            <v>Primary</v>
          </cell>
        </row>
        <row r="25788">
          <cell r="A25788">
            <v>9381104</v>
          </cell>
          <cell r="B25788">
            <v>130177</v>
          </cell>
          <cell r="C25788" t="str">
            <v>Satellite Centre At First Grinstead Support</v>
          </cell>
          <cell r="D25788" t="str">
            <v>West Sussex</v>
          </cell>
          <cell r="E25788" t="str">
            <v>Pupil Referral Unit</v>
          </cell>
          <cell r="F25788" t="str">
            <v>PRU</v>
          </cell>
        </row>
        <row r="25789">
          <cell r="A25789">
            <v>9381103</v>
          </cell>
          <cell r="B25789">
            <v>130176</v>
          </cell>
          <cell r="C25789" t="str">
            <v>Satellite Support Centre At Horsham Support</v>
          </cell>
          <cell r="D25789" t="str">
            <v>West Sussex</v>
          </cell>
          <cell r="E25789" t="str">
            <v>Pupil Referral Unit</v>
          </cell>
          <cell r="F25789" t="str">
            <v>PRU</v>
          </cell>
        </row>
        <row r="25790">
          <cell r="A25790">
            <v>8566016</v>
          </cell>
          <cell r="B25790">
            <v>133431</v>
          </cell>
          <cell r="C25790" t="str">
            <v>Sathya Sai School</v>
          </cell>
          <cell r="D25790" t="str">
            <v>Leicester</v>
          </cell>
          <cell r="E25790" t="str">
            <v>Other Independent School</v>
          </cell>
          <cell r="F25790" t="str">
            <v>Not applicable</v>
          </cell>
        </row>
        <row r="25791">
          <cell r="A25791">
            <v>9093129</v>
          </cell>
          <cell r="B25791">
            <v>112285</v>
          </cell>
          <cell r="C25791" t="str">
            <v>Satterthwaite and Rusland CofE School</v>
          </cell>
          <cell r="D25791" t="str">
            <v>Cumbria</v>
          </cell>
          <cell r="E25791" t="str">
            <v>Voluntary Controlled School</v>
          </cell>
          <cell r="F25791" t="str">
            <v>Primary</v>
          </cell>
        </row>
        <row r="25792">
          <cell r="A25792">
            <v>8962014</v>
          </cell>
          <cell r="B25792">
            <v>135736</v>
          </cell>
          <cell r="C25792" t="str">
            <v>Saughall All Saints Church of England Primary School</v>
          </cell>
          <cell r="D25792" t="str">
            <v>Cheshire West and Chester</v>
          </cell>
          <cell r="E25792" t="str">
            <v>Voluntary Controlled School</v>
          </cell>
          <cell r="F25792" t="str">
            <v>Primary</v>
          </cell>
        </row>
        <row r="25793">
          <cell r="A25793">
            <v>8962342</v>
          </cell>
          <cell r="B25793">
            <v>111154</v>
          </cell>
          <cell r="C25793" t="str">
            <v>Saughall the Ridings Community Infant School</v>
          </cell>
          <cell r="D25793" t="str">
            <v>Cheshire West and Chester</v>
          </cell>
          <cell r="E25793" t="str">
            <v>Community School</v>
          </cell>
          <cell r="F25793" t="str">
            <v>Primary</v>
          </cell>
        </row>
        <row r="25794">
          <cell r="A25794">
            <v>8963156</v>
          </cell>
          <cell r="B25794">
            <v>111276</v>
          </cell>
          <cell r="C25794" t="str">
            <v>Saughall the Thomas Wedge CofE Junior School</v>
          </cell>
          <cell r="D25794" t="str">
            <v>Cheshire West and Chester</v>
          </cell>
          <cell r="E25794" t="str">
            <v>Voluntary Controlled School</v>
          </cell>
          <cell r="F25794" t="str">
            <v>Primary</v>
          </cell>
        </row>
        <row r="25795">
          <cell r="A25795">
            <v>9163037</v>
          </cell>
          <cell r="B25795">
            <v>115624</v>
          </cell>
          <cell r="C25795" t="str">
            <v>Saul Church of England Primary School</v>
          </cell>
          <cell r="D25795" t="str">
            <v>Gloucestershire</v>
          </cell>
          <cell r="E25795" t="str">
            <v>Voluntary Controlled School</v>
          </cell>
          <cell r="F25795" t="str">
            <v>Primary</v>
          </cell>
        </row>
        <row r="25796">
          <cell r="A25796">
            <v>9192033</v>
          </cell>
          <cell r="B25796">
            <v>117102</v>
          </cell>
          <cell r="C25796" t="str">
            <v>Sauncey Wood Primary School</v>
          </cell>
          <cell r="D25796" t="str">
            <v>Hertfordshire</v>
          </cell>
          <cell r="E25796" t="str">
            <v>Community School</v>
          </cell>
          <cell r="F25796" t="str">
            <v>Primary</v>
          </cell>
        </row>
        <row r="25797">
          <cell r="A25797">
            <v>6682258</v>
          </cell>
          <cell r="B25797">
            <v>400681</v>
          </cell>
          <cell r="C25797" t="str">
            <v>Saundersfoot C.P. School</v>
          </cell>
          <cell r="D25797" t="str">
            <v>Pembrokeshire</v>
          </cell>
          <cell r="E25797" t="str">
            <v>Welsh Establishment</v>
          </cell>
          <cell r="F25797" t="str">
            <v>Primary</v>
          </cell>
        </row>
        <row r="25798">
          <cell r="A25798">
            <v>3812009</v>
          </cell>
          <cell r="B25798">
            <v>107482</v>
          </cell>
          <cell r="C25798" t="str">
            <v>Savile Park Primary School</v>
          </cell>
          <cell r="D25798" t="str">
            <v>Calderdale</v>
          </cell>
          <cell r="E25798" t="str">
            <v>Community School</v>
          </cell>
          <cell r="F25798" t="str">
            <v>Primary</v>
          </cell>
        </row>
        <row r="25799">
          <cell r="A25799">
            <v>3823004</v>
          </cell>
          <cell r="B25799">
            <v>107702</v>
          </cell>
          <cell r="C25799" t="str">
            <v>Savile Town Church of England Voluntary Controlled Infant and Nursery School</v>
          </cell>
          <cell r="D25799" t="str">
            <v>Kirklees</v>
          </cell>
          <cell r="E25799" t="str">
            <v>Voluntary Controlled School</v>
          </cell>
          <cell r="F25799" t="str">
            <v>Primary</v>
          </cell>
        </row>
        <row r="25800">
          <cell r="A25800">
            <v>3821012</v>
          </cell>
          <cell r="B25800">
            <v>107595</v>
          </cell>
          <cell r="C25800" t="str">
            <v>Savile Town Nursery School</v>
          </cell>
          <cell r="D25800" t="str">
            <v>Kirklees</v>
          </cell>
          <cell r="E25800" t="str">
            <v>LA Nursery School</v>
          </cell>
          <cell r="F25800" t="str">
            <v>Nursery</v>
          </cell>
        </row>
        <row r="25801">
          <cell r="A25801">
            <v>8916008</v>
          </cell>
          <cell r="B25801">
            <v>122926</v>
          </cell>
          <cell r="C25801" t="str">
            <v>Saville House School</v>
          </cell>
          <cell r="D25801" t="str">
            <v>Nottinghamshire</v>
          </cell>
          <cell r="E25801" t="str">
            <v>Other Independent School</v>
          </cell>
          <cell r="F25801" t="str">
            <v>Not applicable</v>
          </cell>
        </row>
        <row r="25802">
          <cell r="A25802">
            <v>3434611</v>
          </cell>
          <cell r="B25802">
            <v>104959</v>
          </cell>
          <cell r="C25802" t="str">
            <v>Savio Salesian College</v>
          </cell>
          <cell r="D25802" t="str">
            <v>Sefton</v>
          </cell>
          <cell r="E25802" t="str">
            <v>Voluntary Aided School</v>
          </cell>
          <cell r="F25802" t="str">
            <v>Secondary</v>
          </cell>
        </row>
        <row r="25803">
          <cell r="A25803">
            <v>3523491</v>
          </cell>
          <cell r="B25803">
            <v>105548</v>
          </cell>
          <cell r="C25803" t="str">
            <v>Saviour CofE Primary School</v>
          </cell>
          <cell r="D25803" t="str">
            <v>Manchester</v>
          </cell>
          <cell r="E25803" t="str">
            <v>Voluntary Aided School</v>
          </cell>
          <cell r="F25803" t="str">
            <v>Primary</v>
          </cell>
        </row>
        <row r="25804">
          <cell r="A25804">
            <v>8302331</v>
          </cell>
          <cell r="B25804">
            <v>112684</v>
          </cell>
          <cell r="C25804" t="str">
            <v>Sawley Infant and Nursery School</v>
          </cell>
          <cell r="D25804" t="str">
            <v>Derbyshire</v>
          </cell>
          <cell r="E25804" t="str">
            <v>Community School</v>
          </cell>
          <cell r="F25804" t="str">
            <v>Primary</v>
          </cell>
        </row>
        <row r="25805">
          <cell r="A25805">
            <v>8302340</v>
          </cell>
          <cell r="B25805">
            <v>112689</v>
          </cell>
          <cell r="C25805" t="str">
            <v>Sawley Junior School</v>
          </cell>
          <cell r="D25805" t="str">
            <v>Derbyshire</v>
          </cell>
          <cell r="E25805" t="str">
            <v>Community School</v>
          </cell>
          <cell r="F25805" t="str">
            <v>Primary</v>
          </cell>
        </row>
        <row r="25806">
          <cell r="A25806">
            <v>8735408</v>
          </cell>
          <cell r="B25806">
            <v>110902</v>
          </cell>
          <cell r="C25806" t="str">
            <v>Sawston Village College</v>
          </cell>
          <cell r="D25806" t="str">
            <v>Cambridgeshire</v>
          </cell>
          <cell r="E25806" t="str">
            <v>Foundation School</v>
          </cell>
          <cell r="F25806" t="str">
            <v>Secondary</v>
          </cell>
        </row>
        <row r="25807">
          <cell r="A25807">
            <v>8735408</v>
          </cell>
          <cell r="B25807">
            <v>136775</v>
          </cell>
          <cell r="C25807" t="str">
            <v>Sawston Village College</v>
          </cell>
          <cell r="D25807" t="str">
            <v>Cambridgeshire</v>
          </cell>
          <cell r="E25807" t="str">
            <v>Academy Converters</v>
          </cell>
          <cell r="F25807" t="str">
            <v>Secondary</v>
          </cell>
        </row>
        <row r="25808">
          <cell r="A25808">
            <v>8735403</v>
          </cell>
          <cell r="B25808">
            <v>110897</v>
          </cell>
          <cell r="C25808" t="str">
            <v>Sawtry Community College</v>
          </cell>
          <cell r="D25808" t="str">
            <v>Cambridgeshire</v>
          </cell>
          <cell r="E25808" t="str">
            <v>Foundation School</v>
          </cell>
          <cell r="F25808" t="str">
            <v>Secondary</v>
          </cell>
        </row>
        <row r="25809">
          <cell r="A25809">
            <v>8735403</v>
          </cell>
          <cell r="B25809">
            <v>136974</v>
          </cell>
          <cell r="C25809" t="str">
            <v>Sawtry Community College</v>
          </cell>
          <cell r="D25809" t="str">
            <v>Cambridgeshire</v>
          </cell>
          <cell r="E25809" t="str">
            <v>Academy Converters</v>
          </cell>
          <cell r="F25809" t="str">
            <v>Secondary</v>
          </cell>
        </row>
        <row r="25810">
          <cell r="A25810">
            <v>8732255</v>
          </cell>
          <cell r="B25810">
            <v>110714</v>
          </cell>
          <cell r="C25810" t="str">
            <v>Sawtry Infants' School</v>
          </cell>
          <cell r="D25810" t="str">
            <v>Cambridgeshire</v>
          </cell>
          <cell r="E25810" t="str">
            <v>Community School</v>
          </cell>
          <cell r="F25810" t="str">
            <v>Primary</v>
          </cell>
        </row>
        <row r="25811">
          <cell r="A25811">
            <v>8732220</v>
          </cell>
          <cell r="B25811">
            <v>110688</v>
          </cell>
          <cell r="C25811" t="str">
            <v>Sawtry Junior School</v>
          </cell>
          <cell r="D25811" t="str">
            <v>Cambridgeshire</v>
          </cell>
          <cell r="E25811" t="str">
            <v>Community School</v>
          </cell>
          <cell r="F25811" t="str">
            <v>Primary</v>
          </cell>
        </row>
        <row r="25812">
          <cell r="A25812">
            <v>8815425</v>
          </cell>
          <cell r="B25812">
            <v>115341</v>
          </cell>
          <cell r="C25812" t="str">
            <v>Sawyers Hall College</v>
          </cell>
          <cell r="D25812" t="str">
            <v>Essex</v>
          </cell>
          <cell r="E25812" t="str">
            <v>Foundation School</v>
          </cell>
          <cell r="F25812" t="str">
            <v>Secondary</v>
          </cell>
        </row>
        <row r="25813">
          <cell r="A25813">
            <v>9263067</v>
          </cell>
          <cell r="B25813">
            <v>121054</v>
          </cell>
          <cell r="C25813" t="str">
            <v>Saxlingham Nethergate CofE VC Primary School</v>
          </cell>
          <cell r="D25813" t="str">
            <v>Norfolk</v>
          </cell>
          <cell r="E25813" t="str">
            <v>Voluntary Controlled School</v>
          </cell>
          <cell r="F25813" t="str">
            <v>Primary</v>
          </cell>
        </row>
        <row r="25814">
          <cell r="A25814">
            <v>9354064</v>
          </cell>
          <cell r="B25814">
            <v>124824</v>
          </cell>
          <cell r="C25814" t="str">
            <v>Saxmundham Middle School</v>
          </cell>
          <cell r="D25814" t="str">
            <v>Suffolk</v>
          </cell>
          <cell r="E25814" t="str">
            <v>Community School</v>
          </cell>
          <cell r="F25814" t="str">
            <v>Middle Deemed Secondary</v>
          </cell>
        </row>
        <row r="25815">
          <cell r="A25815">
            <v>9352106</v>
          </cell>
          <cell r="B25815">
            <v>124605</v>
          </cell>
          <cell r="C25815" t="str">
            <v>Saxmundham Primary School</v>
          </cell>
          <cell r="D25815" t="str">
            <v>Suffolk</v>
          </cell>
          <cell r="E25815" t="str">
            <v>Community School</v>
          </cell>
          <cell r="F25815" t="str">
            <v>Primary</v>
          </cell>
        </row>
        <row r="25816">
          <cell r="A25816">
            <v>8607039</v>
          </cell>
          <cell r="B25816">
            <v>124520</v>
          </cell>
          <cell r="C25816" t="str">
            <v>Saxon Hill School</v>
          </cell>
          <cell r="D25816" t="str">
            <v>Staffordshire</v>
          </cell>
          <cell r="E25816" t="str">
            <v>Community Special School</v>
          </cell>
          <cell r="F25816" t="str">
            <v>Special</v>
          </cell>
        </row>
        <row r="25817">
          <cell r="A25817">
            <v>8457025</v>
          </cell>
          <cell r="B25817">
            <v>114691</v>
          </cell>
          <cell r="C25817" t="str">
            <v>Saxon Mount School</v>
          </cell>
          <cell r="D25817" t="str">
            <v>East Sussex</v>
          </cell>
          <cell r="E25817" t="str">
            <v>Community Special School</v>
          </cell>
          <cell r="F25817" t="str">
            <v>Special</v>
          </cell>
        </row>
        <row r="25818">
          <cell r="A25818">
            <v>3542049</v>
          </cell>
          <cell r="B25818">
            <v>127437</v>
          </cell>
          <cell r="C25818" t="str">
            <v>Saxon Nook County Primary School</v>
          </cell>
          <cell r="D25818" t="str">
            <v>Rochdale</v>
          </cell>
          <cell r="E25818" t="str">
            <v>Community School</v>
          </cell>
          <cell r="F25818" t="str">
            <v>Primary</v>
          </cell>
        </row>
        <row r="25819">
          <cell r="A25819">
            <v>9362932</v>
          </cell>
          <cell r="B25819">
            <v>125111</v>
          </cell>
          <cell r="C25819" t="str">
            <v>Saxon Primary School</v>
          </cell>
          <cell r="D25819" t="str">
            <v>Surrey</v>
          </cell>
          <cell r="E25819" t="str">
            <v>Community School</v>
          </cell>
          <cell r="F25819" t="str">
            <v>Primary</v>
          </cell>
        </row>
        <row r="25820">
          <cell r="A25820">
            <v>8766004</v>
          </cell>
          <cell r="B25820">
            <v>135355</v>
          </cell>
          <cell r="C25820" t="str">
            <v>Saxon Road Green Corns</v>
          </cell>
          <cell r="D25820" t="str">
            <v>Halton</v>
          </cell>
          <cell r="E25820" t="str">
            <v>Other Independent Special School</v>
          </cell>
          <cell r="F25820" t="str">
            <v>Not applicable</v>
          </cell>
        </row>
        <row r="25821">
          <cell r="A25821">
            <v>8512766</v>
          </cell>
          <cell r="B25821">
            <v>116259</v>
          </cell>
          <cell r="C25821" t="str">
            <v>Saxon Shore Infant School</v>
          </cell>
          <cell r="D25821" t="str">
            <v>Portsmouth</v>
          </cell>
          <cell r="E25821" t="str">
            <v>Community School</v>
          </cell>
          <cell r="F25821" t="str">
            <v>Primary</v>
          </cell>
        </row>
        <row r="25822">
          <cell r="A25822">
            <v>8872686</v>
          </cell>
          <cell r="B25822">
            <v>133632</v>
          </cell>
          <cell r="C25822" t="str">
            <v>Saxon Way Primary School</v>
          </cell>
          <cell r="D25822" t="str">
            <v>Medway</v>
          </cell>
          <cell r="E25822" t="str">
            <v>Community School</v>
          </cell>
          <cell r="F25822" t="str">
            <v>Primary</v>
          </cell>
        </row>
        <row r="25823">
          <cell r="A25823">
            <v>8507053</v>
          </cell>
          <cell r="B25823">
            <v>116634</v>
          </cell>
          <cell r="C25823" t="str">
            <v>Saxon Wood School</v>
          </cell>
          <cell r="D25823" t="str">
            <v>Hampshire</v>
          </cell>
          <cell r="E25823" t="str">
            <v>Community Special School</v>
          </cell>
          <cell r="F25823" t="str">
            <v>Special</v>
          </cell>
        </row>
        <row r="25824">
          <cell r="A25824">
            <v>8153267</v>
          </cell>
          <cell r="B25824">
            <v>121585</v>
          </cell>
          <cell r="C25824" t="str">
            <v>Saxton Church of England Voluntary Controlled Primary School</v>
          </cell>
          <cell r="D25824" t="str">
            <v>North Yorkshire</v>
          </cell>
          <cell r="E25824" t="str">
            <v>Voluntary Controlled School</v>
          </cell>
          <cell r="F25824" t="str">
            <v>Primary</v>
          </cell>
        </row>
        <row r="25825">
          <cell r="A25825">
            <v>9365208</v>
          </cell>
          <cell r="B25825">
            <v>125290</v>
          </cell>
          <cell r="C25825" t="str">
            <v>Sayes Court School</v>
          </cell>
          <cell r="D25825" t="str">
            <v>Surrey</v>
          </cell>
          <cell r="E25825" t="str">
            <v>Foundation School</v>
          </cell>
          <cell r="F25825" t="str">
            <v>Primary</v>
          </cell>
        </row>
        <row r="25826">
          <cell r="A25826">
            <v>3176075</v>
          </cell>
          <cell r="B25826">
            <v>134170</v>
          </cell>
          <cell r="C25826" t="str">
            <v>SBK Independent School</v>
          </cell>
          <cell r="D25826" t="str">
            <v>Redbridge</v>
          </cell>
          <cell r="E25826" t="str">
            <v>Other Independent School</v>
          </cell>
          <cell r="F25826" t="str">
            <v>Not applicable</v>
          </cell>
        </row>
        <row r="25827">
          <cell r="A25827">
            <v>8154073</v>
          </cell>
          <cell r="B25827">
            <v>121677</v>
          </cell>
          <cell r="C25827" t="str">
            <v>Scalby School</v>
          </cell>
          <cell r="D25827" t="str">
            <v>North Yorkshire</v>
          </cell>
          <cell r="E25827" t="str">
            <v>Community School</v>
          </cell>
          <cell r="F25827" t="str">
            <v>Secondary</v>
          </cell>
        </row>
        <row r="25828">
          <cell r="A25828">
            <v>8553077</v>
          </cell>
          <cell r="B25828">
            <v>120156</v>
          </cell>
          <cell r="C25828" t="str">
            <v>Scalford Church of England Primary School</v>
          </cell>
          <cell r="D25828" t="str">
            <v>Leicestershire</v>
          </cell>
          <cell r="E25828" t="str">
            <v>Voluntary Controlled School</v>
          </cell>
          <cell r="F25828" t="str">
            <v>Primary</v>
          </cell>
        </row>
        <row r="25829">
          <cell r="A25829">
            <v>9354025</v>
          </cell>
          <cell r="B25829">
            <v>124803</v>
          </cell>
          <cell r="C25829" t="str">
            <v>Scaltback Middle School</v>
          </cell>
          <cell r="D25829" t="str">
            <v>Suffolk</v>
          </cell>
          <cell r="E25829" t="str">
            <v>Community School</v>
          </cell>
          <cell r="F25829" t="str">
            <v>Middle Deemed Secondary</v>
          </cell>
        </row>
        <row r="25830">
          <cell r="A25830">
            <v>9253140</v>
          </cell>
          <cell r="B25830">
            <v>120584</v>
          </cell>
          <cell r="C25830" t="str">
            <v>Scamblesby Church of England Primary School</v>
          </cell>
          <cell r="D25830" t="str">
            <v>Lincolnshire</v>
          </cell>
          <cell r="E25830" t="str">
            <v>Voluntary Controlled School</v>
          </cell>
          <cell r="F25830" t="str">
            <v>Primary</v>
          </cell>
        </row>
        <row r="25831">
          <cell r="A25831">
            <v>9253141</v>
          </cell>
          <cell r="B25831">
            <v>120585</v>
          </cell>
          <cell r="C25831" t="str">
            <v>Scampton Church of England Primary School</v>
          </cell>
          <cell r="D25831" t="str">
            <v>Lincolnshire</v>
          </cell>
          <cell r="E25831" t="str">
            <v>Voluntary Controlled School</v>
          </cell>
          <cell r="F25831" t="str">
            <v>Primary</v>
          </cell>
        </row>
        <row r="25832">
          <cell r="A25832">
            <v>8502322</v>
          </cell>
          <cell r="B25832">
            <v>116042</v>
          </cell>
          <cell r="C25832" t="str">
            <v>Scantabout Primary School</v>
          </cell>
          <cell r="D25832" t="str">
            <v>Hampshire</v>
          </cell>
          <cell r="E25832" t="str">
            <v>Community School</v>
          </cell>
          <cell r="F25832" t="str">
            <v>Primary</v>
          </cell>
        </row>
        <row r="25833">
          <cell r="A25833">
            <v>3822074</v>
          </cell>
          <cell r="B25833">
            <v>107645</v>
          </cell>
          <cell r="C25833" t="str">
            <v>Scapegoat Hill Junior and Infant School</v>
          </cell>
          <cell r="D25833" t="str">
            <v>Kirklees</v>
          </cell>
          <cell r="E25833" t="str">
            <v>Community School</v>
          </cell>
          <cell r="F25833" t="str">
            <v>Primary</v>
          </cell>
        </row>
        <row r="25834">
          <cell r="A25834">
            <v>8156002</v>
          </cell>
          <cell r="B25834">
            <v>121730</v>
          </cell>
          <cell r="C25834" t="str">
            <v>Scarborough College</v>
          </cell>
          <cell r="D25834" t="str">
            <v>North Yorkshire</v>
          </cell>
          <cell r="E25834" t="str">
            <v>Other Independent School</v>
          </cell>
          <cell r="F25834" t="str">
            <v>Not applicable</v>
          </cell>
        </row>
        <row r="25835">
          <cell r="A25835">
            <v>8151100</v>
          </cell>
          <cell r="B25835">
            <v>132027</v>
          </cell>
          <cell r="C25835" t="str">
            <v>Scarborough Pupil Referral Unit</v>
          </cell>
          <cell r="D25835" t="str">
            <v>North Yorkshire</v>
          </cell>
          <cell r="E25835" t="str">
            <v>Pupil Referral Unit</v>
          </cell>
          <cell r="F25835" t="str">
            <v>PRU</v>
          </cell>
        </row>
        <row r="25836">
          <cell r="A25836">
            <v>9274072</v>
          </cell>
          <cell r="B25836">
            <v>129669</v>
          </cell>
          <cell r="C25836" t="str">
            <v>Scarborough Sixth Form College</v>
          </cell>
          <cell r="D25836" t="str">
            <v>Pre LGR (1996) North Yorkshire</v>
          </cell>
          <cell r="E25836" t="str">
            <v>Community School</v>
          </cell>
          <cell r="F25836" t="str">
            <v>Secondary</v>
          </cell>
        </row>
        <row r="25837">
          <cell r="A25837">
            <v>8158600</v>
          </cell>
          <cell r="B25837">
            <v>130593</v>
          </cell>
          <cell r="C25837" t="str">
            <v>Scarborough Sixth Form College</v>
          </cell>
          <cell r="D25837" t="str">
            <v>North Yorkshire</v>
          </cell>
          <cell r="E25837" t="str">
            <v>Further Education</v>
          </cell>
          <cell r="F25837" t="str">
            <v>16 Plus</v>
          </cell>
        </row>
        <row r="25838">
          <cell r="A25838">
            <v>8152161</v>
          </cell>
          <cell r="B25838">
            <v>121329</v>
          </cell>
          <cell r="C25838" t="str">
            <v>Scarborough, Braeburn Community Junior School</v>
          </cell>
          <cell r="D25838" t="str">
            <v>North Yorkshire</v>
          </cell>
          <cell r="E25838" t="str">
            <v>Community School</v>
          </cell>
          <cell r="F25838" t="str">
            <v>Primary</v>
          </cell>
        </row>
        <row r="25839">
          <cell r="A25839">
            <v>8152112</v>
          </cell>
          <cell r="B25839">
            <v>121316</v>
          </cell>
          <cell r="C25839" t="str">
            <v>Scarborough, Braeburn Infant and Nursery School</v>
          </cell>
          <cell r="D25839" t="str">
            <v>North Yorkshire</v>
          </cell>
          <cell r="E25839" t="str">
            <v>Community School</v>
          </cell>
          <cell r="F25839" t="str">
            <v>Primary</v>
          </cell>
        </row>
        <row r="25840">
          <cell r="A25840">
            <v>8152120</v>
          </cell>
          <cell r="B25840">
            <v>121321</v>
          </cell>
          <cell r="C25840" t="str">
            <v>Scarborough, Northstead Community Primary School</v>
          </cell>
          <cell r="D25840" t="str">
            <v>North Yorkshire</v>
          </cell>
          <cell r="E25840" t="str">
            <v>Community School</v>
          </cell>
          <cell r="F25840" t="str">
            <v>Primary</v>
          </cell>
        </row>
        <row r="25841">
          <cell r="A25841">
            <v>8152170</v>
          </cell>
          <cell r="B25841">
            <v>121336</v>
          </cell>
          <cell r="C25841" t="str">
            <v>Scarborough, Overdale Community Primary School</v>
          </cell>
          <cell r="D25841" t="str">
            <v>North Yorkshire</v>
          </cell>
          <cell r="E25841" t="str">
            <v>Community School</v>
          </cell>
          <cell r="F25841" t="str">
            <v>Primary</v>
          </cell>
        </row>
        <row r="25842">
          <cell r="A25842">
            <v>8302211</v>
          </cell>
          <cell r="B25842">
            <v>112615</v>
          </cell>
          <cell r="C25842" t="str">
            <v>Scarcliffe Primary School</v>
          </cell>
          <cell r="D25842" t="str">
            <v>Derbyshire</v>
          </cell>
          <cell r="E25842" t="str">
            <v>Community School</v>
          </cell>
          <cell r="F25842" t="str">
            <v>Primary</v>
          </cell>
        </row>
        <row r="25843">
          <cell r="A25843">
            <v>8162016</v>
          </cell>
          <cell r="B25843">
            <v>121282</v>
          </cell>
          <cell r="C25843" t="str">
            <v>Scarcroft Primary School</v>
          </cell>
          <cell r="D25843" t="str">
            <v>York</v>
          </cell>
          <cell r="E25843" t="str">
            <v>Community School</v>
          </cell>
          <cell r="F25843" t="str">
            <v>Primary</v>
          </cell>
        </row>
        <row r="25844">
          <cell r="A25844">
            <v>8303341</v>
          </cell>
          <cell r="B25844">
            <v>112895</v>
          </cell>
          <cell r="C25844" t="str">
            <v>Scargill CofE (Aided) Primary School</v>
          </cell>
          <cell r="D25844" t="str">
            <v>Derbyshire</v>
          </cell>
          <cell r="E25844" t="str">
            <v>Voluntary Aided School</v>
          </cell>
          <cell r="F25844" t="str">
            <v>Primary</v>
          </cell>
        </row>
        <row r="25845">
          <cell r="A25845">
            <v>3112023</v>
          </cell>
          <cell r="B25845">
            <v>102282</v>
          </cell>
          <cell r="C25845" t="str">
            <v>Scargill Infant School</v>
          </cell>
          <cell r="D25845" t="str">
            <v>Havering</v>
          </cell>
          <cell r="E25845" t="str">
            <v>Community School</v>
          </cell>
          <cell r="F25845" t="str">
            <v>Primary</v>
          </cell>
        </row>
        <row r="25846">
          <cell r="A25846">
            <v>3112022</v>
          </cell>
          <cell r="B25846">
            <v>102281</v>
          </cell>
          <cell r="C25846" t="str">
            <v>Scargill Junior School</v>
          </cell>
          <cell r="D25846" t="str">
            <v>Havering</v>
          </cell>
          <cell r="E25846" t="str">
            <v>Community School</v>
          </cell>
          <cell r="F25846" t="str">
            <v>Primary</v>
          </cell>
        </row>
        <row r="25847">
          <cell r="A25847">
            <v>8886006</v>
          </cell>
          <cell r="B25847">
            <v>119824</v>
          </cell>
          <cell r="C25847" t="str">
            <v>Scarisbrick Hall School</v>
          </cell>
          <cell r="D25847" t="str">
            <v>Lancashire</v>
          </cell>
          <cell r="E25847" t="str">
            <v>Other Independent School</v>
          </cell>
          <cell r="F25847" t="str">
            <v>Not applicable</v>
          </cell>
        </row>
        <row r="25848">
          <cell r="A25848">
            <v>8883191</v>
          </cell>
          <cell r="B25848">
            <v>119410</v>
          </cell>
          <cell r="C25848" t="str">
            <v>Scarisbrick St Mark's Church of England Primary School</v>
          </cell>
          <cell r="D25848" t="str">
            <v>Lancashire</v>
          </cell>
          <cell r="E25848" t="str">
            <v>Voluntary Controlled School</v>
          </cell>
          <cell r="F25848" t="str">
            <v>Primary</v>
          </cell>
        </row>
        <row r="25849">
          <cell r="A25849">
            <v>9263096</v>
          </cell>
          <cell r="B25849">
            <v>121067</v>
          </cell>
          <cell r="C25849" t="str">
            <v>Scarning Voluntary Controlled Primary School</v>
          </cell>
          <cell r="D25849" t="str">
            <v>Norfolk</v>
          </cell>
          <cell r="E25849" t="str">
            <v>Voluntary Controlled School</v>
          </cell>
          <cell r="F25849" t="str">
            <v>Primary</v>
          </cell>
        </row>
        <row r="25850">
          <cell r="A25850">
            <v>9202311</v>
          </cell>
          <cell r="B25850">
            <v>129208</v>
          </cell>
          <cell r="C25850" t="str">
            <v>Scartho First School</v>
          </cell>
          <cell r="D25850" t="str">
            <v>Pre LGR (1996) Humberside</v>
          </cell>
          <cell r="E25850" t="str">
            <v>Community School</v>
          </cell>
          <cell r="F25850" t="str">
            <v>Primary</v>
          </cell>
        </row>
        <row r="25851">
          <cell r="A25851">
            <v>8122929</v>
          </cell>
          <cell r="B25851">
            <v>117956</v>
          </cell>
          <cell r="C25851" t="str">
            <v>Scartho Infants' School</v>
          </cell>
          <cell r="D25851" t="str">
            <v>North East Lincolnshire</v>
          </cell>
          <cell r="E25851" t="str">
            <v>Community School</v>
          </cell>
          <cell r="F25851" t="str">
            <v>Primary</v>
          </cell>
        </row>
        <row r="25852">
          <cell r="A25852">
            <v>8122930</v>
          </cell>
          <cell r="B25852">
            <v>117957</v>
          </cell>
          <cell r="C25852" t="str">
            <v>Scartho Junior School</v>
          </cell>
          <cell r="D25852" t="str">
            <v>North East Lincolnshire</v>
          </cell>
          <cell r="E25852" t="str">
            <v>Community School</v>
          </cell>
          <cell r="F25852" t="str">
            <v>Primary</v>
          </cell>
        </row>
        <row r="25853">
          <cell r="A25853">
            <v>9202324</v>
          </cell>
          <cell r="B25853">
            <v>129220</v>
          </cell>
          <cell r="C25853" t="str">
            <v>Scartho Middle School</v>
          </cell>
          <cell r="D25853" t="str">
            <v>Pre LGR (1996) Humberside</v>
          </cell>
          <cell r="E25853" t="str">
            <v>Community School</v>
          </cell>
          <cell r="F25853" t="str">
            <v>Middle Deemed Primary</v>
          </cell>
        </row>
        <row r="25854">
          <cell r="A25854">
            <v>8121012</v>
          </cell>
          <cell r="B25854">
            <v>117700</v>
          </cell>
          <cell r="C25854" t="str">
            <v>Scartho Nursery School</v>
          </cell>
          <cell r="D25854" t="str">
            <v>North East Lincolnshire</v>
          </cell>
          <cell r="E25854" t="str">
            <v>LA Nursery School</v>
          </cell>
          <cell r="F25854" t="str">
            <v>Nursery</v>
          </cell>
        </row>
        <row r="25855">
          <cell r="A25855">
            <v>8132126</v>
          </cell>
          <cell r="B25855">
            <v>117744</v>
          </cell>
          <cell r="C25855" t="str">
            <v>Scawby Primary School</v>
          </cell>
          <cell r="D25855" t="str">
            <v>North Lincolnshire</v>
          </cell>
          <cell r="E25855" t="str">
            <v>Community School</v>
          </cell>
          <cell r="F25855" t="str">
            <v>Primary</v>
          </cell>
        </row>
        <row r="25856">
          <cell r="A25856">
            <v>3712155</v>
          </cell>
          <cell r="B25856">
            <v>106721</v>
          </cell>
          <cell r="C25856" t="str">
            <v>Scawsby Rosedale Primary School</v>
          </cell>
          <cell r="D25856" t="str">
            <v>Doncaster</v>
          </cell>
          <cell r="E25856" t="str">
            <v>Community School</v>
          </cell>
          <cell r="F25856" t="str">
            <v>Primary</v>
          </cell>
        </row>
        <row r="25857">
          <cell r="A25857">
            <v>3712121</v>
          </cell>
          <cell r="B25857">
            <v>106703</v>
          </cell>
          <cell r="C25857" t="str">
            <v>Scawsby Saltersgate Infant School</v>
          </cell>
          <cell r="D25857" t="str">
            <v>Doncaster</v>
          </cell>
          <cell r="E25857" t="str">
            <v>Community School</v>
          </cell>
          <cell r="F25857" t="str">
            <v>Primary</v>
          </cell>
        </row>
        <row r="25858">
          <cell r="A25858">
            <v>3712128</v>
          </cell>
          <cell r="B25858">
            <v>106706</v>
          </cell>
          <cell r="C25858" t="str">
            <v>Scawsby Saltersgate Junior School</v>
          </cell>
          <cell r="D25858" t="str">
            <v>Doncaster</v>
          </cell>
          <cell r="E25858" t="str">
            <v>Community School</v>
          </cell>
          <cell r="F25858" t="str">
            <v>Primary</v>
          </cell>
        </row>
        <row r="25859">
          <cell r="A25859">
            <v>3712104</v>
          </cell>
          <cell r="B25859">
            <v>106693</v>
          </cell>
          <cell r="C25859" t="str">
            <v>Scawthorpe Castle Hills Primary School</v>
          </cell>
          <cell r="D25859" t="str">
            <v>Doncaster</v>
          </cell>
          <cell r="E25859" t="str">
            <v>Community School</v>
          </cell>
          <cell r="F25859" t="str">
            <v>Primary</v>
          </cell>
        </row>
        <row r="25860">
          <cell r="A25860">
            <v>3712185</v>
          </cell>
          <cell r="B25860">
            <v>106747</v>
          </cell>
          <cell r="C25860" t="str">
            <v>Scawthorpe Sunnyfields Primary School</v>
          </cell>
          <cell r="D25860" t="str">
            <v>Doncaster</v>
          </cell>
          <cell r="E25860" t="str">
            <v>Community School</v>
          </cell>
          <cell r="F25860" t="str">
            <v>Primary</v>
          </cell>
        </row>
        <row r="25861">
          <cell r="A25861">
            <v>8236019</v>
          </cell>
          <cell r="B25861">
            <v>134503</v>
          </cell>
          <cell r="C25861" t="str">
            <v>Sceptre School</v>
          </cell>
          <cell r="D25861" t="str">
            <v>Central Bedfordshire</v>
          </cell>
          <cell r="E25861" t="str">
            <v>Other Independent School</v>
          </cell>
          <cell r="F25861" t="str">
            <v>Not applicable</v>
          </cell>
        </row>
        <row r="25862">
          <cell r="A25862">
            <v>9286072</v>
          </cell>
          <cell r="B25862">
            <v>135799</v>
          </cell>
          <cell r="C25862" t="str">
            <v>Sceptre School</v>
          </cell>
          <cell r="D25862" t="str">
            <v>Northamptonshire</v>
          </cell>
          <cell r="E25862" t="str">
            <v>Other Independent School</v>
          </cell>
          <cell r="F25862" t="str">
            <v>Not applicable</v>
          </cell>
        </row>
        <row r="25863">
          <cell r="A25863">
            <v>2086400</v>
          </cell>
          <cell r="B25863">
            <v>132012</v>
          </cell>
          <cell r="C25863" t="str">
            <v>Schiller International School</v>
          </cell>
          <cell r="D25863" t="str">
            <v>Lambeth</v>
          </cell>
          <cell r="E25863" t="str">
            <v>Other Independent School</v>
          </cell>
          <cell r="F25863" t="str">
            <v>Not applicable</v>
          </cell>
        </row>
        <row r="25864">
          <cell r="A25864">
            <v>8952169</v>
          </cell>
          <cell r="B25864">
            <v>111039</v>
          </cell>
          <cell r="C25864" t="str">
            <v>Scholar Green Primary School</v>
          </cell>
          <cell r="D25864" t="str">
            <v>Cheshire East</v>
          </cell>
          <cell r="E25864" t="str">
            <v>Community School</v>
          </cell>
          <cell r="F25864" t="str">
            <v>Primary</v>
          </cell>
        </row>
        <row r="25865">
          <cell r="A25865">
            <v>3822114</v>
          </cell>
          <cell r="B25865">
            <v>107674</v>
          </cell>
          <cell r="C25865" t="str">
            <v>Scholes (Cleckheaton) F &amp; N School</v>
          </cell>
          <cell r="D25865" t="str">
            <v>Kirklees</v>
          </cell>
          <cell r="E25865" t="str">
            <v>Community School</v>
          </cell>
          <cell r="F25865" t="str">
            <v>Primary</v>
          </cell>
        </row>
        <row r="25866">
          <cell r="A25866">
            <v>3832275</v>
          </cell>
          <cell r="B25866">
            <v>107813</v>
          </cell>
          <cell r="C25866" t="str">
            <v>Scholes (Elmet) Primary School</v>
          </cell>
          <cell r="D25866" t="str">
            <v>Leeds</v>
          </cell>
          <cell r="E25866" t="str">
            <v>Community School</v>
          </cell>
          <cell r="F25866" t="str">
            <v>Primary</v>
          </cell>
        </row>
        <row r="25867">
          <cell r="A25867">
            <v>3822091</v>
          </cell>
          <cell r="B25867">
            <v>107661</v>
          </cell>
          <cell r="C25867" t="str">
            <v>Scholes (Holmfirth) J &amp; I School</v>
          </cell>
          <cell r="D25867" t="str">
            <v>Kirklees</v>
          </cell>
          <cell r="E25867" t="str">
            <v>Community School</v>
          </cell>
          <cell r="F25867" t="str">
            <v>Primary</v>
          </cell>
        </row>
        <row r="25868">
          <cell r="A25868">
            <v>3821018</v>
          </cell>
          <cell r="B25868">
            <v>127775</v>
          </cell>
          <cell r="C25868" t="str">
            <v>Scholes Nursery School</v>
          </cell>
          <cell r="D25868" t="str">
            <v>Kirklees</v>
          </cell>
          <cell r="E25868" t="str">
            <v>LA Nursery School</v>
          </cell>
          <cell r="F25868" t="str">
            <v>Nursery</v>
          </cell>
        </row>
        <row r="25869">
          <cell r="A25869">
            <v>8511111</v>
          </cell>
          <cell r="B25869">
            <v>115843</v>
          </cell>
          <cell r="C25869" t="str">
            <v>School Girl Mothers Pupil Referral Unit</v>
          </cell>
          <cell r="D25869" t="str">
            <v>Portsmouth</v>
          </cell>
          <cell r="E25869" t="str">
            <v>Pupil Referral Unit</v>
          </cell>
          <cell r="F25869" t="str">
            <v>PRU</v>
          </cell>
        </row>
        <row r="25870">
          <cell r="A25870">
            <v>8943360</v>
          </cell>
          <cell r="B25870">
            <v>134851</v>
          </cell>
          <cell r="C25870" t="str">
            <v>School Name To Be Decided</v>
          </cell>
          <cell r="D25870" t="str">
            <v>Telford and Wrekin</v>
          </cell>
          <cell r="E25870" t="str">
            <v>Community School</v>
          </cell>
          <cell r="F25870" t="str">
            <v>Primary</v>
          </cell>
        </row>
        <row r="25871">
          <cell r="A25871">
            <v>8013400</v>
          </cell>
          <cell r="B25871">
            <v>109243</v>
          </cell>
          <cell r="C25871" t="str">
            <v>School of Christ The King Catholic Primary Filwood Park Bristol</v>
          </cell>
          <cell r="D25871" t="str">
            <v>Bristol City of</v>
          </cell>
          <cell r="E25871" t="str">
            <v>Voluntary Aided School</v>
          </cell>
          <cell r="F25871" t="str">
            <v>Primary</v>
          </cell>
        </row>
        <row r="25872">
          <cell r="A25872">
            <v>8868227</v>
          </cell>
          <cell r="B25872">
            <v>133063</v>
          </cell>
          <cell r="C25872" t="str">
            <v>School of English Studies</v>
          </cell>
          <cell r="D25872" t="str">
            <v>Kent</v>
          </cell>
          <cell r="E25872" t="str">
            <v>Miscellaneous</v>
          </cell>
          <cell r="F25872" t="str">
            <v>Not applicable</v>
          </cell>
        </row>
        <row r="25873">
          <cell r="A25873">
            <v>9356038</v>
          </cell>
          <cell r="B25873">
            <v>124880</v>
          </cell>
          <cell r="C25873" t="str">
            <v>School of Jesus and Mary</v>
          </cell>
          <cell r="D25873" t="str">
            <v>Suffolk</v>
          </cell>
          <cell r="E25873" t="str">
            <v>Other Independent School</v>
          </cell>
          <cell r="F25873" t="str">
            <v>Not applicable</v>
          </cell>
        </row>
        <row r="25874">
          <cell r="A25874">
            <v>202</v>
          </cell>
          <cell r="B25874">
            <v>133907</v>
          </cell>
          <cell r="C25874" t="str">
            <v>School of Oriental and African Studies</v>
          </cell>
          <cell r="D25874" t="str">
            <v>Camden</v>
          </cell>
          <cell r="E25874" t="str">
            <v>Higher Education Institutions</v>
          </cell>
          <cell r="F25874" t="str">
            <v>Not applicable</v>
          </cell>
        </row>
        <row r="25875">
          <cell r="A25875">
            <v>3437010</v>
          </cell>
          <cell r="B25875">
            <v>104981</v>
          </cell>
          <cell r="C25875" t="str">
            <v>School of the Good Shepherd</v>
          </cell>
          <cell r="D25875" t="str">
            <v>Sefton</v>
          </cell>
          <cell r="E25875" t="str">
            <v>Community Special School</v>
          </cell>
          <cell r="F25875" t="str">
            <v>Special</v>
          </cell>
        </row>
        <row r="25876">
          <cell r="A25876">
            <v>9166075</v>
          </cell>
          <cell r="B25876">
            <v>130279</v>
          </cell>
          <cell r="C25876" t="str">
            <v>School of the Lion</v>
          </cell>
          <cell r="D25876" t="str">
            <v>Gloucestershire</v>
          </cell>
          <cell r="E25876" t="str">
            <v>Other Independent School</v>
          </cell>
          <cell r="F25876" t="str">
            <v>Not applicable</v>
          </cell>
        </row>
        <row r="25877">
          <cell r="A25877">
            <v>3941104</v>
          </cell>
          <cell r="B25877">
            <v>135642</v>
          </cell>
          <cell r="C25877" t="str">
            <v>School Returners/Young Mums Provision</v>
          </cell>
          <cell r="D25877" t="str">
            <v>Sunderland</v>
          </cell>
          <cell r="E25877" t="str">
            <v>Pupil Referral Unit</v>
          </cell>
          <cell r="F25877" t="str">
            <v>PRU</v>
          </cell>
        </row>
        <row r="25878">
          <cell r="A25878">
            <v>3041107</v>
          </cell>
          <cell r="B25878">
            <v>133997</v>
          </cell>
          <cell r="C25878" t="str">
            <v>School Room</v>
          </cell>
          <cell r="D25878" t="str">
            <v>Brent</v>
          </cell>
          <cell r="E25878" t="str">
            <v>Pupil Referral Unit</v>
          </cell>
          <cell r="F25878" t="str">
            <v>PRU</v>
          </cell>
        </row>
        <row r="25879">
          <cell r="A25879">
            <v>2036377</v>
          </cell>
          <cell r="B25879">
            <v>132777</v>
          </cell>
          <cell r="C25879" t="str">
            <v>Schoolhouse Education</v>
          </cell>
          <cell r="D25879" t="str">
            <v>Greenwich</v>
          </cell>
          <cell r="E25879" t="str">
            <v>Other Independent School</v>
          </cell>
          <cell r="F25879" t="str">
            <v>Not applicable</v>
          </cell>
        </row>
        <row r="25880">
          <cell r="A25880">
            <v>2096365</v>
          </cell>
          <cell r="B25880">
            <v>135024</v>
          </cell>
          <cell r="C25880" t="str">
            <v>Schoolhouse Education</v>
          </cell>
          <cell r="D25880" t="str">
            <v>Lewisham</v>
          </cell>
          <cell r="E25880" t="str">
            <v>Other Independent School</v>
          </cell>
          <cell r="F25880" t="str">
            <v>Not applicable</v>
          </cell>
        </row>
        <row r="25881">
          <cell r="A25881">
            <v>3823327</v>
          </cell>
          <cell r="B25881">
            <v>107743</v>
          </cell>
          <cell r="C25881" t="str">
            <v>Scissett Church of England Voluntary Aided First School</v>
          </cell>
          <cell r="D25881" t="str">
            <v>Kirklees</v>
          </cell>
          <cell r="E25881" t="str">
            <v>Voluntary Aided School</v>
          </cell>
          <cell r="F25881" t="str">
            <v>Primary</v>
          </cell>
        </row>
        <row r="25882">
          <cell r="A25882">
            <v>3824041</v>
          </cell>
          <cell r="B25882">
            <v>107765</v>
          </cell>
          <cell r="C25882" t="str">
            <v>Scissett Middle School</v>
          </cell>
          <cell r="D25882" t="str">
            <v>Kirklees</v>
          </cell>
          <cell r="E25882" t="str">
            <v>Community School</v>
          </cell>
          <cell r="F25882" t="str">
            <v>Middle Deemed Secondary</v>
          </cell>
        </row>
        <row r="25883">
          <cell r="A25883">
            <v>7052063</v>
          </cell>
          <cell r="B25883">
            <v>132431</v>
          </cell>
          <cell r="C25883" t="str">
            <v>Scoill Phurt Le Moirrey</v>
          </cell>
          <cell r="D25883" t="str">
            <v>Isle of Man Offshore Establishments</v>
          </cell>
          <cell r="E25883" t="str">
            <v>Offshore Schools</v>
          </cell>
          <cell r="F25883" t="str">
            <v>Not applicable</v>
          </cell>
        </row>
        <row r="25884">
          <cell r="A25884">
            <v>7052062</v>
          </cell>
          <cell r="B25884">
            <v>132439</v>
          </cell>
          <cell r="C25884" t="str">
            <v>Scoill Vallajeelt</v>
          </cell>
          <cell r="D25884" t="str">
            <v>Isle of Man Offshore Establishments</v>
          </cell>
          <cell r="E25884" t="str">
            <v>Offshore Schools</v>
          </cell>
          <cell r="F25884" t="str">
            <v>Not applicable</v>
          </cell>
        </row>
        <row r="25885">
          <cell r="A25885">
            <v>9263068</v>
          </cell>
          <cell r="B25885">
            <v>121055</v>
          </cell>
          <cell r="C25885" t="str">
            <v>Scole Church of England Voluntary Controlled Primary School</v>
          </cell>
          <cell r="D25885" t="str">
            <v>Norfolk</v>
          </cell>
          <cell r="E25885" t="str">
            <v>Voluntary Controlled School</v>
          </cell>
          <cell r="F25885" t="str">
            <v>Primary</v>
          </cell>
        </row>
        <row r="25886">
          <cell r="A25886">
            <v>9304281</v>
          </cell>
          <cell r="B25886">
            <v>122858</v>
          </cell>
          <cell r="C25886" t="str">
            <v>Sconce Hills High School</v>
          </cell>
          <cell r="D25886" t="str">
            <v>Pre LGR (1998) Nottinghamshire</v>
          </cell>
          <cell r="E25886" t="str">
            <v>Community School</v>
          </cell>
          <cell r="F25886" t="str">
            <v>Secondary</v>
          </cell>
        </row>
        <row r="25887">
          <cell r="A25887">
            <v>8883668</v>
          </cell>
          <cell r="B25887">
            <v>119613</v>
          </cell>
          <cell r="C25887" t="str">
            <v>Scorton Church of England Primary School</v>
          </cell>
          <cell r="D25887" t="str">
            <v>Lancashire</v>
          </cell>
          <cell r="E25887" t="str">
            <v>Voluntary Aided School</v>
          </cell>
          <cell r="F25887" t="str">
            <v>Primary</v>
          </cell>
        </row>
        <row r="25888">
          <cell r="A25888">
            <v>9276012</v>
          </cell>
          <cell r="B25888">
            <v>129672</v>
          </cell>
          <cell r="C25888" t="str">
            <v>Scorton Endowed School</v>
          </cell>
          <cell r="D25888" t="str">
            <v>Pre LGR (1996) North Yorkshire</v>
          </cell>
          <cell r="E25888" t="str">
            <v>Other Independent School</v>
          </cell>
          <cell r="F25888" t="str">
            <v>Not applicable</v>
          </cell>
        </row>
        <row r="25889">
          <cell r="A25889">
            <v>3592003</v>
          </cell>
          <cell r="B25889">
            <v>106401</v>
          </cell>
          <cell r="C25889" t="str">
            <v>Scot Lane Community Primary School</v>
          </cell>
          <cell r="D25889" t="str">
            <v>Wigan</v>
          </cell>
          <cell r="E25889" t="str">
            <v>Community School</v>
          </cell>
          <cell r="F25889" t="str">
            <v>Primary</v>
          </cell>
        </row>
        <row r="25890">
          <cell r="A25890">
            <v>3503024</v>
          </cell>
          <cell r="B25890">
            <v>105212</v>
          </cell>
          <cell r="C25890" t="str">
            <v>Scot Lane End CofE Primary School, Blackrod</v>
          </cell>
          <cell r="D25890" t="str">
            <v>Bolton</v>
          </cell>
          <cell r="E25890" t="str">
            <v>Voluntary Controlled School</v>
          </cell>
          <cell r="F25890" t="str">
            <v>Primary</v>
          </cell>
        </row>
        <row r="25891">
          <cell r="A25891">
            <v>9095201</v>
          </cell>
          <cell r="B25891">
            <v>112403</v>
          </cell>
          <cell r="C25891" t="str">
            <v>Scotby CofE Primary School</v>
          </cell>
          <cell r="D25891" t="str">
            <v>Cumbria</v>
          </cell>
          <cell r="E25891" t="str">
            <v>Foundation School</v>
          </cell>
          <cell r="F25891" t="str">
            <v>Primary</v>
          </cell>
        </row>
        <row r="25892">
          <cell r="A25892">
            <v>8602234</v>
          </cell>
          <cell r="B25892">
            <v>124101</v>
          </cell>
          <cell r="C25892" t="str">
            <v>Scotch Orchard Primary School</v>
          </cell>
          <cell r="D25892" t="str">
            <v>Staffordshire</v>
          </cell>
          <cell r="E25892" t="str">
            <v>Community School</v>
          </cell>
          <cell r="F25892" t="str">
            <v>Primary</v>
          </cell>
        </row>
        <row r="25893">
          <cell r="A25893">
            <v>3804107</v>
          </cell>
          <cell r="B25893">
            <v>107420</v>
          </cell>
          <cell r="C25893" t="str">
            <v>Scotchman Middle School</v>
          </cell>
          <cell r="D25893" t="str">
            <v>Bradford</v>
          </cell>
          <cell r="E25893" t="str">
            <v>Community School</v>
          </cell>
          <cell r="F25893" t="str">
            <v>Middle Deemed Secondary</v>
          </cell>
        </row>
        <row r="25894">
          <cell r="A25894">
            <v>8883531</v>
          </cell>
          <cell r="B25894">
            <v>119533</v>
          </cell>
          <cell r="C25894" t="str">
            <v>Scotforth St Paul's Church of England Primary School</v>
          </cell>
          <cell r="D25894" t="str">
            <v>Lancashire</v>
          </cell>
          <cell r="E25894" t="str">
            <v>Voluntary Aided School</v>
          </cell>
          <cell r="F25894" t="str">
            <v>Primary</v>
          </cell>
        </row>
        <row r="25895">
          <cell r="A25895">
            <v>9253159</v>
          </cell>
          <cell r="B25895">
            <v>129584</v>
          </cell>
          <cell r="C25895" t="str">
            <v>Scothern CofE Primary School</v>
          </cell>
          <cell r="D25895" t="str">
            <v>Lincolnshire</v>
          </cell>
          <cell r="E25895" t="str">
            <v>Voluntary Controlled School</v>
          </cell>
          <cell r="F25895" t="str">
            <v>Primary</v>
          </cell>
        </row>
        <row r="25896">
          <cell r="A25896">
            <v>8922155</v>
          </cell>
          <cell r="B25896">
            <v>122478</v>
          </cell>
          <cell r="C25896" t="str">
            <v>Scotholme Primary and Nursery School</v>
          </cell>
          <cell r="D25896" t="str">
            <v>Nottingham</v>
          </cell>
          <cell r="E25896" t="str">
            <v>Community School</v>
          </cell>
          <cell r="F25896" t="str">
            <v>Primary</v>
          </cell>
        </row>
        <row r="25897">
          <cell r="A25897">
            <v>9363923</v>
          </cell>
          <cell r="B25897">
            <v>125241</v>
          </cell>
          <cell r="C25897" t="str">
            <v>Scott Broadwood CofE Infant School</v>
          </cell>
          <cell r="D25897" t="str">
            <v>Surrey</v>
          </cell>
          <cell r="E25897" t="str">
            <v>Voluntary Aided School</v>
          </cell>
          <cell r="F25897" t="str">
            <v>Primary</v>
          </cell>
        </row>
        <row r="25898">
          <cell r="A25898">
            <v>3834435</v>
          </cell>
          <cell r="B25898">
            <v>127999</v>
          </cell>
          <cell r="C25898" t="str">
            <v>Scott Hall Middle School</v>
          </cell>
          <cell r="D25898" t="str">
            <v>Leeds</v>
          </cell>
          <cell r="E25898" t="str">
            <v>Community School</v>
          </cell>
          <cell r="F25898" t="str">
            <v>Middle Deemed Secondary</v>
          </cell>
        </row>
        <row r="25899">
          <cell r="A25899">
            <v>3046071</v>
          </cell>
          <cell r="B25899">
            <v>126785</v>
          </cell>
          <cell r="C25899" t="str">
            <v>Scott House School</v>
          </cell>
          <cell r="D25899" t="str">
            <v>Brent</v>
          </cell>
          <cell r="E25899" t="str">
            <v>Other Independent School</v>
          </cell>
          <cell r="F25899" t="str">
            <v>Not applicable</v>
          </cell>
        </row>
        <row r="25900">
          <cell r="A25900">
            <v>3046075</v>
          </cell>
          <cell r="B25900">
            <v>130322</v>
          </cell>
          <cell r="C25900" t="str">
            <v>Scott House School</v>
          </cell>
          <cell r="D25900" t="str">
            <v>Brent</v>
          </cell>
          <cell r="E25900" t="str">
            <v>Other Independent School</v>
          </cell>
          <cell r="F25900" t="str">
            <v>Not applicable</v>
          </cell>
        </row>
        <row r="25901">
          <cell r="A25901">
            <v>2104056</v>
          </cell>
          <cell r="B25901">
            <v>126673</v>
          </cell>
          <cell r="C25901" t="str">
            <v>Scott Lidgett School</v>
          </cell>
          <cell r="D25901" t="str">
            <v>Southwark</v>
          </cell>
          <cell r="E25901" t="str">
            <v>Community School</v>
          </cell>
          <cell r="F25901" t="str">
            <v>Secondary</v>
          </cell>
        </row>
        <row r="25902">
          <cell r="A25902">
            <v>8222183</v>
          </cell>
          <cell r="B25902">
            <v>109512</v>
          </cell>
          <cell r="C25902" t="str">
            <v>Scott Lower School</v>
          </cell>
          <cell r="D25902" t="str">
            <v>Bedford</v>
          </cell>
          <cell r="E25902" t="str">
            <v>Community School</v>
          </cell>
          <cell r="F25902" t="str">
            <v>Primary</v>
          </cell>
        </row>
        <row r="25903">
          <cell r="A25903">
            <v>3162088</v>
          </cell>
          <cell r="B25903">
            <v>102757</v>
          </cell>
          <cell r="C25903" t="str">
            <v>Scott Wilkie Primary School</v>
          </cell>
          <cell r="D25903" t="str">
            <v>Newham</v>
          </cell>
          <cell r="E25903" t="str">
            <v>Community School</v>
          </cell>
          <cell r="F25903" t="str">
            <v>Primary</v>
          </cell>
        </row>
        <row r="25904">
          <cell r="A25904">
            <v>9252188</v>
          </cell>
          <cell r="B25904">
            <v>120473</v>
          </cell>
          <cell r="C25904" t="str">
            <v>Scotter Primary School</v>
          </cell>
          <cell r="D25904" t="str">
            <v>Lincolnshire</v>
          </cell>
          <cell r="E25904" t="str">
            <v>Community School</v>
          </cell>
          <cell r="F25904" t="str">
            <v>Primary</v>
          </cell>
        </row>
        <row r="25905">
          <cell r="A25905">
            <v>8152350</v>
          </cell>
          <cell r="B25905">
            <v>121413</v>
          </cell>
          <cell r="C25905" t="str">
            <v>Scotton Lingerfield Community Primary School</v>
          </cell>
          <cell r="D25905" t="str">
            <v>North Yorkshire</v>
          </cell>
          <cell r="E25905" t="str">
            <v>Community School</v>
          </cell>
          <cell r="F25905" t="str">
            <v>Primary</v>
          </cell>
        </row>
        <row r="25906">
          <cell r="A25906">
            <v>9316101</v>
          </cell>
          <cell r="B25906">
            <v>123316</v>
          </cell>
          <cell r="C25906" t="str">
            <v>Scott's House School</v>
          </cell>
          <cell r="D25906" t="str">
            <v>Oxfordshire</v>
          </cell>
          <cell r="E25906" t="str">
            <v>Other Independent School</v>
          </cell>
          <cell r="F25906" t="str">
            <v>Not applicable</v>
          </cell>
        </row>
        <row r="25907">
          <cell r="A25907">
            <v>3052071</v>
          </cell>
          <cell r="B25907">
            <v>101636</v>
          </cell>
          <cell r="C25907" t="str">
            <v>Scotts Park Primary School</v>
          </cell>
          <cell r="D25907" t="str">
            <v>Bromley</v>
          </cell>
          <cell r="E25907" t="str">
            <v>Community School</v>
          </cell>
          <cell r="F25907" t="str">
            <v>Primary</v>
          </cell>
        </row>
        <row r="25908">
          <cell r="A25908">
            <v>3112080</v>
          </cell>
          <cell r="B25908">
            <v>102316</v>
          </cell>
          <cell r="C25908" t="str">
            <v>Scotts Primary School</v>
          </cell>
          <cell r="D25908" t="str">
            <v>Havering</v>
          </cell>
          <cell r="E25908" t="str">
            <v>Community School</v>
          </cell>
          <cell r="F25908" t="str">
            <v>Primary</v>
          </cell>
        </row>
        <row r="25909">
          <cell r="A25909">
            <v>3812056</v>
          </cell>
          <cell r="B25909">
            <v>107509</v>
          </cell>
          <cell r="C25909" t="str">
            <v>Scout Road Primary School</v>
          </cell>
          <cell r="D25909" t="str">
            <v>Calderdale</v>
          </cell>
          <cell r="E25909" t="str">
            <v>Community School</v>
          </cell>
          <cell r="F25909" t="str">
            <v>Primary</v>
          </cell>
        </row>
        <row r="25910">
          <cell r="A25910">
            <v>3812056</v>
          </cell>
          <cell r="B25910">
            <v>137341</v>
          </cell>
          <cell r="C25910" t="str">
            <v>Scout Road Primary School</v>
          </cell>
          <cell r="D25910" t="str">
            <v>Calderdale</v>
          </cell>
          <cell r="E25910" t="str">
            <v>Academy Converters</v>
          </cell>
          <cell r="F25910" t="str">
            <v>Primary</v>
          </cell>
        </row>
        <row r="25911">
          <cell r="A25911">
            <v>8562361</v>
          </cell>
          <cell r="B25911">
            <v>120086</v>
          </cell>
          <cell r="C25911" t="str">
            <v>Scraptoft Valley Primary School</v>
          </cell>
          <cell r="D25911" t="str">
            <v>Leicester</v>
          </cell>
          <cell r="E25911" t="str">
            <v>Community School</v>
          </cell>
          <cell r="F25911" t="str">
            <v>Primary</v>
          </cell>
        </row>
        <row r="25912">
          <cell r="A25912">
            <v>9252037</v>
          </cell>
          <cell r="B25912">
            <v>129560</v>
          </cell>
          <cell r="C25912" t="str">
            <v>Scredington County Primary School</v>
          </cell>
          <cell r="D25912" t="str">
            <v>Lincolnshire</v>
          </cell>
          <cell r="E25912" t="str">
            <v>Community School</v>
          </cell>
          <cell r="F25912" t="str">
            <v>Primary</v>
          </cell>
        </row>
        <row r="25913">
          <cell r="A25913">
            <v>9292372</v>
          </cell>
          <cell r="B25913">
            <v>122248</v>
          </cell>
          <cell r="C25913" t="str">
            <v>Scremerston First School</v>
          </cell>
          <cell r="D25913" t="str">
            <v>Northumberland</v>
          </cell>
          <cell r="E25913" t="str">
            <v>Community School</v>
          </cell>
          <cell r="F25913" t="str">
            <v>Primary</v>
          </cell>
        </row>
        <row r="25914">
          <cell r="A25914">
            <v>9263359</v>
          </cell>
          <cell r="B25914">
            <v>121126</v>
          </cell>
          <cell r="C25914" t="str">
            <v>Sculthorpe Church of England Primary School</v>
          </cell>
          <cell r="D25914" t="str">
            <v>Norfolk</v>
          </cell>
          <cell r="E25914" t="str">
            <v>Voluntary Aided School</v>
          </cell>
          <cell r="F25914" t="str">
            <v>Primary</v>
          </cell>
        </row>
        <row r="25915">
          <cell r="A25915">
            <v>8133071</v>
          </cell>
          <cell r="B25915">
            <v>118016</v>
          </cell>
          <cell r="C25915" t="str">
            <v>Scunthorpe CofE Primary School</v>
          </cell>
          <cell r="D25915" t="str">
            <v>North Lincolnshire</v>
          </cell>
          <cell r="E25915" t="str">
            <v>Voluntary Controlled School</v>
          </cell>
          <cell r="F25915" t="str">
            <v>Primary</v>
          </cell>
        </row>
        <row r="25916">
          <cell r="A25916">
            <v>8012072</v>
          </cell>
          <cell r="B25916">
            <v>108959</v>
          </cell>
          <cell r="C25916" t="str">
            <v>Sea Mills Infant School</v>
          </cell>
          <cell r="D25916" t="str">
            <v>Bristol City of</v>
          </cell>
          <cell r="E25916" t="str">
            <v>Community School</v>
          </cell>
          <cell r="F25916" t="str">
            <v>Primary</v>
          </cell>
        </row>
        <row r="25917">
          <cell r="A25917">
            <v>8012071</v>
          </cell>
          <cell r="B25917">
            <v>108958</v>
          </cell>
          <cell r="C25917" t="str">
            <v>Sea Mills Junior School</v>
          </cell>
          <cell r="D25917" t="str">
            <v>Bristol City of</v>
          </cell>
          <cell r="E25917" t="str">
            <v>Community School</v>
          </cell>
          <cell r="F25917" t="str">
            <v>Primary</v>
          </cell>
        </row>
        <row r="25918">
          <cell r="A25918">
            <v>8013439</v>
          </cell>
          <cell r="B25918">
            <v>135779</v>
          </cell>
          <cell r="C25918" t="str">
            <v>Sea Mills Primary School</v>
          </cell>
          <cell r="D25918" t="str">
            <v>Bristol City of</v>
          </cell>
          <cell r="E25918" t="str">
            <v>Community School</v>
          </cell>
          <cell r="F25918" t="str">
            <v>Primary</v>
          </cell>
        </row>
        <row r="25919">
          <cell r="A25919">
            <v>6702234</v>
          </cell>
          <cell r="B25919">
            <v>400944</v>
          </cell>
          <cell r="C25919" t="str">
            <v>Sea View Community Primary School</v>
          </cell>
          <cell r="D25919" t="str">
            <v>Swansea</v>
          </cell>
          <cell r="E25919" t="str">
            <v>Welsh Establishment</v>
          </cell>
          <cell r="F25919" t="str">
            <v>Primary</v>
          </cell>
        </row>
        <row r="25920">
          <cell r="A25920">
            <v>3932002</v>
          </cell>
          <cell r="B25920">
            <v>134230</v>
          </cell>
          <cell r="C25920" t="str">
            <v>Sea View Primary School</v>
          </cell>
          <cell r="D25920" t="str">
            <v>South Tyneside</v>
          </cell>
          <cell r="E25920" t="str">
            <v>Community School</v>
          </cell>
          <cell r="F25920" t="str">
            <v>Primary</v>
          </cell>
        </row>
        <row r="25921">
          <cell r="A25921">
            <v>8602261</v>
          </cell>
          <cell r="B25921">
            <v>124117</v>
          </cell>
          <cell r="C25921" t="str">
            <v>Seabridge Infants' School</v>
          </cell>
          <cell r="D25921" t="str">
            <v>Staffordshire</v>
          </cell>
          <cell r="E25921" t="str">
            <v>Community School</v>
          </cell>
          <cell r="F25921" t="str">
            <v>Primary</v>
          </cell>
        </row>
        <row r="25922">
          <cell r="A25922">
            <v>8602318</v>
          </cell>
          <cell r="B25922">
            <v>124144</v>
          </cell>
          <cell r="C25922" t="str">
            <v>Seabridge Junior School</v>
          </cell>
          <cell r="D25922" t="str">
            <v>Staffordshire</v>
          </cell>
          <cell r="E25922" t="str">
            <v>Community School</v>
          </cell>
          <cell r="F25922" t="str">
            <v>Primary</v>
          </cell>
        </row>
        <row r="25923">
          <cell r="A25923">
            <v>8603496</v>
          </cell>
          <cell r="B25923">
            <v>134898</v>
          </cell>
          <cell r="C25923" t="str">
            <v>Seabridge Primary School</v>
          </cell>
          <cell r="D25923" t="str">
            <v>Staffordshire</v>
          </cell>
          <cell r="E25923" t="str">
            <v>Community School</v>
          </cell>
          <cell r="F25923" t="str">
            <v>Primary</v>
          </cell>
        </row>
        <row r="25924">
          <cell r="A25924">
            <v>8863153</v>
          </cell>
          <cell r="B25924">
            <v>118678</v>
          </cell>
          <cell r="C25924" t="str">
            <v>Seabrook Church of England Primary School</v>
          </cell>
          <cell r="D25924" t="str">
            <v>Kent</v>
          </cell>
          <cell r="E25924" t="str">
            <v>Voluntary Controlled School</v>
          </cell>
          <cell r="F25924" t="str">
            <v>Primary</v>
          </cell>
        </row>
        <row r="25925">
          <cell r="A25925">
            <v>9227020</v>
          </cell>
          <cell r="B25925">
            <v>129461</v>
          </cell>
          <cell r="C25925" t="str">
            <v>Seabrook Lodge School</v>
          </cell>
          <cell r="D25925" t="str">
            <v>Pre LGR (1998) Kent</v>
          </cell>
          <cell r="E25925" t="str">
            <v>Community Special School</v>
          </cell>
          <cell r="F25925" t="str">
            <v>Special</v>
          </cell>
        </row>
        <row r="25926">
          <cell r="A25926">
            <v>3942092</v>
          </cell>
          <cell r="B25926">
            <v>108786</v>
          </cell>
          <cell r="C25926" t="str">
            <v>Seaburn Dene Primary School</v>
          </cell>
          <cell r="D25926" t="str">
            <v>Sunderland</v>
          </cell>
          <cell r="E25926" t="str">
            <v>Community School</v>
          </cell>
          <cell r="F25926" t="str">
            <v>Primary</v>
          </cell>
        </row>
        <row r="25927">
          <cell r="A25927">
            <v>3832172</v>
          </cell>
          <cell r="B25927">
            <v>127846</v>
          </cell>
          <cell r="C25927" t="str">
            <v>Seacroft Grange First School</v>
          </cell>
          <cell r="D25927" t="str">
            <v>Leeds</v>
          </cell>
          <cell r="E25927" t="str">
            <v>Community School</v>
          </cell>
          <cell r="F25927" t="str">
            <v>Primary</v>
          </cell>
        </row>
        <row r="25928">
          <cell r="A25928">
            <v>3832452</v>
          </cell>
          <cell r="B25928">
            <v>107928</v>
          </cell>
          <cell r="C25928" t="str">
            <v>Seacroft Grange Primary School</v>
          </cell>
          <cell r="D25928" t="str">
            <v>Leeds</v>
          </cell>
          <cell r="E25928" t="str">
            <v>Community School</v>
          </cell>
          <cell r="F25928" t="str">
            <v>Primary</v>
          </cell>
        </row>
        <row r="25929">
          <cell r="A25929">
            <v>3834030</v>
          </cell>
          <cell r="B25929">
            <v>127975</v>
          </cell>
          <cell r="C25929" t="str">
            <v>Seacroft Park Middle School</v>
          </cell>
          <cell r="D25929" t="str">
            <v>Leeds</v>
          </cell>
          <cell r="E25929" t="str">
            <v>Community School</v>
          </cell>
          <cell r="F25929" t="str">
            <v>Middle Deemed Secondary</v>
          </cell>
        </row>
        <row r="25930">
          <cell r="A25930">
            <v>8506016</v>
          </cell>
          <cell r="B25930">
            <v>116554</v>
          </cell>
          <cell r="C25930" t="str">
            <v>Seafield School</v>
          </cell>
          <cell r="D25930" t="str">
            <v>Hampshire</v>
          </cell>
          <cell r="E25930" t="str">
            <v>Other Independent School</v>
          </cell>
          <cell r="F25930" t="str">
            <v>Not applicable</v>
          </cell>
        </row>
        <row r="25931">
          <cell r="A25931">
            <v>9386023</v>
          </cell>
          <cell r="B25931">
            <v>126110</v>
          </cell>
          <cell r="C25931" t="str">
            <v>Seaford College</v>
          </cell>
          <cell r="D25931" t="str">
            <v>West Sussex</v>
          </cell>
          <cell r="E25931" t="str">
            <v>Other Independent School</v>
          </cell>
          <cell r="F25931" t="str">
            <v>Not applicable</v>
          </cell>
        </row>
        <row r="25932">
          <cell r="A25932">
            <v>8454036</v>
          </cell>
          <cell r="B25932">
            <v>114589</v>
          </cell>
          <cell r="C25932" t="str">
            <v>Seaford Head Community College</v>
          </cell>
          <cell r="D25932" t="str">
            <v>East Sussex</v>
          </cell>
          <cell r="E25932" t="str">
            <v>Foundation School</v>
          </cell>
          <cell r="F25932" t="str">
            <v>Secondary</v>
          </cell>
        </row>
        <row r="25933">
          <cell r="A25933">
            <v>8452087</v>
          </cell>
          <cell r="B25933">
            <v>114419</v>
          </cell>
          <cell r="C25933" t="str">
            <v>Seaford Primary School</v>
          </cell>
          <cell r="D25933" t="str">
            <v>East Sussex</v>
          </cell>
          <cell r="E25933" t="str">
            <v>Community School</v>
          </cell>
          <cell r="F25933" t="str">
            <v>Primary</v>
          </cell>
        </row>
        <row r="25934">
          <cell r="A25934">
            <v>8922113</v>
          </cell>
          <cell r="B25934">
            <v>122455</v>
          </cell>
          <cell r="C25934" t="str">
            <v>Seagrave Primary School</v>
          </cell>
          <cell r="D25934" t="str">
            <v>Nottingham</v>
          </cell>
          <cell r="E25934" t="str">
            <v>Community School</v>
          </cell>
          <cell r="F25934" t="str">
            <v>Primary</v>
          </cell>
        </row>
        <row r="25935">
          <cell r="A25935">
            <v>8552088</v>
          </cell>
          <cell r="B25935">
            <v>119948</v>
          </cell>
          <cell r="C25935" t="str">
            <v>Seagrave Village Primary School</v>
          </cell>
          <cell r="D25935" t="str">
            <v>Leicestershire</v>
          </cell>
          <cell r="E25935" t="str">
            <v>Community School</v>
          </cell>
          <cell r="F25935" t="str">
            <v>Primary</v>
          </cell>
        </row>
        <row r="25936">
          <cell r="A25936">
            <v>8653159</v>
          </cell>
          <cell r="B25936">
            <v>126352</v>
          </cell>
          <cell r="C25936" t="str">
            <v>Seagry Church of England Primary School</v>
          </cell>
          <cell r="D25936" t="str">
            <v>Wiltshire</v>
          </cell>
          <cell r="E25936" t="str">
            <v>Voluntary Controlled School</v>
          </cell>
          <cell r="F25936" t="str">
            <v>Primary</v>
          </cell>
        </row>
        <row r="25937">
          <cell r="A25937">
            <v>8701103</v>
          </cell>
          <cell r="B25937">
            <v>109769</v>
          </cell>
          <cell r="C25937" t="str">
            <v>Seagulls Pupil Referral Unit</v>
          </cell>
          <cell r="D25937" t="str">
            <v>Reading</v>
          </cell>
          <cell r="E25937" t="str">
            <v>Pupil Referral Unit</v>
          </cell>
          <cell r="F25937" t="str">
            <v>PRU</v>
          </cell>
        </row>
        <row r="25938">
          <cell r="A25938">
            <v>8401023</v>
          </cell>
          <cell r="B25938">
            <v>113975</v>
          </cell>
          <cell r="C25938" t="str">
            <v>Seaham Harbour Nursery School</v>
          </cell>
          <cell r="D25938" t="str">
            <v>Durham</v>
          </cell>
          <cell r="E25938" t="str">
            <v>LA Nursery School</v>
          </cell>
          <cell r="F25938" t="str">
            <v>Nursery</v>
          </cell>
        </row>
        <row r="25939">
          <cell r="A25939">
            <v>8404019</v>
          </cell>
          <cell r="B25939">
            <v>114286</v>
          </cell>
          <cell r="C25939" t="str">
            <v>Seaham School of Technology</v>
          </cell>
          <cell r="D25939" t="str">
            <v>Durham</v>
          </cell>
          <cell r="E25939" t="str">
            <v>Community School</v>
          </cell>
          <cell r="F25939" t="str">
            <v>Secondary</v>
          </cell>
        </row>
        <row r="25940">
          <cell r="A25940">
            <v>8403524</v>
          </cell>
          <cell r="B25940">
            <v>134657</v>
          </cell>
          <cell r="C25940" t="str">
            <v>Seaham Trinity Primary School</v>
          </cell>
          <cell r="D25940" t="str">
            <v>Durham</v>
          </cell>
          <cell r="E25940" t="str">
            <v>Community School</v>
          </cell>
          <cell r="F25940" t="str">
            <v>Primary</v>
          </cell>
        </row>
        <row r="25941">
          <cell r="A25941">
            <v>9292207</v>
          </cell>
          <cell r="B25941">
            <v>122214</v>
          </cell>
          <cell r="C25941" t="str">
            <v>Seahouses First School</v>
          </cell>
          <cell r="D25941" t="str">
            <v>Northumberland</v>
          </cell>
          <cell r="E25941" t="str">
            <v>Community School</v>
          </cell>
          <cell r="F25941" t="str">
            <v>Primary</v>
          </cell>
        </row>
        <row r="25942">
          <cell r="A25942">
            <v>9294001</v>
          </cell>
          <cell r="B25942">
            <v>122315</v>
          </cell>
          <cell r="C25942" t="str">
            <v>Seahouses Middle School</v>
          </cell>
          <cell r="D25942" t="str">
            <v>Northumberland</v>
          </cell>
          <cell r="E25942" t="str">
            <v>Community School</v>
          </cell>
          <cell r="F25942" t="str">
            <v>Middle Deemed Secondary</v>
          </cell>
        </row>
        <row r="25943">
          <cell r="A25943">
            <v>8863035</v>
          </cell>
          <cell r="B25943">
            <v>118605</v>
          </cell>
          <cell r="C25943" t="str">
            <v>Seal Church of England Voluntary Controlled Primary School</v>
          </cell>
          <cell r="D25943" t="str">
            <v>Kent</v>
          </cell>
          <cell r="E25943" t="str">
            <v>Voluntary Controlled School</v>
          </cell>
          <cell r="F25943" t="str">
            <v>Primary</v>
          </cell>
        </row>
        <row r="25944">
          <cell r="A25944">
            <v>9382055</v>
          </cell>
          <cell r="B25944">
            <v>125852</v>
          </cell>
          <cell r="C25944" t="str">
            <v>Seal Primary School, Selsey</v>
          </cell>
          <cell r="D25944" t="str">
            <v>West Sussex</v>
          </cell>
          <cell r="E25944" t="str">
            <v>Community School</v>
          </cell>
          <cell r="F25944" t="str">
            <v>Primary</v>
          </cell>
        </row>
        <row r="25945">
          <cell r="A25945">
            <v>6642041</v>
          </cell>
          <cell r="B25945">
            <v>400335</v>
          </cell>
          <cell r="C25945" t="str">
            <v>Sealand C.P. School</v>
          </cell>
          <cell r="D25945" t="str">
            <v>Flintshire</v>
          </cell>
          <cell r="E25945" t="str">
            <v>Welsh Establishment</v>
          </cell>
          <cell r="F25945" t="str">
            <v>Primary</v>
          </cell>
        </row>
        <row r="25946">
          <cell r="A25946">
            <v>9363032</v>
          </cell>
          <cell r="B25946">
            <v>130074</v>
          </cell>
          <cell r="C25946" t="str">
            <v>Seale CofE First School</v>
          </cell>
          <cell r="D25946" t="str">
            <v>Surrey</v>
          </cell>
          <cell r="E25946" t="str">
            <v>Voluntary Controlled School</v>
          </cell>
          <cell r="F25946" t="str">
            <v>Primary</v>
          </cell>
        </row>
        <row r="25947">
          <cell r="A25947">
            <v>8866129</v>
          </cell>
          <cell r="B25947">
            <v>135550</v>
          </cell>
          <cell r="C25947" t="str">
            <v>Seameadows</v>
          </cell>
          <cell r="D25947" t="str">
            <v>Kent</v>
          </cell>
          <cell r="E25947" t="str">
            <v>Other Independent Special School</v>
          </cell>
          <cell r="F25947" t="str">
            <v>Not applicable</v>
          </cell>
        </row>
        <row r="25948">
          <cell r="A25948">
            <v>8152223</v>
          </cell>
          <cell r="B25948">
            <v>121357</v>
          </cell>
          <cell r="C25948" t="str">
            <v>Seamer and Irton Community Primary School</v>
          </cell>
          <cell r="D25948" t="str">
            <v>North Yorkshire</v>
          </cell>
          <cell r="E25948" t="str">
            <v>Community School</v>
          </cell>
          <cell r="F25948" t="str">
            <v>Primary</v>
          </cell>
        </row>
        <row r="25949">
          <cell r="A25949">
            <v>9092224</v>
          </cell>
          <cell r="B25949">
            <v>112163</v>
          </cell>
          <cell r="C25949" t="str">
            <v>Seascale Primary School</v>
          </cell>
          <cell r="D25949" t="str">
            <v>Cumbria</v>
          </cell>
          <cell r="E25949" t="str">
            <v>Community School</v>
          </cell>
          <cell r="F25949" t="str">
            <v>Primary</v>
          </cell>
        </row>
        <row r="25950">
          <cell r="A25950">
            <v>8402004</v>
          </cell>
          <cell r="B25950">
            <v>133701</v>
          </cell>
          <cell r="C25950" t="str">
            <v>Seascape Primary School</v>
          </cell>
          <cell r="D25950" t="str">
            <v>Durham</v>
          </cell>
          <cell r="E25950" t="str">
            <v>Community School</v>
          </cell>
          <cell r="F25950" t="str">
            <v>Primary</v>
          </cell>
        </row>
        <row r="25951">
          <cell r="A25951">
            <v>9383367</v>
          </cell>
          <cell r="B25951">
            <v>134837</v>
          </cell>
          <cell r="C25951" t="str">
            <v>Seaside Primary School</v>
          </cell>
          <cell r="D25951" t="str">
            <v>West Sussex</v>
          </cell>
          <cell r="E25951" t="str">
            <v>Community School</v>
          </cell>
          <cell r="F25951" t="str">
            <v>Primary</v>
          </cell>
        </row>
        <row r="25952">
          <cell r="A25952">
            <v>9092130</v>
          </cell>
          <cell r="B25952">
            <v>136285</v>
          </cell>
          <cell r="C25952" t="str">
            <v>Seaton Academy</v>
          </cell>
          <cell r="D25952" t="str">
            <v>Cumbria</v>
          </cell>
          <cell r="E25952" t="str">
            <v>Academy Converters</v>
          </cell>
          <cell r="F25952" t="str">
            <v>Primary</v>
          </cell>
        </row>
        <row r="25953">
          <cell r="A25953">
            <v>3924041</v>
          </cell>
          <cell r="B25953">
            <v>108647</v>
          </cell>
          <cell r="C25953" t="str">
            <v>Seaton Burn College, A Specialist Business and Enterprise School</v>
          </cell>
          <cell r="D25953" t="str">
            <v>North Tyneside</v>
          </cell>
          <cell r="E25953" t="str">
            <v>Foundation School</v>
          </cell>
          <cell r="F25953" t="str">
            <v>Secondary</v>
          </cell>
        </row>
        <row r="25954">
          <cell r="A25954">
            <v>3924036</v>
          </cell>
          <cell r="B25954">
            <v>128168</v>
          </cell>
          <cell r="C25954" t="str">
            <v>Seaton Burn Community High School</v>
          </cell>
          <cell r="D25954" t="str">
            <v>North Tyneside</v>
          </cell>
          <cell r="E25954" t="str">
            <v>Community School</v>
          </cell>
          <cell r="F25954" t="str">
            <v>Secondary</v>
          </cell>
        </row>
        <row r="25955">
          <cell r="A25955">
            <v>3922039</v>
          </cell>
          <cell r="B25955">
            <v>128155</v>
          </cell>
          <cell r="C25955" t="str">
            <v>Seaton Burn First School</v>
          </cell>
          <cell r="D25955" t="str">
            <v>North Tyneside</v>
          </cell>
          <cell r="E25955" t="str">
            <v>Community School</v>
          </cell>
          <cell r="F25955" t="str">
            <v>Primary</v>
          </cell>
        </row>
        <row r="25956">
          <cell r="A25956">
            <v>8051013</v>
          </cell>
          <cell r="B25956">
            <v>111519</v>
          </cell>
          <cell r="C25956" t="str">
            <v>Seaton Carew Nursery School</v>
          </cell>
          <cell r="D25956" t="str">
            <v>Hartlepool</v>
          </cell>
          <cell r="E25956" t="str">
            <v>LA Nursery School</v>
          </cell>
          <cell r="F25956" t="str">
            <v>Nursery</v>
          </cell>
        </row>
        <row r="25957">
          <cell r="A25957">
            <v>9093116</v>
          </cell>
          <cell r="B25957">
            <v>112277</v>
          </cell>
          <cell r="C25957" t="str">
            <v>Seaton CofE Junior School</v>
          </cell>
          <cell r="D25957" t="str">
            <v>Cumbria</v>
          </cell>
          <cell r="E25957" t="str">
            <v>Voluntary Controlled School</v>
          </cell>
          <cell r="F25957" t="str">
            <v>Primary</v>
          </cell>
        </row>
        <row r="25958">
          <cell r="A25958">
            <v>9292228</v>
          </cell>
          <cell r="B25958">
            <v>122223</v>
          </cell>
          <cell r="C25958" t="str">
            <v>Seaton Delaval First School</v>
          </cell>
          <cell r="D25958" t="str">
            <v>Northumberland</v>
          </cell>
          <cell r="E25958" t="str">
            <v>Community School</v>
          </cell>
          <cell r="F25958" t="str">
            <v>Primary</v>
          </cell>
        </row>
        <row r="25959">
          <cell r="A25959">
            <v>9294165</v>
          </cell>
          <cell r="B25959">
            <v>122337</v>
          </cell>
          <cell r="C25959" t="str">
            <v>Seaton Hirst Church of England Controlled Middle School</v>
          </cell>
          <cell r="D25959" t="str">
            <v>Northumberland</v>
          </cell>
          <cell r="E25959" t="str">
            <v>Community School</v>
          </cell>
          <cell r="F25959" t="str">
            <v>Middle Deemed Secondary</v>
          </cell>
        </row>
        <row r="25960">
          <cell r="A25960">
            <v>9294817</v>
          </cell>
          <cell r="B25960">
            <v>134474</v>
          </cell>
          <cell r="C25960" t="str">
            <v>Seaton Hirst Church of England Middle School</v>
          </cell>
          <cell r="D25960" t="str">
            <v>Northumberland</v>
          </cell>
          <cell r="E25960" t="str">
            <v>Voluntary Controlled School</v>
          </cell>
          <cell r="F25960" t="str">
            <v>Middle Deemed Secondary</v>
          </cell>
        </row>
        <row r="25961">
          <cell r="A25961">
            <v>3196062</v>
          </cell>
          <cell r="B25961">
            <v>103019</v>
          </cell>
          <cell r="C25961" t="str">
            <v>Seaton House School</v>
          </cell>
          <cell r="D25961" t="str">
            <v>Sutton</v>
          </cell>
          <cell r="E25961" t="str">
            <v>Other Independent School</v>
          </cell>
          <cell r="F25961" t="str">
            <v>Not applicable</v>
          </cell>
        </row>
        <row r="25962">
          <cell r="A25962">
            <v>9092130</v>
          </cell>
          <cell r="B25962">
            <v>112139</v>
          </cell>
          <cell r="C25962" t="str">
            <v>Seaton Infant School</v>
          </cell>
          <cell r="D25962" t="str">
            <v>Cumbria</v>
          </cell>
          <cell r="E25962" t="str">
            <v>Community School</v>
          </cell>
          <cell r="F25962" t="str">
            <v>Primary</v>
          </cell>
        </row>
        <row r="25963">
          <cell r="A25963">
            <v>8782060</v>
          </cell>
          <cell r="B25963">
            <v>113108</v>
          </cell>
          <cell r="C25963" t="str">
            <v>Seaton Primary School</v>
          </cell>
          <cell r="D25963" t="str">
            <v>Devon</v>
          </cell>
          <cell r="E25963" t="str">
            <v>Community School</v>
          </cell>
          <cell r="F25963" t="str">
            <v>Primary</v>
          </cell>
        </row>
        <row r="25964">
          <cell r="A25964">
            <v>9292268</v>
          </cell>
          <cell r="B25964">
            <v>122234</v>
          </cell>
          <cell r="C25964" t="str">
            <v>Seaton Sluice First School</v>
          </cell>
          <cell r="D25964" t="str">
            <v>Northumberland</v>
          </cell>
          <cell r="E25964" t="str">
            <v>Community School</v>
          </cell>
          <cell r="F25964" t="str">
            <v>Primary</v>
          </cell>
        </row>
        <row r="25965">
          <cell r="A25965">
            <v>9294161</v>
          </cell>
          <cell r="B25965">
            <v>122334</v>
          </cell>
          <cell r="C25965" t="str">
            <v>Seaton Sluice Middle School</v>
          </cell>
          <cell r="D25965" t="str">
            <v>Northumberland</v>
          </cell>
          <cell r="E25965" t="str">
            <v>Community School</v>
          </cell>
          <cell r="F25965" t="str">
            <v>Middle Deemed Secondary</v>
          </cell>
        </row>
        <row r="25966">
          <cell r="A25966">
            <v>9291000</v>
          </cell>
          <cell r="B25966">
            <v>122168</v>
          </cell>
          <cell r="C25966" t="str">
            <v>Seaton Terrace Nursery School</v>
          </cell>
          <cell r="D25966" t="str">
            <v>Northumberland</v>
          </cell>
          <cell r="E25966" t="str">
            <v>LA Nursery School</v>
          </cell>
          <cell r="F25966" t="str">
            <v>Nursery</v>
          </cell>
        </row>
        <row r="25967">
          <cell r="A25967">
            <v>8886108</v>
          </cell>
          <cell r="B25967">
            <v>135657</v>
          </cell>
          <cell r="C25967" t="str">
            <v>Seaview Learning Centre</v>
          </cell>
          <cell r="D25967" t="str">
            <v>Lancashire</v>
          </cell>
          <cell r="E25967" t="str">
            <v>Other Independent Special School</v>
          </cell>
          <cell r="F25967" t="str">
            <v>Not applicable</v>
          </cell>
        </row>
        <row r="25968">
          <cell r="A25968">
            <v>8403520</v>
          </cell>
          <cell r="B25968">
            <v>129823</v>
          </cell>
          <cell r="C25968" t="str">
            <v>Seaview Primary School</v>
          </cell>
          <cell r="D25968" t="str">
            <v>Durham</v>
          </cell>
          <cell r="E25968" t="str">
            <v>Community School</v>
          </cell>
          <cell r="F25968" t="str">
            <v>Primary</v>
          </cell>
        </row>
        <row r="25969">
          <cell r="A25969">
            <v>9352925</v>
          </cell>
          <cell r="B25969">
            <v>124682</v>
          </cell>
          <cell r="C25969" t="str">
            <v>Sebert Wood Community Primary School</v>
          </cell>
          <cell r="D25969" t="str">
            <v>Suffolk</v>
          </cell>
          <cell r="E25969" t="str">
            <v>Community School</v>
          </cell>
          <cell r="F25969" t="str">
            <v>Primary</v>
          </cell>
        </row>
        <row r="25970">
          <cell r="A25970">
            <v>2042539</v>
          </cell>
          <cell r="B25970">
            <v>100240</v>
          </cell>
          <cell r="C25970" t="str">
            <v>Sebright School</v>
          </cell>
          <cell r="D25970" t="str">
            <v>Hackney</v>
          </cell>
          <cell r="E25970" t="str">
            <v>Community School</v>
          </cell>
          <cell r="F25970" t="str">
            <v>Primary</v>
          </cell>
        </row>
        <row r="25971">
          <cell r="A25971">
            <v>3356012</v>
          </cell>
          <cell r="B25971">
            <v>134414</v>
          </cell>
          <cell r="C25971" t="str">
            <v>Second Chances</v>
          </cell>
          <cell r="D25971" t="str">
            <v>Walsall</v>
          </cell>
          <cell r="E25971" t="str">
            <v>Other Independent School</v>
          </cell>
          <cell r="F25971" t="str">
            <v>Not applicable</v>
          </cell>
        </row>
        <row r="25972">
          <cell r="A25972">
            <v>3921106</v>
          </cell>
          <cell r="B25972">
            <v>134026</v>
          </cell>
          <cell r="C25972" t="str">
            <v>Secondary Accelerated Learning Service</v>
          </cell>
          <cell r="D25972" t="str">
            <v>North Tyneside</v>
          </cell>
          <cell r="E25972" t="str">
            <v>Pupil Referral Unit</v>
          </cell>
          <cell r="F25972" t="str">
            <v>PRU</v>
          </cell>
        </row>
        <row r="25973">
          <cell r="A25973">
            <v>8811114</v>
          </cell>
          <cell r="B25973">
            <v>132944</v>
          </cell>
          <cell r="C25973" t="str">
            <v>Secondary Behaviour Support Unit (South)</v>
          </cell>
          <cell r="D25973" t="str">
            <v>Essex</v>
          </cell>
          <cell r="E25973" t="str">
            <v>Pupil Referral Unit</v>
          </cell>
          <cell r="F25973" t="str">
            <v>PRU</v>
          </cell>
        </row>
        <row r="25974">
          <cell r="A25974">
            <v>3411108</v>
          </cell>
          <cell r="B25974">
            <v>135656</v>
          </cell>
          <cell r="C25974" t="str">
            <v>Secondary Centre</v>
          </cell>
          <cell r="D25974" t="str">
            <v>Liverpool</v>
          </cell>
          <cell r="E25974" t="str">
            <v>Pupil Referral Unit</v>
          </cell>
          <cell r="F25974" t="str">
            <v>PRU</v>
          </cell>
        </row>
        <row r="25975">
          <cell r="A25975">
            <v>8561103</v>
          </cell>
          <cell r="B25975">
            <v>131535</v>
          </cell>
          <cell r="C25975" t="str">
            <v>Secondary Federated Pupil Referral Service (Individual Learning Centre)</v>
          </cell>
          <cell r="D25975" t="str">
            <v>Leicester</v>
          </cell>
          <cell r="E25975" t="str">
            <v>Pupil Referral Unit</v>
          </cell>
          <cell r="F25975" t="str">
            <v>PRU</v>
          </cell>
        </row>
        <row r="25976">
          <cell r="A25976">
            <v>3081108</v>
          </cell>
          <cell r="B25976">
            <v>134763</v>
          </cell>
          <cell r="C25976" t="str">
            <v>Secondary Support Centre</v>
          </cell>
          <cell r="D25976" t="str">
            <v>Enfield</v>
          </cell>
          <cell r="E25976" t="str">
            <v>Pupil Referral Unit</v>
          </cell>
          <cell r="F25976" t="str">
            <v>PRU</v>
          </cell>
        </row>
        <row r="25977">
          <cell r="A25977">
            <v>8316005</v>
          </cell>
          <cell r="B25977">
            <v>131704</v>
          </cell>
          <cell r="C25977" t="str">
            <v>Secret Garden</v>
          </cell>
          <cell r="D25977" t="str">
            <v>Derby</v>
          </cell>
          <cell r="E25977" t="str">
            <v>Other Independent School</v>
          </cell>
          <cell r="F25977" t="str">
            <v>Not applicable</v>
          </cell>
        </row>
        <row r="25978">
          <cell r="A25978">
            <v>9096015</v>
          </cell>
          <cell r="B25978">
            <v>121739</v>
          </cell>
          <cell r="C25978" t="str">
            <v>Sedbergh Junior School</v>
          </cell>
          <cell r="D25978" t="str">
            <v>Cumbria</v>
          </cell>
          <cell r="E25978" t="str">
            <v>Other Independent School</v>
          </cell>
          <cell r="F25978" t="str">
            <v>Not applicable</v>
          </cell>
        </row>
        <row r="25979">
          <cell r="A25979">
            <v>9092700</v>
          </cell>
          <cell r="B25979">
            <v>112233</v>
          </cell>
          <cell r="C25979" t="str">
            <v>Sedbergh Primary School</v>
          </cell>
          <cell r="D25979" t="str">
            <v>Cumbria</v>
          </cell>
          <cell r="E25979" t="str">
            <v>Community School</v>
          </cell>
          <cell r="F25979" t="str">
            <v>Primary</v>
          </cell>
        </row>
        <row r="25980">
          <cell r="A25980">
            <v>9096026</v>
          </cell>
          <cell r="B25980">
            <v>112451</v>
          </cell>
          <cell r="C25980" t="str">
            <v>Sedbergh School</v>
          </cell>
          <cell r="D25980" t="str">
            <v>Cumbria</v>
          </cell>
          <cell r="E25980" t="str">
            <v>Other Independent School</v>
          </cell>
          <cell r="F25980" t="str">
            <v>Not applicable</v>
          </cell>
        </row>
        <row r="25981">
          <cell r="A25981">
            <v>6796012</v>
          </cell>
          <cell r="B25981">
            <v>402010</v>
          </cell>
          <cell r="C25981" t="str">
            <v>Seddon House School</v>
          </cell>
          <cell r="D25981" t="str">
            <v>Monmouthshire</v>
          </cell>
          <cell r="E25981" t="str">
            <v>Welsh Establishment</v>
          </cell>
          <cell r="F25981" t="str">
            <v>Not applicable</v>
          </cell>
        </row>
        <row r="25982">
          <cell r="A25982">
            <v>8853099</v>
          </cell>
          <cell r="B25982">
            <v>116848</v>
          </cell>
          <cell r="C25982" t="str">
            <v>Sedgeberrow CofE First School</v>
          </cell>
          <cell r="D25982" t="str">
            <v>Worcestershire</v>
          </cell>
          <cell r="E25982" t="str">
            <v>Voluntary Controlled School</v>
          </cell>
          <cell r="F25982" t="str">
            <v>Primary</v>
          </cell>
        </row>
        <row r="25983">
          <cell r="A25983">
            <v>8404231</v>
          </cell>
          <cell r="B25983">
            <v>114317</v>
          </cell>
          <cell r="C25983" t="str">
            <v>Sedgefield Community College a Specialist Sports College</v>
          </cell>
          <cell r="D25983" t="str">
            <v>Durham</v>
          </cell>
          <cell r="E25983" t="str">
            <v>Community School</v>
          </cell>
          <cell r="F25983" t="str">
            <v>Secondary</v>
          </cell>
        </row>
        <row r="25984">
          <cell r="A25984">
            <v>8402593</v>
          </cell>
          <cell r="B25984">
            <v>114161</v>
          </cell>
          <cell r="C25984" t="str">
            <v>Sedgefield Hardwick Primary School</v>
          </cell>
          <cell r="D25984" t="str">
            <v>Durham</v>
          </cell>
          <cell r="E25984" t="str">
            <v>Community School</v>
          </cell>
          <cell r="F25984" t="str">
            <v>Primary</v>
          </cell>
        </row>
        <row r="25985">
          <cell r="A25985">
            <v>8402563</v>
          </cell>
          <cell r="B25985">
            <v>114159</v>
          </cell>
          <cell r="C25985" t="str">
            <v>Sedgefield Primary School</v>
          </cell>
          <cell r="D25985" t="str">
            <v>Durham</v>
          </cell>
          <cell r="E25985" t="str">
            <v>Community School</v>
          </cell>
          <cell r="F25985" t="str">
            <v>Primary</v>
          </cell>
        </row>
        <row r="25986">
          <cell r="A25986">
            <v>9262210</v>
          </cell>
          <cell r="B25986">
            <v>120880</v>
          </cell>
          <cell r="C25986" t="str">
            <v>Sedgeford Primary School</v>
          </cell>
          <cell r="D25986" t="str">
            <v>Norfolk</v>
          </cell>
          <cell r="E25986" t="str">
            <v>Community School</v>
          </cell>
          <cell r="F25986" t="str">
            <v>Primary</v>
          </cell>
        </row>
        <row r="25987">
          <cell r="A25987">
            <v>2094267</v>
          </cell>
          <cell r="B25987">
            <v>100743</v>
          </cell>
          <cell r="C25987" t="str">
            <v>Sedgehill School</v>
          </cell>
          <cell r="D25987" t="str">
            <v>Lewisham</v>
          </cell>
          <cell r="E25987" t="str">
            <v>Community School</v>
          </cell>
          <cell r="F25987" t="str">
            <v>Secondary</v>
          </cell>
        </row>
        <row r="25988">
          <cell r="A25988">
            <v>9331100</v>
          </cell>
          <cell r="B25988">
            <v>123636</v>
          </cell>
          <cell r="C25988" t="str">
            <v>Sedgemoor Centre</v>
          </cell>
          <cell r="D25988" t="str">
            <v>Somerset</v>
          </cell>
          <cell r="E25988" t="str">
            <v>Pupil Referral Unit</v>
          </cell>
          <cell r="F25988" t="str">
            <v>PRU</v>
          </cell>
        </row>
        <row r="25989">
          <cell r="A25989">
            <v>9336197</v>
          </cell>
          <cell r="B25989">
            <v>131469</v>
          </cell>
          <cell r="C25989" t="str">
            <v>Sedgemoor College (Boys')</v>
          </cell>
          <cell r="D25989" t="str">
            <v>Somerset</v>
          </cell>
          <cell r="E25989" t="str">
            <v>Other Independent Special School</v>
          </cell>
          <cell r="F25989" t="str">
            <v>Not applicable</v>
          </cell>
        </row>
        <row r="25990">
          <cell r="A25990">
            <v>8736028</v>
          </cell>
          <cell r="B25990">
            <v>131831</v>
          </cell>
          <cell r="C25990" t="str">
            <v>Sedgemoor College (Boys')</v>
          </cell>
          <cell r="D25990" t="str">
            <v>Cambridgeshire</v>
          </cell>
          <cell r="E25990" t="str">
            <v>Independent School Approved for SEN Pupils</v>
          </cell>
          <cell r="F25990" t="str">
            <v>Not applicable</v>
          </cell>
        </row>
        <row r="25991">
          <cell r="A25991">
            <v>9332324</v>
          </cell>
          <cell r="B25991">
            <v>123732</v>
          </cell>
          <cell r="C25991" t="str">
            <v>Sedgemoor Manor Community Junior School</v>
          </cell>
          <cell r="D25991" t="str">
            <v>Somerset</v>
          </cell>
          <cell r="E25991" t="str">
            <v>Community School</v>
          </cell>
          <cell r="F25991" t="str">
            <v>Primary</v>
          </cell>
        </row>
        <row r="25992">
          <cell r="A25992">
            <v>9332323</v>
          </cell>
          <cell r="B25992">
            <v>123731</v>
          </cell>
          <cell r="C25992" t="str">
            <v>Sedgemoor Manor Infants' School</v>
          </cell>
          <cell r="D25992" t="str">
            <v>Somerset</v>
          </cell>
          <cell r="E25992" t="str">
            <v>Community School</v>
          </cell>
          <cell r="F25992" t="str">
            <v>Primary</v>
          </cell>
        </row>
        <row r="25993">
          <cell r="A25993">
            <v>3512039</v>
          </cell>
          <cell r="B25993">
            <v>105308</v>
          </cell>
          <cell r="C25993" t="str">
            <v>Sedgley Park Community Primary School</v>
          </cell>
          <cell r="D25993" t="str">
            <v>Bury</v>
          </cell>
          <cell r="E25993" t="str">
            <v>Community School</v>
          </cell>
          <cell r="F25993" t="str">
            <v>Primary</v>
          </cell>
        </row>
        <row r="25994">
          <cell r="A25994">
            <v>8453058</v>
          </cell>
          <cell r="B25994">
            <v>114522</v>
          </cell>
          <cell r="C25994" t="str">
            <v>Sedlescombe CofE Primary School</v>
          </cell>
          <cell r="D25994" t="str">
            <v>East Sussex</v>
          </cell>
          <cell r="E25994" t="str">
            <v>Voluntary Controlled School</v>
          </cell>
          <cell r="F25994" t="str">
            <v>Primary</v>
          </cell>
        </row>
        <row r="25995">
          <cell r="A25995">
            <v>8732114</v>
          </cell>
          <cell r="B25995">
            <v>110662</v>
          </cell>
          <cell r="C25995" t="str">
            <v>Sedley Infant School</v>
          </cell>
          <cell r="D25995" t="str">
            <v>Cambridgeshire</v>
          </cell>
          <cell r="E25995" t="str">
            <v>Community School</v>
          </cell>
          <cell r="F25995" t="str">
            <v>Primary</v>
          </cell>
        </row>
        <row r="25996">
          <cell r="A25996">
            <v>8863020</v>
          </cell>
          <cell r="B25996">
            <v>118595</v>
          </cell>
          <cell r="C25996" t="str">
            <v>Sedley's Church of England Voluntary Controlled Primary School</v>
          </cell>
          <cell r="D25996" t="str">
            <v>Kent</v>
          </cell>
          <cell r="E25996" t="str">
            <v>Voluntary Controlled School</v>
          </cell>
          <cell r="F25996" t="str">
            <v>Primary</v>
          </cell>
        </row>
        <row r="25997">
          <cell r="A25997">
            <v>3552022</v>
          </cell>
          <cell r="B25997">
            <v>105888</v>
          </cell>
          <cell r="C25997" t="str">
            <v>Seedley Primary School</v>
          </cell>
          <cell r="D25997" t="str">
            <v>Salford</v>
          </cell>
          <cell r="E25997" t="str">
            <v>Community School</v>
          </cell>
          <cell r="F25997" t="str">
            <v>Primary</v>
          </cell>
        </row>
        <row r="25998">
          <cell r="A25998">
            <v>8913350</v>
          </cell>
          <cell r="B25998">
            <v>122786</v>
          </cell>
          <cell r="C25998" t="str">
            <v>Seely CofE Primary School</v>
          </cell>
          <cell r="D25998" t="str">
            <v>Nottinghamshire</v>
          </cell>
          <cell r="E25998" t="str">
            <v>Voluntary Aided School</v>
          </cell>
          <cell r="F25998" t="str">
            <v>Primary</v>
          </cell>
        </row>
        <row r="25999">
          <cell r="A25999">
            <v>8922186</v>
          </cell>
          <cell r="B25999">
            <v>122506</v>
          </cell>
          <cell r="C25999" t="str">
            <v>Seely Infant and Nursery School</v>
          </cell>
          <cell r="D25999" t="str">
            <v>Nottingham</v>
          </cell>
          <cell r="E25999" t="str">
            <v>Community School</v>
          </cell>
          <cell r="F25999" t="str">
            <v>Primary</v>
          </cell>
        </row>
        <row r="26000">
          <cell r="A26000">
            <v>8922096</v>
          </cell>
          <cell r="B26000">
            <v>122443</v>
          </cell>
          <cell r="C26000" t="str">
            <v>Seely Junior School</v>
          </cell>
          <cell r="D26000" t="str">
            <v>Nottingham</v>
          </cell>
          <cell r="E26000" t="str">
            <v>Community School</v>
          </cell>
          <cell r="F26000" t="str">
            <v>Primary</v>
          </cell>
        </row>
        <row r="26001">
          <cell r="A26001">
            <v>8653388</v>
          </cell>
          <cell r="B26001">
            <v>126414</v>
          </cell>
          <cell r="C26001" t="str">
            <v>Seend Church of England Aided Primary School</v>
          </cell>
          <cell r="D26001" t="str">
            <v>Wiltshire</v>
          </cell>
          <cell r="E26001" t="str">
            <v>Voluntary Aided School</v>
          </cell>
          <cell r="F26001" t="str">
            <v>Primary</v>
          </cell>
        </row>
        <row r="26002">
          <cell r="A26002">
            <v>8253326</v>
          </cell>
          <cell r="B26002">
            <v>110458</v>
          </cell>
          <cell r="C26002" t="str">
            <v>Seer Green Church of England Combined School</v>
          </cell>
          <cell r="D26002" t="str">
            <v>Buckinghamshire</v>
          </cell>
          <cell r="E26002" t="str">
            <v>Voluntary Aided School</v>
          </cell>
          <cell r="F26002" t="str">
            <v>Primary</v>
          </cell>
        </row>
        <row r="26003">
          <cell r="A26003">
            <v>9262140</v>
          </cell>
          <cell r="B26003">
            <v>120849</v>
          </cell>
          <cell r="C26003" t="str">
            <v>Seething and Mundham Primary School</v>
          </cell>
          <cell r="D26003" t="str">
            <v>Norfolk</v>
          </cell>
          <cell r="E26003" t="str">
            <v>Community School</v>
          </cell>
          <cell r="F26003" t="str">
            <v>Primary</v>
          </cell>
        </row>
        <row r="26004">
          <cell r="A26004">
            <v>8818601</v>
          </cell>
          <cell r="B26004">
            <v>130681</v>
          </cell>
          <cell r="C26004" t="str">
            <v>SEEVIC College</v>
          </cell>
          <cell r="D26004" t="str">
            <v>Essex</v>
          </cell>
          <cell r="E26004" t="str">
            <v>Further Education</v>
          </cell>
          <cell r="F26004" t="str">
            <v>16 Plus</v>
          </cell>
        </row>
        <row r="26005">
          <cell r="A26005">
            <v>3106005</v>
          </cell>
          <cell r="B26005">
            <v>136097</v>
          </cell>
          <cell r="C26005" t="str">
            <v>Sefton Harrow Primary School</v>
          </cell>
          <cell r="D26005" t="str">
            <v>Harrow</v>
          </cell>
          <cell r="E26005" t="str">
            <v>Other Independent School</v>
          </cell>
          <cell r="F26005" t="str">
            <v>Not applicable</v>
          </cell>
        </row>
        <row r="26006">
          <cell r="A26006">
            <v>8012073</v>
          </cell>
          <cell r="B26006">
            <v>108960</v>
          </cell>
          <cell r="C26006" t="str">
            <v>Sefton Park Infant School</v>
          </cell>
          <cell r="D26006" t="str">
            <v>Bristol City of</v>
          </cell>
          <cell r="E26006" t="str">
            <v>Community School</v>
          </cell>
          <cell r="F26006" t="str">
            <v>Primary</v>
          </cell>
        </row>
        <row r="26007">
          <cell r="A26007">
            <v>8012074</v>
          </cell>
          <cell r="B26007">
            <v>108961</v>
          </cell>
          <cell r="C26007" t="str">
            <v>Sefton Park Junior School</v>
          </cell>
          <cell r="D26007" t="str">
            <v>Bristol City of</v>
          </cell>
          <cell r="E26007" t="str">
            <v>Community School</v>
          </cell>
          <cell r="F26007" t="str">
            <v>Primary</v>
          </cell>
        </row>
        <row r="26008">
          <cell r="A26008">
            <v>8726231</v>
          </cell>
          <cell r="B26008">
            <v>135693</v>
          </cell>
          <cell r="C26008" t="str">
            <v>Sefton Park Primary - Reading</v>
          </cell>
          <cell r="D26008" t="str">
            <v>Wokingham</v>
          </cell>
          <cell r="E26008" t="str">
            <v>Other Independent School</v>
          </cell>
          <cell r="F26008" t="str">
            <v>Not applicable</v>
          </cell>
        </row>
        <row r="26009">
          <cell r="A26009">
            <v>8256037</v>
          </cell>
          <cell r="B26009">
            <v>134467</v>
          </cell>
          <cell r="C26009" t="str">
            <v>Sefton Park School</v>
          </cell>
          <cell r="D26009" t="str">
            <v>Buckinghamshire</v>
          </cell>
          <cell r="E26009" t="str">
            <v>Other Independent School</v>
          </cell>
          <cell r="F26009" t="str">
            <v>Not applicable</v>
          </cell>
        </row>
        <row r="26010">
          <cell r="A26010">
            <v>3416044</v>
          </cell>
          <cell r="B26010">
            <v>131826</v>
          </cell>
          <cell r="C26010" t="str">
            <v>Sefton View Children's Home and School</v>
          </cell>
          <cell r="D26010" t="str">
            <v>Liverpool</v>
          </cell>
          <cell r="E26010" t="str">
            <v>Other Independent School</v>
          </cell>
          <cell r="F26010" t="str">
            <v>Not applicable</v>
          </cell>
        </row>
        <row r="26011">
          <cell r="A26011">
            <v>9292232</v>
          </cell>
          <cell r="B26011">
            <v>122225</v>
          </cell>
          <cell r="C26011" t="str">
            <v>Seghill First School</v>
          </cell>
          <cell r="D26011" t="str">
            <v>Northumberland</v>
          </cell>
          <cell r="E26011" t="str">
            <v>Community School</v>
          </cell>
          <cell r="F26011" t="str">
            <v>Primary</v>
          </cell>
        </row>
        <row r="26012">
          <cell r="A26012">
            <v>8696011</v>
          </cell>
          <cell r="B26012">
            <v>110173</v>
          </cell>
          <cell r="C26012" t="str">
            <v>Sek International School</v>
          </cell>
          <cell r="D26012" t="str">
            <v>West Berkshire</v>
          </cell>
          <cell r="E26012" t="str">
            <v>Other Independent School</v>
          </cell>
          <cell r="F26012" t="str">
            <v>Not applicable</v>
          </cell>
        </row>
        <row r="26013">
          <cell r="A26013">
            <v>7022079</v>
          </cell>
          <cell r="B26013">
            <v>133011</v>
          </cell>
          <cell r="C26013" t="str">
            <v>Sek Kong School</v>
          </cell>
          <cell r="D26013" t="str">
            <v>BFPO Overseas Establishments</v>
          </cell>
          <cell r="E26013" t="str">
            <v>Service Childrens Education</v>
          </cell>
          <cell r="F26013" t="str">
            <v>Not applicable</v>
          </cell>
        </row>
        <row r="26014">
          <cell r="A26014">
            <v>8933097</v>
          </cell>
          <cell r="B26014">
            <v>123499</v>
          </cell>
          <cell r="C26014" t="str">
            <v>Selattyn CofE Primary School</v>
          </cell>
          <cell r="D26014" t="str">
            <v>Shropshire</v>
          </cell>
          <cell r="E26014" t="str">
            <v>Voluntary Controlled School</v>
          </cell>
          <cell r="F26014" t="str">
            <v>Primary</v>
          </cell>
        </row>
        <row r="26015">
          <cell r="A26015">
            <v>8503660</v>
          </cell>
          <cell r="B26015">
            <v>116399</v>
          </cell>
          <cell r="C26015" t="str">
            <v>Selborne Church of England Primary School</v>
          </cell>
          <cell r="D26015" t="str">
            <v>Hampshire</v>
          </cell>
          <cell r="E26015" t="str">
            <v>Voluntary Aided School</v>
          </cell>
          <cell r="F26015" t="str">
            <v>Primary</v>
          </cell>
        </row>
        <row r="26016">
          <cell r="A26016">
            <v>9016047</v>
          </cell>
          <cell r="B26016">
            <v>128239</v>
          </cell>
          <cell r="C26016" t="str">
            <v>Selborne House School</v>
          </cell>
          <cell r="D26016" t="str">
            <v>Pre LGR (1996) Avon</v>
          </cell>
          <cell r="E26016" t="str">
            <v>Other Independent School</v>
          </cell>
          <cell r="F26016" t="str">
            <v>Not applicable</v>
          </cell>
        </row>
        <row r="26017">
          <cell r="A26017">
            <v>3072125</v>
          </cell>
          <cell r="B26017">
            <v>101886</v>
          </cell>
          <cell r="C26017" t="str">
            <v>Selborne Primary School</v>
          </cell>
          <cell r="D26017" t="str">
            <v>Ealing</v>
          </cell>
          <cell r="E26017" t="str">
            <v>Community School</v>
          </cell>
          <cell r="F26017" t="str">
            <v>Primary</v>
          </cell>
        </row>
        <row r="26018">
          <cell r="A26018">
            <v>8153268</v>
          </cell>
          <cell r="B26018">
            <v>121586</v>
          </cell>
          <cell r="C26018" t="str">
            <v>Selby Abbey Church of England Voluntary Controlled Primary School</v>
          </cell>
          <cell r="D26018" t="str">
            <v>North Yorkshire</v>
          </cell>
          <cell r="E26018" t="str">
            <v>Voluntary Controlled School</v>
          </cell>
          <cell r="F26018" t="str">
            <v>Primary</v>
          </cell>
        </row>
        <row r="26019">
          <cell r="A26019">
            <v>8158010</v>
          </cell>
          <cell r="B26019">
            <v>130592</v>
          </cell>
          <cell r="C26019" t="str">
            <v>Selby College</v>
          </cell>
          <cell r="D26019" t="str">
            <v>North Yorkshire</v>
          </cell>
          <cell r="E26019" t="str">
            <v>Further Education</v>
          </cell>
          <cell r="F26019" t="str">
            <v>16 Plus</v>
          </cell>
        </row>
        <row r="26020">
          <cell r="A26020">
            <v>8152351</v>
          </cell>
          <cell r="B26020">
            <v>121414</v>
          </cell>
          <cell r="C26020" t="str">
            <v>Selby Community Primary School</v>
          </cell>
          <cell r="D26020" t="str">
            <v>North Yorkshire</v>
          </cell>
          <cell r="E26020" t="str">
            <v>Community School</v>
          </cell>
          <cell r="F26020" t="str">
            <v>Primary</v>
          </cell>
        </row>
        <row r="26021">
          <cell r="A26021">
            <v>8154225</v>
          </cell>
          <cell r="B26021">
            <v>121702</v>
          </cell>
          <cell r="C26021" t="str">
            <v>Selby High School Specialist School for the Arts and Science</v>
          </cell>
          <cell r="D26021" t="str">
            <v>North Yorkshire</v>
          </cell>
          <cell r="E26021" t="str">
            <v>Community School</v>
          </cell>
          <cell r="F26021" t="str">
            <v>Secondary</v>
          </cell>
        </row>
        <row r="26022">
          <cell r="A26022">
            <v>8152418</v>
          </cell>
          <cell r="B26022">
            <v>121460</v>
          </cell>
          <cell r="C26022" t="str">
            <v>Selby, Longman's Hill Community Primary School</v>
          </cell>
          <cell r="D26022" t="str">
            <v>North Yorkshire</v>
          </cell>
          <cell r="E26022" t="str">
            <v>Community School</v>
          </cell>
          <cell r="F26022" t="str">
            <v>Primary</v>
          </cell>
        </row>
        <row r="26023">
          <cell r="A26023">
            <v>3064018</v>
          </cell>
          <cell r="B26023">
            <v>126813</v>
          </cell>
          <cell r="C26023" t="str">
            <v>Selhurst Boys' High School</v>
          </cell>
          <cell r="D26023" t="str">
            <v>Croydon</v>
          </cell>
          <cell r="E26023" t="str">
            <v>Community School</v>
          </cell>
          <cell r="F26023" t="str">
            <v>Secondary</v>
          </cell>
        </row>
        <row r="26024">
          <cell r="A26024">
            <v>3061005</v>
          </cell>
          <cell r="B26024">
            <v>131724</v>
          </cell>
          <cell r="C26024" t="str">
            <v>Selhurst Early Years Centre</v>
          </cell>
          <cell r="D26024" t="str">
            <v>Croydon</v>
          </cell>
          <cell r="E26024" t="str">
            <v>LA Nursery School</v>
          </cell>
          <cell r="F26024" t="str">
            <v>Nursery</v>
          </cell>
        </row>
        <row r="26025">
          <cell r="A26025">
            <v>3064019</v>
          </cell>
          <cell r="B26025">
            <v>126814</v>
          </cell>
          <cell r="C26025" t="str">
            <v>Selhurst Girls' High School</v>
          </cell>
          <cell r="D26025" t="str">
            <v>Croydon</v>
          </cell>
          <cell r="E26025" t="str">
            <v>Community School</v>
          </cell>
          <cell r="F26025" t="str">
            <v>Secondary</v>
          </cell>
        </row>
        <row r="26026">
          <cell r="A26026">
            <v>3064008</v>
          </cell>
          <cell r="B26026">
            <v>101804</v>
          </cell>
          <cell r="C26026" t="str">
            <v>Selhurst Mathematics and Computing Specialist School</v>
          </cell>
          <cell r="D26026" t="str">
            <v>Croydon</v>
          </cell>
          <cell r="E26026" t="str">
            <v>Community School</v>
          </cell>
          <cell r="F26026" t="str">
            <v>Secondary</v>
          </cell>
        </row>
        <row r="26027">
          <cell r="A26027">
            <v>3416002</v>
          </cell>
          <cell r="B26027">
            <v>135924</v>
          </cell>
          <cell r="C26027" t="str">
            <v>Selkirk Independent School</v>
          </cell>
          <cell r="D26027" t="str">
            <v>Liverpool</v>
          </cell>
          <cell r="E26027" t="str">
            <v>Other Independent Special School</v>
          </cell>
          <cell r="F26027" t="str">
            <v>Not applicable</v>
          </cell>
        </row>
        <row r="26028">
          <cell r="A26028">
            <v>8461103</v>
          </cell>
          <cell r="B26028">
            <v>114355</v>
          </cell>
          <cell r="C26028" t="str">
            <v>Sellaby House</v>
          </cell>
          <cell r="D26028" t="str">
            <v>Brighton and Hove</v>
          </cell>
          <cell r="E26028" t="str">
            <v>Pupil Referral Unit</v>
          </cell>
          <cell r="F26028" t="str">
            <v>PRU</v>
          </cell>
        </row>
        <row r="26029">
          <cell r="A26029">
            <v>2122542</v>
          </cell>
          <cell r="B26029">
            <v>126686</v>
          </cell>
          <cell r="C26029" t="str">
            <v>Sellincourt Infant School</v>
          </cell>
          <cell r="D26029" t="str">
            <v>Wandsworth</v>
          </cell>
          <cell r="E26029" t="str">
            <v>Community School</v>
          </cell>
          <cell r="F26029" t="str">
            <v>Primary</v>
          </cell>
        </row>
        <row r="26030">
          <cell r="A26030">
            <v>2122541</v>
          </cell>
          <cell r="B26030">
            <v>101019</v>
          </cell>
          <cell r="C26030" t="str">
            <v>Sellincourt Primary School</v>
          </cell>
          <cell r="D26030" t="str">
            <v>Wandsworth</v>
          </cell>
          <cell r="E26030" t="str">
            <v>Community School</v>
          </cell>
          <cell r="F26030" t="str">
            <v>Primary</v>
          </cell>
        </row>
        <row r="26031">
          <cell r="A26031">
            <v>8862300</v>
          </cell>
          <cell r="B26031">
            <v>118387</v>
          </cell>
          <cell r="C26031" t="str">
            <v>Sellindge Primary School</v>
          </cell>
          <cell r="D26031" t="str">
            <v>Kent</v>
          </cell>
          <cell r="E26031" t="str">
            <v>Community School</v>
          </cell>
          <cell r="F26031" t="str">
            <v>Primary</v>
          </cell>
        </row>
        <row r="26032">
          <cell r="A26032">
            <v>8863112</v>
          </cell>
          <cell r="B26032">
            <v>118650</v>
          </cell>
          <cell r="C26032" t="str">
            <v>Selling Church of England Primary School</v>
          </cell>
          <cell r="D26032" t="str">
            <v>Kent</v>
          </cell>
          <cell r="E26032" t="str">
            <v>Voluntary Controlled School</v>
          </cell>
          <cell r="F26032" t="str">
            <v>Primary</v>
          </cell>
        </row>
        <row r="26033">
          <cell r="A26033">
            <v>8863112</v>
          </cell>
          <cell r="B26033">
            <v>137481</v>
          </cell>
          <cell r="C26033" t="str">
            <v>Selling Church of England Primary School</v>
          </cell>
          <cell r="D26033" t="str">
            <v>Kent</v>
          </cell>
          <cell r="E26033" t="str">
            <v>Academy Converters</v>
          </cell>
          <cell r="F26033" t="str">
            <v>Primary</v>
          </cell>
        </row>
        <row r="26034">
          <cell r="A26034">
            <v>3301801</v>
          </cell>
          <cell r="B26034">
            <v>103149</v>
          </cell>
          <cell r="C26034" t="str">
            <v>Selly Oak Nursery School</v>
          </cell>
          <cell r="D26034" t="str">
            <v>Birmingham</v>
          </cell>
          <cell r="E26034" t="str">
            <v>Miscellaneous</v>
          </cell>
          <cell r="F26034" t="str">
            <v>Nursery</v>
          </cell>
        </row>
        <row r="26035">
          <cell r="A26035">
            <v>3307033</v>
          </cell>
          <cell r="B26035">
            <v>103613</v>
          </cell>
          <cell r="C26035" t="str">
            <v>Selly Oak Trust School</v>
          </cell>
          <cell r="D26035" t="str">
            <v>Birmingham</v>
          </cell>
          <cell r="E26035" t="str">
            <v>Foundation Special School</v>
          </cell>
          <cell r="F26035" t="str">
            <v>Special</v>
          </cell>
        </row>
        <row r="26036">
          <cell r="A26036">
            <v>3304177</v>
          </cell>
          <cell r="B26036">
            <v>103498</v>
          </cell>
          <cell r="C26036" t="str">
            <v>Selly Park Technology College for Girls</v>
          </cell>
          <cell r="D26036" t="str">
            <v>Birmingham</v>
          </cell>
          <cell r="E26036" t="str">
            <v>Community School</v>
          </cell>
          <cell r="F26036" t="str">
            <v>Secondary</v>
          </cell>
        </row>
        <row r="26037">
          <cell r="A26037">
            <v>3064033</v>
          </cell>
          <cell r="B26037">
            <v>101807</v>
          </cell>
          <cell r="C26037" t="str">
            <v>Selsdon High School</v>
          </cell>
          <cell r="D26037" t="str">
            <v>Croydon</v>
          </cell>
          <cell r="E26037" t="str">
            <v>Community School</v>
          </cell>
          <cell r="F26037" t="str">
            <v>Secondary</v>
          </cell>
        </row>
        <row r="26038">
          <cell r="A26038">
            <v>3065200</v>
          </cell>
          <cell r="B26038">
            <v>101815</v>
          </cell>
          <cell r="C26038" t="str">
            <v>Selsdon Primary and Nursery School</v>
          </cell>
          <cell r="D26038" t="str">
            <v>Croydon</v>
          </cell>
          <cell r="E26038" t="str">
            <v>Foundation School</v>
          </cell>
          <cell r="F26038" t="str">
            <v>Primary</v>
          </cell>
        </row>
        <row r="26039">
          <cell r="A26039">
            <v>9093373</v>
          </cell>
          <cell r="B26039">
            <v>112327</v>
          </cell>
          <cell r="C26039" t="str">
            <v>Selside Endowed CofE Primary School</v>
          </cell>
          <cell r="D26039" t="str">
            <v>Cumbria</v>
          </cell>
          <cell r="E26039" t="str">
            <v>Voluntary Aided School</v>
          </cell>
          <cell r="F26039" t="str">
            <v>Primary</v>
          </cell>
        </row>
        <row r="26040">
          <cell r="A26040">
            <v>8863160</v>
          </cell>
          <cell r="B26040">
            <v>118683</v>
          </cell>
          <cell r="C26040" t="str">
            <v>Selsted Church of England Primary School</v>
          </cell>
          <cell r="D26040" t="str">
            <v>Kent</v>
          </cell>
          <cell r="E26040" t="str">
            <v>Voluntary Controlled School</v>
          </cell>
          <cell r="F26040" t="str">
            <v>Primary</v>
          </cell>
        </row>
        <row r="26041">
          <cell r="A26041">
            <v>8914230</v>
          </cell>
          <cell r="B26041">
            <v>122857</v>
          </cell>
          <cell r="C26041" t="str">
            <v>Selston Arts and Community College</v>
          </cell>
          <cell r="D26041" t="str">
            <v>Nottinghamshire</v>
          </cell>
          <cell r="E26041" t="str">
            <v>Community School</v>
          </cell>
          <cell r="F26041" t="str">
            <v>Secondary</v>
          </cell>
        </row>
        <row r="26042">
          <cell r="A26042">
            <v>8913031</v>
          </cell>
          <cell r="B26042">
            <v>122745</v>
          </cell>
          <cell r="C26042" t="str">
            <v>Selston CofE Infant and Nursery School</v>
          </cell>
          <cell r="D26042" t="str">
            <v>Nottinghamshire</v>
          </cell>
          <cell r="E26042" t="str">
            <v>Voluntary Controlled School</v>
          </cell>
          <cell r="F26042" t="str">
            <v>Primary</v>
          </cell>
        </row>
        <row r="26043">
          <cell r="A26043">
            <v>9334552</v>
          </cell>
          <cell r="B26043">
            <v>123894</v>
          </cell>
          <cell r="C26043" t="str">
            <v>Selwood Anglican/Methodist Middle School</v>
          </cell>
          <cell r="D26043" t="str">
            <v>Somerset</v>
          </cell>
          <cell r="E26043" t="str">
            <v>Voluntary Controlled School</v>
          </cell>
          <cell r="F26043" t="str">
            <v>Middle Deemed Secondary</v>
          </cell>
        </row>
        <row r="26044">
          <cell r="A26044">
            <v>9334552</v>
          </cell>
          <cell r="B26044">
            <v>137741</v>
          </cell>
          <cell r="C26044" t="str">
            <v>Selwood Anglican/Methodist Middle School</v>
          </cell>
          <cell r="D26044" t="str">
            <v>Somerset</v>
          </cell>
          <cell r="E26044" t="str">
            <v>Academy Converters</v>
          </cell>
          <cell r="F26044" t="str">
            <v>Middle Deemed Secondary</v>
          </cell>
        </row>
        <row r="26045">
          <cell r="A26045">
            <v>9337014</v>
          </cell>
          <cell r="B26045">
            <v>123943</v>
          </cell>
          <cell r="C26045" t="str">
            <v>Selworthy Special School</v>
          </cell>
          <cell r="D26045" t="str">
            <v>Somerset</v>
          </cell>
          <cell r="E26045" t="str">
            <v>Community Special School</v>
          </cell>
          <cell r="F26045" t="str">
            <v>Special</v>
          </cell>
        </row>
        <row r="26046">
          <cell r="A26046">
            <v>3162082</v>
          </cell>
          <cell r="B26046">
            <v>126994</v>
          </cell>
          <cell r="C26046" t="str">
            <v>Selwyn Infant School</v>
          </cell>
          <cell r="D26046" t="str">
            <v>Newham</v>
          </cell>
          <cell r="E26046" t="str">
            <v>Community School</v>
          </cell>
          <cell r="F26046" t="str">
            <v>Primary</v>
          </cell>
        </row>
        <row r="26047">
          <cell r="A26047">
            <v>3202044</v>
          </cell>
          <cell r="B26047">
            <v>103058</v>
          </cell>
          <cell r="C26047" t="str">
            <v>Selwyn Infants' School</v>
          </cell>
          <cell r="D26047" t="str">
            <v>Waltham Forest</v>
          </cell>
          <cell r="E26047" t="str">
            <v>Community School</v>
          </cell>
          <cell r="F26047" t="str">
            <v>Primary</v>
          </cell>
        </row>
        <row r="26048">
          <cell r="A26048">
            <v>3162081</v>
          </cell>
          <cell r="B26048">
            <v>102754</v>
          </cell>
          <cell r="C26048" t="str">
            <v>Selwyn Primary School</v>
          </cell>
          <cell r="D26048" t="str">
            <v>Newham</v>
          </cell>
          <cell r="E26048" t="str">
            <v>Community School</v>
          </cell>
          <cell r="F26048" t="str">
            <v>Primary</v>
          </cell>
        </row>
        <row r="26049">
          <cell r="A26049">
            <v>3202042</v>
          </cell>
          <cell r="B26049">
            <v>103057</v>
          </cell>
          <cell r="C26049" t="str">
            <v>Selwyn Primary School</v>
          </cell>
          <cell r="D26049" t="str">
            <v>Waltham Forest</v>
          </cell>
          <cell r="E26049" t="str">
            <v>Community School</v>
          </cell>
          <cell r="F26049" t="str">
            <v>Primary</v>
          </cell>
        </row>
        <row r="26050">
          <cell r="A26050">
            <v>3203310</v>
          </cell>
          <cell r="B26050">
            <v>135124</v>
          </cell>
          <cell r="C26050" t="str">
            <v>Selwyn Primary School</v>
          </cell>
          <cell r="D26050" t="str">
            <v>Waltham Forest</v>
          </cell>
          <cell r="E26050" t="str">
            <v>Community School</v>
          </cell>
          <cell r="F26050" t="str">
            <v>Primary</v>
          </cell>
        </row>
        <row r="26051">
          <cell r="A26051">
            <v>9166007</v>
          </cell>
          <cell r="B26051">
            <v>115781</v>
          </cell>
          <cell r="C26051" t="str">
            <v>Selwyn School</v>
          </cell>
          <cell r="D26051" t="str">
            <v>Gloucestershire</v>
          </cell>
          <cell r="E26051" t="str">
            <v>Other Independent School</v>
          </cell>
          <cell r="F26051" t="str">
            <v>Not applicable</v>
          </cell>
        </row>
        <row r="26052">
          <cell r="A26052">
            <v>8653454</v>
          </cell>
          <cell r="B26052">
            <v>126439</v>
          </cell>
          <cell r="C26052" t="str">
            <v>Semley Church of England Voluntary Aided Primary School</v>
          </cell>
          <cell r="D26052" t="str">
            <v>Wiltshire</v>
          </cell>
          <cell r="E26052" t="str">
            <v>Voluntary Aided School</v>
          </cell>
          <cell r="F26052" t="str">
            <v>Primary</v>
          </cell>
        </row>
        <row r="26053">
          <cell r="A26053">
            <v>8865415</v>
          </cell>
          <cell r="B26053">
            <v>118887</v>
          </cell>
          <cell r="C26053" t="str">
            <v>Senacre Technology College</v>
          </cell>
          <cell r="D26053" t="str">
            <v>Kent</v>
          </cell>
          <cell r="E26053" t="str">
            <v>Foundation School</v>
          </cell>
          <cell r="F26053" t="str">
            <v>Secondary</v>
          </cell>
        </row>
        <row r="26054">
          <cell r="A26054">
            <v>8862586</v>
          </cell>
          <cell r="B26054">
            <v>118526</v>
          </cell>
          <cell r="C26054" t="str">
            <v>Senacre Wood Primary School</v>
          </cell>
          <cell r="D26054" t="str">
            <v>Kent</v>
          </cell>
          <cell r="E26054" t="str">
            <v>Community School</v>
          </cell>
          <cell r="F26054" t="str">
            <v>Primary</v>
          </cell>
        </row>
        <row r="26055">
          <cell r="A26055">
            <v>9365203</v>
          </cell>
          <cell r="B26055">
            <v>125285</v>
          </cell>
          <cell r="C26055" t="str">
            <v>Send CofE First School</v>
          </cell>
          <cell r="D26055" t="str">
            <v>Surrey</v>
          </cell>
          <cell r="E26055" t="str">
            <v>Foundation School</v>
          </cell>
          <cell r="F26055" t="str">
            <v>Primary</v>
          </cell>
        </row>
        <row r="26056">
          <cell r="A26056">
            <v>3921103</v>
          </cell>
          <cell r="B26056">
            <v>108568</v>
          </cell>
          <cell r="C26056" t="str">
            <v>Senior Tutorial Centre</v>
          </cell>
          <cell r="D26056" t="str">
            <v>North Tyneside</v>
          </cell>
          <cell r="E26056" t="str">
            <v>Pupil Referral Unit</v>
          </cell>
          <cell r="F26056" t="str">
            <v>PRU</v>
          </cell>
        </row>
        <row r="26057">
          <cell r="A26057">
            <v>9261105</v>
          </cell>
          <cell r="B26057">
            <v>120773</v>
          </cell>
          <cell r="C26057" t="str">
            <v>Senior Tutorial Centre</v>
          </cell>
          <cell r="D26057" t="str">
            <v>Norfolk</v>
          </cell>
          <cell r="E26057" t="str">
            <v>Pupil Referral Unit</v>
          </cell>
          <cell r="F26057" t="str">
            <v>PRU</v>
          </cell>
        </row>
        <row r="26058">
          <cell r="A26058">
            <v>9261106</v>
          </cell>
          <cell r="B26058">
            <v>120774</v>
          </cell>
          <cell r="C26058" t="str">
            <v>Senior Tutorial Centre</v>
          </cell>
          <cell r="D26058" t="str">
            <v>Norfolk</v>
          </cell>
          <cell r="E26058" t="str">
            <v>Pupil Referral Unit</v>
          </cell>
          <cell r="F26058" t="str">
            <v>PRU</v>
          </cell>
        </row>
        <row r="26059">
          <cell r="A26059">
            <v>9261107</v>
          </cell>
          <cell r="B26059">
            <v>120775</v>
          </cell>
          <cell r="C26059" t="str">
            <v>Senior Tutorial Centre</v>
          </cell>
          <cell r="D26059" t="str">
            <v>Norfolk</v>
          </cell>
          <cell r="E26059" t="str">
            <v>Pupil Referral Unit</v>
          </cell>
          <cell r="F26059" t="str">
            <v>PRU</v>
          </cell>
        </row>
        <row r="26060">
          <cell r="A26060">
            <v>9082027</v>
          </cell>
          <cell r="B26060">
            <v>111804</v>
          </cell>
          <cell r="C26060" t="str">
            <v>Sennen School</v>
          </cell>
          <cell r="D26060" t="str">
            <v>Cornwall</v>
          </cell>
          <cell r="E26060" t="str">
            <v>Community School</v>
          </cell>
          <cell r="F26060" t="str">
            <v>Primary</v>
          </cell>
        </row>
        <row r="26061">
          <cell r="A26061">
            <v>6662092</v>
          </cell>
          <cell r="B26061">
            <v>400512</v>
          </cell>
          <cell r="C26061" t="str">
            <v>Sennybridge C.P. School</v>
          </cell>
          <cell r="D26061" t="str">
            <v>Powys</v>
          </cell>
          <cell r="E26061" t="str">
            <v>Welsh Establishment</v>
          </cell>
          <cell r="F26061" t="str">
            <v>Primary</v>
          </cell>
        </row>
        <row r="26062">
          <cell r="A26062">
            <v>8747904</v>
          </cell>
          <cell r="B26062">
            <v>132011</v>
          </cell>
          <cell r="C26062" t="str">
            <v>Sense East</v>
          </cell>
          <cell r="D26062" t="str">
            <v>Peterborough</v>
          </cell>
          <cell r="E26062" t="str">
            <v>Special College</v>
          </cell>
          <cell r="F26062" t="str">
            <v>16 Plus</v>
          </cell>
        </row>
        <row r="26063">
          <cell r="A26063">
            <v>8316010</v>
          </cell>
          <cell r="B26063">
            <v>136818</v>
          </cell>
          <cell r="C26063" t="str">
            <v>Serco College</v>
          </cell>
          <cell r="D26063" t="str">
            <v>Derby</v>
          </cell>
          <cell r="E26063" t="str">
            <v>Other Independent Special School</v>
          </cell>
          <cell r="F26063" t="str">
            <v>Not applicable</v>
          </cell>
        </row>
        <row r="26064">
          <cell r="A26064">
            <v>3826000</v>
          </cell>
          <cell r="B26064">
            <v>137330</v>
          </cell>
          <cell r="C26064" t="str">
            <v>Serendipity Art College</v>
          </cell>
          <cell r="D26064" t="str">
            <v>Kirklees</v>
          </cell>
          <cell r="E26064" t="str">
            <v>Other Independent School</v>
          </cell>
          <cell r="F26064" t="str">
            <v>Not applicable</v>
          </cell>
        </row>
        <row r="26065">
          <cell r="A26065">
            <v>8914420</v>
          </cell>
          <cell r="B26065">
            <v>122869</v>
          </cell>
          <cell r="C26065" t="str">
            <v>Serlby Park A 3-18 Business and Enterprise Learning Community</v>
          </cell>
          <cell r="D26065" t="str">
            <v>Nottinghamshire</v>
          </cell>
          <cell r="E26065" t="str">
            <v>Community School</v>
          </cell>
          <cell r="F26065" t="str">
            <v>Middle Deemed Secondary</v>
          </cell>
        </row>
        <row r="26066">
          <cell r="A26066">
            <v>8914002</v>
          </cell>
          <cell r="B26066">
            <v>137141</v>
          </cell>
          <cell r="C26066" t="str">
            <v>Serlby Park Academy</v>
          </cell>
          <cell r="D26066" t="str">
            <v>Nottinghamshire</v>
          </cell>
          <cell r="E26066" t="str">
            <v>Academy Sponsor Led</v>
          </cell>
          <cell r="F26066" t="str">
            <v>Middle Deemed Secondary</v>
          </cell>
        </row>
        <row r="26067">
          <cell r="A26067">
            <v>8691113</v>
          </cell>
          <cell r="B26067">
            <v>131252</v>
          </cell>
          <cell r="C26067" t="str">
            <v>Service for Alternative Curriculum 14 - 19</v>
          </cell>
          <cell r="D26067" t="str">
            <v>West Berkshire</v>
          </cell>
          <cell r="E26067" t="str">
            <v>Pupil Referral Unit</v>
          </cell>
          <cell r="F26067" t="str">
            <v>PRU</v>
          </cell>
        </row>
        <row r="26068">
          <cell r="A26068">
            <v>2073613</v>
          </cell>
          <cell r="B26068">
            <v>100500</v>
          </cell>
          <cell r="C26068" t="str">
            <v>Servite RC Primary School</v>
          </cell>
          <cell r="D26068" t="str">
            <v>Kensington and Chelsea</v>
          </cell>
          <cell r="E26068" t="str">
            <v>Voluntary Aided School</v>
          </cell>
          <cell r="F26068" t="str">
            <v>Primary</v>
          </cell>
        </row>
        <row r="26069">
          <cell r="A26069">
            <v>8153101</v>
          </cell>
          <cell r="B26069">
            <v>121514</v>
          </cell>
          <cell r="C26069" t="str">
            <v>Sessay Church of England Voluntary Controlled Primary School</v>
          </cell>
          <cell r="D26069" t="str">
            <v>North Yorkshire</v>
          </cell>
          <cell r="E26069" t="str">
            <v>Voluntary Controlled School</v>
          </cell>
          <cell r="F26069" t="str">
            <v>Primary</v>
          </cell>
        </row>
        <row r="26070">
          <cell r="A26070">
            <v>9204266</v>
          </cell>
          <cell r="B26070">
            <v>129287</v>
          </cell>
          <cell r="C26070" t="str">
            <v>Setting Dyke Junior High School</v>
          </cell>
          <cell r="D26070" t="str">
            <v>Pre LGR (1996) Humberside</v>
          </cell>
          <cell r="E26070" t="str">
            <v>Community School</v>
          </cell>
          <cell r="F26070" t="str">
            <v>Secondary</v>
          </cell>
        </row>
        <row r="26071">
          <cell r="A26071">
            <v>8153270</v>
          </cell>
          <cell r="B26071">
            <v>121587</v>
          </cell>
          <cell r="C26071" t="str">
            <v>Settle Church of England Voluntary Controlled Primary School</v>
          </cell>
          <cell r="D26071" t="str">
            <v>North Yorkshire</v>
          </cell>
          <cell r="E26071" t="str">
            <v>Voluntary Controlled School</v>
          </cell>
          <cell r="F26071" t="str">
            <v>Primary</v>
          </cell>
        </row>
        <row r="26072">
          <cell r="A26072">
            <v>8154205</v>
          </cell>
          <cell r="B26072">
            <v>121689</v>
          </cell>
          <cell r="C26072" t="str">
            <v>Settle College</v>
          </cell>
          <cell r="D26072" t="str">
            <v>North Yorkshire</v>
          </cell>
          <cell r="E26072" t="str">
            <v>Community School</v>
          </cell>
          <cell r="F26072" t="str">
            <v>Secondary</v>
          </cell>
        </row>
        <row r="26073">
          <cell r="A26073">
            <v>8154220</v>
          </cell>
          <cell r="B26073">
            <v>121698</v>
          </cell>
          <cell r="C26073" t="str">
            <v>Settle Middle School</v>
          </cell>
          <cell r="D26073" t="str">
            <v>North Yorkshire</v>
          </cell>
          <cell r="E26073" t="str">
            <v>Community School</v>
          </cell>
          <cell r="F26073" t="str">
            <v>Middle Deemed Secondary</v>
          </cell>
        </row>
        <row r="26074">
          <cell r="A26074">
            <v>9094060</v>
          </cell>
          <cell r="B26074">
            <v>112380</v>
          </cell>
          <cell r="C26074" t="str">
            <v>Settlebeck High School</v>
          </cell>
          <cell r="D26074" t="str">
            <v>Cumbria</v>
          </cell>
          <cell r="E26074" t="str">
            <v>Community School</v>
          </cell>
          <cell r="F26074" t="str">
            <v>Secondary</v>
          </cell>
        </row>
        <row r="26075">
          <cell r="A26075">
            <v>9094060</v>
          </cell>
          <cell r="B26075">
            <v>137269</v>
          </cell>
          <cell r="C26075" t="str">
            <v>Settlebeck High School</v>
          </cell>
          <cell r="D26075" t="str">
            <v>Cumbria</v>
          </cell>
          <cell r="E26075" t="str">
            <v>Academy Converters</v>
          </cell>
          <cell r="F26075" t="str">
            <v>Secondary</v>
          </cell>
        </row>
        <row r="26076">
          <cell r="A26076">
            <v>8153160</v>
          </cell>
          <cell r="B26076">
            <v>121538</v>
          </cell>
          <cell r="C26076" t="str">
            <v>Settrington All Saints' Church of England Voluntary Controlled Primary School</v>
          </cell>
          <cell r="D26076" t="str">
            <v>North Yorkshire</v>
          </cell>
          <cell r="E26076" t="str">
            <v>Voluntary Controlled School</v>
          </cell>
          <cell r="F26076" t="str">
            <v>Primary</v>
          </cell>
        </row>
        <row r="26077">
          <cell r="A26077">
            <v>8662151</v>
          </cell>
          <cell r="B26077">
            <v>126242</v>
          </cell>
          <cell r="C26077" t="str">
            <v>Seven Fields Primary School</v>
          </cell>
          <cell r="D26077" t="str">
            <v>Swindon</v>
          </cell>
          <cell r="E26077" t="str">
            <v>Community School</v>
          </cell>
          <cell r="F26077" t="str">
            <v>Primary</v>
          </cell>
        </row>
        <row r="26078">
          <cell r="A26078">
            <v>3832293</v>
          </cell>
          <cell r="B26078">
            <v>107824</v>
          </cell>
          <cell r="C26078" t="str">
            <v>Seven Hills Primary School</v>
          </cell>
          <cell r="D26078" t="str">
            <v>Leeds</v>
          </cell>
          <cell r="E26078" t="str">
            <v>Community School</v>
          </cell>
          <cell r="F26078" t="str">
            <v>Primary</v>
          </cell>
        </row>
        <row r="26079">
          <cell r="A26079">
            <v>3737043</v>
          </cell>
          <cell r="B26079">
            <v>135287</v>
          </cell>
          <cell r="C26079" t="str">
            <v>Seven Hills School</v>
          </cell>
          <cell r="D26079" t="str">
            <v>Sheffield</v>
          </cell>
          <cell r="E26079" t="str">
            <v>Community Special School</v>
          </cell>
          <cell r="F26079" t="str">
            <v>Special</v>
          </cell>
        </row>
        <row r="26080">
          <cell r="A26080">
            <v>3174032</v>
          </cell>
          <cell r="B26080">
            <v>102856</v>
          </cell>
          <cell r="C26080" t="str">
            <v>Seven Kings High School</v>
          </cell>
          <cell r="D26080" t="str">
            <v>Redbridge</v>
          </cell>
          <cell r="E26080" t="str">
            <v>Community School</v>
          </cell>
          <cell r="F26080" t="str">
            <v>Secondary</v>
          </cell>
        </row>
        <row r="26081">
          <cell r="A26081">
            <v>2112857</v>
          </cell>
          <cell r="B26081">
            <v>100931</v>
          </cell>
          <cell r="C26081" t="str">
            <v>Seven Mills Primary School</v>
          </cell>
          <cell r="D26081" t="str">
            <v>Tower Hamlets</v>
          </cell>
          <cell r="E26081" t="str">
            <v>Community School</v>
          </cell>
          <cell r="F26081" t="str">
            <v>Primary</v>
          </cell>
        </row>
        <row r="26082">
          <cell r="A26082">
            <v>3092044</v>
          </cell>
          <cell r="B26082">
            <v>102109</v>
          </cell>
          <cell r="C26082" t="str">
            <v>Seven Sisters Infant School</v>
          </cell>
          <cell r="D26082" t="str">
            <v>Haringey</v>
          </cell>
          <cell r="E26082" t="str">
            <v>Community School</v>
          </cell>
          <cell r="F26082" t="str">
            <v>Primary</v>
          </cell>
        </row>
        <row r="26083">
          <cell r="A26083">
            <v>3092043</v>
          </cell>
          <cell r="B26083">
            <v>102108</v>
          </cell>
          <cell r="C26083" t="str">
            <v>Seven Sisters Junior School</v>
          </cell>
          <cell r="D26083" t="str">
            <v>Haringey</v>
          </cell>
          <cell r="E26083" t="str">
            <v>Community School</v>
          </cell>
          <cell r="F26083" t="str">
            <v>Primary</v>
          </cell>
        </row>
      </sheetData>
      <sheetData sheetId="7">
        <row r="1">
          <cell r="A1" t="str">
            <v>LA</v>
          </cell>
          <cell r="B1" t="str">
            <v>Region</v>
          </cell>
          <cell r="C1" t="str">
            <v>Local Authority Name</v>
          </cell>
          <cell r="D1" t="str">
            <v>DCS</v>
          </cell>
          <cell r="E1" t="str">
            <v>Title</v>
          </cell>
          <cell r="F1" t="str">
            <v>Email</v>
          </cell>
          <cell r="G1" t="str">
            <v>DCS address 1</v>
          </cell>
          <cell r="H1" t="str">
            <v>DCS address 2</v>
          </cell>
          <cell r="I1" t="str">
            <v>DCS Town</v>
          </cell>
          <cell r="J1" t="str">
            <v>DCS County</v>
          </cell>
          <cell r="K1" t="str">
            <v>DCS Postcode</v>
          </cell>
        </row>
        <row r="2">
          <cell r="A2">
            <v>301</v>
          </cell>
          <cell r="B2" t="str">
            <v>London</v>
          </cell>
          <cell r="C2" t="str">
            <v>Barking and Dagenham London Borough</v>
          </cell>
          <cell r="D2" t="str">
            <v>Helen Jenner</v>
          </cell>
          <cell r="E2" t="str">
            <v>Corporate Director of Children's Services</v>
          </cell>
          <cell r="F2" t="str">
            <v>helen.jenner@lbbd.gov.uk</v>
          </cell>
          <cell r="G2" t="str">
            <v>Town Hall</v>
          </cell>
          <cell r="I2" t="str">
            <v>Barking</v>
          </cell>
          <cell r="J2" t="str">
            <v>Essex</v>
          </cell>
          <cell r="K2" t="str">
            <v>IG11 7LU</v>
          </cell>
        </row>
        <row r="3">
          <cell r="A3">
            <v>302</v>
          </cell>
          <cell r="B3" t="str">
            <v>London</v>
          </cell>
          <cell r="C3" t="str">
            <v>Barnet London Borough</v>
          </cell>
          <cell r="D3" t="str">
            <v>Kate Kennally</v>
          </cell>
          <cell r="E3" t="str">
            <v>Director of Children's Services</v>
          </cell>
          <cell r="F3" t="str">
            <v>kate.kennally@barnet.gov.uk</v>
          </cell>
          <cell r="G3" t="str">
            <v>Building 4, North London Business Park</v>
          </cell>
          <cell r="H3" t="str">
            <v>Oakleigh Road South</v>
          </cell>
          <cell r="J3" t="str">
            <v>London</v>
          </cell>
          <cell r="K3" t="str">
            <v>N11 1NP</v>
          </cell>
        </row>
        <row r="4">
          <cell r="A4">
            <v>370</v>
          </cell>
          <cell r="B4" t="str">
            <v>Yorkshire and the Humber</v>
          </cell>
          <cell r="C4" t="str">
            <v>Barnsley Council</v>
          </cell>
          <cell r="D4" t="str">
            <v>Ged Rowney</v>
          </cell>
          <cell r="E4" t="str">
            <v>Interim Executive Director for Children, Young People and Families</v>
          </cell>
          <cell r="F4" t="str">
            <v>gedrowney@barnsley.gov.uk</v>
          </cell>
          <cell r="G4" t="str">
            <v xml:space="preserve">PO Box 609 </v>
          </cell>
          <cell r="I4" t="str">
            <v>Barnsley</v>
          </cell>
          <cell r="K4" t="str">
            <v>S70 9FH</v>
          </cell>
        </row>
        <row r="5">
          <cell r="A5">
            <v>800</v>
          </cell>
          <cell r="B5" t="str">
            <v>South West</v>
          </cell>
          <cell r="C5" t="str">
            <v>Bath &amp; North East Somerset Council</v>
          </cell>
          <cell r="D5" t="str">
            <v>Ashley Ayre</v>
          </cell>
          <cell r="E5" t="str">
            <v>Strategic Director</v>
          </cell>
          <cell r="F5" t="str">
            <v>ashley_ayre@bathnes.gov.uk</v>
          </cell>
          <cell r="G5" t="str">
            <v>PO Box 25, Riverside</v>
          </cell>
          <cell r="H5" t="str">
            <v>Temple Street</v>
          </cell>
          <cell r="I5" t="str">
            <v>Keysham</v>
          </cell>
          <cell r="J5" t="str">
            <v>Bristol</v>
          </cell>
          <cell r="K5" t="str">
            <v>BS31 1DN</v>
          </cell>
        </row>
        <row r="6">
          <cell r="A6">
            <v>822</v>
          </cell>
          <cell r="B6" t="str">
            <v>East of England</v>
          </cell>
          <cell r="C6" t="str">
            <v>Bedford Borough Council</v>
          </cell>
          <cell r="D6" t="str">
            <v>Christopher Hilliard</v>
          </cell>
          <cell r="E6" t="str">
            <v>Executive Director for Children's Services, Schools &amp; Families</v>
          </cell>
          <cell r="F6" t="str">
            <v>chris.hilliard@bedford.gov.uk</v>
          </cell>
          <cell r="G6" t="str">
            <v>Town Hall</v>
          </cell>
          <cell r="H6" t="str">
            <v>St Paul's Square</v>
          </cell>
          <cell r="J6" t="str">
            <v>Bedford</v>
          </cell>
          <cell r="K6" t="str">
            <v>MK40 1SJ</v>
          </cell>
        </row>
        <row r="7">
          <cell r="A7">
            <v>303</v>
          </cell>
          <cell r="B7" t="str">
            <v>London</v>
          </cell>
          <cell r="C7" t="str">
            <v>Bexley London Borough</v>
          </cell>
          <cell r="D7" t="str">
            <v>Dr Deborah Absalom</v>
          </cell>
          <cell r="E7" t="str">
            <v xml:space="preserve">Director of Children and Young People's Services
</v>
          </cell>
          <cell r="F7" t="str">
            <v>deborah.absalom@bexley.gov.uk</v>
          </cell>
          <cell r="G7" t="str">
            <v>Hill View</v>
          </cell>
          <cell r="H7" t="str">
            <v>Hill View Drive</v>
          </cell>
          <cell r="I7" t="str">
            <v>Welling</v>
          </cell>
          <cell r="J7" t="str">
            <v>Kent</v>
          </cell>
          <cell r="K7" t="str">
            <v>DA16 3RY</v>
          </cell>
        </row>
        <row r="8">
          <cell r="A8">
            <v>330</v>
          </cell>
          <cell r="B8" t="str">
            <v>West Midlands</v>
          </cell>
          <cell r="C8" t="str">
            <v>Birmingham City Council</v>
          </cell>
          <cell r="D8" t="str">
            <v>Peter Duxbury</v>
          </cell>
          <cell r="E8" t="str">
            <v>Strategic Director, Children, Young People and Families</v>
          </cell>
          <cell r="F8" t="str">
            <v>peter.duxbury@birmingham.gov.uk</v>
          </cell>
          <cell r="G8" t="str">
            <v>Council House Extension</v>
          </cell>
          <cell r="H8" t="str">
            <v>Margaret Street</v>
          </cell>
          <cell r="I8" t="str">
            <v>Birmingham</v>
          </cell>
          <cell r="J8" t="str">
            <v>West Midlands</v>
          </cell>
          <cell r="K8" t="str">
            <v>B3 3BU</v>
          </cell>
        </row>
        <row r="9">
          <cell r="A9">
            <v>889</v>
          </cell>
          <cell r="B9" t="str">
            <v>North West</v>
          </cell>
          <cell r="C9" t="str">
            <v>Blackburn with Darwen Borough Council</v>
          </cell>
          <cell r="D9" t="str">
            <v>Gladys Rhodes OBE</v>
          </cell>
          <cell r="E9" t="str">
            <v xml:space="preserve">Strategic Director of Children's Services
</v>
          </cell>
          <cell r="F9" t="str">
            <v>gladys.rhodes@blackburn.gov.uk</v>
          </cell>
          <cell r="G9" t="str">
            <v>The Exchange</v>
          </cell>
          <cell r="H9" t="str">
            <v>Ainsworth Street</v>
          </cell>
          <cell r="I9" t="str">
            <v>Blackburn</v>
          </cell>
          <cell r="K9" t="str">
            <v>BB1 6AD</v>
          </cell>
        </row>
        <row r="10">
          <cell r="A10">
            <v>890</v>
          </cell>
          <cell r="B10" t="str">
            <v>North West</v>
          </cell>
          <cell r="C10" t="str">
            <v>Blackpool Council</v>
          </cell>
          <cell r="D10" t="str">
            <v>David Lund</v>
          </cell>
          <cell r="E10" t="str">
            <v xml:space="preserve">Executive Director of Children, Adult &amp; Family Services
</v>
          </cell>
          <cell r="F10" t="str">
            <v>exec.dcafs@blackpool.gov.uk</v>
          </cell>
          <cell r="G10" t="str">
            <v>Progress House</v>
          </cell>
          <cell r="H10" t="str">
            <v>Clifton Road</v>
          </cell>
          <cell r="I10" t="str">
            <v>Blackpool</v>
          </cell>
          <cell r="K10" t="str">
            <v>FY4 4US</v>
          </cell>
        </row>
        <row r="11">
          <cell r="A11">
            <v>350</v>
          </cell>
          <cell r="B11" t="str">
            <v>North West</v>
          </cell>
          <cell r="C11" t="str">
            <v>Bolton Council</v>
          </cell>
          <cell r="D11" t="str">
            <v>Margaret Asquith</v>
          </cell>
          <cell r="E11" t="str">
            <v>Director of Children's Services</v>
          </cell>
          <cell r="F11" t="str">
            <v>margaret.asquith@bolton.gov.uk</v>
          </cell>
          <cell r="G11" t="str">
            <v>Floor 4</v>
          </cell>
          <cell r="H11" t="str">
            <v>Paderborn House,</v>
          </cell>
          <cell r="I11" t="str">
            <v>Bolton</v>
          </cell>
          <cell r="K11" t="str">
            <v>BL1 1JW</v>
          </cell>
        </row>
        <row r="12">
          <cell r="A12">
            <v>837</v>
          </cell>
          <cell r="B12" t="str">
            <v>South West</v>
          </cell>
          <cell r="C12" t="str">
            <v>Bournemouth Borough Council</v>
          </cell>
          <cell r="D12" t="str">
            <v>Jane Portman</v>
          </cell>
          <cell r="E12" t="str">
            <v>Executive Director, Children &amp; Families Service</v>
          </cell>
          <cell r="F12" t="str">
            <v>Jane.Portman@bournemouth.gov.uk</v>
          </cell>
          <cell r="G12" t="str">
            <v>Town Hall</v>
          </cell>
          <cell r="H12" t="str">
            <v>Bourne Avenue</v>
          </cell>
          <cell r="I12" t="str">
            <v>Bournemouth</v>
          </cell>
          <cell r="K12" t="str">
            <v>BH2 6DL</v>
          </cell>
        </row>
        <row r="13">
          <cell r="A13">
            <v>867</v>
          </cell>
          <cell r="B13" t="str">
            <v>South East</v>
          </cell>
          <cell r="C13" t="str">
            <v>Bracknell Forest Borough Council</v>
          </cell>
          <cell r="D13" t="str">
            <v>Dr Janette Karklins</v>
          </cell>
          <cell r="E13" t="str">
            <v xml:space="preserve">Director of Children, Young People and Learning
</v>
          </cell>
          <cell r="F13" t="str">
            <v>janette.karklins@bracknell-forest.gov.uk</v>
          </cell>
          <cell r="G13" t="str">
            <v>Seymour House</v>
          </cell>
          <cell r="H13" t="str">
            <v>38 Broadway</v>
          </cell>
          <cell r="I13" t="str">
            <v>Bracknell</v>
          </cell>
          <cell r="J13" t="str">
            <v>Berkshire</v>
          </cell>
          <cell r="K13" t="str">
            <v>RG12 1AU</v>
          </cell>
        </row>
        <row r="14">
          <cell r="A14">
            <v>380</v>
          </cell>
          <cell r="B14" t="str">
            <v>Yorkshire and the Humber</v>
          </cell>
          <cell r="C14" t="str">
            <v>Bradford Metropolitan District Council</v>
          </cell>
          <cell r="D14" t="str">
            <v>Kath Tunstall</v>
          </cell>
          <cell r="E14" t="str">
            <v>Strategic Director - Services to Children &amp; Young People</v>
          </cell>
          <cell r="F14" t="str">
            <v>kath.tunstall@bradford.gov.uk</v>
          </cell>
          <cell r="G14" t="str">
            <v>Room 202</v>
          </cell>
          <cell r="H14" t="str">
            <v>City Hall</v>
          </cell>
          <cell r="I14" t="str">
            <v>Bradford</v>
          </cell>
          <cell r="K14" t="str">
            <v>BD1 1HT</v>
          </cell>
        </row>
        <row r="15">
          <cell r="A15">
            <v>304</v>
          </cell>
          <cell r="B15" t="str">
            <v>London</v>
          </cell>
          <cell r="C15" t="str">
            <v>Brent London Borough</v>
          </cell>
          <cell r="D15" t="str">
            <v>Krutika Pau</v>
          </cell>
          <cell r="E15" t="str">
            <v>Director of Children &amp; Families</v>
          </cell>
          <cell r="F15" t="str">
            <v>krutika.pau@brent.gov.uk</v>
          </cell>
          <cell r="G15" t="str">
            <v>Chesterfield House</v>
          </cell>
          <cell r="H15" t="str">
            <v>9 Park Lane</v>
          </cell>
          <cell r="I15" t="str">
            <v>Wembley</v>
          </cell>
          <cell r="J15" t="str">
            <v>Middlesex</v>
          </cell>
          <cell r="K15" t="str">
            <v>HA9 7RW</v>
          </cell>
        </row>
        <row r="16">
          <cell r="A16">
            <v>846</v>
          </cell>
          <cell r="B16" t="str">
            <v>South East</v>
          </cell>
          <cell r="C16" t="str">
            <v>Brighton &amp; Hove City Council</v>
          </cell>
          <cell r="D16" t="str">
            <v>Terry Parkin</v>
          </cell>
          <cell r="E16" t="str">
            <v>Strategic Director - People</v>
          </cell>
          <cell r="F16" t="str">
            <v>terry.parkin@brighton-hove.gov.uk</v>
          </cell>
          <cell r="G16" t="str">
            <v>Kings House</v>
          </cell>
          <cell r="H16" t="str">
            <v>Grand Avenue</v>
          </cell>
          <cell r="I16" t="str">
            <v xml:space="preserve">Hove </v>
          </cell>
          <cell r="J16" t="str">
            <v>Brighton &amp; Hove</v>
          </cell>
          <cell r="K16" t="str">
            <v>BN3 2SU</v>
          </cell>
        </row>
        <row r="17">
          <cell r="A17">
            <v>801</v>
          </cell>
          <cell r="B17" t="str">
            <v>South West</v>
          </cell>
          <cell r="C17" t="str">
            <v>Bristol City Council</v>
          </cell>
          <cell r="D17" t="str">
            <v>Annie Hudson</v>
          </cell>
          <cell r="E17" t="str">
            <v>Strategic Director: Children &amp; Young People's Services</v>
          </cell>
          <cell r="F17" t="str">
            <v>annie.hudson@bristol.gov.uk</v>
          </cell>
          <cell r="G17" t="str">
            <v>PO Box 57, The Council House</v>
          </cell>
          <cell r="H17" t="str">
            <v>College Green</v>
          </cell>
          <cell r="I17" t="str">
            <v>Bristol</v>
          </cell>
          <cell r="K17" t="str">
            <v>BS99 7EB</v>
          </cell>
        </row>
        <row r="18">
          <cell r="A18">
            <v>305</v>
          </cell>
          <cell r="B18" t="str">
            <v>London</v>
          </cell>
          <cell r="C18" t="str">
            <v>Bromley London Borough</v>
          </cell>
          <cell r="D18" t="str">
            <v>Gillian Pearson</v>
          </cell>
          <cell r="E18" t="str">
            <v>Director of Children &amp; Young People Services</v>
          </cell>
          <cell r="F18" t="str">
            <v>gillian.pearson@bromley.gov.uk</v>
          </cell>
          <cell r="G18" t="str">
            <v>Bromley Civic Centre</v>
          </cell>
          <cell r="H18" t="str">
            <v>Stockwell Close</v>
          </cell>
          <cell r="I18" t="str">
            <v>Bromley</v>
          </cell>
          <cell r="J18" t="str">
            <v>Kent</v>
          </cell>
          <cell r="K18" t="str">
            <v>BR1 3UH</v>
          </cell>
        </row>
        <row r="19">
          <cell r="A19">
            <v>825</v>
          </cell>
          <cell r="B19" t="str">
            <v>South East</v>
          </cell>
          <cell r="C19" t="str">
            <v>Buckinghamshire County Council</v>
          </cell>
          <cell r="D19" t="str">
            <v>Sue Imbriano</v>
          </cell>
          <cell r="E19" t="str">
            <v xml:space="preserve">Strategic Director Children and Young People’s Services
</v>
          </cell>
          <cell r="F19" t="str">
            <v>simbriano@buckscc.gov.uk</v>
          </cell>
          <cell r="G19" t="str">
            <v xml:space="preserve">County Hall </v>
          </cell>
          <cell r="H19" t="str">
            <v>Walton Street</v>
          </cell>
          <cell r="I19" t="str">
            <v>Aylesbury</v>
          </cell>
          <cell r="J19" t="str">
            <v>Buckinghamshire</v>
          </cell>
          <cell r="K19" t="str">
            <v>HP20 1UA</v>
          </cell>
        </row>
        <row r="20">
          <cell r="A20">
            <v>351</v>
          </cell>
          <cell r="B20" t="str">
            <v>North West</v>
          </cell>
          <cell r="C20" t="str">
            <v>Bury Metropolitan Borough Council</v>
          </cell>
          <cell r="D20" t="str">
            <v>Mark Carriline</v>
          </cell>
          <cell r="E20" t="str">
            <v>Executive Director of Children's Services</v>
          </cell>
          <cell r="F20" t="str">
            <v>m.carriline@bury.gov.uk</v>
          </cell>
          <cell r="G20" t="str">
            <v>Athenaeum House</v>
          </cell>
          <cell r="H20" t="str">
            <v>Market Street</v>
          </cell>
          <cell r="I20" t="str">
            <v>Bury</v>
          </cell>
          <cell r="K20" t="str">
            <v>BL9 0BN</v>
          </cell>
        </row>
        <row r="21">
          <cell r="A21">
            <v>381</v>
          </cell>
          <cell r="B21" t="str">
            <v>Yorkshire and the Humber</v>
          </cell>
          <cell r="C21" t="str">
            <v>Calderdale Metropolitan Borough Council</v>
          </cell>
          <cell r="D21" t="str">
            <v>Janet Donaldson</v>
          </cell>
          <cell r="E21" t="str">
            <v xml:space="preserve">Director: Children and Young People's Services
</v>
          </cell>
          <cell r="F21" t="str">
            <v>janet.donaldson@calderdale.gov.uk</v>
          </cell>
          <cell r="G21" t="str">
            <v>Town Hall</v>
          </cell>
          <cell r="H21" t="str">
            <v>Crossley Street</v>
          </cell>
          <cell r="I21" t="str">
            <v>Halifax</v>
          </cell>
          <cell r="J21" t="str">
            <v>West Yorkshire</v>
          </cell>
          <cell r="K21" t="str">
            <v>HX1 1UJ</v>
          </cell>
        </row>
        <row r="22">
          <cell r="A22">
            <v>873</v>
          </cell>
          <cell r="B22" t="str">
            <v>East of England</v>
          </cell>
          <cell r="C22" t="str">
            <v>Cambridgeshire County Council</v>
          </cell>
          <cell r="D22" t="str">
            <v>Adrian Loades</v>
          </cell>
          <cell r="E22" t="str">
            <v xml:space="preserve">Executive Director: Children and Young People's Services
</v>
          </cell>
          <cell r="F22" t="str">
            <v>adrian.loades@cambridgeshire.gov.uk</v>
          </cell>
          <cell r="G22" t="str">
            <v>Shire Hall</v>
          </cell>
          <cell r="H22" t="str">
            <v>Castle Hill</v>
          </cell>
          <cell r="I22" t="str">
            <v>Cambridge</v>
          </cell>
          <cell r="K22" t="str">
            <v>CB1 0AP</v>
          </cell>
        </row>
        <row r="23">
          <cell r="A23">
            <v>202</v>
          </cell>
          <cell r="B23" t="str">
            <v>London</v>
          </cell>
          <cell r="C23" t="str">
            <v>Camden London Borough</v>
          </cell>
          <cell r="D23" t="str">
            <v>Ann Baxter</v>
          </cell>
          <cell r="E23" t="str">
            <v>Director of Children, Schools and Families</v>
          </cell>
          <cell r="F23" t="str">
            <v>ann.baxter@camden.gov.uk</v>
          </cell>
          <cell r="G23" t="str">
            <v>218 Eversholt Street</v>
          </cell>
          <cell r="J23" t="str">
            <v>London</v>
          </cell>
          <cell r="K23" t="str">
            <v>NW1 1PB</v>
          </cell>
        </row>
        <row r="24">
          <cell r="A24">
            <v>823</v>
          </cell>
          <cell r="B24" t="str">
            <v>East of England</v>
          </cell>
          <cell r="C24" t="str">
            <v>Central Bedfordshire Council</v>
          </cell>
          <cell r="D24" t="str">
            <v>Edwina Grant</v>
          </cell>
          <cell r="E24" t="str">
            <v xml:space="preserve">Director of Children, Families &amp; Learning / Deputy Chief Executive
</v>
          </cell>
          <cell r="F24" t="str">
            <v>Edwina.Grant@centralbedfordshire.gov.uk</v>
          </cell>
          <cell r="G24" t="str">
            <v>Priory House, Monks Walk</v>
          </cell>
          <cell r="H24" t="str">
            <v>Chicksands</v>
          </cell>
          <cell r="I24" t="str">
            <v>Shefford</v>
          </cell>
          <cell r="J24" t="str">
            <v>Bedfordshire</v>
          </cell>
          <cell r="K24" t="str">
            <v>SG17 5TQ</v>
          </cell>
        </row>
        <row r="25">
          <cell r="A25">
            <v>895</v>
          </cell>
          <cell r="B25" t="str">
            <v>North West</v>
          </cell>
          <cell r="C25" t="str">
            <v>Cheshire East Council</v>
          </cell>
          <cell r="D25" t="str">
            <v>Lorraine Butcher</v>
          </cell>
          <cell r="E25" t="str">
            <v xml:space="preserve">Director of Children’s Services </v>
          </cell>
          <cell r="F25" t="str">
            <v>lorraine.butcher@cheshireeast.gov.uk</v>
          </cell>
          <cell r="G25" t="str">
            <v>Westfields</v>
          </cell>
          <cell r="H25" t="str">
            <v>Middlewich Road</v>
          </cell>
          <cell r="I25" t="str">
            <v>Sandbach</v>
          </cell>
          <cell r="J25" t="str">
            <v>Cheshire</v>
          </cell>
          <cell r="K25" t="str">
            <v>CW11 1HZ</v>
          </cell>
        </row>
        <row r="26">
          <cell r="A26">
            <v>896</v>
          </cell>
          <cell r="B26" t="str">
            <v>North West</v>
          </cell>
          <cell r="C26" t="str">
            <v>Cheshire West and Chester Council</v>
          </cell>
          <cell r="D26" t="str">
            <v>Gerald Meehan</v>
          </cell>
          <cell r="E26" t="str">
            <v>Director of Children and Young People's Services</v>
          </cell>
          <cell r="F26" t="str">
            <v>gerald.meehan@cheshirewestandchester.gov.uk</v>
          </cell>
          <cell r="G26" t="str">
            <v>58 Nicholas Street</v>
          </cell>
          <cell r="H26" t="str">
            <v>Chester</v>
          </cell>
          <cell r="K26" t="str">
            <v>CH1 2NP</v>
          </cell>
        </row>
        <row r="27">
          <cell r="A27">
            <v>201</v>
          </cell>
          <cell r="B27" t="str">
            <v>London</v>
          </cell>
          <cell r="C27" t="str">
            <v>City of London</v>
          </cell>
          <cell r="D27" t="str">
            <v>Joy Hollister</v>
          </cell>
          <cell r="E27" t="str">
            <v xml:space="preserve">Director of Community and Children's Services
</v>
          </cell>
          <cell r="F27" t="str">
            <v>joy.hollister@cityoflondon.gov.uk</v>
          </cell>
          <cell r="G27" t="str">
            <v>PO Box 270</v>
          </cell>
          <cell r="H27" t="str">
            <v>Guildhall</v>
          </cell>
          <cell r="J27" t="str">
            <v>London</v>
          </cell>
          <cell r="K27" t="str">
            <v>EC2P 2EJ</v>
          </cell>
        </row>
        <row r="28">
          <cell r="A28">
            <v>816</v>
          </cell>
          <cell r="B28" t="str">
            <v>Yorkshire and the Humber</v>
          </cell>
          <cell r="C28" t="str">
            <v>City of York Council</v>
          </cell>
          <cell r="D28" t="str">
            <v>Peter Dwyer</v>
          </cell>
          <cell r="E28" t="str">
            <v>Director of Adults, Children &amp; Families</v>
          </cell>
          <cell r="F28" t="str">
            <v>peter.dwyer@york.gov.uk</v>
          </cell>
          <cell r="G28" t="str">
            <v>Mill House</v>
          </cell>
          <cell r="H28" t="str">
            <v>North Street</v>
          </cell>
          <cell r="I28" t="str">
            <v>York</v>
          </cell>
          <cell r="K28" t="str">
            <v>Y01 6JD</v>
          </cell>
        </row>
        <row r="29">
          <cell r="A29">
            <v>908</v>
          </cell>
          <cell r="B29" t="str">
            <v>South West</v>
          </cell>
          <cell r="C29" t="str">
            <v>Cornwall Council</v>
          </cell>
          <cell r="D29" t="str">
            <v>Trevor Doughty</v>
          </cell>
          <cell r="E29" t="str">
            <v xml:space="preserve">Director for Children, Schools and Families
</v>
          </cell>
          <cell r="F29" t="str">
            <v>tdoughty@cornwall.gov.uk</v>
          </cell>
          <cell r="G29" t="str">
            <v>New County Hall</v>
          </cell>
          <cell r="I29" t="str">
            <v>Truro</v>
          </cell>
          <cell r="J29" t="str">
            <v>Cornwall</v>
          </cell>
          <cell r="K29" t="str">
            <v>TR1 3AY</v>
          </cell>
        </row>
        <row r="30">
          <cell r="A30">
            <v>420</v>
          </cell>
          <cell r="B30" t="str">
            <v>South West</v>
          </cell>
          <cell r="C30" t="str">
            <v>Council of the Isles of Scilly</v>
          </cell>
          <cell r="D30" t="str">
            <v>David Goddard</v>
          </cell>
          <cell r="E30" t="str">
            <v xml:space="preserve">Director of Children's Services
</v>
          </cell>
          <cell r="F30" t="str">
            <v>DGoddard@scilly.gov.uk</v>
          </cell>
          <cell r="G30" t="str">
            <v>Carn Thomas</v>
          </cell>
          <cell r="H30" t="str">
            <v>St Mary's</v>
          </cell>
          <cell r="J30" t="str">
            <v>Isles of Scilly</v>
          </cell>
          <cell r="K30" t="str">
            <v>TR21 0PT</v>
          </cell>
        </row>
        <row r="31">
          <cell r="A31">
            <v>331</v>
          </cell>
          <cell r="B31" t="str">
            <v>West Midlands</v>
          </cell>
          <cell r="C31" t="str">
            <v>Coventry City Council</v>
          </cell>
          <cell r="D31" t="str">
            <v>Colin Green</v>
          </cell>
          <cell r="E31" t="str">
            <v>Director of Children, Learning and Young People</v>
          </cell>
          <cell r="F31" t="str">
            <v>colin.green@coventry.gov.uk</v>
          </cell>
          <cell r="G31" t="str">
            <v>Civic Centre 1</v>
          </cell>
          <cell r="H31" t="str">
            <v>Earl Street</v>
          </cell>
          <cell r="I31" t="str">
            <v>Coventry</v>
          </cell>
          <cell r="J31" t="str">
            <v>West Midlands</v>
          </cell>
          <cell r="K31" t="str">
            <v>CV1 5RS</v>
          </cell>
        </row>
        <row r="32">
          <cell r="A32">
            <v>306</v>
          </cell>
          <cell r="B32" t="str">
            <v>London</v>
          </cell>
          <cell r="C32" t="str">
            <v>Croydon London Borough</v>
          </cell>
          <cell r="D32" t="str">
            <v>Paul Greenhalgh</v>
          </cell>
          <cell r="E32" t="str">
            <v xml:space="preserve">Executive Director for Children, Young People and Learners
</v>
          </cell>
          <cell r="F32" t="str">
            <v>paul.greenhalgh@croydon.gov.uk</v>
          </cell>
          <cell r="G32" t="str">
            <v>Taberner House</v>
          </cell>
          <cell r="H32" t="str">
            <v>Park Lane</v>
          </cell>
          <cell r="I32" t="str">
            <v>Croydon</v>
          </cell>
          <cell r="J32" t="str">
            <v>Surrey</v>
          </cell>
          <cell r="K32" t="str">
            <v>CR9 1TP</v>
          </cell>
        </row>
        <row r="33">
          <cell r="A33">
            <v>909</v>
          </cell>
          <cell r="B33" t="str">
            <v>North West</v>
          </cell>
          <cell r="C33" t="str">
            <v>Cumbria County Council</v>
          </cell>
          <cell r="D33" t="str">
            <v>Julia Morrison</v>
          </cell>
          <cell r="E33" t="str">
            <v xml:space="preserve">Corporate Director of Children’s Services
</v>
          </cell>
          <cell r="F33" t="str">
            <v>julia.morrison@cumbriacc.gov.uk</v>
          </cell>
          <cell r="G33" t="str">
            <v>5 Portland Square</v>
          </cell>
          <cell r="I33" t="str">
            <v>Carlisle</v>
          </cell>
          <cell r="J33" t="str">
            <v>Cumbria</v>
          </cell>
          <cell r="K33" t="str">
            <v>CA1 1PU</v>
          </cell>
        </row>
        <row r="34">
          <cell r="A34">
            <v>841</v>
          </cell>
          <cell r="B34" t="str">
            <v>North East</v>
          </cell>
          <cell r="C34" t="str">
            <v>Darlington Borough Council</v>
          </cell>
          <cell r="D34" t="str">
            <v>Murray Rose</v>
          </cell>
          <cell r="E34" t="str">
            <v>Director of Children's Services</v>
          </cell>
          <cell r="F34" t="str">
            <v>murray.rose@darlington.gov.uk</v>
          </cell>
          <cell r="G34" t="str">
            <v>Town Hall</v>
          </cell>
          <cell r="I34" t="str">
            <v>Darlington</v>
          </cell>
          <cell r="K34" t="str">
            <v>DL1 5QT</v>
          </cell>
        </row>
        <row r="35">
          <cell r="A35">
            <v>831</v>
          </cell>
          <cell r="B35" t="str">
            <v>East Midlands</v>
          </cell>
          <cell r="C35" t="str">
            <v>Derby City Council</v>
          </cell>
          <cell r="D35" t="str">
            <v>Andrew Bunyan</v>
          </cell>
          <cell r="E35" t="str">
            <v>Strategic Director of Children &amp; Young People’s Services</v>
          </cell>
          <cell r="F35" t="str">
            <v>andrew.bunyan@derby.gov.uk</v>
          </cell>
          <cell r="G35" t="str">
            <v>Saxon House, Heritage Gate</v>
          </cell>
          <cell r="H35" t="str">
            <v>Friary Street</v>
          </cell>
          <cell r="I35" t="str">
            <v>Derby</v>
          </cell>
          <cell r="K35" t="str">
            <v>DE1 1AN</v>
          </cell>
        </row>
        <row r="36">
          <cell r="A36">
            <v>830</v>
          </cell>
          <cell r="B36" t="str">
            <v>East Midlands</v>
          </cell>
          <cell r="C36" t="str">
            <v>Derbyshire County Council</v>
          </cell>
          <cell r="D36" t="str">
            <v>Ian Thomas</v>
          </cell>
          <cell r="E36" t="str">
            <v>Strategic Director of Children and Younger Adults Services</v>
          </cell>
          <cell r="F36" t="str">
            <v>ian.thomas@derbyshire.gov.uk</v>
          </cell>
          <cell r="G36" t="str">
            <v>County Hall</v>
          </cell>
          <cell r="H36" t="str">
            <v>Smedley Street</v>
          </cell>
          <cell r="I36" t="str">
            <v>Matlock</v>
          </cell>
          <cell r="J36" t="str">
            <v>Derbyshire</v>
          </cell>
          <cell r="K36" t="str">
            <v>DE4 3AG</v>
          </cell>
        </row>
        <row r="37">
          <cell r="A37">
            <v>878</v>
          </cell>
          <cell r="B37" t="str">
            <v>South West</v>
          </cell>
          <cell r="C37" t="str">
            <v>Devon County Council</v>
          </cell>
          <cell r="D37" t="str">
            <v xml:space="preserve">Jennie Stephens
</v>
          </cell>
          <cell r="E37" t="str">
            <v xml:space="preserve">Strategic Director People
</v>
          </cell>
          <cell r="F37" t="str">
            <v>anne.whiteley@devon.gov.uk</v>
          </cell>
          <cell r="G37" t="str">
            <v>County Hall</v>
          </cell>
          <cell r="H37" t="str">
            <v xml:space="preserve">Topsham Road </v>
          </cell>
          <cell r="I37" t="str">
            <v>Exeter</v>
          </cell>
          <cell r="J37" t="str">
            <v>Devon</v>
          </cell>
          <cell r="K37" t="str">
            <v>EX2 4QG</v>
          </cell>
        </row>
        <row r="38">
          <cell r="A38">
            <v>371</v>
          </cell>
          <cell r="B38" t="str">
            <v>Yorkshire and the Humber</v>
          </cell>
          <cell r="C38" t="str">
            <v>Doncaster Metropolitan Borough Council</v>
          </cell>
          <cell r="D38" t="str">
            <v>Chris Pratt</v>
          </cell>
          <cell r="E38" t="str">
            <v>Director of Children's Services</v>
          </cell>
          <cell r="F38" t="str">
            <v>chris.pratt@doncaster.gov.uk</v>
          </cell>
          <cell r="G38" t="str">
            <v>PO Box 226</v>
          </cell>
          <cell r="H38" t="str">
            <v>The Council House</v>
          </cell>
          <cell r="I38" t="str">
            <v>Doncaster</v>
          </cell>
          <cell r="J38" t="str">
            <v>South Yorkshire</v>
          </cell>
          <cell r="K38" t="str">
            <v>DN1 1RN</v>
          </cell>
        </row>
        <row r="39">
          <cell r="A39">
            <v>835</v>
          </cell>
          <cell r="B39" t="str">
            <v>South West</v>
          </cell>
          <cell r="C39" t="str">
            <v>Dorset County Council</v>
          </cell>
          <cell r="D39" t="str">
            <v>Jackie Last</v>
          </cell>
          <cell r="E39" t="str">
            <v>Director of Children's Services</v>
          </cell>
          <cell r="F39" t="str">
            <v>j.last@dorsetcc.gov.uk</v>
          </cell>
          <cell r="G39" t="str">
            <v>County Hall</v>
          </cell>
          <cell r="I39" t="str">
            <v>Dorchester</v>
          </cell>
          <cell r="J39" t="str">
            <v>Dorset</v>
          </cell>
          <cell r="K39" t="str">
            <v>DT1 1XJ</v>
          </cell>
        </row>
        <row r="40">
          <cell r="A40">
            <v>332</v>
          </cell>
          <cell r="B40" t="str">
            <v>West Midlands</v>
          </cell>
          <cell r="C40" t="str">
            <v>Dudley Metropolitan Borough Council</v>
          </cell>
          <cell r="D40" t="str">
            <v>Mark Wyatt</v>
          </cell>
          <cell r="E40" t="str">
            <v xml:space="preserve">Director of Children's Services
</v>
          </cell>
          <cell r="F40" t="str">
            <v>mark.wyatt@dudley.gov.uk</v>
          </cell>
          <cell r="G40" t="str">
            <v>Westox House</v>
          </cell>
          <cell r="H40" t="str">
            <v>1 Trinity Road</v>
          </cell>
          <cell r="I40" t="str">
            <v>Dudley</v>
          </cell>
          <cell r="J40" t="str">
            <v>West Midlands</v>
          </cell>
          <cell r="K40" t="str">
            <v>DY1 1JQ</v>
          </cell>
        </row>
        <row r="41">
          <cell r="A41">
            <v>840</v>
          </cell>
          <cell r="B41" t="str">
            <v>North East</v>
          </cell>
          <cell r="C41" t="str">
            <v>Durham County Council</v>
          </cell>
          <cell r="D41" t="str">
            <v>David Williams</v>
          </cell>
          <cell r="E41" t="str">
            <v>Corporate Director: Children and Young People's Services</v>
          </cell>
          <cell r="F41" t="str">
            <v>d.c.williams@durham.gov.uk</v>
          </cell>
          <cell r="G41" t="str">
            <v>County Hall</v>
          </cell>
          <cell r="I41" t="str">
            <v>Durham</v>
          </cell>
          <cell r="K41" t="str">
            <v>DH1 5UJ</v>
          </cell>
        </row>
        <row r="42">
          <cell r="A42">
            <v>307</v>
          </cell>
          <cell r="B42" t="str">
            <v>London</v>
          </cell>
          <cell r="C42" t="str">
            <v>Ealing London Borough</v>
          </cell>
          <cell r="D42" t="str">
            <v>David Archibald</v>
          </cell>
          <cell r="E42" t="str">
            <v xml:space="preserve">Executive Director for Children and Adults
</v>
          </cell>
          <cell r="F42" t="str">
            <v>darchibald@ealing.gov.uk</v>
          </cell>
          <cell r="G42" t="str">
            <v>Perceval House</v>
          </cell>
          <cell r="H42" t="str">
            <v>14-16 Uxbridge Road</v>
          </cell>
          <cell r="I42" t="str">
            <v>Ealing</v>
          </cell>
          <cell r="J42" t="str">
            <v>London</v>
          </cell>
          <cell r="K42" t="str">
            <v>W5 2HL</v>
          </cell>
        </row>
        <row r="43">
          <cell r="A43">
            <v>811</v>
          </cell>
          <cell r="B43" t="str">
            <v>Yorkshire and the Humber</v>
          </cell>
          <cell r="C43" t="str">
            <v>East Riding of Yorkshire Council</v>
          </cell>
          <cell r="D43" t="str">
            <v>Alison Michalska</v>
          </cell>
          <cell r="E43" t="str">
            <v>Director for Children, Family and Adult Services</v>
          </cell>
          <cell r="F43" t="str">
            <v>alison.michalska@eastriding.gov.uk</v>
          </cell>
          <cell r="G43" t="str">
            <v>County Hall</v>
          </cell>
          <cell r="H43" t="str">
            <v>Beverley</v>
          </cell>
          <cell r="I43" t="str">
            <v>East Riding</v>
          </cell>
          <cell r="J43" t="str">
            <v>Yorkshire</v>
          </cell>
          <cell r="K43" t="str">
            <v>HU17 9BA</v>
          </cell>
        </row>
        <row r="44">
          <cell r="A44">
            <v>845</v>
          </cell>
          <cell r="B44" t="str">
            <v>South East</v>
          </cell>
          <cell r="C44" t="str">
            <v>East Sussex County Council</v>
          </cell>
          <cell r="D44" t="str">
            <v>Matt Dunkley</v>
          </cell>
          <cell r="E44" t="str">
            <v>Director of Children's Services</v>
          </cell>
          <cell r="F44" t="str">
            <v>matt.dunkley@eastsussex.gov.uk</v>
          </cell>
          <cell r="G44" t="str">
            <v>PO Box 4, County Hall</v>
          </cell>
          <cell r="H44" t="str">
            <v xml:space="preserve">St Anne's Crescent </v>
          </cell>
          <cell r="I44" t="str">
            <v>Lewes</v>
          </cell>
          <cell r="K44" t="str">
            <v>BN7 1SG</v>
          </cell>
        </row>
        <row r="45">
          <cell r="A45">
            <v>308</v>
          </cell>
          <cell r="B45" t="str">
            <v>London</v>
          </cell>
          <cell r="C45" t="str">
            <v>Enfield London Borough</v>
          </cell>
          <cell r="D45" t="str">
            <v>Andrew Fraser</v>
          </cell>
          <cell r="E45" t="str">
            <v>Director of Education Children's Services &amp; Leisure</v>
          </cell>
          <cell r="F45" t="str">
            <v>andrew.fraser@enfield.gov.uk</v>
          </cell>
          <cell r="G45" t="str">
            <v>PO Box 56, Civic Centre</v>
          </cell>
          <cell r="H45" t="str">
            <v>Silver Street</v>
          </cell>
          <cell r="I45" t="str">
            <v>Enfield</v>
          </cell>
          <cell r="J45" t="str">
            <v>Middlesex</v>
          </cell>
          <cell r="K45" t="str">
            <v>EN1 3XQ</v>
          </cell>
        </row>
        <row r="46">
          <cell r="A46">
            <v>881</v>
          </cell>
          <cell r="B46" t="str">
            <v>East of England</v>
          </cell>
          <cell r="C46" t="str">
            <v>Essex County Council</v>
          </cell>
          <cell r="D46" t="str">
            <v>Dave Hill</v>
          </cell>
          <cell r="E46" t="str">
            <v>Executive Director for Schools, Children and Families</v>
          </cell>
          <cell r="F46" t="str">
            <v>dave.hill@essex.gov.uk</v>
          </cell>
          <cell r="G46" t="str">
            <v>PO Box 11</v>
          </cell>
          <cell r="H46" t="str">
            <v>Children's Corporate Directorate</v>
          </cell>
          <cell r="I46" t="str">
            <v>Chelmsford</v>
          </cell>
          <cell r="J46" t="str">
            <v>Essex</v>
          </cell>
          <cell r="K46" t="str">
            <v>CM1 1LX</v>
          </cell>
        </row>
        <row r="47">
          <cell r="A47">
            <v>390</v>
          </cell>
          <cell r="B47" t="str">
            <v>North East</v>
          </cell>
          <cell r="C47" t="str">
            <v>Gateshead Council</v>
          </cell>
          <cell r="D47" t="str">
            <v>Margaret Whellans</v>
          </cell>
          <cell r="E47" t="str">
            <v>Group Director of Learning &amp; Children</v>
          </cell>
          <cell r="F47" t="str">
            <v>margaretwhellans@gateshead.gov.uk</v>
          </cell>
          <cell r="G47" t="str">
            <v>Civic Centre</v>
          </cell>
          <cell r="H47" t="str">
            <v>Regent Street</v>
          </cell>
          <cell r="I47" t="str">
            <v>Gateshead</v>
          </cell>
          <cell r="J47" t="str">
            <v>Tyne &amp; Wear</v>
          </cell>
          <cell r="K47" t="str">
            <v>NE8 1HH</v>
          </cell>
        </row>
        <row r="48">
          <cell r="A48">
            <v>916</v>
          </cell>
          <cell r="B48" t="str">
            <v>South West</v>
          </cell>
          <cell r="C48" t="str">
            <v>Gloucestershire County Council</v>
          </cell>
          <cell r="D48" t="str">
            <v>Linda Uren</v>
          </cell>
          <cell r="E48" t="str">
            <v>Group Director of Children and Young People's Services</v>
          </cell>
          <cell r="F48" t="str">
            <v>linda.uren@gloucestershire.gov.uk</v>
          </cell>
          <cell r="G48" t="str">
            <v>Shire Hall</v>
          </cell>
          <cell r="H48" t="str">
            <v>Westgate Street</v>
          </cell>
          <cell r="I48" t="str">
            <v>Gloucester</v>
          </cell>
          <cell r="K48" t="str">
            <v>GL1 2TR</v>
          </cell>
        </row>
        <row r="49">
          <cell r="A49">
            <v>203</v>
          </cell>
          <cell r="B49" t="str">
            <v>London</v>
          </cell>
          <cell r="C49" t="str">
            <v>Greenwich London Borough</v>
          </cell>
          <cell r="D49" t="str">
            <v>Gillian Palmer</v>
          </cell>
          <cell r="E49" t="str">
            <v>Director of Children's Services</v>
          </cell>
          <cell r="F49" t="str">
            <v>gillian.palmer@greenwich.gov.uk</v>
          </cell>
          <cell r="G49" t="str">
            <v>Riverside House</v>
          </cell>
          <cell r="H49" t="str">
            <v>Woolwich High Street</v>
          </cell>
          <cell r="I49" t="str">
            <v>Woolwich</v>
          </cell>
          <cell r="J49" t="str">
            <v>London</v>
          </cell>
          <cell r="K49" t="str">
            <v>SE18 6DF</v>
          </cell>
        </row>
        <row r="50">
          <cell r="A50">
            <v>204</v>
          </cell>
          <cell r="B50" t="str">
            <v>London</v>
          </cell>
          <cell r="C50" t="str">
            <v>Hackney London Borough</v>
          </cell>
          <cell r="D50" t="str">
            <v>Alan Wood</v>
          </cell>
          <cell r="E50" t="str">
            <v>Director of Children’s Services</v>
          </cell>
          <cell r="F50" t="str">
            <v>alan.wood@learningtrust.co.uk</v>
          </cell>
          <cell r="G50" t="str">
            <v>The Learning Trust</v>
          </cell>
          <cell r="H50" t="str">
            <v>1  Reading Lane</v>
          </cell>
          <cell r="J50" t="str">
            <v>London</v>
          </cell>
          <cell r="K50" t="str">
            <v>E8 1GQ</v>
          </cell>
        </row>
        <row r="51">
          <cell r="A51">
            <v>876</v>
          </cell>
          <cell r="B51" t="str">
            <v>North West</v>
          </cell>
          <cell r="C51" t="str">
            <v>Halton Borough Council</v>
          </cell>
          <cell r="D51" t="str">
            <v>Grald Meehan</v>
          </cell>
          <cell r="E51" t="str">
            <v>Strategic Director for Children &amp; Young People</v>
          </cell>
          <cell r="F51" t="str">
            <v>gerald.meehan@halton.gov.uk</v>
          </cell>
          <cell r="G51" t="str">
            <v>Municipal Building</v>
          </cell>
          <cell r="H51" t="str">
            <v>Kingsway</v>
          </cell>
          <cell r="I51" t="str">
            <v>Widness</v>
          </cell>
          <cell r="K51" t="str">
            <v>WA8 7QF</v>
          </cell>
        </row>
        <row r="52">
          <cell r="A52">
            <v>205</v>
          </cell>
          <cell r="B52" t="str">
            <v>London</v>
          </cell>
          <cell r="C52" t="str">
            <v>Hammersmith &amp; Fulham London Borough</v>
          </cell>
          <cell r="D52" t="str">
            <v>Andrew Christie</v>
          </cell>
          <cell r="E52" t="str">
            <v>Director of Children's Services</v>
          </cell>
          <cell r="F52" t="str">
            <v>andrew.christie@lbhf.gov.uk</v>
          </cell>
          <cell r="G52" t="str">
            <v>Hammersmith Town Hall</v>
          </cell>
          <cell r="H52" t="str">
            <v>King Street</v>
          </cell>
          <cell r="J52" t="str">
            <v>London</v>
          </cell>
          <cell r="K52" t="str">
            <v>W6 9JU</v>
          </cell>
        </row>
        <row r="53">
          <cell r="A53">
            <v>850</v>
          </cell>
          <cell r="B53" t="str">
            <v>South East</v>
          </cell>
          <cell r="C53" t="str">
            <v>Hampshire County Council</v>
          </cell>
          <cell r="D53" t="str">
            <v>John Coughlan</v>
          </cell>
          <cell r="E53" t="str">
            <v>Director of Children's Services / Deputy Chief Executive</v>
          </cell>
          <cell r="F53" t="str">
            <v>john.coughlan@hants.gov.uk</v>
          </cell>
          <cell r="G53" t="str">
            <v>2nd Floor</v>
          </cell>
          <cell r="H53" t="str">
            <v>Ashburton Court East</v>
          </cell>
          <cell r="I53" t="str">
            <v>Winchester</v>
          </cell>
          <cell r="J53" t="str">
            <v>Hampshire</v>
          </cell>
          <cell r="K53" t="str">
            <v>SO23 8UG</v>
          </cell>
        </row>
        <row r="54">
          <cell r="A54">
            <v>309</v>
          </cell>
          <cell r="B54" t="str">
            <v>London</v>
          </cell>
          <cell r="C54" t="str">
            <v>Haringey London Borough</v>
          </cell>
          <cell r="D54" t="str">
            <v xml:space="preserve">Libby Blake </v>
          </cell>
          <cell r="E54" t="str">
            <v xml:space="preserve">Director of Children's Services
</v>
          </cell>
          <cell r="F54" t="str">
            <v>libby.blake@haringey.gov.uk</v>
          </cell>
          <cell r="G54" t="str">
            <v>The Children's Service</v>
          </cell>
          <cell r="H54" t="str">
            <v>48 Station Road</v>
          </cell>
          <cell r="I54" t="str">
            <v>Wood Green</v>
          </cell>
          <cell r="J54" t="str">
            <v xml:space="preserve">London </v>
          </cell>
          <cell r="K54" t="str">
            <v>N22 7TY</v>
          </cell>
        </row>
        <row r="55">
          <cell r="A55">
            <v>310</v>
          </cell>
          <cell r="B55" t="str">
            <v>London</v>
          </cell>
          <cell r="C55" t="str">
            <v>Harrow London Borough</v>
          </cell>
          <cell r="D55" t="str">
            <v>Catherine Doran</v>
          </cell>
          <cell r="E55" t="str">
            <v xml:space="preserve">Corporate Director of Children's Services
</v>
          </cell>
          <cell r="F55" t="str">
            <v>catherine.doran@harrow.gov.uk</v>
          </cell>
          <cell r="G55" t="str">
            <v>Civic Centre</v>
          </cell>
          <cell r="H55" t="str">
            <v>Station Road</v>
          </cell>
          <cell r="I55" t="str">
            <v>Harrow</v>
          </cell>
          <cell r="J55" t="str">
            <v>Middlesex</v>
          </cell>
          <cell r="K55" t="str">
            <v>HA1 2XF</v>
          </cell>
        </row>
        <row r="56">
          <cell r="A56">
            <v>805</v>
          </cell>
          <cell r="B56" t="str">
            <v>North East</v>
          </cell>
          <cell r="C56" t="str">
            <v>Hartlepool Borough Council</v>
          </cell>
          <cell r="D56" t="str">
            <v>Nicola Bailey</v>
          </cell>
          <cell r="E56" t="str">
            <v>Director of Child and Adult Services</v>
          </cell>
          <cell r="F56" t="str">
            <v>nicola.bailey@hartlepool.gov.uk</v>
          </cell>
          <cell r="G56" t="str">
            <v>Civic Centre</v>
          </cell>
          <cell r="H56" t="str">
            <v>Victoria Road</v>
          </cell>
          <cell r="I56" t="str">
            <v>Hartlepool</v>
          </cell>
          <cell r="K56" t="str">
            <v>TS24 8AY</v>
          </cell>
        </row>
        <row r="57">
          <cell r="A57">
            <v>311</v>
          </cell>
          <cell r="B57" t="str">
            <v>London</v>
          </cell>
          <cell r="C57" t="str">
            <v>Havering London Borough</v>
          </cell>
          <cell r="D57" t="str">
            <v>Andrew Ireland</v>
          </cell>
          <cell r="E57" t="str">
            <v>Group Director Social Care and Learning</v>
          </cell>
          <cell r="F57" t="str">
            <v>andrew.ireland@havering.gov.uk</v>
          </cell>
          <cell r="G57" t="str">
            <v>Town Hall</v>
          </cell>
          <cell r="H57" t="str">
            <v>Main Road</v>
          </cell>
          <cell r="I57" t="str">
            <v>Romford</v>
          </cell>
          <cell r="J57" t="str">
            <v>Essex</v>
          </cell>
          <cell r="K57" t="str">
            <v>RM1 3BD</v>
          </cell>
        </row>
        <row r="58">
          <cell r="A58">
            <v>884</v>
          </cell>
          <cell r="B58" t="str">
            <v>West Midlands</v>
          </cell>
          <cell r="C58" t="str">
            <v>Herefordshire Council</v>
          </cell>
          <cell r="D58" t="str">
            <v>Jo Davidson</v>
          </cell>
          <cell r="E58" t="str">
            <v>Director of Children's Services</v>
          </cell>
          <cell r="F58" t="str">
            <v>jdavidson@herefordshire.gov.uk</v>
          </cell>
          <cell r="G58" t="str">
            <v>Brockington</v>
          </cell>
          <cell r="H58" t="str">
            <v>35 Hafod Road</v>
          </cell>
          <cell r="I58" t="str">
            <v>Hereford</v>
          </cell>
          <cell r="K58" t="str">
            <v>HR1 1SH</v>
          </cell>
        </row>
        <row r="59">
          <cell r="A59">
            <v>919</v>
          </cell>
          <cell r="B59" t="str">
            <v>East of England</v>
          </cell>
          <cell r="C59" t="str">
            <v>Hertfordshire County Council</v>
          </cell>
          <cell r="D59" t="str">
            <v>John Harris</v>
          </cell>
          <cell r="E59" t="str">
            <v xml:space="preserve">Director of Children, Schools &amp; Families
</v>
          </cell>
          <cell r="F59" t="str">
            <v>john.harris@hertscc.gov.uk</v>
          </cell>
          <cell r="G59" t="str">
            <v>County Hall</v>
          </cell>
          <cell r="H59" t="str">
            <v>Peg Lane</v>
          </cell>
          <cell r="I59" t="str">
            <v>Hertford</v>
          </cell>
          <cell r="K59" t="str">
            <v>SG13 8DF</v>
          </cell>
        </row>
        <row r="60">
          <cell r="A60">
            <v>312</v>
          </cell>
          <cell r="B60" t="str">
            <v>London</v>
          </cell>
          <cell r="C60" t="str">
            <v>Hillingdon London Borough</v>
          </cell>
          <cell r="D60" t="str">
            <v>Linda Sanders</v>
          </cell>
          <cell r="E60" t="str">
            <v xml:space="preserve">Corporate Director, Social Care, Health and Housing
</v>
          </cell>
          <cell r="F60" t="str">
            <v>lsanders@hillingdon.gov.uk</v>
          </cell>
          <cell r="G60" t="str">
            <v>Civic Centre</v>
          </cell>
          <cell r="H60" t="str">
            <v>High Road</v>
          </cell>
          <cell r="I60" t="str">
            <v>Uxbridge</v>
          </cell>
          <cell r="K60" t="str">
            <v>UB8 1BW</v>
          </cell>
        </row>
        <row r="61">
          <cell r="A61">
            <v>313</v>
          </cell>
          <cell r="B61" t="str">
            <v>London</v>
          </cell>
          <cell r="C61" t="str">
            <v>Hounslow London Borough</v>
          </cell>
          <cell r="D61" t="str">
            <v>Judith Pettersen</v>
          </cell>
          <cell r="E61" t="str">
            <v>Director of Children's Services and Lifelong Learning</v>
          </cell>
          <cell r="F61" t="str">
            <v>judith.pettersen@hounslow.gov.uk</v>
          </cell>
          <cell r="G61" t="str">
            <v>The Civic Centre</v>
          </cell>
          <cell r="H61" t="str">
            <v>Lampton Road</v>
          </cell>
          <cell r="I61" t="str">
            <v>Hounslow</v>
          </cell>
          <cell r="J61" t="str">
            <v>Middlesex</v>
          </cell>
          <cell r="K61" t="str">
            <v>TW3 4YN</v>
          </cell>
        </row>
        <row r="62">
          <cell r="A62">
            <v>921</v>
          </cell>
          <cell r="B62" t="str">
            <v>South East</v>
          </cell>
          <cell r="C62" t="str">
            <v>Isle of Wight Council</v>
          </cell>
          <cell r="D62" t="str">
            <v>Ian Anderson</v>
          </cell>
          <cell r="E62" t="str">
            <v xml:space="preserve">Strategic Director for Community and Wellbeing </v>
          </cell>
          <cell r="F62" t="str">
            <v>ian.anderson@iow.gov.uk</v>
          </cell>
          <cell r="G62" t="str">
            <v>County Hall</v>
          </cell>
          <cell r="I62" t="str">
            <v>Newport</v>
          </cell>
          <cell r="J62" t="str">
            <v>Isle of Wight</v>
          </cell>
          <cell r="K62" t="str">
            <v>PO30 1UD</v>
          </cell>
        </row>
        <row r="63">
          <cell r="A63">
            <v>206</v>
          </cell>
          <cell r="B63" t="str">
            <v>London</v>
          </cell>
          <cell r="C63" t="str">
            <v>Islington London Borough</v>
          </cell>
          <cell r="D63" t="str">
            <v>Eleanor Schooling</v>
          </cell>
          <cell r="E63" t="str">
            <v>Corporate Director: Children's Services</v>
          </cell>
          <cell r="F63" t="str">
            <v>eleanor.schooling@islington.gov.uk</v>
          </cell>
          <cell r="G63" t="str">
            <v>Laycock Street</v>
          </cell>
          <cell r="J63" t="str">
            <v>London</v>
          </cell>
          <cell r="K63" t="str">
            <v>N1 1TH</v>
          </cell>
        </row>
        <row r="64">
          <cell r="A64">
            <v>207</v>
          </cell>
          <cell r="B64" t="str">
            <v>London</v>
          </cell>
          <cell r="C64" t="str">
            <v>Kensington &amp; Chelsea Royal Borough</v>
          </cell>
          <cell r="D64" t="str">
            <v>Andrew Christie</v>
          </cell>
          <cell r="E64" t="str">
            <v>Director of Children's Services</v>
          </cell>
          <cell r="F64" t="str">
            <v>andrew.christie@lbhf.gov.uk</v>
          </cell>
          <cell r="G64" t="str">
            <v>Town Hall</v>
          </cell>
          <cell r="H64" t="str">
            <v>Horton Street</v>
          </cell>
          <cell r="J64" t="str">
            <v>London</v>
          </cell>
          <cell r="K64" t="str">
            <v>W8 7NX</v>
          </cell>
        </row>
        <row r="65">
          <cell r="A65">
            <v>886</v>
          </cell>
          <cell r="B65" t="str">
            <v>South East</v>
          </cell>
          <cell r="C65" t="str">
            <v>Kent County Council</v>
          </cell>
          <cell r="D65" t="str">
            <v xml:space="preserve">Patrick Leeson </v>
          </cell>
          <cell r="E65" t="str">
            <v>Corporate Director, Education, Learning and Skills</v>
          </cell>
          <cell r="F65" t="str">
            <v xml:space="preserve">patrick.leeson@kent.gov.uk
</v>
          </cell>
          <cell r="G65" t="str">
            <v>Sessions House</v>
          </cell>
          <cell r="H65" t="str">
            <v>County Hall</v>
          </cell>
          <cell r="I65" t="str">
            <v>Maidstone</v>
          </cell>
          <cell r="J65" t="str">
            <v>Kent</v>
          </cell>
          <cell r="K65" t="str">
            <v>ME14 1XX</v>
          </cell>
        </row>
        <row r="66">
          <cell r="A66">
            <v>810</v>
          </cell>
          <cell r="B66" t="str">
            <v>Yorkshire and the Humber</v>
          </cell>
          <cell r="C66" t="str">
            <v>Kingston Upon Hull City Council</v>
          </cell>
          <cell r="D66" t="str">
            <v>John Readman</v>
          </cell>
          <cell r="E66" t="str">
            <v>Corporate Director of Children and Young People's Services</v>
          </cell>
          <cell r="F66" t="str">
            <v>john.readman@hullcc.gov.uk</v>
          </cell>
          <cell r="G66" t="str">
            <v>Room 42, Guildhall</v>
          </cell>
          <cell r="I66" t="str">
            <v>Hull</v>
          </cell>
          <cell r="K66" t="str">
            <v>HU1 2AA</v>
          </cell>
        </row>
        <row r="67">
          <cell r="A67">
            <v>314</v>
          </cell>
          <cell r="B67" t="str">
            <v>London</v>
          </cell>
          <cell r="C67" t="str">
            <v>Kingston Upon Thames Royal Borough</v>
          </cell>
          <cell r="D67" t="str">
            <v>Duncan Clark</v>
          </cell>
          <cell r="E67" t="str">
            <v xml:space="preserve">Director of Learning and Children's Services (Interim)
</v>
          </cell>
          <cell r="F67" t="str">
            <v>duncan.clark@rbk.kingston.gov.uk</v>
          </cell>
          <cell r="G67" t="str">
            <v>Guildhall, High Street</v>
          </cell>
          <cell r="I67" t="str">
            <v>Kingston upon Thames</v>
          </cell>
          <cell r="J67" t="str">
            <v>Surrey</v>
          </cell>
          <cell r="K67" t="str">
            <v>KT1 1EU</v>
          </cell>
        </row>
        <row r="68">
          <cell r="A68">
            <v>382</v>
          </cell>
          <cell r="B68" t="str">
            <v>Yorkshire and the Humber</v>
          </cell>
          <cell r="C68" t="str">
            <v>Kirklees Metropolitan Council</v>
          </cell>
          <cell r="D68" t="str">
            <v>Alison O'Sullivan</v>
          </cell>
          <cell r="E68" t="str">
            <v xml:space="preserve">Director for Children &amp; Young People
</v>
          </cell>
          <cell r="F68" t="str">
            <v>alison.o'sullivan@kirklees.gov.uk</v>
          </cell>
          <cell r="G68" t="str">
            <v>Oldgate House</v>
          </cell>
          <cell r="H68" t="str">
            <v>2 Oldgate</v>
          </cell>
          <cell r="I68" t="str">
            <v>Huddersfield</v>
          </cell>
          <cell r="K68" t="str">
            <v>HA1 6QW</v>
          </cell>
        </row>
        <row r="69">
          <cell r="A69">
            <v>340</v>
          </cell>
          <cell r="B69" t="str">
            <v>North West</v>
          </cell>
          <cell r="C69" t="str">
            <v>Knowsley Metropolitan Borough Council</v>
          </cell>
          <cell r="D69" t="str">
            <v>Damian Allen</v>
          </cell>
          <cell r="E69" t="str">
            <v xml:space="preserve">Executive Director of Children and Family Services
</v>
          </cell>
          <cell r="F69" t="str">
            <v>damian.allen@knowsley.gov.uk</v>
          </cell>
          <cell r="G69" t="str">
            <v>Children's Services Directorate</v>
          </cell>
          <cell r="H69" t="str">
            <v>Huyton Hey Road,</v>
          </cell>
          <cell r="I69" t="str">
            <v>Merseyside</v>
          </cell>
          <cell r="J69" t="str">
            <v xml:space="preserve">Liverpool </v>
          </cell>
          <cell r="K69" t="str">
            <v>L36 5YH</v>
          </cell>
        </row>
        <row r="70">
          <cell r="A70">
            <v>208</v>
          </cell>
          <cell r="B70" t="str">
            <v>London</v>
          </cell>
          <cell r="C70" t="str">
            <v>Lambeth Council</v>
          </cell>
          <cell r="D70" t="str">
            <v>Debbie Jones</v>
          </cell>
          <cell r="E70" t="str">
            <v>Executive Director Children &amp; Young Peoples Service</v>
          </cell>
          <cell r="F70" t="str">
            <v>djones3@lambeth.gov.uk</v>
          </cell>
          <cell r="G70" t="str">
            <v>International House</v>
          </cell>
          <cell r="H70" t="str">
            <v>Canterbury Crescent</v>
          </cell>
          <cell r="J70" t="str">
            <v>London</v>
          </cell>
          <cell r="K70" t="str">
            <v>SW9 7QE</v>
          </cell>
        </row>
        <row r="71">
          <cell r="A71">
            <v>888</v>
          </cell>
          <cell r="B71" t="str">
            <v>North West</v>
          </cell>
          <cell r="C71" t="str">
            <v>Lancashire County Council</v>
          </cell>
          <cell r="D71" t="str">
            <v>Helen Denton</v>
          </cell>
          <cell r="E71" t="str">
            <v xml:space="preserve">Executive Director for Children &amp; Young People
</v>
          </cell>
          <cell r="F71" t="str">
            <v>helen.denton@lancashire.gov.uk</v>
          </cell>
          <cell r="G71" t="str">
            <v>PO Box 61</v>
          </cell>
          <cell r="H71" t="str">
            <v>County Hall</v>
          </cell>
          <cell r="I71" t="str">
            <v>Preston</v>
          </cell>
          <cell r="J71" t="str">
            <v>Lancashire</v>
          </cell>
          <cell r="K71" t="str">
            <v>PR1 8RJ</v>
          </cell>
        </row>
        <row r="72">
          <cell r="A72">
            <v>383</v>
          </cell>
          <cell r="B72" t="str">
            <v>Yorkshire and the Humber</v>
          </cell>
          <cell r="C72" t="str">
            <v>Leeds City Council</v>
          </cell>
          <cell r="D72" t="str">
            <v>Nigel Richardson</v>
          </cell>
          <cell r="E72" t="str">
            <v>Director of Children's Services</v>
          </cell>
          <cell r="F72" t="str">
            <v>Nigel.richardson@leeds.gov.uk</v>
          </cell>
          <cell r="G72" t="str">
            <v>Merrion House</v>
          </cell>
          <cell r="H72" t="str">
            <v>110 Merrion Centre</v>
          </cell>
          <cell r="I72" t="str">
            <v>Leeds</v>
          </cell>
          <cell r="J72" t="str">
            <v>West Yorkshire</v>
          </cell>
          <cell r="K72" t="str">
            <v>LS2 8DT</v>
          </cell>
        </row>
        <row r="73">
          <cell r="A73">
            <v>856</v>
          </cell>
          <cell r="B73" t="str">
            <v>East Midlands</v>
          </cell>
          <cell r="C73" t="str">
            <v>Leicester City Council</v>
          </cell>
          <cell r="D73" t="str">
            <v>Rachel Dickinson</v>
          </cell>
          <cell r="E73" t="str">
            <v>Strategic Director, Children</v>
          </cell>
          <cell r="F73" t="str">
            <v>rachel.dickinson@leicester.gov.uk</v>
          </cell>
          <cell r="G73" t="str">
            <v>Marlborough House, 5th Floor</v>
          </cell>
          <cell r="H73" t="str">
            <v>38 Welford Road</v>
          </cell>
          <cell r="I73" t="str">
            <v xml:space="preserve">Leicester </v>
          </cell>
          <cell r="K73" t="str">
            <v>LE2 7AA</v>
          </cell>
        </row>
        <row r="74">
          <cell r="A74">
            <v>855</v>
          </cell>
          <cell r="B74" t="str">
            <v>East Midlands</v>
          </cell>
          <cell r="C74" t="str">
            <v>Leicestershire County Council</v>
          </cell>
          <cell r="D74" t="str">
            <v>Gareth Williams</v>
          </cell>
          <cell r="E74" t="str">
            <v>Director of Children &amp; Young People's Service</v>
          </cell>
          <cell r="F74" t="str">
            <v>jane.yarranton@leics.gov.uk</v>
          </cell>
          <cell r="G74" t="str">
            <v>County Hall</v>
          </cell>
          <cell r="H74" t="str">
            <v>Glenfield</v>
          </cell>
          <cell r="I74" t="str">
            <v xml:space="preserve">Leicester </v>
          </cell>
          <cell r="K74" t="str">
            <v>LE3 8RF</v>
          </cell>
        </row>
        <row r="75">
          <cell r="A75">
            <v>209</v>
          </cell>
          <cell r="B75" t="str">
            <v>London</v>
          </cell>
          <cell r="C75" t="str">
            <v>Lewisham London Borough</v>
          </cell>
          <cell r="D75" t="str">
            <v>Frankie Sulke</v>
          </cell>
          <cell r="E75" t="str">
            <v xml:space="preserve">Executive Director for Children &amp; Young People
</v>
          </cell>
          <cell r="F75" t="str">
            <v>frankie.sulke@lewisham.gov.uk</v>
          </cell>
          <cell r="G75" t="str">
            <v>3rd Floor, Laurence House</v>
          </cell>
          <cell r="H75" t="str">
            <v>1 Catford Road</v>
          </cell>
          <cell r="J75" t="str">
            <v xml:space="preserve">London </v>
          </cell>
          <cell r="K75" t="str">
            <v>SE6 4RU</v>
          </cell>
        </row>
        <row r="76">
          <cell r="A76">
            <v>925</v>
          </cell>
          <cell r="B76" t="str">
            <v>East Midlands</v>
          </cell>
          <cell r="C76" t="str">
            <v>Lincolnshire County Council</v>
          </cell>
          <cell r="D76" t="str">
            <v>Debbie Barnes</v>
          </cell>
          <cell r="E76" t="str">
            <v>Director of Children's Services</v>
          </cell>
          <cell r="F76" t="str">
            <v>Debbie.Barnes@lincolnshire.gov.uk</v>
          </cell>
          <cell r="G76" t="str">
            <v>County Offices</v>
          </cell>
          <cell r="I76" t="str">
            <v>Newland</v>
          </cell>
          <cell r="J76" t="str">
            <v>Lincoln</v>
          </cell>
          <cell r="K76" t="str">
            <v>LN1 1YQ</v>
          </cell>
        </row>
        <row r="77">
          <cell r="A77">
            <v>341</v>
          </cell>
          <cell r="B77" t="str">
            <v>North West</v>
          </cell>
          <cell r="C77" t="str">
            <v>Liverpool City Council</v>
          </cell>
          <cell r="D77" t="str">
            <v>Stuart Smith</v>
          </cell>
          <cell r="E77" t="str">
            <v xml:space="preserve">Executive Director: Children, Families and Adults
</v>
          </cell>
          <cell r="F77" t="str">
            <v>stuart.smith@liverpool.gov.uk</v>
          </cell>
          <cell r="G77" t="str">
            <v>Municipal Buildings</v>
          </cell>
          <cell r="H77" t="str">
            <v>Dale Street</v>
          </cell>
          <cell r="J77" t="str">
            <v xml:space="preserve">Liverpool </v>
          </cell>
          <cell r="K77" t="str">
            <v xml:space="preserve">LS2 2DH </v>
          </cell>
        </row>
        <row r="78">
          <cell r="A78">
            <v>821</v>
          </cell>
          <cell r="B78" t="str">
            <v>East of England</v>
          </cell>
          <cell r="C78" t="str">
            <v>Luton Borough Council</v>
          </cell>
          <cell r="D78" t="str">
            <v>Martin Pratt</v>
          </cell>
          <cell r="E78" t="str">
            <v>Corporate Director Children &amp; Learning, Children and Learning Department</v>
          </cell>
          <cell r="F78" t="str">
            <v>martin.pratt@luton.gov.uk</v>
          </cell>
          <cell r="G78" t="str">
            <v>111 Stuart Street</v>
          </cell>
          <cell r="I78" t="str">
            <v>Luton</v>
          </cell>
          <cell r="J78" t="str">
            <v>Bedfordshire</v>
          </cell>
          <cell r="K78" t="str">
            <v>LU1 5NP</v>
          </cell>
        </row>
        <row r="79">
          <cell r="A79">
            <v>352</v>
          </cell>
          <cell r="B79" t="str">
            <v>North West</v>
          </cell>
          <cell r="C79" t="str">
            <v>Manchester City Council</v>
          </cell>
          <cell r="D79" t="str">
            <v xml:space="preserve">Mike Livingstone
</v>
          </cell>
          <cell r="E79" t="str">
            <v xml:space="preserve">Strategic Director, Children's Services
</v>
          </cell>
          <cell r="F79" t="str">
            <v>Mike.Livingstone@manchester.gov.uk</v>
          </cell>
          <cell r="G79" t="str">
            <v>Town Hall</v>
          </cell>
          <cell r="H79" t="str">
            <v>Albert Square</v>
          </cell>
          <cell r="J79" t="str">
            <v>Manchester</v>
          </cell>
          <cell r="K79" t="str">
            <v>M60 2LA</v>
          </cell>
        </row>
        <row r="80">
          <cell r="A80">
            <v>887</v>
          </cell>
          <cell r="B80" t="str">
            <v>South East</v>
          </cell>
          <cell r="C80" t="str">
            <v>Medway Council</v>
          </cell>
          <cell r="D80" t="str">
            <v>Barbara Peacock</v>
          </cell>
          <cell r="E80" t="str">
            <v>Director of Children and Adult Services</v>
          </cell>
          <cell r="F80" t="str">
            <v>Barbara.Peacock@medway.gov.uk</v>
          </cell>
          <cell r="G80" t="str">
            <v>Gun Wharf</v>
          </cell>
          <cell r="H80" t="str">
            <v>Dock Road</v>
          </cell>
          <cell r="I80" t="str">
            <v>Chatham</v>
          </cell>
          <cell r="J80" t="str">
            <v>Kent</v>
          </cell>
          <cell r="K80" t="str">
            <v>ME4 4TR</v>
          </cell>
        </row>
        <row r="81">
          <cell r="A81">
            <v>315</v>
          </cell>
          <cell r="B81" t="str">
            <v>London</v>
          </cell>
          <cell r="C81" t="str">
            <v>Merton London Borough</v>
          </cell>
          <cell r="D81" t="str">
            <v>Yvette Stanley</v>
          </cell>
          <cell r="E81" t="str">
            <v>Director of Children Schools and Families</v>
          </cell>
          <cell r="F81" t="str">
            <v>yvette.stanley@merton.gov.uk</v>
          </cell>
          <cell r="G81" t="str">
            <v>Merton Civic Centre</v>
          </cell>
          <cell r="H81" t="str">
            <v>London Road</v>
          </cell>
          <cell r="I81" t="str">
            <v>Morden</v>
          </cell>
          <cell r="J81" t="str">
            <v>Surrey</v>
          </cell>
          <cell r="K81" t="str">
            <v>SM4 5DX</v>
          </cell>
        </row>
        <row r="82">
          <cell r="A82">
            <v>806</v>
          </cell>
          <cell r="B82" t="str">
            <v>North East</v>
          </cell>
          <cell r="C82" t="str">
            <v>Middlesbrough Council</v>
          </cell>
          <cell r="D82" t="str">
            <v>Gill Rollings</v>
          </cell>
          <cell r="E82" t="str">
            <v>Director of Children, Families and Learning</v>
          </cell>
          <cell r="F82" t="str">
            <v>gill_rollings@middlesbrough.gov.uk</v>
          </cell>
          <cell r="G82" t="str">
            <v>PO Box 69, Vancouver House</v>
          </cell>
          <cell r="H82" t="str">
            <v>Gurney Street</v>
          </cell>
          <cell r="I82" t="str">
            <v>Middlesbrough</v>
          </cell>
          <cell r="K82" t="str">
            <v>TS1 1EL</v>
          </cell>
        </row>
        <row r="83">
          <cell r="A83">
            <v>826</v>
          </cell>
          <cell r="B83" t="str">
            <v>South East</v>
          </cell>
          <cell r="C83" t="str">
            <v>Milton Keynes Council</v>
          </cell>
          <cell r="D83" t="str">
            <v>Gail Tolley</v>
          </cell>
          <cell r="E83" t="str">
            <v>Corporate Director of Children and Young People's Services</v>
          </cell>
          <cell r="F83" t="str">
            <v>gail.tolley@milton-keynes.gov.uk</v>
          </cell>
          <cell r="G83" t="str">
            <v>Saxton Court</v>
          </cell>
          <cell r="H83" t="str">
            <v>Avebury Boulevard</v>
          </cell>
          <cell r="I83" t="str">
            <v>Central Milton Keynes</v>
          </cell>
          <cell r="K83" t="str">
            <v>MK9 3HS</v>
          </cell>
        </row>
        <row r="84">
          <cell r="A84">
            <v>391</v>
          </cell>
          <cell r="B84" t="str">
            <v>North East</v>
          </cell>
          <cell r="C84" t="str">
            <v>Newcastle Upon Tyne City Council</v>
          </cell>
          <cell r="D84" t="str">
            <v>John Collings</v>
          </cell>
          <cell r="E84" t="str">
            <v>Executive Director of Children's Services</v>
          </cell>
          <cell r="F84" t="str">
            <v>john.collings@newcastle.gov.uk</v>
          </cell>
          <cell r="G84" t="str">
            <v>Room 405, Civic Centre</v>
          </cell>
          <cell r="I84" t="str">
            <v>Newcastle Upon Tyne</v>
          </cell>
          <cell r="K84" t="str">
            <v>NE1 8PU</v>
          </cell>
        </row>
        <row r="85">
          <cell r="A85">
            <v>316</v>
          </cell>
          <cell r="B85" t="str">
            <v>London</v>
          </cell>
          <cell r="C85" t="str">
            <v>Newham London Borough</v>
          </cell>
          <cell r="D85" t="str">
            <v>Tolis Vouyioukas</v>
          </cell>
          <cell r="E85" t="str">
            <v>Acting Executive Director for Children and Young People's Services</v>
          </cell>
          <cell r="F85" t="str">
            <v>tolis.vouyioukas@newham.gov.uk</v>
          </cell>
          <cell r="G85" t="str">
            <v>Building 1000</v>
          </cell>
          <cell r="H85" t="str">
            <v>Dockside Road</v>
          </cell>
          <cell r="J85" t="str">
            <v xml:space="preserve">London </v>
          </cell>
          <cell r="K85" t="str">
            <v>E16 2QU</v>
          </cell>
        </row>
        <row r="86">
          <cell r="A86">
            <v>926</v>
          </cell>
          <cell r="B86" t="str">
            <v>East of England</v>
          </cell>
          <cell r="C86" t="str">
            <v>Norfolk County Council</v>
          </cell>
          <cell r="D86" t="str">
            <v>Lisa Christensen</v>
          </cell>
          <cell r="E86" t="str">
            <v>Director of Children's Services</v>
          </cell>
          <cell r="F86" t="str">
            <v>lisa.christensen@norfolk.gov.uk</v>
          </cell>
          <cell r="G86" t="str">
            <v>County Hall</v>
          </cell>
          <cell r="H86" t="str">
            <v>Martineau Lane</v>
          </cell>
          <cell r="I86" t="str">
            <v>Norwich</v>
          </cell>
          <cell r="J86" t="str">
            <v>Norfolk</v>
          </cell>
          <cell r="K86" t="str">
            <v>NR1 2DH</v>
          </cell>
        </row>
        <row r="87">
          <cell r="A87">
            <v>812</v>
          </cell>
          <cell r="B87" t="str">
            <v>Yorkshire and the Humber</v>
          </cell>
          <cell r="C87" t="str">
            <v>North East Lincolnshire Council</v>
          </cell>
          <cell r="D87" t="str">
            <v>Jack Blackmore</v>
          </cell>
          <cell r="E87" t="str">
            <v>Interim Strategic Director, People and Communities</v>
          </cell>
          <cell r="F87" t="str">
            <v>jack.blackmore@nelincs.gov.uk</v>
          </cell>
          <cell r="G87" t="str">
            <v>Municipal Offices</v>
          </cell>
          <cell r="I87" t="str">
            <v>Grimsby</v>
          </cell>
          <cell r="J87" t="str">
            <v>North East Lincolnshire</v>
          </cell>
          <cell r="K87" t="str">
            <v>DN31 1HU</v>
          </cell>
        </row>
        <row r="88">
          <cell r="A88">
            <v>813</v>
          </cell>
          <cell r="B88" t="str">
            <v>Yorkshire and the Humber</v>
          </cell>
          <cell r="C88" t="str">
            <v>North Lincolnshire Council</v>
          </cell>
          <cell r="D88" t="str">
            <v>Denise Hyde</v>
          </cell>
          <cell r="E88" t="str">
            <v xml:space="preserve">Director, Children and Young People's Service
</v>
          </cell>
          <cell r="F88" t="str">
            <v>denise.hyde@northlincs.gov.uk</v>
          </cell>
          <cell r="G88" t="str">
            <v>PO Box 35, Hewson House</v>
          </cell>
          <cell r="H88" t="str">
            <v>Station Road</v>
          </cell>
          <cell r="I88" t="str">
            <v>Brigg</v>
          </cell>
          <cell r="J88" t="str">
            <v>North Lincolnshire</v>
          </cell>
          <cell r="K88" t="str">
            <v>DN20 8XJ</v>
          </cell>
        </row>
        <row r="89">
          <cell r="A89">
            <v>802</v>
          </cell>
          <cell r="B89" t="str">
            <v>South West</v>
          </cell>
          <cell r="C89" t="str">
            <v>North Somerset Council</v>
          </cell>
          <cell r="D89" t="str">
            <v>Sheila Smith</v>
          </cell>
          <cell r="E89" t="str">
            <v>Director of Children &amp; Young Peoples Services</v>
          </cell>
          <cell r="F89" t="str">
            <v>sheila.smith@n-somerset.gov.uk</v>
          </cell>
          <cell r="G89" t="str">
            <v>Town Hall</v>
          </cell>
          <cell r="H89" t="str">
            <v>Wallicote Grove Road</v>
          </cell>
          <cell r="I89" t="str">
            <v>Weston Super Mare</v>
          </cell>
          <cell r="J89" t="str">
            <v>Somerset</v>
          </cell>
          <cell r="K89" t="str">
            <v>BS23 1UJ</v>
          </cell>
        </row>
        <row r="90">
          <cell r="A90">
            <v>392</v>
          </cell>
          <cell r="B90" t="str">
            <v>North East</v>
          </cell>
          <cell r="C90" t="str">
            <v>North Tyneside Council</v>
          </cell>
          <cell r="D90" t="str">
            <v>Gill Alexander</v>
          </cell>
          <cell r="E90" t="str">
            <v>Strategic Director for Children, Young People and Learning</v>
          </cell>
          <cell r="F90" t="str">
            <v>gill.alexander@northtyneside.gov.uk</v>
          </cell>
          <cell r="G90" t="str">
            <v xml:space="preserve">Quadrant, The Silverlink North,  </v>
          </cell>
          <cell r="H90" t="str">
            <v>Cobalt Business Park</v>
          </cell>
          <cell r="I90" t="str">
            <v>North Tyneside</v>
          </cell>
          <cell r="K90" t="str">
            <v>NE27 0BY</v>
          </cell>
        </row>
        <row r="91">
          <cell r="A91">
            <v>815</v>
          </cell>
          <cell r="B91" t="str">
            <v>Yorkshire and the Humber</v>
          </cell>
          <cell r="C91" t="str">
            <v>North Yorkshire County Council</v>
          </cell>
          <cell r="D91" t="str">
            <v>Anton Hodge</v>
          </cell>
          <cell r="E91" t="str">
            <v>Assistant Director Finance and Management Support</v>
          </cell>
          <cell r="F91" t="str">
            <v>anton.hodge@northyorks.gov.uk</v>
          </cell>
          <cell r="G91" t="str">
            <v>County Hall</v>
          </cell>
          <cell r="I91" t="str">
            <v>Northallerton</v>
          </cell>
          <cell r="J91" t="str">
            <v>North Yorkshire</v>
          </cell>
          <cell r="K91" t="str">
            <v>DL7 8AE</v>
          </cell>
        </row>
        <row r="92">
          <cell r="A92">
            <v>928</v>
          </cell>
          <cell r="B92" t="str">
            <v>East Midlands</v>
          </cell>
          <cell r="C92" t="str">
            <v>Northamptonshire County Council</v>
          </cell>
          <cell r="D92" t="str">
            <v>Charlie MacNally</v>
          </cell>
          <cell r="E92" t="str">
            <v>Director of Adult and Children’s Services</v>
          </cell>
          <cell r="F92" t="str">
            <v>CMacNally@northamptonshire.gov.uk</v>
          </cell>
          <cell r="G92" t="str">
            <v>County Hall</v>
          </cell>
          <cell r="I92" t="str">
            <v>Northampton</v>
          </cell>
          <cell r="K92" t="str">
            <v>NN1 1AN</v>
          </cell>
        </row>
        <row r="93">
          <cell r="A93">
            <v>929</v>
          </cell>
          <cell r="B93" t="str">
            <v>North East</v>
          </cell>
          <cell r="C93" t="str">
            <v>Northumberland County Council</v>
          </cell>
          <cell r="D93" t="str">
            <v>Paul Moffat</v>
          </cell>
          <cell r="E93" t="str">
            <v xml:space="preserve">Corporate Director of Children's Services </v>
          </cell>
          <cell r="F93" t="str">
            <v>paul.moffat@northumberland.gov.uk</v>
          </cell>
          <cell r="G93" t="str">
            <v>People Group, County Hall</v>
          </cell>
          <cell r="I93" t="str">
            <v>Morpeth</v>
          </cell>
          <cell r="J93" t="str">
            <v>Northumberland</v>
          </cell>
          <cell r="K93" t="str">
            <v>NE61  2EF</v>
          </cell>
        </row>
        <row r="94">
          <cell r="A94">
            <v>892</v>
          </cell>
          <cell r="B94" t="str">
            <v>East Midlands</v>
          </cell>
          <cell r="C94" t="str">
            <v>Nottingham City Council</v>
          </cell>
          <cell r="D94" t="str">
            <v>Ian Curryer</v>
          </cell>
          <cell r="E94" t="str">
            <v xml:space="preserve">Corporate Director, Children and Families
</v>
          </cell>
          <cell r="F94" t="str">
            <v>ian.curryer@nottinghamcity.gov.uk</v>
          </cell>
          <cell r="G94" t="str">
            <v>Loxley House</v>
          </cell>
          <cell r="H94" t="str">
            <v>Station Street</v>
          </cell>
          <cell r="J94" t="str">
            <v>Nottingham</v>
          </cell>
          <cell r="K94" t="str">
            <v>NG2 3NG</v>
          </cell>
        </row>
        <row r="95">
          <cell r="A95">
            <v>891</v>
          </cell>
          <cell r="B95" t="str">
            <v>East Midlands</v>
          </cell>
          <cell r="C95" t="str">
            <v>Nottinghamshire County Council</v>
          </cell>
          <cell r="D95" t="str">
            <v>Anthony May</v>
          </cell>
          <cell r="E95" t="str">
            <v>Corporate Director of Children and Young People's Services</v>
          </cell>
          <cell r="F95" t="str">
            <v>cyps.director@nottscc.gov.uk</v>
          </cell>
          <cell r="G95" t="str">
            <v>County Hall</v>
          </cell>
          <cell r="I95" t="str">
            <v>West Bridgford</v>
          </cell>
          <cell r="J95" t="str">
            <v>Nottingham</v>
          </cell>
          <cell r="K95" t="str">
            <v>NG2 7QP</v>
          </cell>
        </row>
        <row r="96">
          <cell r="A96">
            <v>353</v>
          </cell>
          <cell r="B96" t="str">
            <v>North West</v>
          </cell>
          <cell r="C96" t="str">
            <v>Oldham Council</v>
          </cell>
          <cell r="D96" t="str">
            <v>Michael Jameson</v>
          </cell>
          <cell r="E96" t="str">
            <v xml:space="preserve">Assistant Executive Director Children and Young People (Director of Children's Services)
</v>
          </cell>
          <cell r="F96" t="str">
            <v>michael.jameson@oldham.gov.uk</v>
          </cell>
          <cell r="G96" t="str">
            <v>People, Communities &amp; Society, Level 10, Civic Centre</v>
          </cell>
          <cell r="H96" t="str">
            <v>West Street</v>
          </cell>
          <cell r="I96" t="str">
            <v>Oldham</v>
          </cell>
          <cell r="K96" t="str">
            <v>OL1 1XJ</v>
          </cell>
        </row>
        <row r="97">
          <cell r="A97">
            <v>931</v>
          </cell>
          <cell r="B97" t="str">
            <v>South East</v>
          </cell>
          <cell r="C97" t="str">
            <v>Oxfordshire County Council</v>
          </cell>
          <cell r="D97" t="str">
            <v>Jim Leivers</v>
          </cell>
          <cell r="E97" t="str">
            <v>Acting Director for Children, Young People and Families</v>
          </cell>
          <cell r="F97" t="str">
            <v>jim.leivers@oxfordshire.gov.uk</v>
          </cell>
          <cell r="G97" t="str">
            <v>Macclesfield House</v>
          </cell>
          <cell r="H97" t="str">
            <v>New Road</v>
          </cell>
          <cell r="I97" t="str">
            <v>Oxford</v>
          </cell>
          <cell r="K97" t="str">
            <v>OX1 1NA</v>
          </cell>
        </row>
        <row r="98">
          <cell r="A98">
            <v>874</v>
          </cell>
          <cell r="B98" t="str">
            <v>East of England</v>
          </cell>
          <cell r="C98" t="str">
            <v>Peterborough City Council</v>
          </cell>
          <cell r="D98" t="str">
            <v>John Richards</v>
          </cell>
          <cell r="E98" t="str">
            <v>Executive Director Children's Services</v>
          </cell>
          <cell r="F98" t="str">
            <v>john.richards@peterborough.gov.uk</v>
          </cell>
          <cell r="G98" t="str">
            <v>Bayard House</v>
          </cell>
          <cell r="H98" t="str">
            <v>Broadway</v>
          </cell>
          <cell r="I98" t="str">
            <v>Peterborough</v>
          </cell>
          <cell r="K98" t="str">
            <v>PE1 1FB</v>
          </cell>
        </row>
        <row r="99">
          <cell r="A99">
            <v>879</v>
          </cell>
          <cell r="B99" t="str">
            <v>South West</v>
          </cell>
          <cell r="C99" t="str">
            <v>Plymouth City Council</v>
          </cell>
          <cell r="D99" t="str">
            <v>Bronwen Lacey</v>
          </cell>
          <cell r="E99" t="str">
            <v xml:space="preserve">Director of Children's Services
</v>
          </cell>
          <cell r="F99" t="str">
            <v>bronwen.lacey@plymouth.gov.uk</v>
          </cell>
          <cell r="G99" t="str">
            <v>Windsor House</v>
          </cell>
          <cell r="H99" t="str">
            <v>Tavistock Road</v>
          </cell>
          <cell r="I99" t="str">
            <v>Plymouth</v>
          </cell>
          <cell r="K99" t="str">
            <v>PL6 5UF</v>
          </cell>
        </row>
        <row r="100">
          <cell r="A100">
            <v>836</v>
          </cell>
          <cell r="B100" t="str">
            <v>South West</v>
          </cell>
          <cell r="C100" t="str">
            <v>Poole Borough Council</v>
          </cell>
          <cell r="D100" t="str">
            <v>Anne Newton</v>
          </cell>
          <cell r="E100" t="str">
            <v>Strategic Director, Children's Services</v>
          </cell>
          <cell r="F100" t="str">
            <v>a.newton@poole.gov.uk</v>
          </cell>
          <cell r="G100" t="str">
            <v>Civic Centre</v>
          </cell>
          <cell r="I100" t="str">
            <v xml:space="preserve">Poole </v>
          </cell>
          <cell r="J100" t="str">
            <v>Dorset</v>
          </cell>
          <cell r="K100" t="str">
            <v>BH5 2RU</v>
          </cell>
        </row>
        <row r="101">
          <cell r="A101">
            <v>851</v>
          </cell>
          <cell r="B101" t="str">
            <v>South East</v>
          </cell>
          <cell r="C101" t="str">
            <v>Portsmouth City Council</v>
          </cell>
          <cell r="D101" t="str">
            <v>Julian Wooster</v>
          </cell>
          <cell r="E101" t="str">
            <v xml:space="preserve">Director of Children's Services
</v>
          </cell>
          <cell r="F101" t="str">
            <v>julian.wooster@portsmouthcc.gov.uk</v>
          </cell>
          <cell r="G101" t="str">
            <v>3rd Floor, Civic Offices</v>
          </cell>
          <cell r="H101" t="str">
            <v>Guildhall Square</v>
          </cell>
          <cell r="I101" t="str">
            <v>Portsmouth</v>
          </cell>
          <cell r="J101" t="str">
            <v>Hampshire</v>
          </cell>
          <cell r="K101" t="str">
            <v>PO1 2AL</v>
          </cell>
        </row>
        <row r="102">
          <cell r="A102">
            <v>870</v>
          </cell>
          <cell r="B102" t="str">
            <v>South East</v>
          </cell>
          <cell r="C102" t="str">
            <v>Reading Borough Council</v>
          </cell>
          <cell r="D102" t="str">
            <v>Anna Wright</v>
          </cell>
          <cell r="E102" t="str">
            <v>Director of Education &amp; Children's Services</v>
          </cell>
          <cell r="F102" t="str">
            <v>anna.wright@reading.gov.uk</v>
          </cell>
          <cell r="G102" t="str">
            <v>PO Box 2623</v>
          </cell>
          <cell r="I102" t="str">
            <v>Reading</v>
          </cell>
          <cell r="J102" t="str">
            <v>Berkshire</v>
          </cell>
          <cell r="K102" t="str">
            <v>RG1 7WA</v>
          </cell>
        </row>
        <row r="103">
          <cell r="A103">
            <v>317</v>
          </cell>
          <cell r="B103" t="str">
            <v>London</v>
          </cell>
          <cell r="C103" t="str">
            <v>Redbridge London Borough</v>
          </cell>
          <cell r="D103" t="str">
            <v>Pat Reynolds</v>
          </cell>
          <cell r="E103" t="str">
            <v>Director of Children's Services</v>
          </cell>
          <cell r="F103" t="str">
            <v>pat.reynolds@redbridge.gov.uk</v>
          </cell>
          <cell r="G103" t="str">
            <v>Lynton House</v>
          </cell>
          <cell r="H103" t="str">
            <v>255-259 High Road</v>
          </cell>
          <cell r="I103" t="str">
            <v>Ilford</v>
          </cell>
          <cell r="J103" t="str">
            <v>Essex</v>
          </cell>
          <cell r="K103" t="str">
            <v>IG1 1NN</v>
          </cell>
        </row>
        <row r="104">
          <cell r="A104">
            <v>807</v>
          </cell>
          <cell r="B104" t="str">
            <v>North East</v>
          </cell>
          <cell r="C104" t="str">
            <v>Redcar &amp; Cleveland Borough Council</v>
          </cell>
          <cell r="D104" t="str">
            <v>Barbara Shaw</v>
          </cell>
          <cell r="E104" t="str">
            <v xml:space="preserve">Acting Director of Adult and Children’s Services
</v>
          </cell>
          <cell r="F104" t="str">
            <v>barbara_shaw@redcar-cleveland.gov.uk</v>
          </cell>
          <cell r="G104" t="str">
            <v>Civic Offices, PO Box 83</v>
          </cell>
          <cell r="H104" t="str">
            <v>Kirkleatham Street</v>
          </cell>
          <cell r="I104" t="str">
            <v>Redcar</v>
          </cell>
          <cell r="K104" t="str">
            <v>TS10 1YA</v>
          </cell>
        </row>
        <row r="105">
          <cell r="A105">
            <v>318</v>
          </cell>
          <cell r="B105" t="str">
            <v>London</v>
          </cell>
          <cell r="C105" t="str">
            <v>Richmond Upon Thames London Borough</v>
          </cell>
          <cell r="D105" t="str">
            <v>Nick Whitfield</v>
          </cell>
          <cell r="E105" t="str">
            <v>Director of Children's Services and Culture</v>
          </cell>
          <cell r="F105" t="str">
            <v>nick.whitfield@richmond.gov.uk</v>
          </cell>
          <cell r="G105" t="str">
            <v>Regal House</v>
          </cell>
          <cell r="H105" t="str">
            <v>London Road</v>
          </cell>
          <cell r="I105" t="str">
            <v>Twickenham</v>
          </cell>
          <cell r="K105" t="str">
            <v>TW1 3QB</v>
          </cell>
        </row>
        <row r="106">
          <cell r="A106">
            <v>354</v>
          </cell>
          <cell r="B106" t="str">
            <v>North West</v>
          </cell>
          <cell r="C106" t="str">
            <v>Rochdale Metopolitan Borough Council</v>
          </cell>
          <cell r="D106" t="str">
            <v>Cheryl Eastwood</v>
          </cell>
          <cell r="E106" t="str">
            <v xml:space="preserve">Executive Director: Children's Services
</v>
          </cell>
          <cell r="F106" t="str">
            <v>cheryl.eastwood@rochdale.gov.uk</v>
          </cell>
          <cell r="G106" t="str">
            <v>PO Box 70, Municipal Offices</v>
          </cell>
          <cell r="H106" t="str">
            <v>Smith Street</v>
          </cell>
          <cell r="I106" t="str">
            <v>Rochdale</v>
          </cell>
          <cell r="K106" t="str">
            <v>OL16 1YD</v>
          </cell>
        </row>
        <row r="107">
          <cell r="A107">
            <v>372</v>
          </cell>
          <cell r="B107" t="str">
            <v>Yorkshire and the Humber</v>
          </cell>
          <cell r="C107" t="str">
            <v>Rotherham Metropolitan Borough Council</v>
          </cell>
          <cell r="D107" t="str">
            <v>Joyce Thacker</v>
          </cell>
          <cell r="E107" t="str">
            <v>Strategic Director, Children &amp; Young People's Services</v>
          </cell>
          <cell r="F107" t="str">
            <v>joyce.thacker@rotherham.gov.uk</v>
          </cell>
          <cell r="G107" t="str">
            <v>Norfolk House</v>
          </cell>
          <cell r="H107" t="str">
            <v>Walker Place</v>
          </cell>
          <cell r="I107" t="str">
            <v>Rotherham</v>
          </cell>
          <cell r="J107" t="str">
            <v>South Yorkshire</v>
          </cell>
          <cell r="K107" t="str">
            <v>S65 1AS</v>
          </cell>
        </row>
        <row r="108">
          <cell r="A108">
            <v>857</v>
          </cell>
          <cell r="B108" t="str">
            <v>East Midlands</v>
          </cell>
          <cell r="C108" t="str">
            <v>Rutland County Council</v>
          </cell>
          <cell r="D108" t="str">
            <v>Carol Chambers</v>
          </cell>
          <cell r="E108" t="str">
            <v>Director of Children and Young People's Services</v>
          </cell>
          <cell r="F108" t="str">
            <v>cchambers@rutland.gov.uk</v>
          </cell>
          <cell r="G108" t="str">
            <v>Catmose</v>
          </cell>
          <cell r="H108" t="str">
            <v>Oakham</v>
          </cell>
          <cell r="I108" t="str">
            <v>Rutland</v>
          </cell>
          <cell r="K108" t="str">
            <v>LE15 6HP</v>
          </cell>
        </row>
        <row r="109">
          <cell r="A109">
            <v>355</v>
          </cell>
          <cell r="B109" t="str">
            <v>North West</v>
          </cell>
          <cell r="C109" t="str">
            <v>Salford City Council</v>
          </cell>
          <cell r="D109" t="str">
            <v>Nick Page</v>
          </cell>
          <cell r="E109" t="str">
            <v>Strategic Director for Children's Services</v>
          </cell>
          <cell r="F109" t="str">
            <v>nick.page@salford.gov.uk</v>
          </cell>
          <cell r="G109" t="str">
            <v>Minerva House</v>
          </cell>
          <cell r="H109" t="str">
            <v>Pendlebury Road</v>
          </cell>
          <cell r="I109" t="str">
            <v>Swinton</v>
          </cell>
          <cell r="J109" t="str">
            <v>Manchester</v>
          </cell>
          <cell r="K109" t="str">
            <v>M27 4EQ</v>
          </cell>
        </row>
        <row r="110">
          <cell r="A110">
            <v>333</v>
          </cell>
          <cell r="B110" t="str">
            <v>West Midlands</v>
          </cell>
          <cell r="C110" t="str">
            <v>Sandwell Metropolitan Borough Council</v>
          </cell>
          <cell r="D110" t="str">
            <v>Barbara Peacock</v>
          </cell>
          <cell r="E110" t="str">
            <v xml:space="preserve">Executive Director, Children and Families
</v>
          </cell>
          <cell r="F110" t="str">
            <v>barbara_peacock@sandwell.gov.uk</v>
          </cell>
          <cell r="G110" t="str">
            <v>Shaftesbury House</v>
          </cell>
          <cell r="H110" t="str">
            <v>402 High Street</v>
          </cell>
          <cell r="I110" t="str">
            <v>West Bromwich</v>
          </cell>
          <cell r="K110" t="str">
            <v>B70 9LT</v>
          </cell>
        </row>
        <row r="111">
          <cell r="A111">
            <v>343</v>
          </cell>
          <cell r="B111" t="str">
            <v>North West</v>
          </cell>
          <cell r="C111" t="str">
            <v>Sefton Metropolitan Borough Council</v>
          </cell>
          <cell r="D111" t="str">
            <v>Peter Morgan</v>
          </cell>
          <cell r="E111" t="str">
            <v>Strategic Director of Children, Schools and Families</v>
          </cell>
          <cell r="F111" t="str">
            <v>peter.morgan@cs.sefton.gov.uk</v>
          </cell>
          <cell r="G111" t="str">
            <v>9th Floor, Merton House</v>
          </cell>
          <cell r="H111" t="str">
            <v>Stanley Road</v>
          </cell>
          <cell r="I111" t="str">
            <v>Bootle</v>
          </cell>
          <cell r="J111" t="str">
            <v>Merseyside</v>
          </cell>
          <cell r="K111" t="str">
            <v>L20 3JA</v>
          </cell>
        </row>
        <row r="112">
          <cell r="A112">
            <v>373</v>
          </cell>
          <cell r="B112" t="str">
            <v>Yorkshire and the Humber</v>
          </cell>
          <cell r="C112" t="str">
            <v>Sheffield City Council</v>
          </cell>
          <cell r="D112" t="str">
            <v>Jayne Ludlam</v>
          </cell>
          <cell r="E112" t="str">
            <v>Executive Director Children &amp; Young People</v>
          </cell>
          <cell r="F112" t="str">
            <v>jayne.ludam@sheffield.gov.uk,</v>
          </cell>
          <cell r="G112" t="str">
            <v>Town Hall</v>
          </cell>
          <cell r="H112" t="str">
            <v>Pinstone Street</v>
          </cell>
          <cell r="I112" t="str">
            <v xml:space="preserve">Sheffield </v>
          </cell>
          <cell r="K112" t="str">
            <v>S1 2HH</v>
          </cell>
        </row>
        <row r="113">
          <cell r="A113">
            <v>893</v>
          </cell>
          <cell r="B113" t="str">
            <v>West Midlands</v>
          </cell>
          <cell r="C113" t="str">
            <v>Shropshire Council</v>
          </cell>
          <cell r="D113" t="str">
            <v>David Taylor</v>
          </cell>
          <cell r="E113" t="str">
            <v>Director of Children and Young Peoples Services</v>
          </cell>
          <cell r="F113" t="str">
            <v>david.taylor@shropshire.gov.uk</v>
          </cell>
          <cell r="G113" t="str">
            <v>Shire Hall</v>
          </cell>
          <cell r="H113" t="str">
            <v>Abbey Foregate</v>
          </cell>
          <cell r="I113" t="str">
            <v>Shrewsbury</v>
          </cell>
          <cell r="J113" t="str">
            <v>Shropshire</v>
          </cell>
          <cell r="K113" t="str">
            <v>SY2 6ND</v>
          </cell>
        </row>
        <row r="114">
          <cell r="A114">
            <v>871</v>
          </cell>
          <cell r="B114" t="str">
            <v>South East</v>
          </cell>
          <cell r="C114" t="str">
            <v>Slough Borough Council</v>
          </cell>
          <cell r="D114" t="str">
            <v>Robin Crofts</v>
          </cell>
          <cell r="E114" t="str">
            <v>Assistant Director of Learning</v>
          </cell>
          <cell r="F114" t="str">
            <v>robin.crofts@slough.gov.uk</v>
          </cell>
          <cell r="G114" t="str">
            <v>Town Hall</v>
          </cell>
          <cell r="H114" t="str">
            <v>Bath Road</v>
          </cell>
          <cell r="I114" t="str">
            <v>Slough</v>
          </cell>
          <cell r="J114" t="str">
            <v>Berkshire</v>
          </cell>
          <cell r="K114" t="str">
            <v>SL1 3UQ</v>
          </cell>
        </row>
        <row r="115">
          <cell r="A115">
            <v>334</v>
          </cell>
          <cell r="B115" t="str">
            <v>West Midlands</v>
          </cell>
          <cell r="C115" t="str">
            <v>Solihull Metropolitan Borough Council</v>
          </cell>
          <cell r="D115" t="str">
            <v>Lesley Heale</v>
          </cell>
          <cell r="E115" t="str">
            <v>Corporate Director for People</v>
          </cell>
          <cell r="F115" t="str">
            <v>lheale2@solihull.gov.uk</v>
          </cell>
          <cell r="G115" t="str">
            <v>PO Box 20</v>
          </cell>
          <cell r="H115" t="str">
            <v>Council House</v>
          </cell>
          <cell r="I115" t="str">
            <v>Solihull</v>
          </cell>
          <cell r="J115" t="str">
            <v>West Midlands</v>
          </cell>
          <cell r="K115" t="str">
            <v>B91 3QU</v>
          </cell>
        </row>
        <row r="116">
          <cell r="A116">
            <v>933</v>
          </cell>
          <cell r="B116" t="str">
            <v>South West</v>
          </cell>
          <cell r="C116" t="str">
            <v>Somerset County Council</v>
          </cell>
          <cell r="D116" t="str">
            <v>John Kirby</v>
          </cell>
          <cell r="E116" t="str">
            <v>Lead Commissioner Children and Learning (Director of Children's Services)</v>
          </cell>
          <cell r="F116" t="str">
            <v>jkirby@somerset.gov.uk</v>
          </cell>
          <cell r="G116" t="str">
            <v>The Crescent</v>
          </cell>
          <cell r="I116" t="str">
            <v>Taunton</v>
          </cell>
          <cell r="J116" t="str">
            <v>Somerset</v>
          </cell>
          <cell r="K116" t="str">
            <v>TA1 4DY</v>
          </cell>
        </row>
        <row r="117">
          <cell r="A117">
            <v>803</v>
          </cell>
          <cell r="B117" t="str">
            <v>South West</v>
          </cell>
          <cell r="C117" t="str">
            <v>South Gloucestershire Council</v>
          </cell>
          <cell r="D117" t="str">
            <v>Therese Gillespie</v>
          </cell>
          <cell r="E117" t="str">
            <v xml:space="preserve">Director for Children and Young People
</v>
          </cell>
          <cell r="F117" t="str">
            <v>therese.gillespie@southglos.gov.uk</v>
          </cell>
          <cell r="G117" t="str">
            <v>PO Box 2082</v>
          </cell>
          <cell r="H117" t="str">
            <v>Castle Street</v>
          </cell>
          <cell r="I117" t="str">
            <v>Thornbury</v>
          </cell>
          <cell r="J117" t="str">
            <v>South Gloucestershire</v>
          </cell>
          <cell r="K117" t="str">
            <v>BS35 9BQ</v>
          </cell>
        </row>
        <row r="118">
          <cell r="A118">
            <v>393</v>
          </cell>
          <cell r="B118" t="str">
            <v>North East</v>
          </cell>
          <cell r="C118" t="str">
            <v>South Tyneside Metropolitan Borough Council</v>
          </cell>
          <cell r="D118" t="str">
            <v>Helen Watson</v>
          </cell>
          <cell r="E118" t="str">
            <v>Executive Director: Children and Young People</v>
          </cell>
          <cell r="F118" t="str">
            <v>helen.watson@southtyneside.gov.uk</v>
          </cell>
          <cell r="G118" t="str">
            <v>Town Hall, Civic Offices</v>
          </cell>
          <cell r="H118" t="str">
            <v>Westoe Road</v>
          </cell>
          <cell r="I118" t="str">
            <v>South Shields</v>
          </cell>
          <cell r="K118" t="str">
            <v>NE33 2RL</v>
          </cell>
        </row>
        <row r="119">
          <cell r="A119">
            <v>852</v>
          </cell>
          <cell r="B119" t="str">
            <v>South East</v>
          </cell>
          <cell r="C119" t="str">
            <v>Southampton City Council</v>
          </cell>
          <cell r="D119" t="str">
            <v>Clive Webster</v>
          </cell>
          <cell r="E119" t="str">
            <v>Executive Director of Children's Services and Learning</v>
          </cell>
          <cell r="F119" t="str">
            <v>clive.webster@southampton.gov.uk</v>
          </cell>
          <cell r="G119" t="str">
            <v>5th Floor, Frobisher House</v>
          </cell>
          <cell r="H119" t="str">
            <v>Nelson Gate</v>
          </cell>
          <cell r="I119" t="str">
            <v>Southampton</v>
          </cell>
          <cell r="J119" t="str">
            <v>Hampshire</v>
          </cell>
          <cell r="K119" t="str">
            <v>SO15 1BZ</v>
          </cell>
        </row>
        <row r="120">
          <cell r="A120">
            <v>882</v>
          </cell>
          <cell r="B120" t="str">
            <v>East of England</v>
          </cell>
          <cell r="C120" t="str">
            <v>Southend-on-Sea Borough Council</v>
          </cell>
          <cell r="D120" t="str">
            <v>Sue Cook</v>
          </cell>
          <cell r="E120" t="str">
            <v xml:space="preserve">Interim Corporate Director of Children and Learning
</v>
          </cell>
          <cell r="F120" t="str">
            <v>suecook@southend.gov.uk</v>
          </cell>
          <cell r="G120" t="str">
            <v>Civic Centre</v>
          </cell>
          <cell r="H120" t="str">
            <v>Victoria Avenue</v>
          </cell>
          <cell r="I120" t="str">
            <v>Southend on Sea</v>
          </cell>
          <cell r="J120" t="str">
            <v>Essex</v>
          </cell>
          <cell r="K120" t="str">
            <v>SS2 6ER</v>
          </cell>
        </row>
        <row r="121">
          <cell r="A121">
            <v>210</v>
          </cell>
          <cell r="B121" t="str">
            <v>London</v>
          </cell>
          <cell r="C121" t="str">
            <v>Southwark Council</v>
          </cell>
          <cell r="D121" t="str">
            <v>Romi Bowen</v>
          </cell>
          <cell r="E121" t="str">
            <v>Strategic Director of Children's Services</v>
          </cell>
          <cell r="F121" t="str">
            <v>Romi.bowen@southwark.gov.uk</v>
          </cell>
          <cell r="G121" t="str">
            <v>Mabel Goldwin House</v>
          </cell>
          <cell r="H121" t="str">
            <v>49 Grange Walk</v>
          </cell>
          <cell r="J121" t="str">
            <v>London</v>
          </cell>
          <cell r="K121" t="str">
            <v>SE1 2DY</v>
          </cell>
        </row>
        <row r="122">
          <cell r="A122">
            <v>342</v>
          </cell>
          <cell r="B122" t="str">
            <v>North West</v>
          </cell>
          <cell r="C122" t="str">
            <v>St Helens Metropolitan Borough Council</v>
          </cell>
          <cell r="D122" t="str">
            <v>Bob Hepworth</v>
          </cell>
          <cell r="E122" t="str">
            <v xml:space="preserve">Acting Director of Children and Young People’s Services
</v>
          </cell>
          <cell r="F122" t="str">
            <v>bobchepworth@sthelens.gov.uk</v>
          </cell>
          <cell r="G122" t="str">
            <v>Atlas House</v>
          </cell>
          <cell r="H122" t="str">
            <v>Corporation Street</v>
          </cell>
          <cell r="I122" t="str">
            <v>St Helens</v>
          </cell>
          <cell r="K122" t="str">
            <v>WA9 1LD</v>
          </cell>
        </row>
        <row r="123">
          <cell r="A123">
            <v>860</v>
          </cell>
          <cell r="B123" t="str">
            <v>West Midlands</v>
          </cell>
          <cell r="C123" t="str">
            <v>Staffordshire County Council</v>
          </cell>
          <cell r="D123" t="str">
            <v>Eric Robinson</v>
          </cell>
          <cell r="E123" t="str">
            <v xml:space="preserve">Deputy Chief Executive and Director for People
</v>
          </cell>
          <cell r="F123" t="str">
            <v>eric.robinson@staffordshire.gov.uk</v>
          </cell>
          <cell r="G123" t="str">
            <v>Tipping Street</v>
          </cell>
          <cell r="I123" t="str">
            <v>Stafford</v>
          </cell>
          <cell r="K123" t="str">
            <v>ST16 2DH</v>
          </cell>
        </row>
        <row r="124">
          <cell r="A124">
            <v>356</v>
          </cell>
          <cell r="B124" t="str">
            <v>North West</v>
          </cell>
          <cell r="C124" t="str">
            <v>Stockport Metropolitan Borough Council</v>
          </cell>
          <cell r="D124" t="str">
            <v>Andrew Webb</v>
          </cell>
          <cell r="E124" t="str">
            <v xml:space="preserve">Corporate Director, Children and Young People
</v>
          </cell>
          <cell r="F124" t="str">
            <v>andrew.webb@stockport.gov.uk</v>
          </cell>
          <cell r="G124" t="str">
            <v>Town Hall</v>
          </cell>
          <cell r="I124" t="str">
            <v>Stockport</v>
          </cell>
          <cell r="K124" t="str">
            <v>SK1 3XE</v>
          </cell>
        </row>
        <row r="125">
          <cell r="A125">
            <v>808</v>
          </cell>
          <cell r="B125" t="str">
            <v>North East</v>
          </cell>
          <cell r="C125" t="str">
            <v>Stockton on Tees Borough Council</v>
          </cell>
          <cell r="D125" t="str">
            <v>Jane Humphreys</v>
          </cell>
          <cell r="E125" t="str">
            <v xml:space="preserve">Corporate Director Children Education and Social Care
</v>
          </cell>
          <cell r="F125" t="str">
            <v>jane.humphreys@stockton.gov.uk</v>
          </cell>
          <cell r="G125" t="str">
            <v>PO Box 228, Municipal Buildings</v>
          </cell>
          <cell r="H125" t="str">
            <v>Church Road</v>
          </cell>
          <cell r="I125" t="str">
            <v>Stockton on Tees</v>
          </cell>
          <cell r="K125" t="str">
            <v>TS18 1XE</v>
          </cell>
        </row>
        <row r="126">
          <cell r="A126">
            <v>861</v>
          </cell>
          <cell r="B126" t="str">
            <v>West Midlands</v>
          </cell>
          <cell r="C126" t="str">
            <v>Stoke on Trent City Council</v>
          </cell>
          <cell r="D126" t="str">
            <v xml:space="preserve">Eleanor Brazil </v>
          </cell>
          <cell r="E126" t="str">
            <v>Director of Children and Young People's Services</v>
          </cell>
          <cell r="F126" t="str">
            <v>Eleanor.Brazil@stoke.gov.uk</v>
          </cell>
          <cell r="G126" t="str">
            <v>Civic Centre</v>
          </cell>
          <cell r="H126" t="str">
            <v>Glebe Street</v>
          </cell>
          <cell r="I126" t="str">
            <v>Stoke on Trent</v>
          </cell>
          <cell r="K126" t="str">
            <v>ST4 1RN</v>
          </cell>
        </row>
        <row r="127">
          <cell r="A127">
            <v>935</v>
          </cell>
          <cell r="B127" t="str">
            <v>East of England</v>
          </cell>
          <cell r="C127" t="str">
            <v>Suffolk County Council</v>
          </cell>
          <cell r="D127" t="str">
            <v>Simon White</v>
          </cell>
          <cell r="E127" t="str">
            <v>Director of Children and Young People's Services</v>
          </cell>
          <cell r="F127" t="str">
            <v>simon.white@suffolk.gov.uk</v>
          </cell>
          <cell r="G127" t="str">
            <v>Endeavour House</v>
          </cell>
          <cell r="H127" t="str">
            <v>8 Russell Road</v>
          </cell>
          <cell r="I127" t="str">
            <v>Ipswich</v>
          </cell>
          <cell r="J127" t="str">
            <v>Suffolk</v>
          </cell>
          <cell r="K127" t="str">
            <v>IP4 2BX</v>
          </cell>
        </row>
        <row r="128">
          <cell r="A128">
            <v>394</v>
          </cell>
          <cell r="B128" t="str">
            <v>North East</v>
          </cell>
          <cell r="C128" t="str">
            <v>Sunderland City Council</v>
          </cell>
          <cell r="D128" t="str">
            <v>Keith Moore</v>
          </cell>
          <cell r="E128" t="str">
            <v xml:space="preserve">Executive Director of Children's Services
</v>
          </cell>
          <cell r="F128" t="str">
            <v>keith.moore@sunderland.gov.uk</v>
          </cell>
          <cell r="G128" t="str">
            <v>Burdon Road</v>
          </cell>
          <cell r="I128" t="str">
            <v>Sunderland</v>
          </cell>
          <cell r="J128" t="str">
            <v>Tyne &amp; Wear</v>
          </cell>
          <cell r="K128" t="str">
            <v>SR2 7DN</v>
          </cell>
        </row>
        <row r="129">
          <cell r="A129">
            <v>936</v>
          </cell>
          <cell r="B129" t="str">
            <v>South East</v>
          </cell>
          <cell r="C129" t="str">
            <v>Surrey County Council</v>
          </cell>
          <cell r="D129" t="str">
            <v>Nick Wilson</v>
          </cell>
          <cell r="E129" t="str">
            <v>Strategic Director –Services for Children, Schools and Families</v>
          </cell>
          <cell r="F129" t="str">
            <v>nick.wilson@surreycc.gov.uk</v>
          </cell>
          <cell r="G129" t="str">
            <v>Penrhyn Road</v>
          </cell>
          <cell r="I129" t="str">
            <v>Kingston upon Thames</v>
          </cell>
          <cell r="J129" t="str">
            <v>Surrey</v>
          </cell>
          <cell r="K129" t="str">
            <v>KT1 2DJ</v>
          </cell>
        </row>
        <row r="130">
          <cell r="A130">
            <v>319</v>
          </cell>
          <cell r="B130" t="str">
            <v>London</v>
          </cell>
          <cell r="C130" t="str">
            <v>Sutton London Borough</v>
          </cell>
          <cell r="D130" t="str">
            <v>Peter Simpson and Stephen Richards</v>
          </cell>
          <cell r="E130" t="str">
            <v>Acting Joint Director of Children's Services</v>
          </cell>
          <cell r="F130" t="str">
            <v xml:space="preserve">peter.simpson@sutton.gov.uk and stephen.richards@sutton.gov.uk
</v>
          </cell>
          <cell r="G130" t="str">
            <v>Learning for Life, The Grove</v>
          </cell>
          <cell r="I130" t="str">
            <v>Carshalton</v>
          </cell>
          <cell r="J130" t="str">
            <v>Surrey</v>
          </cell>
          <cell r="K130" t="str">
            <v>SM5 3AL</v>
          </cell>
        </row>
        <row r="131">
          <cell r="A131">
            <v>866</v>
          </cell>
          <cell r="B131" t="str">
            <v>South West</v>
          </cell>
          <cell r="C131" t="str">
            <v>Swindon Borough Council</v>
          </cell>
          <cell r="D131" t="str">
            <v>John Gilbert</v>
          </cell>
          <cell r="E131" t="str">
            <v xml:space="preserve">Group Director Children
</v>
          </cell>
          <cell r="F131" t="str">
            <v>jgilbert@swindon.gov.uk</v>
          </cell>
          <cell r="G131" t="str">
            <v xml:space="preserve"> Sanford House</v>
          </cell>
          <cell r="H131" t="str">
            <v>Sanford Street</v>
          </cell>
          <cell r="I131" t="str">
            <v>Swindon</v>
          </cell>
          <cell r="K131" t="str">
            <v>SN1 1QH</v>
          </cell>
        </row>
        <row r="132">
          <cell r="A132">
            <v>357</v>
          </cell>
          <cell r="B132" t="str">
            <v>North West</v>
          </cell>
          <cell r="C132" t="str">
            <v>Tameside Metropolitan Borough Council</v>
          </cell>
          <cell r="D132" t="str">
            <v>Jim Taylor</v>
          </cell>
          <cell r="E132" t="str">
            <v>Executive Director Services for Children and Young People</v>
          </cell>
          <cell r="F132" t="str">
            <v>Jim.taylor@tameside.gov.uk</v>
          </cell>
          <cell r="G132" t="str">
            <v>Council Offices</v>
          </cell>
          <cell r="H132" t="str">
            <v>Wellington Street</v>
          </cell>
          <cell r="I132" t="str">
            <v>Ashton-U-Lyne</v>
          </cell>
          <cell r="K132" t="str">
            <v>OL6 6DL</v>
          </cell>
        </row>
        <row r="133">
          <cell r="A133">
            <v>894</v>
          </cell>
          <cell r="B133" t="str">
            <v>West Midlands</v>
          </cell>
          <cell r="C133" t="str">
            <v>Telford &amp; Wrekin Council</v>
          </cell>
          <cell r="D133" t="str">
            <v>Victor Brownless</v>
          </cell>
          <cell r="E133" t="str">
            <v xml:space="preserve">Chief Executive and Director of Children's Services
</v>
          </cell>
          <cell r="F133" t="str">
            <v>robyn.hill@telford.gov.uk</v>
          </cell>
          <cell r="G133" t="str">
            <v xml:space="preserve">Civic Offices, PO Box 440 </v>
          </cell>
          <cell r="I133" t="str">
            <v>Telford</v>
          </cell>
          <cell r="J133" t="str">
            <v>Wrekin</v>
          </cell>
          <cell r="K133" t="str">
            <v>TF3 4WF</v>
          </cell>
        </row>
        <row r="134">
          <cell r="A134">
            <v>883</v>
          </cell>
          <cell r="B134" t="str">
            <v>East of England</v>
          </cell>
          <cell r="C134" t="str">
            <v>Thurrock Borough Council</v>
          </cell>
          <cell r="D134" t="str">
            <v>Jo Olsson</v>
          </cell>
          <cell r="E134" t="str">
            <v>Director of Children, Education &amp; Families</v>
          </cell>
          <cell r="F134" t="str">
            <v>jolsson@thurrock.gov.uk</v>
          </cell>
          <cell r="G134" t="str">
            <v>PO Box 118, Civic Offices</v>
          </cell>
          <cell r="H134" t="str">
            <v xml:space="preserve">New Road </v>
          </cell>
          <cell r="I134" t="str">
            <v>Grays</v>
          </cell>
          <cell r="J134" t="str">
            <v>Thurrock</v>
          </cell>
          <cell r="K134" t="str">
            <v>RM17 6GF</v>
          </cell>
        </row>
        <row r="135">
          <cell r="A135">
            <v>880</v>
          </cell>
          <cell r="B135" t="str">
            <v>South West</v>
          </cell>
          <cell r="C135" t="str">
            <v>Torbay Council</v>
          </cell>
          <cell r="D135" t="str">
            <v>Richard Williams</v>
          </cell>
          <cell r="E135" t="str">
            <v xml:space="preserve">Director of Children’s Services
</v>
          </cell>
          <cell r="F135" t="str">
            <v>richard.williams@torbay.gov.uk</v>
          </cell>
          <cell r="G135" t="str">
            <v>Oldway Mansion</v>
          </cell>
          <cell r="H135" t="str">
            <v>Torquay Road</v>
          </cell>
          <cell r="I135" t="str">
            <v>Paignton</v>
          </cell>
          <cell r="J135" t="str">
            <v>Devon</v>
          </cell>
          <cell r="K135" t="str">
            <v>TQ3 2TE</v>
          </cell>
        </row>
        <row r="136">
          <cell r="A136">
            <v>211</v>
          </cell>
          <cell r="B136" t="str">
            <v>London</v>
          </cell>
          <cell r="C136" t="str">
            <v>Tower Hamlets London Borough</v>
          </cell>
          <cell r="D136" t="str">
            <v>Isobel Cattermole</v>
          </cell>
          <cell r="E136" t="str">
            <v>Interim Corporate Director, Children, Schools and Families</v>
          </cell>
          <cell r="F136" t="str">
            <v>isobel.cattermole@towerhamlets.gov.uk</v>
          </cell>
          <cell r="G136" t="str">
            <v>Mulberry Place</v>
          </cell>
          <cell r="J136" t="str">
            <v xml:space="preserve">London </v>
          </cell>
          <cell r="K136" t="str">
            <v>E14 2BG</v>
          </cell>
        </row>
        <row r="137">
          <cell r="A137">
            <v>358</v>
          </cell>
          <cell r="B137" t="str">
            <v>North West</v>
          </cell>
          <cell r="C137" t="str">
            <v>Trafford Metropolitan Borough Council</v>
          </cell>
          <cell r="D137" t="str">
            <v>Deborah Brownlee</v>
          </cell>
          <cell r="E137" t="str">
            <v xml:space="preserve">Corporate Director of Children &amp; Young People's Services
</v>
          </cell>
          <cell r="F137" t="str">
            <v>deborah.brownlee@trafford.gov.uk</v>
          </cell>
          <cell r="G137" t="str">
            <v>PO Box 40, Trafford Town Hall</v>
          </cell>
          <cell r="H137" t="str">
            <v>Talbot Road</v>
          </cell>
          <cell r="I137" t="str">
            <v>Stretford</v>
          </cell>
          <cell r="J137" t="str">
            <v>Manchester</v>
          </cell>
          <cell r="K137" t="str">
            <v>M32 0EL</v>
          </cell>
        </row>
        <row r="138">
          <cell r="A138">
            <v>384</v>
          </cell>
          <cell r="B138" t="str">
            <v>Yorkshire and the Humber</v>
          </cell>
          <cell r="C138" t="str">
            <v>Wakefield Metropolitan District Council</v>
          </cell>
          <cell r="D138" t="str">
            <v>Elaine McHale</v>
          </cell>
          <cell r="E138" t="str">
            <v xml:space="preserve">Corporate Director Family Services
</v>
          </cell>
          <cell r="F138" t="str">
            <v>emchale@wakefield.gov.uk</v>
          </cell>
          <cell r="G138" t="str">
            <v>County Hall</v>
          </cell>
          <cell r="H138" t="str">
            <v>Bond Street</v>
          </cell>
          <cell r="I138" t="str">
            <v>Wakefield</v>
          </cell>
          <cell r="K138" t="str">
            <v>WF1 2QW</v>
          </cell>
        </row>
        <row r="139">
          <cell r="A139">
            <v>335</v>
          </cell>
          <cell r="B139" t="str">
            <v>West Midlands</v>
          </cell>
          <cell r="C139" t="str">
            <v>Walsall Metropolitan Borough Council</v>
          </cell>
          <cell r="D139" t="str">
            <v>Pauline Pilkington</v>
          </cell>
          <cell r="E139" t="str">
            <v>Director of Children's Services</v>
          </cell>
          <cell r="F139" t="str">
            <v>pilkingtonp@walsall.gov.uk</v>
          </cell>
          <cell r="G139" t="str">
            <v>Council House</v>
          </cell>
          <cell r="H139" t="str">
            <v>Litchfield Street</v>
          </cell>
          <cell r="I139" t="str">
            <v>Walsall</v>
          </cell>
          <cell r="J139" t="str">
            <v>West Midlands</v>
          </cell>
          <cell r="K139" t="str">
            <v>WS1 1TW</v>
          </cell>
        </row>
        <row r="140">
          <cell r="A140">
            <v>320</v>
          </cell>
          <cell r="B140" t="str">
            <v>London</v>
          </cell>
          <cell r="C140" t="str">
            <v>Waltham Forest London Borough</v>
          </cell>
          <cell r="D140" t="str">
            <v>Alan Adams</v>
          </cell>
          <cell r="E140" t="str">
            <v>Deputy Chief Executive, Families Directorate</v>
          </cell>
          <cell r="F140" t="str">
            <v>alan.adams@walthamforest.gov.uk</v>
          </cell>
          <cell r="G140" t="str">
            <v>Silver Birch House, Uplands Business Park</v>
          </cell>
          <cell r="H140" t="str">
            <v>Blackhorse Lane</v>
          </cell>
          <cell r="J140" t="str">
            <v>London</v>
          </cell>
          <cell r="K140" t="str">
            <v>E17 5SD</v>
          </cell>
        </row>
        <row r="141">
          <cell r="A141">
            <v>212</v>
          </cell>
          <cell r="B141" t="str">
            <v>London</v>
          </cell>
          <cell r="C141" t="str">
            <v>Wandsworth Borough Council</v>
          </cell>
          <cell r="D141" t="str">
            <v>Paul Robinson</v>
          </cell>
          <cell r="E141" t="str">
            <v xml:space="preserve">Director of Children's Services
</v>
          </cell>
          <cell r="F141" t="str">
            <v>probinson@wandsworth.gov.uk</v>
          </cell>
          <cell r="G141" t="str">
            <v>The Town Hall</v>
          </cell>
          <cell r="H141" t="str">
            <v>Wandsworth High Street</v>
          </cell>
          <cell r="J141" t="str">
            <v>London</v>
          </cell>
          <cell r="K141" t="str">
            <v>SW18 2PU</v>
          </cell>
        </row>
        <row r="142">
          <cell r="A142">
            <v>877</v>
          </cell>
          <cell r="B142" t="str">
            <v>North West</v>
          </cell>
          <cell r="C142" t="str">
            <v>Warrington Borough Council</v>
          </cell>
          <cell r="D142" t="str">
            <v>Kath O'Dwyer</v>
          </cell>
          <cell r="E142" t="str">
            <v>Strategic Director of Children's Services</v>
          </cell>
          <cell r="F142" t="str">
            <v>kodwyer@warrington.gov.uk</v>
          </cell>
          <cell r="G142" t="str">
            <v>New Town House</v>
          </cell>
          <cell r="H142" t="str">
            <v>Butler Market Street</v>
          </cell>
          <cell r="I142" t="str">
            <v>Warrington</v>
          </cell>
          <cell r="K142" t="str">
            <v>WA1 2NJ</v>
          </cell>
        </row>
        <row r="143">
          <cell r="A143">
            <v>937</v>
          </cell>
          <cell r="B143" t="str">
            <v>West Midlands</v>
          </cell>
          <cell r="C143" t="str">
            <v>Warwickshire County Council</v>
          </cell>
          <cell r="D143" t="str">
            <v xml:space="preserve">Wendy Fabbro </v>
          </cell>
          <cell r="E143" t="str">
            <v>Strategic Director - Children, Young People &amp; Families</v>
          </cell>
          <cell r="F143" t="str">
            <v xml:space="preserve">wendyfabbro@warwickshire.gov.uk
</v>
          </cell>
          <cell r="G143" t="str">
            <v>Saltisford Office Park</v>
          </cell>
          <cell r="H143" t="str">
            <v>Ansell Way</v>
          </cell>
          <cell r="I143" t="str">
            <v>Warwick</v>
          </cell>
          <cell r="K143" t="str">
            <v>CV34 4UL</v>
          </cell>
        </row>
        <row r="144">
          <cell r="A144">
            <v>869</v>
          </cell>
          <cell r="B144" t="str">
            <v>South East</v>
          </cell>
          <cell r="C144" t="str">
            <v>West Berkshire Council</v>
          </cell>
          <cell r="D144" t="str">
            <v>Margaret Goldie</v>
          </cell>
          <cell r="E144" t="str">
            <v>Director Children &amp; Young People</v>
          </cell>
          <cell r="F144" t="str">
            <v>mgoldie@westberks.gov.uk</v>
          </cell>
          <cell r="G144" t="str">
            <v>AvonBank House, West Street</v>
          </cell>
          <cell r="I144" t="str">
            <v>Newbury</v>
          </cell>
          <cell r="J144" t="str">
            <v>Berkshire</v>
          </cell>
          <cell r="K144" t="str">
            <v>RG14 1BZ</v>
          </cell>
        </row>
        <row r="145">
          <cell r="A145">
            <v>938</v>
          </cell>
          <cell r="B145" t="str">
            <v>South East</v>
          </cell>
          <cell r="C145" t="str">
            <v>West Sussex County Council</v>
          </cell>
          <cell r="D145" t="str">
            <v>Stuart Gallimore</v>
          </cell>
          <cell r="E145" t="str">
            <v xml:space="preserve">Director of Children's Services
</v>
          </cell>
          <cell r="F145" t="str">
            <v>stuart.gallimore@westsussex.gov.uk</v>
          </cell>
          <cell r="G145" t="str">
            <v>County Hall</v>
          </cell>
          <cell r="I145" t="str">
            <v>Chichester</v>
          </cell>
          <cell r="J145" t="str">
            <v>West Sussex</v>
          </cell>
          <cell r="K145" t="str">
            <v>PO19 1RQ</v>
          </cell>
        </row>
        <row r="146">
          <cell r="A146">
            <v>213</v>
          </cell>
          <cell r="B146" t="str">
            <v>London</v>
          </cell>
          <cell r="C146" t="str">
            <v>Westminster City Council</v>
          </cell>
          <cell r="D146" t="str">
            <v>Andrew Christie</v>
          </cell>
          <cell r="E146" t="str">
            <v>Director of Children's Services</v>
          </cell>
          <cell r="F146" t="str">
            <v>andrew.christie@lbhf.gov.uk</v>
          </cell>
          <cell r="G146" t="str">
            <v>Westminster City Hall</v>
          </cell>
          <cell r="H146" t="str">
            <v>64 Victoria Street</v>
          </cell>
          <cell r="J146" t="str">
            <v xml:space="preserve">London </v>
          </cell>
          <cell r="K146" t="str">
            <v>SW1E QP</v>
          </cell>
        </row>
        <row r="147">
          <cell r="A147">
            <v>359</v>
          </cell>
          <cell r="B147" t="str">
            <v>North West</v>
          </cell>
          <cell r="C147" t="str">
            <v>Wigan Council</v>
          </cell>
          <cell r="D147" t="str">
            <v>Nick Hudson</v>
          </cell>
          <cell r="E147" t="str">
            <v xml:space="preserve">Executive Director of Children and Young Persons Services
</v>
          </cell>
          <cell r="F147" t="str">
            <v>n.hudson@wigan.gov.uk</v>
          </cell>
          <cell r="G147" t="str">
            <v>Progress House</v>
          </cell>
          <cell r="H147" t="str">
            <v>Westwood Park Drive</v>
          </cell>
          <cell r="I147" t="str">
            <v>Wigan</v>
          </cell>
          <cell r="K147" t="str">
            <v>WN3 4HG</v>
          </cell>
        </row>
        <row r="148">
          <cell r="A148">
            <v>865</v>
          </cell>
          <cell r="B148" t="str">
            <v>South West</v>
          </cell>
          <cell r="C148" t="str">
            <v>Wiltshire County Council</v>
          </cell>
          <cell r="D148" t="str">
            <v>Carolyn Godfrey</v>
          </cell>
          <cell r="E148" t="str">
            <v xml:space="preserve">Director of Children and Education
</v>
          </cell>
          <cell r="F148" t="str">
            <v>carolyngodfrey@wiltshire.gov.uk</v>
          </cell>
          <cell r="G148" t="str">
            <v>County Hall</v>
          </cell>
          <cell r="H148" t="str">
            <v>Bythesea Road</v>
          </cell>
          <cell r="I148" t="str">
            <v>Trowbridge</v>
          </cell>
          <cell r="J148" t="str">
            <v>Wiltshire</v>
          </cell>
          <cell r="K148" t="str">
            <v>BA14 8JN</v>
          </cell>
        </row>
        <row r="149">
          <cell r="A149">
            <v>868</v>
          </cell>
          <cell r="B149" t="str">
            <v>South East</v>
          </cell>
          <cell r="C149" t="str">
            <v>Windsor &amp; Maidenhead Royal Borough</v>
          </cell>
          <cell r="D149" t="str">
            <v>Cliff Turner</v>
          </cell>
          <cell r="E149" t="str">
            <v>Director of Children’s Services</v>
          </cell>
          <cell r="F149" t="str">
            <v>cliff.turner@rbwm.gov.uk</v>
          </cell>
          <cell r="G149" t="str">
            <v>Town Hall</v>
          </cell>
          <cell r="H149" t="str">
            <v>St Ives Road</v>
          </cell>
          <cell r="I149" t="str">
            <v>Maidenhead</v>
          </cell>
          <cell r="J149" t="str">
            <v>Berkshire</v>
          </cell>
          <cell r="K149" t="str">
            <v>SL6 1RF</v>
          </cell>
        </row>
        <row r="150">
          <cell r="A150">
            <v>344</v>
          </cell>
          <cell r="B150" t="str">
            <v>North West</v>
          </cell>
          <cell r="C150" t="str">
            <v>Wirral Metropolitan Borough Council</v>
          </cell>
          <cell r="D150" t="str">
            <v>David Armstrong</v>
          </cell>
          <cell r="E150" t="str">
            <v>Interim Director for Children and Young People</v>
          </cell>
          <cell r="F150" t="str">
            <v>davidarmstrong@wirral.gov.uk</v>
          </cell>
          <cell r="G150" t="str">
            <v>Hamilton Building</v>
          </cell>
          <cell r="H150" t="str">
            <v>Conway Street</v>
          </cell>
          <cell r="I150" t="str">
            <v>Birkenhead</v>
          </cell>
          <cell r="J150" t="str">
            <v>Wirral</v>
          </cell>
          <cell r="K150" t="str">
            <v>CH41 4FD</v>
          </cell>
        </row>
        <row r="151">
          <cell r="A151">
            <v>872</v>
          </cell>
          <cell r="B151" t="str">
            <v>South East</v>
          </cell>
          <cell r="C151" t="str">
            <v>Wokingham District Council</v>
          </cell>
          <cell r="D151" t="str">
            <v>Andy Couldrick</v>
          </cell>
          <cell r="E151" t="str">
            <v>General Manager Children’s Services</v>
          </cell>
          <cell r="F151" t="str">
            <v>andy.couldrick@wokingham.gov.uk</v>
          </cell>
          <cell r="G151" t="str">
            <v>PO Box 154, Council Offices</v>
          </cell>
          <cell r="H151" t="str">
            <v>Shute End</v>
          </cell>
          <cell r="I151" t="str">
            <v>Wokingham</v>
          </cell>
          <cell r="J151" t="str">
            <v>Berkshire</v>
          </cell>
          <cell r="K151" t="str">
            <v>RG40 1WN</v>
          </cell>
        </row>
        <row r="152">
          <cell r="A152">
            <v>336</v>
          </cell>
          <cell r="B152" t="str">
            <v>West Midlands</v>
          </cell>
          <cell r="C152" t="str">
            <v>Wolverhampton City Council</v>
          </cell>
          <cell r="D152" t="str">
            <v>Sarah Norman</v>
          </cell>
          <cell r="E152" t="str">
            <v>Director for Adults &amp; Community</v>
          </cell>
          <cell r="F152" t="str">
            <v>Sarah.Norman@wolverhampton.gov.uk</v>
          </cell>
          <cell r="G152" t="str">
            <v>Civic Centre</v>
          </cell>
          <cell r="H152" t="str">
            <v>St Peter's Square</v>
          </cell>
          <cell r="I152" t="str">
            <v>Wolverhampton</v>
          </cell>
          <cell r="K152" t="str">
            <v>WV1 1RR</v>
          </cell>
        </row>
        <row r="153">
          <cell r="A153">
            <v>885</v>
          </cell>
          <cell r="B153" t="str">
            <v>West Midlands</v>
          </cell>
          <cell r="C153" t="str">
            <v>Worcestershire County Council</v>
          </cell>
          <cell r="D153" t="str">
            <v>Gail Quinton</v>
          </cell>
          <cell r="E153" t="str">
            <v>Director of Children's Services</v>
          </cell>
          <cell r="F153" t="str">
            <v>gquinton@worcestershire.gov.uk</v>
          </cell>
          <cell r="G153" t="str">
            <v>County Hall</v>
          </cell>
          <cell r="H153" t="str">
            <v>Spetchley Road</v>
          </cell>
          <cell r="I153" t="str">
            <v>Worcester</v>
          </cell>
          <cell r="K153" t="str">
            <v>WR5 2NP</v>
          </cell>
        </row>
      </sheetData>
      <sheetData sheetId="8" refreshError="1"/>
      <sheetData sheetId="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2"/>
      <sheetName val="Sponsors"/>
      <sheetName val="Headline numbers"/>
      <sheetName val="Dashboard"/>
      <sheetName val="Drop down list"/>
      <sheetName val="Sponsors with open or pipeline"/>
      <sheetName val="National Totals"/>
      <sheetName val="L"/>
      <sheetName val="NE"/>
      <sheetName val="NW"/>
      <sheetName val="SE"/>
      <sheetName val="SW"/>
      <sheetName val="YH"/>
      <sheetName val="Description"/>
      <sheetName val="All open Academies"/>
      <sheetName val="Primary 2011 1310 list"/>
      <sheetName val="List of projects in development"/>
      <sheetName val="Sheet2"/>
      <sheetName val="Lichfield"/>
      <sheetName val="Free School proposers"/>
      <sheetName val="Sheet8"/>
      <sheetName val="Sheet20"/>
      <sheetName val="Schools in scope Oct 12"/>
      <sheetName val="Sheet7"/>
      <sheetName val="Sheet9"/>
      <sheetName val="Sheet10"/>
      <sheetName val="Sheet3"/>
      <sheetName val="Sheet1"/>
      <sheetName val="Sheet5"/>
      <sheetName val="Sheet4"/>
      <sheetName val="Sheet6"/>
      <sheetName val="Sheet11"/>
      <sheetName val="Sheet12"/>
    </sheetNames>
    <sheetDataSet>
      <sheetData sheetId="0"/>
      <sheetData sheetId="1">
        <row r="3">
          <cell r="B3" t="str">
            <v>Abingdon and Witney College</v>
          </cell>
        </row>
        <row r="4">
          <cell r="B4" t="str">
            <v>Absolute Return for Kids (ARK)</v>
          </cell>
        </row>
        <row r="5">
          <cell r="B5" t="str">
            <v>Academies Enterprise Trust (AET)</v>
          </cell>
        </row>
        <row r="6">
          <cell r="B6" t="str">
            <v>Academies Transformation Trust (ATT)</v>
          </cell>
        </row>
        <row r="7">
          <cell r="B7" t="str">
            <v>Academy Federation of North Bedfordshire Schools (Sharnbrook Upper School &amp; Lincroft Middle School)</v>
          </cell>
        </row>
        <row r="8">
          <cell r="B8" t="str">
            <v xml:space="preserve">Accrington and Rossendale College </v>
          </cell>
        </row>
        <row r="9">
          <cell r="B9" t="str">
            <v>Acorn Care</v>
          </cell>
        </row>
        <row r="10">
          <cell r="B10" t="str">
            <v>AEGIS Enterprises CIC</v>
          </cell>
        </row>
        <row r="11">
          <cell r="B11" t="str">
            <v>Airedale High School, Wakefield</v>
          </cell>
        </row>
        <row r="12">
          <cell r="B12" t="str">
            <v>Aldridge Foundation</v>
          </cell>
        </row>
        <row r="13">
          <cell r="B13" t="str">
            <v>Alec Reed</v>
          </cell>
        </row>
        <row r="14">
          <cell r="B14" t="str">
            <v>All Hallows Catholic School</v>
          </cell>
        </row>
        <row r="15">
          <cell r="B15" t="str">
            <v>All Roads DLO</v>
          </cell>
        </row>
        <row r="16">
          <cell r="B16" t="str">
            <v>Altrincham College of Arts</v>
          </cell>
        </row>
        <row r="17">
          <cell r="B17" t="str">
            <v>Altrincham Grammar School for Girls</v>
          </cell>
        </row>
        <row r="18">
          <cell r="B18" t="str">
            <v>Anglican Diocese of Portsmouth and Winchester</v>
          </cell>
        </row>
        <row r="19">
          <cell r="B19" t="str">
            <v>Archdiocese of Clifton</v>
          </cell>
        </row>
        <row r="20">
          <cell r="B20" t="str">
            <v>Archdiocese of Liverpool &amp; Diocese of Liverpool</v>
          </cell>
        </row>
        <row r="21">
          <cell r="B21" t="str">
            <v>Archdiocese of Southwark</v>
          </cell>
        </row>
        <row r="22">
          <cell r="B22" t="str">
            <v>Arden School, Solihull</v>
          </cell>
        </row>
        <row r="23">
          <cell r="B23" t="str">
            <v>Ashmole Academy</v>
          </cell>
        </row>
        <row r="24">
          <cell r="B24" t="str">
            <v>Aspirations Academies Trust (QISA - Quaglia Institute for Student Aspirations)</v>
          </cell>
        </row>
        <row r="25">
          <cell r="B25" t="str">
            <v>Aston Academy</v>
          </cell>
        </row>
        <row r="26">
          <cell r="B26" t="str">
            <v>Aston Manor Academy</v>
          </cell>
        </row>
        <row r="27">
          <cell r="B27" t="str">
            <v xml:space="preserve">Attwood Foundation </v>
          </cell>
        </row>
        <row r="28">
          <cell r="B28" t="str">
            <v>Aylesbury Grammar School</v>
          </cell>
        </row>
        <row r="29">
          <cell r="B29" t="str">
            <v>Aylestone Business and Enterprise College</v>
          </cell>
        </row>
        <row r="30">
          <cell r="B30" t="str">
            <v>Bacon CTC</v>
          </cell>
        </row>
        <row r="31">
          <cell r="B31" t="str">
            <v>Barnfield College</v>
          </cell>
        </row>
        <row r="32">
          <cell r="B32" t="str">
            <v>Barnhill Community High School</v>
          </cell>
        </row>
        <row r="33">
          <cell r="B33" t="str">
            <v>Barnsley College</v>
          </cell>
        </row>
        <row r="34">
          <cell r="B34" t="str">
            <v>Barr Beacon Language College</v>
          </cell>
        </row>
        <row r="35">
          <cell r="B35" t="str">
            <v>Barrow Sixth Form College</v>
          </cell>
        </row>
        <row r="36">
          <cell r="B36" t="str">
            <v>Barry Townsley</v>
          </cell>
        </row>
        <row r="37">
          <cell r="B37" t="str">
            <v>Basingstoke College of Technology (BCoT)</v>
          </cell>
        </row>
        <row r="38">
          <cell r="B38" t="str">
            <v>Bath Spa University</v>
          </cell>
        </row>
        <row r="39">
          <cell r="B39" t="str">
            <v>Batley Girls' High School</v>
          </cell>
        </row>
        <row r="40">
          <cell r="B40" t="str">
            <v>Beal High School</v>
          </cell>
        </row>
        <row r="41">
          <cell r="B41" t="str">
            <v>Bedford College</v>
          </cell>
        </row>
        <row r="42">
          <cell r="B42" t="str">
            <v>Robert Bloomfield Academy (Bedford East School Trust)</v>
          </cell>
        </row>
        <row r="43">
          <cell r="B43" t="str">
            <v>Beech Hill Junior and Infant School</v>
          </cell>
        </row>
        <row r="44">
          <cell r="B44" t="str">
            <v>Belgrave St Bartholomew's Academy</v>
          </cell>
        </row>
        <row r="45">
          <cell r="B45" t="str">
            <v>Benenden School</v>
          </cell>
        </row>
        <row r="46">
          <cell r="B46" t="str">
            <v>Bennett Memorial Diocesan School</v>
          </cell>
        </row>
        <row r="47">
          <cell r="B47" t="str">
            <v>Best Practice Network</v>
          </cell>
        </row>
        <row r="48">
          <cell r="B48" t="str">
            <v>Beths Grammar School</v>
          </cell>
        </row>
        <row r="49">
          <cell r="B49" t="str">
            <v xml:space="preserve">Bexhill &amp; Townend Academies </v>
          </cell>
        </row>
        <row r="50">
          <cell r="B50" t="str">
            <v xml:space="preserve">Birmingham City University </v>
          </cell>
        </row>
        <row r="51">
          <cell r="B51" t="str">
            <v>Birmingham Diocesan Board of Education</v>
          </cell>
        </row>
        <row r="52">
          <cell r="B52" t="str">
            <v>Birmingham Metropolitan College</v>
          </cell>
        </row>
        <row r="53">
          <cell r="B53" t="str">
            <v>Bishop Burton College</v>
          </cell>
        </row>
        <row r="54">
          <cell r="B54" t="str">
            <v>Bishop Challoner Catholic College</v>
          </cell>
        </row>
        <row r="55">
          <cell r="B55" t="str">
            <v>Bishop Rawstorne School, Leyland</v>
          </cell>
        </row>
        <row r="56">
          <cell r="B56" t="str">
            <v>Bishop Wordsworth's Grammar School</v>
          </cell>
        </row>
        <row r="57">
          <cell r="B57" t="str">
            <v>Bishops Cleeve Primary School</v>
          </cell>
        </row>
        <row r="58">
          <cell r="B58" t="str">
            <v>Blue Coat C of E School, Oldham</v>
          </cell>
        </row>
        <row r="59">
          <cell r="B59" t="str">
            <v>Bob Edmiston (Grace Foundation)</v>
          </cell>
        </row>
        <row r="60">
          <cell r="B60" t="str">
            <v>Bohunt School</v>
          </cell>
        </row>
        <row r="61">
          <cell r="B61" t="str">
            <v>Bolton Council</v>
          </cell>
        </row>
        <row r="62">
          <cell r="B62" t="str">
            <v>Bolton School Boys Division Independent School</v>
          </cell>
        </row>
        <row r="63">
          <cell r="B63" t="str">
            <v>Bourne Abbey Church of England Primary School</v>
          </cell>
        </row>
        <row r="64">
          <cell r="B64" t="str">
            <v>Bournemouth School</v>
          </cell>
        </row>
        <row r="65">
          <cell r="B65" t="str">
            <v>Bournemouth School for Girls</v>
          </cell>
        </row>
        <row r="66">
          <cell r="B66" t="str">
            <v>Bovingdon Academy, Hertfordshire</v>
          </cell>
        </row>
        <row r="67">
          <cell r="B67" t="str">
            <v>Boxwood Ltd</v>
          </cell>
        </row>
        <row r="68">
          <cell r="B68" t="str">
            <v>Bradford City Council</v>
          </cell>
        </row>
        <row r="69">
          <cell r="B69" t="str">
            <v>Bradford College</v>
          </cell>
        </row>
        <row r="70">
          <cell r="B70" t="str">
            <v>Bramsgove Primary School</v>
          </cell>
        </row>
        <row r="71">
          <cell r="B71" t="str">
            <v>Brian Scowcroft (Richard Rose)</v>
          </cell>
        </row>
        <row r="72">
          <cell r="B72" t="str">
            <v>Bridgwater College</v>
          </cell>
        </row>
        <row r="73">
          <cell r="B73" t="str">
            <v>Brinsworth Comprehensive School</v>
          </cell>
        </row>
        <row r="74">
          <cell r="B74" t="str">
            <v>Briscoe Lane PS. Manchester</v>
          </cell>
        </row>
        <row r="75">
          <cell r="B75" t="str">
            <v>Bristol Diocesan Board of Education</v>
          </cell>
        </row>
        <row r="76">
          <cell r="B76" t="str">
            <v>British Telecom</v>
          </cell>
        </row>
        <row r="77">
          <cell r="B77" t="str">
            <v>Brooke Weston</v>
          </cell>
        </row>
        <row r="78">
          <cell r="B78" t="str">
            <v>Brookfield House School</v>
          </cell>
        </row>
        <row r="79">
          <cell r="B79" t="str">
            <v>Burnley College</v>
          </cell>
        </row>
        <row r="80">
          <cell r="B80" t="str">
            <v>Burnley Education Trust</v>
          </cell>
        </row>
        <row r="81">
          <cell r="B81" t="str">
            <v xml:space="preserve">Burnt Mill </v>
          </cell>
        </row>
        <row r="82">
          <cell r="B82" t="str">
            <v>Burton and South Derbyshire College</v>
          </cell>
        </row>
        <row r="83">
          <cell r="B83" t="str">
            <v>By Schools For Schools Group</v>
          </cell>
        </row>
        <row r="84">
          <cell r="B84" t="str">
            <v>Cabot Learning Federation</v>
          </cell>
        </row>
        <row r="85">
          <cell r="B85" t="str">
            <v>Calderdale MBC</v>
          </cell>
        </row>
        <row r="86">
          <cell r="B86" t="str">
            <v>Cambridge Education</v>
          </cell>
        </row>
        <row r="87">
          <cell r="B87" t="str">
            <v>Canford School</v>
          </cell>
        </row>
        <row r="88">
          <cell r="B88" t="str">
            <v>Canterbury Christ Church University</v>
          </cell>
        </row>
        <row r="89">
          <cell r="B89" t="str">
            <v>Cardinal Hume Catholic School</v>
          </cell>
        </row>
        <row r="90">
          <cell r="B90" t="str">
            <v>Carmel RC College</v>
          </cell>
        </row>
        <row r="91">
          <cell r="B91" t="str">
            <v>Carrington</v>
          </cell>
        </row>
        <row r="92">
          <cell r="B92" t="str">
            <v>Castle Hill</v>
          </cell>
        </row>
        <row r="93">
          <cell r="B93" t="str">
            <v>Castleford Academy</v>
          </cell>
        </row>
        <row r="94">
          <cell r="B94" t="str">
            <v>Catholic Diocese of Brentwood</v>
          </cell>
        </row>
        <row r="95">
          <cell r="B95" t="str">
            <v>Central Bedfordshire College</v>
          </cell>
        </row>
        <row r="96">
          <cell r="B96" t="str">
            <v>Heath Park Academy (Central Learning Partnership Trust)</v>
          </cell>
        </row>
        <row r="97">
          <cell r="B97" t="str">
            <v>CfBT</v>
          </cell>
        </row>
        <row r="98">
          <cell r="B98" t="str">
            <v>Chandlers Ridge Primary School</v>
          </cell>
        </row>
        <row r="99">
          <cell r="B99" t="str">
            <v>Chapel Saint Academy Schools</v>
          </cell>
        </row>
        <row r="100">
          <cell r="B100" t="str">
            <v>Charles Dunstone (Carphone Warehouse)</v>
          </cell>
        </row>
        <row r="101">
          <cell r="B101" t="str">
            <v>Cheadle Hulme High School, Stockport</v>
          </cell>
        </row>
        <row r="102">
          <cell r="B102" t="str">
            <v>Chellaston Academy</v>
          </cell>
        </row>
        <row r="103">
          <cell r="B103" t="str">
            <v>Chepping View Primary School, High Wycombe</v>
          </cell>
        </row>
        <row r="104">
          <cell r="B104" t="str">
            <v>Cherwell School</v>
          </cell>
        </row>
        <row r="105">
          <cell r="B105" t="str">
            <v>Chichester College</v>
          </cell>
        </row>
        <row r="106">
          <cell r="B106" t="str">
            <v xml:space="preserve">Chichester Diocesan Board of Education </v>
          </cell>
        </row>
        <row r="107">
          <cell r="B107" t="str">
            <v>Children &amp; Families Ltd</v>
          </cell>
        </row>
        <row r="108">
          <cell r="B108" t="str">
            <v>Chilwell Croft Primary School</v>
          </cell>
        </row>
        <row r="109">
          <cell r="B109" t="str">
            <v>Chingford Foundation School</v>
          </cell>
        </row>
        <row r="110">
          <cell r="B110" t="str">
            <v xml:space="preserve">Chingford Hall Primary School </v>
          </cell>
        </row>
        <row r="111">
          <cell r="B111" t="str">
            <v>City College Brighton and Hove</v>
          </cell>
        </row>
        <row r="112">
          <cell r="B112" t="str">
            <v>City College Plymouth</v>
          </cell>
        </row>
        <row r="113">
          <cell r="B113" t="str">
            <v>City of London Corporation</v>
          </cell>
        </row>
        <row r="114">
          <cell r="B114" t="str">
            <v>City of Wolverhampton College (City of Wolverhampton Academy Trust)</v>
          </cell>
        </row>
        <row r="115">
          <cell r="B115" t="str">
            <v>Colchester Institute</v>
          </cell>
        </row>
        <row r="116">
          <cell r="B116" t="str">
            <v>Colchester Sixth Form</v>
          </cell>
        </row>
        <row r="117">
          <cell r="B117" t="str">
            <v>The College of West Anglia</v>
          </cell>
        </row>
        <row r="118">
          <cell r="B118" t="str">
            <v>Collingwood Primary School Hull</v>
          </cell>
        </row>
        <row r="119">
          <cell r="B119" t="str">
            <v>Coloma Convent Girls School (Colma Trust)</v>
          </cell>
        </row>
        <row r="120">
          <cell r="B120" t="str">
            <v>Colston's Girls' School</v>
          </cell>
        </row>
        <row r="121">
          <cell r="B121" t="str">
            <v>Comberton Academy Trust</v>
          </cell>
        </row>
        <row r="122">
          <cell r="B122" t="str">
            <v>Community Action North Devon</v>
          </cell>
        </row>
        <row r="123">
          <cell r="B123" t="str">
            <v>ConcertEd</v>
          </cell>
        </row>
        <row r="124">
          <cell r="B124" t="str">
            <v>ContinYou</v>
          </cell>
        </row>
        <row r="125">
          <cell r="B125" t="str">
            <v>Contour Education Services</v>
          </cell>
        </row>
        <row r="126">
          <cell r="B126" t="str">
            <v>Co-operative Group</v>
          </cell>
        </row>
        <row r="127">
          <cell r="B127" t="str">
            <v>Sandy Hill Primary Academy (Cornwall Academy Trust)</v>
          </cell>
        </row>
        <row r="128">
          <cell r="B128" t="str">
            <v>Cornwallis Online Learning</v>
          </cell>
        </row>
        <row r="129">
          <cell r="B129" t="str">
            <v>Corporation of London</v>
          </cell>
        </row>
        <row r="130">
          <cell r="B130" t="str">
            <v>Corsham Primary School, Wiltshire</v>
          </cell>
        </row>
        <row r="131">
          <cell r="B131" t="str">
            <v>Coventry City College</v>
          </cell>
        </row>
        <row r="132">
          <cell r="B132" t="str">
            <v>Coventry City Council</v>
          </cell>
        </row>
        <row r="133">
          <cell r="B133" t="str">
            <v>Coventry University</v>
          </cell>
        </row>
        <row r="134">
          <cell r="B134" t="str">
            <v>Craven College</v>
          </cell>
        </row>
        <row r="135">
          <cell r="B135" t="str">
            <v>Creative Education Academies Trust (CET)</v>
          </cell>
        </row>
        <row r="136">
          <cell r="B136" t="str">
            <v>Creative Education Limited, Alan Murrell</v>
          </cell>
        </row>
        <row r="137">
          <cell r="B137" t="str">
            <v>Creative Solution Partnership</v>
          </cell>
        </row>
        <row r="138">
          <cell r="B138" t="str">
            <v>Crosslands</v>
          </cell>
        </row>
        <row r="139">
          <cell r="B139" t="str">
            <v>Dane Court Grammar School, Kent (Dane Court Grammar and King Ethelbert School Trust)</v>
          </cell>
        </row>
        <row r="140">
          <cell r="B140" t="str">
            <v>Darlington College</v>
          </cell>
        </row>
        <row r="141">
          <cell r="B141" t="str">
            <v>David and Anne</v>
          </cell>
        </row>
        <row r="142">
          <cell r="B142" t="str">
            <v>David Hoare</v>
          </cell>
        </row>
        <row r="143">
          <cell r="B143" t="str">
            <v>David Kremer</v>
          </cell>
        </row>
        <row r="144">
          <cell r="B144" t="str">
            <v>David Meller</v>
          </cell>
        </row>
        <row r="145">
          <cell r="B145" t="str">
            <v>David Ross Education Trust (formerly Haverlock Academy Trust)</v>
          </cell>
        </row>
        <row r="146">
          <cell r="B146" t="str">
            <v>De La Salle Order, Archdiocese of Liverpool &amp; Hope</v>
          </cell>
        </row>
        <row r="147">
          <cell r="B147" t="str">
            <v>Deacon's Trust</v>
          </cell>
        </row>
        <row r="148">
          <cell r="B148" t="str">
            <v>Dearham Primary School</v>
          </cell>
        </row>
        <row r="149">
          <cell r="B149" t="str">
            <v>DEEP Consortium</v>
          </cell>
        </row>
        <row r="150">
          <cell r="B150" t="str">
            <v>Denbigh High School</v>
          </cell>
        </row>
        <row r="151">
          <cell r="B151" t="str">
            <v>Derby College</v>
          </cell>
        </row>
        <row r="152">
          <cell r="B152" t="str">
            <v>Developing Services for Teaching in Europe (DSTE)</v>
          </cell>
        </row>
        <row r="153">
          <cell r="B153" t="str">
            <v>Dilkes Primary School</v>
          </cell>
        </row>
        <row r="154">
          <cell r="B154" t="str">
            <v>Diocese of Bath &amp; Wells</v>
          </cell>
        </row>
        <row r="155">
          <cell r="B155" t="str">
            <v>Diocese of Blackburn (CofE)</v>
          </cell>
        </row>
        <row r="156">
          <cell r="B156" t="str">
            <v xml:space="preserve">Diocese of Bradford (joint Education Board with the Diocese of Leeds and Ripon) </v>
          </cell>
        </row>
        <row r="157">
          <cell r="B157" t="str">
            <v>Diocese of Canterbury</v>
          </cell>
        </row>
        <row r="158">
          <cell r="B158" t="str">
            <v>Diocese of Carlisle (CofE)</v>
          </cell>
        </row>
        <row r="159">
          <cell r="B159" t="str">
            <v>Diocese of Chelmsford</v>
          </cell>
        </row>
        <row r="160">
          <cell r="B160" t="str">
            <v>Diocese of Coventry</v>
          </cell>
        </row>
        <row r="161">
          <cell r="B161" t="str">
            <v>Diocese of Durham</v>
          </cell>
        </row>
        <row r="162">
          <cell r="B162" t="str">
            <v>Diocese of Ely</v>
          </cell>
        </row>
        <row r="163">
          <cell r="B163" t="str">
            <v>Diocese of Exeter</v>
          </cell>
        </row>
        <row r="164">
          <cell r="B164" t="str">
            <v>Diocese of Gloucester</v>
          </cell>
        </row>
        <row r="165">
          <cell r="B165" t="str">
            <v>Diocese of Guildford</v>
          </cell>
        </row>
        <row r="166">
          <cell r="B166" t="str">
            <v>Diocese of Hereford</v>
          </cell>
        </row>
        <row r="167">
          <cell r="B167" t="str">
            <v>Diocese of Hexham and Newcastle</v>
          </cell>
        </row>
        <row r="168">
          <cell r="B168" t="str">
            <v>Diocese of Leeds (Catholic)</v>
          </cell>
        </row>
        <row r="169">
          <cell r="B169" t="str">
            <v>Diocese of Leeds and Ripon (joint Education Board with the Diocese of Bradford)</v>
          </cell>
        </row>
        <row r="170">
          <cell r="B170" t="str">
            <v>Diocese of Leicester</v>
          </cell>
        </row>
        <row r="171">
          <cell r="B171" t="str">
            <v>Diocese of Lichfield</v>
          </cell>
        </row>
        <row r="172">
          <cell r="B172" t="str">
            <v xml:space="preserve">Diocese of Lincoln </v>
          </cell>
        </row>
        <row r="173">
          <cell r="B173" t="str">
            <v>Diocese of Liverpool</v>
          </cell>
        </row>
        <row r="174">
          <cell r="B174" t="str">
            <v>Diocese of London</v>
          </cell>
        </row>
        <row r="175">
          <cell r="B175" t="str">
            <v>Diocese of Manchester</v>
          </cell>
        </row>
        <row r="176">
          <cell r="B176" t="str">
            <v>Diocese of Manchester</v>
          </cell>
        </row>
        <row r="177">
          <cell r="B177" t="str">
            <v>Diocese of Newcastle</v>
          </cell>
        </row>
        <row r="178">
          <cell r="B178" t="str">
            <v>Diocese of Norwich</v>
          </cell>
        </row>
        <row r="179">
          <cell r="B179" t="str">
            <v>Diocese of Nottingham (RC)</v>
          </cell>
        </row>
        <row r="180">
          <cell r="B180" t="str">
            <v>Diocese of Oxford</v>
          </cell>
        </row>
        <row r="181">
          <cell r="B181" t="str">
            <v>Buckingham County Council</v>
          </cell>
        </row>
        <row r="182">
          <cell r="B182" t="str">
            <v>Diocese of Peterborough</v>
          </cell>
        </row>
        <row r="183">
          <cell r="B183" t="str">
            <v>Diocese of Rochester</v>
          </cell>
        </row>
        <row r="184">
          <cell r="B184" t="str">
            <v>Diocese of Salisbury</v>
          </cell>
        </row>
        <row r="185">
          <cell r="B185" t="str">
            <v>Diocese of Sheffield</v>
          </cell>
        </row>
        <row r="186">
          <cell r="B186" t="str">
            <v>Diocese of Southwark</v>
          </cell>
        </row>
        <row r="187">
          <cell r="B187" t="str">
            <v>Diocese of Southwell &amp; Nottingham</v>
          </cell>
        </row>
        <row r="188">
          <cell r="B188" t="str">
            <v>Diocese of Southwell and Nottingham</v>
          </cell>
        </row>
        <row r="189">
          <cell r="B189" t="str">
            <v>Diocese of St Albans</v>
          </cell>
        </row>
        <row r="190">
          <cell r="B190" t="str">
            <v>Diocese of St Edmundsbury and Ipswich</v>
          </cell>
        </row>
        <row r="191">
          <cell r="B191" t="str">
            <v>Diocese of Truro</v>
          </cell>
        </row>
        <row r="192">
          <cell r="B192" t="str">
            <v>Diocese of Wakefield</v>
          </cell>
        </row>
        <row r="193">
          <cell r="B193" t="str">
            <v>Diocese of Winchester</v>
          </cell>
        </row>
        <row r="194">
          <cell r="B194" t="str">
            <v>Diocese of York</v>
          </cell>
        </row>
        <row r="195">
          <cell r="B195" t="str">
            <v>Dixons City Academy</v>
          </cell>
        </row>
        <row r="196">
          <cell r="B196" t="str">
            <v>Djanogly Northgate Academy</v>
          </cell>
        </row>
        <row r="197">
          <cell r="B197" t="str">
            <v>Dover Grammar School For Boys</v>
          </cell>
        </row>
        <row r="198">
          <cell r="B198" t="str">
            <v>Dover Grammar School For Girls</v>
          </cell>
        </row>
        <row r="199">
          <cell r="B199" t="str">
            <v>Dr Challoner's Grammar School</v>
          </cell>
        </row>
        <row r="200">
          <cell r="B200" t="str">
            <v>Dragon School</v>
          </cell>
        </row>
        <row r="201">
          <cell r="B201" t="str">
            <v>Drapers Company</v>
          </cell>
        </row>
        <row r="202">
          <cell r="B202" t="str">
            <v>Dulwich College</v>
          </cell>
        </row>
        <row r="203">
          <cell r="B203" t="str">
            <v>Durham University</v>
          </cell>
        </row>
        <row r="204">
          <cell r="B204" t="str">
            <v>E-ACT</v>
          </cell>
        </row>
        <row r="205">
          <cell r="B205" t="str">
            <v>East Birmingham Network</v>
          </cell>
        </row>
        <row r="206">
          <cell r="B206" t="str">
            <v>East Middlesbrough Learning Trust</v>
          </cell>
        </row>
        <row r="207">
          <cell r="B207" t="str">
            <v>East Sussex Local Authority</v>
          </cell>
        </row>
        <row r="208">
          <cell r="B208" t="str">
            <v>Eastern College</v>
          </cell>
        </row>
        <row r="209">
          <cell r="B209" t="str">
            <v>Eaton Hall School, Norwich</v>
          </cell>
        </row>
        <row r="210">
          <cell r="B210" t="str">
            <v>Edge Foundation</v>
          </cell>
        </row>
        <row r="211">
          <cell r="B211" t="str">
            <v>Edison (The Collaborative Academies Trust)</v>
          </cell>
        </row>
        <row r="212">
          <cell r="B212" t="str">
            <v>Education Central (Wolverhampton University, Social Enterprise Ltd)</v>
          </cell>
        </row>
        <row r="213">
          <cell r="B213" t="str">
            <v>Education Excellence for All (EEA)</v>
          </cell>
        </row>
        <row r="214">
          <cell r="B214" t="str">
            <v>Education Fellowship Trust (Ewan Harpur)</v>
          </cell>
        </row>
        <row r="215">
          <cell r="B215" t="str">
            <v>Elliott Foundation</v>
          </cell>
        </row>
        <row r="216">
          <cell r="B216" t="str">
            <v>Elmridge Primary School</v>
          </cell>
        </row>
        <row r="217">
          <cell r="B217" t="str">
            <v>EMLC</v>
          </cell>
        </row>
        <row r="218">
          <cell r="B218" t="str">
            <v>Emmanuel Schools Foundation</v>
          </cell>
        </row>
        <row r="219">
          <cell r="B219" t="str">
            <v>Endeavour Academy Trust</v>
          </cell>
        </row>
        <row r="220">
          <cell r="B220" t="str">
            <v>Enquire Learning Trust</v>
          </cell>
        </row>
        <row r="221">
          <cell r="B221" t="str">
            <v>Enterprise PLC</v>
          </cell>
        </row>
        <row r="222">
          <cell r="B222" t="str">
            <v>Essa Foundation</v>
          </cell>
        </row>
        <row r="223">
          <cell r="B223" t="str">
            <v>Eton College</v>
          </cell>
        </row>
        <row r="224">
          <cell r="B224" t="str">
            <v>Excalibur Academies Trust</v>
          </cell>
        </row>
        <row r="225">
          <cell r="B225" t="str">
            <v>Exilarch's Foundation</v>
          </cell>
        </row>
        <row r="226">
          <cell r="B226" t="str">
            <v>Fairfax Academy Trust</v>
          </cell>
        </row>
        <row r="227">
          <cell r="B227" t="str">
            <v>Fawbert and Barnard's Primary School</v>
          </cell>
        </row>
        <row r="228">
          <cell r="B228" t="str">
            <v>Focus Education UK Ltd. &amp; Talking Point Ltd. (Focus Education)</v>
          </cell>
        </row>
        <row r="229">
          <cell r="B229" t="str">
            <v>Fort Pitt Grammar School</v>
          </cell>
        </row>
        <row r="230">
          <cell r="B230" t="str">
            <v>Framwellgate School Durham</v>
          </cell>
        </row>
        <row r="231">
          <cell r="B231" t="str">
            <v>Franklin Sixth Form College, Grimsby</v>
          </cell>
        </row>
        <row r="232">
          <cell r="B232" t="str">
            <v>Fulston Manor School</v>
          </cell>
        </row>
        <row r="233">
          <cell r="B233" t="str">
            <v>Furness College</v>
          </cell>
        </row>
        <row r="234">
          <cell r="B234" t="str">
            <v>Future (John Nash/Pimlico Academy)</v>
          </cell>
        </row>
        <row r="235">
          <cell r="B235" t="str">
            <v>Garrard Education Trust</v>
          </cell>
        </row>
        <row r="236">
          <cell r="B236" t="str">
            <v>Gateway Academy Trust (Ormiston)</v>
          </cell>
        </row>
        <row r="237">
          <cell r="B237" t="str">
            <v>Gentoo (formally the Sunderland Housing Group)</v>
          </cell>
        </row>
        <row r="238">
          <cell r="B238" t="str">
            <v>George Spencer Academy and Technology College</v>
          </cell>
        </row>
        <row r="239">
          <cell r="B239" t="str">
            <v>Gipsy Hill Federation of Kingswood, Lambeth</v>
          </cell>
        </row>
        <row r="240">
          <cell r="B240" t="str">
            <v>Girls' Day School Trust (GDST)</v>
          </cell>
        </row>
        <row r="241">
          <cell r="B241" t="str">
            <v xml:space="preserve">Global Route to Excellence Academies Trust (GREAT) </v>
          </cell>
        </row>
        <row r="242">
          <cell r="B242" t="str">
            <v>Glyn School</v>
          </cell>
        </row>
        <row r="243">
          <cell r="B243" t="str">
            <v>Gordon Phillips</v>
          </cell>
        </row>
        <row r="244">
          <cell r="B244" t="str">
            <v>Graham Dacre</v>
          </cell>
        </row>
        <row r="245">
          <cell r="B245" t="str">
            <v xml:space="preserve">Greensides Trust </v>
          </cell>
        </row>
        <row r="246">
          <cell r="B246" t="str">
            <v>Greenwood Dale Foundation Trust (Nottingham Academy)</v>
          </cell>
        </row>
        <row r="247">
          <cell r="B247" t="str">
            <v>Greig Trust</v>
          </cell>
        </row>
        <row r="248">
          <cell r="B248" t="str">
            <v>Griffin Trust (formerly Capital Talent)</v>
          </cell>
        </row>
        <row r="249">
          <cell r="B249" t="str">
            <v>Haberdasher's Livery Company (Haberdashers Aske Federation)</v>
          </cell>
        </row>
        <row r="250">
          <cell r="B250" t="str">
            <v>Hackney Community College</v>
          </cell>
        </row>
        <row r="251">
          <cell r="B251" t="str">
            <v>Haileybury</v>
          </cell>
        </row>
        <row r="252">
          <cell r="B252" t="str">
            <v>Hampshire County Council</v>
          </cell>
        </row>
        <row r="253">
          <cell r="B253" t="str">
            <v>Hanover Partnership</v>
          </cell>
        </row>
        <row r="254">
          <cell r="B254" t="str">
            <v>Harpur Trust (Bedford Charity)</v>
          </cell>
        </row>
        <row r="255">
          <cell r="B255" t="str">
            <v>Harris Federation of South London Schools</v>
          </cell>
        </row>
        <row r="256">
          <cell r="B256" t="str">
            <v>Harrow School</v>
          </cell>
        </row>
        <row r="257">
          <cell r="B257" t="str">
            <v>Hartismere High School</v>
          </cell>
        </row>
        <row r="258">
          <cell r="B258" t="str">
            <v>Hasmonean High School</v>
          </cell>
        </row>
        <row r="259">
          <cell r="B259" t="str">
            <v>Hartley Brook and Hatfield Trust (Hatfield Primary, Sheffield)</v>
          </cell>
        </row>
        <row r="260">
          <cell r="B260" t="str">
            <v>Hawkley Hall High School</v>
          </cell>
        </row>
        <row r="261">
          <cell r="B261" t="str">
            <v>Hawkley Hall High School</v>
          </cell>
        </row>
        <row r="262">
          <cell r="B262" t="str">
            <v>The Hayesbrook School</v>
          </cell>
        </row>
        <row r="263">
          <cell r="B263" t="str">
            <v>Heads, Teachers &amp; Industry Ltd (HTI)</v>
          </cell>
        </row>
        <row r="264">
          <cell r="B264" t="str">
            <v>Healing Science Academy</v>
          </cell>
        </row>
        <row r="265">
          <cell r="B265" t="str">
            <v>Heaton PS, Bradford</v>
          </cell>
        </row>
        <row r="266">
          <cell r="B266" t="str">
            <v>Highdown School and Sixth Form Centre</v>
          </cell>
        </row>
        <row r="267">
          <cell r="B267" t="str">
            <v>Hipperholme and Lightcliffe High School and Sports College, Calderdale</v>
          </cell>
        </row>
        <row r="268">
          <cell r="B268" t="str">
            <v>Histon and Impington Junior School</v>
          </cell>
        </row>
        <row r="269">
          <cell r="B269" t="str">
            <v>Hobart Capital Markets Ltd</v>
          </cell>
        </row>
        <row r="270">
          <cell r="B270" t="str">
            <v>Fylde Coast Teaching School Ltd (Hodgson School/ Blackpool Sixth Form College Teaching School)</v>
          </cell>
        </row>
        <row r="271">
          <cell r="B271" t="str">
            <v>Holiday Extras</v>
          </cell>
        </row>
        <row r="272">
          <cell r="B272" t="str">
            <v>Holland Park School</v>
          </cell>
        </row>
        <row r="273">
          <cell r="B273" t="str">
            <v>Holte School</v>
          </cell>
        </row>
        <row r="274">
          <cell r="B274" t="str">
            <v>Holte School</v>
          </cell>
        </row>
        <row r="275">
          <cell r="B275" t="str">
            <v xml:space="preserve">Home Group Ltd </v>
          </cell>
        </row>
        <row r="276">
          <cell r="B276" t="str">
            <v>Horton Grange PS, Bradford</v>
          </cell>
        </row>
        <row r="277">
          <cell r="B277" t="str">
            <v>Howard of Effingham School</v>
          </cell>
        </row>
        <row r="278">
          <cell r="B278" t="str">
            <v>Hull College</v>
          </cell>
        </row>
        <row r="279">
          <cell r="B279" t="str">
            <v>Hull University</v>
          </cell>
        </row>
        <row r="280">
          <cell r="B280" t="str">
            <v>Hummersknott Academy Trust</v>
          </cell>
        </row>
        <row r="281">
          <cell r="B281" t="str">
            <v>Ilsham CofE Academy, Torquay</v>
          </cell>
        </row>
        <row r="282">
          <cell r="B282" t="str">
            <v>Inspirational Schools Trust (Tribal)</v>
          </cell>
        </row>
        <row r="283">
          <cell r="B283" t="str">
            <v>International English Schools (IES)</v>
          </cell>
        </row>
        <row r="284">
          <cell r="B284" t="str">
            <v>Jack Petchey</v>
          </cell>
        </row>
        <row r="285">
          <cell r="B285" t="str">
            <v>JCB</v>
          </cell>
        </row>
        <row r="286">
          <cell r="B286" t="str">
            <v>John Laycock</v>
          </cell>
        </row>
        <row r="287">
          <cell r="B287" t="str">
            <v>John Madejski</v>
          </cell>
        </row>
        <row r="288">
          <cell r="B288" t="str">
            <v>John O’Gaunt Community Technology College</v>
          </cell>
        </row>
        <row r="289">
          <cell r="B289" t="str">
            <v>John Ruskin School, Cumbria</v>
          </cell>
        </row>
        <row r="290">
          <cell r="B290" t="str">
            <v>The John Wallis Church of England Academy</v>
          </cell>
        </row>
        <row r="291">
          <cell r="B291" t="str">
            <v>K12</v>
          </cell>
        </row>
        <row r="292">
          <cell r="B292" t="str">
            <v>Kemnal Academies Trust</v>
          </cell>
        </row>
        <row r="293">
          <cell r="B293" t="str">
            <v>Kendrick School, Reading</v>
          </cell>
        </row>
        <row r="294">
          <cell r="B294" t="str">
            <v>Kent County Council</v>
          </cell>
        </row>
        <row r="295">
          <cell r="B295" t="str">
            <v>Kenton School</v>
          </cell>
        </row>
        <row r="296">
          <cell r="B296" t="str">
            <v>Kernow Collaborative Trust (Trenance Learning Academy)</v>
          </cell>
        </row>
        <row r="297">
          <cell r="B297" t="str">
            <v>King Edward VI Foundation (Grammar School)</v>
          </cell>
        </row>
        <row r="298">
          <cell r="B298" t="str">
            <v>King Ecgbert High School, Sheffield</v>
          </cell>
        </row>
        <row r="299">
          <cell r="B299" t="str">
            <v>King John School</v>
          </cell>
        </row>
        <row r="300">
          <cell r="B300" t="str">
            <v>King’s College Junior School, Wimbeldon</v>
          </cell>
        </row>
        <row r="301">
          <cell r="B301" t="str">
            <v>The Kingfisher Community Special School</v>
          </cell>
        </row>
        <row r="302">
          <cell r="B302" t="str">
            <v>King's School, Rochester</v>
          </cell>
        </row>
        <row r="303">
          <cell r="B303" t="str">
            <v>Kingsdown School</v>
          </cell>
        </row>
        <row r="304">
          <cell r="B304" t="str">
            <v>Kingshurst CTC Trust</v>
          </cell>
        </row>
        <row r="305">
          <cell r="B305" t="str">
            <v>Kingsmead School</v>
          </cell>
        </row>
        <row r="306">
          <cell r="B306" t="str">
            <v>Laidlaw Capital Management</v>
          </cell>
        </row>
        <row r="307">
          <cell r="B307" t="str">
            <v>East Manchester Academy Trust (Laing O'Rourke/ LendLlease)</v>
          </cell>
        </row>
        <row r="308">
          <cell r="B308" t="str">
            <v>Lakes College - West Cumbria</v>
          </cell>
        </row>
        <row r="309">
          <cell r="B309" t="str">
            <v>Landau Foundation</v>
          </cell>
        </row>
        <row r="310">
          <cell r="B310" t="str">
            <v>Lark Rise Academy</v>
          </cell>
        </row>
        <row r="311">
          <cell r="B311" t="str">
            <v>Lead Academy Trust - Huntingdon Academy</v>
          </cell>
        </row>
        <row r="312">
          <cell r="B312" t="str">
            <v>Learning School Trust (Kunskapsskolan)</v>
          </cell>
        </row>
        <row r="313">
          <cell r="B313" t="str">
            <v>Lee Chapel Primary School</v>
          </cell>
        </row>
        <row r="314">
          <cell r="B314" t="str">
            <v>Leeds City College</v>
          </cell>
        </row>
        <row r="315">
          <cell r="B315" t="str">
            <v>Leigh Technology Academy Trust</v>
          </cell>
        </row>
        <row r="316">
          <cell r="B316" t="str">
            <v>Leighton Group</v>
          </cell>
        </row>
        <row r="317">
          <cell r="B317" t="str">
            <v>Lend Lease</v>
          </cell>
        </row>
        <row r="318">
          <cell r="B318" t="str">
            <v>Lend Lease and Lord Harris</v>
          </cell>
        </row>
        <row r="319">
          <cell r="B319" t="str">
            <v>Lever Edge Primary Academy</v>
          </cell>
        </row>
        <row r="320">
          <cell r="B320" t="str">
            <v>Leverington Primary Academy</v>
          </cell>
        </row>
        <row r="321">
          <cell r="B321" t="str">
            <v>Lewisham College</v>
          </cell>
        </row>
        <row r="322">
          <cell r="B322" t="str">
            <v>Lichfield Diocese</v>
          </cell>
        </row>
        <row r="323">
          <cell r="B323" t="str">
            <v>Lilac Sky Schools Ltd</v>
          </cell>
        </row>
        <row r="324">
          <cell r="B324" t="str">
            <v>Lincoln College</v>
          </cell>
        </row>
        <row r="325">
          <cell r="B325" t="str">
            <v>Link Telecom</v>
          </cell>
        </row>
        <row r="326">
          <cell r="B326" t="str">
            <v>Little Mead Academy Trust</v>
          </cell>
        </row>
        <row r="327">
          <cell r="B327" t="str">
            <v>Liverpool Community College</v>
          </cell>
        </row>
        <row r="328">
          <cell r="B328" t="str">
            <v>London South Bank University</v>
          </cell>
        </row>
        <row r="329">
          <cell r="B329" t="str">
            <v>The Longfield Academy Trust</v>
          </cell>
        </row>
        <row r="330">
          <cell r="B330" t="str">
            <v>Lord Ashcroft (Ashcroft Technology Academy)</v>
          </cell>
        </row>
        <row r="331">
          <cell r="B331" t="str">
            <v>Lord Laidlaw of Rothiemay</v>
          </cell>
        </row>
        <row r="332">
          <cell r="B332" t="str">
            <v>Lord Scudamore Foundation, Herefordshire</v>
          </cell>
        </row>
        <row r="333">
          <cell r="B333" t="str">
            <v>Loughborough Federation of Schools (Primary), Lambeth</v>
          </cell>
        </row>
        <row r="334">
          <cell r="B334" t="str">
            <v>Lynn Grove High School</v>
          </cell>
        </row>
        <row r="335">
          <cell r="B335" t="str">
            <v>Lyons Hall School</v>
          </cell>
        </row>
        <row r="336">
          <cell r="B336" t="str">
            <v>Macclesfield College</v>
          </cell>
        </row>
        <row r="337">
          <cell r="B337" t="str">
            <v>Macintyres</v>
          </cell>
        </row>
        <row r="338">
          <cell r="B338" t="str">
            <v>Macmillan Academy</v>
          </cell>
        </row>
        <row r="339">
          <cell r="B339" t="str">
            <v>Mancester Airport</v>
          </cell>
        </row>
        <row r="340">
          <cell r="B340" t="str">
            <v>Manchester Children's University Hospital NHS Trust</v>
          </cell>
        </row>
        <row r="341">
          <cell r="B341" t="str">
            <v>Manchester City Council</v>
          </cell>
        </row>
        <row r="342">
          <cell r="B342" t="str">
            <v>Manchester College</v>
          </cell>
        </row>
        <row r="343">
          <cell r="B343" t="str">
            <v>Manchester Grammar School</v>
          </cell>
        </row>
        <row r="344">
          <cell r="B344" t="str">
            <v>Manor CofE School</v>
          </cell>
        </row>
        <row r="345">
          <cell r="B345" t="str">
            <v>Marish Primary School</v>
          </cell>
        </row>
        <row r="346">
          <cell r="B346" t="str">
            <v>Martham Foundation Primary School and Nursery</v>
          </cell>
        </row>
        <row r="347">
          <cell r="B347" t="str">
            <v>Medway Council</v>
          </cell>
        </row>
        <row r="348">
          <cell r="B348" t="str">
            <v>Menssa Education</v>
          </cell>
        </row>
        <row r="349">
          <cell r="B349" t="str">
            <v>Meopham Community Academy</v>
          </cell>
        </row>
        <row r="350">
          <cell r="B350" t="str">
            <v>Mercers Company, The</v>
          </cell>
        </row>
        <row r="351">
          <cell r="B351" t="str">
            <v>Merchant Venturers, The Society of</v>
          </cell>
        </row>
        <row r="352">
          <cell r="B352" t="str">
            <v>Methodist Church</v>
          </cell>
        </row>
        <row r="353">
          <cell r="B353" t="str">
            <v>MGL</v>
          </cell>
        </row>
        <row r="354">
          <cell r="B354" t="str">
            <v>Microsoft</v>
          </cell>
        </row>
        <row r="355">
          <cell r="B355" t="str">
            <v>Middlefield Community Primary School</v>
          </cell>
        </row>
        <row r="356">
          <cell r="B356" t="str">
            <v xml:space="preserve">Milford-on-Sea Primary School
</v>
          </cell>
        </row>
        <row r="357">
          <cell r="B357" t="str">
            <v>Mills Hill PS Teaching School</v>
          </cell>
        </row>
        <row r="358">
          <cell r="B358" t="str">
            <v>Ministry of Defence</v>
          </cell>
        </row>
        <row r="359">
          <cell r="B359" t="str">
            <v>Monteney Primary School</v>
          </cell>
        </row>
        <row r="360">
          <cell r="B360" t="str">
            <v>Montsaye Academy</v>
          </cell>
        </row>
        <row r="361">
          <cell r="B361" t="str">
            <v>Moor End Academy (Huddersfield)</v>
          </cell>
        </row>
        <row r="362">
          <cell r="B362" t="str">
            <v>Moor Park Primary School</v>
          </cell>
        </row>
        <row r="363">
          <cell r="B363" t="str">
            <v>Morley Education Ltd</v>
          </cell>
        </row>
        <row r="364">
          <cell r="B364" t="str">
            <v>Mosaica Education, Inc.</v>
          </cell>
        </row>
        <row r="365">
          <cell r="B365" t="str">
            <v>Mossbourne Academy</v>
          </cell>
        </row>
        <row r="366">
          <cell r="B366" t="str">
            <v>Moulton College</v>
          </cell>
        </row>
        <row r="367">
          <cell r="B367" t="str">
            <v>National Education Trust</v>
          </cell>
        </row>
        <row r="368">
          <cell r="B368" t="str">
            <v>Navigate Resourcing Ltd</v>
          </cell>
        </row>
        <row r="369">
          <cell r="B369" t="str">
            <v>Nelson &amp; Colne College</v>
          </cell>
        </row>
        <row r="370">
          <cell r="B370" t="str">
            <v>Netherthorpe School</v>
          </cell>
        </row>
        <row r="371">
          <cell r="B371" t="str">
            <v>New Charter Housing Trust Ltd</v>
          </cell>
        </row>
        <row r="372">
          <cell r="B372" t="str">
            <v>New College Durham</v>
          </cell>
        </row>
        <row r="373">
          <cell r="B373" t="str">
            <v xml:space="preserve">New College Nottingham </v>
          </cell>
        </row>
        <row r="374">
          <cell r="B374" t="str">
            <v>New Hall School Trust (NHST)</v>
          </cell>
        </row>
        <row r="375">
          <cell r="B375" t="str">
            <v xml:space="preserve">Newcastle and Durham Dioceses </v>
          </cell>
        </row>
        <row r="376">
          <cell r="B376" t="str">
            <v>Newcastle College</v>
          </cell>
        </row>
        <row r="377">
          <cell r="B377" t="str">
            <v>Newquay Junior Academy</v>
          </cell>
        </row>
        <row r="378">
          <cell r="B378" t="str">
            <v>Ninestiles School</v>
          </cell>
        </row>
        <row r="379">
          <cell r="B379" t="str">
            <v xml:space="preserve">Nord Anglia Education </v>
          </cell>
        </row>
        <row r="380">
          <cell r="B380" t="str">
            <v>Norfolk Community Foundation</v>
          </cell>
        </row>
        <row r="381">
          <cell r="B381" t="str">
            <v>North Halifax Grammar School, Halifax</v>
          </cell>
        </row>
        <row r="382">
          <cell r="B382" t="str">
            <v>North Town Primary, Taunton</v>
          </cell>
        </row>
        <row r="383">
          <cell r="B383" t="str">
            <v>North Tyneside Academy Foundation (formerly North Tyneside Learning Trust)</v>
          </cell>
        </row>
        <row r="384">
          <cell r="B384" t="str">
            <v>North Warwickshire and Hinckley College</v>
          </cell>
        </row>
        <row r="385">
          <cell r="B385" t="str">
            <v>Northern Education (Les Walton)</v>
          </cell>
        </row>
        <row r="386">
          <cell r="B386" t="str">
            <v>Northumbrian Water</v>
          </cell>
        </row>
        <row r="387">
          <cell r="B387" t="str">
            <v>Norton College</v>
          </cell>
        </row>
        <row r="388">
          <cell r="B388" t="str">
            <v>Norwich City College of Further and Higher Education</v>
          </cell>
        </row>
        <row r="389">
          <cell r="B389" t="str">
            <v>Norwich School</v>
          </cell>
        </row>
        <row r="390">
          <cell r="B390" t="str">
            <v>Notley Green Primary School</v>
          </cell>
        </row>
        <row r="391">
          <cell r="B391" t="str">
            <v>Notley High School and Braintree Sixth Form</v>
          </cell>
        </row>
        <row r="392">
          <cell r="B392" t="str">
            <v>Nuclear Decommissioing Authority Sellafield</v>
          </cell>
        </row>
        <row r="393">
          <cell r="B393" t="str">
            <v>Oakmead College of Technology (Leaf Trust)</v>
          </cell>
        </row>
        <row r="394">
          <cell r="B394" t="str">
            <v>Oasis</v>
          </cell>
        </row>
        <row r="395">
          <cell r="B395" t="str">
            <v>Old Basford Primary School</v>
          </cell>
        </row>
        <row r="396">
          <cell r="B396" t="str">
            <v>One Education Ltd</v>
          </cell>
        </row>
        <row r="397">
          <cell r="B397" t="str">
            <v>Ossett Academy</v>
          </cell>
        </row>
        <row r="398">
          <cell r="B398" t="str">
            <v>Outwood Grange Family of Schools</v>
          </cell>
        </row>
        <row r="399">
          <cell r="B399" t="str">
            <v>Oxford and Cherwell Valley College</v>
          </cell>
        </row>
        <row r="400">
          <cell r="B400" t="str">
            <v>PAPH Community Interest Company</v>
          </cell>
        </row>
        <row r="401">
          <cell r="B401" t="str">
            <v>Parbold School, Wigan, Lancs</v>
          </cell>
        </row>
        <row r="402">
          <cell r="B402" t="str">
            <v>Park Road Academy Primary School</v>
          </cell>
        </row>
        <row r="403">
          <cell r="B403" t="str">
            <v>Park View School the Academy of Mathematics and Science.</v>
          </cell>
        </row>
        <row r="404">
          <cell r="B404" t="str">
            <v>Parkhouse School</v>
          </cell>
        </row>
        <row r="405">
          <cell r="B405" t="str">
            <v>Parkside School</v>
          </cell>
        </row>
        <row r="406">
          <cell r="B406" t="str">
            <v>Pate's Grammar School</v>
          </cell>
        </row>
        <row r="407">
          <cell r="B407" t="str">
            <v>Patricia Davies (Educational Consultant)</v>
          </cell>
        </row>
        <row r="408">
          <cell r="B408" t="str">
            <v>Paul Connew</v>
          </cell>
        </row>
        <row r="409">
          <cell r="B409" t="str">
            <v>Penair Academy</v>
          </cell>
        </row>
        <row r="410">
          <cell r="B410" t="str">
            <v>Penrice Community College</v>
          </cell>
        </row>
        <row r="411">
          <cell r="B411" t="str">
            <v>Penrice Community College Academy Trust</v>
          </cell>
        </row>
        <row r="412">
          <cell r="B412" t="str">
            <v>Peter Shalson</v>
          </cell>
        </row>
        <row r="413">
          <cell r="B413" t="str">
            <v xml:space="preserve">Phoenix Multi-Academy Trust </v>
          </cell>
        </row>
        <row r="414">
          <cell r="B414" t="str">
            <v>Pickhurst Junior school</v>
          </cell>
        </row>
        <row r="415">
          <cell r="B415" t="str">
            <v>Pontefract Education Trust</v>
          </cell>
        </row>
        <row r="416">
          <cell r="B416" t="str">
            <v>Pool Academy</v>
          </cell>
        </row>
        <row r="417">
          <cell r="B417" t="str">
            <v>Portswood Primary, Southampton</v>
          </cell>
        </row>
        <row r="418">
          <cell r="B418" t="str">
            <v>Preston CofE VC Primary School</v>
          </cell>
        </row>
        <row r="419">
          <cell r="B419" t="str">
            <v>Primary Academies Trust (PAT) / First Federation</v>
          </cell>
        </row>
        <row r="420">
          <cell r="B420" t="str">
            <v>Priory Fundraising Trust</v>
          </cell>
        </row>
        <row r="421">
          <cell r="B421" t="str">
            <v>Prospects Education Services Ltd</v>
          </cell>
        </row>
        <row r="422">
          <cell r="B422" t="str">
            <v>Q3 (Eric and Grace Payne)</v>
          </cell>
        </row>
        <row r="423">
          <cell r="B423" t="str">
            <v>Queen Mary's College (QMC)</v>
          </cell>
        </row>
        <row r="424">
          <cell r="B424" t="str">
            <v>Quintin Kynaston School</v>
          </cell>
        </row>
        <row r="425">
          <cell r="B425" t="str">
            <v>Radley College</v>
          </cell>
        </row>
        <row r="426">
          <cell r="B426" t="str">
            <v>Ramsden Hall</v>
          </cell>
        </row>
        <row r="427">
          <cell r="B427" t="str">
            <v>Rastrick High School, Calderdale</v>
          </cell>
        </row>
        <row r="428">
          <cell r="B428" t="str">
            <v>Ravens Wood School, Bromley</v>
          </cell>
        </row>
        <row r="429">
          <cell r="B429" t="str">
            <v>REAch2 (Hillyfield Primary Academy)</v>
          </cell>
        </row>
        <row r="430">
          <cell r="B430" t="str">
            <v>Redhill Academy, Nottinghamshire</v>
          </cell>
        </row>
        <row r="431">
          <cell r="B431" t="str">
            <v>Redmoor High School</v>
          </cell>
        </row>
        <row r="432">
          <cell r="B432" t="str">
            <v>RGS Guildford</v>
          </cell>
        </row>
        <row r="433">
          <cell r="B433" t="str">
            <v>Ribston Hall High School (Grammar School)</v>
          </cell>
        </row>
        <row r="434">
          <cell r="B434" t="str">
            <v>Rivendale Trust (Schools Plus)</v>
          </cell>
        </row>
        <row r="435">
          <cell r="B435" t="str">
            <v>RM Education</v>
          </cell>
        </row>
        <row r="436">
          <cell r="B436" t="str">
            <v xml:space="preserve">RNIB Pears Centre for Specialist Learning </v>
          </cell>
        </row>
        <row r="437">
          <cell r="B437" t="str">
            <v>Robert Owen Group</v>
          </cell>
        </row>
        <row r="438">
          <cell r="B438" t="str">
            <v>Robin Hood PS, Leeds</v>
          </cell>
        </row>
        <row r="439">
          <cell r="B439" t="str">
            <v>Rochester Diocesan Board of Education</v>
          </cell>
        </row>
        <row r="440">
          <cell r="B440" t="str">
            <v>Roger De Haan</v>
          </cell>
        </row>
        <row r="441">
          <cell r="B441" t="str">
            <v>Rosedale Hewens Academy Trust</v>
          </cell>
        </row>
        <row r="442">
          <cell r="B442" t="str">
            <v>Royal Grammar School, Newcastle</v>
          </cell>
        </row>
        <row r="443">
          <cell r="B443" t="str">
            <v>RSA</v>
          </cell>
        </row>
        <row r="444">
          <cell r="B444" t="str">
            <v>Rugby School</v>
          </cell>
        </row>
        <row r="445">
          <cell r="B445" t="str">
            <v>Rush Common School</v>
          </cell>
        </row>
        <row r="446">
          <cell r="B446" t="str">
            <v>Rushey Mead</v>
          </cell>
        </row>
        <row r="447">
          <cell r="B447" t="str">
            <v>Russell Education Trust</v>
          </cell>
        </row>
        <row r="448">
          <cell r="B448" t="str">
            <v>Salford City College</v>
          </cell>
        </row>
        <row r="449">
          <cell r="B449" t="str">
            <v>Samuel Ward Academy</v>
          </cell>
        </row>
        <row r="450">
          <cell r="B450" t="str">
            <v>Samworth Brothers</v>
          </cell>
        </row>
        <row r="451">
          <cell r="B451" t="str">
            <v>Sandon Primary School</v>
          </cell>
        </row>
        <row r="452">
          <cell r="B452" t="str">
            <v>Scarborough Sixth Form College</v>
          </cell>
        </row>
        <row r="453">
          <cell r="B453" t="str">
            <v>School Partnership Trust (Garforth)</v>
          </cell>
        </row>
        <row r="454">
          <cell r="B454" t="str">
            <v>Schools Company Ltd</v>
          </cell>
        </row>
        <row r="455">
          <cell r="B455" t="str">
            <v>Schools Co-operative Society</v>
          </cell>
        </row>
        <row r="456">
          <cell r="B456" t="str">
            <v>Selby College</v>
          </cell>
        </row>
        <row r="457">
          <cell r="B457" t="str">
            <v>Selling Church of England Primary School (The Village Academy Trust)</v>
          </cell>
        </row>
        <row r="458">
          <cell r="B458" t="str">
            <v>SERCO</v>
          </cell>
        </row>
        <row r="459">
          <cell r="B459" t="str">
            <v>Sevenoaks School</v>
          </cell>
        </row>
        <row r="460">
          <cell r="B460" t="str">
            <v>Sheffield Hallam University</v>
          </cell>
        </row>
        <row r="461">
          <cell r="B461" t="str">
            <v>Sheffield High School</v>
          </cell>
        </row>
        <row r="462">
          <cell r="B462" t="str">
            <v>Sherborne School</v>
          </cell>
        </row>
        <row r="463">
          <cell r="B463" t="str">
            <v>Shireland Collegiate Academy</v>
          </cell>
        </row>
        <row r="464">
          <cell r="B464" t="str">
            <v>Shrewsbury School</v>
          </cell>
        </row>
        <row r="465">
          <cell r="B465" t="str">
            <v>Siddal PS, Halifax</v>
          </cell>
        </row>
        <row r="466">
          <cell r="B466" t="str">
            <v>Sir Christopher Hatton Academy, Wellingborough</v>
          </cell>
        </row>
        <row r="467">
          <cell r="B467" t="str">
            <v>Sir Clive Bourne (now deceased)</v>
          </cell>
        </row>
        <row r="468">
          <cell r="B468" t="str">
            <v>Sir Frank Lowe</v>
          </cell>
        </row>
        <row r="469">
          <cell r="B469" t="str">
            <v>Sir John Cass's Foundation</v>
          </cell>
        </row>
        <row r="470">
          <cell r="B470" t="str">
            <v>Sir John Lawes School</v>
          </cell>
        </row>
        <row r="471">
          <cell r="B471" t="str">
            <v>Sir Joseph Williamson's Mathematical School, Medway (The Williamson Trust)</v>
          </cell>
        </row>
        <row r="472">
          <cell r="B472" t="str">
            <v>Sir Martyn Arbib</v>
          </cell>
        </row>
        <row r="473">
          <cell r="B473" t="str">
            <v>Skinners Company with West Kent College and Kent County Council</v>
          </cell>
        </row>
        <row r="474">
          <cell r="B474" t="str">
            <v>Skinners Company, The</v>
          </cell>
        </row>
        <row r="475">
          <cell r="B475" t="str">
            <v>Slough and Eton CofE Business and Enterprise College</v>
          </cell>
        </row>
        <row r="476">
          <cell r="B476" t="str">
            <v>South Devon College</v>
          </cell>
        </row>
        <row r="477">
          <cell r="B477" t="str">
            <v>South Downs FE College</v>
          </cell>
        </row>
        <row r="478">
          <cell r="B478" t="str">
            <v>South Essex College of Further and Higher Education
 (formerly South East Essex College)</v>
          </cell>
        </row>
        <row r="479">
          <cell r="B479" t="str">
            <v xml:space="preserve">South Farnham School </v>
          </cell>
        </row>
        <row r="480">
          <cell r="B480" t="str">
            <v>South Hunsley School and Sixth Form College (Secondary)</v>
          </cell>
        </row>
        <row r="481">
          <cell r="B481" t="str">
            <v>South Nottingham College</v>
          </cell>
        </row>
        <row r="482">
          <cell r="B482" t="str">
            <v>South Staffordshire College</v>
          </cell>
        </row>
        <row r="483">
          <cell r="B483" t="str">
            <v>South Tyneside College</v>
          </cell>
        </row>
        <row r="484">
          <cell r="B484" t="str">
            <v>Southwark College</v>
          </cell>
        </row>
        <row r="485">
          <cell r="B485" t="str">
            <v>Southwark Academy, Nottingham</v>
          </cell>
        </row>
        <row r="486">
          <cell r="B486" t="str">
            <v>Specialist Schools and Academies Trust (SSAT)</v>
          </cell>
        </row>
        <row r="487">
          <cell r="B487" t="str">
            <v>St Bede Academy (Bolton)</v>
          </cell>
        </row>
        <row r="488">
          <cell r="B488" t="str">
            <v>St Bede's Catholic School and sixth form</v>
          </cell>
        </row>
        <row r="489">
          <cell r="B489" t="str">
            <v>St Chad’s CofE Primary School</v>
          </cell>
        </row>
        <row r="490">
          <cell r="B490" t="str">
            <v>St Clere’s Academy</v>
          </cell>
        </row>
        <row r="491">
          <cell r="B491" t="str">
            <v>St George's College of Technology</v>
          </cell>
        </row>
        <row r="492">
          <cell r="B492" t="str">
            <v>St George's School</v>
          </cell>
        </row>
        <row r="493">
          <cell r="B493" t="str">
            <v>St Helen's College</v>
          </cell>
        </row>
        <row r="494">
          <cell r="B494" t="str">
            <v>St John Plessington Catholic College, Wirral</v>
          </cell>
        </row>
        <row r="495">
          <cell r="B495" t="str">
            <v>St John the Baptist School, Woking (Secondary)</v>
          </cell>
        </row>
        <row r="496">
          <cell r="B496" t="str">
            <v>St Joseph's College Edmund Rice Academy Trust</v>
          </cell>
        </row>
        <row r="497">
          <cell r="B497" t="str">
            <v xml:space="preserve">St Mary’s C of E A Primary School, Barnsley </v>
          </cell>
        </row>
        <row r="498">
          <cell r="B498" t="str">
            <v>St Mary's Calne</v>
          </cell>
        </row>
        <row r="499">
          <cell r="B499" t="str">
            <v>St Matthews CofE Primary School</v>
          </cell>
        </row>
        <row r="500">
          <cell r="B500" t="str">
            <v>St Michaels C.E. Infant School</v>
          </cell>
        </row>
        <row r="501">
          <cell r="B501" t="str">
            <v>St Paul’s Catholic College</v>
          </cell>
        </row>
        <row r="502">
          <cell r="B502" t="str">
            <v>St Paul’s Catholic College</v>
          </cell>
        </row>
        <row r="503">
          <cell r="B503" t="str">
            <v>St Peter's Catholic Primary School</v>
          </cell>
        </row>
        <row r="504">
          <cell r="B504" t="str">
            <v>St Simon &amp; St Jude PS, Bolton</v>
          </cell>
        </row>
        <row r="505">
          <cell r="B505" t="str">
            <v>St Stephen's Junior School</v>
          </cell>
        </row>
        <row r="506">
          <cell r="B506" t="str">
            <v>St Thomas More's Catholic School, Blaydon Upon-Tyne</v>
          </cell>
        </row>
        <row r="507">
          <cell r="B507" t="str">
            <v>St Thomas More's Primary School, Colchester</v>
          </cell>
        </row>
        <row r="508">
          <cell r="B508" t="str">
            <v>St. Joseph Catholic Academy</v>
          </cell>
        </row>
        <row r="509">
          <cell r="B509" t="str">
            <v>St. Peter's Collegiate School</v>
          </cell>
        </row>
        <row r="510">
          <cell r="B510" t="str">
            <v>Stafford College</v>
          </cell>
        </row>
        <row r="511">
          <cell r="B511" t="str">
            <v>Staffordshire University</v>
          </cell>
        </row>
        <row r="512">
          <cell r="B512" t="str">
            <v>Stanton Lane Trust</v>
          </cell>
        </row>
        <row r="513">
          <cell r="B513" t="str">
            <v>Steiner Waldorf</v>
          </cell>
        </row>
        <row r="514">
          <cell r="B514" t="str">
            <v>STEP Academy Trust</v>
          </cell>
        </row>
        <row r="515">
          <cell r="B515" t="str">
            <v>Stephenson College</v>
          </cell>
        </row>
        <row r="516">
          <cell r="B516" t="str">
            <v>Stewart Fleming Primary School - The Pioneer Academy</v>
          </cell>
        </row>
        <row r="517">
          <cell r="B517" t="str">
            <v>Stockton Primary Care Trust</v>
          </cell>
        </row>
        <row r="518">
          <cell r="B518" t="str">
            <v>Stockton Riverside College</v>
          </cell>
        </row>
        <row r="519">
          <cell r="B519" t="str">
            <v>Stockton Sixth Form College</v>
          </cell>
        </row>
        <row r="520">
          <cell r="B520" t="str">
            <v>Stockwell Park High school</v>
          </cell>
        </row>
        <row r="521">
          <cell r="B521" t="str">
            <v>Stoke-on-Trent College</v>
          </cell>
        </row>
        <row r="522">
          <cell r="B522" t="str">
            <v>Strategic Support Partnerships</v>
          </cell>
        </row>
        <row r="523">
          <cell r="B523" t="str">
            <v>Stratton Upper</v>
          </cell>
        </row>
        <row r="524">
          <cell r="B524" t="str">
            <v>Sturry Church of England Primary School</v>
          </cell>
        </row>
        <row r="525">
          <cell r="B525" t="str">
            <v>Suffolk New College</v>
          </cell>
        </row>
        <row r="526">
          <cell r="B526" t="str">
            <v>Sunderland University</v>
          </cell>
        </row>
        <row r="527">
          <cell r="B527" t="str">
            <v>Sussex Downs College</v>
          </cell>
        </row>
        <row r="528">
          <cell r="B528" t="str">
            <v>Swavesey Village College (Cambridge Meridian Educational Trust)</v>
          </cell>
        </row>
        <row r="529">
          <cell r="B529" t="str">
            <v>Swinton High School, Salford</v>
          </cell>
        </row>
        <row r="530">
          <cell r="B530" t="str">
            <v>Synarbor</v>
          </cell>
        </row>
        <row r="531">
          <cell r="B531" t="str">
            <v>Tabor Science College</v>
          </cell>
        </row>
        <row r="532">
          <cell r="B532" t="str">
            <v>Tamside College (Droylsden Academy)</v>
          </cell>
        </row>
        <row r="533">
          <cell r="B533" t="str">
            <v>Tapton School</v>
          </cell>
        </row>
        <row r="534">
          <cell r="B534" t="str">
            <v>Tauheedul Islam Girls High School</v>
          </cell>
        </row>
        <row r="535">
          <cell r="B535" t="str">
            <v>TBG Learning Trust</v>
          </cell>
        </row>
        <row r="536">
          <cell r="B536" t="str">
            <v>Ted Wragg Trust</v>
          </cell>
        </row>
        <row r="537">
          <cell r="B537" t="str">
            <v xml:space="preserve">Telford Learning Partnership </v>
          </cell>
        </row>
        <row r="538">
          <cell r="B538" t="str">
            <v>Temple Grove Schools Trust</v>
          </cell>
        </row>
        <row r="539">
          <cell r="B539" t="str">
            <v>The Academy at Shotton Hall</v>
          </cell>
        </row>
        <row r="540">
          <cell r="B540" t="str">
            <v xml:space="preserve">Active Learning Trust </v>
          </cell>
        </row>
        <row r="541">
          <cell r="B541" t="str">
            <v>The Arnewood School</v>
          </cell>
        </row>
        <row r="542">
          <cell r="B542" t="str">
            <v>The Arthur Terry School</v>
          </cell>
        </row>
        <row r="543">
          <cell r="B543" t="str">
            <v>The Association of Muslim Schools UK (AMS)</v>
          </cell>
        </row>
        <row r="544">
          <cell r="B544" t="str">
            <v>The Barnehurst Federation of Schools (Barnehurst School)</v>
          </cell>
        </row>
        <row r="545">
          <cell r="B545" t="str">
            <v>The Cathedral School (Creative Solutions Partnership)</v>
          </cell>
        </row>
        <row r="546">
          <cell r="B546" t="str">
            <v>The Compton School, Barnet</v>
          </cell>
        </row>
        <row r="547">
          <cell r="B547" t="str">
            <v>The Corsham School</v>
          </cell>
        </row>
        <row r="548">
          <cell r="B548" t="str">
            <v>The Durham Federation</v>
          </cell>
        </row>
        <row r="549">
          <cell r="B549" t="str">
            <v>The Duston School</v>
          </cell>
        </row>
        <row r="550">
          <cell r="B550" t="str">
            <v>The Federation of Arthur's Hill Primary Schools</v>
          </cell>
        </row>
        <row r="551">
          <cell r="B551" t="str">
            <v>The Heath Academy, Runcorn</v>
          </cell>
        </row>
        <row r="552">
          <cell r="B552" t="str">
            <v>The Joshua Watson Trust (new name for CASL)</v>
          </cell>
        </row>
        <row r="553">
          <cell r="B553" t="str">
            <v>The King John School</v>
          </cell>
        </row>
        <row r="554">
          <cell r="B554" t="str">
            <v>The Learning Trust (South Leeds)</v>
          </cell>
        </row>
        <row r="555">
          <cell r="B555" t="str">
            <v>The Manor School, Wiltshire</v>
          </cell>
        </row>
        <row r="556">
          <cell r="B556" t="str">
            <v>The Minster School, Southwell</v>
          </cell>
        </row>
        <row r="557">
          <cell r="B557" t="str">
            <v>The Morley Academy</v>
          </cell>
        </row>
        <row r="558">
          <cell r="B558" t="str">
            <v>The Northumberland Estates</v>
          </cell>
        </row>
        <row r="559">
          <cell r="B559" t="str">
            <v>The Oldham College</v>
          </cell>
        </row>
        <row r="560">
          <cell r="B560" t="str">
            <v>The Olympus Academy Trust</v>
          </cell>
        </row>
        <row r="561">
          <cell r="B561" t="str">
            <v>The Ormiston Trust</v>
          </cell>
        </row>
        <row r="562">
          <cell r="B562" t="str">
            <v>The Park Federation</v>
          </cell>
        </row>
        <row r="563">
          <cell r="B563" t="str">
            <v xml:space="preserve">The Passmores Academy Trust </v>
          </cell>
        </row>
        <row r="564">
          <cell r="B564" t="str">
            <v>The Polesworth School</v>
          </cell>
        </row>
        <row r="565">
          <cell r="B565" t="str">
            <v>The Priory School</v>
          </cell>
        </row>
        <row r="566">
          <cell r="B566" t="str">
            <v>The Ridgeway School and Sixth Form College</v>
          </cell>
        </row>
        <row r="567">
          <cell r="B567" t="str">
            <v>The Riding's Education Trust</v>
          </cell>
        </row>
        <row r="568">
          <cell r="B568" t="str">
            <v xml:space="preserve"> Rochester Grammar School, Kent</v>
          </cell>
        </row>
        <row r="569">
          <cell r="B569" t="str">
            <v xml:space="preserve">The Sixth Form College Farnborough </v>
          </cell>
        </row>
        <row r="570">
          <cell r="B570" t="str">
            <v>The Vaynor First School</v>
          </cell>
        </row>
        <row r="571">
          <cell r="B571" t="str">
            <v>The Warren Hill Academy Trust</v>
          </cell>
        </row>
        <row r="572">
          <cell r="B572" t="str">
            <v>The Westlands School (Swale Academy Trust)</v>
          </cell>
        </row>
        <row r="573">
          <cell r="B573" t="str">
            <v>The White Horse Federation</v>
          </cell>
        </row>
        <row r="574">
          <cell r="B574" t="str">
            <v xml:space="preserve">The Worshipful Company of Curriers </v>
          </cell>
        </row>
        <row r="575">
          <cell r="B575" t="str">
            <v>Theatre Royal, Norwich</v>
          </cell>
        </row>
        <row r="576">
          <cell r="B576" t="str">
            <v>Theo Agnew</v>
          </cell>
        </row>
        <row r="577">
          <cell r="B577" t="str">
            <v>Thomas Telford Online</v>
          </cell>
        </row>
        <row r="578">
          <cell r="B578" t="str">
            <v>Thomas's London Day Prep Schools</v>
          </cell>
        </row>
        <row r="579">
          <cell r="B579" t="str">
            <v>Tidemill Primary School</v>
          </cell>
        </row>
        <row r="580">
          <cell r="B580" t="str">
            <v>Toll Bar Academy Trust (Tollbar Business Enterprise and Humanities College)</v>
          </cell>
        </row>
        <row r="581">
          <cell r="B581" t="str">
            <v>Toot Hill School</v>
          </cell>
        </row>
        <row r="582">
          <cell r="B582" t="str">
            <v>Tor Bridge Partnership</v>
          </cell>
        </row>
        <row r="583">
          <cell r="B583" t="str">
            <v>Torquay Boys' Grammar School</v>
          </cell>
        </row>
        <row r="584">
          <cell r="B584" t="str">
            <v>Tregonwell Academy (Bournemouth Alternative Needs Federation)</v>
          </cell>
        </row>
        <row r="585">
          <cell r="B585" t="str">
            <v>Tresham College of Further and Higher Education</v>
          </cell>
        </row>
        <row r="586">
          <cell r="B586" t="str">
            <v>Trinity School, Newbury</v>
          </cell>
        </row>
        <row r="587">
          <cell r="B587" t="str">
            <v>Trust in Learning</v>
          </cell>
        </row>
        <row r="588">
          <cell r="B588" t="str">
            <v>Tudhoe Learning Trust (Tudhoe Colliery Primary School)</v>
          </cell>
        </row>
        <row r="589">
          <cell r="B589" t="str">
            <v>Tudor Grange Academy</v>
          </cell>
        </row>
        <row r="590">
          <cell r="B590" t="str">
            <v>Diverse Academies Trust (Tuxford School)</v>
          </cell>
        </row>
        <row r="591">
          <cell r="B591" t="str">
            <v>Two Mile Ash School</v>
          </cell>
        </row>
        <row r="592">
          <cell r="B592" t="str">
            <v>UBS</v>
          </cell>
        </row>
        <row r="593">
          <cell r="B593" t="str">
            <v>United Learning Trust (ULT)</v>
          </cell>
        </row>
        <row r="594">
          <cell r="B594" t="str">
            <v>University College Birmingham</v>
          </cell>
        </row>
        <row r="595">
          <cell r="B595" t="str">
            <v>University College for the Creative Arts (UCCA)</v>
          </cell>
        </row>
        <row r="596">
          <cell r="B596" t="str">
            <v>University College London (UCL)</v>
          </cell>
        </row>
        <row r="597">
          <cell r="B597" t="str">
            <v>University of Bradford</v>
          </cell>
        </row>
        <row r="598">
          <cell r="B598" t="str">
            <v>University of Brighton</v>
          </cell>
        </row>
        <row r="599">
          <cell r="B599" t="str">
            <v>University of Chester Academies Trust (UCAT)</v>
          </cell>
        </row>
        <row r="600">
          <cell r="B600" t="str">
            <v>University of Chichester, West Sussex</v>
          </cell>
        </row>
        <row r="601">
          <cell r="B601" t="str">
            <v>University of Cumbria</v>
          </cell>
        </row>
        <row r="602">
          <cell r="B602" t="str">
            <v>University of Essex</v>
          </cell>
        </row>
        <row r="603">
          <cell r="B603" t="str">
            <v>University of Hull</v>
          </cell>
        </row>
        <row r="604">
          <cell r="B604" t="str">
            <v xml:space="preserve">University of Kent </v>
          </cell>
        </row>
        <row r="605">
          <cell r="B605" t="str">
            <v>University of Lincoln</v>
          </cell>
        </row>
        <row r="606">
          <cell r="B606" t="str">
            <v>University of Liverpool</v>
          </cell>
        </row>
        <row r="607">
          <cell r="B607" t="str">
            <v>University of Northampton</v>
          </cell>
        </row>
        <row r="608">
          <cell r="B608" t="str">
            <v>University of Nottingham</v>
          </cell>
        </row>
        <row r="609">
          <cell r="B609" t="str">
            <v>University of Plymouth</v>
          </cell>
        </row>
        <row r="610">
          <cell r="B610" t="str">
            <v>University of Portsmouth</v>
          </cell>
        </row>
        <row r="611">
          <cell r="B611" t="str">
            <v>University of Teesside</v>
          </cell>
        </row>
        <row r="612">
          <cell r="B612" t="str">
            <v>University of Wincester</v>
          </cell>
        </row>
        <row r="613">
          <cell r="B613" t="str">
            <v>Upper Shirley High, Southampton</v>
          </cell>
        </row>
        <row r="614">
          <cell r="B614" t="str">
            <v>Uppingham School</v>
          </cell>
        </row>
        <row r="615">
          <cell r="B615" t="str">
            <v>Ursuline High School</v>
          </cell>
        </row>
        <row r="616">
          <cell r="B616" t="str">
            <v>U-xplore</v>
          </cell>
        </row>
        <row r="617">
          <cell r="B617" t="str">
            <v>VT Group (now Babcock International)</v>
          </cell>
        </row>
        <row r="618">
          <cell r="B618" t="str">
            <v>Wade Deacon High School</v>
          </cell>
        </row>
        <row r="619">
          <cell r="B619" t="str">
            <v>Wakefield City Academy Trust</v>
          </cell>
        </row>
        <row r="620">
          <cell r="B620" t="str">
            <v>Wales High School</v>
          </cell>
        </row>
        <row r="621">
          <cell r="B621" t="str">
            <v>Walsall College</v>
          </cell>
        </row>
        <row r="622">
          <cell r="B622" t="str">
            <v>Walton High</v>
          </cell>
        </row>
        <row r="623">
          <cell r="B623" t="str">
            <v>Warden Park School</v>
          </cell>
        </row>
        <row r="624">
          <cell r="B624" t="str">
            <v>Warrington Collegiate</v>
          </cell>
        </row>
        <row r="625">
          <cell r="B625" t="str">
            <v>Warwickshire College</v>
          </cell>
        </row>
        <row r="626">
          <cell r="B626" t="str">
            <v>Watford Grammar School for Boys</v>
          </cell>
        </row>
        <row r="627">
          <cell r="B627" t="str">
            <v>Wellington College</v>
          </cell>
        </row>
        <row r="628">
          <cell r="B628" t="str">
            <v>Wellsway School</v>
          </cell>
        </row>
        <row r="629">
          <cell r="B629" t="str">
            <v>West Coast group</v>
          </cell>
        </row>
        <row r="630">
          <cell r="B630" t="str">
            <v>West Grantham Academies Trust (St Hugh's Mathematics and Computing College)</v>
          </cell>
        </row>
        <row r="631">
          <cell r="B631" t="str">
            <v>West Herts College</v>
          </cell>
        </row>
        <row r="632">
          <cell r="B632" t="str">
            <v>West Herts Teaching Schools</v>
          </cell>
        </row>
        <row r="633">
          <cell r="B633" t="str">
            <v>West London Academy</v>
          </cell>
        </row>
        <row r="634">
          <cell r="B634" t="str">
            <v>West Park School Derby</v>
          </cell>
        </row>
        <row r="635">
          <cell r="B635" t="str">
            <v>West Suffolk College</v>
          </cell>
        </row>
        <row r="636">
          <cell r="B636" t="str">
            <v>West Trafford Learning Partnership (WTLP) (Ashton on Mersey School)</v>
          </cell>
        </row>
        <row r="637">
          <cell r="B637" t="str">
            <v>Westlands Academy Trust</v>
          </cell>
        </row>
        <row r="638">
          <cell r="B638" t="str">
            <v>Westminster School</v>
          </cell>
        </row>
        <row r="639">
          <cell r="B639" t="str">
            <v>Weston College</v>
          </cell>
        </row>
        <row r="640">
          <cell r="B640" t="str">
            <v>Whitehill Community Academy</v>
          </cell>
        </row>
        <row r="641">
          <cell r="B641" t="str">
            <v xml:space="preserve">White's Wood Lane Junior School </v>
          </cell>
        </row>
        <row r="642">
          <cell r="B642" t="str">
            <v>Wickersley Teaching School Rotherham</v>
          </cell>
        </row>
        <row r="643">
          <cell r="B643" t="str">
            <v>Wickford School</v>
          </cell>
        </row>
        <row r="644">
          <cell r="B644" t="str">
            <v>Wilberforce College</v>
          </cell>
        </row>
        <row r="645">
          <cell r="B645" t="str">
            <v>Willow Park Housing Trust</v>
          </cell>
        </row>
        <row r="646">
          <cell r="B646" t="str">
            <v>Winchester College</v>
          </cell>
        </row>
        <row r="647">
          <cell r="B647" t="str">
            <v>Windmill PS, Leeds</v>
          </cell>
        </row>
        <row r="648">
          <cell r="B648" t="str">
            <v>Windsor High school, Halesowen</v>
          </cell>
        </row>
        <row r="649">
          <cell r="B649" t="str">
            <v>Winstanley College, Wigan</v>
          </cell>
        </row>
        <row r="650">
          <cell r="B650" t="str">
            <v xml:space="preserve">Withymoor Primary School </v>
          </cell>
        </row>
        <row r="651">
          <cell r="B651" t="str">
            <v>Wood Newton School</v>
          </cell>
        </row>
        <row r="652">
          <cell r="B652" t="str">
            <v>Woodard Corporation</v>
          </cell>
        </row>
        <row r="653">
          <cell r="B653" t="str">
            <v>Woodlands Academy Trust previously Northumberland Heath and Peareswood Primaries</v>
          </cell>
        </row>
        <row r="654">
          <cell r="B654" t="str">
            <v>Wright Hassall (Law firm)</v>
          </cell>
        </row>
        <row r="655">
          <cell r="B655" t="str">
            <v>Wrotham School</v>
          </cell>
        </row>
        <row r="656">
          <cell r="B656" t="str">
            <v>Wyedean School and 6th Form Centre</v>
          </cell>
        </row>
        <row r="657">
          <cell r="B657" t="str">
            <v>Wyke Sixth Form College</v>
          </cell>
        </row>
        <row r="658">
          <cell r="B658" t="str">
            <v>Wymondham College</v>
          </cell>
        </row>
        <row r="659">
          <cell r="B659" t="str">
            <v>Yardley Primary School</v>
          </cell>
        </row>
        <row r="660">
          <cell r="B660" t="str">
            <v>Yorkshire and Humber Grid for Learning</v>
          </cell>
        </row>
        <row r="661">
          <cell r="B661" t="str">
            <v xml:space="preserve">Zail Enterprises Ltd </v>
          </cell>
        </row>
      </sheetData>
      <sheetData sheetId="2"/>
      <sheetData sheetId="3"/>
      <sheetData sheetId="4">
        <row r="2">
          <cell r="H2" t="str">
            <v>All-through</v>
          </cell>
          <cell r="N2" t="str">
            <v>Barking and Dagenham</v>
          </cell>
        </row>
        <row r="3">
          <cell r="N3" t="str">
            <v>Barnet</v>
          </cell>
        </row>
        <row r="4">
          <cell r="N4" t="str">
            <v>Barnsley</v>
          </cell>
        </row>
        <row r="5">
          <cell r="N5" t="str">
            <v>Bath and North East Somerset</v>
          </cell>
        </row>
        <row r="6">
          <cell r="N6" t="str">
            <v>Bedford</v>
          </cell>
        </row>
        <row r="7">
          <cell r="N7" t="str">
            <v>Bexley</v>
          </cell>
        </row>
        <row r="8">
          <cell r="N8" t="str">
            <v>Birmingham</v>
          </cell>
        </row>
        <row r="9">
          <cell r="N9" t="str">
            <v>Blackburn with Darwen</v>
          </cell>
        </row>
        <row r="10">
          <cell r="N10" t="str">
            <v>Blackpool</v>
          </cell>
        </row>
        <row r="11">
          <cell r="N11" t="str">
            <v>Bolton</v>
          </cell>
        </row>
        <row r="12">
          <cell r="N12" t="str">
            <v>Bournemouth</v>
          </cell>
        </row>
        <row r="13">
          <cell r="N13" t="str">
            <v>Bracknell Forest</v>
          </cell>
        </row>
        <row r="14">
          <cell r="N14" t="str">
            <v>Bradford</v>
          </cell>
        </row>
        <row r="15">
          <cell r="N15" t="str">
            <v>Brent</v>
          </cell>
        </row>
        <row r="16">
          <cell r="N16" t="str">
            <v>Brighton and Hove</v>
          </cell>
        </row>
        <row r="17">
          <cell r="N17" t="str">
            <v>Bristol City of</v>
          </cell>
        </row>
        <row r="18">
          <cell r="N18" t="str">
            <v>Bromley</v>
          </cell>
        </row>
        <row r="19">
          <cell r="N19" t="str">
            <v>Buckinghamshire</v>
          </cell>
        </row>
        <row r="20">
          <cell r="N20" t="str">
            <v>Bury</v>
          </cell>
        </row>
        <row r="21">
          <cell r="N21" t="str">
            <v>Calderdale</v>
          </cell>
        </row>
        <row r="22">
          <cell r="N22" t="str">
            <v>Cambridgeshire</v>
          </cell>
        </row>
        <row r="23">
          <cell r="N23" t="str">
            <v>Camden</v>
          </cell>
        </row>
        <row r="24">
          <cell r="N24" t="str">
            <v>Central Bedfordshire</v>
          </cell>
        </row>
        <row r="25">
          <cell r="N25" t="str">
            <v>Cheshire East</v>
          </cell>
        </row>
        <row r="26">
          <cell r="N26" t="str">
            <v>Cheshire West and Chester</v>
          </cell>
        </row>
        <row r="27">
          <cell r="N27" t="str">
            <v>City of London</v>
          </cell>
        </row>
        <row r="28">
          <cell r="N28" t="str">
            <v>Cornwall</v>
          </cell>
        </row>
        <row r="29">
          <cell r="N29" t="str">
            <v>Coventry</v>
          </cell>
        </row>
        <row r="30">
          <cell r="N30" t="str">
            <v>Croydon</v>
          </cell>
        </row>
        <row r="31">
          <cell r="N31" t="str">
            <v>Cumbria</v>
          </cell>
        </row>
        <row r="32">
          <cell r="N32" t="str">
            <v>Darlington</v>
          </cell>
        </row>
        <row r="33">
          <cell r="N33" t="str">
            <v>Derby</v>
          </cell>
        </row>
        <row r="34">
          <cell r="N34" t="str">
            <v>Derbyshire</v>
          </cell>
        </row>
        <row r="35">
          <cell r="N35" t="str">
            <v>Devon</v>
          </cell>
        </row>
        <row r="36">
          <cell r="N36" t="str">
            <v>Doncaster</v>
          </cell>
        </row>
        <row r="37">
          <cell r="N37" t="str">
            <v>Dorset</v>
          </cell>
        </row>
        <row r="38">
          <cell r="N38" t="str">
            <v>Dudley</v>
          </cell>
        </row>
        <row r="39">
          <cell r="N39" t="str">
            <v>Durham</v>
          </cell>
        </row>
        <row r="40">
          <cell r="N40" t="str">
            <v>Ealing</v>
          </cell>
        </row>
        <row r="41">
          <cell r="N41" t="str">
            <v>East Riding of Yorkshire</v>
          </cell>
        </row>
        <row r="42">
          <cell r="N42" t="str">
            <v>East Sussex</v>
          </cell>
        </row>
        <row r="43">
          <cell r="N43" t="str">
            <v>Enfield</v>
          </cell>
        </row>
        <row r="44">
          <cell r="N44" t="str">
            <v>Essex</v>
          </cell>
        </row>
        <row r="45">
          <cell r="N45" t="str">
            <v>Gateshead</v>
          </cell>
        </row>
        <row r="46">
          <cell r="N46" t="str">
            <v>Gloucestershire</v>
          </cell>
        </row>
        <row r="47">
          <cell r="N47" t="str">
            <v>Greenwich</v>
          </cell>
        </row>
        <row r="48">
          <cell r="N48" t="str">
            <v>Hackney</v>
          </cell>
        </row>
        <row r="49">
          <cell r="N49" t="str">
            <v>Halton</v>
          </cell>
        </row>
        <row r="50">
          <cell r="N50" t="str">
            <v>Hammersmith and Fulham</v>
          </cell>
        </row>
        <row r="51">
          <cell r="N51" t="str">
            <v>Hampshire</v>
          </cell>
        </row>
        <row r="52">
          <cell r="N52" t="str">
            <v>Haringey</v>
          </cell>
        </row>
        <row r="53">
          <cell r="N53" t="str">
            <v>Harrow</v>
          </cell>
        </row>
        <row r="54">
          <cell r="N54" t="str">
            <v>Hartlepool</v>
          </cell>
        </row>
        <row r="55">
          <cell r="N55" t="str">
            <v>Havering</v>
          </cell>
        </row>
        <row r="56">
          <cell r="N56" t="str">
            <v>Herefordshire</v>
          </cell>
        </row>
        <row r="57">
          <cell r="N57" t="str">
            <v>Hertfordshire</v>
          </cell>
        </row>
        <row r="58">
          <cell r="N58" t="str">
            <v>Hillingdon</v>
          </cell>
        </row>
        <row r="59">
          <cell r="N59" t="str">
            <v>Hounslow</v>
          </cell>
        </row>
        <row r="60">
          <cell r="N60" t="str">
            <v>Isle of Wight</v>
          </cell>
        </row>
        <row r="61">
          <cell r="N61" t="str">
            <v>Isles Of Scilly</v>
          </cell>
        </row>
        <row r="62">
          <cell r="N62" t="str">
            <v>Islington</v>
          </cell>
        </row>
        <row r="63">
          <cell r="N63" t="str">
            <v>Kensington and Chelsea</v>
          </cell>
        </row>
        <row r="64">
          <cell r="N64" t="str">
            <v>Kent</v>
          </cell>
        </row>
        <row r="65">
          <cell r="N65" t="str">
            <v>Kingston upon Hull City of</v>
          </cell>
        </row>
        <row r="66">
          <cell r="N66" t="str">
            <v>Kingston upon Thames</v>
          </cell>
        </row>
        <row r="67">
          <cell r="N67" t="str">
            <v>Kirklees</v>
          </cell>
        </row>
        <row r="68">
          <cell r="N68" t="str">
            <v>Knowsley</v>
          </cell>
        </row>
        <row r="69">
          <cell r="N69" t="str">
            <v>Lambeth</v>
          </cell>
        </row>
        <row r="70">
          <cell r="N70" t="str">
            <v>Lancashire</v>
          </cell>
        </row>
        <row r="71">
          <cell r="N71" t="str">
            <v>Leeds</v>
          </cell>
        </row>
        <row r="72">
          <cell r="N72" t="str">
            <v>Leicester</v>
          </cell>
        </row>
        <row r="73">
          <cell r="N73" t="str">
            <v>Leicestershire</v>
          </cell>
        </row>
        <row r="74">
          <cell r="N74" t="str">
            <v>Lewisham</v>
          </cell>
        </row>
        <row r="75">
          <cell r="N75" t="str">
            <v>Lincolnshire</v>
          </cell>
        </row>
        <row r="76">
          <cell r="N76" t="str">
            <v>Liverpool</v>
          </cell>
        </row>
        <row r="77">
          <cell r="N77" t="str">
            <v>Luton</v>
          </cell>
        </row>
        <row r="78">
          <cell r="N78" t="str">
            <v>Manchester</v>
          </cell>
        </row>
        <row r="79">
          <cell r="N79" t="str">
            <v>Medway</v>
          </cell>
        </row>
        <row r="80">
          <cell r="N80" t="str">
            <v>Merton</v>
          </cell>
        </row>
        <row r="81">
          <cell r="N81" t="str">
            <v>Middlesbrough</v>
          </cell>
        </row>
        <row r="82">
          <cell r="N82" t="str">
            <v>Milton Keynes</v>
          </cell>
        </row>
        <row r="83">
          <cell r="N83" t="str">
            <v>Newcastle upon Tyne</v>
          </cell>
        </row>
        <row r="84">
          <cell r="N84" t="str">
            <v>Newham</v>
          </cell>
        </row>
        <row r="85">
          <cell r="N85" t="str">
            <v>Norfolk</v>
          </cell>
        </row>
        <row r="86">
          <cell r="N86" t="str">
            <v>North East Lincolnshire</v>
          </cell>
        </row>
        <row r="87">
          <cell r="N87" t="str">
            <v>North Lincolnshire</v>
          </cell>
        </row>
        <row r="88">
          <cell r="N88" t="str">
            <v>North Somerset</v>
          </cell>
        </row>
        <row r="89">
          <cell r="N89" t="str">
            <v>North Tyneside</v>
          </cell>
        </row>
        <row r="90">
          <cell r="N90" t="str">
            <v>North Yorkshire</v>
          </cell>
        </row>
        <row r="91">
          <cell r="N91" t="str">
            <v>Northamptonshire</v>
          </cell>
        </row>
        <row r="92">
          <cell r="N92" t="str">
            <v>Northumberland</v>
          </cell>
        </row>
        <row r="93">
          <cell r="N93" t="str">
            <v>Nottingham</v>
          </cell>
        </row>
        <row r="94">
          <cell r="N94" t="str">
            <v>Nottinghamshire</v>
          </cell>
        </row>
        <row r="95">
          <cell r="N95" t="str">
            <v>Oldham</v>
          </cell>
        </row>
        <row r="96">
          <cell r="N96" t="str">
            <v>Oxfordshire</v>
          </cell>
        </row>
        <row r="97">
          <cell r="N97" t="str">
            <v>Peterborough</v>
          </cell>
        </row>
        <row r="98">
          <cell r="N98" t="str">
            <v>Plymouth</v>
          </cell>
        </row>
        <row r="99">
          <cell r="N99" t="str">
            <v>Poole</v>
          </cell>
        </row>
        <row r="100">
          <cell r="N100" t="str">
            <v>Portsmouth</v>
          </cell>
        </row>
        <row r="101">
          <cell r="N101" t="str">
            <v>Reading</v>
          </cell>
        </row>
        <row r="102">
          <cell r="N102" t="str">
            <v>Redbridge</v>
          </cell>
        </row>
        <row r="103">
          <cell r="N103" t="str">
            <v>Redcar and Cleveland</v>
          </cell>
        </row>
        <row r="104">
          <cell r="N104" t="str">
            <v>Richmond upon Thames</v>
          </cell>
        </row>
        <row r="105">
          <cell r="N105" t="str">
            <v>Rochdale</v>
          </cell>
        </row>
        <row r="106">
          <cell r="N106" t="str">
            <v>Rotherham</v>
          </cell>
        </row>
        <row r="107">
          <cell r="N107" t="str">
            <v>Rutland</v>
          </cell>
        </row>
        <row r="108">
          <cell r="N108" t="str">
            <v>Salford</v>
          </cell>
        </row>
        <row r="109">
          <cell r="N109" t="str">
            <v>Sandwell</v>
          </cell>
        </row>
        <row r="110">
          <cell r="N110" t="str">
            <v>Sefton</v>
          </cell>
        </row>
        <row r="111">
          <cell r="N111" t="str">
            <v>Sheffield</v>
          </cell>
        </row>
        <row r="112">
          <cell r="N112" t="str">
            <v>Shropshire</v>
          </cell>
        </row>
        <row r="113">
          <cell r="N113" t="str">
            <v>Slough</v>
          </cell>
        </row>
        <row r="114">
          <cell r="N114" t="str">
            <v>Solihull</v>
          </cell>
        </row>
        <row r="115">
          <cell r="N115" t="str">
            <v>Somerset</v>
          </cell>
        </row>
        <row r="116">
          <cell r="N116" t="str">
            <v>South Gloucestershire</v>
          </cell>
        </row>
        <row r="117">
          <cell r="N117" t="str">
            <v>South Tyneside</v>
          </cell>
        </row>
        <row r="118">
          <cell r="N118" t="str">
            <v>Southampton</v>
          </cell>
        </row>
        <row r="119">
          <cell r="N119" t="str">
            <v>Southend-on-Sea</v>
          </cell>
        </row>
        <row r="120">
          <cell r="N120" t="str">
            <v>Southwark</v>
          </cell>
        </row>
        <row r="121">
          <cell r="N121" t="str">
            <v>St. Helens</v>
          </cell>
        </row>
        <row r="122">
          <cell r="N122" t="str">
            <v>Staffordshire</v>
          </cell>
        </row>
        <row r="123">
          <cell r="N123" t="str">
            <v>Stockport</v>
          </cell>
        </row>
        <row r="124">
          <cell r="N124" t="str">
            <v>Stockton-on-Tees</v>
          </cell>
        </row>
        <row r="125">
          <cell r="N125" t="str">
            <v>Stoke-on-Trent</v>
          </cell>
        </row>
        <row r="126">
          <cell r="N126" t="str">
            <v>Suffolk</v>
          </cell>
        </row>
        <row r="127">
          <cell r="N127" t="str">
            <v>Sunderland</v>
          </cell>
        </row>
        <row r="128">
          <cell r="N128" t="str">
            <v>Surrey</v>
          </cell>
        </row>
        <row r="129">
          <cell r="N129" t="str">
            <v>Sutton</v>
          </cell>
        </row>
        <row r="130">
          <cell r="N130" t="str">
            <v>Swindon</v>
          </cell>
        </row>
        <row r="131">
          <cell r="N131" t="str">
            <v>Tameside</v>
          </cell>
        </row>
        <row r="132">
          <cell r="N132" t="str">
            <v>Telford and Wrekin</v>
          </cell>
        </row>
        <row r="133">
          <cell r="N133" t="str">
            <v>Thurrock</v>
          </cell>
        </row>
        <row r="134">
          <cell r="N134" t="str">
            <v>Torbay</v>
          </cell>
        </row>
        <row r="135">
          <cell r="N135" t="str">
            <v>Tower Hamlets</v>
          </cell>
        </row>
        <row r="136">
          <cell r="N136" t="str">
            <v>Trafford</v>
          </cell>
        </row>
        <row r="137">
          <cell r="N137" t="str">
            <v>Wakefield</v>
          </cell>
        </row>
        <row r="138">
          <cell r="N138" t="str">
            <v>Walsall</v>
          </cell>
        </row>
        <row r="139">
          <cell r="N139" t="str">
            <v>Waltham Forest</v>
          </cell>
        </row>
        <row r="140">
          <cell r="N140" t="str">
            <v>Wandsworth</v>
          </cell>
        </row>
        <row r="141">
          <cell r="N141" t="str">
            <v>Warrington</v>
          </cell>
        </row>
        <row r="142">
          <cell r="N142" t="str">
            <v>Warwickshire</v>
          </cell>
        </row>
        <row r="143">
          <cell r="N143" t="str">
            <v>West Berkshire</v>
          </cell>
        </row>
        <row r="144">
          <cell r="N144" t="str">
            <v>West Sussex</v>
          </cell>
        </row>
        <row r="145">
          <cell r="N145" t="str">
            <v>Westminster</v>
          </cell>
        </row>
        <row r="146">
          <cell r="N146" t="str">
            <v>Wigan</v>
          </cell>
        </row>
        <row r="147">
          <cell r="N147" t="str">
            <v>Wiltshire</v>
          </cell>
        </row>
        <row r="148">
          <cell r="N148" t="str">
            <v>Windsor and Maidenhead</v>
          </cell>
        </row>
        <row r="149">
          <cell r="N149" t="str">
            <v>Wirral</v>
          </cell>
        </row>
        <row r="150">
          <cell r="N150" t="str">
            <v>Wokingham</v>
          </cell>
        </row>
        <row r="151">
          <cell r="N151" t="str">
            <v>Wolverhampton</v>
          </cell>
        </row>
        <row r="152">
          <cell r="N152" t="str">
            <v>Worcestershire</v>
          </cell>
        </row>
        <row r="153">
          <cell r="N153" t="str">
            <v>York</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s>
    <sheetDataSet>
      <sheetData sheetId="0"/>
      <sheetData sheetId="1">
        <row r="1">
          <cell r="H1" t="str">
            <v>Good</v>
          </cell>
        </row>
        <row r="2">
          <cell r="H2" t="str">
            <v>Good with Outstanding Features</v>
          </cell>
        </row>
        <row r="3">
          <cell r="H3" t="str">
            <v>Inadequate</v>
          </cell>
        </row>
        <row r="4">
          <cell r="H4" t="str">
            <v>Not Rated</v>
          </cell>
        </row>
        <row r="5">
          <cell r="H5" t="str">
            <v>Outstanding</v>
          </cell>
        </row>
        <row r="6">
          <cell r="H6" t="str">
            <v>Requires Improvement</v>
          </cell>
        </row>
      </sheetData>
      <sheetData sheetId="2"/>
      <sheetData sheetId="3"/>
      <sheetData sheetId="4"/>
      <sheetData sheetId="5"/>
      <sheetData sheetId="6"/>
      <sheetData sheetId="7"/>
      <sheetData sheetId="8"/>
      <sheetData sheetId="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s>
    <sheetDataSet>
      <sheetData sheetId="0"/>
      <sheetData sheetId="1">
        <row r="1">
          <cell r="B1" t="str">
            <v>Converter</v>
          </cell>
        </row>
        <row r="2">
          <cell r="B2" t="str">
            <v>Fast Track Sponsored</v>
          </cell>
        </row>
        <row r="3">
          <cell r="B3" t="str">
            <v>Full Sponsored</v>
          </cell>
        </row>
      </sheetData>
      <sheetData sheetId="2"/>
      <sheetData sheetId="3"/>
      <sheetData sheetId="4"/>
      <sheetData sheetId="5"/>
      <sheetData sheetId="6"/>
      <sheetData sheetId="7"/>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s>
    <sheetDataSet>
      <sheetData sheetId="0"/>
      <sheetData sheetId="1">
        <row r="1">
          <cell r="F1" t="str">
            <v>360 People Ltd</v>
          </cell>
        </row>
        <row r="2">
          <cell r="F2" t="str">
            <v>3GS (UK) Limited</v>
          </cell>
        </row>
        <row r="3">
          <cell r="F3" t="str">
            <v>Abbey Grange Church of England Academy</v>
          </cell>
        </row>
        <row r="4">
          <cell r="F4" t="str">
            <v>Abington Academy</v>
          </cell>
        </row>
        <row r="5">
          <cell r="F5" t="str">
            <v>Abrus Ltd</v>
          </cell>
        </row>
        <row r="6">
          <cell r="F6" t="str">
            <v>Academies Enterprise Trust (AET)</v>
          </cell>
        </row>
        <row r="7">
          <cell r="F7" t="str">
            <v>Academy Federation of North Bedfordshire Schools</v>
          </cell>
        </row>
        <row r="8">
          <cell r="F8" t="str">
            <v>Academy Transformation Trust (ATT)</v>
          </cell>
        </row>
        <row r="9">
          <cell r="F9" t="str">
            <v>Academy@Worden</v>
          </cell>
        </row>
        <row r="10">
          <cell r="F10" t="str">
            <v xml:space="preserve">Accrington and Rossendale College </v>
          </cell>
        </row>
        <row r="11">
          <cell r="F11" t="str">
            <v xml:space="preserve">Accrington St Christopher’s Church of England High School </v>
          </cell>
        </row>
        <row r="12">
          <cell r="F12" t="str">
            <v>ACH Confederation</v>
          </cell>
        </row>
        <row r="13">
          <cell r="F13" t="str">
            <v>Acorn Care</v>
          </cell>
        </row>
        <row r="14">
          <cell r="F14" t="str">
            <v>Acorn Federation</v>
          </cell>
        </row>
        <row r="15">
          <cell r="F15" t="str">
            <v xml:space="preserve">Active Learning Trust </v>
          </cell>
        </row>
        <row r="16">
          <cell r="F16" t="str">
            <v>Adelaide School</v>
          </cell>
        </row>
        <row r="17">
          <cell r="F17" t="str">
            <v xml:space="preserve">Advance Trust </v>
          </cell>
        </row>
        <row r="18">
          <cell r="F18" t="str">
            <v>Adventure Learning Academy Trust</v>
          </cell>
        </row>
        <row r="19">
          <cell r="F19" t="str">
            <v>AEGIS Enterprises CIC</v>
          </cell>
        </row>
        <row r="20">
          <cell r="F20" t="str">
            <v>Airedale Academy</v>
          </cell>
        </row>
        <row r="21">
          <cell r="F21" t="str">
            <v>Alec Reed</v>
          </cell>
        </row>
        <row r="22">
          <cell r="F22" t="str">
            <v>Alec Reed Academy</v>
          </cell>
        </row>
        <row r="23">
          <cell r="F23" t="str">
            <v xml:space="preserve">Al-Furqan Educational Trust and the Slough Islamic School Project.  </v>
          </cell>
        </row>
        <row r="24">
          <cell r="F24" t="str">
            <v>All Hallows Catholic School</v>
          </cell>
        </row>
        <row r="25">
          <cell r="F25" t="str">
            <v>All Roads</v>
          </cell>
        </row>
        <row r="26">
          <cell r="F26" t="str">
            <v>Altrincham College of Arts</v>
          </cell>
        </row>
        <row r="27">
          <cell r="F27" t="str">
            <v>Altrincham Grammar School for Boys</v>
          </cell>
        </row>
        <row r="28">
          <cell r="F28" t="str">
            <v>Amelix Foundation</v>
          </cell>
        </row>
        <row r="29">
          <cell r="F29" t="str">
            <v>Amey</v>
          </cell>
        </row>
        <row r="30">
          <cell r="F30" t="str">
            <v>Applecroft Primary School</v>
          </cell>
        </row>
        <row r="31">
          <cell r="F31" t="str">
            <v>Aquaterra Energy Ltd</v>
          </cell>
        </row>
        <row r="32">
          <cell r="F32" t="str">
            <v>Archant Ltd</v>
          </cell>
        </row>
        <row r="33">
          <cell r="F33" t="str">
            <v>Archbishop Holgate’s School</v>
          </cell>
        </row>
        <row r="34">
          <cell r="F34" t="str">
            <v>Archdiocese of Birmingham</v>
          </cell>
        </row>
        <row r="35">
          <cell r="F35" t="str">
            <v>Archdiocese of Liverpool</v>
          </cell>
        </row>
        <row r="36">
          <cell r="F36" t="str">
            <v>Archdiocese of Southwark</v>
          </cell>
        </row>
        <row r="37">
          <cell r="F37" t="str">
            <v>Arden Academy</v>
          </cell>
        </row>
        <row r="38">
          <cell r="F38" t="str">
            <v>Arden Multi Academy Trust</v>
          </cell>
        </row>
        <row r="39">
          <cell r="F39" t="str">
            <v>ARK Schools</v>
          </cell>
        </row>
        <row r="40">
          <cell r="F40" t="str">
            <v>Armthorpe Shaw Wood Academy</v>
          </cell>
        </row>
        <row r="41">
          <cell r="F41" t="str">
            <v>Arnside School</v>
          </cell>
        </row>
        <row r="42">
          <cell r="F42" t="str">
            <v>Artelia</v>
          </cell>
        </row>
        <row r="43">
          <cell r="F43" t="str">
            <v>Ash Grove Primary and Nursery School</v>
          </cell>
        </row>
        <row r="44">
          <cell r="F44" t="str">
            <v>Ashley Tabor</v>
          </cell>
        </row>
        <row r="45">
          <cell r="F45" t="str">
            <v>Ashmole Academy</v>
          </cell>
        </row>
        <row r="46">
          <cell r="F46" t="str">
            <v>Ashton-on-Mersey School</v>
          </cell>
        </row>
        <row r="47">
          <cell r="F47" t="str">
            <v>Ashton-under-Lyne Sixth Form College</v>
          </cell>
        </row>
        <row r="48">
          <cell r="F48" t="str">
            <v>Aspirations Academies Trust (AAT)</v>
          </cell>
        </row>
        <row r="49">
          <cell r="F49" t="str">
            <v>Aster Group</v>
          </cell>
        </row>
        <row r="50">
          <cell r="F50" t="str">
            <v>Aston Community Education Trust (ACET)</v>
          </cell>
        </row>
        <row r="51">
          <cell r="F51" t="str">
            <v xml:space="preserve">Attwood Foundation </v>
          </cell>
        </row>
        <row r="52">
          <cell r="F52" t="str">
            <v xml:space="preserve">Aurora Academies Trust </v>
          </cell>
        </row>
        <row r="53">
          <cell r="F53" t="str">
            <v xml:space="preserve">Avanti Schools Trust </v>
          </cell>
        </row>
        <row r="54">
          <cell r="F54" t="str">
            <v>Aviva</v>
          </cell>
        </row>
        <row r="55">
          <cell r="F55" t="str">
            <v>Aylesbury Grammar School</v>
          </cell>
        </row>
        <row r="56">
          <cell r="F56" t="str">
            <v>Aylestone Business and Enterprise College</v>
          </cell>
        </row>
        <row r="57">
          <cell r="F57" t="str">
            <v>Babcock International</v>
          </cell>
        </row>
        <row r="58">
          <cell r="F58" t="str">
            <v>Bacon CTC</v>
          </cell>
        </row>
        <row r="59">
          <cell r="F59" t="str">
            <v>Baker Tilly</v>
          </cell>
        </row>
        <row r="60">
          <cell r="F60" t="str">
            <v>Bandon Hill Primary School</v>
          </cell>
        </row>
        <row r="61">
          <cell r="F61" t="str">
            <v>Barford Primary School</v>
          </cell>
        </row>
        <row r="62">
          <cell r="F62" t="str">
            <v>Barnfield Education Partnership Trust (BEPT)</v>
          </cell>
        </row>
        <row r="63">
          <cell r="F63" t="str">
            <v>Barnfield Primary School</v>
          </cell>
        </row>
        <row r="64">
          <cell r="F64" t="str">
            <v>Barnhill Community High School</v>
          </cell>
        </row>
        <row r="65">
          <cell r="F65" t="str">
            <v>Barr Beacon Language College</v>
          </cell>
        </row>
        <row r="66">
          <cell r="F66" t="str">
            <v>Barrow Sixth Form College</v>
          </cell>
        </row>
        <row r="67">
          <cell r="F67" t="str">
            <v>Barry Townsley CBE</v>
          </cell>
        </row>
        <row r="68">
          <cell r="F68" t="str">
            <v>Bartholomew School</v>
          </cell>
        </row>
        <row r="69">
          <cell r="F69" t="str">
            <v>Basingstoke College of Technology (BCoT)</v>
          </cell>
        </row>
        <row r="70">
          <cell r="F70" t="str">
            <v>Bath Spa University</v>
          </cell>
        </row>
        <row r="71">
          <cell r="F71" t="str">
            <v>Batley Girls' High School</v>
          </cell>
        </row>
        <row r="72">
          <cell r="F72" t="str">
            <v>BAU Foundation</v>
          </cell>
        </row>
        <row r="73">
          <cell r="F73" t="str">
            <v xml:space="preserve">Bayton Primary School </v>
          </cell>
        </row>
        <row r="74">
          <cell r="F74" t="str">
            <v>Beal High School</v>
          </cell>
        </row>
        <row r="75">
          <cell r="F75" t="str">
            <v>Beaumont Robinson Ltd</v>
          </cell>
        </row>
        <row r="76">
          <cell r="F76" t="str">
            <v>Beckfoot School</v>
          </cell>
        </row>
        <row r="77">
          <cell r="F77" t="str">
            <v>Bedale Church of England Primary School</v>
          </cell>
        </row>
        <row r="78">
          <cell r="F78" t="str">
            <v>Bedford College</v>
          </cell>
        </row>
        <row r="79">
          <cell r="F79" t="str">
            <v>Bedford East School Trust (BEMAT)</v>
          </cell>
        </row>
        <row r="80">
          <cell r="F80" t="str">
            <v>Beech Hill Junior and Infant School</v>
          </cell>
        </row>
        <row r="81">
          <cell r="F81" t="str">
            <v>Belgrave St Bartholomew's Academy</v>
          </cell>
        </row>
        <row r="82">
          <cell r="F82" t="str">
            <v>Belleville Primary School</v>
          </cell>
        </row>
        <row r="83">
          <cell r="F83" t="str">
            <v>Bellevue Place Educational Trust (BPET)</v>
          </cell>
        </row>
        <row r="84">
          <cell r="F84" t="str">
            <v>Belvoir &amp; Melton Academy Trust</v>
          </cell>
        </row>
        <row r="85">
          <cell r="F85" t="str">
            <v>Benenden School</v>
          </cell>
        </row>
        <row r="86">
          <cell r="F86" t="str">
            <v>Bengeworth First School</v>
          </cell>
        </row>
        <row r="87">
          <cell r="F87" t="str">
            <v>Bennett Memorial Diocesan School</v>
          </cell>
        </row>
        <row r="88">
          <cell r="F88" t="str">
            <v>Bentley Wood High School</v>
          </cell>
        </row>
        <row r="89">
          <cell r="F89" t="str">
            <v>Berendsen PLC</v>
          </cell>
        </row>
        <row r="90">
          <cell r="F90" t="str">
            <v>Bernard Matthews</v>
          </cell>
        </row>
        <row r="91">
          <cell r="F91" t="str">
            <v>Best Practice Network Academies Trust</v>
          </cell>
        </row>
        <row r="92">
          <cell r="F92" t="str">
            <v>Best Start Federation</v>
          </cell>
        </row>
        <row r="93">
          <cell r="F93" t="str">
            <v>Bethnal Green Academy</v>
          </cell>
        </row>
        <row r="94">
          <cell r="F94" t="str">
            <v>Beths Grammar School</v>
          </cell>
        </row>
        <row r="95">
          <cell r="F95" t="str">
            <v>Bickleigh on Exe Church of England Primary School</v>
          </cell>
        </row>
        <row r="96">
          <cell r="F96" t="str">
            <v xml:space="preserve">Biddulph High School
</v>
          </cell>
        </row>
        <row r="97">
          <cell r="F97" t="str">
            <v>Birdlip Primary School</v>
          </cell>
        </row>
        <row r="98">
          <cell r="F98" t="str">
            <v>Birketts LLP</v>
          </cell>
        </row>
        <row r="99">
          <cell r="F99" t="str">
            <v xml:space="preserve">Birmingham City University </v>
          </cell>
        </row>
        <row r="100">
          <cell r="F100" t="str">
            <v>Birmingham Metropolitan College</v>
          </cell>
        </row>
        <row r="101">
          <cell r="F101" t="str">
            <v>Bishop Burton College</v>
          </cell>
        </row>
        <row r="102">
          <cell r="F102" t="str">
            <v>Bishop Challoner Catholic College</v>
          </cell>
        </row>
        <row r="103">
          <cell r="F103" t="str">
            <v>Bishop Konstant Catholic Academy Trust</v>
          </cell>
        </row>
        <row r="104">
          <cell r="F104" t="str">
            <v>Bishop Rawstorne School, Leyland</v>
          </cell>
        </row>
        <row r="105">
          <cell r="F105" t="str">
            <v>Bishop Wordsworth's Grammar School</v>
          </cell>
        </row>
        <row r="106">
          <cell r="F106" t="str">
            <v>Blue Coat C of E School, Oldham</v>
          </cell>
        </row>
        <row r="107">
          <cell r="F107" t="str">
            <v>Bluecoat Academy</v>
          </cell>
        </row>
        <row r="108">
          <cell r="F108" t="str">
            <v>Bob Chance</v>
          </cell>
        </row>
        <row r="109">
          <cell r="F109" t="str">
            <v>Bohunt School</v>
          </cell>
        </row>
        <row r="110">
          <cell r="F110" t="str">
            <v>Bolton Council</v>
          </cell>
        </row>
        <row r="111">
          <cell r="F111" t="str">
            <v>Bolton School Boys Division</v>
          </cell>
        </row>
        <row r="112">
          <cell r="F112" t="str">
            <v>Bonmarche</v>
          </cell>
        </row>
        <row r="113">
          <cell r="F113" t="str">
            <v>Boringdon Primary School</v>
          </cell>
        </row>
        <row r="114">
          <cell r="F114" t="str">
            <v>Bourne Abbey Church of England Primary Academy</v>
          </cell>
        </row>
        <row r="115">
          <cell r="F115" t="str">
            <v>Bourne Education Trust</v>
          </cell>
        </row>
        <row r="116">
          <cell r="F116" t="str">
            <v>Bournemouth School</v>
          </cell>
        </row>
        <row r="117">
          <cell r="F117" t="str">
            <v>Bournemouth School for Girls</v>
          </cell>
        </row>
        <row r="118">
          <cell r="F118" t="str">
            <v>Bournemouth University</v>
          </cell>
        </row>
        <row r="119">
          <cell r="F119" t="str">
            <v>Bourton Meadow Academy</v>
          </cell>
        </row>
        <row r="120">
          <cell r="F120" t="str">
            <v>Boxwood Ltd</v>
          </cell>
        </row>
        <row r="121">
          <cell r="F121" t="str">
            <v>BP PLC</v>
          </cell>
        </row>
        <row r="122">
          <cell r="F122" t="str">
            <v>Bradfield College</v>
          </cell>
        </row>
        <row r="123">
          <cell r="F123" t="str">
            <v>Bradford Academy Trust</v>
          </cell>
        </row>
        <row r="124">
          <cell r="F124" t="str">
            <v>Bradford City Council</v>
          </cell>
        </row>
        <row r="125">
          <cell r="F125" t="str">
            <v>Bradford College Education Trust</v>
          </cell>
        </row>
        <row r="126">
          <cell r="F126" t="str">
            <v>Brampton Manor Academy Trust</v>
          </cell>
        </row>
        <row r="127">
          <cell r="F127" t="str">
            <v xml:space="preserve">Bransholme and  District Umbrella Trust </v>
          </cell>
        </row>
        <row r="128">
          <cell r="F128" t="str">
            <v xml:space="preserve">Brentwood Academies Trust </v>
          </cell>
        </row>
        <row r="129">
          <cell r="F129" t="str">
            <v>Brian Scowcroft</v>
          </cell>
        </row>
        <row r="130">
          <cell r="F130" t="str">
            <v>Bridge Multi Academy Trust</v>
          </cell>
        </row>
        <row r="131">
          <cell r="F131" t="str">
            <v>Bridgewater High School</v>
          </cell>
        </row>
        <row r="132">
          <cell r="F132" t="str">
            <v>Bridgwater College Trust</v>
          </cell>
        </row>
        <row r="133">
          <cell r="F133" t="str">
            <v>Bright Futures Educational Trust</v>
          </cell>
        </row>
        <row r="134">
          <cell r="F134" t="str">
            <v>Bright Tribe Trust</v>
          </cell>
        </row>
        <row r="135">
          <cell r="F135" t="str">
            <v>Brighter Futures Academy Trust</v>
          </cell>
        </row>
        <row r="136">
          <cell r="F136" t="str">
            <v>Brinsworth Comprehensive School</v>
          </cell>
        </row>
        <row r="137">
          <cell r="F137" t="str">
            <v>Bristol Cathedral School Trust</v>
          </cell>
        </row>
        <row r="138">
          <cell r="F138" t="str">
            <v>Bristol Church Academies Trust (BCAT)</v>
          </cell>
        </row>
        <row r="139">
          <cell r="F139" t="str">
            <v>Bristol Diocesan Board of Education</v>
          </cell>
        </row>
        <row r="140">
          <cell r="F140" t="str">
            <v>British Telecom</v>
          </cell>
        </row>
        <row r="141">
          <cell r="F141" t="str">
            <v>Bromley College of Further and Higher Education</v>
          </cell>
        </row>
        <row r="142">
          <cell r="F142" t="str">
            <v>Brompton - Westbrook Primary</v>
          </cell>
        </row>
        <row r="143">
          <cell r="F143" t="str">
            <v>Bromsgrove School</v>
          </cell>
        </row>
        <row r="144">
          <cell r="F144" t="str">
            <v>Brooke Weston</v>
          </cell>
        </row>
        <row r="145">
          <cell r="F145" t="str">
            <v>Brookfield House School</v>
          </cell>
        </row>
        <row r="146">
          <cell r="F146" t="str">
            <v>Buckinghamshire County Council</v>
          </cell>
        </row>
        <row r="147">
          <cell r="F147" t="str">
            <v>Bude Park Primary Academy</v>
          </cell>
        </row>
        <row r="148">
          <cell r="F148" t="str">
            <v>Budmouth College</v>
          </cell>
        </row>
        <row r="149">
          <cell r="F149" t="str">
            <v>Bullers Wood School</v>
          </cell>
        </row>
        <row r="150">
          <cell r="F150" t="str">
            <v>Burford School</v>
          </cell>
        </row>
        <row r="151">
          <cell r="F151" t="str">
            <v>Burnley College</v>
          </cell>
        </row>
        <row r="152">
          <cell r="F152" t="str">
            <v>Burnley Education Trust</v>
          </cell>
        </row>
        <row r="153">
          <cell r="F153" t="str">
            <v xml:space="preserve">Burnt Mill </v>
          </cell>
        </row>
        <row r="154">
          <cell r="F154" t="str">
            <v>Bursley Academy</v>
          </cell>
        </row>
        <row r="155">
          <cell r="F155" t="str">
            <v>Burton and South Derbyshire College</v>
          </cell>
        </row>
        <row r="156">
          <cell r="F156" t="str">
            <v>Bury College</v>
          </cell>
        </row>
        <row r="157">
          <cell r="F157" t="str">
            <v>Bury St Edmunds County Upper School</v>
          </cell>
        </row>
        <row r="158">
          <cell r="F158" t="str">
            <v>Business Support and Development Ltd</v>
          </cell>
        </row>
        <row r="159">
          <cell r="F159" t="str">
            <v>By Schools For Schools Group</v>
          </cell>
        </row>
        <row r="160">
          <cell r="F160" t="str">
            <v>Cabot Learning Federation</v>
          </cell>
        </row>
        <row r="161">
          <cell r="F161" t="str">
            <v>Calderdale College</v>
          </cell>
        </row>
        <row r="162">
          <cell r="F162" t="str">
            <v>Calderdale MBC</v>
          </cell>
        </row>
        <row r="163">
          <cell r="F163" t="str">
            <v>Callington Community College</v>
          </cell>
        </row>
        <row r="164">
          <cell r="F164" t="str">
            <v>Caludon Castle School</v>
          </cell>
        </row>
        <row r="165">
          <cell r="F165" t="str">
            <v>Cambridge Education/Mott MacDonald</v>
          </cell>
        </row>
        <row r="166">
          <cell r="F166" t="str">
            <v>Cambridge Meridian Academies Trust</v>
          </cell>
        </row>
        <row r="167">
          <cell r="F167" t="str">
            <v>Cambridge Primary Education Trust (CPET)</v>
          </cell>
        </row>
        <row r="168">
          <cell r="F168" t="str">
            <v>Cambridge Regional College</v>
          </cell>
        </row>
        <row r="169">
          <cell r="F169" t="str">
            <v>Canford School</v>
          </cell>
        </row>
        <row r="170">
          <cell r="F170" t="str">
            <v>Canterbury Christ Church University</v>
          </cell>
        </row>
        <row r="171">
          <cell r="F171" t="str">
            <v>Capita Group</v>
          </cell>
        </row>
        <row r="172">
          <cell r="F172" t="str">
            <v>Cardigan Centre</v>
          </cell>
        </row>
        <row r="173">
          <cell r="F173" t="str">
            <v>Cardinal Hume Catholic School</v>
          </cell>
        </row>
        <row r="174">
          <cell r="F174" t="str">
            <v>Carillion PLC</v>
          </cell>
        </row>
        <row r="175">
          <cell r="F175" t="str">
            <v>Carlton le Willows Academy</v>
          </cell>
        </row>
        <row r="176">
          <cell r="F176" t="str">
            <v>Carmel College Academy Trust</v>
          </cell>
        </row>
        <row r="177">
          <cell r="F177" t="str">
            <v>Casterton Business &amp; Enterprise College</v>
          </cell>
        </row>
        <row r="178">
          <cell r="F178" t="str">
            <v>Castle Hill Infants School</v>
          </cell>
        </row>
        <row r="179">
          <cell r="F179" t="str">
            <v>Castleford Academy</v>
          </cell>
        </row>
        <row r="180">
          <cell r="F180" t="str">
            <v xml:space="preserve">Catch 22 </v>
          </cell>
        </row>
        <row r="181">
          <cell r="F181" t="str">
            <v>Catholic Diocese of Brentwood</v>
          </cell>
        </row>
        <row r="182">
          <cell r="F182" t="str">
            <v>Catholic Diocese of Plymouth</v>
          </cell>
        </row>
        <row r="183">
          <cell r="F183" t="str">
            <v>Catmose Federation Academy</v>
          </cell>
        </row>
        <row r="184">
          <cell r="F184" t="str">
            <v>Caversham Primary School</v>
          </cell>
        </row>
        <row r="185">
          <cell r="F185" t="str">
            <v>Cawston VC Primary School</v>
          </cell>
        </row>
        <row r="186">
          <cell r="F186" t="str">
            <v>CECET The Church of England Central Education Trust</v>
          </cell>
        </row>
        <row r="187">
          <cell r="F187" t="str">
            <v>Central Bedfordshire College</v>
          </cell>
        </row>
        <row r="188">
          <cell r="F188" t="str">
            <v>Central Manchester and Manchester Children's University Hospitals NHS Trust</v>
          </cell>
        </row>
        <row r="189">
          <cell r="F189" t="str">
            <v>CET Primary Schools</v>
          </cell>
        </row>
        <row r="190">
          <cell r="F190" t="str">
            <v>CfBT Education Trust</v>
          </cell>
        </row>
        <row r="191">
          <cell r="F191" t="str">
            <v xml:space="preserve">Challenge Partners </v>
          </cell>
        </row>
        <row r="192">
          <cell r="F192" t="str">
            <v>Chandlers Ridge Primary School</v>
          </cell>
        </row>
        <row r="193">
          <cell r="F193" t="str">
            <v>CHANGE Schools Partnership</v>
          </cell>
        </row>
        <row r="194">
          <cell r="F194" t="str">
            <v>Chapel St Community Schools Trust</v>
          </cell>
        </row>
        <row r="195">
          <cell r="F195" t="str">
            <v>Charles Darwin School</v>
          </cell>
        </row>
        <row r="196">
          <cell r="F196" t="str">
            <v>Charles Dunstone</v>
          </cell>
        </row>
        <row r="197">
          <cell r="F197" t="str">
            <v>Charville Primary School</v>
          </cell>
        </row>
        <row r="198">
          <cell r="F198" t="str">
            <v>Cheadle Hulme High School, Stockport</v>
          </cell>
        </row>
        <row r="199">
          <cell r="F199" t="str">
            <v>Chellaston Academy</v>
          </cell>
        </row>
        <row r="200">
          <cell r="F200" t="str">
            <v>Cheney School</v>
          </cell>
        </row>
        <row r="201">
          <cell r="F201" t="str">
            <v>Chepping View Primary Academy</v>
          </cell>
        </row>
        <row r="202">
          <cell r="F202" t="str">
            <v>Chesterfield College</v>
          </cell>
        </row>
        <row r="203">
          <cell r="F203" t="str">
            <v>Chesterton Community Sports College</v>
          </cell>
        </row>
        <row r="204">
          <cell r="F204" t="str">
            <v>Chichester College</v>
          </cell>
        </row>
        <row r="205">
          <cell r="F205" t="str">
            <v xml:space="preserve">Chichester Diocesan Board of Education </v>
          </cell>
        </row>
        <row r="206">
          <cell r="F206" t="str">
            <v>Children &amp; Families Ltd</v>
          </cell>
        </row>
        <row r="207">
          <cell r="F207" t="str">
            <v>Chilwell Croft Primary School</v>
          </cell>
        </row>
        <row r="208">
          <cell r="F208" t="str">
            <v>Chingford Foundation School</v>
          </cell>
        </row>
        <row r="209">
          <cell r="F209" t="str">
            <v>Christine Lough</v>
          </cell>
        </row>
        <row r="210">
          <cell r="F210" t="str">
            <v>Christleton High School</v>
          </cell>
        </row>
        <row r="211">
          <cell r="F211" t="str">
            <v>Christopher Hopton</v>
          </cell>
        </row>
        <row r="212">
          <cell r="F212" t="str">
            <v>Churchend Primary Academy</v>
          </cell>
        </row>
        <row r="213">
          <cell r="F213" t="str">
            <v>Cirencester Deer Park School</v>
          </cell>
        </row>
        <row r="214">
          <cell r="F214" t="str">
            <v>City College Brighton and Hove</v>
          </cell>
        </row>
        <row r="215">
          <cell r="F215" t="str">
            <v>City College Coventry</v>
          </cell>
        </row>
        <row r="216">
          <cell r="F216" t="str">
            <v>City College Plymouth</v>
          </cell>
        </row>
        <row r="217">
          <cell r="F217" t="str">
            <v>City of London Corporation</v>
          </cell>
        </row>
        <row r="218">
          <cell r="F218" t="str">
            <v>City of Wolverhampton Academy Trust</v>
          </cell>
        </row>
        <row r="219">
          <cell r="F219" t="str">
            <v>City University London</v>
          </cell>
        </row>
        <row r="220">
          <cell r="F220" t="str">
            <v>Clevedon Hall Academy Trust</v>
          </cell>
        </row>
        <row r="221">
          <cell r="F221" t="str">
            <v>Clevedon School</v>
          </cell>
        </row>
        <row r="222">
          <cell r="F222" t="str">
            <v>Cleves Cross Primary School</v>
          </cell>
        </row>
        <row r="223">
          <cell r="F223" t="str">
            <v>Cliff Park Infant School</v>
          </cell>
        </row>
        <row r="224">
          <cell r="F224" t="str">
            <v>Clifton Diocese</v>
          </cell>
        </row>
        <row r="225">
          <cell r="F225" t="str">
            <v>Colchester Institute</v>
          </cell>
        </row>
        <row r="226">
          <cell r="F226" t="str">
            <v>College of St Mark and St John</v>
          </cell>
        </row>
        <row r="227">
          <cell r="F227" t="str">
            <v>Collingwood Primary School Hull</v>
          </cell>
        </row>
        <row r="228">
          <cell r="F228" t="str">
            <v>Coloma Trust</v>
          </cell>
        </row>
        <row r="229">
          <cell r="F229" t="str">
            <v>Colston's Girls' School</v>
          </cell>
        </row>
        <row r="230">
          <cell r="F230" t="str">
            <v>Comberton Academy Trust</v>
          </cell>
        </row>
        <row r="231">
          <cell r="F231" t="str">
            <v>Community Academies Trust (CAT)</v>
          </cell>
        </row>
        <row r="232">
          <cell r="F232" t="str">
            <v>Community Action North Devon</v>
          </cell>
        </row>
        <row r="233">
          <cell r="F233" t="str">
            <v>ConcertEd</v>
          </cell>
        </row>
        <row r="234">
          <cell r="F234" t="str">
            <v>ContinYou</v>
          </cell>
        </row>
        <row r="235">
          <cell r="F235" t="str">
            <v>Contour Education Services</v>
          </cell>
        </row>
        <row r="236">
          <cell r="F236" t="str">
            <v>Coombe Secondary Schools Academy Trust (CSSAT)</v>
          </cell>
        </row>
        <row r="237">
          <cell r="F237" t="str">
            <v xml:space="preserve">Coopers Technology College </v>
          </cell>
        </row>
        <row r="238">
          <cell r="F238" t="str">
            <v>Cornwall College</v>
          </cell>
        </row>
        <row r="239">
          <cell r="F239" t="str">
            <v>Cornwallis Online Learning</v>
          </cell>
        </row>
        <row r="240">
          <cell r="F240" t="str">
            <v>Coventry City Council</v>
          </cell>
        </row>
        <row r="241">
          <cell r="F241" t="str">
            <v>Coventry University</v>
          </cell>
        </row>
        <row r="242">
          <cell r="F242" t="str">
            <v>Coxhoe Primary School</v>
          </cell>
        </row>
        <row r="243">
          <cell r="F243" t="str">
            <v>Crakenhall CE Primary School</v>
          </cell>
        </row>
        <row r="244">
          <cell r="F244" t="str">
            <v>Craven College</v>
          </cell>
        </row>
        <row r="245">
          <cell r="F245" t="str">
            <v>Create Consulting Engineers Ltd</v>
          </cell>
        </row>
        <row r="246">
          <cell r="F246" t="str">
            <v>Creative Education Academies Trust (CEAT)</v>
          </cell>
        </row>
        <row r="247">
          <cell r="F247" t="str">
            <v>Creative Education Limited</v>
          </cell>
        </row>
        <row r="248">
          <cell r="F248" t="str">
            <v>Creative Marketing Services</v>
          </cell>
        </row>
        <row r="249">
          <cell r="F249" t="str">
            <v>Creative Solution Partnership</v>
          </cell>
        </row>
        <row r="250">
          <cell r="F250" t="str">
            <v>Crofton Academy Wakefield</v>
          </cell>
        </row>
        <row r="251">
          <cell r="F251" t="str">
            <v>CTC Kingshurst Academy Trust</v>
          </cell>
        </row>
        <row r="252">
          <cell r="F252" t="str">
            <v>CWA Academy Trust</v>
          </cell>
        </row>
        <row r="253">
          <cell r="F253" t="str">
            <v>DAC Beachcroft</v>
          </cell>
        </row>
        <row r="254">
          <cell r="F254" t="str">
            <v>Dacre Braithwaite Church of England Primary School</v>
          </cell>
        </row>
        <row r="255">
          <cell r="F255" t="str">
            <v>Dane Court Grammar and King Ethelbert School Trust</v>
          </cell>
        </row>
        <row r="256">
          <cell r="F256" t="str">
            <v>Darlington College</v>
          </cell>
        </row>
        <row r="257">
          <cell r="F257" t="str">
            <v>David and Anne Crossland</v>
          </cell>
        </row>
        <row r="258">
          <cell r="F258" t="str">
            <v>David Kremer</v>
          </cell>
        </row>
        <row r="259">
          <cell r="F259" t="str">
            <v>David Meller</v>
          </cell>
        </row>
        <row r="260">
          <cell r="F260" t="str">
            <v>David Ross Education Trust (DRET)</v>
          </cell>
        </row>
        <row r="261">
          <cell r="F261" t="str">
            <v>De La Salle Order</v>
          </cell>
        </row>
        <row r="262">
          <cell r="F262" t="str">
            <v xml:space="preserve">De La Salle School and Language College </v>
          </cell>
        </row>
        <row r="263">
          <cell r="F263" t="str">
            <v>Deacon's Trust</v>
          </cell>
        </row>
        <row r="264">
          <cell r="F264" t="str">
            <v>Dearham Primary School</v>
          </cell>
        </row>
        <row r="265">
          <cell r="F265" t="str">
            <v>Denbigh High School</v>
          </cell>
        </row>
        <row r="266">
          <cell r="F266" t="str">
            <v>Denton CoE School</v>
          </cell>
        </row>
        <row r="267">
          <cell r="F267" t="str">
            <v xml:space="preserve">Derby College Education Trust </v>
          </cell>
        </row>
        <row r="268">
          <cell r="F268" t="str">
            <v>Developing Services for Teaching in Europe (DSTE)</v>
          </cell>
        </row>
        <row r="269">
          <cell r="F269" t="str">
            <v>Dickleburgh VC Primary School</v>
          </cell>
        </row>
        <row r="270">
          <cell r="F270" t="str">
            <v xml:space="preserve">Didcot Academy of Schools Multi-Academy Trust </v>
          </cell>
        </row>
        <row r="271">
          <cell r="F271" t="str">
            <v xml:space="preserve">Dilkes Academy Trust (Dilkes Primary School) </v>
          </cell>
        </row>
        <row r="272">
          <cell r="F272" t="str">
            <v>Diocese of Bath and Wells Multi Academy Trust</v>
          </cell>
        </row>
        <row r="273">
          <cell r="F273" t="str">
            <v xml:space="preserve">Diocese of Birmingham Education Trust </v>
          </cell>
        </row>
        <row r="274">
          <cell r="F274" t="str">
            <v>Diocese of Blackburn</v>
          </cell>
        </row>
        <row r="275">
          <cell r="F275" t="str">
            <v>Diocese of Bradford</v>
          </cell>
        </row>
        <row r="276">
          <cell r="F276" t="str">
            <v>Diocese of Canterbury</v>
          </cell>
        </row>
        <row r="277">
          <cell r="F277" t="str">
            <v>Diocese of Carlisle</v>
          </cell>
        </row>
        <row r="278">
          <cell r="F278" t="str">
            <v>Diocese of Chelmsford</v>
          </cell>
        </row>
        <row r="279">
          <cell r="F279" t="str">
            <v>Diocese of Chester</v>
          </cell>
        </row>
        <row r="280">
          <cell r="F280" t="str">
            <v>Diocese of Coventry</v>
          </cell>
        </row>
        <row r="281">
          <cell r="F281" t="str">
            <v>Diocese of Derby</v>
          </cell>
        </row>
        <row r="282">
          <cell r="F282" t="str">
            <v>Diocese of Durham</v>
          </cell>
        </row>
        <row r="283">
          <cell r="F283" t="str">
            <v>Diocese of Ely</v>
          </cell>
        </row>
        <row r="284">
          <cell r="F284" t="str">
            <v>Diocese of Gloucester Multi-Academy Trust</v>
          </cell>
        </row>
        <row r="285">
          <cell r="F285" t="str">
            <v>Diocese of Guildford</v>
          </cell>
        </row>
        <row r="286">
          <cell r="F286" t="str">
            <v>Diocese of Hallam</v>
          </cell>
        </row>
        <row r="287">
          <cell r="F287" t="str">
            <v>Diocese of Hereford</v>
          </cell>
        </row>
        <row r="288">
          <cell r="F288" t="str">
            <v>Diocese of Hexham and Newcastle</v>
          </cell>
        </row>
        <row r="289">
          <cell r="F289" t="str">
            <v>Diocese of Lancaster</v>
          </cell>
        </row>
        <row r="290">
          <cell r="F290" t="str">
            <v xml:space="preserve">Diocese of Leeds and Ripon </v>
          </cell>
        </row>
        <row r="291">
          <cell r="F291" t="str">
            <v>Diocese of Leicester</v>
          </cell>
        </row>
        <row r="292">
          <cell r="F292" t="str">
            <v>Diocese of Lichfield</v>
          </cell>
        </row>
        <row r="293">
          <cell r="F293" t="str">
            <v>Diocese of Liverpool</v>
          </cell>
        </row>
        <row r="294">
          <cell r="F294" t="str">
            <v>Diocese of London</v>
          </cell>
        </row>
        <row r="295">
          <cell r="F295" t="str">
            <v>Diocese of Manchester</v>
          </cell>
        </row>
        <row r="296">
          <cell r="F296" t="str">
            <v>Diocese of Middlesbrough</v>
          </cell>
        </row>
        <row r="297">
          <cell r="F297" t="str">
            <v>Diocese of Newcastle</v>
          </cell>
        </row>
        <row r="298">
          <cell r="F298" t="str">
            <v>Diocese of Norwich</v>
          </cell>
        </row>
        <row r="299">
          <cell r="F299" t="str">
            <v>Diocese of Nottingham</v>
          </cell>
        </row>
        <row r="300">
          <cell r="F300" t="str">
            <v>Diocese of Oxford</v>
          </cell>
        </row>
        <row r="301">
          <cell r="F301" t="str">
            <v>Diocese of Peterborough</v>
          </cell>
        </row>
        <row r="302">
          <cell r="F302" t="str">
            <v>Diocese of Salford</v>
          </cell>
        </row>
        <row r="303">
          <cell r="F303" t="str">
            <v xml:space="preserve">Diocese of Salisbury Multi Academy Trust </v>
          </cell>
        </row>
        <row r="304">
          <cell r="F304" t="str">
            <v>Diocese of Sheffield</v>
          </cell>
        </row>
        <row r="305">
          <cell r="F305" t="str">
            <v>Diocese of Shrewsbury</v>
          </cell>
        </row>
        <row r="306">
          <cell r="F306" t="str">
            <v>Diocese of Southwark</v>
          </cell>
        </row>
        <row r="307">
          <cell r="F307" t="str">
            <v>Diocese of Southwell &amp; Nottingham</v>
          </cell>
        </row>
        <row r="308">
          <cell r="F308" t="str">
            <v>Diocese of St Edmundsbury and Ipswich</v>
          </cell>
        </row>
        <row r="309">
          <cell r="F309" t="str">
            <v>Diocese of Wakefield</v>
          </cell>
        </row>
        <row r="310">
          <cell r="F310" t="str">
            <v>Diocese of Worcester</v>
          </cell>
        </row>
        <row r="311">
          <cell r="F311" t="str">
            <v>Diocese of York Educational Trust</v>
          </cell>
        </row>
        <row r="312">
          <cell r="F312" t="str">
            <v>Diocese of York/William Temple Academy Trust</v>
          </cell>
        </row>
        <row r="313">
          <cell r="F313" t="str">
            <v>Discovery Academies Trust</v>
          </cell>
        </row>
        <row r="314">
          <cell r="F314" t="str">
            <v>Diverse Academies Trust</v>
          </cell>
        </row>
        <row r="315">
          <cell r="F315" t="str">
            <v>Dixons Academy Trust</v>
          </cell>
        </row>
        <row r="316">
          <cell r="F316" t="str">
            <v>Djanogly Learning Trust</v>
          </cell>
        </row>
        <row r="317">
          <cell r="F317" t="str">
            <v>Donisthorpe Hall</v>
          </cell>
        </row>
        <row r="318">
          <cell r="F318" t="str">
            <v>Dover Federation for the Arts Multi Academy Trust (DFAMAT)</v>
          </cell>
        </row>
        <row r="319">
          <cell r="F319" t="str">
            <v>Dover Grammar School For Boys</v>
          </cell>
        </row>
        <row r="320">
          <cell r="F320" t="str">
            <v>Dover Grammar School For Girls</v>
          </cell>
        </row>
        <row r="321">
          <cell r="F321" t="str">
            <v>Dr Challoner's Grammar School</v>
          </cell>
        </row>
        <row r="322">
          <cell r="F322" t="str">
            <v>Dr. Viba Ellis</v>
          </cell>
        </row>
        <row r="323">
          <cell r="F323" t="str">
            <v>Drapers Company</v>
          </cell>
        </row>
        <row r="324">
          <cell r="F324" t="str">
            <v>Drayton Manor High School</v>
          </cell>
        </row>
        <row r="325">
          <cell r="F325" t="str">
            <v>Duke of Northumberland</v>
          </cell>
        </row>
        <row r="326">
          <cell r="F326" t="str">
            <v>Dulwich College</v>
          </cell>
        </row>
        <row r="327">
          <cell r="F327" t="str">
            <v>Dunchurch Boughton CofE (Voluntary Aided) Junior School</v>
          </cell>
        </row>
        <row r="328">
          <cell r="F328" t="str">
            <v>Durham County Council</v>
          </cell>
        </row>
        <row r="329">
          <cell r="F329" t="str">
            <v>Durham University</v>
          </cell>
        </row>
        <row r="330">
          <cell r="F330" t="str">
            <v>Durrington High School</v>
          </cell>
        </row>
        <row r="331">
          <cell r="F331" t="str">
            <v>E-ACT</v>
          </cell>
        </row>
        <row r="332">
          <cell r="F332" t="str">
            <v>East Birmingham Network</v>
          </cell>
        </row>
        <row r="333">
          <cell r="F333" t="str">
            <v>East Manchester Academy Trust</v>
          </cell>
        </row>
        <row r="334">
          <cell r="F334" t="str">
            <v>East Middlesbrough Learning Trust</v>
          </cell>
        </row>
        <row r="335">
          <cell r="F335" t="str">
            <v>East Sussex County Council</v>
          </cell>
        </row>
        <row r="336">
          <cell r="F336" t="str">
            <v>Easton College</v>
          </cell>
        </row>
        <row r="337">
          <cell r="F337" t="str">
            <v>Eaton Hall School, Norwich</v>
          </cell>
        </row>
        <row r="338">
          <cell r="F338" t="str">
            <v>Ebor Academy Trust</v>
          </cell>
        </row>
        <row r="339">
          <cell r="F339" t="str">
            <v>ECM Education Consultants</v>
          </cell>
        </row>
        <row r="340">
          <cell r="F340" t="str">
            <v>Edge Foundation</v>
          </cell>
        </row>
        <row r="341">
          <cell r="F341" t="str">
            <v>Edge Hill University</v>
          </cell>
        </row>
        <row r="342">
          <cell r="F342" t="str">
            <v>Edmanson Consulting</v>
          </cell>
        </row>
        <row r="343">
          <cell r="F343" t="str">
            <v xml:space="preserve">Educate Together </v>
          </cell>
        </row>
        <row r="344">
          <cell r="F344" t="str">
            <v>Education Central</v>
          </cell>
        </row>
        <row r="345">
          <cell r="F345" t="str">
            <v>Education Excellence 4 All (EE4A)</v>
          </cell>
        </row>
        <row r="346">
          <cell r="F346" t="str">
            <v xml:space="preserve">Education Express </v>
          </cell>
        </row>
        <row r="347">
          <cell r="F347" t="str">
            <v>Elliot Foundation</v>
          </cell>
        </row>
        <row r="348">
          <cell r="F348" t="str">
            <v>Elmridge Academy Trust</v>
          </cell>
        </row>
        <row r="349">
          <cell r="F349" t="str">
            <v>EMLC Academy Trust</v>
          </cell>
        </row>
        <row r="350">
          <cell r="F350" t="str">
            <v>Emmanuel Schools Foundation</v>
          </cell>
        </row>
        <row r="351">
          <cell r="F351" t="str">
            <v>Emneth Nursery School</v>
          </cell>
        </row>
        <row r="352">
          <cell r="F352" t="str">
            <v>Enact Conveyancing Ltd</v>
          </cell>
        </row>
        <row r="353">
          <cell r="F353" t="str">
            <v>Endeavour Academy Trust</v>
          </cell>
        </row>
        <row r="354">
          <cell r="F354" t="str">
            <v>Enquire Learning Trust</v>
          </cell>
        </row>
        <row r="355">
          <cell r="F355" t="str">
            <v>Equitas Academies Trust</v>
          </cell>
        </row>
        <row r="356">
          <cell r="F356" t="str">
            <v>Eric and Grace Payne</v>
          </cell>
        </row>
        <row r="357">
          <cell r="F357" t="str">
            <v>Erudition Schools Trust</v>
          </cell>
        </row>
        <row r="358">
          <cell r="F358" t="str">
            <v>Essa Foundation</v>
          </cell>
        </row>
        <row r="359">
          <cell r="F359" t="str">
            <v>Eton College</v>
          </cell>
        </row>
        <row r="360">
          <cell r="F360" t="str">
            <v>Eveleigh LINK Academy Trust</v>
          </cell>
        </row>
        <row r="361">
          <cell r="F361" t="str">
            <v>Excalibur Academies Trust</v>
          </cell>
        </row>
        <row r="362">
          <cell r="F362" t="str">
            <v>Exeter College</v>
          </cell>
        </row>
        <row r="363">
          <cell r="F363" t="str">
            <v>Exilarch's Foundation</v>
          </cell>
        </row>
        <row r="364">
          <cell r="F364" t="str">
            <v>Extol Academy Trust</v>
          </cell>
        </row>
        <row r="365">
          <cell r="F365" t="str">
            <v>Eye Film and Television</v>
          </cell>
        </row>
        <row r="366">
          <cell r="F366" t="str">
            <v>Fairfax School</v>
          </cell>
        </row>
        <row r="367">
          <cell r="F367" t="str">
            <v>Fallibroome Academy</v>
          </cell>
        </row>
        <row r="368">
          <cell r="F368" t="str">
            <v>Fast Forward Schools</v>
          </cell>
        </row>
        <row r="369">
          <cell r="F369" t="str">
            <v>Fawbert and Barnard's Primary School</v>
          </cell>
        </row>
        <row r="370">
          <cell r="F370" t="str">
            <v>Fernwood Federation</v>
          </cell>
        </row>
        <row r="371">
          <cell r="F371" t="str">
            <v>Feversham Education Trust</v>
          </cell>
        </row>
        <row r="372">
          <cell r="F372" t="str">
            <v>First Federation Trust</v>
          </cell>
        </row>
        <row r="373">
          <cell r="F373" t="str">
            <v>Fishergate Primary School</v>
          </cell>
        </row>
        <row r="374">
          <cell r="F374" t="str">
            <v xml:space="preserve">Floreat Education Ltd </v>
          </cell>
        </row>
        <row r="375">
          <cell r="F375" t="str">
            <v>Focus-Trust</v>
          </cell>
        </row>
        <row r="376">
          <cell r="F376" t="str">
            <v>Fort Pitt Grammar School</v>
          </cell>
        </row>
        <row r="377">
          <cell r="F377" t="str">
            <v>Fosse Way School</v>
          </cell>
        </row>
        <row r="378">
          <cell r="F378" t="str">
            <v>Franklin College</v>
          </cell>
        </row>
        <row r="379">
          <cell r="F379" t="str">
            <v>Freshfield Primary School</v>
          </cell>
        </row>
        <row r="380">
          <cell r="F380" t="str">
            <v>Frog Trade Ltd</v>
          </cell>
        </row>
        <row r="381">
          <cell r="F381" t="str">
            <v>FSB East Anglia</v>
          </cell>
        </row>
        <row r="382">
          <cell r="F382" t="str">
            <v>Fulston Manor School</v>
          </cell>
        </row>
        <row r="383">
          <cell r="F383" t="str">
            <v>Furley Park Primary School</v>
          </cell>
        </row>
        <row r="384">
          <cell r="F384" t="str">
            <v>Furness College</v>
          </cell>
        </row>
        <row r="385">
          <cell r="F385" t="str">
            <v>Future</v>
          </cell>
        </row>
        <row r="386">
          <cell r="F386" t="str">
            <v>Future Marine Services Ltd</v>
          </cell>
        </row>
        <row r="387">
          <cell r="F387" t="str">
            <v>Fylde Coast Teaching School Ltd</v>
          </cell>
        </row>
        <row r="388">
          <cell r="F388" t="str">
            <v>Gardline Marine Sciences Limited</v>
          </cell>
        </row>
        <row r="389">
          <cell r="F389" t="str">
            <v>Garrard Education Trust</v>
          </cell>
        </row>
        <row r="390">
          <cell r="F390" t="str">
            <v>Gateway Academy Trust (Ormiston)</v>
          </cell>
        </row>
        <row r="391">
          <cell r="F391" t="str">
            <v>GEMS Education Trust</v>
          </cell>
        </row>
        <row r="392">
          <cell r="F392" t="str">
            <v>Gentoo</v>
          </cell>
        </row>
        <row r="393">
          <cell r="F393" t="str">
            <v>Geoff Hannan &amp; Angela Hannan (TCI)</v>
          </cell>
        </row>
        <row r="394">
          <cell r="F394" t="str">
            <v>George Abbott School</v>
          </cell>
        </row>
        <row r="395">
          <cell r="F395" t="str">
            <v>Gillotts School</v>
          </cell>
        </row>
        <row r="396">
          <cell r="F396" t="str">
            <v>Gipsy Hill Federation</v>
          </cell>
        </row>
        <row r="397">
          <cell r="F397" t="str">
            <v>Girls' Day School Trust (GDST)</v>
          </cell>
        </row>
        <row r="398">
          <cell r="F398" t="str">
            <v xml:space="preserve">Global Route to Excellence Academies Trust (GREAT) </v>
          </cell>
        </row>
        <row r="399">
          <cell r="F399" t="str">
            <v xml:space="preserve">Gloucestershire Learning Alliance </v>
          </cell>
        </row>
        <row r="400">
          <cell r="F400" t="str">
            <v>GMD Education Ltd</v>
          </cell>
        </row>
        <row r="401">
          <cell r="F401" t="str">
            <v>Goldsworth Primary School</v>
          </cell>
        </row>
        <row r="402">
          <cell r="F402" t="str">
            <v>Gooderstone Church of England Voluntary Aided Primary School</v>
          </cell>
        </row>
        <row r="403">
          <cell r="F403" t="str">
            <v>Gordano School</v>
          </cell>
        </row>
        <row r="404">
          <cell r="F404" t="str">
            <v>Gordon Phillips</v>
          </cell>
        </row>
        <row r="405">
          <cell r="F405" t="str">
            <v>Grace Foundation</v>
          </cell>
        </row>
        <row r="406">
          <cell r="F406" t="str">
            <v>Grafton House Preparatory School</v>
          </cell>
        </row>
        <row r="407">
          <cell r="F407" t="str">
            <v>Graham Dacre</v>
          </cell>
        </row>
        <row r="408">
          <cell r="F408" t="str">
            <v>Gravesend Grammar School</v>
          </cell>
        </row>
        <row r="409">
          <cell r="F409" t="str">
            <v>Great Academies Education Trust</v>
          </cell>
        </row>
        <row r="410">
          <cell r="F410" t="str">
            <v>Great Chesterford CofE VA Primary School</v>
          </cell>
        </row>
        <row r="411">
          <cell r="F411" t="str">
            <v>Great Western Learning Federation</v>
          </cell>
        </row>
        <row r="412">
          <cell r="F412" t="str">
            <v>Greenacre Academy Trust</v>
          </cell>
        </row>
        <row r="413">
          <cell r="F413" t="str">
            <v xml:space="preserve">Greenshaw High School </v>
          </cell>
        </row>
        <row r="414">
          <cell r="F414" t="str">
            <v xml:space="preserve">Greensides Trust </v>
          </cell>
        </row>
        <row r="415">
          <cell r="F415" t="str">
            <v>Greenwood Dale Foundation Trust</v>
          </cell>
        </row>
        <row r="416">
          <cell r="F416" t="str">
            <v>Greetland Primary Academy</v>
          </cell>
        </row>
        <row r="417">
          <cell r="F417" t="str">
            <v>Greig Trust</v>
          </cell>
        </row>
        <row r="418">
          <cell r="F418" t="str">
            <v>Groombridge St Thomas CE School</v>
          </cell>
        </row>
        <row r="419">
          <cell r="F419" t="str">
            <v>Guilford County School</v>
          </cell>
        </row>
        <row r="420">
          <cell r="F420" t="str">
            <v>Haas Automation Ltd</v>
          </cell>
        </row>
        <row r="421">
          <cell r="F421" t="str">
            <v>Haberdashers’ Aske’s Federation (HAFT)</v>
          </cell>
        </row>
        <row r="422">
          <cell r="F422" t="str">
            <v>Hackney Community College</v>
          </cell>
        </row>
        <row r="423">
          <cell r="F423" t="str">
            <v xml:space="preserve">Hackney Learning Trust </v>
          </cell>
        </row>
        <row r="424">
          <cell r="F424" t="str">
            <v>Haileybury</v>
          </cell>
        </row>
        <row r="425">
          <cell r="F425" t="str">
            <v>Hall Mead School</v>
          </cell>
        </row>
        <row r="426">
          <cell r="F426" t="str">
            <v>Hampshire County Council</v>
          </cell>
        </row>
        <row r="427">
          <cell r="F427" t="str">
            <v>Hamstead Hall Academy</v>
          </cell>
        </row>
        <row r="428">
          <cell r="F428" t="str">
            <v>Hanover Partnership</v>
          </cell>
        </row>
        <row r="429">
          <cell r="F429" t="str">
            <v>Hansells Solicitors and Financial Advisors</v>
          </cell>
        </row>
        <row r="430">
          <cell r="F430" t="str">
            <v>Harpur Trust</v>
          </cell>
        </row>
        <row r="431">
          <cell r="F431" t="str">
            <v>Harris Federation</v>
          </cell>
        </row>
        <row r="432">
          <cell r="F432" t="str">
            <v>Harrogate and District NHS Foundation Trust</v>
          </cell>
        </row>
        <row r="433">
          <cell r="F433" t="str">
            <v>Harrogate Grammar School Academy Trust</v>
          </cell>
        </row>
        <row r="434">
          <cell r="F434" t="str">
            <v>Harrogate High School</v>
          </cell>
        </row>
        <row r="435">
          <cell r="F435" t="str">
            <v>Harrow School</v>
          </cell>
        </row>
        <row r="436">
          <cell r="F436" t="str">
            <v>Hartismere High School</v>
          </cell>
        </row>
        <row r="437">
          <cell r="F437" t="str">
            <v>Hartley Brook and Hatfield Trust</v>
          </cell>
        </row>
        <row r="438">
          <cell r="F438" t="str">
            <v>Harton Technology College</v>
          </cell>
        </row>
        <row r="439">
          <cell r="F439" t="str">
            <v>Hartpury College</v>
          </cell>
        </row>
        <row r="440">
          <cell r="F440" t="str">
            <v>Hartsholme Academy</v>
          </cell>
        </row>
        <row r="441">
          <cell r="F441" t="str">
            <v>Harwich Community Primary School</v>
          </cell>
        </row>
        <row r="442">
          <cell r="F442" t="str">
            <v>Hasmonean High School</v>
          </cell>
        </row>
        <row r="443">
          <cell r="F443" t="str">
            <v>Hawkley Hall High School</v>
          </cell>
        </row>
        <row r="444">
          <cell r="F444" t="str">
            <v>Haybridge High School &amp; Sixth Form</v>
          </cell>
        </row>
        <row r="445">
          <cell r="F445" t="str">
            <v>Haydon Wick Primary School</v>
          </cell>
        </row>
        <row r="446">
          <cell r="F446" t="str">
            <v>Hazelwick Trust</v>
          </cell>
        </row>
        <row r="447">
          <cell r="F447" t="str">
            <v>Healing Science Academy Ltd</v>
          </cell>
        </row>
        <row r="448">
          <cell r="F448" t="str">
            <v>Heartsease Primary School</v>
          </cell>
        </row>
        <row r="449">
          <cell r="F449" t="str">
            <v>Heather Avenue Infant School</v>
          </cell>
        </row>
        <row r="450">
          <cell r="F450" t="str">
            <v>Heaton PS, Bradford</v>
          </cell>
        </row>
        <row r="451">
          <cell r="F451" t="str">
            <v>Hempland Primary School</v>
          </cell>
        </row>
        <row r="452">
          <cell r="F452" t="str">
            <v>Hempstalls Primary School</v>
          </cell>
        </row>
        <row r="453">
          <cell r="F453" t="str">
            <v>Henleaze Infant School</v>
          </cell>
        </row>
        <row r="454">
          <cell r="F454" t="str">
            <v>Henry Moore Primary School</v>
          </cell>
        </row>
        <row r="455">
          <cell r="F455" t="str">
            <v>Highdown School and Sixth Form Centre</v>
          </cell>
        </row>
        <row r="456">
          <cell r="F456" t="str">
            <v>Highlands Primary School</v>
          </cell>
        </row>
        <row r="457">
          <cell r="F457" t="str">
            <v>Hillingdon Primary School</v>
          </cell>
        </row>
        <row r="458">
          <cell r="F458" t="str">
            <v xml:space="preserve">Hinde House </v>
          </cell>
        </row>
        <row r="459">
          <cell r="F459" t="str">
            <v>Hipperholme and Lightcliffe High School and Sports College, Calderdale</v>
          </cell>
        </row>
        <row r="460">
          <cell r="F460" t="str">
            <v>HLHS</v>
          </cell>
        </row>
        <row r="461">
          <cell r="F461" t="str">
            <v>Holiday Extras</v>
          </cell>
        </row>
        <row r="462">
          <cell r="F462" t="str">
            <v>Holland Park School</v>
          </cell>
        </row>
        <row r="463">
          <cell r="F463" t="str">
            <v>Hollycombe Primary School</v>
          </cell>
        </row>
        <row r="464">
          <cell r="F464" t="str">
            <v>Holmes Chapel Academy</v>
          </cell>
        </row>
        <row r="465">
          <cell r="F465" t="str">
            <v>Holte School</v>
          </cell>
        </row>
        <row r="466">
          <cell r="F466" t="str">
            <v>Holy Apostles' Church of England Primary School</v>
          </cell>
        </row>
        <row r="467">
          <cell r="F467" t="str">
            <v>Holy Trinity CofE Primary Academy</v>
          </cell>
        </row>
        <row r="468">
          <cell r="F468" t="str">
            <v xml:space="preserve">Home Group Ltd </v>
          </cell>
        </row>
        <row r="469">
          <cell r="F469" t="str">
            <v>Horton Grange PS, Bradford</v>
          </cell>
        </row>
        <row r="470">
          <cell r="F470" t="str">
            <v>HSBC Holdings PLS</v>
          </cell>
        </row>
        <row r="471">
          <cell r="F471" t="str">
            <v>HTI Multi Academy Trust</v>
          </cell>
        </row>
        <row r="472">
          <cell r="F472" t="str">
            <v>Hugh J Boswell</v>
          </cell>
        </row>
        <row r="473">
          <cell r="F473" t="str">
            <v>Huish Primary School, Yeovil</v>
          </cell>
        </row>
        <row r="474">
          <cell r="F474" t="str">
            <v>Hull City Council</v>
          </cell>
        </row>
        <row r="475">
          <cell r="F475" t="str">
            <v>Hull Collaborative Academies Trust</v>
          </cell>
        </row>
        <row r="476">
          <cell r="F476" t="str">
            <v>Hull College</v>
          </cell>
        </row>
        <row r="477">
          <cell r="F477" t="str">
            <v>Hummersknott Academy Trust</v>
          </cell>
        </row>
        <row r="478">
          <cell r="F478" t="str">
            <v>Hungerhill School</v>
          </cell>
        </row>
        <row r="479">
          <cell r="F479" t="str">
            <v>Hunslet Moor Primary School</v>
          </cell>
        </row>
        <row r="480">
          <cell r="F480" t="str">
            <v>Ian Paul</v>
          </cell>
        </row>
        <row r="481">
          <cell r="F481" t="str">
            <v>Incyte International Ltd</v>
          </cell>
        </row>
        <row r="482">
          <cell r="F482" t="str">
            <v>Innovation Enterprise Academy</v>
          </cell>
        </row>
        <row r="483">
          <cell r="F483" t="str">
            <v>Inspiration Trust</v>
          </cell>
        </row>
        <row r="484">
          <cell r="F484" t="str">
            <v>Inspirational Schools Trust (Tribal)</v>
          </cell>
        </row>
        <row r="485">
          <cell r="F485" t="str">
            <v>Inspire Educational Trust</v>
          </cell>
        </row>
        <row r="486">
          <cell r="F486" t="str">
            <v>International English Schools (IES)</v>
          </cell>
        </row>
        <row r="487">
          <cell r="F487" t="str">
            <v>Interserve Investments Ltd</v>
          </cell>
        </row>
        <row r="488">
          <cell r="F488" t="str">
            <v>ISIS Academies Trust</v>
          </cell>
        </row>
        <row r="489">
          <cell r="F489" t="str">
            <v>Ivybridge Community College</v>
          </cell>
        </row>
        <row r="490">
          <cell r="F490" t="str">
            <v>Jack Petchey</v>
          </cell>
        </row>
        <row r="491">
          <cell r="F491" t="str">
            <v>Jaguar Land Rover Cars</v>
          </cell>
        </row>
        <row r="492">
          <cell r="F492" t="str">
            <v>James Brindley Hospital School</v>
          </cell>
        </row>
        <row r="493">
          <cell r="F493" t="str">
            <v>James Dixon</v>
          </cell>
        </row>
        <row r="494">
          <cell r="F494" t="str">
            <v>JCB</v>
          </cell>
        </row>
        <row r="495">
          <cell r="F495" t="str">
            <v>Jefferys Education Trust</v>
          </cell>
        </row>
        <row r="496">
          <cell r="F496" t="str">
            <v>John Ferneley College Academy Trust</v>
          </cell>
        </row>
        <row r="497">
          <cell r="F497" t="str">
            <v>John Ruskin School, Cumbria</v>
          </cell>
        </row>
        <row r="498">
          <cell r="F498" t="str">
            <v>John Taylor High School</v>
          </cell>
        </row>
        <row r="499">
          <cell r="F499" t="str">
            <v>K College</v>
          </cell>
        </row>
        <row r="500">
          <cell r="F500" t="str">
            <v>Kemnal Academy Trust, The  (TKAT)</v>
          </cell>
        </row>
        <row r="501">
          <cell r="F501" t="str">
            <v>Kendrick School, Reading</v>
          </cell>
        </row>
        <row r="502">
          <cell r="F502" t="str">
            <v>Kennedy Academy Trust</v>
          </cell>
        </row>
        <row r="503">
          <cell r="F503" t="str">
            <v>Kennet School</v>
          </cell>
        </row>
        <row r="504">
          <cell r="F504" t="str">
            <v>Kenningtons Primary Academy</v>
          </cell>
        </row>
        <row r="505">
          <cell r="F505" t="str">
            <v>Kent County Council</v>
          </cell>
        </row>
        <row r="506">
          <cell r="F506" t="str">
            <v>Kenton School</v>
          </cell>
        </row>
        <row r="507">
          <cell r="F507" t="str">
            <v>Kernow Collaborative Trust</v>
          </cell>
        </row>
        <row r="508">
          <cell r="F508" t="str">
            <v>Kesgrave High School</v>
          </cell>
        </row>
        <row r="509">
          <cell r="F509" t="str">
            <v>Kevin Grassby</v>
          </cell>
        </row>
        <row r="510">
          <cell r="F510" t="str">
            <v>King Alfred's Academy</v>
          </cell>
        </row>
        <row r="511">
          <cell r="F511" t="str">
            <v>King Ecgbert High School, Sheffield</v>
          </cell>
        </row>
        <row r="512">
          <cell r="F512" t="str">
            <v>King Edward VI College Stourbridge</v>
          </cell>
        </row>
        <row r="513">
          <cell r="F513" t="str">
            <v>King Edward VI Foundation</v>
          </cell>
        </row>
        <row r="514">
          <cell r="F514" t="str">
            <v>King John School</v>
          </cell>
        </row>
        <row r="515">
          <cell r="F515" t="str">
            <v>King’s College Junior School, Wimbeldon</v>
          </cell>
        </row>
        <row r="516">
          <cell r="F516" t="str">
            <v>Kingdown Community School</v>
          </cell>
        </row>
        <row r="517">
          <cell r="F517" t="str">
            <v>King's Cross Academy Trust</v>
          </cell>
        </row>
        <row r="518">
          <cell r="F518" t="str">
            <v>King's Group</v>
          </cell>
        </row>
        <row r="519">
          <cell r="F519" t="str">
            <v>King's Reach</v>
          </cell>
        </row>
        <row r="520">
          <cell r="F520" t="str">
            <v>King's School, Rochester</v>
          </cell>
        </row>
        <row r="521">
          <cell r="F521" t="str">
            <v>Kingsdown School</v>
          </cell>
        </row>
        <row r="522">
          <cell r="F522" t="str">
            <v>Kingsmead School</v>
          </cell>
        </row>
        <row r="523">
          <cell r="F523" t="str">
            <v>Knaresborough, Meadowside Community Primary School</v>
          </cell>
        </row>
        <row r="524">
          <cell r="F524" t="str">
            <v>Kodak Ltd</v>
          </cell>
        </row>
        <row r="525">
          <cell r="F525" t="str">
            <v>L.E.A.D. Multi Academy Trust.</v>
          </cell>
        </row>
        <row r="526">
          <cell r="F526" t="str">
            <v>Lady Grey Primary School</v>
          </cell>
        </row>
        <row r="527">
          <cell r="F527" t="str">
            <v>Ladygrove Park Primary school</v>
          </cell>
        </row>
        <row r="528">
          <cell r="F528" t="str">
            <v>Laidlaw Schools Trust</v>
          </cell>
        </row>
        <row r="529">
          <cell r="F529" t="str">
            <v>Laing O'Rourke/Bovis Lend Lease</v>
          </cell>
        </row>
        <row r="530">
          <cell r="F530" t="str">
            <v>Lakes College - West Cumbria</v>
          </cell>
        </row>
        <row r="531">
          <cell r="F531" t="str">
            <v>Langmoor Glenmere Federation</v>
          </cell>
        </row>
        <row r="532">
          <cell r="F532" t="str">
            <v>Lark Rise Academy</v>
          </cell>
        </row>
        <row r="533">
          <cell r="F533" t="str">
            <v>Larking Gowen Chartered Accountants</v>
          </cell>
        </row>
        <row r="534">
          <cell r="F534" t="str">
            <v>Latchmere School</v>
          </cell>
        </row>
        <row r="535">
          <cell r="F535" t="str">
            <v>Launde Primary School</v>
          </cell>
        </row>
        <row r="536">
          <cell r="F536" t="str">
            <v>Lawrence Sheriff School</v>
          </cell>
        </row>
        <row r="537">
          <cell r="F537" t="str">
            <v>LDBS Frays Academy Trust</v>
          </cell>
        </row>
        <row r="538">
          <cell r="F538" t="str">
            <v>Leaf Trust</v>
          </cell>
        </row>
        <row r="539">
          <cell r="F539" t="str">
            <v>Learners First Partnership</v>
          </cell>
        </row>
        <row r="540">
          <cell r="F540" t="str">
            <v>Learning Academy Partnership</v>
          </cell>
        </row>
        <row r="541">
          <cell r="F541" t="str">
            <v>Lee Chapel Academy Trust</v>
          </cell>
        </row>
        <row r="542">
          <cell r="F542" t="str">
            <v>Leeds City College</v>
          </cell>
        </row>
        <row r="543">
          <cell r="F543" t="str">
            <v>Leeds York &amp; North Yorkshire Chamber of Commerce</v>
          </cell>
        </row>
        <row r="544">
          <cell r="F544" t="str">
            <v>Leeming RAF Community Primary School</v>
          </cell>
        </row>
        <row r="545">
          <cell r="F545" t="str">
            <v>Leigh and Bransford Primary School</v>
          </cell>
        </row>
        <row r="546">
          <cell r="F546" t="str">
            <v xml:space="preserve">Leigh Junior Infant &amp; Nursery School </v>
          </cell>
        </row>
        <row r="547">
          <cell r="F547" t="str">
            <v>Leighton Group</v>
          </cell>
        </row>
        <row r="548">
          <cell r="F548" t="str">
            <v>Leventhorpe Academy</v>
          </cell>
        </row>
        <row r="549">
          <cell r="F549" t="str">
            <v>Lever Edge Primary Academy</v>
          </cell>
        </row>
        <row r="550">
          <cell r="F550" t="str">
            <v>Leverington Primary Academy</v>
          </cell>
        </row>
        <row r="551">
          <cell r="F551" t="str">
            <v>Lewisham College</v>
          </cell>
        </row>
        <row r="552">
          <cell r="F552" t="str">
            <v>Leyburn C P School</v>
          </cell>
        </row>
        <row r="553">
          <cell r="F553" t="str">
            <v>Lickhill Primary School</v>
          </cell>
        </row>
        <row r="554">
          <cell r="F554" t="str">
            <v>Lilac Sky Academy Trust</v>
          </cell>
        </row>
        <row r="555">
          <cell r="F555" t="str">
            <v>Lincoln Anglican Academy Trust</v>
          </cell>
        </row>
        <row r="556">
          <cell r="F556" t="str">
            <v>Ling Moor Academy</v>
          </cell>
        </row>
        <row r="557">
          <cell r="F557" t="str">
            <v>Link Telecom</v>
          </cell>
        </row>
        <row r="558">
          <cell r="F558" t="str">
            <v>Linton Village College</v>
          </cell>
        </row>
        <row r="559">
          <cell r="F559" t="str">
            <v>Lion Academy Trust</v>
          </cell>
        </row>
        <row r="560">
          <cell r="F560" t="str">
            <v>Little Mead Primary Academy Trust</v>
          </cell>
        </row>
        <row r="561">
          <cell r="F561" t="str">
            <v>Liverpool City Council</v>
          </cell>
        </row>
        <row r="562">
          <cell r="F562" t="str">
            <v>Liverpool Hope University</v>
          </cell>
        </row>
        <row r="563">
          <cell r="F563" t="str">
            <v>LJ Create</v>
          </cell>
        </row>
        <row r="564">
          <cell r="F564" t="str">
            <v>London Academy</v>
          </cell>
        </row>
        <row r="565">
          <cell r="F565" t="str">
            <v>London South Bank University</v>
          </cell>
        </row>
        <row r="566">
          <cell r="F566" t="str">
            <v>Longfield Academy Trust</v>
          </cell>
        </row>
        <row r="567">
          <cell r="F567" t="str">
            <v>Lord Bichard</v>
          </cell>
        </row>
        <row r="568">
          <cell r="F568" t="str">
            <v>Lord Deramore's Primary School</v>
          </cell>
        </row>
        <row r="569">
          <cell r="F569" t="str">
            <v>Lord Scudamore Foundation School, Herefordshire</v>
          </cell>
        </row>
        <row r="570">
          <cell r="F570" t="str">
            <v>Lotus Cars Ltd</v>
          </cell>
        </row>
        <row r="571">
          <cell r="F571" t="str">
            <v>Loughborough Federation of Schools</v>
          </cell>
        </row>
        <row r="572">
          <cell r="F572" t="str">
            <v>Lovewell Blake</v>
          </cell>
        </row>
        <row r="573">
          <cell r="F573" t="str">
            <v>Low Moor CofE Primary School</v>
          </cell>
        </row>
        <row r="574">
          <cell r="F574" t="str">
            <v>Loxford School of Science and Technology</v>
          </cell>
        </row>
        <row r="575">
          <cell r="F575" t="str">
            <v>Lutterworth High School</v>
          </cell>
        </row>
        <row r="576">
          <cell r="F576" t="str">
            <v>Lynch Hill School</v>
          </cell>
        </row>
        <row r="577">
          <cell r="F577" t="str">
            <v>Lynn Grove Academy Trust</v>
          </cell>
        </row>
        <row r="578">
          <cell r="F578" t="str">
            <v>Lyons Hall School</v>
          </cell>
        </row>
        <row r="579">
          <cell r="F579" t="str">
            <v>M&amp;A Partners</v>
          </cell>
        </row>
        <row r="580">
          <cell r="F580" t="str">
            <v>Macclesfield College</v>
          </cell>
        </row>
        <row r="581">
          <cell r="F581" t="str">
            <v>Macintyres</v>
          </cell>
        </row>
        <row r="582">
          <cell r="F582" t="str">
            <v>Maiden Erlegh School</v>
          </cell>
        </row>
        <row r="583">
          <cell r="F583" t="str">
            <v>Malachi Specialist Family Support Services CIC</v>
          </cell>
        </row>
        <row r="584">
          <cell r="F584" t="str">
            <v>Malmesbury School</v>
          </cell>
        </row>
        <row r="585">
          <cell r="F585" t="str">
            <v>Maltby Academy Trust</v>
          </cell>
        </row>
        <row r="586">
          <cell r="F586" t="str">
            <v>Manchester Airport Company</v>
          </cell>
        </row>
        <row r="587">
          <cell r="F587" t="str">
            <v>Manchester City Council</v>
          </cell>
        </row>
        <row r="588">
          <cell r="F588" t="str">
            <v>Manchester Communication Academy</v>
          </cell>
        </row>
        <row r="589">
          <cell r="F589" t="str">
            <v>Manchester Grammar School</v>
          </cell>
        </row>
        <row r="590">
          <cell r="F590" t="str">
            <v xml:space="preserve">Mandeville Primary School </v>
          </cell>
        </row>
        <row r="591">
          <cell r="F591" t="str">
            <v>Manor CofE School</v>
          </cell>
        </row>
        <row r="592">
          <cell r="F592" t="str">
            <v>Manor School Sports College</v>
          </cell>
        </row>
        <row r="593">
          <cell r="F593" t="str">
            <v>Marish Academy Trust</v>
          </cell>
        </row>
        <row r="594">
          <cell r="F594" t="str">
            <v>Mark Malley</v>
          </cell>
        </row>
        <row r="595">
          <cell r="F595" t="str">
            <v>Martham Foundation Primary School and Nursery</v>
          </cell>
        </row>
        <row r="596">
          <cell r="F596" t="str">
            <v>Martin Davies Prospects Consultants</v>
          </cell>
        </row>
        <row r="597">
          <cell r="F597" t="str">
            <v>Martin High School</v>
          </cell>
        </row>
        <row r="598">
          <cell r="F598" t="str">
            <v xml:space="preserve">Mary Rose School </v>
          </cell>
        </row>
        <row r="599">
          <cell r="F599" t="str">
            <v>Matereality</v>
          </cell>
        </row>
        <row r="600">
          <cell r="F600" t="str">
            <v>McCain Foods</v>
          </cell>
        </row>
        <row r="601">
          <cell r="F601" t="str">
            <v>Meanwood Church of England Primary School</v>
          </cell>
        </row>
        <row r="602">
          <cell r="F602" t="str">
            <v>Medway Council</v>
          </cell>
        </row>
        <row r="603">
          <cell r="F603" t="str">
            <v>Menssa Education</v>
          </cell>
        </row>
        <row r="604">
          <cell r="F604" t="str">
            <v>Meopham Community Academy Trust</v>
          </cell>
        </row>
        <row r="605">
          <cell r="F605" t="str">
            <v>Mercers Company, The</v>
          </cell>
        </row>
        <row r="606">
          <cell r="F606" t="str">
            <v>Merchant Taylors’ Boys’ School</v>
          </cell>
        </row>
        <row r="607">
          <cell r="F607" t="str">
            <v>Merchant Venturers, The Society of</v>
          </cell>
        </row>
        <row r="608">
          <cell r="F608" t="str">
            <v>Merganser Consultancy Ltd</v>
          </cell>
        </row>
        <row r="609">
          <cell r="F609" t="str">
            <v xml:space="preserve">Metaswitch </v>
          </cell>
        </row>
        <row r="610">
          <cell r="F610" t="str">
            <v>Methodist Academies and Schools Trust (MAST)</v>
          </cell>
        </row>
        <row r="611">
          <cell r="F611" t="str">
            <v>Methodist Church of East Anglia</v>
          </cell>
        </row>
        <row r="612">
          <cell r="F612" t="str">
            <v>MGL</v>
          </cell>
        </row>
        <row r="613">
          <cell r="F613" t="str">
            <v>Microsoft</v>
          </cell>
        </row>
        <row r="614">
          <cell r="F614" t="str">
            <v xml:space="preserve">Milford-on-Sea Primary School
</v>
          </cell>
        </row>
        <row r="615">
          <cell r="F615" t="str">
            <v>Mills and Reeve LLP</v>
          </cell>
        </row>
        <row r="616">
          <cell r="F616" t="str">
            <v>Milton Keynes Educational Trust</v>
          </cell>
        </row>
        <row r="617">
          <cell r="F617" t="str">
            <v>Ministry of Defence</v>
          </cell>
        </row>
        <row r="618">
          <cell r="F618" t="str">
            <v>Montsaye Academy</v>
          </cell>
        </row>
        <row r="619">
          <cell r="F619" t="str">
            <v>Moor End Academies Trust</v>
          </cell>
        </row>
        <row r="620">
          <cell r="F620" t="str">
            <v>Moor Park Primary School</v>
          </cell>
        </row>
        <row r="621">
          <cell r="F621" t="str">
            <v>Morley Education Ltd</v>
          </cell>
        </row>
        <row r="622">
          <cell r="F622" t="str">
            <v>Mossbourne Community Academy</v>
          </cell>
        </row>
        <row r="623">
          <cell r="F623" t="str">
            <v xml:space="preserve">Mottram St Andrew Primary Academy </v>
          </cell>
        </row>
        <row r="624">
          <cell r="F624" t="str">
            <v>Moulton College</v>
          </cell>
        </row>
        <row r="625">
          <cell r="F625" t="str">
            <v>Mounts Bay Academy</v>
          </cell>
        </row>
        <row r="626">
          <cell r="F626" t="str">
            <v>Myton School</v>
          </cell>
        </row>
        <row r="627">
          <cell r="F627" t="str">
            <v>National Education Trust</v>
          </cell>
        </row>
        <row r="628">
          <cell r="F628" t="str">
            <v xml:space="preserve">National Youth Agency </v>
          </cell>
        </row>
        <row r="629">
          <cell r="F629" t="str">
            <v>Navigate Academies Trust</v>
          </cell>
        </row>
        <row r="630">
          <cell r="F630" t="str">
            <v>Nelson &amp; Colne College</v>
          </cell>
        </row>
        <row r="631">
          <cell r="F631" t="str">
            <v>Netherthorpe School</v>
          </cell>
        </row>
        <row r="632">
          <cell r="F632" t="str">
            <v>New Bridge Academy</v>
          </cell>
        </row>
        <row r="633">
          <cell r="F633" t="str">
            <v>New College Durham Academies Trust</v>
          </cell>
        </row>
        <row r="634">
          <cell r="F634" t="str">
            <v xml:space="preserve">New College Nottingham </v>
          </cell>
        </row>
        <row r="635">
          <cell r="F635" t="str">
            <v>New College Pontefract</v>
          </cell>
        </row>
        <row r="636">
          <cell r="F636" t="str">
            <v>New Hall Academy Trust</v>
          </cell>
        </row>
        <row r="637">
          <cell r="F637" t="str">
            <v>Newbottle Primary School</v>
          </cell>
        </row>
        <row r="638">
          <cell r="F638" t="str">
            <v>Newbury College</v>
          </cell>
        </row>
        <row r="639">
          <cell r="F639" t="str">
            <v>Newcastle College</v>
          </cell>
        </row>
        <row r="640">
          <cell r="F640" t="str">
            <v>Newcastle College Group (NCG)</v>
          </cell>
        </row>
        <row r="641">
          <cell r="F641" t="str">
            <v>Newham Partnership Working (NPW)</v>
          </cell>
        </row>
        <row r="642">
          <cell r="F642" t="str">
            <v>Newstead Primary Multi Academy Trust</v>
          </cell>
        </row>
        <row r="643">
          <cell r="F643" t="str">
            <v>Ninestiles Academy Trust</v>
          </cell>
        </row>
        <row r="644">
          <cell r="F644" t="str">
            <v>Norfolk County Council</v>
          </cell>
        </row>
        <row r="645">
          <cell r="F645" t="str">
            <v>Norman Lamb MP</v>
          </cell>
        </row>
        <row r="646">
          <cell r="F646" t="str">
            <v xml:space="preserve">North East Schools Partnership (NEST) </v>
          </cell>
        </row>
        <row r="647">
          <cell r="F647" t="str">
            <v>North Halifax Grammar School, Halifax</v>
          </cell>
        </row>
        <row r="648">
          <cell r="F648" t="str">
            <v>North Hertfordshire Studio Schools Trust</v>
          </cell>
        </row>
        <row r="649">
          <cell r="F649" t="str">
            <v>North Norfolk Academy Trust</v>
          </cell>
        </row>
        <row r="650">
          <cell r="F650" t="str">
            <v>North Town Primary, Taunton</v>
          </cell>
        </row>
        <row r="651">
          <cell r="F651" t="str">
            <v>North Tyneside Academy Foundation</v>
          </cell>
        </row>
        <row r="652">
          <cell r="F652" t="str">
            <v>North Warwickshire and Hinckley College</v>
          </cell>
        </row>
        <row r="653">
          <cell r="F653" t="str">
            <v>North West Academies Trust</v>
          </cell>
        </row>
        <row r="654">
          <cell r="F654" t="str">
            <v>Northen Racing College</v>
          </cell>
        </row>
        <row r="655">
          <cell r="F655" t="str">
            <v>Northern Education Trust</v>
          </cell>
        </row>
        <row r="656">
          <cell r="F656" t="str">
            <v>Northern Family of Academies</v>
          </cell>
        </row>
        <row r="657">
          <cell r="F657" t="str">
            <v xml:space="preserve">Northern House School </v>
          </cell>
        </row>
        <row r="658">
          <cell r="F658" t="str">
            <v>Northern Schools Trust</v>
          </cell>
        </row>
        <row r="659">
          <cell r="F659" t="str">
            <v>Northern Star Educational Trust</v>
          </cell>
        </row>
        <row r="660">
          <cell r="F660" t="str">
            <v>Northgate School Arts College</v>
          </cell>
        </row>
        <row r="661">
          <cell r="F661" t="str">
            <v>Northumbrian Water</v>
          </cell>
        </row>
        <row r="662">
          <cell r="F662" t="str">
            <v>Norton College</v>
          </cell>
        </row>
        <row r="663">
          <cell r="F663" t="str">
            <v>Norton Hill School</v>
          </cell>
        </row>
        <row r="664">
          <cell r="F664" t="str">
            <v>Norwich School</v>
          </cell>
        </row>
        <row r="665">
          <cell r="F665" t="str">
            <v>Notley High School and Braintree Sixth Form Academy Trust</v>
          </cell>
        </row>
        <row r="666">
          <cell r="F666" t="str">
            <v>Nuclear Decommissioning Authority - Sellafield</v>
          </cell>
        </row>
        <row r="667">
          <cell r="F667" t="str">
            <v>Oak Community Academies Trust</v>
          </cell>
        </row>
        <row r="668">
          <cell r="F668" t="str">
            <v>Oakgrove School</v>
          </cell>
        </row>
        <row r="669">
          <cell r="F669" t="str">
            <v>Oakwood Park Grammar School  </v>
          </cell>
        </row>
        <row r="670">
          <cell r="F670" t="str">
            <v>Oasis Community Learning </v>
          </cell>
        </row>
        <row r="671">
          <cell r="F671" t="str">
            <v>Oatlands Infant School</v>
          </cell>
        </row>
        <row r="672">
          <cell r="F672" t="str">
            <v>Old Basford Primary School</v>
          </cell>
        </row>
        <row r="673">
          <cell r="F673" t="str">
            <v>Oldbury Academy</v>
          </cell>
        </row>
        <row r="674">
          <cell r="F674" t="str">
            <v>Oldham College Community Academies Trust</v>
          </cell>
        </row>
        <row r="675">
          <cell r="F675" t="str">
            <v>Oldknow Academy</v>
          </cell>
        </row>
        <row r="676">
          <cell r="F676" t="str">
            <v>Olive Education</v>
          </cell>
        </row>
        <row r="677">
          <cell r="F677" t="str">
            <v>One Education Ltd</v>
          </cell>
        </row>
        <row r="678">
          <cell r="F678" t="str">
            <v>One World Learning Trust</v>
          </cell>
        </row>
        <row r="679">
          <cell r="F679" t="str">
            <v>Orchard Hill College of Further Education</v>
          </cell>
        </row>
        <row r="680">
          <cell r="F680" t="str">
            <v>Ormiston Academies Trust</v>
          </cell>
        </row>
        <row r="681">
          <cell r="F681" t="str">
            <v>Ossett Academy</v>
          </cell>
        </row>
        <row r="682">
          <cell r="F682" t="str">
            <v>Otley Prince Henry's Grammar School Specialist Language College</v>
          </cell>
        </row>
        <row r="683">
          <cell r="F683" t="str">
            <v>Oundle Church of England Primary School</v>
          </cell>
        </row>
        <row r="684">
          <cell r="F684" t="str">
            <v>Outwood Grange Academies Trust</v>
          </cell>
        </row>
        <row r="685">
          <cell r="F685" t="str">
            <v>Oval Insurance Broking</v>
          </cell>
        </row>
        <row r="686">
          <cell r="F686" t="str">
            <v>Oxclose Community Academy Trust</v>
          </cell>
        </row>
        <row r="687">
          <cell r="F687" t="str">
            <v>Oxford MAT</v>
          </cell>
        </row>
        <row r="688">
          <cell r="F688" t="str">
            <v>Oxfordshire Special Multi Academy Trust</v>
          </cell>
        </row>
        <row r="689">
          <cell r="F689" t="str">
            <v>PAPH Community Interest Company</v>
          </cell>
        </row>
        <row r="690">
          <cell r="F690" t="str">
            <v>Parbold Douglas Primary School, Wigan, Lancs</v>
          </cell>
        </row>
        <row r="691">
          <cell r="F691" t="str">
            <v>Park Community School</v>
          </cell>
        </row>
        <row r="692">
          <cell r="F692" t="str">
            <v>Park Road Academy Primary School</v>
          </cell>
        </row>
        <row r="693">
          <cell r="F693" t="str">
            <v>Park SEN / Anchorsholme PS / Devonshire PS</v>
          </cell>
        </row>
        <row r="694">
          <cell r="F694" t="str">
            <v>Park View Educational Trust</v>
          </cell>
        </row>
        <row r="695">
          <cell r="F695" t="str">
            <v>Parkhouse School</v>
          </cell>
        </row>
        <row r="696">
          <cell r="F696" t="str">
            <v>Parklands Infants School and Nursery</v>
          </cell>
        </row>
        <row r="697">
          <cell r="F697" t="str">
            <v>Parkside Academy</v>
          </cell>
        </row>
        <row r="698">
          <cell r="F698" t="str">
            <v>Parkside School</v>
          </cell>
        </row>
        <row r="699">
          <cell r="F699" t="str">
            <v>Parmiter's School</v>
          </cell>
        </row>
        <row r="700">
          <cell r="F700" t="str">
            <v>Parson Street Primary School Academy Trust</v>
          </cell>
        </row>
        <row r="701">
          <cell r="F701" t="str">
            <v>Pate's Grammar School</v>
          </cell>
        </row>
        <row r="702">
          <cell r="F702" t="str">
            <v>Paul Connew</v>
          </cell>
        </row>
        <row r="703">
          <cell r="F703" t="str">
            <v>Pearson UK</v>
          </cell>
        </row>
        <row r="704">
          <cell r="F704" t="str">
            <v>Pegasus Academy Trust</v>
          </cell>
        </row>
        <row r="705">
          <cell r="F705" t="str">
            <v>Penair Academy</v>
          </cell>
        </row>
        <row r="706">
          <cell r="F706" t="str">
            <v>Penpol School</v>
          </cell>
        </row>
        <row r="707">
          <cell r="F707" t="str">
            <v>Penrice Community College Academy Trust</v>
          </cell>
        </row>
        <row r="708">
          <cell r="F708" t="str">
            <v>Penryn College</v>
          </cell>
        </row>
        <row r="709">
          <cell r="F709" t="str">
            <v>Pensans Primary School</v>
          </cell>
        </row>
        <row r="710">
          <cell r="F710" t="str">
            <v>Penta International</v>
          </cell>
        </row>
        <row r="711">
          <cell r="F711" t="str">
            <v>Perry Beeches Academy</v>
          </cell>
        </row>
        <row r="712">
          <cell r="F712" t="str">
            <v>Perry Hall Primary School</v>
          </cell>
        </row>
        <row r="713">
          <cell r="F713" t="str">
            <v>Peter Aughterson</v>
          </cell>
        </row>
        <row r="714">
          <cell r="F714" t="str">
            <v>Peter Little</v>
          </cell>
        </row>
        <row r="715">
          <cell r="F715" t="str">
            <v>Peter Shalson</v>
          </cell>
        </row>
        <row r="716">
          <cell r="F716" t="str">
            <v>Peterborough Regional College</v>
          </cell>
        </row>
        <row r="717">
          <cell r="F717" t="str">
            <v>Pewsey Vale School</v>
          </cell>
        </row>
        <row r="718">
          <cell r="F718" t="str">
            <v xml:space="preserve">Phoenix Multi-Academy Trust </v>
          </cell>
        </row>
        <row r="719">
          <cell r="F719" t="str">
            <v>Pickhurst Junior School</v>
          </cell>
        </row>
        <row r="720">
          <cell r="F720" t="str">
            <v>Pickwick Learning</v>
          </cell>
        </row>
        <row r="721">
          <cell r="F721" t="str">
            <v>Pioneer Academies Co-operative Trust (PACT)</v>
          </cell>
        </row>
        <row r="722">
          <cell r="F722" t="str">
            <v>Plantsbrook School</v>
          </cell>
        </row>
        <row r="723">
          <cell r="F723" t="str">
            <v>Platanos College Trust</v>
          </cell>
        </row>
        <row r="724">
          <cell r="F724" t="str">
            <v>Pontefract Academies Trust</v>
          </cell>
        </row>
        <row r="725">
          <cell r="F725" t="str">
            <v>Pool Academy</v>
          </cell>
        </row>
        <row r="726">
          <cell r="F726" t="str">
            <v>Portsmouth &amp; Winchester Diocesan Academies Trust</v>
          </cell>
        </row>
        <row r="727">
          <cell r="F727" t="str">
            <v>Portswood Primary, Southampton</v>
          </cell>
        </row>
        <row r="728">
          <cell r="F728" t="str">
            <v>Powers Hall Junior School</v>
          </cell>
        </row>
        <row r="729">
          <cell r="F729" t="str">
            <v>Preston CofE VC Primary School</v>
          </cell>
        </row>
        <row r="730">
          <cell r="F730" t="str">
            <v>Prior Pursglove College</v>
          </cell>
        </row>
        <row r="731">
          <cell r="F731" t="str">
            <v>Prospect Education (Technology) Trust Ltd</v>
          </cell>
        </row>
        <row r="732">
          <cell r="F732" t="str">
            <v>Prospects Academies Trust</v>
          </cell>
        </row>
        <row r="733">
          <cell r="F733" t="str">
            <v>Queen Mary's College (QMC)</v>
          </cell>
        </row>
        <row r="734">
          <cell r="F734" t="str">
            <v>Queen Mother Moore School</v>
          </cell>
        </row>
        <row r="735">
          <cell r="F735" t="str">
            <v>Quintin Kynaston School</v>
          </cell>
        </row>
        <row r="736">
          <cell r="F736" t="str">
            <v>R G Carter Construction Ltd</v>
          </cell>
        </row>
        <row r="737">
          <cell r="F737" t="str">
            <v>Radley College</v>
          </cell>
        </row>
        <row r="738">
          <cell r="F738" t="str">
            <v>Ramsden Hall</v>
          </cell>
        </row>
        <row r="739">
          <cell r="F739" t="str">
            <v>Rastrick High School, Calderdale</v>
          </cell>
        </row>
        <row r="740">
          <cell r="F740" t="str">
            <v>Ravens Wood School, Bromley</v>
          </cell>
        </row>
        <row r="741">
          <cell r="F741" t="str">
            <v>Rawmarsh Sandhill Primary School</v>
          </cell>
        </row>
        <row r="742">
          <cell r="F742" t="str">
            <v xml:space="preserve">Rayleigh Primary School, Essex </v>
          </cell>
        </row>
        <row r="743">
          <cell r="F743" t="str">
            <v>REAch2 Academy Trust</v>
          </cell>
        </row>
        <row r="744">
          <cell r="F744" t="str">
            <v>Redmoor High School</v>
          </cell>
        </row>
        <row r="745">
          <cell r="F745" t="str">
            <v>Redriff Primary School</v>
          </cell>
        </row>
        <row r="746">
          <cell r="F746" t="str">
            <v>Rejus Ltd</v>
          </cell>
        </row>
        <row r="747">
          <cell r="F747" t="str">
            <v>Releasing Potential</v>
          </cell>
        </row>
        <row r="748">
          <cell r="F748" t="str">
            <v>RGS Guildford</v>
          </cell>
        </row>
        <row r="749">
          <cell r="F749" t="str">
            <v>Ribston Hall High School</v>
          </cell>
        </row>
        <row r="750">
          <cell r="F750" t="str">
            <v>Richard Briance</v>
          </cell>
        </row>
        <row r="751">
          <cell r="F751" t="str">
            <v>Ridgeway Academy Trust</v>
          </cell>
        </row>
        <row r="752">
          <cell r="F752" t="str">
            <v>Ripley St Thomas Church of England Academy</v>
          </cell>
        </row>
        <row r="753">
          <cell r="F753" t="str">
            <v>Rivendale Trust</v>
          </cell>
        </row>
        <row r="754">
          <cell r="F754" t="str">
            <v>Riverside Primary Academy</v>
          </cell>
        </row>
        <row r="755">
          <cell r="F755" t="str">
            <v>RM Education</v>
          </cell>
        </row>
        <row r="756">
          <cell r="F756" t="str">
            <v xml:space="preserve">RNIB Pears Centre for Specialist Learning </v>
          </cell>
        </row>
        <row r="757">
          <cell r="F757" t="str">
            <v>Robert Barclay</v>
          </cell>
        </row>
        <row r="758">
          <cell r="F758" t="str">
            <v>Robert Owen Group</v>
          </cell>
        </row>
        <row r="759">
          <cell r="F759" t="str">
            <v>Robin Hood PS, Leeds</v>
          </cell>
        </row>
        <row r="760">
          <cell r="F760" t="str">
            <v>Rochdale Sixth Form College</v>
          </cell>
        </row>
        <row r="761">
          <cell r="F761" t="str">
            <v>Rochester Diocesan Board of Education</v>
          </cell>
        </row>
        <row r="762">
          <cell r="F762" t="str">
            <v>Rodillian Academy</v>
          </cell>
        </row>
        <row r="763">
          <cell r="F763" t="str">
            <v>Roehampton University</v>
          </cell>
        </row>
        <row r="764">
          <cell r="F764" t="str">
            <v>Rokeby School</v>
          </cell>
        </row>
        <row r="765">
          <cell r="F765" t="str">
            <v>Rooks Heath High School</v>
          </cell>
        </row>
        <row r="766">
          <cell r="F766" t="str">
            <v>Rooksnest Academies Trust</v>
          </cell>
        </row>
        <row r="767">
          <cell r="F767" t="str">
            <v>Rosedale Hewens Academy Trust</v>
          </cell>
        </row>
        <row r="768">
          <cell r="F768" t="str">
            <v>Rotherham MBC</v>
          </cell>
        </row>
        <row r="769">
          <cell r="F769" t="str">
            <v>Rowanfield Junior School/Springbank Park Academy</v>
          </cell>
        </row>
        <row r="770">
          <cell r="F770" t="str">
            <v>Royal Grammar School, Newcastle</v>
          </cell>
        </row>
        <row r="771">
          <cell r="F771" t="str">
            <v>RSA Academies</v>
          </cell>
        </row>
        <row r="772">
          <cell r="F772" t="str">
            <v>Rugby School</v>
          </cell>
        </row>
        <row r="773">
          <cell r="F773" t="str">
            <v>Rush Common Academy Trust</v>
          </cell>
        </row>
        <row r="774">
          <cell r="F774" t="str">
            <v>Rush Common School</v>
          </cell>
        </row>
        <row r="775">
          <cell r="F775" t="str">
            <v>Rushcliffe School</v>
          </cell>
        </row>
        <row r="776">
          <cell r="F776" t="str">
            <v>Rushey Mead</v>
          </cell>
        </row>
        <row r="777">
          <cell r="F777" t="str">
            <v>Russell Education Trust</v>
          </cell>
        </row>
        <row r="778">
          <cell r="F778" t="str">
            <v>Russell Nathan</v>
          </cell>
        </row>
        <row r="779">
          <cell r="F779" t="str">
            <v xml:space="preserve">Sacriston Nursery and Infant School </v>
          </cell>
        </row>
        <row r="780">
          <cell r="F780" t="str">
            <v>Saffron Academy Trust</v>
          </cell>
        </row>
        <row r="781">
          <cell r="F781" t="str">
            <v>Salford Academy Trust</v>
          </cell>
        </row>
        <row r="782">
          <cell r="F782" t="str">
            <v>Saltash.net</v>
          </cell>
        </row>
        <row r="783">
          <cell r="F783" t="str">
            <v>Samuel Ward Academy</v>
          </cell>
        </row>
        <row r="784">
          <cell r="F784" t="str">
            <v>Samworth Brothers</v>
          </cell>
        </row>
        <row r="785">
          <cell r="F785" t="str">
            <v>Sanctuary Group</v>
          </cell>
        </row>
        <row r="786">
          <cell r="F786" t="str">
            <v>Sandgate Primary School</v>
          </cell>
        </row>
        <row r="787">
          <cell r="F787" t="str">
            <v>Sandon Primary School</v>
          </cell>
        </row>
        <row r="788">
          <cell r="F788" t="str">
            <v>Scarborough Sixth Form College</v>
          </cell>
        </row>
        <row r="789">
          <cell r="F789" t="str">
            <v xml:space="preserve">Scarcliffe Primary School
</v>
          </cell>
        </row>
        <row r="790">
          <cell r="F790" t="str">
            <v>Schole Academy Trust</v>
          </cell>
        </row>
        <row r="791">
          <cell r="F791" t="str">
            <v>School Partnership Trust Academies (SPTA)</v>
          </cell>
        </row>
        <row r="792">
          <cell r="F792" t="str">
            <v>Schools Co-operative Society</v>
          </cell>
        </row>
        <row r="793">
          <cell r="F793" t="str">
            <v>Schools Direct</v>
          </cell>
        </row>
        <row r="794">
          <cell r="F794" t="str">
            <v>Schoolsworks Edward Bryant School (EBS)</v>
          </cell>
        </row>
        <row r="795">
          <cell r="F795" t="str">
            <v>Seajacks UK Ltd</v>
          </cell>
        </row>
        <row r="796">
          <cell r="F796" t="str">
            <v>See Tec</v>
          </cell>
        </row>
        <row r="797">
          <cell r="F797" t="str">
            <v>Sefton Education Trust</v>
          </cell>
        </row>
        <row r="798">
          <cell r="F798" t="str">
            <v>Selby College</v>
          </cell>
        </row>
        <row r="799">
          <cell r="F799" t="str">
            <v>SENAD Academy Trust</v>
          </cell>
        </row>
        <row r="800">
          <cell r="F800" t="str">
            <v>SERCO</v>
          </cell>
        </row>
        <row r="801">
          <cell r="F801" t="str">
            <v>Servite RC Primary School</v>
          </cell>
        </row>
        <row r="802">
          <cell r="F802" t="str">
            <v>Seven Fields Primary / Companion trust</v>
          </cell>
        </row>
        <row r="803">
          <cell r="F803" t="str">
            <v>Sevenoaks School</v>
          </cell>
        </row>
        <row r="804">
          <cell r="F804" t="str">
            <v>Sheffield Hallam University</v>
          </cell>
        </row>
        <row r="805">
          <cell r="F805" t="str">
            <v>Sheffield High School</v>
          </cell>
        </row>
        <row r="806">
          <cell r="F806" t="str">
            <v>Sheffield Methodist Anglican Academies Trust</v>
          </cell>
        </row>
        <row r="807">
          <cell r="F807" t="str">
            <v>Shelley College</v>
          </cell>
        </row>
        <row r="808">
          <cell r="F808" t="str">
            <v>Sherborne School</v>
          </cell>
        </row>
        <row r="809">
          <cell r="F809" t="str">
            <v>Sheringham Primary School</v>
          </cell>
        </row>
        <row r="810">
          <cell r="F810" t="str">
            <v>Shirebrook Academy</v>
          </cell>
        </row>
        <row r="811">
          <cell r="F811" t="str">
            <v>Shireland Collegiate Academy</v>
          </cell>
        </row>
        <row r="812">
          <cell r="F812" t="str">
            <v>Short Stay School for Norfolk</v>
          </cell>
        </row>
        <row r="813">
          <cell r="F813" t="str">
            <v>Shrewsbury Academies Trust</v>
          </cell>
        </row>
        <row r="814">
          <cell r="F814" t="str">
            <v>Shrewsbury School</v>
          </cell>
        </row>
        <row r="815">
          <cell r="F815" t="str">
            <v>Sidney Stringer Academy</v>
          </cell>
        </row>
        <row r="816">
          <cell r="F816" t="str">
            <v>Silverdale School</v>
          </cell>
        </row>
        <row r="817">
          <cell r="F817" t="str">
            <v>Sir Christopher Hatton Academy Trust</v>
          </cell>
        </row>
        <row r="818">
          <cell r="F818" t="str">
            <v>Sir Frank Lowe</v>
          </cell>
        </row>
        <row r="819">
          <cell r="F819" t="str">
            <v>Sir John Cass's Foundation</v>
          </cell>
        </row>
        <row r="820">
          <cell r="F820" t="str">
            <v>Sir John Lawes Academies Trust</v>
          </cell>
        </row>
        <row r="821">
          <cell r="F821" t="str">
            <v>Sir John Madejski</v>
          </cell>
        </row>
        <row r="822">
          <cell r="F822" t="str">
            <v xml:space="preserve">Sir Robert Geffreys  Voluntary Aided Church of England Primary School </v>
          </cell>
        </row>
        <row r="823">
          <cell r="F823" t="str">
            <v>Slough and East Berkshire C of E Multi Academy Trust (SEBMAT)</v>
          </cell>
        </row>
        <row r="824">
          <cell r="F824" t="str">
            <v>Slough Grammar School</v>
          </cell>
        </row>
        <row r="825">
          <cell r="F825" t="str">
            <v xml:space="preserve">South Axholme Academy Trust
SAXA
</v>
          </cell>
        </row>
        <row r="826">
          <cell r="F826" t="str">
            <v>South Cheshire College</v>
          </cell>
        </row>
        <row r="827">
          <cell r="F827" t="str">
            <v>South Devon College</v>
          </cell>
        </row>
        <row r="828">
          <cell r="F828" t="str">
            <v>South Downs FE College</v>
          </cell>
        </row>
        <row r="829">
          <cell r="F829" t="str">
            <v>South Essex Academy Trust</v>
          </cell>
        </row>
        <row r="830">
          <cell r="F830" t="str">
            <v>South Essex College of Further and Higher Education</v>
          </cell>
        </row>
        <row r="831">
          <cell r="F831" t="str">
            <v xml:space="preserve">South Farnham School </v>
          </cell>
        </row>
        <row r="832">
          <cell r="F832" t="str">
            <v>South Hunsley School and Sixth Form College</v>
          </cell>
        </row>
        <row r="833">
          <cell r="F833" t="str">
            <v>South Lake Primary School</v>
          </cell>
        </row>
        <row r="834">
          <cell r="F834" t="str">
            <v>South Nottingham College Academy Trust</v>
          </cell>
        </row>
        <row r="835">
          <cell r="F835" t="str">
            <v>South Staffordshire College</v>
          </cell>
        </row>
        <row r="836">
          <cell r="F836" t="str">
            <v>South Tyneside College Academy Trust </v>
          </cell>
        </row>
        <row r="837">
          <cell r="F837" t="str">
            <v>Southfields Academy</v>
          </cell>
        </row>
        <row r="838">
          <cell r="F838" t="str">
            <v>Southmoor Academy</v>
          </cell>
        </row>
        <row r="839">
          <cell r="F839" t="str">
            <v>Southmoor Academy Trust</v>
          </cell>
        </row>
        <row r="840">
          <cell r="F840" t="str">
            <v>Southwark College</v>
          </cell>
        </row>
        <row r="841">
          <cell r="F841" t="str">
            <v>Southwark Primary School Trust</v>
          </cell>
        </row>
        <row r="842">
          <cell r="F842" t="str">
            <v>Specialist Schools and Academies Trust (SSAT)</v>
          </cell>
        </row>
        <row r="843">
          <cell r="F843" t="str">
            <v>Sponne School</v>
          </cell>
        </row>
        <row r="844">
          <cell r="F844" t="str">
            <v>Springfields School</v>
          </cell>
        </row>
        <row r="845">
          <cell r="F845" t="str">
            <v>Springhead Community Infant and Nursery School</v>
          </cell>
        </row>
        <row r="846">
          <cell r="F846" t="str">
            <v>St Aidan's CE High School</v>
          </cell>
        </row>
        <row r="847">
          <cell r="F847" t="str">
            <v xml:space="preserve">St Albans Catholic Academy </v>
          </cell>
        </row>
        <row r="848">
          <cell r="F848" t="str">
            <v>St Albans Diocese</v>
          </cell>
        </row>
        <row r="849">
          <cell r="F849" t="str">
            <v>St Albans Girls' School</v>
          </cell>
        </row>
        <row r="850">
          <cell r="F850" t="str">
            <v>St Barnabas Church of England MAT</v>
          </cell>
        </row>
        <row r="851">
          <cell r="F851" t="str">
            <v>St Bede Academy</v>
          </cell>
        </row>
        <row r="852">
          <cell r="F852" t="str">
            <v>St Bede's Catholic College</v>
          </cell>
        </row>
        <row r="853">
          <cell r="F853" t="str">
            <v>St Bede's Catholic School and sixth form</v>
          </cell>
        </row>
        <row r="854">
          <cell r="F854" t="str">
            <v>St Benedict's Catholic Primary School</v>
          </cell>
        </row>
        <row r="855">
          <cell r="F855" t="str">
            <v>St Brendan's Sixth Form College</v>
          </cell>
        </row>
        <row r="856">
          <cell r="F856" t="str">
            <v>St Catherine's Primary School</v>
          </cell>
        </row>
        <row r="857">
          <cell r="F857" t="str">
            <v>St Chad’s CofE Primary School</v>
          </cell>
        </row>
        <row r="858">
          <cell r="F858" t="str">
            <v>St Christophers Primary Academy Trust
St Christophers Secondary Academy Trust</v>
          </cell>
        </row>
        <row r="859">
          <cell r="F859" t="str">
            <v>St Clement Danes School</v>
          </cell>
        </row>
        <row r="860">
          <cell r="F860" t="str">
            <v>St Clement's CofE Primary</v>
          </cell>
        </row>
        <row r="861">
          <cell r="F861" t="str">
            <v>St Clere's Co-operative Academy Trust</v>
          </cell>
        </row>
        <row r="862">
          <cell r="F862" t="str">
            <v>St George's Academy</v>
          </cell>
        </row>
        <row r="863">
          <cell r="F863" t="str">
            <v>St Georges Primary School</v>
          </cell>
        </row>
        <row r="864">
          <cell r="F864" t="str">
            <v>St George's School</v>
          </cell>
        </row>
        <row r="865">
          <cell r="F865" t="str">
            <v>St Gregory’s Catholic College</v>
          </cell>
        </row>
        <row r="866">
          <cell r="F866" t="str">
            <v>St Helen's Catholic Junior School</v>
          </cell>
        </row>
        <row r="867">
          <cell r="F867" t="str">
            <v>St Helen's College</v>
          </cell>
        </row>
        <row r="868">
          <cell r="F868" t="str">
            <v>St John Plessington Catholic College, Wirral</v>
          </cell>
        </row>
        <row r="869">
          <cell r="F869" t="str">
            <v>St John the Baptist School</v>
          </cell>
        </row>
        <row r="870">
          <cell r="F870" t="str">
            <v>St Joseph's College Edmund Rice Academy Trust</v>
          </cell>
        </row>
        <row r="871">
          <cell r="F871" t="str">
            <v>St Mary’s Academy Trust</v>
          </cell>
        </row>
        <row r="872">
          <cell r="F872" t="str">
            <v>St Mary's Calne</v>
          </cell>
        </row>
        <row r="873">
          <cell r="F873" t="str">
            <v>St Marys Catholic Primary Broadway</v>
          </cell>
        </row>
        <row r="874">
          <cell r="F874" t="str">
            <v>St Michaels C.E. Infant School</v>
          </cell>
        </row>
        <row r="875">
          <cell r="F875" t="str">
            <v>St Paul’s Catholic School</v>
          </cell>
        </row>
        <row r="876">
          <cell r="F876" t="str">
            <v>St Peter's Catholic High School and Sixth Form Centre</v>
          </cell>
        </row>
        <row r="877">
          <cell r="F877" t="str">
            <v>St Peter's Catholic Primary School</v>
          </cell>
        </row>
        <row r="878">
          <cell r="F878" t="str">
            <v>St Simon &amp; St Jude PS, Bolton</v>
          </cell>
        </row>
        <row r="879">
          <cell r="F879" t="str">
            <v xml:space="preserve">St Stephen's Community Primary School
</v>
          </cell>
        </row>
        <row r="880">
          <cell r="F880" t="str">
            <v>St Stephen's Junior School</v>
          </cell>
        </row>
        <row r="881">
          <cell r="F881" t="str">
            <v>St Thomas More Catholic Teaching School</v>
          </cell>
        </row>
        <row r="882">
          <cell r="F882" t="str">
            <v xml:space="preserve">St Thomas More's Catholic Primary School </v>
          </cell>
        </row>
        <row r="883">
          <cell r="F883" t="str">
            <v>St Thomas More's Catholic School, Blaydon Upon-Tyne</v>
          </cell>
        </row>
        <row r="884">
          <cell r="F884" t="str">
            <v>St Vincent Support Centre</v>
          </cell>
        </row>
        <row r="885">
          <cell r="F885" t="str">
            <v xml:space="preserve">St Werburgh’s C. E. (A) Primary School      </v>
          </cell>
        </row>
        <row r="886">
          <cell r="F886" t="str">
            <v>St. Joseph Catholic Academy</v>
          </cell>
        </row>
        <row r="887">
          <cell r="F887" t="str">
            <v>St. Peter's Collegiate School</v>
          </cell>
        </row>
        <row r="888">
          <cell r="F888" t="str">
            <v>Stafford College Trust</v>
          </cell>
        </row>
        <row r="889">
          <cell r="F889" t="str">
            <v>Staffordshire University</v>
          </cell>
        </row>
        <row r="890">
          <cell r="F890" t="str">
            <v xml:space="preserve">Staithes, Seton Community Primary School </v>
          </cell>
        </row>
        <row r="891">
          <cell r="F891" t="str">
            <v>Stanton Lane Trust</v>
          </cell>
        </row>
        <row r="892">
          <cell r="F892" t="str">
            <v>Steel City Schools Partnership</v>
          </cell>
        </row>
        <row r="893">
          <cell r="F893" t="str">
            <v>Steeles Law</v>
          </cell>
        </row>
        <row r="894">
          <cell r="F894" t="str">
            <v>Steiner Waldorf</v>
          </cell>
        </row>
        <row r="895">
          <cell r="F895" t="str">
            <v>STEP Academy Trust</v>
          </cell>
        </row>
        <row r="896">
          <cell r="F896" t="str">
            <v>Stephenson College</v>
          </cell>
        </row>
        <row r="897">
          <cell r="F897" t="str">
            <v>Stephenson Trust</v>
          </cell>
        </row>
        <row r="898">
          <cell r="F898" t="str">
            <v>Stewart Fleming Primary School - The Pioneer Academy</v>
          </cell>
        </row>
        <row r="899">
          <cell r="F899" t="str">
            <v>Stockton Primary Care Trust</v>
          </cell>
        </row>
        <row r="900">
          <cell r="F900" t="str">
            <v>Stockton Riverside College</v>
          </cell>
        </row>
        <row r="901">
          <cell r="F901" t="str">
            <v>Stockton Sixth Form College</v>
          </cell>
        </row>
        <row r="902">
          <cell r="F902" t="str">
            <v>Stockton-on-Tees Borough Council</v>
          </cell>
        </row>
        <row r="903">
          <cell r="F903" t="str">
            <v>Stoke Lodge Primary School</v>
          </cell>
        </row>
        <row r="904">
          <cell r="F904" t="str">
            <v>Stokenham Area Primary School</v>
          </cell>
        </row>
        <row r="905">
          <cell r="F905" t="str">
            <v>Stoke-on-Trent College</v>
          </cell>
        </row>
        <row r="906">
          <cell r="F906" t="str">
            <v>Stranton Primary School</v>
          </cell>
        </row>
        <row r="907">
          <cell r="F907" t="str">
            <v>Strategic Support Partnerships</v>
          </cell>
        </row>
        <row r="908">
          <cell r="F908" t="str">
            <v>Stratton Upper</v>
          </cell>
        </row>
        <row r="909">
          <cell r="F909" t="str">
            <v>Suffolk New College</v>
          </cell>
        </row>
        <row r="910">
          <cell r="F910" t="str">
            <v>Sunderland University</v>
          </cell>
        </row>
        <row r="911">
          <cell r="F911" t="str">
            <v>Sussex Coast College Hastings</v>
          </cell>
        </row>
        <row r="912">
          <cell r="F912" t="str">
            <v>Sussex Downs College</v>
          </cell>
        </row>
        <row r="913">
          <cell r="F913" t="str">
            <v>Sustrans</v>
          </cell>
        </row>
        <row r="914">
          <cell r="F914" t="str">
            <v>Swale Academy Trust</v>
          </cell>
        </row>
        <row r="915">
          <cell r="F915" t="str">
            <v>Swarm Apprenticeships Ltd</v>
          </cell>
        </row>
        <row r="916">
          <cell r="F916" t="str">
            <v>Sweyne Park School</v>
          </cell>
        </row>
        <row r="917">
          <cell r="F917" t="str">
            <v>Swinton High School, Salford</v>
          </cell>
        </row>
        <row r="918">
          <cell r="F918" t="str">
            <v>Synarbor</v>
          </cell>
        </row>
        <row r="919">
          <cell r="F919" t="str">
            <v>Tabor Science College</v>
          </cell>
        </row>
        <row r="920">
          <cell r="F920" t="str">
            <v>Tameside College</v>
          </cell>
        </row>
        <row r="921">
          <cell r="F921" t="str">
            <v>Tapton School Academy trust</v>
          </cell>
        </row>
        <row r="922">
          <cell r="F922" t="str">
            <v>Tauheedul Sponsored Academies Trust (TSA)</v>
          </cell>
        </row>
        <row r="923">
          <cell r="F923" t="str">
            <v>TBG Learning</v>
          </cell>
        </row>
        <row r="924">
          <cell r="F924" t="str">
            <v>Teach First</v>
          </cell>
        </row>
        <row r="925">
          <cell r="F925" t="str">
            <v>Ted Wragg Trust</v>
          </cell>
        </row>
        <row r="926">
          <cell r="F926" t="str">
            <v>Teignmouth Community School, Exeter Road</v>
          </cell>
        </row>
        <row r="927">
          <cell r="F927" t="str">
            <v xml:space="preserve">Telford Learning Partnership </v>
          </cell>
        </row>
        <row r="928">
          <cell r="F928" t="str">
            <v>Temple Grove Schools Trust</v>
          </cell>
        </row>
        <row r="929">
          <cell r="F929" t="str">
            <v>Tesco</v>
          </cell>
        </row>
        <row r="930">
          <cell r="F930" t="str">
            <v>The Aldridge Foundation</v>
          </cell>
        </row>
        <row r="931">
          <cell r="F931" t="str">
            <v xml:space="preserve">The Appleton School </v>
          </cell>
        </row>
        <row r="932">
          <cell r="F932" t="str">
            <v>The Arbib Foundation</v>
          </cell>
        </row>
        <row r="933">
          <cell r="F933" t="str">
            <v>The Arena Group Ltd</v>
          </cell>
        </row>
        <row r="934">
          <cell r="F934" t="str">
            <v>The Arnewood School</v>
          </cell>
        </row>
        <row r="935">
          <cell r="F935" t="str">
            <v>The Arnewood School Academy</v>
          </cell>
        </row>
        <row r="936">
          <cell r="F936" t="str">
            <v>The Arthur Terry School</v>
          </cell>
        </row>
        <row r="937">
          <cell r="F937" t="str">
            <v>The Association of Muslim Schools UK (AMS)</v>
          </cell>
        </row>
        <row r="938">
          <cell r="F938" t="str">
            <v>The Beacon School</v>
          </cell>
        </row>
        <row r="939">
          <cell r="F939" t="str">
            <v>The Beauchamp College</v>
          </cell>
        </row>
        <row r="940">
          <cell r="F940" t="str">
            <v>The Benjamin Curtis Foundation</v>
          </cell>
        </row>
        <row r="941">
          <cell r="F941" t="str">
            <v>The Boston Witham Academies Federation</v>
          </cell>
        </row>
        <row r="942">
          <cell r="F942" t="str">
            <v>The Bourne Academy</v>
          </cell>
        </row>
        <row r="943">
          <cell r="F943" t="str">
            <v>The Business Academy Bexley</v>
          </cell>
        </row>
        <row r="944">
          <cell r="F944" t="str">
            <v>The Castle School, South Gloucestershire</v>
          </cell>
        </row>
        <row r="945">
          <cell r="F945" t="str">
            <v>The Castle School, Taunton</v>
          </cell>
        </row>
        <row r="946">
          <cell r="F946" t="str">
            <v>The Central Learning Partnership Trust</v>
          </cell>
        </row>
        <row r="947">
          <cell r="F947" t="str">
            <v>The Centre for Islamic Finance</v>
          </cell>
        </row>
        <row r="948">
          <cell r="F948" t="str">
            <v>The Challenger Trust</v>
          </cell>
        </row>
        <row r="949">
          <cell r="F949" t="str">
            <v>The Cherwell School Academy Trust</v>
          </cell>
        </row>
        <row r="950">
          <cell r="F950" t="str">
            <v xml:space="preserve">The Cippenham Schools’ Trust </v>
          </cell>
        </row>
        <row r="951">
          <cell r="F951" t="str">
            <v>The City of Liverpool Academy Trust</v>
          </cell>
        </row>
        <row r="952">
          <cell r="F952" t="str">
            <v>The Collaborative Academies Trust</v>
          </cell>
        </row>
        <row r="953">
          <cell r="F953" t="str">
            <v>The Compton School, Barnet</v>
          </cell>
        </row>
        <row r="954">
          <cell r="F954" t="str">
            <v>The Cooper School</v>
          </cell>
        </row>
        <row r="955">
          <cell r="F955" t="str">
            <v>The Co-operative Group</v>
          </cell>
        </row>
        <row r="956">
          <cell r="F956" t="str">
            <v>The Cornwall Academy Trust</v>
          </cell>
        </row>
        <row r="957">
          <cell r="F957" t="str">
            <v>The Corsham School</v>
          </cell>
        </row>
        <row r="958">
          <cell r="F958" t="str">
            <v>The Crypt School</v>
          </cell>
        </row>
        <row r="959">
          <cell r="F959" t="str">
            <v>The de Ferrers Academy</v>
          </cell>
        </row>
        <row r="960">
          <cell r="F960" t="str">
            <v>The Diamond Learning Partnership Trust</v>
          </cell>
        </row>
        <row r="961">
          <cell r="F961" t="str">
            <v>The Durham Federation</v>
          </cell>
        </row>
        <row r="962">
          <cell r="F962" t="str">
            <v>The Duston School</v>
          </cell>
        </row>
        <row r="963">
          <cell r="F963" t="str">
            <v xml:space="preserve">The Education Fellowship Trust </v>
          </cell>
        </row>
        <row r="964">
          <cell r="F964" t="str">
            <v>The Education Village Academy Trust</v>
          </cell>
        </row>
        <row r="965">
          <cell r="F965" t="str">
            <v>The Evolve Trust</v>
          </cell>
        </row>
        <row r="966">
          <cell r="F966" t="str">
            <v>The Excel Academy Partnership</v>
          </cell>
        </row>
        <row r="967">
          <cell r="F967" t="str">
            <v>The Federation of Arthur's Hill Primary Schools</v>
          </cell>
        </row>
        <row r="968">
          <cell r="F968" t="str">
            <v>The Fitzmaurice Trust</v>
          </cell>
        </row>
        <row r="969">
          <cell r="F969" t="str">
            <v>The Flying High Trust</v>
          </cell>
        </row>
        <row r="970">
          <cell r="F970" t="str">
            <v>The Foundation Educational Trust</v>
          </cell>
        </row>
        <row r="971">
          <cell r="F971" t="str">
            <v>The Gainsborough Parish Church C.E. Primary School</v>
          </cell>
        </row>
        <row r="972">
          <cell r="F972" t="str">
            <v>The Geoffrey Watling Charity</v>
          </cell>
        </row>
        <row r="973">
          <cell r="F973" t="str">
            <v>The Glyn Learning Foundation</v>
          </cell>
        </row>
        <row r="974">
          <cell r="F974" t="str">
            <v>The GORSE Academies Trust</v>
          </cell>
        </row>
        <row r="975">
          <cell r="F975" t="str">
            <v>The Griffin Schools Trust</v>
          </cell>
        </row>
        <row r="976">
          <cell r="F976" t="str">
            <v>The Hamwic Trust</v>
          </cell>
        </row>
        <row r="977">
          <cell r="F977" t="str">
            <v xml:space="preserve">The Harmony Trust </v>
          </cell>
        </row>
        <row r="978">
          <cell r="F978" t="str">
            <v>The Hastings Academy Trust</v>
          </cell>
        </row>
        <row r="979">
          <cell r="F979" t="str">
            <v>The Hayesbrook School</v>
          </cell>
        </row>
        <row r="980">
          <cell r="F980" t="str">
            <v>The Heath Academy, Runcorn</v>
          </cell>
        </row>
        <row r="981">
          <cell r="F981" t="str">
            <v>The Henrietta Barnett School</v>
          </cell>
        </row>
        <row r="982">
          <cell r="F982" t="str">
            <v>The Hessle Academy Community Trust</v>
          </cell>
        </row>
        <row r="983">
          <cell r="F983" t="str">
            <v>The Hinkler Trust</v>
          </cell>
        </row>
        <row r="984">
          <cell r="F984" t="str">
            <v>The Howard Partnership</v>
          </cell>
        </row>
        <row r="985">
          <cell r="F985" t="str">
            <v>The Inspire Trust</v>
          </cell>
        </row>
        <row r="986">
          <cell r="F986" t="str">
            <v>The Isis Academy</v>
          </cell>
        </row>
        <row r="987">
          <cell r="F987" t="str">
            <v>The John Wallis Church of England Academy</v>
          </cell>
        </row>
        <row r="988">
          <cell r="F988" t="str">
            <v>The Joshua Watson Trust</v>
          </cell>
        </row>
        <row r="989">
          <cell r="F989" t="str">
            <v>The King John School</v>
          </cell>
        </row>
        <row r="990">
          <cell r="F990" t="str">
            <v>The Kingfisher Community Special School/Mills Hill PS Teaching School</v>
          </cell>
        </row>
        <row r="991">
          <cell r="F991" t="str">
            <v>The Kings of Wessex Academy</v>
          </cell>
        </row>
        <row r="992">
          <cell r="F992" t="str">
            <v>The Landau Foundation</v>
          </cell>
        </row>
        <row r="993">
          <cell r="F993" t="str">
            <v>The Latimer Arts College</v>
          </cell>
        </row>
        <row r="994">
          <cell r="F994" t="str">
            <v>The Learning and Achievement Federation</v>
          </cell>
        </row>
        <row r="995">
          <cell r="F995" t="str">
            <v xml:space="preserve">The Learning Schools Trust </v>
          </cell>
        </row>
        <row r="996">
          <cell r="F996" t="str">
            <v>The Learning Trust</v>
          </cell>
        </row>
        <row r="997">
          <cell r="F997" t="str">
            <v>The Leigh Technology Academy Trust</v>
          </cell>
        </row>
        <row r="998">
          <cell r="F998" t="str">
            <v>The Livingstone Foundation Academy Trust</v>
          </cell>
        </row>
        <row r="999">
          <cell r="F999" t="str">
            <v>The Long Eaton School</v>
          </cell>
        </row>
        <row r="1000">
          <cell r="F1000" t="str">
            <v>The Magna Carta School</v>
          </cell>
        </row>
        <row r="1001">
          <cell r="F1001" t="str">
            <v>The Manchester College</v>
          </cell>
        </row>
        <row r="1002">
          <cell r="F1002" t="str">
            <v>The Manor School, Wiltshire</v>
          </cell>
        </row>
        <row r="1003">
          <cell r="F1003" t="str">
            <v xml:space="preserve">The Market Bosworth School </v>
          </cell>
        </row>
        <row r="1004">
          <cell r="F1004" t="str">
            <v>The Mead Academy Trust</v>
          </cell>
        </row>
        <row r="1005">
          <cell r="F1005" t="str">
            <v>The Minster School, Southwell</v>
          </cell>
        </row>
        <row r="1006">
          <cell r="F1006" t="str">
            <v>The Mirfield Free Grammar &amp; Sixth Form</v>
          </cell>
        </row>
        <row r="1007">
          <cell r="F1007" t="str">
            <v>The Newark Academy Trust</v>
          </cell>
        </row>
        <row r="1008">
          <cell r="F1008" t="str">
            <v>The Northumberland Estates</v>
          </cell>
        </row>
        <row r="1009">
          <cell r="F1009" t="str">
            <v>The Olympus Academy Trust</v>
          </cell>
        </row>
        <row r="1010">
          <cell r="F1010" t="str">
            <v>The Park Federation</v>
          </cell>
        </row>
        <row r="1011">
          <cell r="F1011" t="str">
            <v>The Partnership Learning Trust</v>
          </cell>
        </row>
        <row r="1012">
          <cell r="F1012" t="str">
            <v xml:space="preserve">The Passmores Academy Trust </v>
          </cell>
        </row>
        <row r="1013">
          <cell r="F1013" t="str">
            <v xml:space="preserve">The Primary Academies Trust </v>
          </cell>
        </row>
        <row r="1014">
          <cell r="F1014" t="str">
            <v>The Primary First Trust</v>
          </cell>
        </row>
        <row r="1015">
          <cell r="F1015" t="str">
            <v>The Prince of Wales First School</v>
          </cell>
        </row>
        <row r="1016">
          <cell r="F1016" t="str">
            <v>The Priory Federation of Academies Trust</v>
          </cell>
        </row>
        <row r="1017">
          <cell r="F1017" t="str">
            <v>The Priory School</v>
          </cell>
        </row>
        <row r="1018">
          <cell r="F1018" t="str">
            <v>The Quay School (PRU)</v>
          </cell>
        </row>
        <row r="1019">
          <cell r="F1019" t="str">
            <v>The Queen Katherine School</v>
          </cell>
        </row>
        <row r="1020">
          <cell r="F1020" t="str">
            <v>The Raleigh School</v>
          </cell>
        </row>
        <row r="1021">
          <cell r="F1021" t="str">
            <v>The Redhill Academy Trust</v>
          </cell>
        </row>
        <row r="1022">
          <cell r="F1022" t="str">
            <v>The RGS/AFS Thinking Schools Academy Trust</v>
          </cell>
        </row>
        <row r="1023">
          <cell r="F1023" t="str">
            <v>The Ridgeway School and Sixth Form College Academy Trust</v>
          </cell>
        </row>
        <row r="1024">
          <cell r="F1024" t="str">
            <v>The Riding's Education Trust</v>
          </cell>
        </row>
        <row r="1025">
          <cell r="F1025" t="str">
            <v>The Roger de Haan Charitable Trust</v>
          </cell>
        </row>
        <row r="1026">
          <cell r="F1026" t="str">
            <v>The SCHOOLSCOMPANY Trust</v>
          </cell>
        </row>
        <row r="1027">
          <cell r="F1027" t="str">
            <v>The Sheffield College</v>
          </cell>
        </row>
        <row r="1028">
          <cell r="F1028" t="str">
            <v>The Shotton Hall Learning Trust</v>
          </cell>
        </row>
        <row r="1029">
          <cell r="F1029" t="str">
            <v>The Silver Birch Academy Trust</v>
          </cell>
        </row>
        <row r="1030">
          <cell r="F1030" t="str">
            <v>The Sixth Form College Farnborough</v>
          </cell>
        </row>
        <row r="1031">
          <cell r="F1031" t="str">
            <v>The Sixth Form College, Colchester</v>
          </cell>
        </row>
        <row r="1032">
          <cell r="F1032" t="str">
            <v>The Skills Lab.com</v>
          </cell>
        </row>
        <row r="1033">
          <cell r="F1033" t="str">
            <v>The Skinners Company</v>
          </cell>
        </row>
        <row r="1034">
          <cell r="F1034" t="str">
            <v>The Spencer Academies Trust</v>
          </cell>
        </row>
        <row r="1035">
          <cell r="F1035" t="str">
            <v>The Stanford &amp; Corringham School Trust</v>
          </cell>
        </row>
        <row r="1036">
          <cell r="F1036" t="str">
            <v>The Stanway Federation Academy Trust</v>
          </cell>
        </row>
        <row r="1037">
          <cell r="F1037" t="str">
            <v>The Stour Academy Trust</v>
          </cell>
        </row>
        <row r="1038">
          <cell r="F1038" t="str">
            <v>The Streetly Academy</v>
          </cell>
        </row>
        <row r="1039">
          <cell r="F1039" t="str">
            <v>The Thomas Hardye School</v>
          </cell>
        </row>
        <row r="1040">
          <cell r="F1040" t="str">
            <v>The Vaynor First School</v>
          </cell>
        </row>
        <row r="1041">
          <cell r="F1041" t="str">
            <v>The Village Academy Trust</v>
          </cell>
        </row>
        <row r="1042">
          <cell r="F1042" t="str">
            <v xml:space="preserve">The Violet Way Academy </v>
          </cell>
        </row>
        <row r="1043">
          <cell r="F1043" t="str">
            <v>The Warren Hill Academy Trust</v>
          </cell>
        </row>
        <row r="1044">
          <cell r="F1044" t="str">
            <v>The White Horse Federation</v>
          </cell>
        </row>
        <row r="1045">
          <cell r="F1045" t="str">
            <v>The Williamson Trust</v>
          </cell>
        </row>
        <row r="1046">
          <cell r="F1046" t="str">
            <v>The Willows Primary School Manchester</v>
          </cell>
        </row>
        <row r="1047">
          <cell r="F1047" t="str">
            <v xml:space="preserve">The Worshipful Company of Curriers </v>
          </cell>
        </row>
        <row r="1048">
          <cell r="F1048" t="str">
            <v>Theatre Royal, Norwich</v>
          </cell>
        </row>
        <row r="1049">
          <cell r="F1049" t="str">
            <v>Third Millennium Education Trust</v>
          </cell>
        </row>
        <row r="1050">
          <cell r="F1050" t="str">
            <v>Thomas Estley Community College</v>
          </cell>
        </row>
        <row r="1051">
          <cell r="F1051" t="str">
            <v>Thomas Telford Online</v>
          </cell>
        </row>
        <row r="1052">
          <cell r="F1052" t="str">
            <v>Thomas's London Day Prep Schools</v>
          </cell>
        </row>
        <row r="1053">
          <cell r="F1053" t="str">
            <v>Thorite Group Ltd</v>
          </cell>
        </row>
        <row r="1054">
          <cell r="F1054" t="str">
            <v>Thurton C of E VC Primary School</v>
          </cell>
        </row>
        <row r="1055">
          <cell r="F1055" t="str">
            <v>Tidemill Primary School</v>
          </cell>
        </row>
        <row r="1056">
          <cell r="F1056" t="str">
            <v>Tim Roupell</v>
          </cell>
        </row>
        <row r="1057">
          <cell r="F1057" t="str">
            <v>Together Trust</v>
          </cell>
        </row>
        <row r="1058">
          <cell r="F1058" t="str">
            <v>Tollbar Academy Trust</v>
          </cell>
        </row>
        <row r="1059">
          <cell r="F1059" t="str">
            <v>Tollgate Primary School</v>
          </cell>
        </row>
        <row r="1060">
          <cell r="F1060" t="str">
            <v>Tor Bridge Partnership</v>
          </cell>
        </row>
        <row r="1061">
          <cell r="F1061" t="str">
            <v>Torch Academy Gateway Trust</v>
          </cell>
        </row>
        <row r="1062">
          <cell r="F1062" t="str">
            <v>Torquay Boys’ Grammar School Multi-Academy Trust</v>
          </cell>
        </row>
        <row r="1063">
          <cell r="F1063" t="str">
            <v>Town Close Estate Charity</v>
          </cell>
        </row>
        <row r="1064">
          <cell r="F1064" t="str">
            <v>Transform Teaching School Alliance</v>
          </cell>
        </row>
        <row r="1065">
          <cell r="F1065" t="str">
            <v>Transforming Education in Norfolk (TEN Group)</v>
          </cell>
        </row>
        <row r="1066">
          <cell r="F1066" t="str">
            <v>Tregonwell Multi Academy Trust</v>
          </cell>
        </row>
        <row r="1067">
          <cell r="F1067" t="str">
            <v>Tresham College of Further and Higher Education</v>
          </cell>
        </row>
        <row r="1068">
          <cell r="F1068" t="str">
            <v>Tribe</v>
          </cell>
        </row>
        <row r="1069">
          <cell r="F1069" t="str">
            <v>Tri-borough Alternative Provision (TBAP)</v>
          </cell>
        </row>
        <row r="1070">
          <cell r="F1070" t="str">
            <v>Trinity Academy Halifax</v>
          </cell>
        </row>
        <row r="1071">
          <cell r="F1071" t="str">
            <v xml:space="preserve">Trinity Catholic High School </v>
          </cell>
        </row>
        <row r="1072">
          <cell r="F1072" t="str">
            <v>Trinity Church of England School, Belvedere</v>
          </cell>
        </row>
        <row r="1073">
          <cell r="F1073" t="str">
            <v>Trinity School - Newbury Academy Trust</v>
          </cell>
        </row>
        <row r="1074">
          <cell r="F1074" t="str">
            <v>Truro and Penwith College</v>
          </cell>
        </row>
        <row r="1075">
          <cell r="F1075" t="str">
            <v>Trust in Learning [Academies]</v>
          </cell>
        </row>
        <row r="1076">
          <cell r="F1076" t="str">
            <v>Tudhoe Learning Trust</v>
          </cell>
        </row>
        <row r="1077">
          <cell r="F1077" t="str">
            <v>Tudor Grange Academies Trust</v>
          </cell>
        </row>
        <row r="1078">
          <cell r="F1078" t="str">
            <v>Two Mile Ash School</v>
          </cell>
        </row>
        <row r="1079">
          <cell r="F1079" t="str">
            <v xml:space="preserve">Twynham School </v>
          </cell>
        </row>
        <row r="1080">
          <cell r="F1080" t="str">
            <v>UBS</v>
          </cell>
        </row>
        <row r="1081">
          <cell r="F1081" t="str">
            <v>UCAT</v>
          </cell>
        </row>
        <row r="1082">
          <cell r="F1082" t="str">
            <v>Ullswater Community College</v>
          </cell>
        </row>
        <row r="1083">
          <cell r="F1083" t="str">
            <v>United Learning</v>
          </cell>
        </row>
        <row r="1084">
          <cell r="F1084" t="str">
            <v>University College Birmingham</v>
          </cell>
        </row>
        <row r="1085">
          <cell r="F1085" t="str">
            <v>University College for the Creative Arts (UCCA)</v>
          </cell>
        </row>
        <row r="1086">
          <cell r="F1086" t="str">
            <v>University College London (UCL)</v>
          </cell>
        </row>
        <row r="1087">
          <cell r="F1087" t="str">
            <v>University of Bradford</v>
          </cell>
        </row>
        <row r="1088">
          <cell r="F1088" t="str">
            <v>University of Central Lancashire</v>
          </cell>
        </row>
        <row r="1089">
          <cell r="F1089" t="str">
            <v>University of Chichester, West Sussex</v>
          </cell>
        </row>
        <row r="1090">
          <cell r="F1090" t="str">
            <v>University of Cumbria</v>
          </cell>
        </row>
        <row r="1091">
          <cell r="F1091" t="str">
            <v>University of East Anglia</v>
          </cell>
        </row>
        <row r="1092">
          <cell r="F1092" t="str">
            <v>University of Essex</v>
          </cell>
        </row>
        <row r="1093">
          <cell r="F1093" t="str">
            <v>University of Gloucestershire</v>
          </cell>
        </row>
        <row r="1094">
          <cell r="F1094" t="str">
            <v>University of Huddersfield</v>
          </cell>
        </row>
        <row r="1095">
          <cell r="F1095" t="str">
            <v>University of Hull</v>
          </cell>
        </row>
        <row r="1096">
          <cell r="F1096" t="str">
            <v xml:space="preserve">University of Kent </v>
          </cell>
        </row>
        <row r="1097">
          <cell r="F1097" t="str">
            <v>University of Lincoln</v>
          </cell>
        </row>
        <row r="1098">
          <cell r="F1098" t="str">
            <v>University of Liverpool</v>
          </cell>
        </row>
        <row r="1099">
          <cell r="F1099" t="str">
            <v>University of Northampton</v>
          </cell>
        </row>
        <row r="1100">
          <cell r="F1100" t="str">
            <v>University of Nottingham</v>
          </cell>
        </row>
        <row r="1101">
          <cell r="F1101" t="str">
            <v>University of Plymouth</v>
          </cell>
        </row>
        <row r="1102">
          <cell r="F1102" t="str">
            <v>University of Portsmouth</v>
          </cell>
        </row>
        <row r="1103">
          <cell r="F1103" t="str">
            <v>University of Teesside</v>
          </cell>
        </row>
        <row r="1104">
          <cell r="F1104" t="str">
            <v>University of Winchester</v>
          </cell>
        </row>
        <row r="1105">
          <cell r="F1105" t="str">
            <v>University of Wolverhampton</v>
          </cell>
        </row>
        <row r="1106">
          <cell r="F1106" t="str">
            <v>Uppingham School</v>
          </cell>
        </row>
        <row r="1107">
          <cell r="F1107" t="str">
            <v>Ursuline High School</v>
          </cell>
        </row>
        <row r="1108">
          <cell r="F1108" t="str">
            <v>UTC Reading Trust</v>
          </cell>
        </row>
        <row r="1109">
          <cell r="F1109" t="str">
            <v>Uxbridge High School</v>
          </cell>
        </row>
        <row r="1110">
          <cell r="F1110" t="str">
            <v>U-xplore</v>
          </cell>
        </row>
        <row r="1111">
          <cell r="F1111" t="str">
            <v>Valley Invicta Academies Trust</v>
          </cell>
        </row>
        <row r="1112">
          <cell r="F1112" t="str">
            <v>Values Academy</v>
          </cell>
        </row>
        <row r="1113">
          <cell r="F1113" t="str">
            <v>Vauxhall Primary School</v>
          </cell>
        </row>
        <row r="1114">
          <cell r="F1114" t="str">
            <v>Victoria Park Primary Academy</v>
          </cell>
        </row>
        <row r="1115">
          <cell r="F1115" t="str">
            <v>Wakefield and District Housing</v>
          </cell>
        </row>
        <row r="1116">
          <cell r="F1116" t="str">
            <v>Wakefield City Academies Trust</v>
          </cell>
        </row>
        <row r="1117">
          <cell r="F1117" t="str">
            <v>Waldegrave School for Girls</v>
          </cell>
        </row>
        <row r="1118">
          <cell r="F1118" t="str">
            <v>Wales High School</v>
          </cell>
        </row>
        <row r="1119">
          <cell r="F1119" t="str">
            <v>Walsall College</v>
          </cell>
        </row>
        <row r="1120">
          <cell r="F1120" t="str">
            <v>Ward Hadaway</v>
          </cell>
        </row>
        <row r="1121">
          <cell r="F1121" t="str">
            <v>Warden Hill Primary School</v>
          </cell>
        </row>
        <row r="1122">
          <cell r="F1122" t="str">
            <v>Warden Park School</v>
          </cell>
        </row>
        <row r="1123">
          <cell r="F1123" t="str">
            <v xml:space="preserve">Warlingham Village Primary </v>
          </cell>
        </row>
        <row r="1124">
          <cell r="F1124" t="str">
            <v>Warren Services</v>
          </cell>
        </row>
        <row r="1125">
          <cell r="F1125" t="str">
            <v>Warrington Collegiate</v>
          </cell>
        </row>
        <row r="1126">
          <cell r="F1126" t="str">
            <v>Warwickshire College</v>
          </cell>
        </row>
        <row r="1127">
          <cell r="F1127" t="str">
            <v>Washwood Heath Technology College</v>
          </cell>
        </row>
        <row r="1128">
          <cell r="F1128" t="str">
            <v>Watford Grammar School for Boys</v>
          </cell>
        </row>
        <row r="1129">
          <cell r="F1129" t="str">
            <v>Watton Junior School</v>
          </cell>
        </row>
        <row r="1130">
          <cell r="F1130" t="str">
            <v>Webanywhere</v>
          </cell>
        </row>
        <row r="1131">
          <cell r="F1131" t="str">
            <v>Wellington College</v>
          </cell>
        </row>
        <row r="1132">
          <cell r="F1132" t="str">
            <v>Wellspring Academy Trust</v>
          </cell>
        </row>
        <row r="1133">
          <cell r="F1133" t="str">
            <v>Wellsway School Academy Trust</v>
          </cell>
        </row>
        <row r="1134">
          <cell r="F1134" t="str">
            <v>West Bridgford School</v>
          </cell>
        </row>
        <row r="1135">
          <cell r="F1135" t="str">
            <v>West Coast group</v>
          </cell>
        </row>
        <row r="1136">
          <cell r="F1136" t="str">
            <v>West Grantham Academies Trust</v>
          </cell>
        </row>
        <row r="1137">
          <cell r="F1137" t="str">
            <v>West Hertfordshire Teaching Schools Partnership</v>
          </cell>
        </row>
        <row r="1138">
          <cell r="F1138" t="str">
            <v>West Herts College</v>
          </cell>
        </row>
        <row r="1139">
          <cell r="F1139" t="str">
            <v xml:space="preserve">West Kent Health Needs Education Service </v>
          </cell>
        </row>
        <row r="1140">
          <cell r="F1140" t="str">
            <v>West London Free School Academy Trust</v>
          </cell>
        </row>
        <row r="1141">
          <cell r="F1141" t="str">
            <v>West Norfolk Academy Trust</v>
          </cell>
        </row>
        <row r="1142">
          <cell r="F1142" t="str">
            <v>West Park School Derby</v>
          </cell>
        </row>
        <row r="1143">
          <cell r="F1143" t="str">
            <v>West Suffolk College</v>
          </cell>
        </row>
        <row r="1144">
          <cell r="F1144" t="str">
            <v>West Thornton Primary Academy</v>
          </cell>
        </row>
        <row r="1145">
          <cell r="F1145" t="str">
            <v>Westcliff High School for Girls</v>
          </cell>
        </row>
        <row r="1146">
          <cell r="F1146" t="str">
            <v>Westfield Arts College</v>
          </cell>
        </row>
        <row r="1147">
          <cell r="F1147" t="str">
            <v>Westminster School</v>
          </cell>
        </row>
        <row r="1148">
          <cell r="F1148" t="str">
            <v>Weston College</v>
          </cell>
        </row>
        <row r="1149">
          <cell r="F1149" t="str">
            <v>Wey Education Schools Trust (WEST)</v>
          </cell>
        </row>
        <row r="1150">
          <cell r="F1150" t="str">
            <v>Whitefield Schools and Centre</v>
          </cell>
        </row>
        <row r="1151">
          <cell r="F1151" t="str">
            <v>Whitehill Community Academy</v>
          </cell>
        </row>
        <row r="1152">
          <cell r="F1152" t="str">
            <v xml:space="preserve">White's Wood Lane Junior School </v>
          </cell>
        </row>
        <row r="1153">
          <cell r="F1153" t="str">
            <v>Wickford School</v>
          </cell>
        </row>
        <row r="1154">
          <cell r="F1154" t="str">
            <v>Wilberforce College</v>
          </cell>
        </row>
        <row r="1155">
          <cell r="F1155" t="str">
            <v>William Edwards School</v>
          </cell>
        </row>
        <row r="1156">
          <cell r="F1156" t="str">
            <v>Willow Park Housing Trust</v>
          </cell>
        </row>
        <row r="1157">
          <cell r="F1157" t="str">
            <v>Winchester College</v>
          </cell>
        </row>
        <row r="1158">
          <cell r="F1158" t="str">
            <v>Windmill PS, Leeds</v>
          </cell>
        </row>
        <row r="1159">
          <cell r="F1159" t="str">
            <v>Windsor Academy Trust</v>
          </cell>
        </row>
        <row r="1160">
          <cell r="F1160" t="str">
            <v>Winstanley College, Wigan</v>
          </cell>
        </row>
        <row r="1161">
          <cell r="F1161" t="str">
            <v xml:space="preserve">WISE Academies </v>
          </cell>
        </row>
        <row r="1162">
          <cell r="F1162" t="str">
            <v>Wise Owl Trust</v>
          </cell>
        </row>
        <row r="1163">
          <cell r="F1163" t="str">
            <v>Witham St Hughs Academy</v>
          </cell>
        </row>
        <row r="1164">
          <cell r="F1164" t="str">
            <v>Witherslack Group Ltd</v>
          </cell>
        </row>
        <row r="1165">
          <cell r="F1165" t="str">
            <v xml:space="preserve">Withymoor Primary School </v>
          </cell>
        </row>
        <row r="1166">
          <cell r="F1166" t="str">
            <v xml:space="preserve">Wolsey Infant and Nursery School          </v>
          </cell>
        </row>
        <row r="1167">
          <cell r="F1167" t="str">
            <v>Wood Newton Academy Trust</v>
          </cell>
        </row>
        <row r="1168">
          <cell r="F1168" t="str">
            <v>Woodard Academies Trust</v>
          </cell>
        </row>
        <row r="1169">
          <cell r="F1169" t="str">
            <v>Woodkirk Academy</v>
          </cell>
        </row>
        <row r="1170">
          <cell r="F1170" t="str">
            <v>Woodlands Academy Trust</v>
          </cell>
        </row>
        <row r="1171">
          <cell r="F1171" t="str">
            <v>Woolwich Polytechnic School for Boys</v>
          </cell>
        </row>
        <row r="1172">
          <cell r="F1172" t="str">
            <v>Wright Hassall</v>
          </cell>
        </row>
        <row r="1173">
          <cell r="F1173" t="str">
            <v>Wrotham School</v>
          </cell>
        </row>
        <row r="1174">
          <cell r="F1174" t="str">
            <v>Wycombe High School</v>
          </cell>
        </row>
        <row r="1175">
          <cell r="F1175" t="str">
            <v>Wyedean School and 6th Form Centre</v>
          </cell>
        </row>
        <row r="1176">
          <cell r="F1176" t="str">
            <v>Wyke Sixth Form College</v>
          </cell>
        </row>
        <row r="1177">
          <cell r="F1177" t="str">
            <v>Wymondham College</v>
          </cell>
        </row>
        <row r="1178">
          <cell r="F1178" t="str">
            <v>Yardley Primary School</v>
          </cell>
        </row>
        <row r="1179">
          <cell r="F1179" t="str">
            <v>Yorkshire and Humber Grid for Learning</v>
          </cell>
        </row>
        <row r="1180">
          <cell r="F1180" t="str">
            <v>YPO</v>
          </cell>
        </row>
        <row r="1181">
          <cell r="F1181" t="str">
            <v>Other</v>
          </cell>
        </row>
        <row r="1182">
          <cell r="F1182" t="str">
            <v>West Park School Derby</v>
          </cell>
        </row>
        <row r="1183">
          <cell r="F1183" t="str">
            <v>West Suffolk College</v>
          </cell>
        </row>
        <row r="1184">
          <cell r="F1184" t="str">
            <v>West Thornton Primary Academy</v>
          </cell>
        </row>
        <row r="1185">
          <cell r="F1185" t="str">
            <v>Westcliff High School for Girls</v>
          </cell>
        </row>
        <row r="1186">
          <cell r="F1186" t="str">
            <v>Westfield Arts College</v>
          </cell>
        </row>
        <row r="1187">
          <cell r="F1187" t="str">
            <v>Westminster School</v>
          </cell>
        </row>
        <row r="1188">
          <cell r="F1188" t="str">
            <v>Weston College</v>
          </cell>
        </row>
        <row r="1189">
          <cell r="F1189" t="str">
            <v>Wey Education Schools Trust (WEST)</v>
          </cell>
        </row>
        <row r="1190">
          <cell r="F1190" t="str">
            <v>Whitefield Schools and Centre</v>
          </cell>
        </row>
        <row r="1191">
          <cell r="F1191" t="str">
            <v>Whitehill Community Academy</v>
          </cell>
        </row>
        <row r="1192">
          <cell r="F1192" t="str">
            <v xml:space="preserve">White's Wood Lane Junior School </v>
          </cell>
        </row>
        <row r="1193">
          <cell r="F1193" t="str">
            <v>Wickford School</v>
          </cell>
        </row>
        <row r="1194">
          <cell r="F1194" t="str">
            <v>Wilberforce College</v>
          </cell>
        </row>
        <row r="1195">
          <cell r="F1195" t="str">
            <v>William Edwards School</v>
          </cell>
        </row>
        <row r="1196">
          <cell r="F1196" t="str">
            <v>Willow Park Housing Trust</v>
          </cell>
        </row>
        <row r="1197">
          <cell r="F1197" t="str">
            <v>Winchester College</v>
          </cell>
        </row>
        <row r="1198">
          <cell r="F1198" t="str">
            <v>Windmill PS, Leeds</v>
          </cell>
        </row>
        <row r="1199">
          <cell r="F1199" t="str">
            <v>Windsor Academy Trust</v>
          </cell>
        </row>
        <row r="1200">
          <cell r="F1200" t="str">
            <v>Winstanley College, Wigan</v>
          </cell>
        </row>
        <row r="1201">
          <cell r="F1201" t="str">
            <v xml:space="preserve">WISE Academies </v>
          </cell>
        </row>
        <row r="1202">
          <cell r="F1202" t="str">
            <v>Wise Owl Trust</v>
          </cell>
        </row>
        <row r="1203">
          <cell r="F1203" t="str">
            <v>Witham St Hughs Academy</v>
          </cell>
        </row>
        <row r="1204">
          <cell r="F1204" t="str">
            <v>Witherslack Group Ltd</v>
          </cell>
        </row>
        <row r="1205">
          <cell r="F1205" t="str">
            <v xml:space="preserve">Withymoor Primary School </v>
          </cell>
        </row>
        <row r="1206">
          <cell r="F1206" t="str">
            <v xml:space="preserve">Wolsey Infant and Nursery School          </v>
          </cell>
        </row>
        <row r="1207">
          <cell r="F1207" t="str">
            <v>Wood Newton Academy Trust</v>
          </cell>
        </row>
        <row r="1208">
          <cell r="F1208" t="str">
            <v>Woodard Academies Trust</v>
          </cell>
        </row>
        <row r="1209">
          <cell r="F1209" t="str">
            <v>Woodkirk Academy</v>
          </cell>
        </row>
        <row r="1210">
          <cell r="F1210" t="str">
            <v>Woodlands Academy Trust</v>
          </cell>
        </row>
        <row r="1211">
          <cell r="F1211" t="str">
            <v>Woolwich Polytechnic School for Boys</v>
          </cell>
        </row>
        <row r="1212">
          <cell r="F1212" t="str">
            <v>Wright Hassall</v>
          </cell>
        </row>
        <row r="1213">
          <cell r="F1213" t="str">
            <v>Wrotham School</v>
          </cell>
        </row>
        <row r="1214">
          <cell r="F1214" t="str">
            <v>Wycombe High School</v>
          </cell>
        </row>
        <row r="1215">
          <cell r="F1215" t="str">
            <v>Wyedean School and 6th Form Centre</v>
          </cell>
        </row>
        <row r="1216">
          <cell r="F1216" t="str">
            <v>Wyke Sixth Form College</v>
          </cell>
        </row>
        <row r="1217">
          <cell r="F1217" t="str">
            <v>Wymondham College</v>
          </cell>
        </row>
        <row r="1218">
          <cell r="F1218" t="str">
            <v>Yardley Primary School</v>
          </cell>
        </row>
        <row r="1219">
          <cell r="F1219" t="str">
            <v>Yorkshire and Humber Grid for Learning</v>
          </cell>
        </row>
        <row r="1220">
          <cell r="F1220" t="str">
            <v>YPO</v>
          </cell>
        </row>
        <row r="1221">
          <cell r="F1221" t="str">
            <v>Other</v>
          </cell>
        </row>
        <row r="1222">
          <cell r="F1222" t="str">
            <v>Windmill PS, Leeds</v>
          </cell>
        </row>
        <row r="1223">
          <cell r="F1223" t="str">
            <v>Windsor Academy Trust</v>
          </cell>
        </row>
        <row r="1224">
          <cell r="F1224" t="str">
            <v>Winstanley College, Wigan</v>
          </cell>
        </row>
        <row r="1225">
          <cell r="F1225" t="str">
            <v xml:space="preserve">WISE Academies </v>
          </cell>
        </row>
        <row r="1226">
          <cell r="F1226" t="str">
            <v>Wise Owl Trust</v>
          </cell>
        </row>
        <row r="1227">
          <cell r="F1227" t="str">
            <v>Witham St Hughs Academy</v>
          </cell>
        </row>
        <row r="1228">
          <cell r="F1228" t="str">
            <v>Witherslack Group Ltd</v>
          </cell>
        </row>
        <row r="1229">
          <cell r="F1229" t="str">
            <v xml:space="preserve">Withymoor Primary School </v>
          </cell>
        </row>
        <row r="1230">
          <cell r="F1230" t="str">
            <v xml:space="preserve">Wolsey Infant and Nursery School          </v>
          </cell>
        </row>
        <row r="1231">
          <cell r="F1231" t="str">
            <v>Wood Newton Academy Trust</v>
          </cell>
        </row>
        <row r="1232">
          <cell r="F1232" t="str">
            <v>Woodard Academies Trust</v>
          </cell>
        </row>
        <row r="1233">
          <cell r="F1233" t="str">
            <v>Woodkirk Academy</v>
          </cell>
        </row>
        <row r="1234">
          <cell r="F1234" t="str">
            <v>Woodlands Academy Trust</v>
          </cell>
        </row>
        <row r="1235">
          <cell r="F1235" t="str">
            <v>Woolwich Polytechnic School for Boys</v>
          </cell>
        </row>
        <row r="1236">
          <cell r="F1236" t="str">
            <v>Wright Hassall</v>
          </cell>
        </row>
        <row r="1237">
          <cell r="F1237" t="str">
            <v>Wrotham School</v>
          </cell>
        </row>
        <row r="1238">
          <cell r="F1238" t="str">
            <v>Wycombe High School</v>
          </cell>
        </row>
        <row r="1239">
          <cell r="F1239" t="str">
            <v>Wyedean School and 6th Form Centre</v>
          </cell>
        </row>
        <row r="1240">
          <cell r="F1240" t="str">
            <v>Wyke Sixth Form College</v>
          </cell>
        </row>
        <row r="1241">
          <cell r="F1241" t="str">
            <v>Wymondham College</v>
          </cell>
        </row>
        <row r="1242">
          <cell r="F1242" t="str">
            <v>Yardley Primary School</v>
          </cell>
        </row>
        <row r="1243">
          <cell r="F1243" t="str">
            <v>Yorkshire and Humber Grid for Learning</v>
          </cell>
        </row>
        <row r="1244">
          <cell r="F1244" t="str">
            <v>YPO</v>
          </cell>
        </row>
        <row r="1245">
          <cell r="F1245" t="str">
            <v>Other</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use this table"/>
      <sheetName val="Summary Table"/>
      <sheetName val="All Applications Received"/>
      <sheetName val="New Applications this month"/>
      <sheetName val="Application Approved this month"/>
      <sheetName val="Academies Open this month"/>
    </sheetNames>
    <sheetDataSet>
      <sheetData sheetId="0"/>
      <sheetData sheetId="1"/>
      <sheetData sheetId="2">
        <row r="2">
          <cell r="B2" t="str">
            <v>Name of School</v>
          </cell>
          <cell r="G2" t="str">
            <v>Funding Agreement Approved</v>
          </cell>
        </row>
        <row r="3">
          <cell r="B3" t="str">
            <v>Abbey College, Ramsey</v>
          </cell>
        </row>
        <row r="4">
          <cell r="B4" t="str">
            <v>Abbey Grange Church of England Academy</v>
          </cell>
        </row>
        <row r="5">
          <cell r="B5" t="str">
            <v>Abbey Infants' School</v>
          </cell>
        </row>
        <row r="6">
          <cell r="B6" t="str">
            <v>Abbey Junior School</v>
          </cell>
        </row>
        <row r="7">
          <cell r="B7" t="str">
            <v>Abbots Hall Primary School</v>
          </cell>
        </row>
        <row r="8">
          <cell r="B8" t="str">
            <v>Abbs Cross Academy and Arts College</v>
          </cell>
        </row>
        <row r="9">
          <cell r="B9" t="str">
            <v>Abington High School</v>
          </cell>
        </row>
        <row r="10">
          <cell r="B10" t="str">
            <v>Abington Vale Primary School</v>
          </cell>
        </row>
        <row r="11">
          <cell r="B11" t="str">
            <v>Academy of Trinity CofE Primary</v>
          </cell>
        </row>
        <row r="12">
          <cell r="B12" t="str">
            <v>Accrington St Christopher's Church of England High School</v>
          </cell>
        </row>
        <row r="13">
          <cell r="B13" t="str">
            <v>Acklam Grange School A Specialist Technology College for Maths and Computing</v>
          </cell>
        </row>
        <row r="14">
          <cell r="B14" t="str">
            <v>Acle High School</v>
          </cell>
        </row>
        <row r="15">
          <cell r="B15" t="str">
            <v>Acocks Green Primary School</v>
          </cell>
        </row>
        <row r="16">
          <cell r="B16" t="str">
            <v>Acorns Primary School</v>
          </cell>
        </row>
        <row r="17">
          <cell r="B17" t="str">
            <v>Adams' Grammar School</v>
          </cell>
        </row>
        <row r="18">
          <cell r="B18" t="str">
            <v>Airedale Academy</v>
          </cell>
        </row>
        <row r="19">
          <cell r="B19" t="str">
            <v>Alameda Middle School</v>
          </cell>
        </row>
        <row r="20">
          <cell r="B20" t="str">
            <v>Alban VA Church of England  Academy</v>
          </cell>
        </row>
        <row r="21">
          <cell r="B21" t="str">
            <v>Albany Science College</v>
          </cell>
        </row>
        <row r="22">
          <cell r="B22" t="str">
            <v>Alcester Academy</v>
          </cell>
        </row>
        <row r="23">
          <cell r="B23" t="str">
            <v>Alcester Grammar School</v>
          </cell>
        </row>
        <row r="24">
          <cell r="B24" t="str">
            <v>Alderbrook Leading Edge School and Arts College</v>
          </cell>
        </row>
        <row r="25">
          <cell r="B25" t="str">
            <v>Alderman Jacobs Primary School</v>
          </cell>
        </row>
        <row r="26">
          <cell r="B26" t="str">
            <v>Alderman Leach Primary School</v>
          </cell>
        </row>
        <row r="27">
          <cell r="B27" t="str">
            <v>Alderman White School and Language College</v>
          </cell>
        </row>
        <row r="28">
          <cell r="B28" t="str">
            <v>Aldersley High School</v>
          </cell>
        </row>
        <row r="29">
          <cell r="B29" t="str">
            <v>Aldridge School - A Science College</v>
          </cell>
        </row>
        <row r="30">
          <cell r="B30" t="str">
            <v>Alexandra High School and Sixth Form Centre</v>
          </cell>
        </row>
        <row r="31">
          <cell r="B31" t="str">
            <v>Alexandra Park School</v>
          </cell>
        </row>
        <row r="32">
          <cell r="B32" t="str">
            <v>Alfriston School</v>
          </cell>
        </row>
        <row r="33">
          <cell r="B33" t="str">
            <v>All Faiths' Children's Community School</v>
          </cell>
        </row>
        <row r="34">
          <cell r="B34" t="str">
            <v>All Hallows Catholic College</v>
          </cell>
        </row>
        <row r="35">
          <cell r="B35" t="str">
            <v>All Saints' Catholic High School</v>
          </cell>
        </row>
        <row r="36">
          <cell r="B36" t="str">
            <v>All Saints CofE School</v>
          </cell>
        </row>
        <row r="37">
          <cell r="B37" t="str">
            <v>All Saints Interchurch VA Primary School</v>
          </cell>
        </row>
        <row r="38">
          <cell r="B38" t="str">
            <v>All Saints VA CofE Lower School</v>
          </cell>
        </row>
        <row r="39">
          <cell r="B39" t="str">
            <v>All Souls Church of England Primary School</v>
          </cell>
        </row>
        <row r="40">
          <cell r="B40" t="str">
            <v>Allerton Primary School</v>
          </cell>
        </row>
        <row r="41">
          <cell r="B41" t="str">
            <v>Alleyne's High School</v>
          </cell>
        </row>
        <row r="42">
          <cell r="B42" t="str">
            <v>Allington Primary School</v>
          </cell>
        </row>
        <row r="43">
          <cell r="B43" t="str">
            <v>Alnwick Lindisfarne Middle School</v>
          </cell>
        </row>
        <row r="44">
          <cell r="B44" t="str">
            <v>Alnwick South First School</v>
          </cell>
        </row>
        <row r="45">
          <cell r="B45" t="str">
            <v>Alnwick the Dukes Middle School</v>
          </cell>
        </row>
        <row r="46">
          <cell r="B46" t="str">
            <v>Alperton Community School</v>
          </cell>
        </row>
        <row r="47">
          <cell r="B47" t="str">
            <v>Alsager School</v>
          </cell>
        </row>
        <row r="48">
          <cell r="B48" t="str">
            <v>Alston Primary School</v>
          </cell>
        </row>
        <row r="49">
          <cell r="B49" t="str">
            <v>Altrincham College of Arts</v>
          </cell>
        </row>
        <row r="50">
          <cell r="B50" t="str">
            <v>Altrincham Grammar School for Boys</v>
          </cell>
        </row>
        <row r="51">
          <cell r="B51" t="str">
            <v>Altrincham Grammar School for Girls</v>
          </cell>
        </row>
        <row r="52">
          <cell r="B52" t="str">
            <v>Altwood CofE Secondary School</v>
          </cell>
        </row>
        <row r="53">
          <cell r="B53" t="str">
            <v>Amersham School</v>
          </cell>
        </row>
        <row r="54">
          <cell r="B54" t="str">
            <v>Amery Hill School</v>
          </cell>
        </row>
        <row r="55">
          <cell r="B55" t="str">
            <v>Amherst School</v>
          </cell>
        </row>
        <row r="56">
          <cell r="B56" t="str">
            <v>Anchorsholme Primary School</v>
          </cell>
        </row>
        <row r="57">
          <cell r="B57" t="str">
            <v>Anglo European School</v>
          </cell>
        </row>
        <row r="58">
          <cell r="B58" t="str">
            <v>Ansford School</v>
          </cell>
        </row>
        <row r="59">
          <cell r="B59" t="str">
            <v>Appleby Grammar School</v>
          </cell>
        </row>
        <row r="60">
          <cell r="B60" t="str">
            <v>Applecroft School</v>
          </cell>
        </row>
        <row r="61">
          <cell r="B61" t="str">
            <v>Archbishop Benson CofE Primary School</v>
          </cell>
        </row>
        <row r="62">
          <cell r="B62" t="str">
            <v>Archbishop Holgate's School</v>
          </cell>
        </row>
        <row r="63">
          <cell r="B63" t="str">
            <v>Arden</v>
          </cell>
        </row>
        <row r="64">
          <cell r="B64" t="str">
            <v>Ardley Hill Lower School</v>
          </cell>
        </row>
        <row r="65">
          <cell r="B65" t="str">
            <v>Arnold Academy</v>
          </cell>
        </row>
        <row r="66">
          <cell r="B66" t="str">
            <v>Arnold Hill School and Technology College</v>
          </cell>
        </row>
        <row r="67">
          <cell r="B67" t="str">
            <v>Arnside National CofE School</v>
          </cell>
        </row>
        <row r="68">
          <cell r="B68" t="str">
            <v>Arthur Dye Primary School</v>
          </cell>
        </row>
        <row r="69">
          <cell r="B69" t="str">
            <v>Arthur Mellows Village College</v>
          </cell>
        </row>
        <row r="70">
          <cell r="B70" t="str">
            <v>Arundale Primary School</v>
          </cell>
        </row>
        <row r="71">
          <cell r="B71" t="str">
            <v>Asfordby Hill Primary School</v>
          </cell>
        </row>
        <row r="72">
          <cell r="B72" t="str">
            <v>Ash Field School</v>
          </cell>
        </row>
        <row r="73">
          <cell r="B73" t="str">
            <v>Ash Green School and Arts College</v>
          </cell>
        </row>
        <row r="74">
          <cell r="B74" t="str">
            <v>Ashburton Primary School</v>
          </cell>
        </row>
        <row r="75">
          <cell r="B75" t="str">
            <v>Ashby Hill Top Primary School</v>
          </cell>
        </row>
        <row r="76">
          <cell r="B76" t="str">
            <v>Ashby School</v>
          </cell>
        </row>
        <row r="77">
          <cell r="B77" t="str">
            <v>Ashfield Comprehensive School</v>
          </cell>
        </row>
        <row r="78">
          <cell r="B78" t="str">
            <v>Ashingdon School</v>
          </cell>
        </row>
        <row r="79">
          <cell r="B79" t="str">
            <v>Ashington Central First School</v>
          </cell>
        </row>
        <row r="80">
          <cell r="B80" t="str">
            <v>Ashlawn School</v>
          </cell>
        </row>
        <row r="81">
          <cell r="B81" t="str">
            <v>Ashmole Academy</v>
          </cell>
        </row>
        <row r="82">
          <cell r="B82" t="str">
            <v>Ashperton Primary Academy</v>
          </cell>
        </row>
        <row r="83">
          <cell r="B83" t="str">
            <v>Ashton-on-Mersey School</v>
          </cell>
        </row>
        <row r="84">
          <cell r="B84" t="str">
            <v>Ashwell Pupil Referral Unit</v>
          </cell>
        </row>
        <row r="85">
          <cell r="B85" t="str">
            <v>Aston Academy</v>
          </cell>
        </row>
        <row r="86">
          <cell r="B86" t="str">
            <v>Aston Manor Academy</v>
          </cell>
        </row>
        <row r="87">
          <cell r="B87" t="str">
            <v>Astor College (A Specialist College for the Arts)</v>
          </cell>
        </row>
        <row r="88">
          <cell r="B88" t="str">
            <v>Atkinson Road Primary School</v>
          </cell>
        </row>
        <row r="89">
          <cell r="B89" t="str">
            <v>Auckley Junior and Infant School</v>
          </cell>
        </row>
        <row r="90">
          <cell r="B90" t="str">
            <v>Audenshaw School</v>
          </cell>
        </row>
        <row r="91">
          <cell r="B91" t="str">
            <v>Austrey CofE Primary School</v>
          </cell>
        </row>
        <row r="92">
          <cell r="B92" t="str">
            <v>Avenue Primary School</v>
          </cell>
        </row>
        <row r="93">
          <cell r="B93" t="str">
            <v>Aveton Gifford CofE Primary School</v>
          </cell>
        </row>
        <row r="94">
          <cell r="B94" t="str">
            <v>Avishayes Community Primary School</v>
          </cell>
        </row>
        <row r="95">
          <cell r="B95" t="str">
            <v>Avonbourne School</v>
          </cell>
        </row>
        <row r="96">
          <cell r="B96" t="str">
            <v>Axbridge Church of England First School</v>
          </cell>
        </row>
        <row r="97">
          <cell r="B97" t="str">
            <v>Aylesbury Grammar School</v>
          </cell>
        </row>
        <row r="98">
          <cell r="B98" t="str">
            <v>Aylesbury High School</v>
          </cell>
        </row>
        <row r="99">
          <cell r="B99" t="str">
            <v>Aylesford School, A Specialist Language and Music College</v>
          </cell>
        </row>
        <row r="100">
          <cell r="B100" t="str">
            <v>Aylestone Business and Enterprise College</v>
          </cell>
        </row>
        <row r="101">
          <cell r="B101" t="str">
            <v>Backwell School</v>
          </cell>
        </row>
        <row r="102">
          <cell r="B102" t="str">
            <v>Bacton Community Middle School</v>
          </cell>
        </row>
        <row r="103">
          <cell r="B103" t="str">
            <v>Bacup and Rawtenstall Grammar School</v>
          </cell>
        </row>
        <row r="104">
          <cell r="B104" t="str">
            <v>Balby Carr Community Sports and Science College</v>
          </cell>
        </row>
        <row r="105">
          <cell r="B105" t="str">
            <v>Balcarras School</v>
          </cell>
        </row>
        <row r="106">
          <cell r="B106" t="str">
            <v>Balgowan Primary School</v>
          </cell>
        </row>
        <row r="107">
          <cell r="B107" t="str">
            <v>Balsall Common Primary School</v>
          </cell>
        </row>
        <row r="108">
          <cell r="B108" t="str">
            <v>Bamford Academy</v>
          </cell>
        </row>
        <row r="109">
          <cell r="B109" t="str">
            <v>Barbara Priestman School</v>
          </cell>
        </row>
        <row r="110">
          <cell r="B110" t="str">
            <v>Barclay Primary School</v>
          </cell>
        </row>
        <row r="111">
          <cell r="B111" t="str">
            <v>Barnby Dun Primary School</v>
          </cell>
        </row>
        <row r="112">
          <cell r="B112" t="str">
            <v>Barnby Road Academy Primary and Nursery school</v>
          </cell>
        </row>
        <row r="113">
          <cell r="B113" t="str">
            <v>Barnhill Community High School</v>
          </cell>
        </row>
        <row r="114">
          <cell r="B114" t="str">
            <v>Barnsley PRU</v>
          </cell>
        </row>
        <row r="115">
          <cell r="B115" t="str">
            <v>Barr Beacon Language College</v>
          </cell>
        </row>
        <row r="116">
          <cell r="B116" t="str">
            <v>Barrow Church of England Voluntary Controlled Primary School</v>
          </cell>
        </row>
        <row r="117">
          <cell r="B117" t="str">
            <v>Barrow Hall Orchard Church of England Primary School</v>
          </cell>
        </row>
        <row r="118">
          <cell r="B118" t="str">
            <v>Barrs Court School</v>
          </cell>
        </row>
        <row r="119">
          <cell r="B119" t="str">
            <v>Bartholomew School</v>
          </cell>
        </row>
        <row r="120">
          <cell r="B120" t="str">
            <v>Bartley Green School A Specialist Technology and Sports College</v>
          </cell>
        </row>
        <row r="121">
          <cell r="B121" t="str">
            <v>Barton Court Grammar School</v>
          </cell>
        </row>
        <row r="122">
          <cell r="B122" t="str">
            <v>Barton Junior School</v>
          </cell>
        </row>
        <row r="123">
          <cell r="B123" t="str">
            <v>Barwell Church of England Junior School</v>
          </cell>
        </row>
        <row r="124">
          <cell r="B124" t="str">
            <v>Bassingbourn Village College</v>
          </cell>
        </row>
        <row r="125">
          <cell r="B125" t="str">
            <v>Batley Girls' High School - Visual Arts College</v>
          </cell>
        </row>
        <row r="126">
          <cell r="B126" t="str">
            <v>Battersea Park School</v>
          </cell>
        </row>
        <row r="127">
          <cell r="B127" t="str">
            <v>Baverstock Foundation School and Specialist Sports College</v>
          </cell>
        </row>
        <row r="128">
          <cell r="B128" t="str">
            <v>Baxter College</v>
          </cell>
        </row>
        <row r="129">
          <cell r="B129" t="str">
            <v>Bay House School</v>
          </cell>
        </row>
        <row r="130">
          <cell r="B130" t="str">
            <v>Baylis Court School</v>
          </cell>
        </row>
        <row r="131">
          <cell r="B131" t="str">
            <v>Beacon Community College</v>
          </cell>
        </row>
        <row r="132">
          <cell r="B132" t="str">
            <v>Beacon Hill School</v>
          </cell>
        </row>
        <row r="133">
          <cell r="B133" t="str">
            <v>Beardwood Humanities College</v>
          </cell>
        </row>
        <row r="134">
          <cell r="B134" t="str">
            <v>Beaumont Hill School</v>
          </cell>
        </row>
        <row r="135">
          <cell r="B135" t="str">
            <v>Beaumont School</v>
          </cell>
        </row>
        <row r="136">
          <cell r="B136" t="str">
            <v>Beaverwood School for Girls</v>
          </cell>
        </row>
        <row r="137">
          <cell r="B137" t="str">
            <v>Beckfoot School</v>
          </cell>
        </row>
        <row r="138">
          <cell r="B138" t="str">
            <v>Bedminster Down School</v>
          </cell>
        </row>
        <row r="139">
          <cell r="B139" t="str">
            <v>Beech Hill Junior and Infant School</v>
          </cell>
        </row>
        <row r="140">
          <cell r="B140" t="str">
            <v>Beechen Cliff School</v>
          </cell>
        </row>
        <row r="141">
          <cell r="B141" t="str">
            <v>Beechwood School</v>
          </cell>
        </row>
        <row r="142">
          <cell r="B142" t="str">
            <v>Beecroft Lower School</v>
          </cell>
        </row>
        <row r="143">
          <cell r="B143" t="str">
            <v>Begbrook Primary School</v>
          </cell>
        </row>
        <row r="144">
          <cell r="B144" t="str">
            <v>Beis Yaakov High School</v>
          </cell>
        </row>
        <row r="145">
          <cell r="B145" t="str">
            <v>Belfairs High School</v>
          </cell>
        </row>
        <row r="146">
          <cell r="B146" t="str">
            <v>Belgrave CofE (C) Primary School</v>
          </cell>
        </row>
        <row r="147">
          <cell r="B147" t="str">
            <v>Belle Vue Girls' School</v>
          </cell>
        </row>
        <row r="148">
          <cell r="B148" t="str">
            <v>Bellerive FCJ Catholic College</v>
          </cell>
        </row>
        <row r="149">
          <cell r="B149" t="str">
            <v>Belleville Primary School</v>
          </cell>
        </row>
        <row r="150">
          <cell r="B150" t="str">
            <v>Bellfield Primary School</v>
          </cell>
        </row>
        <row r="151">
          <cell r="B151" t="str">
            <v>Belthorn Primary School</v>
          </cell>
        </row>
        <row r="152">
          <cell r="B152" t="str">
            <v>Belvoir High School and Melton Vale Post 16 Centre</v>
          </cell>
        </row>
        <row r="153">
          <cell r="B153" t="str">
            <v>Benedict Biscop Church of England Aided Primary School</v>
          </cell>
        </row>
        <row r="154">
          <cell r="B154" t="str">
            <v>Bennett Memorial Diocesan School</v>
          </cell>
        </row>
        <row r="155">
          <cell r="B155" t="str">
            <v>Bentley Church of England Primary School</v>
          </cell>
        </row>
        <row r="156">
          <cell r="B156" t="str">
            <v>Bentley Wood High School</v>
          </cell>
        </row>
        <row r="157">
          <cell r="B157" t="str">
            <v>Bentworth Primary School</v>
          </cell>
        </row>
        <row r="158">
          <cell r="B158" t="str">
            <v>Berkeley Primary School</v>
          </cell>
        </row>
        <row r="159">
          <cell r="B159" t="str">
            <v>Berwick Community High School</v>
          </cell>
        </row>
        <row r="160">
          <cell r="B160" t="str">
            <v>Bethnal Green Technology College</v>
          </cell>
        </row>
        <row r="161">
          <cell r="B161" t="str">
            <v>Beths Grammar School</v>
          </cell>
        </row>
        <row r="162">
          <cell r="B162" t="str">
            <v>Bettridge School</v>
          </cell>
        </row>
        <row r="163">
          <cell r="B163" t="str">
            <v>Beverley Grammar School</v>
          </cell>
        </row>
        <row r="164">
          <cell r="B164" t="str">
            <v>Bexhill Academy</v>
          </cell>
        </row>
        <row r="165">
          <cell r="B165" t="str">
            <v>Bexhill High School</v>
          </cell>
        </row>
        <row r="166">
          <cell r="B166" t="str">
            <v>Bexley Grammar School</v>
          </cell>
        </row>
        <row r="167">
          <cell r="B167" t="str">
            <v>Beyton Middle School</v>
          </cell>
        </row>
        <row r="168">
          <cell r="B168" t="str">
            <v>Bickleigh on Exe Church of England Primary School</v>
          </cell>
        </row>
        <row r="169">
          <cell r="B169" t="str">
            <v>Biddenham Upper School and Sports College</v>
          </cell>
        </row>
        <row r="170">
          <cell r="B170" t="str">
            <v>Biddulph High School</v>
          </cell>
        </row>
        <row r="171">
          <cell r="B171" t="str">
            <v>Biggin Hill Primary School</v>
          </cell>
        </row>
        <row r="172">
          <cell r="B172" t="str">
            <v>Biggin Hill Primary School</v>
          </cell>
        </row>
        <row r="173">
          <cell r="B173" t="str">
            <v>Bilton School - A Maths and Computing College</v>
          </cell>
        </row>
        <row r="174">
          <cell r="B174" t="str">
            <v>Birchensale Middle School</v>
          </cell>
        </row>
        <row r="175">
          <cell r="B175" t="str">
            <v>Birches Head High School</v>
          </cell>
        </row>
        <row r="176">
          <cell r="B176" t="str">
            <v>Birchwood Community High School</v>
          </cell>
        </row>
        <row r="177">
          <cell r="B177" t="str">
            <v>Birchwood High School</v>
          </cell>
        </row>
        <row r="178">
          <cell r="B178" t="str">
            <v>Birchwood Primary School</v>
          </cell>
        </row>
        <row r="179">
          <cell r="B179" t="str">
            <v>Birdwell Primary School</v>
          </cell>
        </row>
        <row r="180">
          <cell r="B180" t="str">
            <v>Birkdale High School</v>
          </cell>
        </row>
        <row r="181">
          <cell r="B181" t="str">
            <v>Birkenshaw Middle School</v>
          </cell>
        </row>
        <row r="182">
          <cell r="B182" t="str">
            <v>Birstall Community Primary School</v>
          </cell>
        </row>
        <row r="183">
          <cell r="B183" t="str">
            <v>Biscovey Junior School</v>
          </cell>
        </row>
        <row r="184">
          <cell r="B184" t="str">
            <v>Bishop Barrington School A Sports with Mathematics College</v>
          </cell>
        </row>
        <row r="185">
          <cell r="B185" t="str">
            <v>Bishop Creighton Primary School</v>
          </cell>
        </row>
        <row r="186">
          <cell r="B186" t="str">
            <v>Bishop Fox's Community School</v>
          </cell>
        </row>
        <row r="187">
          <cell r="B187" t="str">
            <v>Bishop Justus CofE School</v>
          </cell>
        </row>
        <row r="188">
          <cell r="B188" t="str">
            <v>Bishop Perowne CofE College</v>
          </cell>
        </row>
        <row r="189">
          <cell r="B189" t="str">
            <v>Bishop Ramsey CofE Voluntary Aided Secondary School</v>
          </cell>
        </row>
        <row r="190">
          <cell r="B190" t="str">
            <v>Bishop Rawstorne Church of England Academy</v>
          </cell>
        </row>
        <row r="191">
          <cell r="B191" t="str">
            <v>Bishop Stopford School</v>
          </cell>
        </row>
        <row r="192">
          <cell r="B192" t="str">
            <v>Bishop Vesey's Grammar School</v>
          </cell>
        </row>
        <row r="193">
          <cell r="B193" t="str">
            <v>Bishop Walsh Catholic School</v>
          </cell>
        </row>
        <row r="194">
          <cell r="B194" t="str">
            <v>Bishop Wordsworth's Grammar School</v>
          </cell>
        </row>
        <row r="195">
          <cell r="B195" t="str">
            <v>Bishops Cleeve Primary School</v>
          </cell>
        </row>
        <row r="196">
          <cell r="B196" t="str">
            <v>Bishop's Hatfield Girls' School</v>
          </cell>
        </row>
        <row r="197">
          <cell r="B197" t="str">
            <v>Bishopshalt School</v>
          </cell>
        </row>
        <row r="198">
          <cell r="B198" t="str">
            <v>Bishopton Redmarshall CofE Primary School</v>
          </cell>
        </row>
        <row r="199">
          <cell r="B199" t="str">
            <v>Bitterne Park School</v>
          </cell>
        </row>
        <row r="200">
          <cell r="B200" t="str">
            <v>Blackfen School for Girls</v>
          </cell>
        </row>
        <row r="201">
          <cell r="B201" t="str">
            <v>Blackpool Church of England Primary School</v>
          </cell>
        </row>
        <row r="202">
          <cell r="B202" t="str">
            <v>Blenheim High School</v>
          </cell>
        </row>
        <row r="203">
          <cell r="B203" t="str">
            <v>Blessed Hugh Faringdon Catholic School</v>
          </cell>
        </row>
        <row r="204">
          <cell r="B204" t="str">
            <v>Blessed Robert Widmerpool Catholic Primary and Nursery School</v>
          </cell>
        </row>
        <row r="205">
          <cell r="B205" t="str">
            <v>Blockley Church of England Primary School</v>
          </cell>
        </row>
        <row r="206">
          <cell r="B206" t="str">
            <v>Blyth Morpeth Road First School</v>
          </cell>
        </row>
        <row r="207">
          <cell r="B207" t="str">
            <v>Boddington Church of England Voluntary School</v>
          </cell>
        </row>
        <row r="208">
          <cell r="B208" t="str">
            <v>Bodmin College</v>
          </cell>
        </row>
        <row r="209">
          <cell r="B209" t="str">
            <v>Bodriggy Academy</v>
          </cell>
        </row>
        <row r="210">
          <cell r="B210" t="str">
            <v>Bohunt School</v>
          </cell>
        </row>
        <row r="211">
          <cell r="B211" t="str">
            <v>Bolton Brow Junior Infant and Nursery School</v>
          </cell>
        </row>
        <row r="212">
          <cell r="B212" t="str">
            <v>Borden Grammar School</v>
          </cell>
        </row>
        <row r="213">
          <cell r="B213" t="str">
            <v>Borough Green Primary School</v>
          </cell>
        </row>
        <row r="214">
          <cell r="B214" t="str">
            <v>Boston Carlton Road Primary School</v>
          </cell>
        </row>
        <row r="215">
          <cell r="B215" t="str">
            <v>Boston High School</v>
          </cell>
        </row>
        <row r="216">
          <cell r="B216" t="str">
            <v>Boston Staniland Primary &amp; Nursery School</v>
          </cell>
        </row>
        <row r="217">
          <cell r="B217" t="str">
            <v>Boston Tower Road Primary School</v>
          </cell>
        </row>
        <row r="218">
          <cell r="B218" t="str">
            <v>Boston West Primary School</v>
          </cell>
        </row>
        <row r="219">
          <cell r="B219" t="str">
            <v>Bosvigo School</v>
          </cell>
        </row>
        <row r="220">
          <cell r="B220" t="str">
            <v>Bosworth Community College</v>
          </cell>
        </row>
        <row r="221">
          <cell r="B221" t="str">
            <v>Bottesford Church of England Primary School</v>
          </cell>
        </row>
        <row r="222">
          <cell r="B222" t="str">
            <v>Bottisham Village College</v>
          </cell>
        </row>
        <row r="223">
          <cell r="B223" t="str">
            <v>Boughton Primary School</v>
          </cell>
        </row>
        <row r="224">
          <cell r="B224" t="str">
            <v>Bourn CofE Primary School</v>
          </cell>
        </row>
        <row r="225">
          <cell r="B225" t="str">
            <v>Bourne Abbey Church of England Primary Academy</v>
          </cell>
        </row>
        <row r="226">
          <cell r="B226" t="str">
            <v>Bourne Grammar School</v>
          </cell>
        </row>
        <row r="227">
          <cell r="B227" t="str">
            <v>Bourne Westfield Primary School</v>
          </cell>
        </row>
        <row r="228">
          <cell r="B228" t="str">
            <v>Bournemouth School</v>
          </cell>
        </row>
        <row r="229">
          <cell r="B229" t="str">
            <v>Bournemouth School for Girls</v>
          </cell>
        </row>
        <row r="230">
          <cell r="B230" t="str">
            <v>Bournville School and Sixth Form Centre</v>
          </cell>
        </row>
        <row r="231">
          <cell r="B231" t="str">
            <v>Bourton Meadow School</v>
          </cell>
        </row>
        <row r="232">
          <cell r="B232" t="str">
            <v>Bourton-on-the-Water Primary School</v>
          </cell>
        </row>
        <row r="233">
          <cell r="B233" t="str">
            <v>Bovingdon Primary Academy</v>
          </cell>
        </row>
        <row r="234">
          <cell r="B234" t="str">
            <v>Bowbridge Primary School</v>
          </cell>
        </row>
        <row r="235">
          <cell r="B235" t="str">
            <v>Bower Park School</v>
          </cell>
        </row>
        <row r="236">
          <cell r="B236" t="str">
            <v>Bowland High</v>
          </cell>
        </row>
        <row r="237">
          <cell r="B237" t="str">
            <v>Bracebridge Heath St John's Primary School</v>
          </cell>
        </row>
        <row r="238">
          <cell r="B238" t="str">
            <v>Bracebridge Infant and Nursery School</v>
          </cell>
        </row>
        <row r="239">
          <cell r="B239" t="str">
            <v>Brackley Waynflete Infant School</v>
          </cell>
        </row>
        <row r="240">
          <cell r="B240" t="str">
            <v>Bradfield School</v>
          </cell>
        </row>
        <row r="241">
          <cell r="B241" t="str">
            <v>Bradley Stoke Community School</v>
          </cell>
        </row>
        <row r="242">
          <cell r="B242" t="str">
            <v>Bradshaw Primary School</v>
          </cell>
        </row>
        <row r="243">
          <cell r="B243" t="str">
            <v>Bradworthy Community Primary School</v>
          </cell>
        </row>
        <row r="244">
          <cell r="B244" t="str">
            <v>Brampton Manor Academy</v>
          </cell>
        </row>
        <row r="245">
          <cell r="B245" t="str">
            <v>Bransgore Church of England Primary School</v>
          </cell>
        </row>
        <row r="246">
          <cell r="B246" t="str">
            <v>Branston Community Academy</v>
          </cell>
        </row>
        <row r="247">
          <cell r="B247" t="str">
            <v>Branston Junior School</v>
          </cell>
        </row>
        <row r="248">
          <cell r="B248" t="str">
            <v>Braunton School and Community College</v>
          </cell>
        </row>
        <row r="249">
          <cell r="B249" t="str">
            <v>Bredinghurst School</v>
          </cell>
        </row>
        <row r="250">
          <cell r="B250" t="str">
            <v>Brentford School for Girls</v>
          </cell>
        </row>
        <row r="251">
          <cell r="B251" t="str">
            <v>Brentside Primary School</v>
          </cell>
        </row>
        <row r="252">
          <cell r="B252" t="str">
            <v>Brentwood Ursuline Convent High School</v>
          </cell>
        </row>
        <row r="253">
          <cell r="B253" t="str">
            <v>Brewers Hill Middle School</v>
          </cell>
        </row>
        <row r="254">
          <cell r="B254" t="str">
            <v>Bridgnorth Endowed School</v>
          </cell>
        </row>
        <row r="255">
          <cell r="B255" t="str">
            <v>Brighouse High School</v>
          </cell>
        </row>
        <row r="256">
          <cell r="B256" t="str">
            <v>Brill Church of England Combined School</v>
          </cell>
        </row>
        <row r="257">
          <cell r="B257" t="str">
            <v>Brimsham Green School</v>
          </cell>
        </row>
        <row r="258">
          <cell r="B258" t="str">
            <v>Brine Leas High School</v>
          </cell>
        </row>
        <row r="259">
          <cell r="B259" t="str">
            <v>Brinsworth Comprehensive School</v>
          </cell>
        </row>
        <row r="260">
          <cell r="B260" t="str">
            <v>Briscoe Lane Primary School</v>
          </cell>
        </row>
        <row r="261">
          <cell r="B261" t="str">
            <v>Brislington Enterprise College</v>
          </cell>
        </row>
        <row r="262">
          <cell r="B262" t="str">
            <v>Bristnall Hall Technology College</v>
          </cell>
        </row>
        <row r="263">
          <cell r="B263" t="str">
            <v>Brittons School and Technology College</v>
          </cell>
        </row>
        <row r="264">
          <cell r="B264" t="str">
            <v>Brixham College</v>
          </cell>
        </row>
        <row r="265">
          <cell r="B265" t="str">
            <v>Broadclyst Community Primary School</v>
          </cell>
        </row>
        <row r="266">
          <cell r="B266" t="str">
            <v>Broadfield East Infant School and Nursery</v>
          </cell>
        </row>
        <row r="267">
          <cell r="B267" t="str">
            <v>Broadmere Community Primary School</v>
          </cell>
        </row>
        <row r="268">
          <cell r="B268" t="str">
            <v>Broadoak Mathematics and Computing College</v>
          </cell>
        </row>
        <row r="269">
          <cell r="B269" t="str">
            <v>Broadoak Primary School</v>
          </cell>
        </row>
        <row r="270">
          <cell r="B270" t="str">
            <v>Broadoak School</v>
          </cell>
        </row>
        <row r="271">
          <cell r="B271" t="str">
            <v>Broadwater School</v>
          </cell>
        </row>
        <row r="272">
          <cell r="B272" t="str">
            <v>Broadway School</v>
          </cell>
        </row>
        <row r="273">
          <cell r="B273" t="str">
            <v>Brockhampton Primary School</v>
          </cell>
        </row>
        <row r="274">
          <cell r="B274" t="str">
            <v>Brockhill Park Performing Arts College</v>
          </cell>
        </row>
        <row r="275">
          <cell r="B275" t="str">
            <v>Brockington College</v>
          </cell>
        </row>
        <row r="276">
          <cell r="B276" t="str">
            <v>Bromstone Primary School, Broadstairs</v>
          </cell>
        </row>
        <row r="277">
          <cell r="B277" t="str">
            <v>Brook Field Primary School</v>
          </cell>
        </row>
        <row r="278">
          <cell r="B278" t="str">
            <v>Brooke Hill Primary School</v>
          </cell>
        </row>
        <row r="279">
          <cell r="B279" t="str">
            <v>Brookfield Community School</v>
          </cell>
        </row>
        <row r="280">
          <cell r="B280" t="str">
            <v>Brookfield House School</v>
          </cell>
        </row>
        <row r="281">
          <cell r="B281" t="str">
            <v>Brooklands Middle School</v>
          </cell>
        </row>
        <row r="282">
          <cell r="B282" t="str">
            <v>Brookside Community Primary School</v>
          </cell>
        </row>
        <row r="283">
          <cell r="B283" t="str">
            <v>Brookvale High School Groby</v>
          </cell>
        </row>
        <row r="284">
          <cell r="B284" t="str">
            <v>Brookvale Primary School</v>
          </cell>
        </row>
        <row r="285">
          <cell r="B285" t="str">
            <v>Broom Leys School</v>
          </cell>
        </row>
        <row r="286">
          <cell r="B286" t="str">
            <v>Broomfield Community Primary School</v>
          </cell>
        </row>
        <row r="287">
          <cell r="B287" t="str">
            <v>Broughton Jewish Cassel Fox Primary School</v>
          </cell>
        </row>
        <row r="288">
          <cell r="B288" t="str">
            <v>Broughton Primary School</v>
          </cell>
        </row>
        <row r="289">
          <cell r="B289" t="str">
            <v>Brownhills Community Technology College</v>
          </cell>
        </row>
        <row r="290">
          <cell r="B290" t="str">
            <v>Brunel Primary and Nursery School</v>
          </cell>
        </row>
        <row r="291">
          <cell r="B291" t="str">
            <v>Buckden CofE Primary School</v>
          </cell>
        </row>
        <row r="292">
          <cell r="B292" t="str">
            <v>Buckfastleigh Primary School</v>
          </cell>
        </row>
        <row r="293">
          <cell r="B293" t="str">
            <v>Buckingham Primary School</v>
          </cell>
        </row>
        <row r="294">
          <cell r="B294" t="str">
            <v>Bucklers Mead Community School</v>
          </cell>
        </row>
        <row r="295">
          <cell r="B295" t="str">
            <v>Bude Park Primary School</v>
          </cell>
        </row>
        <row r="296">
          <cell r="B296" t="str">
            <v>Bullers Wood School</v>
          </cell>
        </row>
        <row r="297">
          <cell r="B297" t="str">
            <v>Bulwell St Mary's Primary and Nursery School</v>
          </cell>
        </row>
        <row r="298">
          <cell r="B298" t="str">
            <v>Bungay High School</v>
          </cell>
        </row>
        <row r="299">
          <cell r="B299" t="str">
            <v>Burford School and Community College</v>
          </cell>
        </row>
        <row r="300">
          <cell r="B300" t="str">
            <v>Burghill Community Primary School</v>
          </cell>
        </row>
        <row r="301">
          <cell r="B301" t="str">
            <v>Burgoyne Middle School</v>
          </cell>
        </row>
        <row r="302">
          <cell r="B302" t="str">
            <v>Burnham Grammar School</v>
          </cell>
        </row>
        <row r="303">
          <cell r="B303" t="str">
            <v>Burnley Road Junior Infant and Nursery School</v>
          </cell>
        </row>
        <row r="304">
          <cell r="B304" t="str">
            <v>Burnt Mill Comprehensive School</v>
          </cell>
        </row>
        <row r="305">
          <cell r="B305" t="str">
            <v>Burrington Church of England Controlled Primary School</v>
          </cell>
        </row>
        <row r="306">
          <cell r="B306" t="str">
            <v>Bursar Primary School</v>
          </cell>
        </row>
        <row r="307">
          <cell r="B307" t="str">
            <v>Bursley Primary School</v>
          </cell>
        </row>
        <row r="308">
          <cell r="B308" t="str">
            <v>Burton End Community Primary School</v>
          </cell>
        </row>
        <row r="309">
          <cell r="B309" t="str">
            <v>Burton Joyce Primary School</v>
          </cell>
        </row>
        <row r="310">
          <cell r="B310" t="str">
            <v>Burton Morewood CofE Primary School</v>
          </cell>
        </row>
        <row r="311">
          <cell r="B311" t="str">
            <v>Burton PRU</v>
          </cell>
        </row>
        <row r="312">
          <cell r="B312" t="str">
            <v>Bury CofE Primary School</v>
          </cell>
        </row>
        <row r="313">
          <cell r="B313" t="str">
            <v>Bury St Edmunds County Upper School</v>
          </cell>
        </row>
        <row r="314">
          <cell r="B314" t="str">
            <v>Bushey Meads School</v>
          </cell>
        </row>
        <row r="315">
          <cell r="B315" t="str">
            <v>Bushloe High School</v>
          </cell>
        </row>
        <row r="316">
          <cell r="B316" t="str">
            <v>By Brook Valley CofE Primary School</v>
          </cell>
        </row>
        <row r="317">
          <cell r="B317" t="str">
            <v>Bydales School - A Specialist Technology College</v>
          </cell>
        </row>
        <row r="318">
          <cell r="B318" t="str">
            <v>Byron Primary School</v>
          </cell>
        </row>
        <row r="319">
          <cell r="B319" t="str">
            <v>Caister High School</v>
          </cell>
        </row>
        <row r="320">
          <cell r="B320" t="str">
            <v>Caistor Grammar School</v>
          </cell>
        </row>
        <row r="321">
          <cell r="B321" t="str">
            <v>Caistor Yarborough Academy</v>
          </cell>
        </row>
        <row r="322">
          <cell r="B322" t="str">
            <v>Calday Grange Grammar School</v>
          </cell>
        </row>
        <row r="323">
          <cell r="B323" t="str">
            <v>Caldew School</v>
          </cell>
        </row>
        <row r="324">
          <cell r="B324" t="str">
            <v>Caldicotes Primary School</v>
          </cell>
        </row>
        <row r="325">
          <cell r="B325" t="str">
            <v>Callington Community College</v>
          </cell>
        </row>
        <row r="326">
          <cell r="B326" t="str">
            <v>Caludon Castle School</v>
          </cell>
        </row>
        <row r="327">
          <cell r="B327" t="str">
            <v>Cam Hopton Church of England Primary School</v>
          </cell>
        </row>
        <row r="328">
          <cell r="B328" t="str">
            <v>Camborne Science and Community College</v>
          </cell>
        </row>
        <row r="329">
          <cell r="B329" t="str">
            <v>Cambridge Park Maths &amp; Computing College</v>
          </cell>
        </row>
        <row r="330">
          <cell r="B330" t="str">
            <v>Campion School</v>
          </cell>
        </row>
        <row r="331">
          <cell r="B331" t="str">
            <v>Campion School</v>
          </cell>
        </row>
        <row r="332">
          <cell r="B332" t="str">
            <v>Campsmount Technology College</v>
          </cell>
        </row>
        <row r="333">
          <cell r="B333" t="str">
            <v>Cams Hill School</v>
          </cell>
        </row>
        <row r="334">
          <cell r="B334" t="str">
            <v>Canberra Primary School</v>
          </cell>
        </row>
        <row r="335">
          <cell r="B335" t="str">
            <v>Cannock Chase High School</v>
          </cell>
        </row>
        <row r="336">
          <cell r="B336" t="str">
            <v>Canon Palmer Catholic School</v>
          </cell>
        </row>
        <row r="337">
          <cell r="B337" t="str">
            <v>Canon Pyon CofE Primary School</v>
          </cell>
        </row>
        <row r="338">
          <cell r="B338" t="str">
            <v>Canons High School</v>
          </cell>
        </row>
        <row r="339">
          <cell r="B339" t="str">
            <v>Cantell Maths and Computing College</v>
          </cell>
        </row>
        <row r="340">
          <cell r="B340" t="str">
            <v>Captains Close Primary School</v>
          </cell>
        </row>
        <row r="341">
          <cell r="B341" t="str">
            <v>Cardinal Hume Catholic School</v>
          </cell>
        </row>
        <row r="342">
          <cell r="B342" t="str">
            <v>Carleton Community High School A Specialist Science College</v>
          </cell>
        </row>
        <row r="343">
          <cell r="B343" t="str">
            <v>Carlton le Willows Academy</v>
          </cell>
        </row>
        <row r="344">
          <cell r="B344" t="str">
            <v>Carlton Primary School</v>
          </cell>
        </row>
        <row r="345">
          <cell r="B345" t="str">
            <v>Carmel RC College</v>
          </cell>
        </row>
        <row r="346">
          <cell r="B346" t="str">
            <v>Carmountside Primary School</v>
          </cell>
        </row>
        <row r="347">
          <cell r="B347" t="str">
            <v>Caroline Chisholm School</v>
          </cell>
        </row>
        <row r="348">
          <cell r="B348" t="str">
            <v>Carradon PRU</v>
          </cell>
        </row>
        <row r="349">
          <cell r="B349" t="str">
            <v>Carre's Grammar School</v>
          </cell>
        </row>
        <row r="350">
          <cell r="B350" t="str">
            <v>Carshalton Boys Sports College</v>
          </cell>
        </row>
        <row r="351">
          <cell r="B351" t="str">
            <v>Carshalton High School for Girls</v>
          </cell>
        </row>
        <row r="352">
          <cell r="B352" t="str">
            <v>Cartmel Priory CofE School</v>
          </cell>
        </row>
        <row r="353">
          <cell r="B353" t="str">
            <v>Casterton Business &amp; Enterprise College</v>
          </cell>
        </row>
        <row r="354">
          <cell r="B354" t="str">
            <v>Castle Business and Enterprise College</v>
          </cell>
        </row>
        <row r="355">
          <cell r="B355" t="str">
            <v>Castle Carrock School</v>
          </cell>
        </row>
        <row r="356">
          <cell r="B356" t="str">
            <v>Castle Community College</v>
          </cell>
        </row>
        <row r="357">
          <cell r="B357" t="str">
            <v>Castle Donington Community College</v>
          </cell>
        </row>
        <row r="358">
          <cell r="B358" t="str">
            <v>Castle Hall Academy</v>
          </cell>
        </row>
        <row r="359">
          <cell r="B359" t="str">
            <v>Castle Manor Business and Enterprise College</v>
          </cell>
        </row>
        <row r="360">
          <cell r="B360" t="str">
            <v>Castle Rock High School</v>
          </cell>
        </row>
        <row r="361">
          <cell r="B361" t="str">
            <v>Castleford Academy</v>
          </cell>
        </row>
        <row r="362">
          <cell r="B362" t="str">
            <v>Castleford Park Junior School</v>
          </cell>
        </row>
        <row r="363">
          <cell r="B363" t="str">
            <v>Castlegreen Community School</v>
          </cell>
        </row>
        <row r="364">
          <cell r="B364" t="str">
            <v>Castleview Primary School</v>
          </cell>
        </row>
        <row r="365">
          <cell r="B365" t="str">
            <v>Catmose College</v>
          </cell>
        </row>
        <row r="366">
          <cell r="B366" t="str">
            <v>Catmose Primary</v>
          </cell>
        </row>
        <row r="367">
          <cell r="B367" t="str">
            <v>Cator Park School</v>
          </cell>
        </row>
        <row r="368">
          <cell r="B368" t="str">
            <v>Cawston Grange Primary School</v>
          </cell>
        </row>
        <row r="369">
          <cell r="B369" t="str">
            <v>Cedar Road Primary School</v>
          </cell>
        </row>
        <row r="370">
          <cell r="B370" t="str">
            <v>Cedars Upper School</v>
          </cell>
        </row>
        <row r="371">
          <cell r="B371" t="str">
            <v>Chacombe Church of England Voluntary Aided Primary School</v>
          </cell>
        </row>
        <row r="372">
          <cell r="B372" t="str">
            <v>Chadsmead Primary School</v>
          </cell>
        </row>
        <row r="373">
          <cell r="B373" t="str">
            <v>Chadwell Heath Academy</v>
          </cell>
        </row>
        <row r="374">
          <cell r="B374" t="str">
            <v>Chafford Hundred Campus Business and Enterprise College</v>
          </cell>
        </row>
        <row r="375">
          <cell r="B375" t="str">
            <v>Chafford Hundred Primary School</v>
          </cell>
        </row>
        <row r="376">
          <cell r="B376" t="str">
            <v>Chalfont St Peter CofE School</v>
          </cell>
        </row>
        <row r="377">
          <cell r="B377" t="str">
            <v>Challney High School for Boys and Community College</v>
          </cell>
        </row>
        <row r="378">
          <cell r="B378" t="str">
            <v>Chamberlayne College for the Arts</v>
          </cell>
        </row>
        <row r="379">
          <cell r="B379" t="str">
            <v>Chandlers Ridge Primary School</v>
          </cell>
        </row>
        <row r="380">
          <cell r="B380" t="str">
            <v>Chantry Primary School</v>
          </cell>
        </row>
        <row r="381">
          <cell r="B381" t="str">
            <v>Charles Darwin School</v>
          </cell>
        </row>
        <row r="382">
          <cell r="B382" t="str">
            <v>Charlestown Primary School</v>
          </cell>
        </row>
        <row r="383">
          <cell r="B383" t="str">
            <v>Charlton Kings Infant School</v>
          </cell>
        </row>
        <row r="384">
          <cell r="B384" t="str">
            <v>Charlton Kings Junior School</v>
          </cell>
        </row>
        <row r="385">
          <cell r="B385" t="str">
            <v>Charlton School</v>
          </cell>
        </row>
        <row r="386">
          <cell r="B386" t="str">
            <v>Charters School</v>
          </cell>
        </row>
        <row r="387">
          <cell r="B387" t="str">
            <v>Charville Primary School</v>
          </cell>
        </row>
        <row r="388">
          <cell r="B388" t="str">
            <v>Chasetown Specialist Sports College</v>
          </cell>
        </row>
        <row r="389">
          <cell r="B389" t="str">
            <v>Chatham Grammar School for Boys</v>
          </cell>
        </row>
        <row r="390">
          <cell r="B390" t="str">
            <v>Chatham Grammar School for Girls</v>
          </cell>
        </row>
        <row r="391">
          <cell r="B391" t="str">
            <v>Chatham House Grammar School for Boys</v>
          </cell>
        </row>
        <row r="392">
          <cell r="B392" t="str">
            <v>Chattenden Primary School</v>
          </cell>
        </row>
        <row r="393">
          <cell r="B393" t="str">
            <v>Cheadle High School</v>
          </cell>
        </row>
        <row r="394">
          <cell r="B394" t="str">
            <v>Cheadle Hulme High School</v>
          </cell>
        </row>
        <row r="395">
          <cell r="B395" t="str">
            <v>Cheam High School</v>
          </cell>
        </row>
        <row r="396">
          <cell r="B396" t="str">
            <v>Cheam Park Farm Junior School</v>
          </cell>
        </row>
        <row r="397">
          <cell r="B397" t="str">
            <v>Cheetham CofE Community School</v>
          </cell>
        </row>
        <row r="398">
          <cell r="B398" t="str">
            <v>Chellaston Academy</v>
          </cell>
        </row>
        <row r="399">
          <cell r="B399" t="str">
            <v>Chelmer Valley High School</v>
          </cell>
        </row>
        <row r="400">
          <cell r="B400" t="str">
            <v>Chelmsford County High School for Girls</v>
          </cell>
        </row>
        <row r="401">
          <cell r="B401" t="str">
            <v>Cheltenham Bournside School and Sixth Form Centre</v>
          </cell>
        </row>
        <row r="402">
          <cell r="B402" t="str">
            <v>Chenderit School</v>
          </cell>
        </row>
        <row r="403">
          <cell r="B403" t="str">
            <v>Cheney School</v>
          </cell>
        </row>
        <row r="404">
          <cell r="B404" t="str">
            <v>Chepping View Primary School</v>
          </cell>
        </row>
        <row r="405">
          <cell r="B405" t="str">
            <v>Cherry Willingham Community School</v>
          </cell>
        </row>
        <row r="406">
          <cell r="B406" t="str">
            <v>Chesham Grammar School</v>
          </cell>
        </row>
        <row r="407">
          <cell r="B407" t="str">
            <v>Chessington Community College</v>
          </cell>
        </row>
        <row r="408">
          <cell r="B408" t="str">
            <v>Chesterfield High School</v>
          </cell>
        </row>
        <row r="409">
          <cell r="B409" t="str">
            <v>Chesterton Community College</v>
          </cell>
        </row>
        <row r="410">
          <cell r="B410" t="str">
            <v>Chesterton Community Sports College</v>
          </cell>
        </row>
        <row r="411">
          <cell r="B411" t="str">
            <v>Chestnut Grove School</v>
          </cell>
        </row>
        <row r="412">
          <cell r="B412" t="str">
            <v>Chetwynd Road Primary School</v>
          </cell>
        </row>
        <row r="413">
          <cell r="B413" t="str">
            <v>Chew Stoke CofE VA Primary School</v>
          </cell>
        </row>
        <row r="414">
          <cell r="B414" t="str">
            <v>Chickerell Primary School</v>
          </cell>
        </row>
        <row r="415">
          <cell r="B415" t="str">
            <v>Chiddingstone Church of England Voluntary Controlled Primary School</v>
          </cell>
        </row>
        <row r="416">
          <cell r="B416" t="str">
            <v>Chiltern Edge Community School</v>
          </cell>
        </row>
        <row r="417">
          <cell r="B417" t="str">
            <v>Chingford Foundation School</v>
          </cell>
        </row>
        <row r="418">
          <cell r="B418" t="str">
            <v>Chingford Hall Primary School</v>
          </cell>
        </row>
        <row r="419">
          <cell r="B419" t="str">
            <v>Chipping Campden School</v>
          </cell>
        </row>
        <row r="420">
          <cell r="B420" t="str">
            <v>Chipping Norton School</v>
          </cell>
        </row>
        <row r="421">
          <cell r="B421" t="str">
            <v>Chipping Sodbury School</v>
          </cell>
        </row>
        <row r="422">
          <cell r="B422" t="str">
            <v>Chipping Warden School</v>
          </cell>
        </row>
        <row r="423">
          <cell r="B423" t="str">
            <v>Chislehurst and Sidcup Grammar School</v>
          </cell>
        </row>
        <row r="424">
          <cell r="B424" t="str">
            <v>Chiswick Community School</v>
          </cell>
        </row>
        <row r="425">
          <cell r="B425" t="str">
            <v>Chivenor Junior and Infant School</v>
          </cell>
        </row>
        <row r="426">
          <cell r="B426" t="str">
            <v>Chorlton High School</v>
          </cell>
        </row>
        <row r="427">
          <cell r="B427" t="str">
            <v>Chosen Hill School</v>
          </cell>
        </row>
        <row r="428">
          <cell r="B428" t="str">
            <v>Christ Church Church of England Primary School</v>
          </cell>
        </row>
        <row r="429">
          <cell r="B429" t="str">
            <v>Christ Church Church of England School</v>
          </cell>
        </row>
        <row r="430">
          <cell r="B430" t="str">
            <v>Christ Church CofE (A) Middle School</v>
          </cell>
        </row>
        <row r="431">
          <cell r="B431" t="str">
            <v>Christ Church CofE Primary School</v>
          </cell>
        </row>
        <row r="432">
          <cell r="B432" t="str">
            <v>Christ The King College</v>
          </cell>
        </row>
        <row r="433">
          <cell r="B433" t="str">
            <v>Christ The King School</v>
          </cell>
        </row>
        <row r="434">
          <cell r="B434" t="str">
            <v>Christleton High School</v>
          </cell>
        </row>
        <row r="435">
          <cell r="B435" t="str">
            <v>Christopher Whitehead Language College</v>
          </cell>
        </row>
        <row r="436">
          <cell r="B436" t="str">
            <v>Christow Community School</v>
          </cell>
        </row>
        <row r="437">
          <cell r="B437" t="str">
            <v>Christ's College Finchley</v>
          </cell>
        </row>
        <row r="438">
          <cell r="B438" t="str">
            <v>Chudleigh Knighton Church of England Primary School</v>
          </cell>
        </row>
        <row r="439">
          <cell r="B439" t="str">
            <v>Chulmleigh Community College</v>
          </cell>
        </row>
        <row r="440">
          <cell r="B440" t="str">
            <v>Chulmleigh Primary School</v>
          </cell>
        </row>
        <row r="441">
          <cell r="B441" t="str">
            <v>Church Hill Church of England Junior School</v>
          </cell>
        </row>
        <row r="442">
          <cell r="B442" t="str">
            <v>Church Hill Infant School</v>
          </cell>
        </row>
        <row r="443">
          <cell r="B443" t="str">
            <v>Church Stretton School</v>
          </cell>
        </row>
        <row r="444">
          <cell r="B444" t="str">
            <v>Churchdown School</v>
          </cell>
        </row>
        <row r="445">
          <cell r="B445" t="str">
            <v>Churchdown Village Infant School</v>
          </cell>
        </row>
        <row r="446">
          <cell r="B446" t="str">
            <v>Churchend Primary Academy</v>
          </cell>
        </row>
        <row r="447">
          <cell r="B447" t="str">
            <v>Churchfields Academy</v>
          </cell>
        </row>
        <row r="448">
          <cell r="B448" t="str">
            <v>Churchill Academy</v>
          </cell>
        </row>
        <row r="449">
          <cell r="B449" t="str">
            <v>Churston Ferrers Grammar School</v>
          </cell>
        </row>
        <row r="450">
          <cell r="B450" t="str">
            <v>Cippenham Infant School</v>
          </cell>
        </row>
        <row r="451">
          <cell r="B451" t="str">
            <v>Cippenham Primary School</v>
          </cell>
        </row>
        <row r="452">
          <cell r="B452" t="str">
            <v>Cirencester Deer Park School</v>
          </cell>
        </row>
        <row r="453">
          <cell r="B453" t="str">
            <v>Cirencester Kingshill School</v>
          </cell>
        </row>
        <row r="454">
          <cell r="B454" t="str">
            <v>Clacton County High School</v>
          </cell>
        </row>
        <row r="455">
          <cell r="B455" t="str">
            <v>Clapton Girls' Academy</v>
          </cell>
        </row>
        <row r="456">
          <cell r="B456" t="str">
            <v>Claremont High School</v>
          </cell>
        </row>
        <row r="457">
          <cell r="B457" t="str">
            <v>Claremont Primary School</v>
          </cell>
        </row>
        <row r="458">
          <cell r="B458" t="str">
            <v>Clarendon House Grammar School</v>
          </cell>
        </row>
        <row r="459">
          <cell r="B459" t="str">
            <v>Clayton-le-Moors All Saints Church of England Primary School</v>
          </cell>
        </row>
        <row r="460">
          <cell r="B460" t="str">
            <v>Cleeve Park School</v>
          </cell>
        </row>
        <row r="461">
          <cell r="B461" t="str">
            <v>Cleeve School</v>
          </cell>
        </row>
        <row r="462">
          <cell r="B462" t="str">
            <v>Clevedon School</v>
          </cell>
        </row>
        <row r="463">
          <cell r="B463" t="str">
            <v>Cleves School</v>
          </cell>
        </row>
        <row r="464">
          <cell r="B464" t="str">
            <v>Cliff Park Infant School, Gorleston</v>
          </cell>
        </row>
        <row r="465">
          <cell r="B465" t="str">
            <v>Cliffe Woods Primary School</v>
          </cell>
        </row>
        <row r="466">
          <cell r="B466" t="str">
            <v>Clitheroe Royal Grammar School</v>
          </cell>
        </row>
        <row r="467">
          <cell r="B467" t="str">
            <v>Clyst Vale Community College</v>
          </cell>
        </row>
        <row r="468">
          <cell r="B468" t="str">
            <v>Cobden Primary School &amp; Children's Centre</v>
          </cell>
        </row>
        <row r="469">
          <cell r="B469" t="str">
            <v>Cockerton Church of England Primary School</v>
          </cell>
        </row>
        <row r="470">
          <cell r="B470" t="str">
            <v>Colchester County High School for Girls</v>
          </cell>
        </row>
        <row r="471">
          <cell r="B471" t="str">
            <v>Colchester Royal Grammar School</v>
          </cell>
        </row>
        <row r="472">
          <cell r="B472" t="str">
            <v>Colebrook Infant School</v>
          </cell>
        </row>
        <row r="473">
          <cell r="B473" t="str">
            <v>Coleridge Community College</v>
          </cell>
        </row>
        <row r="474">
          <cell r="B474" t="str">
            <v>Colley Lane Primary School</v>
          </cell>
        </row>
        <row r="475">
          <cell r="B475" t="str">
            <v>Collingwood College</v>
          </cell>
        </row>
        <row r="476">
          <cell r="B476" t="str">
            <v>Collingwood Primary School</v>
          </cell>
        </row>
        <row r="477">
          <cell r="B477" t="str">
            <v>Colne Community School and College</v>
          </cell>
        </row>
        <row r="478">
          <cell r="B478" t="str">
            <v>Coloma Convent Girls' School</v>
          </cell>
        </row>
        <row r="479">
          <cell r="B479" t="str">
            <v>Colston's Primary School</v>
          </cell>
        </row>
        <row r="480">
          <cell r="B480" t="str">
            <v>Columbus School and College</v>
          </cell>
        </row>
        <row r="481">
          <cell r="B481" t="str">
            <v>Colyton Grammar School</v>
          </cell>
        </row>
        <row r="482">
          <cell r="B482" t="str">
            <v>Comberton Academy Trust</v>
          </cell>
        </row>
        <row r="483">
          <cell r="B483" t="str">
            <v>Combs Middle School</v>
          </cell>
        </row>
        <row r="484">
          <cell r="B484" t="str">
            <v>Community &amp; Hospital Education Service</v>
          </cell>
        </row>
        <row r="485">
          <cell r="B485" t="str">
            <v>Complementary Education</v>
          </cell>
        </row>
        <row r="486">
          <cell r="B486" t="str">
            <v>Congleton High School</v>
          </cell>
        </row>
        <row r="487">
          <cell r="B487" t="str">
            <v>Conisbrough Ivanhoe Junior and Infant School</v>
          </cell>
        </row>
        <row r="488">
          <cell r="B488" t="str">
            <v>Conisbrough Station Road Primary School</v>
          </cell>
        </row>
        <row r="489">
          <cell r="B489" t="str">
            <v>Connaught School for Girls</v>
          </cell>
        </row>
        <row r="490">
          <cell r="B490" t="str">
            <v>Convent of Jesus and Mary Language College</v>
          </cell>
        </row>
        <row r="491">
          <cell r="B491" t="str">
            <v>Conyers School</v>
          </cell>
        </row>
        <row r="492">
          <cell r="B492" t="str">
            <v>Coombe Boys' School</v>
          </cell>
        </row>
        <row r="493">
          <cell r="B493" t="str">
            <v>Coombe Dean School</v>
          </cell>
        </row>
        <row r="494">
          <cell r="B494" t="str">
            <v>Coombe Girls' School</v>
          </cell>
        </row>
        <row r="495">
          <cell r="B495" t="str">
            <v>Coombeshead College</v>
          </cell>
        </row>
        <row r="496">
          <cell r="B496" t="str">
            <v>Cooper and Jordan Church of England Primary School</v>
          </cell>
        </row>
        <row r="497">
          <cell r="B497" t="str">
            <v>Coopers Technology College</v>
          </cell>
        </row>
        <row r="498">
          <cell r="B498" t="str">
            <v>Copleston High School</v>
          </cell>
        </row>
        <row r="499">
          <cell r="B499" t="str">
            <v>Copley High School</v>
          </cell>
        </row>
        <row r="500">
          <cell r="B500" t="str">
            <v>Coppice Primary School</v>
          </cell>
        </row>
        <row r="501">
          <cell r="B501" t="str">
            <v>Copthall School</v>
          </cell>
        </row>
        <row r="502">
          <cell r="B502" t="str">
            <v>Corelli College</v>
          </cell>
        </row>
        <row r="503">
          <cell r="B503" t="str">
            <v>Corfe Hills School</v>
          </cell>
        </row>
        <row r="504">
          <cell r="B504" t="str">
            <v>Corngreaves Primary School</v>
          </cell>
        </row>
        <row r="505">
          <cell r="B505" t="str">
            <v>Corpus Christi Catholic Primary School</v>
          </cell>
        </row>
        <row r="506">
          <cell r="B506" t="str">
            <v>Corsham Primary School</v>
          </cell>
        </row>
        <row r="507">
          <cell r="B507" t="str">
            <v>Cosby Primary School</v>
          </cell>
        </row>
        <row r="508">
          <cell r="B508" t="str">
            <v>Costello Technology College</v>
          </cell>
        </row>
        <row r="509">
          <cell r="B509" t="str">
            <v>Costessey Junior School</v>
          </cell>
        </row>
        <row r="510">
          <cell r="B510" t="str">
            <v>Coteford Junior School</v>
          </cell>
        </row>
        <row r="511">
          <cell r="B511" t="str">
            <v>Cotgrave Candleby Lane School</v>
          </cell>
        </row>
        <row r="512">
          <cell r="B512" t="str">
            <v>Cotham School</v>
          </cell>
        </row>
        <row r="513">
          <cell r="B513" t="str">
            <v>Cottenham Village College</v>
          </cell>
        </row>
        <row r="514">
          <cell r="B514" t="str">
            <v>Cottingham High School</v>
          </cell>
        </row>
        <row r="515">
          <cell r="B515" t="str">
            <v>Coundon Court School and Community College</v>
          </cell>
        </row>
        <row r="516">
          <cell r="B516" t="str">
            <v>Countesthorpe Community College</v>
          </cell>
        </row>
        <row r="517">
          <cell r="B517" t="str">
            <v>Cowley St Laurence CofE Primary School</v>
          </cell>
        </row>
        <row r="518">
          <cell r="B518" t="str">
            <v>Cowplain Community School</v>
          </cell>
        </row>
        <row r="519">
          <cell r="B519" t="str">
            <v>Cox Green School</v>
          </cell>
        </row>
        <row r="520">
          <cell r="B520" t="str">
            <v>Cramlington Learning Village</v>
          </cell>
        </row>
        <row r="521">
          <cell r="B521" t="str">
            <v>Cranbrook School</v>
          </cell>
        </row>
        <row r="522">
          <cell r="B522" t="str">
            <v>Cranfield VC Lower School</v>
          </cell>
        </row>
        <row r="523">
          <cell r="B523" t="str">
            <v>Cranford Community College</v>
          </cell>
        </row>
        <row r="524">
          <cell r="B524" t="str">
            <v>Cranford Park Primary School</v>
          </cell>
        </row>
        <row r="525">
          <cell r="B525" t="str">
            <v>Crawshaw School</v>
          </cell>
        </row>
        <row r="526">
          <cell r="B526" t="str">
            <v>Crescent Primary School</v>
          </cell>
        </row>
        <row r="527">
          <cell r="B527" t="str">
            <v>Crigglestone St James Church of England Voluntary Controlled Junior and Infant School</v>
          </cell>
        </row>
        <row r="528">
          <cell r="B528" t="str">
            <v>Crispin School</v>
          </cell>
        </row>
        <row r="529">
          <cell r="B529" t="str">
            <v>Crofton Academy</v>
          </cell>
        </row>
        <row r="530">
          <cell r="B530" t="str">
            <v>Crofton Infant School</v>
          </cell>
        </row>
        <row r="531">
          <cell r="B531" t="str">
            <v>Crofton Junior School</v>
          </cell>
        </row>
        <row r="532">
          <cell r="B532" t="str">
            <v>Croftway Primary School</v>
          </cell>
        </row>
        <row r="533">
          <cell r="B533" t="str">
            <v>Cromer High School and Language College</v>
          </cell>
        </row>
        <row r="534">
          <cell r="B534" t="str">
            <v>Crompton House CofE School</v>
          </cell>
        </row>
        <row r="535">
          <cell r="B535" t="str">
            <v>Cromwell Community College</v>
          </cell>
        </row>
        <row r="536">
          <cell r="B536" t="str">
            <v>Crookhorn College of Technology</v>
          </cell>
        </row>
        <row r="537">
          <cell r="B537" t="str">
            <v>Crosby-on-Eden CofE School</v>
          </cell>
        </row>
        <row r="538">
          <cell r="B538" t="str">
            <v>Crosshall Infant School</v>
          </cell>
        </row>
        <row r="539">
          <cell r="B539" t="str">
            <v>Crosshall Junior School</v>
          </cell>
        </row>
        <row r="540">
          <cell r="B540" t="str">
            <v>Crowle Primary School</v>
          </cell>
        </row>
        <row r="541">
          <cell r="B541" t="str">
            <v>Cuckoo Hall Academy</v>
          </cell>
        </row>
        <row r="542">
          <cell r="B542" t="str">
            <v>Culcheth High School</v>
          </cell>
        </row>
        <row r="543">
          <cell r="B543" t="str">
            <v>Culloden Primary School</v>
          </cell>
        </row>
        <row r="544">
          <cell r="B544" t="str">
            <v>Culworth Church of England School</v>
          </cell>
        </row>
        <row r="545">
          <cell r="B545" t="str">
            <v>Dallam School</v>
          </cell>
        </row>
        <row r="546">
          <cell r="B546" t="str">
            <v>Dame Alice Owen's School</v>
          </cell>
        </row>
        <row r="547">
          <cell r="B547" t="str">
            <v>Dane Court Grammar School</v>
          </cell>
        </row>
        <row r="548">
          <cell r="B548" t="str">
            <v>Danetree Junior School</v>
          </cell>
        </row>
        <row r="549">
          <cell r="B549" t="str">
            <v>Danum School Technology College</v>
          </cell>
        </row>
        <row r="550">
          <cell r="B550" t="str">
            <v>Darfield Upperwood Primary School</v>
          </cell>
        </row>
        <row r="551">
          <cell r="B551" t="str">
            <v>Darlinghurst Primary and Nursery School</v>
          </cell>
        </row>
        <row r="552">
          <cell r="B552" t="str">
            <v>Darrick Wood Infant School</v>
          </cell>
        </row>
        <row r="553">
          <cell r="B553" t="str">
            <v>Darrick Wood Junior School</v>
          </cell>
        </row>
        <row r="554">
          <cell r="B554" t="str">
            <v>Darrick Wood School</v>
          </cell>
        </row>
        <row r="555">
          <cell r="B555" t="str">
            <v>Dartford Grammar School</v>
          </cell>
        </row>
        <row r="556">
          <cell r="B556" t="str">
            <v>Datchet St Mary's CofE Primary School</v>
          </cell>
        </row>
        <row r="557">
          <cell r="B557" t="str">
            <v>Daubeney Middle School</v>
          </cell>
        </row>
        <row r="558">
          <cell r="B558" t="str">
            <v>Davenant Foundation School</v>
          </cell>
        </row>
        <row r="559">
          <cell r="B559" t="str">
            <v>David Livingstone Primary School</v>
          </cell>
        </row>
        <row r="560">
          <cell r="B560" t="str">
            <v>De Aston School</v>
          </cell>
        </row>
        <row r="561">
          <cell r="B561" t="str">
            <v>De Ferrers Specialist Technology College</v>
          </cell>
        </row>
        <row r="562">
          <cell r="B562" t="str">
            <v>De La Salle School and Language College</v>
          </cell>
        </row>
        <row r="563">
          <cell r="B563" t="str">
            <v>De Lisle Catholic School Loughborough Leicestershire</v>
          </cell>
        </row>
        <row r="564">
          <cell r="B564" t="str">
            <v>Deansbrook Junior School</v>
          </cell>
        </row>
        <row r="565">
          <cell r="B565" t="str">
            <v>Deansfield Community School, Specialists In Media Arts</v>
          </cell>
        </row>
        <row r="566">
          <cell r="B566" t="str">
            <v>Dearham Primary School</v>
          </cell>
        </row>
        <row r="567">
          <cell r="B567" t="str">
            <v>Dearne Carrfield Primary School</v>
          </cell>
        </row>
        <row r="568">
          <cell r="B568" t="str">
            <v>Dearne Highgate Primary School</v>
          </cell>
        </row>
        <row r="569">
          <cell r="B569" t="str">
            <v>Debden Park High School</v>
          </cell>
        </row>
        <row r="570">
          <cell r="B570" t="str">
            <v>Debenham Church of England Voluntary Controlled High School</v>
          </cell>
        </row>
        <row r="571">
          <cell r="B571" t="str">
            <v>Delamere CofE Primary Academy</v>
          </cell>
        </row>
        <row r="572">
          <cell r="B572" t="str">
            <v>Denbigh High School</v>
          </cell>
        </row>
        <row r="573">
          <cell r="B573" t="str">
            <v>Denbigh School</v>
          </cell>
        </row>
        <row r="574">
          <cell r="B574" t="str">
            <v>Dene Community School of Technology</v>
          </cell>
        </row>
        <row r="575">
          <cell r="B575" t="str">
            <v>Dene Magna School</v>
          </cell>
        </row>
        <row r="576">
          <cell r="B576" t="str">
            <v>Denefield School</v>
          </cell>
        </row>
        <row r="577">
          <cell r="B577" t="str">
            <v>Denton West End Primary School</v>
          </cell>
        </row>
        <row r="578">
          <cell r="B578" t="str">
            <v>Devizes School</v>
          </cell>
        </row>
        <row r="579">
          <cell r="B579" t="str">
            <v>Devonport High School for Boys</v>
          </cell>
        </row>
        <row r="580">
          <cell r="B580" t="str">
            <v>Devonport High School for Girls</v>
          </cell>
        </row>
        <row r="581">
          <cell r="B581" t="str">
            <v>Devonshire Primary School</v>
          </cell>
        </row>
        <row r="582">
          <cell r="B582" t="str">
            <v>Deyes High School</v>
          </cell>
        </row>
        <row r="583">
          <cell r="B583" t="str">
            <v>Didcot Girls' School</v>
          </cell>
        </row>
        <row r="584">
          <cell r="B584" t="str">
            <v>Dilkes Primary School</v>
          </cell>
        </row>
        <row r="585">
          <cell r="B585" t="str">
            <v>Dilwyn CofE Primary School</v>
          </cell>
        </row>
        <row r="586">
          <cell r="B586" t="str">
            <v>Diss High School</v>
          </cell>
        </row>
        <row r="587">
          <cell r="B587" t="str">
            <v>Don Valley School and Performing Arts College</v>
          </cell>
        </row>
        <row r="588">
          <cell r="B588" t="str">
            <v>Dorcan Technology College</v>
          </cell>
        </row>
        <row r="589">
          <cell r="B589" t="str">
            <v>Dorchester Middle School</v>
          </cell>
        </row>
        <row r="590">
          <cell r="B590" t="str">
            <v>Dorchester Primary School</v>
          </cell>
        </row>
        <row r="591">
          <cell r="B591" t="str">
            <v>Dorothy Goodman School Hinckley</v>
          </cell>
        </row>
        <row r="592">
          <cell r="B592" t="str">
            <v>Dorrington Primary School</v>
          </cell>
        </row>
        <row r="593">
          <cell r="B593" t="str">
            <v>Dove House School</v>
          </cell>
        </row>
        <row r="594">
          <cell r="B594" t="str">
            <v>Dovery Down Lower School</v>
          </cell>
        </row>
        <row r="595">
          <cell r="B595" t="str">
            <v>Downend Comprehensive School</v>
          </cell>
        </row>
        <row r="596">
          <cell r="B596" t="str">
            <v>Downside Lower School</v>
          </cell>
        </row>
        <row r="597">
          <cell r="B597" t="str">
            <v>Dr Challoner's Grammar School</v>
          </cell>
        </row>
        <row r="598">
          <cell r="B598" t="str">
            <v>Dr Challoner's High School</v>
          </cell>
        </row>
        <row r="599">
          <cell r="B599" t="str">
            <v>Drayton Manor High School</v>
          </cell>
        </row>
        <row r="600">
          <cell r="B600" t="str">
            <v>Droitwich Spa High School</v>
          </cell>
        </row>
        <row r="601">
          <cell r="B601" t="str">
            <v>Drove Primary School</v>
          </cell>
        </row>
        <row r="602">
          <cell r="B602" t="str">
            <v>Dulwich Hamlet Junior School</v>
          </cell>
        </row>
        <row r="603">
          <cell r="B603" t="str">
            <v>Dunraven School</v>
          </cell>
        </row>
        <row r="604">
          <cell r="B604" t="str">
            <v>Dunston Riverside Community Primary School</v>
          </cell>
        </row>
        <row r="605">
          <cell r="B605" t="str">
            <v>Dunsville Primary School</v>
          </cell>
        </row>
        <row r="606">
          <cell r="B606" t="str">
            <v>Durand Academy</v>
          </cell>
        </row>
        <row r="607">
          <cell r="B607" t="str">
            <v>Dyke House Sports and Technology College</v>
          </cell>
        </row>
        <row r="608">
          <cell r="B608" t="str">
            <v>Dyson Perrins CofE Sports College</v>
          </cell>
        </row>
        <row r="609">
          <cell r="B609" t="str">
            <v>Eaglesfield Paddle CofE VA Primary School</v>
          </cell>
        </row>
        <row r="610">
          <cell r="B610" t="str">
            <v>Eagley Infant School</v>
          </cell>
        </row>
        <row r="611">
          <cell r="B611" t="str">
            <v>Eagley Junior School</v>
          </cell>
        </row>
        <row r="612">
          <cell r="B612" t="str">
            <v>Easington Community Science College</v>
          </cell>
        </row>
        <row r="613">
          <cell r="B613" t="str">
            <v>East Barnet School</v>
          </cell>
        </row>
        <row r="614">
          <cell r="B614" t="str">
            <v>East Bergholt High School</v>
          </cell>
        </row>
        <row r="615">
          <cell r="B615" t="str">
            <v>East Herrington Primary School</v>
          </cell>
        </row>
        <row r="616">
          <cell r="B616" t="str">
            <v>East Ravendale CofE Primary School</v>
          </cell>
        </row>
        <row r="617">
          <cell r="B617" t="str">
            <v>East Tilbury Infant School</v>
          </cell>
        </row>
        <row r="618">
          <cell r="B618" t="str">
            <v>East Tilbury Junior School</v>
          </cell>
        </row>
        <row r="619">
          <cell r="B619" t="str">
            <v>East Wickham Infant School</v>
          </cell>
        </row>
        <row r="620">
          <cell r="B620" t="str">
            <v>East Worlington Primary School</v>
          </cell>
        </row>
        <row r="621">
          <cell r="B621" t="str">
            <v>Eastfield Primary School</v>
          </cell>
        </row>
        <row r="622">
          <cell r="B622" t="str">
            <v>Eastfield Primary School</v>
          </cell>
        </row>
        <row r="623">
          <cell r="B623" t="str">
            <v>Easton Royal Primary School</v>
          </cell>
        </row>
        <row r="624">
          <cell r="B624" t="str">
            <v>Eastrop Infant School</v>
          </cell>
        </row>
        <row r="625">
          <cell r="B625" t="str">
            <v>Eaton Bank School</v>
          </cell>
        </row>
        <row r="626">
          <cell r="B626" t="str">
            <v>Eaton Bray Academy</v>
          </cell>
        </row>
        <row r="627">
          <cell r="B627" t="str">
            <v>Eaton Hall School, Norwich</v>
          </cell>
        </row>
        <row r="628">
          <cell r="B628" t="str">
            <v>Eaton Mill Primary School</v>
          </cell>
        </row>
        <row r="629">
          <cell r="B629" t="str">
            <v>Eaton Park Primary School</v>
          </cell>
        </row>
        <row r="630">
          <cell r="B630" t="str">
            <v>Ecclesbourne Primary School</v>
          </cell>
        </row>
        <row r="631">
          <cell r="B631" t="str">
            <v>Eckington School</v>
          </cell>
        </row>
        <row r="632">
          <cell r="B632" t="str">
            <v>Ecton Brook Primary School</v>
          </cell>
        </row>
        <row r="633">
          <cell r="B633" t="str">
            <v>Eden Park Primary School</v>
          </cell>
        </row>
        <row r="634">
          <cell r="B634" t="str">
            <v>Edenham High School</v>
          </cell>
        </row>
        <row r="635">
          <cell r="B635" t="str">
            <v>Edgar Stammers Primary School</v>
          </cell>
        </row>
        <row r="636">
          <cell r="B636" t="str">
            <v>Edna G Olds Primary and Nursery School</v>
          </cell>
        </row>
        <row r="637">
          <cell r="B637" t="str">
            <v>Edward Bryant Primary School</v>
          </cell>
        </row>
        <row r="638">
          <cell r="B638" t="str">
            <v>Eggar's School</v>
          </cell>
        </row>
        <row r="639">
          <cell r="B639" t="str">
            <v>Elburton Primary School</v>
          </cell>
        </row>
        <row r="640">
          <cell r="B640" t="str">
            <v>Elizabeth Woodville School</v>
          </cell>
        </row>
        <row r="641">
          <cell r="B641" t="str">
            <v>Elliott School</v>
          </cell>
        </row>
        <row r="642">
          <cell r="B642" t="str">
            <v>Ellison Boulters Church of England Primary School</v>
          </cell>
        </row>
        <row r="643">
          <cell r="B643" t="str">
            <v>Elmlea Junior School</v>
          </cell>
        </row>
        <row r="644">
          <cell r="B644" t="str">
            <v>Elmridge Primary School</v>
          </cell>
        </row>
        <row r="645">
          <cell r="B645" t="str">
            <v>Elveden Church of England Voluntary Aided Primary School</v>
          </cell>
        </row>
        <row r="646">
          <cell r="B646" t="str">
            <v>Ely College</v>
          </cell>
        </row>
        <row r="647">
          <cell r="B647" t="str">
            <v>Emerson Park School</v>
          </cell>
        </row>
        <row r="648">
          <cell r="B648" t="str">
            <v>Enfield Grammar School</v>
          </cell>
        </row>
        <row r="649">
          <cell r="B649" t="str">
            <v>English Martyrs' Catholic Primary School</v>
          </cell>
        </row>
        <row r="650">
          <cell r="B650" t="str">
            <v>English Martyrs' Catholic Primary School</v>
          </cell>
        </row>
        <row r="651">
          <cell r="B651" t="str">
            <v>Enmore Church of England Primary School</v>
          </cell>
        </row>
        <row r="652">
          <cell r="B652" t="str">
            <v>Eppleton Primary School</v>
          </cell>
        </row>
        <row r="653">
          <cell r="B653" t="str">
            <v>Epsom and Ewell High School</v>
          </cell>
        </row>
        <row r="654">
          <cell r="B654" t="str">
            <v>Epsom Downs Primary School and Children's Centre</v>
          </cell>
        </row>
        <row r="655">
          <cell r="B655" t="str">
            <v>Epworth Primary School</v>
          </cell>
        </row>
        <row r="656">
          <cell r="B656" t="str">
            <v>Erith School</v>
          </cell>
        </row>
        <row r="657">
          <cell r="B657" t="str">
            <v>Ermine Primary Academy</v>
          </cell>
        </row>
        <row r="658">
          <cell r="B658" t="str">
            <v>Ernulf Academy</v>
          </cell>
        </row>
        <row r="659">
          <cell r="B659" t="str">
            <v>Eston Park School</v>
          </cell>
        </row>
        <row r="660">
          <cell r="B660" t="str">
            <v>Etonbury Middle School</v>
          </cell>
        </row>
        <row r="661">
          <cell r="B661" t="str">
            <v>Etone College</v>
          </cell>
        </row>
        <row r="662">
          <cell r="B662" t="str">
            <v>Eversholt Lower School</v>
          </cell>
        </row>
        <row r="663">
          <cell r="B663" t="str">
            <v>Everton Lower School</v>
          </cell>
        </row>
        <row r="664">
          <cell r="B664" t="str">
            <v>Evesham High School</v>
          </cell>
        </row>
        <row r="665">
          <cell r="B665" t="str">
            <v>Exmouth Community College</v>
          </cell>
        </row>
        <row r="666">
          <cell r="B666" t="str">
            <v>Fairfax School</v>
          </cell>
        </row>
        <row r="667">
          <cell r="B667" t="str">
            <v>Fairfield Community Primary School</v>
          </cell>
        </row>
        <row r="668">
          <cell r="B668" t="str">
            <v>Fairfield High School</v>
          </cell>
        </row>
        <row r="669">
          <cell r="B669" t="str">
            <v>Fairfield High School</v>
          </cell>
        </row>
        <row r="670">
          <cell r="B670" t="str">
            <v>Fairfield High School for Girls</v>
          </cell>
        </row>
        <row r="671">
          <cell r="B671" t="str">
            <v>Fairfield Infant School</v>
          </cell>
        </row>
        <row r="672">
          <cell r="B672" t="str">
            <v>Fairfield Junior School</v>
          </cell>
        </row>
        <row r="673">
          <cell r="B673" t="str">
            <v>Fairfield Primary School</v>
          </cell>
        </row>
        <row r="674">
          <cell r="B674" t="str">
            <v>Fairway Primary School</v>
          </cell>
        </row>
        <row r="675">
          <cell r="B675" t="str">
            <v>Fakenham High School and College</v>
          </cell>
        </row>
        <row r="676">
          <cell r="B676" t="str">
            <v>Fallibroome High School</v>
          </cell>
        </row>
        <row r="677">
          <cell r="B677" t="str">
            <v>Falmouth School</v>
          </cell>
        </row>
        <row r="678">
          <cell r="B678" t="str">
            <v>Faringdon Community College</v>
          </cell>
        </row>
        <row r="679">
          <cell r="B679" t="str">
            <v>Faringdon Infant School</v>
          </cell>
        </row>
        <row r="680">
          <cell r="B680" t="str">
            <v>Faringdon Junior School</v>
          </cell>
        </row>
        <row r="681">
          <cell r="B681" t="str">
            <v>Farlingaye High School</v>
          </cell>
        </row>
        <row r="682">
          <cell r="B682" t="str">
            <v>Farmor's School</v>
          </cell>
        </row>
        <row r="683">
          <cell r="B683" t="str">
            <v>Farnborough School Technology College</v>
          </cell>
        </row>
        <row r="684">
          <cell r="B684" t="str">
            <v>Farndon Fields Primary School</v>
          </cell>
        </row>
        <row r="685">
          <cell r="B685" t="str">
            <v>Farnham Heath End School</v>
          </cell>
        </row>
        <row r="686">
          <cell r="B686" t="str">
            <v>Farringdon Primary School</v>
          </cell>
        </row>
        <row r="687">
          <cell r="B687" t="str">
            <v>Farthinghoe Primary School</v>
          </cell>
        </row>
        <row r="688">
          <cell r="B688" t="str">
            <v>Featherstone High School</v>
          </cell>
        </row>
        <row r="689">
          <cell r="B689" t="str">
            <v>Feltham Community College</v>
          </cell>
        </row>
        <row r="690">
          <cell r="B690" t="str">
            <v>Fernhill School</v>
          </cell>
        </row>
        <row r="691">
          <cell r="B691" t="str">
            <v>Fernwood School</v>
          </cell>
        </row>
        <row r="692">
          <cell r="B692" t="str">
            <v>Ferrars Infant School</v>
          </cell>
        </row>
        <row r="693">
          <cell r="B693" t="str">
            <v>Feversham College</v>
          </cell>
        </row>
        <row r="694">
          <cell r="B694" t="str">
            <v>Field Court Church of England Infant School</v>
          </cell>
        </row>
        <row r="695">
          <cell r="B695" t="str">
            <v>Field Court Junior School</v>
          </cell>
        </row>
        <row r="696">
          <cell r="B696" t="str">
            <v>Fieldhead Junior Infant and Nursery School</v>
          </cell>
        </row>
        <row r="697">
          <cell r="B697" t="str">
            <v>Filton Avenue Infant School</v>
          </cell>
        </row>
        <row r="698">
          <cell r="B698" t="str">
            <v>Finham Park School</v>
          </cell>
        </row>
        <row r="699">
          <cell r="B699" t="str">
            <v>Finningley Church of England Primary School</v>
          </cell>
        </row>
        <row r="700">
          <cell r="B700" t="str">
            <v>Fir Vale School</v>
          </cell>
        </row>
        <row r="701">
          <cell r="B701" t="str">
            <v>Firthmoor Primary School</v>
          </cell>
        </row>
        <row r="702">
          <cell r="B702" t="str">
            <v>Fitzwaryn School</v>
          </cell>
        </row>
        <row r="703">
          <cell r="B703" t="str">
            <v>Flamstead End Primary and Nursery School</v>
          </cell>
        </row>
        <row r="704">
          <cell r="B704" t="str">
            <v>Fleetville Infant and Nursery School</v>
          </cell>
        </row>
        <row r="705">
          <cell r="B705" t="str">
            <v>Fleetville Junior School</v>
          </cell>
        </row>
        <row r="706">
          <cell r="B706" t="str">
            <v>Flegg High School</v>
          </cell>
        </row>
        <row r="707">
          <cell r="B707" t="str">
            <v>Flitch Green Primary School</v>
          </cell>
        </row>
        <row r="708">
          <cell r="B708" t="str">
            <v>Flixton Girls' High School</v>
          </cell>
        </row>
        <row r="709">
          <cell r="B709" t="str">
            <v>Folkestone Christ Church CofE Primary School</v>
          </cell>
        </row>
        <row r="710">
          <cell r="B710" t="str">
            <v>Folkestone, St Mary's Church of England Primary School</v>
          </cell>
        </row>
        <row r="711">
          <cell r="B711" t="str">
            <v>Forest Academy</v>
          </cell>
        </row>
        <row r="712">
          <cell r="B712" t="str">
            <v>Forest View Primary School</v>
          </cell>
        </row>
        <row r="713">
          <cell r="B713" t="str">
            <v>Forest Way School</v>
          </cell>
        </row>
        <row r="714">
          <cell r="B714" t="str">
            <v>Formby High School</v>
          </cell>
        </row>
        <row r="715">
          <cell r="B715" t="str">
            <v>Fort Pitt Grammar School</v>
          </cell>
        </row>
        <row r="716">
          <cell r="B716" t="str">
            <v>Fosse Way School</v>
          </cell>
        </row>
        <row r="717">
          <cell r="B717" t="str">
            <v>Foxborough Primary School</v>
          </cell>
        </row>
        <row r="718">
          <cell r="B718" t="str">
            <v>Foxwood Foundation School and Technology College</v>
          </cell>
        </row>
        <row r="719">
          <cell r="B719" t="str">
            <v>Framwellgate School Durham</v>
          </cell>
        </row>
        <row r="720">
          <cell r="B720" t="str">
            <v>Franche Primary School</v>
          </cell>
        </row>
        <row r="721">
          <cell r="B721" t="str">
            <v>Frankley Community High School</v>
          </cell>
        </row>
        <row r="722">
          <cell r="B722" t="str">
            <v>Fred Longworth High School</v>
          </cell>
        </row>
        <row r="723">
          <cell r="B723" t="str">
            <v>Frederick Nattrass Primary School</v>
          </cell>
        </row>
        <row r="724">
          <cell r="B724" t="str">
            <v>Freemans Endowed Church of England Junior School</v>
          </cell>
        </row>
        <row r="725">
          <cell r="B725" t="str">
            <v>Freemantle Church of England Community Academy</v>
          </cell>
        </row>
        <row r="726">
          <cell r="B726" t="str">
            <v>Freman College</v>
          </cell>
        </row>
        <row r="727">
          <cell r="B727" t="str">
            <v>Friars School</v>
          </cell>
        </row>
        <row r="728">
          <cell r="B728" t="str">
            <v>Friern Barnet School</v>
          </cell>
        </row>
        <row r="729">
          <cell r="B729" t="str">
            <v>Frisby Church of England Primary School</v>
          </cell>
        </row>
        <row r="730">
          <cell r="B730" t="str">
            <v>Frizinghall Primary School</v>
          </cell>
        </row>
        <row r="731">
          <cell r="B731" t="str">
            <v>Frome Community College</v>
          </cell>
        </row>
        <row r="732">
          <cell r="B732" t="str">
            <v>FTC Performing Arts College</v>
          </cell>
        </row>
        <row r="733">
          <cell r="B733" t="str">
            <v>Fulbridge Primary School</v>
          </cell>
        </row>
        <row r="734">
          <cell r="B734" t="str">
            <v>Fulbrook Middle School</v>
          </cell>
        </row>
        <row r="735">
          <cell r="B735" t="str">
            <v>Fulham Cross Girls' School and Language College</v>
          </cell>
        </row>
        <row r="736">
          <cell r="B736" t="str">
            <v>Fullbrook School</v>
          </cell>
        </row>
        <row r="737">
          <cell r="B737" t="str">
            <v>Fulston Manor School</v>
          </cell>
        </row>
        <row r="738">
          <cell r="B738" t="str">
            <v>Fulwell Infant School</v>
          </cell>
        </row>
        <row r="739">
          <cell r="B739" t="str">
            <v>Furze Platt Senior School</v>
          </cell>
        </row>
        <row r="740">
          <cell r="B740" t="str">
            <v>Gable Hall School</v>
          </cell>
        </row>
        <row r="741">
          <cell r="B741" t="str">
            <v>Gaddesby Primary School</v>
          </cell>
        </row>
        <row r="742">
          <cell r="B742" t="str">
            <v>Gainsborough Benjamin Adlard Community School</v>
          </cell>
        </row>
        <row r="743">
          <cell r="B743" t="str">
            <v>Garforth Academy</v>
          </cell>
        </row>
        <row r="744">
          <cell r="B744" t="str">
            <v>Garforth Green Lane Primary School</v>
          </cell>
        </row>
        <row r="745">
          <cell r="B745" t="str">
            <v>Garlinge Primary School and Nursery</v>
          </cell>
        </row>
        <row r="746">
          <cell r="B746" t="str">
            <v>Garstang High School : A Community Technology College</v>
          </cell>
        </row>
        <row r="747">
          <cell r="B747" t="str">
            <v>Gartree High School Oadby</v>
          </cell>
        </row>
        <row r="748">
          <cell r="B748" t="str">
            <v>Gawthorpe Community Academy</v>
          </cell>
        </row>
        <row r="749">
          <cell r="B749" t="str">
            <v>George Abbot School</v>
          </cell>
        </row>
        <row r="750">
          <cell r="B750" t="str">
            <v>George Dixon International School and Sixth Form Centre</v>
          </cell>
        </row>
        <row r="751">
          <cell r="B751" t="str">
            <v>George Spencer Academy and Technology College</v>
          </cell>
        </row>
        <row r="752">
          <cell r="B752" t="str">
            <v>Ghyllside Primary School</v>
          </cell>
        </row>
        <row r="753">
          <cell r="B753" t="str">
            <v>Gilbert Inglefield Middle School</v>
          </cell>
        </row>
        <row r="754">
          <cell r="B754" t="str">
            <v>Gillotts School</v>
          </cell>
        </row>
        <row r="755">
          <cell r="B755" t="str">
            <v>Gilmorton Chandler Church of England Primary School</v>
          </cell>
        </row>
        <row r="756">
          <cell r="B756" t="str">
            <v>Gilsland CofE Primary School</v>
          </cell>
        </row>
        <row r="757">
          <cell r="B757" t="str">
            <v>Gipsey Bridge Primary School</v>
          </cell>
        </row>
        <row r="758">
          <cell r="B758" t="str">
            <v>Glapton Primary and Nursery School</v>
          </cell>
        </row>
        <row r="759">
          <cell r="B759" t="str">
            <v>Gleed Boys' School</v>
          </cell>
        </row>
        <row r="760">
          <cell r="B760" t="str">
            <v>Glen Hills Primary School</v>
          </cell>
        </row>
        <row r="761">
          <cell r="B761" t="str">
            <v>Glendene School</v>
          </cell>
        </row>
        <row r="762">
          <cell r="B762" t="str">
            <v>Glenthorne High School</v>
          </cell>
        </row>
        <row r="763">
          <cell r="B763" t="str">
            <v>Glyn School</v>
          </cell>
        </row>
        <row r="764">
          <cell r="B764" t="str">
            <v>Glyne Gap School</v>
          </cell>
        </row>
        <row r="765">
          <cell r="B765" t="str">
            <v>Glynn House Short Stay School</v>
          </cell>
        </row>
        <row r="766">
          <cell r="B766" t="str">
            <v>Goddard Park Community Primary School</v>
          </cell>
        </row>
        <row r="767">
          <cell r="B767" t="str">
            <v>Godmanchester Primary School</v>
          </cell>
        </row>
        <row r="768">
          <cell r="B768" t="str">
            <v>Godolphin Infant School</v>
          </cell>
        </row>
        <row r="769">
          <cell r="B769" t="str">
            <v>Godolphin Junior School</v>
          </cell>
        </row>
        <row r="770">
          <cell r="B770" t="str">
            <v>Goffs School</v>
          </cell>
        </row>
        <row r="771">
          <cell r="B771" t="str">
            <v>Goldington Academy</v>
          </cell>
        </row>
        <row r="772">
          <cell r="B772" t="str">
            <v>Goldington Green Lower School</v>
          </cell>
        </row>
        <row r="773">
          <cell r="B773" t="str">
            <v>Goldsworth Primary School</v>
          </cell>
        </row>
        <row r="774">
          <cell r="B774" t="str">
            <v>Gonville Primary School</v>
          </cell>
        </row>
        <row r="775">
          <cell r="B775" t="str">
            <v>Goole High School</v>
          </cell>
        </row>
        <row r="776">
          <cell r="B776" t="str">
            <v>Goose Green Primary School</v>
          </cell>
        </row>
        <row r="777">
          <cell r="B777" t="str">
            <v>Gordano School</v>
          </cell>
        </row>
        <row r="778">
          <cell r="B778" t="str">
            <v>Gordon's School</v>
          </cell>
        </row>
        <row r="779">
          <cell r="B779" t="str">
            <v>Gorse Hill Primary School</v>
          </cell>
        </row>
        <row r="780">
          <cell r="B780" t="str">
            <v>Gosberton Community Primary School</v>
          </cell>
        </row>
        <row r="781">
          <cell r="B781" t="str">
            <v>Gosden House School</v>
          </cell>
        </row>
        <row r="782">
          <cell r="B782" t="str">
            <v>Gosford Hill School</v>
          </cell>
        </row>
        <row r="783">
          <cell r="B783" t="str">
            <v>Gosforth Academy</v>
          </cell>
        </row>
        <row r="784">
          <cell r="B784" t="str">
            <v>Gosforth Junior High Academy</v>
          </cell>
        </row>
        <row r="785">
          <cell r="B785" t="str">
            <v>Gotherington Primary School</v>
          </cell>
        </row>
        <row r="786">
          <cell r="B786" t="str">
            <v>Gothic Mede Lower School</v>
          </cell>
        </row>
        <row r="787">
          <cell r="B787" t="str">
            <v>Graham James Primary School</v>
          </cell>
        </row>
        <row r="788">
          <cell r="B788" t="str">
            <v>Grange Lane Infant School</v>
          </cell>
        </row>
        <row r="789">
          <cell r="B789" t="str">
            <v>Grange School</v>
          </cell>
        </row>
        <row r="790">
          <cell r="B790" t="str">
            <v>Grange Technology College</v>
          </cell>
        </row>
        <row r="791">
          <cell r="B791" t="str">
            <v>Grangewood School</v>
          </cell>
        </row>
        <row r="792">
          <cell r="B792" t="str">
            <v>Grantham Spitalgate CofE Primary School</v>
          </cell>
        </row>
        <row r="793">
          <cell r="B793" t="str">
            <v>Grantham the Walton Girls' High School &amp; Sixth Form</v>
          </cell>
        </row>
        <row r="794">
          <cell r="B794" t="str">
            <v>Grasmere CofE Primary School</v>
          </cell>
        </row>
        <row r="795">
          <cell r="B795" t="str">
            <v>Grass Royal Junior School</v>
          </cell>
        </row>
        <row r="796">
          <cell r="B796" t="str">
            <v>Grasvenor Avenue Infant School</v>
          </cell>
        </row>
        <row r="797">
          <cell r="B797" t="str">
            <v>Graveney Primary School</v>
          </cell>
        </row>
        <row r="798">
          <cell r="B798" t="str">
            <v>Graveney School</v>
          </cell>
        </row>
        <row r="799">
          <cell r="B799" t="str">
            <v>Gravenhurst Lower School</v>
          </cell>
        </row>
        <row r="800">
          <cell r="B800" t="str">
            <v>Gravesend Grammar School</v>
          </cell>
        </row>
        <row r="801">
          <cell r="B801" t="str">
            <v>Great Baddow High School</v>
          </cell>
        </row>
        <row r="802">
          <cell r="B802" t="str">
            <v>Great Barr Primary School</v>
          </cell>
        </row>
        <row r="803">
          <cell r="B803" t="str">
            <v>Great Berry Primary School</v>
          </cell>
        </row>
        <row r="804">
          <cell r="B804" t="str">
            <v>Great Bowden Church of England Primary School</v>
          </cell>
        </row>
        <row r="805">
          <cell r="B805" t="str">
            <v>Great Bridge Primary School</v>
          </cell>
        </row>
        <row r="806">
          <cell r="B806" t="str">
            <v>Great Chesterford Church of England Voluntary Aided Primary School</v>
          </cell>
        </row>
        <row r="807">
          <cell r="B807" t="str">
            <v>Great Corby Primary School</v>
          </cell>
        </row>
        <row r="808">
          <cell r="B808" t="str">
            <v>Great Dalby School</v>
          </cell>
        </row>
        <row r="809">
          <cell r="B809" t="str">
            <v>Great Malvern Primary School</v>
          </cell>
        </row>
        <row r="810">
          <cell r="B810" t="str">
            <v>Great Marlow School</v>
          </cell>
        </row>
        <row r="811">
          <cell r="B811" t="str">
            <v>Great Sankey High School</v>
          </cell>
        </row>
        <row r="812">
          <cell r="B812" t="str">
            <v>Great Smeaton Community Primary School</v>
          </cell>
        </row>
        <row r="813">
          <cell r="B813" t="str">
            <v>Great Torrington Community School and Sports College</v>
          </cell>
        </row>
        <row r="814">
          <cell r="B814" t="str">
            <v>Greatworth Primary School</v>
          </cell>
        </row>
        <row r="815">
          <cell r="B815" t="str">
            <v>Green Meadow Primary School</v>
          </cell>
        </row>
        <row r="816">
          <cell r="B816" t="str">
            <v>Green Street Green Primary School</v>
          </cell>
        </row>
        <row r="817">
          <cell r="B817" t="str">
            <v>Greenacre School</v>
          </cell>
        </row>
        <row r="818">
          <cell r="B818" t="str">
            <v>Greenacre School</v>
          </cell>
        </row>
        <row r="819">
          <cell r="B819" t="str">
            <v>Greenbank High School</v>
          </cell>
        </row>
        <row r="820">
          <cell r="B820" t="str">
            <v>Greendown Community School</v>
          </cell>
        </row>
        <row r="821">
          <cell r="B821" t="str">
            <v>Greenfield and Pulloxhill Academy</v>
          </cell>
        </row>
        <row r="822">
          <cell r="B822" t="str">
            <v>Greenfield and Pulloxhill Academy</v>
          </cell>
        </row>
        <row r="823">
          <cell r="B823" t="str">
            <v>Greenfield Primary School</v>
          </cell>
        </row>
        <row r="824">
          <cell r="B824" t="str">
            <v>Greengate Lane Primary School</v>
          </cell>
        </row>
        <row r="825">
          <cell r="B825" t="str">
            <v>Greengates Primary School</v>
          </cell>
        </row>
        <row r="826">
          <cell r="B826" t="str">
            <v>Greenholm Primary School</v>
          </cell>
        </row>
        <row r="827">
          <cell r="B827" t="str">
            <v>Greenshaw High School</v>
          </cell>
        </row>
        <row r="828">
          <cell r="B828" t="str">
            <v>Greenway School</v>
          </cell>
        </row>
        <row r="829">
          <cell r="B829" t="str">
            <v>Greetland Primary School</v>
          </cell>
        </row>
        <row r="830">
          <cell r="B830" t="str">
            <v>Gretton Primary School</v>
          </cell>
        </row>
        <row r="831">
          <cell r="B831" t="str">
            <v>Gretton Primary School</v>
          </cell>
        </row>
        <row r="832">
          <cell r="B832" t="str">
            <v>Grey Court School</v>
          </cell>
        </row>
        <row r="833">
          <cell r="B833" t="str">
            <v>Greys Education Centre</v>
          </cell>
        </row>
        <row r="834">
          <cell r="B834" t="str">
            <v>Grimsdyke School</v>
          </cell>
        </row>
        <row r="835">
          <cell r="B835" t="str">
            <v>Groby Community College</v>
          </cell>
        </row>
        <row r="836">
          <cell r="B836" t="str">
            <v>Grove Park Community Primary School</v>
          </cell>
        </row>
        <row r="837">
          <cell r="B837" t="str">
            <v>Guildford County School</v>
          </cell>
        </row>
        <row r="838">
          <cell r="B838" t="str">
            <v>Guilsborough School</v>
          </cell>
        </row>
        <row r="839">
          <cell r="B839" t="str">
            <v>Gumley House RC Convent School, FCJ</v>
          </cell>
        </row>
        <row r="840">
          <cell r="B840" t="str">
            <v>Gurney Pease Primary School</v>
          </cell>
        </row>
        <row r="841">
          <cell r="B841" t="str">
            <v>Guru Nanak Sikh Voluntary Aided Secondary School</v>
          </cell>
        </row>
        <row r="842">
          <cell r="B842" t="str">
            <v>Guthlaxton College Wigston</v>
          </cell>
        </row>
        <row r="843">
          <cell r="B843" t="str">
            <v>Hackleton CofE Primary School</v>
          </cell>
        </row>
        <row r="844">
          <cell r="B844" t="str">
            <v>Hadleigh High School</v>
          </cell>
        </row>
        <row r="845">
          <cell r="B845" t="str">
            <v>Hadleigh Infant and Nursery School</v>
          </cell>
        </row>
        <row r="846">
          <cell r="B846" t="str">
            <v>Hadleigh Junior School</v>
          </cell>
        </row>
        <row r="847">
          <cell r="B847" t="str">
            <v>Hadrian Lower School</v>
          </cell>
        </row>
        <row r="848">
          <cell r="B848" t="str">
            <v>Hailsham Community College</v>
          </cell>
        </row>
        <row r="849">
          <cell r="B849" t="str">
            <v>Halewood Centre for Learning (Community)</v>
          </cell>
        </row>
        <row r="850">
          <cell r="B850" t="str">
            <v>Halifax High at Wellesley Park</v>
          </cell>
        </row>
        <row r="851">
          <cell r="B851" t="str">
            <v>Halifax Holy Trinity CofE (VA) Primary School</v>
          </cell>
        </row>
        <row r="852">
          <cell r="B852" t="str">
            <v>Hall Cross School</v>
          </cell>
        </row>
        <row r="853">
          <cell r="B853" t="str">
            <v>Hall Green School</v>
          </cell>
        </row>
        <row r="854">
          <cell r="B854" t="str">
            <v>Hall Mead School</v>
          </cell>
        </row>
        <row r="855">
          <cell r="B855" t="str">
            <v>Hallbrook Primary School Broughton Astley</v>
          </cell>
        </row>
        <row r="856">
          <cell r="B856" t="str">
            <v>Haltwhistle Community Campus Lower School</v>
          </cell>
        </row>
        <row r="857">
          <cell r="B857" t="str">
            <v>Haltwhistle Community Campus Upper School</v>
          </cell>
        </row>
        <row r="858">
          <cell r="B858" t="str">
            <v>Hambleton Primary Academy</v>
          </cell>
        </row>
        <row r="859">
          <cell r="B859" t="str">
            <v>Hamilton Primary School</v>
          </cell>
        </row>
        <row r="860">
          <cell r="B860" t="str">
            <v>Hampton Primary School</v>
          </cell>
        </row>
        <row r="861">
          <cell r="B861" t="str">
            <v>Handsworth Wood Girls' School</v>
          </cell>
        </row>
        <row r="862">
          <cell r="B862" t="str">
            <v>Hanley Castle High School</v>
          </cell>
        </row>
        <row r="863">
          <cell r="B863" t="str">
            <v>Hanwell Fields Community School</v>
          </cell>
        </row>
        <row r="864">
          <cell r="B864" t="str">
            <v>Hardenhuish School</v>
          </cell>
        </row>
        <row r="865">
          <cell r="B865" t="str">
            <v>Hareclive Primary School</v>
          </cell>
        </row>
        <row r="866">
          <cell r="B866" t="str">
            <v>Harefield Primary School</v>
          </cell>
        </row>
        <row r="867">
          <cell r="B867" t="str">
            <v>Haringey Sixth Form Centre</v>
          </cell>
        </row>
        <row r="868">
          <cell r="B868" t="str">
            <v>Harlington Lower School</v>
          </cell>
        </row>
        <row r="869">
          <cell r="B869" t="str">
            <v>Harlington Upper School</v>
          </cell>
        </row>
        <row r="870">
          <cell r="B870" t="str">
            <v>Harriers Ground Community Primary School</v>
          </cell>
        </row>
        <row r="871">
          <cell r="B871" t="str">
            <v>Harrogate Grammar School</v>
          </cell>
        </row>
        <row r="872">
          <cell r="B872" t="str">
            <v>Harrogate High School</v>
          </cell>
        </row>
        <row r="873">
          <cell r="B873" t="str">
            <v>Harrogate Pupil Referral Unit</v>
          </cell>
        </row>
        <row r="874">
          <cell r="B874" t="str">
            <v>Harrold Priory Middle School</v>
          </cell>
        </row>
        <row r="875">
          <cell r="B875" t="str">
            <v>Harrow High School and Sports College</v>
          </cell>
        </row>
        <row r="876">
          <cell r="B876" t="str">
            <v>Harrowbarrow School</v>
          </cell>
        </row>
        <row r="877">
          <cell r="B877" t="str">
            <v>Harry Carlton Comprehensive School</v>
          </cell>
        </row>
        <row r="878">
          <cell r="B878" t="str">
            <v>Hartismere High School</v>
          </cell>
        </row>
        <row r="879">
          <cell r="B879" t="str">
            <v>Hartley Primary School</v>
          </cell>
        </row>
        <row r="880">
          <cell r="B880" t="str">
            <v>Hartsdown Technology College</v>
          </cell>
        </row>
        <row r="881">
          <cell r="B881" t="str">
            <v>Hartsfield Junior Mixed and Infant School</v>
          </cell>
        </row>
        <row r="882">
          <cell r="B882" t="str">
            <v>Hartshill School</v>
          </cell>
        </row>
        <row r="883">
          <cell r="B883" t="str">
            <v>Hartsholme Primary School</v>
          </cell>
        </row>
        <row r="884">
          <cell r="B884" t="str">
            <v>Hartwell Church of England Primary School</v>
          </cell>
        </row>
        <row r="885">
          <cell r="B885" t="str">
            <v>Harwood Meadows Primary School</v>
          </cell>
        </row>
        <row r="886">
          <cell r="B886" t="str">
            <v>Hasmonean High School</v>
          </cell>
        </row>
        <row r="887">
          <cell r="B887" t="str">
            <v>Hassenbrook School Specialist Technology College</v>
          </cell>
        </row>
        <row r="888">
          <cell r="B888" t="str">
            <v>Hatch End High School</v>
          </cell>
        </row>
        <row r="889">
          <cell r="B889" t="str">
            <v>Hatfield Crookesbroom Primary School</v>
          </cell>
        </row>
        <row r="890">
          <cell r="B890" t="str">
            <v>Hatfield Primary School</v>
          </cell>
        </row>
        <row r="891">
          <cell r="B891" t="str">
            <v>Hatfield Woodhouse Primary School</v>
          </cell>
        </row>
        <row r="892">
          <cell r="B892" t="str">
            <v>Haughton Community School</v>
          </cell>
        </row>
        <row r="893">
          <cell r="B893" t="str">
            <v>Haven High Technology College</v>
          </cell>
        </row>
        <row r="894">
          <cell r="B894" t="str">
            <v>Hawes Side Primary School</v>
          </cell>
        </row>
        <row r="895">
          <cell r="B895" t="str">
            <v>Hawkley Hall High School</v>
          </cell>
        </row>
        <row r="896">
          <cell r="B896" t="str">
            <v>Hawthorns Community School</v>
          </cell>
        </row>
        <row r="897">
          <cell r="B897" t="str">
            <v>Haybridge High School and Sixth Form</v>
          </cell>
        </row>
        <row r="898">
          <cell r="B898" t="str">
            <v>Haydon School</v>
          </cell>
        </row>
        <row r="899">
          <cell r="B899" t="str">
            <v>Hayes Primary School</v>
          </cell>
        </row>
        <row r="900">
          <cell r="B900" t="str">
            <v>Hayes School</v>
          </cell>
        </row>
        <row r="901">
          <cell r="B901" t="str">
            <v>Hayes School</v>
          </cell>
        </row>
        <row r="902">
          <cell r="B902" t="str">
            <v>Hayesfield Girls School</v>
          </cell>
        </row>
        <row r="903">
          <cell r="B903" t="str">
            <v>Haygrove School</v>
          </cell>
        </row>
        <row r="904">
          <cell r="B904" t="str">
            <v>Haywood Engineering College</v>
          </cell>
        </row>
        <row r="905">
          <cell r="B905" t="str">
            <v>Hazel Grove High School</v>
          </cell>
        </row>
        <row r="906">
          <cell r="B906" t="str">
            <v>Hazelbeck Special School</v>
          </cell>
        </row>
        <row r="907">
          <cell r="B907" t="str">
            <v>Hazeldene Lower School</v>
          </cell>
        </row>
        <row r="908">
          <cell r="B908" t="str">
            <v>Hazeley School</v>
          </cell>
        </row>
        <row r="909">
          <cell r="B909" t="str">
            <v>Hazelwick School</v>
          </cell>
        </row>
        <row r="910">
          <cell r="B910" t="str">
            <v>Headlands Primary School</v>
          </cell>
        </row>
        <row r="911">
          <cell r="B911" t="str">
            <v>Healing School, A Specialist Science and Foundation College</v>
          </cell>
        </row>
        <row r="912">
          <cell r="B912" t="str">
            <v>Heanor Gate Science College</v>
          </cell>
        </row>
        <row r="913">
          <cell r="B913" t="str">
            <v>Heart of England School</v>
          </cell>
        </row>
        <row r="914">
          <cell r="B914" t="str">
            <v>Heartsease Primary School</v>
          </cell>
        </row>
        <row r="915">
          <cell r="B915" t="str">
            <v>Heath Park Business and Enterprise College</v>
          </cell>
        </row>
        <row r="916">
          <cell r="B916" t="str">
            <v>Heather Garth Primary School</v>
          </cell>
        </row>
        <row r="917">
          <cell r="B917" t="str">
            <v>Heathfield High School</v>
          </cell>
        </row>
        <row r="918">
          <cell r="B918" t="str">
            <v>Heathfield Primary School</v>
          </cell>
        </row>
        <row r="919">
          <cell r="B919" t="str">
            <v>Heathlands School</v>
          </cell>
        </row>
        <row r="920">
          <cell r="B920" t="str">
            <v>Heaton Primary School</v>
          </cell>
        </row>
        <row r="921">
          <cell r="B921" t="str">
            <v>Heckmondwike Grammar School</v>
          </cell>
        </row>
        <row r="922">
          <cell r="B922" t="str">
            <v>Hedingham School and Sixth Form</v>
          </cell>
        </row>
        <row r="923">
          <cell r="B923" t="str">
            <v>Heighington Church of England Primary School</v>
          </cell>
        </row>
        <row r="924">
          <cell r="B924" t="str">
            <v>Helena Romanes School and Sixth Form Centre</v>
          </cell>
        </row>
        <row r="925">
          <cell r="B925" t="str">
            <v>Hele's School</v>
          </cell>
        </row>
        <row r="926">
          <cell r="B926" t="str">
            <v>Hellesdon High School</v>
          </cell>
        </row>
        <row r="927">
          <cell r="B927" t="str">
            <v>Hemyock Primary School</v>
          </cell>
        </row>
        <row r="928">
          <cell r="B928" t="str">
            <v>Henbury School</v>
          </cell>
        </row>
        <row r="929">
          <cell r="B929" t="str">
            <v>Hendon School</v>
          </cell>
        </row>
        <row r="930">
          <cell r="B930" t="str">
            <v>Henleaze Junior School</v>
          </cell>
        </row>
        <row r="931">
          <cell r="B931" t="str">
            <v>Henley in Arden High School</v>
          </cell>
        </row>
        <row r="932">
          <cell r="B932" t="str">
            <v>Henley-In-Arden Voluntary Aided CofE Primary School</v>
          </cell>
        </row>
        <row r="933">
          <cell r="B933" t="str">
            <v>Henlow VC Middle School</v>
          </cell>
        </row>
        <row r="934">
          <cell r="B934" t="str">
            <v>Henry Compton Secondary School</v>
          </cell>
        </row>
        <row r="935">
          <cell r="B935" t="str">
            <v>Henry Hinde Infant School</v>
          </cell>
        </row>
        <row r="936">
          <cell r="B936" t="str">
            <v>Hereford Technology School</v>
          </cell>
        </row>
        <row r="937">
          <cell r="B937" t="str">
            <v>Herne Bay High School</v>
          </cell>
        </row>
        <row r="938">
          <cell r="B938" t="str">
            <v>Herons Moor Community Primary School</v>
          </cell>
        </row>
        <row r="939">
          <cell r="B939" t="str">
            <v>Heronsgate School</v>
          </cell>
        </row>
        <row r="940">
          <cell r="B940" t="str">
            <v>Herringham Primary School</v>
          </cell>
        </row>
        <row r="941">
          <cell r="B941" t="str">
            <v>Herschel Grammar School</v>
          </cell>
        </row>
        <row r="942">
          <cell r="B942" t="str">
            <v>Hertswood School</v>
          </cell>
        </row>
        <row r="943">
          <cell r="B943" t="str">
            <v>Hessle High School</v>
          </cell>
        </row>
        <row r="944">
          <cell r="B944" t="str">
            <v>Hessle Penshurst Primary School</v>
          </cell>
        </row>
        <row r="945">
          <cell r="B945" t="str">
            <v>Heston Community School</v>
          </cell>
        </row>
        <row r="946">
          <cell r="B946" t="str">
            <v>Hibaldstow Primary School</v>
          </cell>
        </row>
        <row r="947">
          <cell r="B947" t="str">
            <v>High Halstow Primary School</v>
          </cell>
        </row>
        <row r="948">
          <cell r="B948" t="str">
            <v>High School for Girls</v>
          </cell>
        </row>
        <row r="949">
          <cell r="B949" t="str">
            <v>Higham Lane School, A Business &amp; Enterprise College</v>
          </cell>
        </row>
        <row r="950">
          <cell r="B950" t="str">
            <v>Highams Park School</v>
          </cell>
        </row>
        <row r="951">
          <cell r="B951" t="str">
            <v>Highcliffe School</v>
          </cell>
        </row>
        <row r="952">
          <cell r="B952" t="str">
            <v>Highcrest Academy</v>
          </cell>
        </row>
        <row r="953">
          <cell r="B953" t="str">
            <v>Highdown School and Sixth Form Centre</v>
          </cell>
        </row>
        <row r="954">
          <cell r="B954" t="str">
            <v>Highfields Primary School</v>
          </cell>
        </row>
        <row r="955">
          <cell r="B955" t="str">
            <v>Highlands Primary School</v>
          </cell>
        </row>
        <row r="956">
          <cell r="B956" t="str">
            <v>Highnam Church of England Primary School</v>
          </cell>
        </row>
        <row r="957">
          <cell r="B957" t="str">
            <v>Highsted Grammar School</v>
          </cell>
        </row>
        <row r="958">
          <cell r="B958" t="str">
            <v>Hightown Primary School</v>
          </cell>
        </row>
        <row r="959">
          <cell r="B959" t="str">
            <v>Highwoods Community Primary School</v>
          </cell>
        </row>
        <row r="960">
          <cell r="B960" t="str">
            <v>Highworth Grammar School for Girls</v>
          </cell>
        </row>
        <row r="961">
          <cell r="B961" t="str">
            <v>Highworth Warneford School</v>
          </cell>
        </row>
        <row r="962">
          <cell r="B962" t="str">
            <v>Hilbre High School</v>
          </cell>
        </row>
        <row r="963">
          <cell r="B963" t="str">
            <v>Hill West Primary School</v>
          </cell>
        </row>
        <row r="964">
          <cell r="B964" t="str">
            <v>Hillcrest School A Specialist Maths and Computing College and Sixth Form Centre</v>
          </cell>
        </row>
        <row r="965">
          <cell r="B965" t="str">
            <v>Hilltop Junior School</v>
          </cell>
        </row>
        <row r="966">
          <cell r="B966" t="str">
            <v>Hilltop Primary School</v>
          </cell>
        </row>
        <row r="967">
          <cell r="B967" t="str">
            <v>Hillview School for Girls</v>
          </cell>
        </row>
        <row r="968">
          <cell r="B968" t="str">
            <v>Hillyfield Primary School</v>
          </cell>
        </row>
        <row r="969">
          <cell r="B969" t="str">
            <v>Hinchingbrooke School</v>
          </cell>
        </row>
        <row r="970">
          <cell r="B970" t="str">
            <v>Hinchley Wood School</v>
          </cell>
        </row>
        <row r="971">
          <cell r="B971" t="str">
            <v>Hind Leys Community College</v>
          </cell>
        </row>
        <row r="972">
          <cell r="B972" t="str">
            <v>Hinde House 3-16 School</v>
          </cell>
        </row>
        <row r="973">
          <cell r="B973" t="str">
            <v>Hipperholme and Lightcliffe High School and Sports College</v>
          </cell>
        </row>
        <row r="974">
          <cell r="B974" t="str">
            <v>Histon and Impington Infant School</v>
          </cell>
        </row>
        <row r="975">
          <cell r="B975" t="str">
            <v>Histon and Impington Junior School</v>
          </cell>
        </row>
        <row r="976">
          <cell r="B976" t="str">
            <v>Hitchin Boys' School</v>
          </cell>
        </row>
        <row r="977">
          <cell r="B977" t="str">
            <v>Hitchin Girls' School</v>
          </cell>
        </row>
        <row r="978">
          <cell r="B978" t="str">
            <v>Hobart High School</v>
          </cell>
        </row>
        <row r="979">
          <cell r="B979" t="str">
            <v>Hockerill Anglo-European College</v>
          </cell>
        </row>
        <row r="980">
          <cell r="B980" t="str">
            <v>Hockley Heath Primary School</v>
          </cell>
        </row>
        <row r="981">
          <cell r="B981" t="str">
            <v>Hodgson Academy</v>
          </cell>
        </row>
        <row r="982">
          <cell r="B982" t="str">
            <v>Hogsthorpe Community Primary School</v>
          </cell>
        </row>
        <row r="983">
          <cell r="B983" t="str">
            <v>Holbrook High School</v>
          </cell>
        </row>
        <row r="984">
          <cell r="B984" t="str">
            <v>Holden Lane High School Specialist Sports College</v>
          </cell>
        </row>
        <row r="985">
          <cell r="B985" t="str">
            <v>Holley Park Primary School</v>
          </cell>
        </row>
        <row r="986">
          <cell r="B986" t="str">
            <v>Hollingworth Business and Enterprise College</v>
          </cell>
        </row>
        <row r="987">
          <cell r="B987" t="str">
            <v>Holly Hall Maths and Computing College</v>
          </cell>
        </row>
        <row r="988">
          <cell r="B988" t="str">
            <v>Hollybrook Infant School</v>
          </cell>
        </row>
        <row r="989">
          <cell r="B989" t="str">
            <v>Hollybrook Junior School</v>
          </cell>
        </row>
        <row r="990">
          <cell r="B990" t="str">
            <v>Holmemead Middle School</v>
          </cell>
        </row>
        <row r="991">
          <cell r="B991" t="str">
            <v>Holmer CofE Primary School</v>
          </cell>
        </row>
        <row r="992">
          <cell r="B992" t="str">
            <v>Holmer Green Senior School</v>
          </cell>
        </row>
        <row r="993">
          <cell r="B993" t="str">
            <v>Holmes Chapel Comprehensive School</v>
          </cell>
        </row>
        <row r="994">
          <cell r="B994" t="str">
            <v>Holmesdale Technology College</v>
          </cell>
        </row>
        <row r="995">
          <cell r="B995" t="str">
            <v>Holte School</v>
          </cell>
        </row>
        <row r="996">
          <cell r="B996" t="str">
            <v>Holy Cross Catholic Primary School</v>
          </cell>
        </row>
        <row r="997">
          <cell r="B997" t="str">
            <v>Holy Cross Catholic Primary School</v>
          </cell>
        </row>
        <row r="998">
          <cell r="B998" t="str">
            <v>Holy Cross Catholic Primary School, Harlow</v>
          </cell>
        </row>
        <row r="999">
          <cell r="B999" t="str">
            <v>Holy Cross Catholic Primary School, Whitwick, Leicestershire</v>
          </cell>
        </row>
        <row r="1000">
          <cell r="B1000" t="str">
            <v>Holy Family Catholic Primary School</v>
          </cell>
        </row>
        <row r="1001">
          <cell r="B1001" t="str">
            <v>Holy Family RC Primary School</v>
          </cell>
        </row>
        <row r="1002">
          <cell r="B1002" t="str">
            <v>Holy Redeemer Catholic Primary School</v>
          </cell>
        </row>
        <row r="1003">
          <cell r="B1003" t="str">
            <v>Holy Rood Catholic Infant School</v>
          </cell>
        </row>
        <row r="1004">
          <cell r="B1004" t="str">
            <v>Holy Rood Catholic Junior School</v>
          </cell>
        </row>
        <row r="1005">
          <cell r="B1005" t="str">
            <v>Holy Trinity Church of England Primary School</v>
          </cell>
        </row>
        <row r="1006">
          <cell r="B1006" t="str">
            <v>Holy Trinity Church of England School, Calne</v>
          </cell>
        </row>
        <row r="1007">
          <cell r="B1007" t="str">
            <v>Holyhead School</v>
          </cell>
        </row>
        <row r="1008">
          <cell r="B1008" t="str">
            <v>Holyrood Academy</v>
          </cell>
        </row>
        <row r="1009">
          <cell r="B1009" t="str">
            <v>Holywell CofE VA Middle School</v>
          </cell>
        </row>
        <row r="1010">
          <cell r="B1010" t="str">
            <v>Holywell Primary School</v>
          </cell>
        </row>
        <row r="1011">
          <cell r="B1011" t="str">
            <v>Homewood School and Sixth Form Centre</v>
          </cell>
        </row>
        <row r="1012">
          <cell r="B1012" t="str">
            <v>Honeybourne First School</v>
          </cell>
        </row>
        <row r="1013">
          <cell r="B1013" t="str">
            <v>Honiton Community College</v>
          </cell>
        </row>
        <row r="1014">
          <cell r="B1014" t="str">
            <v>Hooe Primary School</v>
          </cell>
        </row>
        <row r="1015">
          <cell r="B1015" t="str">
            <v>Hook-with-Warsash Church of England Primary School</v>
          </cell>
        </row>
        <row r="1016">
          <cell r="B1016" t="str">
            <v>Hope Valley College</v>
          </cell>
        </row>
        <row r="1017">
          <cell r="B1017" t="str">
            <v>Horbury Bridge Church of England Voluntary Controlled Junior and Infant School</v>
          </cell>
        </row>
        <row r="1018">
          <cell r="B1018" t="str">
            <v>Horbury School - A Specialist Language College</v>
          </cell>
        </row>
        <row r="1019">
          <cell r="B1019" t="str">
            <v>Hornton Primary School</v>
          </cell>
        </row>
        <row r="1020">
          <cell r="B1020" t="str">
            <v>Horringer Court Middle School</v>
          </cell>
        </row>
        <row r="1021">
          <cell r="B1021" t="str">
            <v>Horrington Primary School</v>
          </cell>
        </row>
        <row r="1022">
          <cell r="B1022" t="str">
            <v>Horsell Village School</v>
          </cell>
        </row>
        <row r="1023">
          <cell r="B1023" t="str">
            <v>Horsforth School</v>
          </cell>
        </row>
        <row r="1024">
          <cell r="B1024" t="str">
            <v>Horwood and Newton Tracey Community Primary School</v>
          </cell>
        </row>
        <row r="1025">
          <cell r="B1025" t="str">
            <v>Hospital and Outreach Education</v>
          </cell>
        </row>
        <row r="1026">
          <cell r="B1026" t="str">
            <v>Hotwells Primary School</v>
          </cell>
        </row>
        <row r="1027">
          <cell r="B1027" t="str">
            <v>Houghton Kepier Sports College:A Foundation School</v>
          </cell>
        </row>
        <row r="1028">
          <cell r="B1028" t="str">
            <v>Hounsdown School</v>
          </cell>
        </row>
        <row r="1029">
          <cell r="B1029" t="str">
            <v>Howard Middle School</v>
          </cell>
        </row>
        <row r="1030">
          <cell r="B1030" t="str">
            <v>Howard of Effingham School</v>
          </cell>
        </row>
        <row r="1031">
          <cell r="B1031" t="str">
            <v>Hoyland Common Primary School</v>
          </cell>
        </row>
        <row r="1032">
          <cell r="B1032" t="str">
            <v>Huish Episcopi Academy</v>
          </cell>
        </row>
        <row r="1033">
          <cell r="B1033" t="str">
            <v>Hull Trinity House School</v>
          </cell>
        </row>
        <row r="1034">
          <cell r="B1034" t="str">
            <v>Humberston Cloverfields Primary School</v>
          </cell>
        </row>
        <row r="1035">
          <cell r="B1035" t="str">
            <v>Humberston Maths and Computing College</v>
          </cell>
        </row>
        <row r="1036">
          <cell r="B1036" t="str">
            <v>Humberston Park School</v>
          </cell>
        </row>
        <row r="1037">
          <cell r="B1037" t="str">
            <v>Hummersknott Academy</v>
          </cell>
        </row>
        <row r="1038">
          <cell r="B1038" t="str">
            <v>Humphrey Perkins High School &amp; Community Centre Barrow Upon Soar</v>
          </cell>
        </row>
        <row r="1039">
          <cell r="B1039" t="str">
            <v>Huncote Community Primary School</v>
          </cell>
        </row>
        <row r="1040">
          <cell r="B1040" t="str">
            <v>Hungerhill School A Specialist Centre for Science, Mathematics and Computing</v>
          </cell>
        </row>
        <row r="1041">
          <cell r="B1041" t="str">
            <v>Huntcliff School</v>
          </cell>
        </row>
        <row r="1042">
          <cell r="B1042" t="str">
            <v>Huntingdon Primary and Nursery School</v>
          </cell>
        </row>
        <row r="1043">
          <cell r="B1043" t="str">
            <v>Hurstmere Foundation School for Boys</v>
          </cell>
        </row>
        <row r="1044">
          <cell r="B1044" t="str">
            <v>Hurworth Primary School</v>
          </cell>
        </row>
        <row r="1045">
          <cell r="B1045" t="str">
            <v>Hurworth School</v>
          </cell>
        </row>
        <row r="1046">
          <cell r="B1046" t="str">
            <v>Huttoft Primary School</v>
          </cell>
        </row>
        <row r="1047">
          <cell r="B1047" t="str">
            <v>Hutton All Saints' Church of England Primary School</v>
          </cell>
        </row>
        <row r="1048">
          <cell r="B1048" t="str">
            <v>Huxlow Science College</v>
          </cell>
        </row>
        <row r="1049">
          <cell r="B1049" t="str">
            <v>Hylands School</v>
          </cell>
        </row>
        <row r="1050">
          <cell r="B1050" t="str">
            <v>Ian Mikardo School</v>
          </cell>
        </row>
        <row r="1051">
          <cell r="B1051" t="str">
            <v>Ibstock Community College</v>
          </cell>
        </row>
        <row r="1052">
          <cell r="B1052" t="str">
            <v>Icknield High School</v>
          </cell>
        </row>
        <row r="1053">
          <cell r="B1053" t="str">
            <v>Iffley Mead School</v>
          </cell>
        </row>
        <row r="1054">
          <cell r="B1054" t="str">
            <v>Ifton Heath Primary School</v>
          </cell>
        </row>
        <row r="1055">
          <cell r="B1055" t="str">
            <v>Ilford Ursuline High School</v>
          </cell>
        </row>
        <row r="1056">
          <cell r="B1056" t="str">
            <v>Ilkeston School: Specialist Arts College</v>
          </cell>
        </row>
        <row r="1057">
          <cell r="B1057" t="str">
            <v>Ilkley Grammar School</v>
          </cell>
        </row>
        <row r="1058">
          <cell r="B1058" t="str">
            <v>Ilsham Church of England Academy</v>
          </cell>
        </row>
        <row r="1059">
          <cell r="B1059" t="str">
            <v>Ilsington Church of England Primary School</v>
          </cell>
        </row>
        <row r="1060">
          <cell r="B1060" t="str">
            <v>Impington Village College</v>
          </cell>
        </row>
        <row r="1061">
          <cell r="B1061" t="str">
            <v>Independent Jewish Day School</v>
          </cell>
        </row>
        <row r="1062">
          <cell r="B1062" t="str">
            <v>Inverteign Community Nursery and Primary School</v>
          </cell>
        </row>
        <row r="1063">
          <cell r="B1063" t="str">
            <v>Invicta Grammar School</v>
          </cell>
        </row>
        <row r="1064">
          <cell r="B1064" t="str">
            <v>Irlam and Cadishead College</v>
          </cell>
        </row>
        <row r="1065">
          <cell r="B1065" t="str">
            <v>Isambard Brunel Junior School</v>
          </cell>
        </row>
        <row r="1066">
          <cell r="B1066" t="str">
            <v>Isambard Community School</v>
          </cell>
        </row>
        <row r="1067">
          <cell r="B1067" t="str">
            <v>Isleworth and Syon School for Boys</v>
          </cell>
        </row>
        <row r="1068">
          <cell r="B1068" t="str">
            <v>Ivanhoe College Ashby-De-La-Zouch</v>
          </cell>
        </row>
        <row r="1069">
          <cell r="B1069" t="str">
            <v>Ivybridge Community College</v>
          </cell>
        </row>
        <row r="1070">
          <cell r="B1070" t="str">
            <v>Ixworth Middle School</v>
          </cell>
        </row>
        <row r="1071">
          <cell r="B1071" t="str">
            <v>James Brindley School</v>
          </cell>
        </row>
        <row r="1072">
          <cell r="B1072" t="str">
            <v>Jerry Clay Academy</v>
          </cell>
        </row>
        <row r="1073">
          <cell r="B1073" t="str">
            <v>JFS</v>
          </cell>
        </row>
        <row r="1074">
          <cell r="B1074" t="str">
            <v>Johanna Primary School</v>
          </cell>
        </row>
        <row r="1075">
          <cell r="B1075" t="str">
            <v>John Cleveland College</v>
          </cell>
        </row>
        <row r="1076">
          <cell r="B1076" t="str">
            <v>John Colet School</v>
          </cell>
        </row>
        <row r="1077">
          <cell r="B1077" t="str">
            <v>John Donne CofE Lower School</v>
          </cell>
        </row>
        <row r="1078">
          <cell r="B1078" t="str">
            <v>John Ferneley College</v>
          </cell>
        </row>
        <row r="1079">
          <cell r="B1079" t="str">
            <v>John Hampden Grammar School</v>
          </cell>
        </row>
        <row r="1080">
          <cell r="B1080" t="str">
            <v>John Kyrle High School and Sixth Form Centre</v>
          </cell>
        </row>
        <row r="1081">
          <cell r="B1081" t="str">
            <v>John Masefield High School</v>
          </cell>
        </row>
        <row r="1082">
          <cell r="B1082" t="str">
            <v>John Port School</v>
          </cell>
        </row>
        <row r="1083">
          <cell r="B1083" t="str">
            <v>John Ruskin School</v>
          </cell>
        </row>
        <row r="1084">
          <cell r="B1084" t="str">
            <v>John Spendluffe Foundation Technology College</v>
          </cell>
        </row>
        <row r="1085">
          <cell r="B1085" t="str">
            <v>John Taylor High School</v>
          </cell>
        </row>
        <row r="1086">
          <cell r="B1086" t="str">
            <v>Joseph Leckie Community Technology College</v>
          </cell>
        </row>
        <row r="1087">
          <cell r="B1087" t="str">
            <v>Joseph Swan School</v>
          </cell>
        </row>
        <row r="1088">
          <cell r="B1088" t="str">
            <v>Joseph Whitaker School</v>
          </cell>
        </row>
        <row r="1089">
          <cell r="B1089" t="str">
            <v>Jotmans Hall Primary School</v>
          </cell>
        </row>
        <row r="1090">
          <cell r="B1090" t="str">
            <v>Joydens Wood Infant School</v>
          </cell>
        </row>
        <row r="1091">
          <cell r="B1091" t="str">
            <v>Joydens Wood Junior School</v>
          </cell>
        </row>
        <row r="1092">
          <cell r="B1092" t="str">
            <v>Jubilee High School</v>
          </cell>
        </row>
        <row r="1093">
          <cell r="B1093" t="str">
            <v>Jubilee Park Primary School</v>
          </cell>
        </row>
        <row r="1094">
          <cell r="B1094" t="str">
            <v>Kanes Hill Primary School</v>
          </cell>
        </row>
        <row r="1095">
          <cell r="B1095" t="str">
            <v>Katharine Lady Berkeley's School</v>
          </cell>
        </row>
        <row r="1096">
          <cell r="B1096" t="str">
            <v>Katherine Semar Junior School</v>
          </cell>
        </row>
        <row r="1097">
          <cell r="B1097" t="str">
            <v>Kea Community Primary School</v>
          </cell>
        </row>
        <row r="1098">
          <cell r="B1098" t="str">
            <v>Kedington Primary School</v>
          </cell>
        </row>
        <row r="1099">
          <cell r="B1099" t="str">
            <v>Kelsall Community Primary School</v>
          </cell>
        </row>
        <row r="1100">
          <cell r="B1100" t="str">
            <v>Kelvedon St Mary's Church of England Primary School</v>
          </cell>
        </row>
        <row r="1101">
          <cell r="B1101" t="str">
            <v>Kemnal Technology College</v>
          </cell>
        </row>
        <row r="1102">
          <cell r="B1102" t="str">
            <v>Kendrick School</v>
          </cell>
        </row>
        <row r="1103">
          <cell r="B1103" t="str">
            <v>Kennet School</v>
          </cell>
        </row>
        <row r="1104">
          <cell r="B1104" t="str">
            <v>Kennett Community Primary School</v>
          </cell>
        </row>
        <row r="1105">
          <cell r="B1105" t="str">
            <v>Kenningtons Primary School</v>
          </cell>
        </row>
        <row r="1106">
          <cell r="B1106" t="str">
            <v>Kenton School</v>
          </cell>
        </row>
        <row r="1107">
          <cell r="B1107" t="str">
            <v>Kents Hill Infant School</v>
          </cell>
        </row>
        <row r="1108">
          <cell r="B1108" t="str">
            <v>Kents Hill Junior School</v>
          </cell>
        </row>
        <row r="1109">
          <cell r="B1109" t="str">
            <v>Kesgrave High School</v>
          </cell>
        </row>
        <row r="1110">
          <cell r="B1110" t="str">
            <v>Kesteven and Grantham Girls' School</v>
          </cell>
        </row>
        <row r="1111">
          <cell r="B1111" t="str">
            <v>Kesteven and Sleaford High School</v>
          </cell>
        </row>
        <row r="1112">
          <cell r="B1112" t="str">
            <v>Keston Church of England Primary School</v>
          </cell>
        </row>
        <row r="1113">
          <cell r="B1113" t="str">
            <v>Keswick School</v>
          </cell>
        </row>
        <row r="1114">
          <cell r="B1114" t="str">
            <v>Kibblesworth Primary School</v>
          </cell>
        </row>
        <row r="1115">
          <cell r="B1115" t="str">
            <v>Kibworth Church of England Primary School</v>
          </cell>
        </row>
        <row r="1116">
          <cell r="B1116" t="str">
            <v>Kibworth High School &amp; Community Technology College</v>
          </cell>
        </row>
        <row r="1117">
          <cell r="B1117" t="str">
            <v>Kilton Thorpe School</v>
          </cell>
        </row>
        <row r="1118">
          <cell r="B1118" t="str">
            <v>Kineton High School</v>
          </cell>
        </row>
        <row r="1119">
          <cell r="B1119" t="str">
            <v>King Alfred's (A Specialist Sports College)</v>
          </cell>
        </row>
        <row r="1120">
          <cell r="B1120" t="str">
            <v>King Charles I Secondary School</v>
          </cell>
        </row>
        <row r="1121">
          <cell r="B1121" t="str">
            <v>King David Primary School</v>
          </cell>
        </row>
        <row r="1122">
          <cell r="B1122" t="str">
            <v>King Ecgbert School</v>
          </cell>
        </row>
        <row r="1123">
          <cell r="B1123" t="str">
            <v>King Edward VI Aston School</v>
          </cell>
        </row>
        <row r="1124">
          <cell r="B1124" t="str">
            <v>King Edward VI Camp Hill School for Boys</v>
          </cell>
        </row>
        <row r="1125">
          <cell r="B1125" t="str">
            <v>King Edward VI Camp Hill School for Girls</v>
          </cell>
        </row>
        <row r="1126">
          <cell r="B1126" t="str">
            <v>King Edward VI Five Ways School</v>
          </cell>
        </row>
        <row r="1127">
          <cell r="B1127" t="str">
            <v>King Edward VI Grammar School, Chelmsford</v>
          </cell>
        </row>
        <row r="1128">
          <cell r="B1128" t="str">
            <v>King Edward VI Handsworth School</v>
          </cell>
        </row>
        <row r="1129">
          <cell r="B1129" t="str">
            <v>King Edward VI School</v>
          </cell>
        </row>
        <row r="1130">
          <cell r="B1130" t="str">
            <v>King Edward VII School</v>
          </cell>
        </row>
        <row r="1131">
          <cell r="B1131" t="str">
            <v>King Edward VII Science and Sport College</v>
          </cell>
        </row>
        <row r="1132">
          <cell r="B1132" t="str">
            <v>King Ethelbert School</v>
          </cell>
        </row>
        <row r="1133">
          <cell r="B1133" t="str">
            <v>King Harold Business &amp; Enterprise Academy</v>
          </cell>
        </row>
        <row r="1134">
          <cell r="B1134" t="str">
            <v>King James I Academy Bishop Auckland</v>
          </cell>
        </row>
        <row r="1135">
          <cell r="B1135" t="str">
            <v>King James's School</v>
          </cell>
        </row>
        <row r="1136">
          <cell r="B1136" t="str">
            <v>King Solomon High School</v>
          </cell>
        </row>
        <row r="1137">
          <cell r="B1137" t="str">
            <v>King William Street Church of England Primary School</v>
          </cell>
        </row>
        <row r="1138">
          <cell r="B1138" t="str">
            <v>King's Caple Primary School</v>
          </cell>
        </row>
        <row r="1139">
          <cell r="B1139" t="str">
            <v>Kings Langley School</v>
          </cell>
        </row>
        <row r="1140">
          <cell r="B1140" t="str">
            <v>Kings Norton Girls' School</v>
          </cell>
        </row>
        <row r="1141">
          <cell r="B1141" t="str">
            <v>King's Stanley CofE Primary School</v>
          </cell>
        </row>
        <row r="1142">
          <cell r="B1142" t="str">
            <v>Kingsbridge Academy</v>
          </cell>
        </row>
        <row r="1143">
          <cell r="B1143" t="str">
            <v>Kingsbury High School</v>
          </cell>
        </row>
        <row r="1144">
          <cell r="B1144" t="str">
            <v>Kingsdale Foundation School</v>
          </cell>
        </row>
        <row r="1145">
          <cell r="B1145" t="str">
            <v>Kingsdown and Ringwould CofE Primary School</v>
          </cell>
        </row>
        <row r="1146">
          <cell r="B1146" t="str">
            <v>Kingsdown School</v>
          </cell>
        </row>
        <row r="1147">
          <cell r="B1147" t="str">
            <v>Kingsfield First School</v>
          </cell>
        </row>
        <row r="1148">
          <cell r="B1148" t="str">
            <v>Kingsley School</v>
          </cell>
        </row>
        <row r="1149">
          <cell r="B1149" t="str">
            <v>Kingsmead Academy</v>
          </cell>
        </row>
        <row r="1150">
          <cell r="B1150" t="str">
            <v>Kingsmead School</v>
          </cell>
        </row>
        <row r="1151">
          <cell r="B1151" t="str">
            <v>Kingsmoor Lower School</v>
          </cell>
        </row>
        <row r="1152">
          <cell r="B1152" t="str">
            <v>Kingsthorpe College</v>
          </cell>
        </row>
        <row r="1153">
          <cell r="B1153" t="str">
            <v>Kingston School</v>
          </cell>
        </row>
        <row r="1154">
          <cell r="B1154" t="str">
            <v>Kingstone and Thruxton Primary School</v>
          </cell>
        </row>
        <row r="1155">
          <cell r="B1155" t="str">
            <v>Kingstone High School</v>
          </cell>
        </row>
        <row r="1156">
          <cell r="B1156" t="str">
            <v>Kington Primary School</v>
          </cell>
        </row>
        <row r="1157">
          <cell r="B1157" t="str">
            <v>Kirk Balk Community College</v>
          </cell>
        </row>
        <row r="1158">
          <cell r="B1158" t="str">
            <v>Kirk Hallam Community Technology and Sports College</v>
          </cell>
        </row>
        <row r="1159">
          <cell r="B1159" t="str">
            <v>Kirk Sandall Infant School</v>
          </cell>
        </row>
        <row r="1160">
          <cell r="B1160" t="str">
            <v>Kirkbie Kendal School</v>
          </cell>
        </row>
        <row r="1161">
          <cell r="B1161" t="str">
            <v>Kirkby College</v>
          </cell>
        </row>
        <row r="1162">
          <cell r="B1162" t="str">
            <v>Kirkby Stephen Grammar School</v>
          </cell>
        </row>
        <row r="1163">
          <cell r="B1163" t="str">
            <v>Knightsfield School</v>
          </cell>
        </row>
        <row r="1164">
          <cell r="B1164" t="str">
            <v>Knottingley Church of England Voluntary Controlled Junior and Infant School</v>
          </cell>
        </row>
        <row r="1165">
          <cell r="B1165" t="str">
            <v>Knottingley High School and Sports College</v>
          </cell>
        </row>
        <row r="1166">
          <cell r="B1166" t="str">
            <v>Knottingley Simpson's Lane Junior and Infant School</v>
          </cell>
        </row>
        <row r="1167">
          <cell r="B1167" t="str">
            <v>Knottingley Vale Junior and Infant School</v>
          </cell>
        </row>
        <row r="1168">
          <cell r="B1168" t="str">
            <v>Knowle Church of England Primary School</v>
          </cell>
        </row>
        <row r="1169">
          <cell r="B1169" t="str">
            <v>Knutsford High School</v>
          </cell>
        </row>
        <row r="1170">
          <cell r="B1170" t="str">
            <v>Krishna-Avanti Primary School</v>
          </cell>
        </row>
        <row r="1171">
          <cell r="B1171" t="str">
            <v>Lacey Green Primary School</v>
          </cell>
        </row>
        <row r="1172">
          <cell r="B1172" t="str">
            <v>Lady Boswell's Church of England Voluntary Aided Primary School, Sevenoaks</v>
          </cell>
        </row>
        <row r="1173">
          <cell r="B1173" t="str">
            <v>Lady Hawkins High School</v>
          </cell>
        </row>
        <row r="1174">
          <cell r="B1174" t="str">
            <v>Lady Jane Grey Primary School</v>
          </cell>
        </row>
        <row r="1175">
          <cell r="B1175" t="str">
            <v>Lady Margaret School</v>
          </cell>
        </row>
        <row r="1176">
          <cell r="B1176" t="str">
            <v>Lady Seaward's Church of England Primary School</v>
          </cell>
        </row>
        <row r="1177">
          <cell r="B1177" t="str">
            <v>Ladygrove Park Primary School</v>
          </cell>
        </row>
        <row r="1178">
          <cell r="B1178" t="str">
            <v>Lakers School</v>
          </cell>
        </row>
        <row r="1179">
          <cell r="B1179" t="str">
            <v>Lakeside School</v>
          </cell>
        </row>
        <row r="1180">
          <cell r="B1180" t="str">
            <v>Lampton Academy</v>
          </cell>
        </row>
        <row r="1181">
          <cell r="B1181" t="str">
            <v>Lancaster Girls' Grammar School</v>
          </cell>
        </row>
        <row r="1182">
          <cell r="B1182" t="str">
            <v>Lancaster Royal Grammar School</v>
          </cell>
        </row>
        <row r="1183">
          <cell r="B1183" t="str">
            <v>Langley Grammar School</v>
          </cell>
        </row>
        <row r="1184">
          <cell r="B1184" t="str">
            <v>Langley Park School for Boys</v>
          </cell>
        </row>
        <row r="1185">
          <cell r="B1185" t="str">
            <v>Langley Park School for Girls</v>
          </cell>
        </row>
        <row r="1186">
          <cell r="B1186" t="str">
            <v>Langley School, Specialist College for the Performing Arts, Languages and Training</v>
          </cell>
        </row>
        <row r="1187">
          <cell r="B1187" t="str">
            <v>Langtree School</v>
          </cell>
        </row>
        <row r="1188">
          <cell r="B1188" t="str">
            <v>Lapford Community Primary School</v>
          </cell>
        </row>
        <row r="1189">
          <cell r="B1189" t="str">
            <v>Lark Rise Academy</v>
          </cell>
        </row>
        <row r="1190">
          <cell r="B1190" t="str">
            <v>Latchmere School</v>
          </cell>
        </row>
        <row r="1191">
          <cell r="B1191" t="str">
            <v>Launceston College</v>
          </cell>
        </row>
        <row r="1192">
          <cell r="B1192" t="str">
            <v>Lavington School</v>
          </cell>
        </row>
        <row r="1193">
          <cell r="B1193" t="str">
            <v>Ledbury Primary School</v>
          </cell>
        </row>
        <row r="1194">
          <cell r="B1194" t="str">
            <v>Lee Chapel Primary School</v>
          </cell>
        </row>
        <row r="1195">
          <cell r="B1195" t="str">
            <v>Lees Brook Community Sports College</v>
          </cell>
        </row>
        <row r="1196">
          <cell r="B1196" t="str">
            <v>Leighfield Primary School</v>
          </cell>
        </row>
        <row r="1197">
          <cell r="B1197" t="str">
            <v>Lerryn CofE Primary School</v>
          </cell>
        </row>
        <row r="1198">
          <cell r="B1198" t="str">
            <v>Lethbridge Primary School</v>
          </cell>
        </row>
        <row r="1199">
          <cell r="B1199" t="str">
            <v>Lever Edge Primary School</v>
          </cell>
        </row>
        <row r="1200">
          <cell r="B1200" t="str">
            <v>Leverington Community Primary School</v>
          </cell>
        </row>
        <row r="1201">
          <cell r="B1201" t="str">
            <v>Ley Hill Junior and Infant (NC) School</v>
          </cell>
        </row>
        <row r="1202">
          <cell r="B1202" t="str">
            <v>Leysland High School</v>
          </cell>
        </row>
        <row r="1203">
          <cell r="B1203" t="str">
            <v>Lickey Hills Primary School</v>
          </cell>
        </row>
        <row r="1204">
          <cell r="B1204" t="str">
            <v>Lickhill Primary School</v>
          </cell>
        </row>
        <row r="1205">
          <cell r="B1205" t="str">
            <v>Light Hall School Specialist Mathematics and Computing College</v>
          </cell>
        </row>
        <row r="1206">
          <cell r="B1206" t="str">
            <v>Lilian Baylis Technology School</v>
          </cell>
        </row>
        <row r="1207">
          <cell r="B1207" t="str">
            <v>Limehurst High School</v>
          </cell>
        </row>
        <row r="1208">
          <cell r="B1208" t="str">
            <v>Limeside Primary School</v>
          </cell>
        </row>
        <row r="1209">
          <cell r="B1209" t="str">
            <v>Lincoln Castle Academy</v>
          </cell>
        </row>
        <row r="1210">
          <cell r="B1210" t="str">
            <v>Lincoln Christ's Hospital School</v>
          </cell>
        </row>
        <row r="1211">
          <cell r="B1211" t="str">
            <v>Lincoln The Sincil School</v>
          </cell>
        </row>
        <row r="1212">
          <cell r="B1212" t="str">
            <v>Lincroft Middle School</v>
          </cell>
        </row>
        <row r="1213">
          <cell r="B1213" t="str">
            <v>Lindley Junior School</v>
          </cell>
        </row>
        <row r="1214">
          <cell r="B1214" t="str">
            <v>Lings Primary School</v>
          </cell>
        </row>
        <row r="1215">
          <cell r="B1215" t="str">
            <v>Linslade Middle School</v>
          </cell>
        </row>
        <row r="1216">
          <cell r="B1216" t="str">
            <v>Linton Village College</v>
          </cell>
        </row>
        <row r="1217">
          <cell r="B1217" t="str">
            <v>Lipson Community College</v>
          </cell>
        </row>
        <row r="1218">
          <cell r="B1218" t="str">
            <v>Lisle Marsden CofE Aided Primary School</v>
          </cell>
        </row>
        <row r="1219">
          <cell r="B1219" t="str">
            <v>Little Mead Primary School</v>
          </cell>
        </row>
        <row r="1220">
          <cell r="B1220" t="str">
            <v>Little Reddings Primary School</v>
          </cell>
        </row>
        <row r="1221">
          <cell r="B1221" t="str">
            <v>Littledown School</v>
          </cell>
        </row>
        <row r="1222">
          <cell r="B1222" t="str">
            <v>Littleton Green Community School</v>
          </cell>
        </row>
        <row r="1223">
          <cell r="B1223" t="str">
            <v>Littletown Primary School</v>
          </cell>
        </row>
        <row r="1224">
          <cell r="B1224" t="str">
            <v>Llangrove CofE Primary School</v>
          </cell>
        </row>
        <row r="1225">
          <cell r="B1225" t="str">
            <v>Lode Heath School</v>
          </cell>
        </row>
        <row r="1226">
          <cell r="B1226" t="str">
            <v>Long Bennington Church of England Primary School</v>
          </cell>
        </row>
        <row r="1227">
          <cell r="B1227" t="str">
            <v>Long Field School</v>
          </cell>
        </row>
        <row r="1228">
          <cell r="B1228" t="str">
            <v>Longdean School</v>
          </cell>
        </row>
        <row r="1229">
          <cell r="B1229" t="str">
            <v>Longfield School</v>
          </cell>
        </row>
        <row r="1230">
          <cell r="B1230" t="str">
            <v>Longford Community School</v>
          </cell>
        </row>
        <row r="1231">
          <cell r="B1231" t="str">
            <v>Longlevens Junior School</v>
          </cell>
        </row>
        <row r="1232">
          <cell r="B1232" t="str">
            <v>Longsands Academy</v>
          </cell>
        </row>
        <row r="1233">
          <cell r="B1233" t="str">
            <v>Longslade Community College</v>
          </cell>
        </row>
        <row r="1234">
          <cell r="B1234" t="str">
            <v>Longspee School</v>
          </cell>
        </row>
        <row r="1235">
          <cell r="B1235" t="str">
            <v>Looe Community School</v>
          </cell>
        </row>
        <row r="1236">
          <cell r="B1236" t="str">
            <v>Lord Lawson of Beamish Community School</v>
          </cell>
        </row>
        <row r="1237">
          <cell r="B1237" t="str">
            <v>Lord Scudamore Primary School</v>
          </cell>
        </row>
        <row r="1238">
          <cell r="B1238" t="str">
            <v>Lord Williams's School</v>
          </cell>
        </row>
        <row r="1239">
          <cell r="B1239" t="str">
            <v>Lordswood Boys' School</v>
          </cell>
        </row>
        <row r="1240">
          <cell r="B1240" t="str">
            <v>Lordswood Girls' School and Sixth Form Centre</v>
          </cell>
        </row>
        <row r="1241">
          <cell r="B1241" t="str">
            <v>Loreto College</v>
          </cell>
        </row>
        <row r="1242">
          <cell r="B1242" t="str">
            <v>Loreto Grammar School</v>
          </cell>
        </row>
        <row r="1243">
          <cell r="B1243" t="str">
            <v>Lostock Hall Community High School and Arts College</v>
          </cell>
        </row>
        <row r="1244">
          <cell r="B1244" t="str">
            <v>Louth Kidgate Primary School</v>
          </cell>
        </row>
        <row r="1245">
          <cell r="B1245" t="str">
            <v>Lowbrook Primary School</v>
          </cell>
        </row>
        <row r="1246">
          <cell r="B1246" t="str">
            <v>Luddendenfoot Junior and Infant School</v>
          </cell>
        </row>
        <row r="1247">
          <cell r="B1247" t="str">
            <v>Luddenham School</v>
          </cell>
        </row>
        <row r="1248">
          <cell r="B1248" t="str">
            <v>Ludgvan Community Primary School</v>
          </cell>
        </row>
        <row r="1249">
          <cell r="B1249" t="str">
            <v>Ludlow Infant School</v>
          </cell>
        </row>
        <row r="1250">
          <cell r="B1250" t="str">
            <v>Ludlow Junior School</v>
          </cell>
        </row>
        <row r="1251">
          <cell r="B1251" t="str">
            <v>Lugwardine Primary School</v>
          </cell>
        </row>
        <row r="1252">
          <cell r="B1252" t="str">
            <v>Lutterworth College</v>
          </cell>
        </row>
        <row r="1253">
          <cell r="B1253" t="str">
            <v>Lutterworth High School</v>
          </cell>
        </row>
        <row r="1254">
          <cell r="B1254" t="str">
            <v>Lydiard Millicent Church of England Primary School</v>
          </cell>
        </row>
        <row r="1255">
          <cell r="B1255" t="str">
            <v>Lymm High Voluntary Controlled School</v>
          </cell>
        </row>
        <row r="1256">
          <cell r="B1256" t="str">
            <v>Lynch Hill (Foundation Primary) School</v>
          </cell>
        </row>
        <row r="1257">
          <cell r="B1257" t="str">
            <v>Lyndhurst Junior School</v>
          </cell>
        </row>
        <row r="1258">
          <cell r="B1258" t="str">
            <v>Lyng Hall School</v>
          </cell>
        </row>
        <row r="1259">
          <cell r="B1259" t="str">
            <v>Lynn Grove VA High School</v>
          </cell>
        </row>
        <row r="1260">
          <cell r="B1260" t="str">
            <v>Lynsted and Norton Primary School</v>
          </cell>
        </row>
        <row r="1261">
          <cell r="B1261" t="str">
            <v>Lyons Hall School</v>
          </cell>
        </row>
        <row r="1262">
          <cell r="B1262" t="str">
            <v>Maesbury Primary School</v>
          </cell>
        </row>
        <row r="1263">
          <cell r="B1263" t="str">
            <v>Magdalen College School</v>
          </cell>
        </row>
        <row r="1264">
          <cell r="B1264" t="str">
            <v>Maghull High School</v>
          </cell>
        </row>
        <row r="1265">
          <cell r="B1265" t="str">
            <v>Maiden Beech Academy</v>
          </cell>
        </row>
        <row r="1266">
          <cell r="B1266" t="str">
            <v>Maiden Erlegh School</v>
          </cell>
        </row>
        <row r="1267">
          <cell r="B1267" t="str">
            <v>Maidstone, St John's Church of England Primary School</v>
          </cell>
        </row>
        <row r="1268">
          <cell r="B1268" t="str">
            <v>Malmesbury Church of England Primary School</v>
          </cell>
        </row>
        <row r="1269">
          <cell r="B1269" t="str">
            <v>Malmesbury School</v>
          </cell>
        </row>
        <row r="1270">
          <cell r="B1270" t="str">
            <v>Malton School</v>
          </cell>
        </row>
        <row r="1271">
          <cell r="B1271" t="str">
            <v>Malvin's Close Primary School</v>
          </cell>
        </row>
        <row r="1272">
          <cell r="B1272" t="str">
            <v>Manchester Mesivta School</v>
          </cell>
        </row>
        <row r="1273">
          <cell r="B1273" t="str">
            <v>Mandeville Primary School</v>
          </cell>
        </row>
        <row r="1274">
          <cell r="B1274" t="str">
            <v>Manningtree High School</v>
          </cell>
        </row>
        <row r="1275">
          <cell r="B1275" t="str">
            <v>Manor Church of England Academy Trust</v>
          </cell>
        </row>
        <row r="1276">
          <cell r="B1276" t="str">
            <v>Manor High School</v>
          </cell>
        </row>
        <row r="1277">
          <cell r="B1277" t="str">
            <v>Manor School</v>
          </cell>
        </row>
        <row r="1278">
          <cell r="B1278" t="str">
            <v>Manor School and Sports College</v>
          </cell>
        </row>
        <row r="1279">
          <cell r="B1279" t="str">
            <v>Manston St James Church of England Primary School</v>
          </cell>
        </row>
        <row r="1280">
          <cell r="B1280" t="str">
            <v>Maplefields School</v>
          </cell>
        </row>
        <row r="1281">
          <cell r="B1281" t="str">
            <v>Margaret Beaufort Middle School</v>
          </cell>
        </row>
        <row r="1282">
          <cell r="B1282" t="str">
            <v>Marish Primary School</v>
          </cell>
        </row>
        <row r="1283">
          <cell r="B1283" t="str">
            <v>Mark Rutherford School</v>
          </cell>
        </row>
        <row r="1284">
          <cell r="B1284" t="str">
            <v>Market Bosworth High School</v>
          </cell>
        </row>
        <row r="1285">
          <cell r="B1285" t="str">
            <v>Market Harborough Ridgeway Primary School</v>
          </cell>
        </row>
        <row r="1286">
          <cell r="B1286" t="str">
            <v>Marlborough School</v>
          </cell>
        </row>
        <row r="1287">
          <cell r="B1287" t="str">
            <v>Marling School</v>
          </cell>
        </row>
        <row r="1288">
          <cell r="B1288" t="str">
            <v>Marshland Primary School</v>
          </cell>
        </row>
        <row r="1289">
          <cell r="B1289" t="str">
            <v>Marston Vale Middle School</v>
          </cell>
        </row>
        <row r="1290">
          <cell r="B1290" t="str">
            <v>Martham Foundation Primary School and Nursery</v>
          </cell>
        </row>
        <row r="1291">
          <cell r="B1291" t="str">
            <v>Martley, the Chantry High School</v>
          </cell>
        </row>
        <row r="1292">
          <cell r="B1292" t="str">
            <v>Mary Rose School</v>
          </cell>
        </row>
        <row r="1293">
          <cell r="B1293" t="str">
            <v>Maryhill High School</v>
          </cell>
        </row>
        <row r="1294">
          <cell r="B1294" t="str">
            <v>Mascalls School</v>
          </cell>
        </row>
        <row r="1295">
          <cell r="B1295" t="str">
            <v>Matthew Arnold School</v>
          </cell>
        </row>
        <row r="1296">
          <cell r="B1296" t="str">
            <v>Mayfield Grammar School, Gravesend</v>
          </cell>
        </row>
        <row r="1297">
          <cell r="B1297" t="str">
            <v>Mayflower High School</v>
          </cell>
        </row>
        <row r="1298">
          <cell r="B1298" t="str">
            <v>Meadowdale Middle School</v>
          </cell>
        </row>
        <row r="1299">
          <cell r="B1299" t="str">
            <v>Meadowdale Primary School</v>
          </cell>
        </row>
        <row r="1300">
          <cell r="B1300" t="str">
            <v>Meadowgate School</v>
          </cell>
        </row>
        <row r="1301">
          <cell r="B1301" t="str">
            <v>Meadowhead School</v>
          </cell>
        </row>
        <row r="1302">
          <cell r="B1302" t="str">
            <v>Measham Church of England Primary School</v>
          </cell>
        </row>
        <row r="1303">
          <cell r="B1303" t="str">
            <v>Medmerry Primary School</v>
          </cell>
        </row>
        <row r="1304">
          <cell r="B1304" t="str">
            <v>Melbourn Village College</v>
          </cell>
        </row>
        <row r="1305">
          <cell r="B1305" t="str">
            <v>Melland High School</v>
          </cell>
        </row>
        <row r="1306">
          <cell r="B1306" t="str">
            <v>Mellis Church of England Voluntary Controlled Primary School</v>
          </cell>
        </row>
        <row r="1307">
          <cell r="B1307" t="str">
            <v>Mellor Primary School</v>
          </cell>
        </row>
        <row r="1308">
          <cell r="B1308" t="str">
            <v>Mellow Lane School</v>
          </cell>
        </row>
        <row r="1309">
          <cell r="B1309" t="str">
            <v>Meopham Community Academy</v>
          </cell>
        </row>
        <row r="1310">
          <cell r="B1310" t="str">
            <v>Meppershall CofE VA Lower School</v>
          </cell>
        </row>
        <row r="1311">
          <cell r="B1311" t="str">
            <v>Mercenfeld Primary School</v>
          </cell>
        </row>
        <row r="1312">
          <cell r="B1312" t="str">
            <v>Mere Green Combined School</v>
          </cell>
        </row>
        <row r="1313">
          <cell r="B1313" t="str">
            <v>Meridian School</v>
          </cell>
        </row>
        <row r="1314">
          <cell r="B1314" t="str">
            <v>Mesty Croft Primary School</v>
          </cell>
        </row>
        <row r="1315">
          <cell r="B1315" t="str">
            <v>Middlefield Community Primary School</v>
          </cell>
        </row>
        <row r="1316">
          <cell r="B1316" t="str">
            <v>Middlethorpe Primary School</v>
          </cell>
        </row>
        <row r="1317">
          <cell r="B1317" t="str">
            <v>Middleton Cheney Community Primary School</v>
          </cell>
        </row>
        <row r="1318">
          <cell r="B1318" t="str">
            <v>Middleton Technology School</v>
          </cell>
        </row>
        <row r="1319">
          <cell r="B1319" t="str">
            <v>Mildenhall College of Technology</v>
          </cell>
        </row>
        <row r="1320">
          <cell r="B1320" t="str">
            <v>Milestone School</v>
          </cell>
        </row>
        <row r="1321">
          <cell r="B1321" t="str">
            <v>Milford Primary School</v>
          </cell>
        </row>
        <row r="1322">
          <cell r="B1322" t="str">
            <v>Mill Hill County High School</v>
          </cell>
        </row>
        <row r="1323">
          <cell r="B1323" t="str">
            <v>Mill Vale School</v>
          </cell>
        </row>
        <row r="1324">
          <cell r="B1324" t="str">
            <v>Millbank Primary School</v>
          </cell>
        </row>
        <row r="1325">
          <cell r="B1325" t="str">
            <v>Millbrook Primary School</v>
          </cell>
        </row>
        <row r="1326">
          <cell r="B1326" t="str">
            <v>Millfield Community Primary School</v>
          </cell>
        </row>
        <row r="1327">
          <cell r="B1327" t="str">
            <v>Milstead and Frinsted Church of England Primary School</v>
          </cell>
        </row>
        <row r="1328">
          <cell r="B1328" t="str">
            <v>Miltoncross School</v>
          </cell>
        </row>
        <row r="1329">
          <cell r="B1329" t="str">
            <v>Minehead Middle School</v>
          </cell>
        </row>
        <row r="1330">
          <cell r="B1330" t="str">
            <v>Minsthorpe Community College, A Specialist Science College</v>
          </cell>
        </row>
        <row r="1331">
          <cell r="B1331" t="str">
            <v>Minterne Community Junior School</v>
          </cell>
        </row>
        <row r="1332">
          <cell r="B1332" t="str">
            <v>Minworth Junior and Infant School</v>
          </cell>
        </row>
        <row r="1333">
          <cell r="B1333" t="str">
            <v>Monk's Walk School</v>
          </cell>
        </row>
        <row r="1334">
          <cell r="B1334" t="str">
            <v>Monkton Infants' School</v>
          </cell>
        </row>
        <row r="1335">
          <cell r="B1335" t="str">
            <v>Monkton Junior School</v>
          </cell>
        </row>
        <row r="1336">
          <cell r="B1336" t="str">
            <v>Montacute School</v>
          </cell>
        </row>
        <row r="1337">
          <cell r="B1337" t="str">
            <v>Monteclefe Church of England VA Junior School</v>
          </cell>
        </row>
        <row r="1338">
          <cell r="B1338" t="str">
            <v>Monteney Primary School</v>
          </cell>
        </row>
        <row r="1339">
          <cell r="B1339" t="str">
            <v>Montgomery High School - A Language College and Full Service School</v>
          </cell>
        </row>
        <row r="1340">
          <cell r="B1340" t="str">
            <v>Montsaye Community College</v>
          </cell>
        </row>
        <row r="1341">
          <cell r="B1341" t="str">
            <v>Moor End Academy</v>
          </cell>
        </row>
        <row r="1342">
          <cell r="B1342" t="str">
            <v>Moorcroft School</v>
          </cell>
        </row>
        <row r="1343">
          <cell r="B1343" t="str">
            <v>Moorside Community Primary School</v>
          </cell>
        </row>
        <row r="1344">
          <cell r="B1344" t="str">
            <v>Moorside Community Primary School</v>
          </cell>
        </row>
        <row r="1345">
          <cell r="B1345" t="str">
            <v>Mordiford CofE Primary School</v>
          </cell>
        </row>
        <row r="1346">
          <cell r="B1346" t="str">
            <v>Moredon Primary School</v>
          </cell>
        </row>
        <row r="1347">
          <cell r="B1347" t="str">
            <v>Moreton Community School</v>
          </cell>
        </row>
        <row r="1348">
          <cell r="B1348" t="str">
            <v>Morley High School</v>
          </cell>
        </row>
        <row r="1349">
          <cell r="B1349" t="str">
            <v>Morpeth Chantry Middle School</v>
          </cell>
        </row>
        <row r="1350">
          <cell r="B1350" t="str">
            <v>Morpeth Newminster Middle School</v>
          </cell>
        </row>
        <row r="1351">
          <cell r="B1351" t="str">
            <v>Morton Trentside Primary School</v>
          </cell>
        </row>
        <row r="1352">
          <cell r="B1352" t="str">
            <v>Mosley Primary School</v>
          </cell>
        </row>
        <row r="1353">
          <cell r="B1353" t="str">
            <v>Mossley Hollins High School</v>
          </cell>
        </row>
        <row r="1354">
          <cell r="B1354" t="str">
            <v>Mossley Primary School</v>
          </cell>
        </row>
        <row r="1355">
          <cell r="B1355" t="str">
            <v>Mottram St Andrew Primary Academy</v>
          </cell>
        </row>
        <row r="1356">
          <cell r="B1356" t="str">
            <v>Moulsham High School</v>
          </cell>
        </row>
        <row r="1357">
          <cell r="B1357" t="str">
            <v>Moulsham Infant School</v>
          </cell>
        </row>
        <row r="1358">
          <cell r="B1358" t="str">
            <v>Moulsham Junior School</v>
          </cell>
        </row>
        <row r="1359">
          <cell r="B1359" t="str">
            <v>Moulton School and Science College</v>
          </cell>
        </row>
        <row r="1360">
          <cell r="B1360" t="str">
            <v>Mount Grace High School</v>
          </cell>
        </row>
        <row r="1361">
          <cell r="B1361" t="str">
            <v>Mount Grace School</v>
          </cell>
        </row>
        <row r="1362">
          <cell r="B1362" t="str">
            <v>Mount Hawke Academy</v>
          </cell>
        </row>
        <row r="1363">
          <cell r="B1363" t="str">
            <v>Mount Street Infant and Nursery School</v>
          </cell>
        </row>
        <row r="1364">
          <cell r="B1364" t="str">
            <v>Mount Street Primary School</v>
          </cell>
        </row>
        <row r="1365">
          <cell r="B1365" t="str">
            <v>Mountfields Lodge School</v>
          </cell>
        </row>
        <row r="1366">
          <cell r="B1366" t="str">
            <v>Mountford Manor Primary School</v>
          </cell>
        </row>
        <row r="1367">
          <cell r="B1367" t="str">
            <v>Mounts Bay Academy</v>
          </cell>
        </row>
        <row r="1368">
          <cell r="B1368" t="str">
            <v>Mowden Infants' School</v>
          </cell>
        </row>
        <row r="1369">
          <cell r="B1369" t="str">
            <v>Mowden Junior School</v>
          </cell>
        </row>
        <row r="1370">
          <cell r="B1370" t="str">
            <v>Mundella Primary School</v>
          </cell>
        </row>
        <row r="1371">
          <cell r="B1371" t="str">
            <v>Murton Community Primary School</v>
          </cell>
        </row>
        <row r="1372">
          <cell r="B1372" t="str">
            <v>Myton School</v>
          </cell>
        </row>
        <row r="1373">
          <cell r="B1373" t="str">
            <v>Nailsea School</v>
          </cell>
        </row>
        <row r="1374">
          <cell r="B1374" t="str">
            <v>Nansloe Community Primary School</v>
          </cell>
        </row>
        <row r="1375">
          <cell r="B1375" t="str">
            <v>Narborough The Pastures Primary School</v>
          </cell>
        </row>
        <row r="1376">
          <cell r="B1376" t="str">
            <v>Needham Market Middle School</v>
          </cell>
        </row>
        <row r="1377">
          <cell r="B1377" t="str">
            <v>Neston High School</v>
          </cell>
        </row>
        <row r="1378">
          <cell r="B1378" t="str">
            <v>Nethergate School</v>
          </cell>
        </row>
        <row r="1379">
          <cell r="B1379" t="str">
            <v>Netherthorpe School</v>
          </cell>
        </row>
        <row r="1380">
          <cell r="B1380" t="str">
            <v>New Bridge School</v>
          </cell>
        </row>
        <row r="1381">
          <cell r="B1381" t="str">
            <v>New Monument School</v>
          </cell>
        </row>
        <row r="1382">
          <cell r="B1382" t="str">
            <v>New North Community School</v>
          </cell>
        </row>
        <row r="1383">
          <cell r="B1383" t="str">
            <v>New Oak Primary</v>
          </cell>
        </row>
        <row r="1384">
          <cell r="B1384" t="str">
            <v>New Seaham Primary School</v>
          </cell>
        </row>
        <row r="1385">
          <cell r="B1385" t="str">
            <v>New Waltham Primary School</v>
          </cell>
        </row>
        <row r="1386">
          <cell r="B1386" t="str">
            <v>Newbridge High School</v>
          </cell>
        </row>
        <row r="1387">
          <cell r="B1387" t="str">
            <v>Newbridge Junior School</v>
          </cell>
        </row>
        <row r="1388">
          <cell r="B1388" t="str">
            <v>Newent Community School and Sixth Form Centre</v>
          </cell>
        </row>
        <row r="1389">
          <cell r="B1389" t="str">
            <v>Newlands Spring Primary School</v>
          </cell>
        </row>
        <row r="1390">
          <cell r="B1390" t="str">
            <v>Newmarket College</v>
          </cell>
        </row>
        <row r="1391">
          <cell r="B1391" t="str">
            <v>Newport Community School</v>
          </cell>
        </row>
        <row r="1392">
          <cell r="B1392" t="str">
            <v>Newport Free Grammar School</v>
          </cell>
        </row>
        <row r="1393">
          <cell r="B1393" t="str">
            <v>Newport Girls' High School</v>
          </cell>
        </row>
        <row r="1394">
          <cell r="B1394" t="str">
            <v>Newquay Junior Academy</v>
          </cell>
        </row>
        <row r="1395">
          <cell r="B1395" t="str">
            <v>Newquay Tretherras</v>
          </cell>
        </row>
        <row r="1396">
          <cell r="B1396" t="str">
            <v>Newstead Wood School</v>
          </cell>
        </row>
        <row r="1397">
          <cell r="B1397" t="str">
            <v>Newton Abbot College</v>
          </cell>
        </row>
        <row r="1398">
          <cell r="B1398" t="str">
            <v>Newton Ferrers Church of England Primary School</v>
          </cell>
        </row>
        <row r="1399">
          <cell r="B1399" t="str">
            <v>Newton Longville Church of England Combined School</v>
          </cell>
        </row>
        <row r="1400">
          <cell r="B1400" t="str">
            <v>Newton Regis CofE Primary School</v>
          </cell>
        </row>
        <row r="1401">
          <cell r="B1401" t="str">
            <v>Newton Road Community Primary School</v>
          </cell>
        </row>
        <row r="1402">
          <cell r="B1402" t="str">
            <v>Nicholas Breakspear Catholic School</v>
          </cell>
        </row>
        <row r="1403">
          <cell r="B1403" t="str">
            <v>Nicholas Hawksmoor Primary School</v>
          </cell>
        </row>
        <row r="1404">
          <cell r="B1404" t="str">
            <v>Nine Maidens Short Stay School</v>
          </cell>
        </row>
        <row r="1405">
          <cell r="B1405" t="str">
            <v>Ninestiles School</v>
          </cell>
        </row>
        <row r="1406">
          <cell r="B1406" t="str">
            <v>Noadswood School</v>
          </cell>
        </row>
        <row r="1407">
          <cell r="B1407" t="str">
            <v>Noel-Baker Community School and Language College</v>
          </cell>
        </row>
        <row r="1408">
          <cell r="B1408" t="str">
            <v>Nonsuch High School for Girls</v>
          </cell>
        </row>
        <row r="1409">
          <cell r="B1409" t="str">
            <v>Norbreck Primary School</v>
          </cell>
        </row>
        <row r="1410">
          <cell r="B1410" t="str">
            <v>Norbridge Primary School</v>
          </cell>
        </row>
        <row r="1411">
          <cell r="B1411" t="str">
            <v>Norbury Manor Business and Enterprise College for Girls</v>
          </cell>
        </row>
        <row r="1412">
          <cell r="B1412" t="str">
            <v>Norland CofE Junior and Infant School</v>
          </cell>
        </row>
        <row r="1413">
          <cell r="B1413" t="str">
            <v>North Axholme School</v>
          </cell>
        </row>
        <row r="1414">
          <cell r="B1414" t="str">
            <v>North Cornwall Short Stay School</v>
          </cell>
        </row>
        <row r="1415">
          <cell r="B1415" t="str">
            <v>North Hykeham Fosse Way Primary School</v>
          </cell>
        </row>
        <row r="1416">
          <cell r="B1416" t="str">
            <v>North Hykeham Ling Moor Primary School</v>
          </cell>
        </row>
        <row r="1417">
          <cell r="B1417" t="str">
            <v>North Kesteven School</v>
          </cell>
        </row>
        <row r="1418">
          <cell r="B1418" t="str">
            <v>North Leverton CofE Primary School</v>
          </cell>
        </row>
        <row r="1419">
          <cell r="B1419" t="str">
            <v>North Ormesby Primary School</v>
          </cell>
        </row>
        <row r="1420">
          <cell r="B1420" t="str">
            <v>North Thoresby Primary School</v>
          </cell>
        </row>
        <row r="1421">
          <cell r="B1421" t="str">
            <v>North Town Community Primary School</v>
          </cell>
        </row>
        <row r="1422">
          <cell r="B1422" t="str">
            <v>Northampton School for Boys</v>
          </cell>
        </row>
        <row r="1423">
          <cell r="B1423" t="str">
            <v>Northern House School</v>
          </cell>
        </row>
        <row r="1424">
          <cell r="B1424" t="str">
            <v>Northgate Primary and Nursery School</v>
          </cell>
        </row>
        <row r="1425">
          <cell r="B1425" t="str">
            <v>Northgate Primary School</v>
          </cell>
        </row>
        <row r="1426">
          <cell r="B1426" t="str">
            <v>Northgate School Arts College</v>
          </cell>
        </row>
        <row r="1427">
          <cell r="B1427" t="str">
            <v>Northumberland Heath Primary School</v>
          </cell>
        </row>
        <row r="1428">
          <cell r="B1428" t="str">
            <v>Northwood Primary School</v>
          </cell>
        </row>
        <row r="1429">
          <cell r="B1429" t="str">
            <v>Northwood Primary School</v>
          </cell>
        </row>
        <row r="1430">
          <cell r="B1430" t="str">
            <v>Northwood School</v>
          </cell>
        </row>
        <row r="1431">
          <cell r="B1431" t="str">
            <v>Norton College</v>
          </cell>
        </row>
        <row r="1432">
          <cell r="B1432" t="str">
            <v>Norton Hill Academy</v>
          </cell>
        </row>
        <row r="1433">
          <cell r="B1433" t="str">
            <v>Norwood Green Junior School</v>
          </cell>
        </row>
        <row r="1434">
          <cell r="B1434" t="str">
            <v>Notley Green Primary School</v>
          </cell>
        </row>
        <row r="1435">
          <cell r="B1435" t="str">
            <v>Notley High School</v>
          </cell>
        </row>
        <row r="1436">
          <cell r="B1436" t="str">
            <v>Notre Dame High School</v>
          </cell>
        </row>
        <row r="1437">
          <cell r="B1437" t="str">
            <v>Notre Dame High School, Norwich</v>
          </cell>
        </row>
        <row r="1438">
          <cell r="B1438" t="str">
            <v>Nova Hreod</v>
          </cell>
        </row>
        <row r="1439">
          <cell r="B1439" t="str">
            <v>Nower Hill High School</v>
          </cell>
        </row>
        <row r="1440">
          <cell r="B1440" t="str">
            <v>Nunnery Wood High School</v>
          </cell>
        </row>
        <row r="1441">
          <cell r="B1441" t="str">
            <v>Nunthorpe School</v>
          </cell>
        </row>
        <row r="1442">
          <cell r="B1442" t="str">
            <v>Nyland School</v>
          </cell>
        </row>
        <row r="1443">
          <cell r="B1443" t="str">
            <v>Oak Bank School</v>
          </cell>
        </row>
        <row r="1444">
          <cell r="B1444" t="str">
            <v>Oak Wood Primary School</v>
          </cell>
        </row>
        <row r="1445">
          <cell r="B1445" t="str">
            <v>Oak Wood Secondary School</v>
          </cell>
        </row>
        <row r="1446">
          <cell r="B1446" t="str">
            <v>Oakfield School</v>
          </cell>
        </row>
        <row r="1447">
          <cell r="B1447" t="str">
            <v>Oakgrove School</v>
          </cell>
        </row>
        <row r="1448">
          <cell r="B1448" t="str">
            <v>Oakhill Primary School</v>
          </cell>
        </row>
        <row r="1449">
          <cell r="B1449" t="str">
            <v>Oaklands Catholic School</v>
          </cell>
        </row>
        <row r="1450">
          <cell r="B1450" t="str">
            <v>Oakmead College of Technology</v>
          </cell>
        </row>
        <row r="1451">
          <cell r="B1451" t="str">
            <v>Oakwood High School</v>
          </cell>
        </row>
        <row r="1452">
          <cell r="B1452" t="str">
            <v>Oakwood Park Grammar School</v>
          </cell>
        </row>
        <row r="1453">
          <cell r="B1453" t="str">
            <v>Ocker Hill Junior School</v>
          </cell>
        </row>
        <row r="1454">
          <cell r="B1454" t="str">
            <v>Old Basford Primary and Nursery School</v>
          </cell>
        </row>
        <row r="1455">
          <cell r="B1455" t="str">
            <v>Old Buckenham High School</v>
          </cell>
        </row>
        <row r="1456">
          <cell r="B1456" t="str">
            <v>Old Clee Primary School</v>
          </cell>
        </row>
        <row r="1457">
          <cell r="B1457" t="str">
            <v>Old Dalby Church of England Primary School</v>
          </cell>
        </row>
        <row r="1458">
          <cell r="B1458" t="str">
            <v>Old Earth Primary School</v>
          </cell>
        </row>
        <row r="1459">
          <cell r="B1459" t="str">
            <v>Old Ford Primary School</v>
          </cell>
        </row>
        <row r="1460">
          <cell r="B1460" t="str">
            <v>Old Priory Junior School</v>
          </cell>
        </row>
        <row r="1461">
          <cell r="B1461" t="str">
            <v>Old Swinford Hospital</v>
          </cell>
        </row>
        <row r="1462">
          <cell r="B1462" t="str">
            <v>Oldbury College of Sport</v>
          </cell>
        </row>
        <row r="1463">
          <cell r="B1463" t="str">
            <v>Oldfield School</v>
          </cell>
        </row>
        <row r="1464">
          <cell r="B1464" t="str">
            <v>Oldknow Junior School</v>
          </cell>
        </row>
        <row r="1465">
          <cell r="B1465" t="str">
            <v>Olney Infant Academy</v>
          </cell>
        </row>
        <row r="1466">
          <cell r="B1466" t="str">
            <v>Onslow St Audrey's School</v>
          </cell>
        </row>
        <row r="1467">
          <cell r="B1467" t="str">
            <v>Orchard Vale Community School</v>
          </cell>
        </row>
        <row r="1468">
          <cell r="B1468" t="str">
            <v>Orchards Academy</v>
          </cell>
        </row>
        <row r="1469">
          <cell r="B1469" t="str">
            <v>Oreston Community Academy</v>
          </cell>
        </row>
        <row r="1470">
          <cell r="B1470" t="str">
            <v>Orleans Park School</v>
          </cell>
        </row>
        <row r="1471">
          <cell r="B1471" t="str">
            <v>Ormesby School</v>
          </cell>
        </row>
        <row r="1472">
          <cell r="B1472" t="str">
            <v>Ossett Academy and Sixth Form College</v>
          </cell>
        </row>
        <row r="1473">
          <cell r="B1473" t="str">
            <v>Otley Prince Henry's Grammar School Specialist Language College</v>
          </cell>
        </row>
        <row r="1474">
          <cell r="B1474" t="str">
            <v>Our Lady and St Benedict Catholic Primary School</v>
          </cell>
        </row>
        <row r="1475">
          <cell r="B1475" t="str">
            <v>Our Lady and St Edward's Catholic Primary School</v>
          </cell>
        </row>
        <row r="1476">
          <cell r="B1476" t="str">
            <v>Our Lady Immaculate Catholic Primary School</v>
          </cell>
        </row>
        <row r="1477">
          <cell r="B1477" t="str">
            <v>Our Lady of Good Counsel Catholic Primary School</v>
          </cell>
        </row>
        <row r="1478">
          <cell r="B1478" t="str">
            <v>Our Lady of Lincoln Catholic Primary School</v>
          </cell>
        </row>
        <row r="1479">
          <cell r="B1479" t="str">
            <v>Our Lady of Lourdes Catholic Primary School, Witney</v>
          </cell>
        </row>
        <row r="1480">
          <cell r="B1480" t="str">
            <v>Our Lady of Perpetual Succour Catholic Primary School</v>
          </cell>
        </row>
        <row r="1481">
          <cell r="B1481" t="str">
            <v>Our Lady Roman Catholic Primary School</v>
          </cell>
        </row>
        <row r="1482">
          <cell r="B1482" t="str">
            <v>Our Lady's Catholic Primary School</v>
          </cell>
        </row>
        <row r="1483">
          <cell r="B1483" t="str">
            <v>Ousedale School</v>
          </cell>
        </row>
        <row r="1484">
          <cell r="B1484" t="str">
            <v>Outwood Academy Ripon</v>
          </cell>
        </row>
        <row r="1485">
          <cell r="B1485" t="str">
            <v>Outwood Ledger Lane Junior and Infant School</v>
          </cell>
        </row>
        <row r="1486">
          <cell r="B1486" t="str">
            <v>Outwoods Edge Primary School</v>
          </cell>
        </row>
        <row r="1487">
          <cell r="B1487" t="str">
            <v>Overton Grange School</v>
          </cell>
        </row>
        <row r="1488">
          <cell r="B1488" t="str">
            <v>Oxclose Community School</v>
          </cell>
        </row>
        <row r="1489">
          <cell r="B1489" t="str">
            <v>Oxley Park Primary School</v>
          </cell>
        </row>
        <row r="1490">
          <cell r="B1490" t="str">
            <v>Padstow School</v>
          </cell>
        </row>
        <row r="1491">
          <cell r="B1491" t="str">
            <v>Painsley Catholic College</v>
          </cell>
        </row>
        <row r="1492">
          <cell r="B1492" t="str">
            <v>Palace Fields Primary Academy</v>
          </cell>
        </row>
        <row r="1493">
          <cell r="B1493" t="str">
            <v>Parbold Douglas Church of England Academy</v>
          </cell>
        </row>
        <row r="1494">
          <cell r="B1494" t="str">
            <v>Parish Church of England Primary School</v>
          </cell>
        </row>
        <row r="1495">
          <cell r="B1495" t="str">
            <v>Park Hall Infant Academy</v>
          </cell>
        </row>
        <row r="1496">
          <cell r="B1496" t="str">
            <v>Park Hall Junior School</v>
          </cell>
        </row>
        <row r="1497">
          <cell r="B1497" t="str">
            <v>Park High School</v>
          </cell>
        </row>
        <row r="1498">
          <cell r="B1498" t="str">
            <v>Park House School</v>
          </cell>
        </row>
        <row r="1499">
          <cell r="B1499" t="str">
            <v>Park Primary School</v>
          </cell>
        </row>
        <row r="1500">
          <cell r="B1500" t="str">
            <v>Park Road Primary School</v>
          </cell>
        </row>
        <row r="1501">
          <cell r="B1501" t="str">
            <v>Park School</v>
          </cell>
        </row>
        <row r="1502">
          <cell r="B1502" t="str">
            <v>Park View Business and Enterprise School</v>
          </cell>
        </row>
        <row r="1503">
          <cell r="B1503" t="str">
            <v>Park View Community School</v>
          </cell>
        </row>
        <row r="1504">
          <cell r="B1504" t="str">
            <v>Parkfield Community School</v>
          </cell>
        </row>
        <row r="1505">
          <cell r="B1505" t="str">
            <v>Parkfields Middle School</v>
          </cell>
        </row>
        <row r="1506">
          <cell r="B1506" t="str">
            <v>Parkland Primary School South Wigston</v>
          </cell>
        </row>
        <row r="1507">
          <cell r="B1507" t="str">
            <v>Parklands High School</v>
          </cell>
        </row>
        <row r="1508">
          <cell r="B1508" t="str">
            <v>Parkside Community College</v>
          </cell>
        </row>
        <row r="1509">
          <cell r="B1509" t="str">
            <v>Parkside Sports College</v>
          </cell>
        </row>
        <row r="1510">
          <cell r="B1510" t="str">
            <v>Parkstone Grammar School</v>
          </cell>
        </row>
        <row r="1511">
          <cell r="B1511" t="str">
            <v>Parmiter's School</v>
          </cell>
        </row>
        <row r="1512">
          <cell r="B1512" t="str">
            <v>Parson Street Primary School</v>
          </cell>
        </row>
        <row r="1513">
          <cell r="B1513" t="str">
            <v>Passmores School and Technology College</v>
          </cell>
        </row>
        <row r="1514">
          <cell r="B1514" t="str">
            <v>Patchway Community College</v>
          </cell>
        </row>
        <row r="1515">
          <cell r="B1515" t="str">
            <v>Pate's Grammar School</v>
          </cell>
        </row>
        <row r="1516">
          <cell r="B1516" t="str">
            <v>Peareswood Primary School</v>
          </cell>
        </row>
        <row r="1517">
          <cell r="B1517" t="str">
            <v>Peatmoor Community Primary School</v>
          </cell>
        </row>
        <row r="1518">
          <cell r="B1518" t="str">
            <v>Peckham Park Primary School</v>
          </cell>
        </row>
        <row r="1519">
          <cell r="B1519" t="str">
            <v>Peckover Primary School</v>
          </cell>
        </row>
        <row r="1520">
          <cell r="B1520" t="str">
            <v>Pegasus Primary School</v>
          </cell>
        </row>
        <row r="1521">
          <cell r="B1521" t="str">
            <v>Pegasus School</v>
          </cell>
        </row>
        <row r="1522">
          <cell r="B1522" t="str">
            <v>Pelham Primary School</v>
          </cell>
        </row>
        <row r="1523">
          <cell r="B1523" t="str">
            <v>Pen Mill Infants' School</v>
          </cell>
        </row>
        <row r="1524">
          <cell r="B1524" t="str">
            <v>Penair School A Science College</v>
          </cell>
        </row>
        <row r="1525">
          <cell r="B1525" t="str">
            <v>Pencalenick School</v>
          </cell>
        </row>
        <row r="1526">
          <cell r="B1526" t="str">
            <v>Pendeen School</v>
          </cell>
        </row>
        <row r="1527">
          <cell r="B1527" t="str">
            <v>Penketh High School</v>
          </cell>
        </row>
        <row r="1528">
          <cell r="B1528" t="str">
            <v>Penn Wood Primary and Nursery School</v>
          </cell>
        </row>
        <row r="1529">
          <cell r="B1529" t="str">
            <v>Pennine Way Junior School</v>
          </cell>
        </row>
        <row r="1530">
          <cell r="B1530" t="str">
            <v>Penrice Community College</v>
          </cell>
        </row>
        <row r="1531">
          <cell r="B1531" t="str">
            <v>Penryn College</v>
          </cell>
        </row>
        <row r="1532">
          <cell r="B1532" t="str">
            <v>Penwith Short Stay School</v>
          </cell>
        </row>
        <row r="1533">
          <cell r="B1533" t="str">
            <v>Perins School A Community Sports College</v>
          </cell>
        </row>
        <row r="1534">
          <cell r="B1534" t="str">
            <v>Perry Beeches Junior School</v>
          </cell>
        </row>
        <row r="1535">
          <cell r="B1535" t="str">
            <v>Perry Beeches School</v>
          </cell>
        </row>
        <row r="1536">
          <cell r="B1536" t="str">
            <v>Pershore High School</v>
          </cell>
        </row>
        <row r="1537">
          <cell r="B1537" t="str">
            <v>Pewsey Vale School</v>
          </cell>
        </row>
        <row r="1538">
          <cell r="B1538" t="str">
            <v>Philip Morant School and College</v>
          </cell>
        </row>
        <row r="1539">
          <cell r="B1539" t="str">
            <v>Phoenix High School</v>
          </cell>
        </row>
        <row r="1540">
          <cell r="B1540" t="str">
            <v>Phoenix Primary EBD School</v>
          </cell>
        </row>
        <row r="1541">
          <cell r="B1541" t="str">
            <v>Pickhurst Infant School</v>
          </cell>
        </row>
        <row r="1542">
          <cell r="B1542" t="str">
            <v>Pickhurst Junior School</v>
          </cell>
        </row>
        <row r="1543">
          <cell r="B1543" t="str">
            <v>Pilton Community College</v>
          </cell>
        </row>
        <row r="1544">
          <cell r="B1544" t="str">
            <v>Pilton the Bluecoat Church of England Junior School</v>
          </cell>
        </row>
        <row r="1545">
          <cell r="B1545" t="str">
            <v>Pinfold Primary School</v>
          </cell>
        </row>
        <row r="1546">
          <cell r="B1546" t="str">
            <v>Pittville School</v>
          </cell>
        </row>
        <row r="1547">
          <cell r="B1547" t="str">
            <v>Place Farm Community Primary School</v>
          </cell>
        </row>
        <row r="1548">
          <cell r="B1548" t="str">
            <v>Plantsbrook School</v>
          </cell>
        </row>
        <row r="1549">
          <cell r="B1549" t="str">
            <v>Platt Bridge Community Primary School</v>
          </cell>
        </row>
        <row r="1550">
          <cell r="B1550" t="str">
            <v>Pluckley Church of England Primary School</v>
          </cell>
        </row>
        <row r="1551">
          <cell r="B1551" t="str">
            <v>Plumberow Primary School</v>
          </cell>
        </row>
        <row r="1552">
          <cell r="B1552" t="str">
            <v>Plume School</v>
          </cell>
        </row>
        <row r="1553">
          <cell r="B1553" t="str">
            <v>Plymstock School</v>
          </cell>
        </row>
        <row r="1554">
          <cell r="B1554" t="str">
            <v>Pokesdown Community Primary School</v>
          </cell>
        </row>
        <row r="1555">
          <cell r="B1555" t="str">
            <v>Pond Meadow School</v>
          </cell>
        </row>
        <row r="1556">
          <cell r="B1556" t="str">
            <v>Pontefract Halfpenny Lane Junior Infant and Nursery School</v>
          </cell>
        </row>
        <row r="1557">
          <cell r="B1557" t="str">
            <v>Pontefract Larks Hill Junior and Infant School</v>
          </cell>
        </row>
        <row r="1558">
          <cell r="B1558" t="str">
            <v>Pontefract Orchard Head Junior and Infant School</v>
          </cell>
        </row>
        <row r="1559">
          <cell r="B1559" t="str">
            <v>Pool Academy</v>
          </cell>
        </row>
        <row r="1560">
          <cell r="B1560" t="str">
            <v>Poole Grammar School</v>
          </cell>
        </row>
        <row r="1561">
          <cell r="B1561" t="str">
            <v>Poole High School</v>
          </cell>
        </row>
        <row r="1562">
          <cell r="B1562" t="str">
            <v>Poole's Park Primary School</v>
          </cell>
        </row>
        <row r="1563">
          <cell r="B1563" t="str">
            <v>Portchester School</v>
          </cell>
        </row>
        <row r="1564">
          <cell r="B1564" t="str">
            <v>Portland College</v>
          </cell>
        </row>
        <row r="1565">
          <cell r="B1565" t="str">
            <v>Portswood Primary School</v>
          </cell>
        </row>
        <row r="1566">
          <cell r="B1566" t="str">
            <v>Powell's Church of England Primary School</v>
          </cell>
        </row>
        <row r="1567">
          <cell r="B1567" t="str">
            <v>Prenton High School for Girls</v>
          </cell>
        </row>
        <row r="1568">
          <cell r="B1568" t="str">
            <v>Presdales School</v>
          </cell>
        </row>
        <row r="1569">
          <cell r="B1569" t="str">
            <v>Preston Hedges Primary School</v>
          </cell>
        </row>
        <row r="1570">
          <cell r="B1570" t="str">
            <v>Preston Manor School</v>
          </cell>
        </row>
        <row r="1571">
          <cell r="B1571" t="str">
            <v>Preston School</v>
          </cell>
        </row>
        <row r="1572">
          <cell r="B1572" t="str">
            <v>Priestlands School</v>
          </cell>
        </row>
        <row r="1573">
          <cell r="B1573" t="str">
            <v>Prince Avenue Primary Foundation School and Nursery</v>
          </cell>
        </row>
        <row r="1574">
          <cell r="B1574" t="str">
            <v>Prince Henry's High School</v>
          </cell>
        </row>
        <row r="1575">
          <cell r="B1575" t="str">
            <v>Princes Risborough</v>
          </cell>
        </row>
        <row r="1576">
          <cell r="B1576" t="str">
            <v>Priorslee Primary School</v>
          </cell>
        </row>
        <row r="1577">
          <cell r="B1577" t="str">
            <v>Priory Catholic Primary School, Eastwood</v>
          </cell>
        </row>
        <row r="1578">
          <cell r="B1578" t="str">
            <v>Priory Community School</v>
          </cell>
        </row>
        <row r="1579">
          <cell r="B1579" t="str">
            <v>Priory Middle School</v>
          </cell>
        </row>
        <row r="1580">
          <cell r="B1580" t="str">
            <v>Priory School</v>
          </cell>
        </row>
        <row r="1581">
          <cell r="B1581" t="str">
            <v>Priory Sports and Technology College, Penwortham</v>
          </cell>
        </row>
        <row r="1582">
          <cell r="B1582" t="str">
            <v>Prospect School</v>
          </cell>
        </row>
        <row r="1583">
          <cell r="B1583" t="str">
            <v>Putnoe Primary School</v>
          </cell>
        </row>
        <row r="1584">
          <cell r="B1584" t="str">
            <v>Putteridge High School</v>
          </cell>
        </row>
        <row r="1585">
          <cell r="B1585" t="str">
            <v>Pyrgo Priory School</v>
          </cell>
        </row>
        <row r="1586">
          <cell r="B1586" t="str">
            <v>Quarrydale School</v>
          </cell>
        </row>
        <row r="1587">
          <cell r="B1587" t="str">
            <v>Queen Elizabeth Grammar School</v>
          </cell>
        </row>
        <row r="1588">
          <cell r="B1588" t="str">
            <v>Queen Elizabeth Humanities College</v>
          </cell>
        </row>
        <row r="1589">
          <cell r="B1589" t="str">
            <v>Queen Elizabeth School</v>
          </cell>
        </row>
        <row r="1590">
          <cell r="B1590" t="str">
            <v>Queen Elizabeth's Academy Trust</v>
          </cell>
        </row>
        <row r="1591">
          <cell r="B1591" t="str">
            <v>Queen Elizabeth's Girls' School</v>
          </cell>
        </row>
        <row r="1592">
          <cell r="B1592" t="str">
            <v>Queen Elizabeth's Grammar Alford - A Selective Academy</v>
          </cell>
        </row>
        <row r="1593">
          <cell r="B1593" t="str">
            <v>Queen Elizabeth's Grammar School</v>
          </cell>
        </row>
        <row r="1594">
          <cell r="B1594" t="str">
            <v>Queen Elizabeth's Grammar School</v>
          </cell>
        </row>
        <row r="1595">
          <cell r="B1595" t="str">
            <v>Queen Elizabeth's Grammar School, Horncastle</v>
          </cell>
        </row>
        <row r="1596">
          <cell r="B1596" t="str">
            <v>Queen Elizabeth's School, Barnet</v>
          </cell>
        </row>
        <row r="1597">
          <cell r="B1597" t="str">
            <v>Queen Mary's Grammar School</v>
          </cell>
        </row>
        <row r="1598">
          <cell r="B1598" t="str">
            <v>Queen Mary's High School</v>
          </cell>
        </row>
        <row r="1599">
          <cell r="B1599" t="str">
            <v>Queen's Park Academy</v>
          </cell>
        </row>
        <row r="1600">
          <cell r="B1600" t="str">
            <v>Queens Park Community School</v>
          </cell>
        </row>
        <row r="1601">
          <cell r="B1601" t="str">
            <v>Queens Park Infant School</v>
          </cell>
        </row>
        <row r="1602">
          <cell r="B1602" t="str">
            <v>Queen's Park School, Lincoln</v>
          </cell>
        </row>
        <row r="1603">
          <cell r="B1603" t="str">
            <v>Queens' School</v>
          </cell>
        </row>
        <row r="1604">
          <cell r="B1604" t="str">
            <v>Queensmead School</v>
          </cell>
        </row>
        <row r="1605">
          <cell r="B1605" t="str">
            <v>Queniborough Church of England Primary School</v>
          </cell>
        </row>
        <row r="1606">
          <cell r="B1606" t="str">
            <v>Quintin Kynaston School</v>
          </cell>
        </row>
        <row r="1607">
          <cell r="B1607" t="str">
            <v>R A Butler Infant School</v>
          </cell>
        </row>
        <row r="1608">
          <cell r="B1608" t="str">
            <v>R A Butler Junior School</v>
          </cell>
        </row>
        <row r="1609">
          <cell r="B1609" t="str">
            <v>Raglan Primary School</v>
          </cell>
        </row>
        <row r="1610">
          <cell r="B1610" t="str">
            <v>Raine's Foundation School</v>
          </cell>
        </row>
        <row r="1611">
          <cell r="B1611" t="str">
            <v>Rainham Mark Grammar School</v>
          </cell>
        </row>
        <row r="1612">
          <cell r="B1612" t="str">
            <v>Rainham School for Girls</v>
          </cell>
        </row>
        <row r="1613">
          <cell r="B1613" t="str">
            <v>Ralph Allen School</v>
          </cell>
        </row>
        <row r="1614">
          <cell r="B1614" t="str">
            <v>Ralph Sadleir Middle School</v>
          </cell>
        </row>
        <row r="1615">
          <cell r="B1615" t="str">
            <v>Ranelagh School</v>
          </cell>
        </row>
        <row r="1616">
          <cell r="B1616" t="str">
            <v>Range High School</v>
          </cell>
        </row>
        <row r="1617">
          <cell r="B1617" t="str">
            <v>Rastrick High School</v>
          </cell>
        </row>
        <row r="1618">
          <cell r="B1618" t="str">
            <v>Ratby Primary School</v>
          </cell>
        </row>
        <row r="1619">
          <cell r="B1619" t="str">
            <v>Ratton School</v>
          </cell>
        </row>
        <row r="1620">
          <cell r="B1620" t="str">
            <v>Rauceby Church of England Primary School</v>
          </cell>
        </row>
        <row r="1621">
          <cell r="B1621" t="str">
            <v>Ravens Wood School</v>
          </cell>
        </row>
        <row r="1622">
          <cell r="B1622" t="str">
            <v>Rawlett Community Sports College</v>
          </cell>
        </row>
        <row r="1623">
          <cell r="B1623" t="str">
            <v>Rawlins Community College</v>
          </cell>
        </row>
        <row r="1624">
          <cell r="B1624" t="str">
            <v>Rayleigh Primary School</v>
          </cell>
        </row>
        <row r="1625">
          <cell r="B1625" t="str">
            <v>Raynsford VC Lower School</v>
          </cell>
        </row>
        <row r="1626">
          <cell r="B1626" t="str">
            <v>Reading School</v>
          </cell>
        </row>
        <row r="1627">
          <cell r="B1627" t="str">
            <v>Red Hill Field Primary School</v>
          </cell>
        </row>
        <row r="1628">
          <cell r="B1628" t="str">
            <v>Redborne Upper School and Community College</v>
          </cell>
        </row>
        <row r="1629">
          <cell r="B1629" t="str">
            <v>Redbridge Community School</v>
          </cell>
        </row>
        <row r="1630">
          <cell r="B1630" t="str">
            <v>Redby Primary School</v>
          </cell>
        </row>
        <row r="1631">
          <cell r="B1631" t="str">
            <v>Redcar Community College A Specialist Visual and Performing Arts Centre</v>
          </cell>
        </row>
        <row r="1632">
          <cell r="B1632" t="str">
            <v>Redden Court School</v>
          </cell>
        </row>
        <row r="1633">
          <cell r="B1633" t="str">
            <v>Reddish Vale Technology College</v>
          </cell>
        </row>
        <row r="1634">
          <cell r="B1634" t="str">
            <v>Redhill Academy</v>
          </cell>
        </row>
        <row r="1635">
          <cell r="B1635" t="str">
            <v>Redhill Foundation Primary School</v>
          </cell>
        </row>
        <row r="1636">
          <cell r="B1636" t="str">
            <v>Redhill School and Specialist Language College</v>
          </cell>
        </row>
        <row r="1637">
          <cell r="B1637" t="str">
            <v>Redland Green</v>
          </cell>
        </row>
        <row r="1638">
          <cell r="B1638" t="str">
            <v>Redmarley Church of England Primary School</v>
          </cell>
        </row>
        <row r="1639">
          <cell r="B1639" t="str">
            <v>Redmoor High School</v>
          </cell>
        </row>
        <row r="1640">
          <cell r="B1640" t="str">
            <v>Redriff Primary School</v>
          </cell>
        </row>
        <row r="1641">
          <cell r="B1641" t="str">
            <v>Reepham High School and College</v>
          </cell>
        </row>
        <row r="1642">
          <cell r="B1642" t="str">
            <v>Regis Manor Community Primary School</v>
          </cell>
        </row>
        <row r="1643">
          <cell r="B1643" t="str">
            <v>Reid Street Primary School</v>
          </cell>
        </row>
        <row r="1644">
          <cell r="B1644" t="str">
            <v>Rendell Primary School</v>
          </cell>
        </row>
        <row r="1645">
          <cell r="B1645" t="str">
            <v>Restormel PRU</v>
          </cell>
        </row>
        <row r="1646">
          <cell r="B1646" t="str">
            <v>Ribston Hall High School</v>
          </cell>
        </row>
        <row r="1647">
          <cell r="B1647" t="str">
            <v>Richard Challoner School</v>
          </cell>
        </row>
        <row r="1648">
          <cell r="B1648" t="str">
            <v>Richard Hale School</v>
          </cell>
        </row>
        <row r="1649">
          <cell r="B1649" t="str">
            <v>Rickley Park Primary School</v>
          </cell>
        </row>
        <row r="1650">
          <cell r="B1650" t="str">
            <v>Rickmansworth School</v>
          </cell>
        </row>
        <row r="1651">
          <cell r="B1651" t="str">
            <v>Riddlesdown Collegiate</v>
          </cell>
        </row>
        <row r="1652">
          <cell r="B1652" t="str">
            <v>Ridgeway High School</v>
          </cell>
        </row>
        <row r="1653">
          <cell r="B1653" t="str">
            <v>Ridgeway Middle School</v>
          </cell>
        </row>
        <row r="1654">
          <cell r="B1654" t="str">
            <v>Ridgeway School</v>
          </cell>
        </row>
        <row r="1655">
          <cell r="B1655" t="str">
            <v>Ridgewood High School</v>
          </cell>
        </row>
        <row r="1656">
          <cell r="B1656" t="str">
            <v>Ridgewood School</v>
          </cell>
        </row>
        <row r="1657">
          <cell r="B1657" t="str">
            <v>Ringmer Community College</v>
          </cell>
        </row>
        <row r="1658">
          <cell r="B1658" t="str">
            <v>Ringwood School</v>
          </cell>
        </row>
        <row r="1659">
          <cell r="B1659" t="str">
            <v>Ripley St Thomas Church of England Academy</v>
          </cell>
        </row>
        <row r="1660">
          <cell r="B1660" t="str">
            <v>Riverhead Infants' School</v>
          </cell>
        </row>
        <row r="1661">
          <cell r="B1661" t="str">
            <v>Robert Bakewell Primary School and Community Centre</v>
          </cell>
        </row>
        <row r="1662">
          <cell r="B1662" t="str">
            <v>Robert Bloomfield Middle School</v>
          </cell>
        </row>
        <row r="1663">
          <cell r="B1663" t="str">
            <v>Robert May's School</v>
          </cell>
        </row>
        <row r="1664">
          <cell r="B1664" t="str">
            <v>Robert Pattinson School</v>
          </cell>
        </row>
        <row r="1665">
          <cell r="B1665" t="str">
            <v>Robinswood Primary School</v>
          </cell>
        </row>
        <row r="1666">
          <cell r="B1666" t="str">
            <v>Rodborough Technology College</v>
          </cell>
        </row>
        <row r="1667">
          <cell r="B1667" t="str">
            <v>Rodbourne Cheney Primary School</v>
          </cell>
        </row>
        <row r="1668">
          <cell r="B1668" t="str">
            <v>Rodillian School</v>
          </cell>
        </row>
        <row r="1669">
          <cell r="B1669" t="str">
            <v>Roger Ascham Primary School</v>
          </cell>
        </row>
        <row r="1670">
          <cell r="B1670" t="str">
            <v>Rookery School &amp; Children's Centre</v>
          </cell>
        </row>
        <row r="1671">
          <cell r="B1671" t="str">
            <v>Rooks Heath High School</v>
          </cell>
        </row>
        <row r="1672">
          <cell r="B1672" t="str">
            <v>Rooks Nest Junior, Infant and Nursery School</v>
          </cell>
        </row>
        <row r="1673">
          <cell r="B1673" t="str">
            <v>Roseacre Primary School</v>
          </cell>
        </row>
        <row r="1674">
          <cell r="B1674" t="str">
            <v>Rosebery School</v>
          </cell>
        </row>
        <row r="1675">
          <cell r="B1675" t="str">
            <v>Rosedale College</v>
          </cell>
        </row>
        <row r="1676">
          <cell r="B1676" t="str">
            <v>Rossett School</v>
          </cell>
        </row>
        <row r="1677">
          <cell r="B1677" t="str">
            <v>Rossington Pheasant Bank Junior School</v>
          </cell>
        </row>
        <row r="1678">
          <cell r="B1678" t="str">
            <v>Rothley Church of England Primary School</v>
          </cell>
        </row>
        <row r="1679">
          <cell r="B1679" t="str">
            <v>Rough Hay Primary School</v>
          </cell>
        </row>
        <row r="1680">
          <cell r="B1680" t="str">
            <v>Roundhill Community College</v>
          </cell>
        </row>
        <row r="1681">
          <cell r="B1681" t="str">
            <v>Roundwood Park School</v>
          </cell>
        </row>
        <row r="1682">
          <cell r="B1682" t="str">
            <v>Rowanfield Junior School</v>
          </cell>
        </row>
        <row r="1683">
          <cell r="B1683" t="str">
            <v>Rowde Church of England Voluntary Aided Primary School</v>
          </cell>
        </row>
        <row r="1684">
          <cell r="B1684" t="str">
            <v>Rowena Academy</v>
          </cell>
        </row>
        <row r="1685">
          <cell r="B1685" t="str">
            <v>Royal Alexandra and Albert School</v>
          </cell>
        </row>
        <row r="1686">
          <cell r="B1686" t="str">
            <v>Royal Latin School</v>
          </cell>
        </row>
        <row r="1687">
          <cell r="B1687" t="str">
            <v>Roysia Middle School</v>
          </cell>
        </row>
        <row r="1688">
          <cell r="B1688" t="str">
            <v>Royston Parkside Primary School</v>
          </cell>
        </row>
        <row r="1689">
          <cell r="B1689" t="str">
            <v>Royston Summer Fields Primary School</v>
          </cell>
        </row>
        <row r="1690">
          <cell r="B1690" t="str">
            <v>Rugby High School</v>
          </cell>
        </row>
        <row r="1691">
          <cell r="B1691" t="str">
            <v>Runwell Community Primary School</v>
          </cell>
        </row>
        <row r="1692">
          <cell r="B1692" t="str">
            <v>Rush Common School</v>
          </cell>
        </row>
        <row r="1693">
          <cell r="B1693" t="str">
            <v>Rushcliffe School</v>
          </cell>
        </row>
        <row r="1694">
          <cell r="B1694" t="str">
            <v>Ruskin Sports College - A Community High School</v>
          </cell>
        </row>
        <row r="1695">
          <cell r="B1695" t="str">
            <v>Ruskington Chestnut Street CofE Primary School</v>
          </cell>
        </row>
        <row r="1696">
          <cell r="B1696" t="str">
            <v>Russell Lower School</v>
          </cell>
        </row>
        <row r="1697">
          <cell r="B1697" t="str">
            <v>Rustington Community Primary School</v>
          </cell>
        </row>
        <row r="1698">
          <cell r="B1698" t="str">
            <v>Ryburn Valley High School</v>
          </cell>
        </row>
        <row r="1699">
          <cell r="B1699" t="str">
            <v>Rydens Enterprise School and Sixth Form College</v>
          </cell>
        </row>
        <row r="1700">
          <cell r="B1700" t="str">
            <v>Ryders Hayes Community School</v>
          </cell>
        </row>
        <row r="1701">
          <cell r="B1701" t="str">
            <v>Rydon Primary School</v>
          </cell>
        </row>
        <row r="1702">
          <cell r="B1702" t="str">
            <v>Rye College</v>
          </cell>
        </row>
        <row r="1703">
          <cell r="B1703" t="str">
            <v>Ryvers Primary School</v>
          </cell>
        </row>
        <row r="1704">
          <cell r="B1704" t="str">
            <v>Sacred Heart Catholic Primary School</v>
          </cell>
        </row>
        <row r="1705">
          <cell r="B1705" t="str">
            <v>Sacred Heart Catholic Primary School</v>
          </cell>
        </row>
        <row r="1706">
          <cell r="B1706" t="str">
            <v>Sacred Heart Catholic Primary School, Carlton</v>
          </cell>
        </row>
        <row r="1707">
          <cell r="B1707" t="str">
            <v>Sacred Heart Catholic Primary School, Loughborough, Leicestershire</v>
          </cell>
        </row>
        <row r="1708">
          <cell r="B1708" t="str">
            <v>Sacred Heart High School</v>
          </cell>
        </row>
        <row r="1709">
          <cell r="B1709" t="str">
            <v>Sacred Heart High School</v>
          </cell>
        </row>
        <row r="1710">
          <cell r="B1710" t="str">
            <v>Sacred Heart of Mary Girls' School</v>
          </cell>
        </row>
        <row r="1711">
          <cell r="B1711" t="str">
            <v>Sacred Heart Roman Catholic Secondary School</v>
          </cell>
        </row>
        <row r="1712">
          <cell r="B1712" t="str">
            <v>Saffron Walden County High School</v>
          </cell>
        </row>
        <row r="1713">
          <cell r="B1713" t="str">
            <v>Saint Augustine Webster Catholic Primary School</v>
          </cell>
        </row>
        <row r="1714">
          <cell r="B1714" t="str">
            <v>Saint Barnabas Church of England Primary School</v>
          </cell>
        </row>
        <row r="1715">
          <cell r="B1715" t="str">
            <v>Saint Benedict Catholic School and Performing Arts College</v>
          </cell>
        </row>
        <row r="1716">
          <cell r="B1716" t="str">
            <v>Saint Clare's Catholic Primary School, Coalville, Leicestershire</v>
          </cell>
        </row>
        <row r="1717">
          <cell r="B1717" t="str">
            <v>Saint Edmund's Roman Catholic Primary School</v>
          </cell>
        </row>
        <row r="1718">
          <cell r="B1718" t="str">
            <v>Saint George's Church of England School</v>
          </cell>
        </row>
        <row r="1719">
          <cell r="B1719" t="str">
            <v>Saint Joan of Arc Catholic School</v>
          </cell>
        </row>
        <row r="1720">
          <cell r="B1720" t="str">
            <v>Saint John Fisher Catholic Primary School, Wigston, Leicestershire</v>
          </cell>
        </row>
        <row r="1721">
          <cell r="B1721" t="str">
            <v>Saint John Houghton Catholic School</v>
          </cell>
        </row>
        <row r="1722">
          <cell r="B1722" t="str">
            <v>Saint Joseph's Catholic Primary School Market Harborough Leicestershire</v>
          </cell>
        </row>
        <row r="1723">
          <cell r="B1723" t="str">
            <v>Saint Martin's Catholic School, Stoke Golding</v>
          </cell>
        </row>
        <row r="1724">
          <cell r="B1724" t="str">
            <v>Saint Mary's Catholic Primary School, Loughborough</v>
          </cell>
        </row>
        <row r="1725">
          <cell r="B1725" t="str">
            <v>Saint Michael's Catholic High School</v>
          </cell>
        </row>
        <row r="1726">
          <cell r="B1726" t="str">
            <v>Saint Norbert's Catholic Primary School</v>
          </cell>
        </row>
        <row r="1727">
          <cell r="B1727" t="str">
            <v>Saint Winefride's Catholic Primary School, Shepshed, Leicestershire</v>
          </cell>
        </row>
        <row r="1728">
          <cell r="B1728" t="str">
            <v>Salcombe Church of England Primary School</v>
          </cell>
        </row>
        <row r="1729">
          <cell r="B1729" t="str">
            <v>Sale Grammar School</v>
          </cell>
        </row>
        <row r="1730">
          <cell r="B1730" t="str">
            <v>Sale High School</v>
          </cell>
        </row>
        <row r="1731">
          <cell r="B1731" t="str">
            <v>Salendine Nook High School</v>
          </cell>
        </row>
        <row r="1732">
          <cell r="B1732" t="str">
            <v>saltash.net community school</v>
          </cell>
        </row>
        <row r="1733">
          <cell r="B1733" t="str">
            <v>Salterlee Primary School</v>
          </cell>
        </row>
        <row r="1734">
          <cell r="B1734" t="str">
            <v>Salvatorian Roman Catholic College</v>
          </cell>
        </row>
        <row r="1735">
          <cell r="B1735" t="str">
            <v>Sampford Peverell Church of England Primary School</v>
          </cell>
        </row>
        <row r="1736">
          <cell r="B1736" t="str">
            <v>Samuel Ward Academy</v>
          </cell>
        </row>
        <row r="1737">
          <cell r="B1737" t="str">
            <v>Samuel Whitbread Community College</v>
          </cell>
        </row>
        <row r="1738">
          <cell r="B1738" t="str">
            <v>Sandbach High School and Sixth Form College</v>
          </cell>
        </row>
        <row r="1739">
          <cell r="B1739" t="str">
            <v>Sandgate Primary School</v>
          </cell>
        </row>
        <row r="1740">
          <cell r="B1740" t="str">
            <v>Sandon Primary School</v>
          </cell>
        </row>
        <row r="1741">
          <cell r="B1741" t="str">
            <v>Sandringham School</v>
          </cell>
        </row>
        <row r="1742">
          <cell r="B1742" t="str">
            <v>Sandwich Technology School</v>
          </cell>
        </row>
        <row r="1743">
          <cell r="B1743" t="str">
            <v>Sandy Hill Academy</v>
          </cell>
        </row>
        <row r="1744">
          <cell r="B1744" t="str">
            <v>Sandy Upper School and Community Sports College</v>
          </cell>
        </row>
        <row r="1745">
          <cell r="B1745" t="str">
            <v>Sandye Place Academy</v>
          </cell>
        </row>
        <row r="1746">
          <cell r="B1746" t="str">
            <v>Sawston Village College</v>
          </cell>
        </row>
        <row r="1747">
          <cell r="B1747" t="str">
            <v>Sawtry Community College</v>
          </cell>
        </row>
        <row r="1748">
          <cell r="B1748" t="str">
            <v>Scartho Junior School</v>
          </cell>
        </row>
        <row r="1749">
          <cell r="B1749" t="str">
            <v>Scawby Primary School</v>
          </cell>
        </row>
        <row r="1750">
          <cell r="B1750" t="str">
            <v>Scout Road Primary School</v>
          </cell>
        </row>
        <row r="1751">
          <cell r="B1751" t="str">
            <v>Seaford Head Community College</v>
          </cell>
        </row>
        <row r="1752">
          <cell r="B1752" t="str">
            <v>Seaton Academy</v>
          </cell>
        </row>
        <row r="1753">
          <cell r="B1753" t="str">
            <v>Seer Green Church of England Combined School</v>
          </cell>
        </row>
        <row r="1754">
          <cell r="B1754" t="str">
            <v>Selling Church of England Primary School</v>
          </cell>
        </row>
        <row r="1755">
          <cell r="B1755" t="str">
            <v>Selwood Anglican/Methodist Middle School</v>
          </cell>
        </row>
        <row r="1756">
          <cell r="B1756" t="str">
            <v>Settlebeck High School</v>
          </cell>
        </row>
        <row r="1757">
          <cell r="B1757" t="str">
            <v>Seven Fields Primary School</v>
          </cell>
        </row>
        <row r="1758">
          <cell r="B1758" t="str">
            <v>Severn Vale School</v>
          </cell>
        </row>
        <row r="1759">
          <cell r="B1759" t="str">
            <v>Severnbanks Primary School</v>
          </cell>
        </row>
        <row r="1760">
          <cell r="B1760" t="str">
            <v>Sexey's School</v>
          </cell>
        </row>
        <row r="1761">
          <cell r="B1761" t="str">
            <v>Seymour Primary School</v>
          </cell>
        </row>
        <row r="1762">
          <cell r="B1762" t="str">
            <v>Shaftesbury School</v>
          </cell>
        </row>
        <row r="1763">
          <cell r="B1763" t="str">
            <v>Sharnbrook John Gibbard Lower School</v>
          </cell>
        </row>
        <row r="1764">
          <cell r="B1764" t="str">
            <v>Sharnbrook Upper School</v>
          </cell>
        </row>
        <row r="1765">
          <cell r="B1765" t="str">
            <v>Shatterlocks Infant School</v>
          </cell>
        </row>
        <row r="1766">
          <cell r="B1766" t="str">
            <v>Shaw Primary School</v>
          </cell>
        </row>
        <row r="1767">
          <cell r="B1767" t="str">
            <v>Shaw Ridge Primary School</v>
          </cell>
        </row>
        <row r="1768">
          <cell r="B1768" t="str">
            <v>Shaw Wood Primary School</v>
          </cell>
        </row>
        <row r="1769">
          <cell r="B1769" t="str">
            <v>Sheldon School</v>
          </cell>
        </row>
        <row r="1770">
          <cell r="B1770" t="str">
            <v>Sheldwich Primary School</v>
          </cell>
        </row>
        <row r="1771">
          <cell r="B1771" t="str">
            <v>Shelley College - A Specialist Centre for Science</v>
          </cell>
        </row>
        <row r="1772">
          <cell r="B1772" t="str">
            <v>Shenfield High School</v>
          </cell>
        </row>
        <row r="1773">
          <cell r="B1773" t="str">
            <v>Shenley Brook End School</v>
          </cell>
        </row>
        <row r="1774">
          <cell r="B1774" t="str">
            <v>Shepherdswell School</v>
          </cell>
        </row>
        <row r="1775">
          <cell r="B1775" t="str">
            <v>Shepshed High School</v>
          </cell>
        </row>
        <row r="1776">
          <cell r="B1776" t="str">
            <v>Sheringham High School and Sixth Form Centre</v>
          </cell>
        </row>
        <row r="1777">
          <cell r="B1777" t="str">
            <v>Shibden Head Primary School</v>
          </cell>
        </row>
        <row r="1778">
          <cell r="B1778" t="str">
            <v>Shiphay Learning Academy</v>
          </cell>
        </row>
        <row r="1779">
          <cell r="B1779" t="str">
            <v>Shipston High School - A Specialist Technology College</v>
          </cell>
        </row>
        <row r="1780">
          <cell r="B1780" t="str">
            <v>Shipston-on-Stour Primary School</v>
          </cell>
        </row>
        <row r="1781">
          <cell r="B1781" t="str">
            <v>Shire Oak Academy</v>
          </cell>
        </row>
        <row r="1782">
          <cell r="B1782" t="str">
            <v>Shirley High School Performing Arts College</v>
          </cell>
        </row>
        <row r="1783">
          <cell r="B1783" t="str">
            <v>Shirley Infant School</v>
          </cell>
        </row>
        <row r="1784">
          <cell r="B1784" t="str">
            <v>Shirley Junior School</v>
          </cell>
        </row>
        <row r="1785">
          <cell r="B1785" t="str">
            <v>Shoeburyness High School</v>
          </cell>
        </row>
        <row r="1786">
          <cell r="B1786" t="str">
            <v>Shooters Hill Post-16 Campus</v>
          </cell>
        </row>
        <row r="1787">
          <cell r="B1787" t="str">
            <v>Shotton Hall School</v>
          </cell>
        </row>
        <row r="1788">
          <cell r="B1788" t="str">
            <v>Sidbury Church of England Primary School</v>
          </cell>
        </row>
        <row r="1789">
          <cell r="B1789" t="str">
            <v>Siddal Primary School</v>
          </cell>
        </row>
        <row r="1790">
          <cell r="B1790" t="str">
            <v>Signhills Infants' School</v>
          </cell>
        </row>
        <row r="1791">
          <cell r="B1791" t="str">
            <v>Signhills Junior School</v>
          </cell>
        </row>
        <row r="1792">
          <cell r="B1792" t="str">
            <v>Sileby Redlands Community Primary School</v>
          </cell>
        </row>
        <row r="1793">
          <cell r="B1793" t="str">
            <v>Silverdale School</v>
          </cell>
        </row>
        <row r="1794">
          <cell r="B1794" t="str">
            <v>Simon Balle School</v>
          </cell>
        </row>
        <row r="1795">
          <cell r="B1795" t="str">
            <v>Simon de Montfort Middle School</v>
          </cell>
        </row>
        <row r="1796">
          <cell r="B1796" t="str">
            <v>Sir Christopher Hatton School</v>
          </cell>
        </row>
        <row r="1797">
          <cell r="B1797" t="str">
            <v>Sir Graham Balfour High School</v>
          </cell>
        </row>
        <row r="1798">
          <cell r="B1798" t="str">
            <v>Sir Harry Smith Community College</v>
          </cell>
        </row>
        <row r="1799">
          <cell r="B1799" t="str">
            <v>Sir Henry Floyd Grammar School</v>
          </cell>
        </row>
        <row r="1800">
          <cell r="B1800" t="str">
            <v>Sir John Colfox School</v>
          </cell>
        </row>
        <row r="1801">
          <cell r="B1801" t="str">
            <v>Sir John Gleed School</v>
          </cell>
        </row>
        <row r="1802">
          <cell r="B1802" t="str">
            <v>Sir John Hunt Community Sports College</v>
          </cell>
        </row>
        <row r="1803">
          <cell r="B1803" t="str">
            <v>Sir John Lawes School</v>
          </cell>
        </row>
        <row r="1804">
          <cell r="B1804" t="str">
            <v>Sir John Leman High School</v>
          </cell>
        </row>
        <row r="1805">
          <cell r="B1805" t="str">
            <v>Sir Joseph Williamson's Mathematical School</v>
          </cell>
        </row>
        <row r="1806">
          <cell r="B1806" t="str">
            <v>Sir Robert Geffery's Voluntary Aided Church of England Primary School</v>
          </cell>
        </row>
        <row r="1807">
          <cell r="B1807" t="str">
            <v>Sir Roger Manwood's School</v>
          </cell>
        </row>
        <row r="1808">
          <cell r="B1808" t="str">
            <v>Sir Thomas Rich's School</v>
          </cell>
        </row>
        <row r="1809">
          <cell r="B1809" t="str">
            <v>Sir Thomas Wharton Community College</v>
          </cell>
        </row>
        <row r="1810">
          <cell r="B1810" t="str">
            <v>Sir William Borlase's Grammar School</v>
          </cell>
        </row>
        <row r="1811">
          <cell r="B1811" t="str">
            <v>Sir William Burrough Primary School</v>
          </cell>
        </row>
        <row r="1812">
          <cell r="B1812" t="str">
            <v>Sir William Ramsay School</v>
          </cell>
        </row>
        <row r="1813">
          <cell r="B1813" t="str">
            <v>Sir William Romney's School</v>
          </cell>
        </row>
        <row r="1814">
          <cell r="B1814" t="str">
            <v>Skegness Infant School</v>
          </cell>
        </row>
        <row r="1815">
          <cell r="B1815" t="str">
            <v>Skipton Girls' High School</v>
          </cell>
        </row>
        <row r="1816">
          <cell r="B1816" t="str">
            <v>Slough and Eton CofE Business and Enterprise College</v>
          </cell>
        </row>
        <row r="1817">
          <cell r="B1817" t="str">
            <v>Slough Grammar School</v>
          </cell>
        </row>
        <row r="1818">
          <cell r="B1818" t="str">
            <v>Smarden Primary School</v>
          </cell>
        </row>
        <row r="1819">
          <cell r="B1819" t="str">
            <v>Sneinton St Stephen's CofE Primary School</v>
          </cell>
        </row>
        <row r="1820">
          <cell r="B1820" t="str">
            <v>Soham Village College</v>
          </cell>
        </row>
        <row r="1821">
          <cell r="B1821" t="str">
            <v>Somers Park Primary School</v>
          </cell>
        </row>
        <row r="1822">
          <cell r="B1822" t="str">
            <v>Somervale School</v>
          </cell>
        </row>
        <row r="1823">
          <cell r="B1823" t="str">
            <v>South Axholme Community School</v>
          </cell>
        </row>
        <row r="1824">
          <cell r="B1824" t="str">
            <v>South Benfleet Foundation Primary School</v>
          </cell>
        </row>
        <row r="1825">
          <cell r="B1825" t="str">
            <v>South Brent Primary School</v>
          </cell>
        </row>
        <row r="1826">
          <cell r="B1826" t="str">
            <v>South Bromsgrove Community High School</v>
          </cell>
        </row>
        <row r="1827">
          <cell r="B1827" t="str">
            <v>South Charnwood High School</v>
          </cell>
        </row>
        <row r="1828">
          <cell r="B1828" t="str">
            <v>South Craven School, the Technology and Engineering College</v>
          </cell>
        </row>
        <row r="1829">
          <cell r="B1829" t="str">
            <v>South Dartmoor Community College</v>
          </cell>
        </row>
        <row r="1830">
          <cell r="B1830" t="str">
            <v>South Farnham Community Junior School</v>
          </cell>
        </row>
        <row r="1831">
          <cell r="B1831" t="str">
            <v>South Hunsley School</v>
          </cell>
        </row>
        <row r="1832">
          <cell r="B1832" t="str">
            <v>South Ossett Infant School</v>
          </cell>
        </row>
        <row r="1833">
          <cell r="B1833" t="str">
            <v>South Parade Primary School</v>
          </cell>
        </row>
        <row r="1834">
          <cell r="B1834" t="str">
            <v>South Wigston High School</v>
          </cell>
        </row>
        <row r="1835">
          <cell r="B1835" t="str">
            <v>South Wilts Grammar School for Girls</v>
          </cell>
        </row>
        <row r="1836">
          <cell r="B1836" t="str">
            <v>South Wolds Community School</v>
          </cell>
        </row>
        <row r="1837">
          <cell r="B1837" t="str">
            <v>Southam College</v>
          </cell>
        </row>
        <row r="1838">
          <cell r="B1838" t="str">
            <v>Southborough High School</v>
          </cell>
        </row>
        <row r="1839">
          <cell r="B1839" t="str">
            <v>Southend High School for Boys</v>
          </cell>
        </row>
        <row r="1840">
          <cell r="B1840" t="str">
            <v>Southend High School for Girls</v>
          </cell>
        </row>
        <row r="1841">
          <cell r="B1841" t="str">
            <v>Southfield Junior School</v>
          </cell>
        </row>
        <row r="1842">
          <cell r="B1842" t="str">
            <v>Southfield Primary School</v>
          </cell>
        </row>
        <row r="1843">
          <cell r="B1843" t="str">
            <v>Southfield School</v>
          </cell>
        </row>
        <row r="1844">
          <cell r="B1844" t="str">
            <v>Southfield School for Girls</v>
          </cell>
        </row>
        <row r="1845">
          <cell r="B1845" t="str">
            <v>Southfields Community College</v>
          </cell>
        </row>
        <row r="1846">
          <cell r="B1846" t="str">
            <v>Southlands Lower School</v>
          </cell>
        </row>
        <row r="1847">
          <cell r="B1847" t="str">
            <v>Southmere Primary School</v>
          </cell>
        </row>
        <row r="1848">
          <cell r="B1848" t="str">
            <v>Southmoor Community School, Mathematics and Computing College</v>
          </cell>
        </row>
        <row r="1849">
          <cell r="B1849" t="str">
            <v>Southwark Primary School</v>
          </cell>
        </row>
        <row r="1850">
          <cell r="B1850" t="str">
            <v>Southwater Infant Academy</v>
          </cell>
        </row>
        <row r="1851">
          <cell r="B1851" t="str">
            <v>Southwater Junior Academy</v>
          </cell>
        </row>
        <row r="1852">
          <cell r="B1852" t="str">
            <v>Spalding Grammar School</v>
          </cell>
        </row>
        <row r="1853">
          <cell r="B1853" t="str">
            <v>Sponne School</v>
          </cell>
        </row>
        <row r="1854">
          <cell r="B1854" t="str">
            <v>Spring Park Primary School</v>
          </cell>
        </row>
        <row r="1855">
          <cell r="B1855" t="str">
            <v>Springfield Primary School</v>
          </cell>
        </row>
        <row r="1856">
          <cell r="B1856" t="str">
            <v>Springfields School</v>
          </cell>
        </row>
        <row r="1857">
          <cell r="B1857" t="str">
            <v>Springhill Catholic Primary School</v>
          </cell>
        </row>
        <row r="1858">
          <cell r="B1858" t="str">
            <v>Springwell Community  Special School</v>
          </cell>
        </row>
        <row r="1859">
          <cell r="B1859" t="str">
            <v>Springwell Dene School</v>
          </cell>
        </row>
        <row r="1860">
          <cell r="B1860" t="str">
            <v>Springwood High School</v>
          </cell>
        </row>
        <row r="1861">
          <cell r="B1861" t="str">
            <v>St Agatha's Catholic Primary School</v>
          </cell>
        </row>
        <row r="1862">
          <cell r="B1862" t="str">
            <v>St Aidan's Catholic Primary School</v>
          </cell>
        </row>
        <row r="1863">
          <cell r="B1863" t="str">
            <v>St Aidan's Catholic School</v>
          </cell>
        </row>
        <row r="1864">
          <cell r="B1864" t="str">
            <v>St Aidan's Church of England High School</v>
          </cell>
        </row>
        <row r="1865">
          <cell r="B1865" t="str">
            <v>St Alban's Catholic High School</v>
          </cell>
        </row>
        <row r="1866">
          <cell r="B1866" t="str">
            <v>St Alban's Catholic Primary School</v>
          </cell>
        </row>
        <row r="1867">
          <cell r="B1867" t="str">
            <v>St Albans Girls' School</v>
          </cell>
        </row>
        <row r="1868">
          <cell r="B1868" t="str">
            <v>St Ambrose College</v>
          </cell>
        </row>
        <row r="1869">
          <cell r="B1869" t="str">
            <v>St Andrew's Benn CofE (Voluntary Aided) Primary School</v>
          </cell>
        </row>
        <row r="1870">
          <cell r="B1870" t="str">
            <v>St Andrews Church of England Primary School, Blunsdon</v>
          </cell>
        </row>
        <row r="1871">
          <cell r="B1871" t="str">
            <v>St Andrew's CofE Primary School</v>
          </cell>
        </row>
        <row r="1872">
          <cell r="B1872" t="str">
            <v>St Anne's Catholic School</v>
          </cell>
        </row>
        <row r="1873">
          <cell r="B1873" t="str">
            <v>St Ann's CofE Primary School</v>
          </cell>
        </row>
        <row r="1874">
          <cell r="B1874" t="str">
            <v>St Anns Well Primary School</v>
          </cell>
        </row>
        <row r="1875">
          <cell r="B1875" t="str">
            <v>St Anselm's Catholic School</v>
          </cell>
        </row>
        <row r="1876">
          <cell r="B1876" t="str">
            <v>St Anselm's College</v>
          </cell>
        </row>
        <row r="1877">
          <cell r="B1877" t="str">
            <v>St Anthony's Catholic Girls' School</v>
          </cell>
        </row>
        <row r="1878">
          <cell r="B1878" t="str">
            <v>St Anthony's Catholic Primary School</v>
          </cell>
        </row>
        <row r="1879">
          <cell r="B1879" t="str">
            <v>St Anthony's Catholic Primary School</v>
          </cell>
        </row>
        <row r="1880">
          <cell r="B1880" t="str">
            <v>St Augustine's Catholic College</v>
          </cell>
        </row>
        <row r="1881">
          <cell r="B1881" t="str">
            <v>St Augustine's RC Primary School</v>
          </cell>
        </row>
        <row r="1882">
          <cell r="B1882" t="str">
            <v>St Bartholomew's School</v>
          </cell>
        </row>
        <row r="1883">
          <cell r="B1883" t="str">
            <v>St Bede CofE Primary School, Morris Green</v>
          </cell>
        </row>
        <row r="1884">
          <cell r="B1884" t="str">
            <v>St Bede's Catholic College</v>
          </cell>
        </row>
        <row r="1885">
          <cell r="B1885" t="str">
            <v>St Bede's Catholic Comprehensive School and Sixth Form College, Lanchester</v>
          </cell>
        </row>
        <row r="1886">
          <cell r="B1886" t="str">
            <v>St Bede's Catholic Primary School</v>
          </cell>
        </row>
        <row r="1887">
          <cell r="B1887" t="str">
            <v>St Bede's Catholic School</v>
          </cell>
        </row>
        <row r="1888">
          <cell r="B1888" t="str">
            <v>St Bede's Inter-Church School</v>
          </cell>
        </row>
        <row r="1889">
          <cell r="B1889" t="str">
            <v>St Bede's RC Primary School</v>
          </cell>
        </row>
        <row r="1890">
          <cell r="B1890" t="str">
            <v>St Benedict's Catholic Primary School</v>
          </cell>
        </row>
        <row r="1891">
          <cell r="B1891" t="str">
            <v>St Bernadette's Catholic Primary School</v>
          </cell>
        </row>
        <row r="1892">
          <cell r="B1892" t="str">
            <v>St Bernard's Catholic High School, Specialist School for the Arts and Applied Learning</v>
          </cell>
        </row>
        <row r="1893">
          <cell r="B1893" t="str">
            <v>St Bernard's High School and Arts College</v>
          </cell>
        </row>
        <row r="1894">
          <cell r="B1894" t="str">
            <v>St Birinus School</v>
          </cell>
        </row>
        <row r="1895">
          <cell r="B1895" t="str">
            <v>St Breock Primary School</v>
          </cell>
        </row>
        <row r="1896">
          <cell r="B1896" t="str">
            <v>St Buryan Primary School</v>
          </cell>
        </row>
        <row r="1897">
          <cell r="B1897" t="str">
            <v>St Catherine of Siena Catholic Primary School</v>
          </cell>
        </row>
        <row r="1898">
          <cell r="B1898" t="str">
            <v>St Catherine's Catholic Primary School, Swindon</v>
          </cell>
        </row>
        <row r="1899">
          <cell r="B1899" t="str">
            <v>St Catherine's Catholic School for Girls</v>
          </cell>
        </row>
        <row r="1900">
          <cell r="B1900" t="str">
            <v>St Chad's CofE Primary School</v>
          </cell>
        </row>
        <row r="1901">
          <cell r="B1901" t="str">
            <v>St Christophers Lower School</v>
          </cell>
        </row>
        <row r="1902">
          <cell r="B1902" t="str">
            <v>St Clement Danes School</v>
          </cell>
        </row>
        <row r="1903">
          <cell r="B1903" t="str">
            <v>St Clere's School</v>
          </cell>
        </row>
        <row r="1904">
          <cell r="B1904" t="str">
            <v>St Columb Major Academy</v>
          </cell>
        </row>
        <row r="1905">
          <cell r="B1905" t="str">
            <v>St Columb Minor Academy</v>
          </cell>
        </row>
        <row r="1906">
          <cell r="B1906" t="str">
            <v>St Columba's Catholic Boys' School</v>
          </cell>
        </row>
        <row r="1907">
          <cell r="B1907" t="str">
            <v>St Cuthbert's Church of England Infants School</v>
          </cell>
        </row>
        <row r="1908">
          <cell r="B1908" t="str">
            <v>St Cuthbert's High School</v>
          </cell>
        </row>
        <row r="1909">
          <cell r="B1909" t="str">
            <v>St Cyprian's Greek Orthodox Primary School</v>
          </cell>
        </row>
        <row r="1910">
          <cell r="B1910" t="str">
            <v>St David's School</v>
          </cell>
        </row>
        <row r="1911">
          <cell r="B1911" t="str">
            <v>St Dominic's Catholic Primary School</v>
          </cell>
        </row>
        <row r="1912">
          <cell r="B1912" t="str">
            <v>St Dunstan's Community School</v>
          </cell>
        </row>
        <row r="1913">
          <cell r="B1913" t="str">
            <v>St Eanswythe's Church of England Primary School</v>
          </cell>
        </row>
        <row r="1914">
          <cell r="B1914" t="str">
            <v>St Edmund Campion Catholic Primary School</v>
          </cell>
        </row>
        <row r="1915">
          <cell r="B1915" t="str">
            <v>St Edmund's Church of England Girls' School and Sports College</v>
          </cell>
        </row>
        <row r="1916">
          <cell r="B1916" t="str">
            <v>St Edward's Church of England School &amp; Sixth Form College</v>
          </cell>
        </row>
        <row r="1917">
          <cell r="B1917" t="str">
            <v>St Edward's CofE(VA) Junior High School</v>
          </cell>
        </row>
        <row r="1918">
          <cell r="B1918" t="str">
            <v>St Edward's College</v>
          </cell>
        </row>
        <row r="1919">
          <cell r="B1919" t="str">
            <v>St Filumena's Catholic Primary School</v>
          </cell>
        </row>
        <row r="1920">
          <cell r="B1920" t="str">
            <v>St Francis' Catholic Primary School, Maidstone</v>
          </cell>
        </row>
        <row r="1921">
          <cell r="B1921" t="str">
            <v>St Francis Xavier's College</v>
          </cell>
        </row>
        <row r="1922">
          <cell r="B1922" t="str">
            <v>St George and St Martin's Catholic Primary School</v>
          </cell>
        </row>
        <row r="1923">
          <cell r="B1923" t="str">
            <v>St George RC School</v>
          </cell>
        </row>
        <row r="1924">
          <cell r="B1924" t="str">
            <v>St George's Catholic Primary School</v>
          </cell>
        </row>
        <row r="1925">
          <cell r="B1925" t="str">
            <v>St George's CofE VA Primary School</v>
          </cell>
        </row>
        <row r="1926">
          <cell r="B1926" t="str">
            <v>St George's Lower School</v>
          </cell>
        </row>
        <row r="1927">
          <cell r="B1927" t="str">
            <v>St George's School</v>
          </cell>
        </row>
        <row r="1928">
          <cell r="B1928" t="str">
            <v>St Gerard's Catholic Primary School</v>
          </cell>
        </row>
        <row r="1929">
          <cell r="B1929" t="str">
            <v>St Giles Catholic Primary School</v>
          </cell>
        </row>
        <row r="1930">
          <cell r="B1930" t="str">
            <v>St Gregory the Great VA Catholic Secondary School</v>
          </cell>
        </row>
        <row r="1931">
          <cell r="B1931" t="str">
            <v>St Gregory's Catholic Comprehensive School</v>
          </cell>
        </row>
        <row r="1932">
          <cell r="B1932" t="str">
            <v>St Gregory's Catholic Middle School</v>
          </cell>
        </row>
        <row r="1933">
          <cell r="B1933" t="str">
            <v>St Gregory's Catholic Primary School</v>
          </cell>
        </row>
        <row r="1934">
          <cell r="B1934" t="str">
            <v>St Gregory's Catholic Primary School, Margate</v>
          </cell>
        </row>
        <row r="1935">
          <cell r="B1935" t="str">
            <v>St Helena School</v>
          </cell>
        </row>
        <row r="1936">
          <cell r="B1936" t="str">
            <v>St Helen's Catholic Junior School</v>
          </cell>
        </row>
        <row r="1937">
          <cell r="B1937" t="str">
            <v>St Hilary School</v>
          </cell>
        </row>
        <row r="1938">
          <cell r="B1938" t="str">
            <v>St Hugh's CofE Mathematics and Computing College</v>
          </cell>
        </row>
        <row r="1939">
          <cell r="B1939" t="str">
            <v>St Ignatius Catholic Primary School</v>
          </cell>
        </row>
        <row r="1940">
          <cell r="B1940" t="str">
            <v>St Ives Infant School</v>
          </cell>
        </row>
        <row r="1941">
          <cell r="B1941" t="str">
            <v>St Ives School, A Technology College</v>
          </cell>
        </row>
        <row r="1942">
          <cell r="B1942" t="str">
            <v>St Ivo School</v>
          </cell>
        </row>
        <row r="1943">
          <cell r="B1943" t="str">
            <v>St James' Church of England Primary School</v>
          </cell>
        </row>
        <row r="1944">
          <cell r="B1944" t="str">
            <v>St James' Roman Catholic Primary School</v>
          </cell>
        </row>
        <row r="1945">
          <cell r="B1945" t="str">
            <v>St James the Great RC Primary and Nursery School</v>
          </cell>
        </row>
        <row r="1946">
          <cell r="B1946" t="str">
            <v>St John Fisher and Thomas More Catholic Primary School</v>
          </cell>
        </row>
        <row r="1947">
          <cell r="B1947" t="str">
            <v>St John Fisher Catholic Primary School</v>
          </cell>
        </row>
        <row r="1948">
          <cell r="B1948" t="str">
            <v>St John Fisher Catholic Primary School, Littlemore</v>
          </cell>
        </row>
        <row r="1949">
          <cell r="B1949" t="str">
            <v>St John Plessington Catholic College</v>
          </cell>
        </row>
        <row r="1950">
          <cell r="B1950" t="str">
            <v>St John Rigby RC VA Lower School</v>
          </cell>
        </row>
        <row r="1951">
          <cell r="B1951" t="str">
            <v>St John Roman Catholic Primary School</v>
          </cell>
        </row>
        <row r="1952">
          <cell r="B1952" t="str">
            <v>St John the Evangelist Catholic Primary</v>
          </cell>
        </row>
        <row r="1953">
          <cell r="B1953" t="str">
            <v>St John's Catholic Comprehensive School</v>
          </cell>
        </row>
        <row r="1954">
          <cell r="B1954" t="str">
            <v>St John's Catholic School &amp; Sixth Form Centre</v>
          </cell>
        </row>
        <row r="1955">
          <cell r="B1955" t="str">
            <v>St John's Church of England Primary School</v>
          </cell>
        </row>
        <row r="1956">
          <cell r="B1956" t="str">
            <v>St John's CofE (Aided) Primary School</v>
          </cell>
        </row>
        <row r="1957">
          <cell r="B1957" t="str">
            <v>St John's CofE (VA) Primary School</v>
          </cell>
        </row>
        <row r="1958">
          <cell r="B1958" t="str">
            <v>St John's CofE Foundation Middle School</v>
          </cell>
        </row>
        <row r="1959">
          <cell r="B1959" t="str">
            <v>St John's CofE Primary School</v>
          </cell>
        </row>
        <row r="1960">
          <cell r="B1960" t="str">
            <v>St John's CofE Primary School</v>
          </cell>
        </row>
        <row r="1961">
          <cell r="B1961" t="str">
            <v>St John's CofE VA Primary School, Rishworth</v>
          </cell>
        </row>
        <row r="1962">
          <cell r="B1962" t="str">
            <v>St John's Marlborough</v>
          </cell>
        </row>
        <row r="1963">
          <cell r="B1963" t="str">
            <v>St John's Primary School</v>
          </cell>
        </row>
        <row r="1964">
          <cell r="B1964" t="str">
            <v>St John's School</v>
          </cell>
        </row>
        <row r="1965">
          <cell r="B1965" t="str">
            <v>St Joseph's Catholic College</v>
          </cell>
        </row>
        <row r="1966">
          <cell r="B1966" t="str">
            <v>St Joseph's Catholic Primary School</v>
          </cell>
        </row>
        <row r="1967">
          <cell r="B1967" t="str">
            <v>St Joseph's Catholic Primary School</v>
          </cell>
        </row>
        <row r="1968">
          <cell r="B1968" t="str">
            <v>St Joseph's Catholic Primary School</v>
          </cell>
        </row>
        <row r="1969">
          <cell r="B1969" t="str">
            <v>St Joseph's Catholic Primary School</v>
          </cell>
        </row>
        <row r="1970">
          <cell r="B1970" t="str">
            <v>St Joseph's Catholic Primary School</v>
          </cell>
        </row>
        <row r="1971">
          <cell r="B1971" t="str">
            <v>St Joseph's Catholic Primary School</v>
          </cell>
        </row>
        <row r="1972">
          <cell r="B1972" t="str">
            <v>St Joseph's Catholic Primary School Castleford</v>
          </cell>
        </row>
        <row r="1973">
          <cell r="B1973" t="str">
            <v>St Joseph's Catholic Primary School, Carterton</v>
          </cell>
        </row>
        <row r="1974">
          <cell r="B1974" t="str">
            <v>St Joseph's Catholic Primary School, Derby</v>
          </cell>
        </row>
        <row r="1975">
          <cell r="B1975" t="str">
            <v>St Joseph's Catholic Primary School, Devizes</v>
          </cell>
        </row>
        <row r="1976">
          <cell r="B1976" t="str">
            <v>St Joseph's Catholic Primary School, Goldenhill</v>
          </cell>
        </row>
        <row r="1977">
          <cell r="B1977" t="str">
            <v>St Joseph's Catholic Primary School, Otley</v>
          </cell>
        </row>
        <row r="1978">
          <cell r="B1978" t="str">
            <v>St Joseph's Catholic Primary School, Pudsey</v>
          </cell>
        </row>
        <row r="1979">
          <cell r="B1979" t="str">
            <v>St Joseph's Catholic Primary School, Thame</v>
          </cell>
        </row>
        <row r="1980">
          <cell r="B1980" t="str">
            <v>St Joseph's College</v>
          </cell>
        </row>
        <row r="1981">
          <cell r="B1981" t="str">
            <v>St Joseph's College</v>
          </cell>
        </row>
        <row r="1982">
          <cell r="B1982" t="str">
            <v>St Joseph's RC Lower School</v>
          </cell>
        </row>
        <row r="1983">
          <cell r="B1983" t="str">
            <v>St Joseph's RC Primary School</v>
          </cell>
        </row>
        <row r="1984">
          <cell r="B1984" t="str">
            <v>St Joseph's RC Primary School</v>
          </cell>
        </row>
        <row r="1985">
          <cell r="B1985" t="str">
            <v>St Laurence School</v>
          </cell>
        </row>
        <row r="1986">
          <cell r="B1986" t="str">
            <v>St Loys Church of England Primary School, Weedon Lois</v>
          </cell>
        </row>
        <row r="1987">
          <cell r="B1987" t="str">
            <v>St Mabyn CofE School</v>
          </cell>
        </row>
        <row r="1988">
          <cell r="B1988" t="str">
            <v>St Margaret Clitherow Catholic Primary School</v>
          </cell>
        </row>
        <row r="1989">
          <cell r="B1989" t="str">
            <v>St Margaret Ward Catholic School and Arts College</v>
          </cell>
        </row>
        <row r="1990">
          <cell r="B1990" t="str">
            <v>St Margaret's Academy</v>
          </cell>
        </row>
        <row r="1991">
          <cell r="B1991" t="str">
            <v>St Margaret's Church of England High School</v>
          </cell>
        </row>
        <row r="1992">
          <cell r="B1992" t="str">
            <v>St Marie's Catholic Primary School</v>
          </cell>
        </row>
        <row r="1993">
          <cell r="B1993" t="str">
            <v>St Mark's Catholic School</v>
          </cell>
        </row>
        <row r="1994">
          <cell r="B1994" t="str">
            <v>St Mark's West Essex Catholic School</v>
          </cell>
        </row>
        <row r="1995">
          <cell r="B1995" t="str">
            <v>St Martin in the Fields High School for Girls</v>
          </cell>
        </row>
        <row r="1996">
          <cell r="B1996" t="str">
            <v>St Martin's School</v>
          </cell>
        </row>
        <row r="1997">
          <cell r="B1997" t="str">
            <v>St Mary Roman Catholic Primary School</v>
          </cell>
        </row>
        <row r="1998">
          <cell r="B1998" t="str">
            <v>St Mary's Catholic Comprehensive School, Menston</v>
          </cell>
        </row>
        <row r="1999">
          <cell r="B1999" t="str">
            <v>St Mary's Catholic High School</v>
          </cell>
        </row>
        <row r="2000">
          <cell r="B2000" t="str">
            <v>St Marys Catholic Primary School</v>
          </cell>
        </row>
        <row r="2001">
          <cell r="B2001" t="str">
            <v>St Mary's Catholic Primary School</v>
          </cell>
        </row>
        <row r="2002">
          <cell r="B2002" t="str">
            <v>St Mary's Catholic Primary School</v>
          </cell>
        </row>
        <row r="2003">
          <cell r="B2003" t="str">
            <v>St Mary's Catholic Primary School</v>
          </cell>
        </row>
        <row r="2004">
          <cell r="B2004" t="str">
            <v>St Mary's Catholic Primary School</v>
          </cell>
        </row>
        <row r="2005">
          <cell r="B2005" t="str">
            <v>St Mary's Catholic Primary School</v>
          </cell>
        </row>
        <row r="2006">
          <cell r="B2006" t="str">
            <v>St Mary's Catholic Primary School (Maltby)</v>
          </cell>
        </row>
        <row r="2007">
          <cell r="B2007" t="str">
            <v>St Mary's Catholic Primary School and Nursery</v>
          </cell>
        </row>
        <row r="2008">
          <cell r="B2008" t="str">
            <v>St Mary's Catholic Primary School, Horsforth</v>
          </cell>
        </row>
        <row r="2009">
          <cell r="B2009" t="str">
            <v>St Mary's Church of England High School (VA)</v>
          </cell>
        </row>
        <row r="2010">
          <cell r="B2010" t="str">
            <v>St Mary's Church of England Junior School</v>
          </cell>
        </row>
        <row r="2011">
          <cell r="B2011" t="str">
            <v>St Mary's Church of England Middle School, Puddletown</v>
          </cell>
        </row>
        <row r="2012">
          <cell r="B2012" t="str">
            <v>St Mary's Church of England Primary School, Burton Latimer</v>
          </cell>
        </row>
        <row r="2013">
          <cell r="B2013" t="str">
            <v>St Mary's Church of England Voluntary Aided Primary School</v>
          </cell>
        </row>
        <row r="2014">
          <cell r="B2014" t="str">
            <v>St Mary's Church of England Voluntary Aided Primary School</v>
          </cell>
        </row>
        <row r="2015">
          <cell r="B2015" t="str">
            <v>St Mary's Church of England Voluntary Aided Primary School, Barnsley</v>
          </cell>
        </row>
        <row r="2016">
          <cell r="B2016" t="str">
            <v>St Mary's Church of England Voluntary Aided Primary School, Shenfield</v>
          </cell>
        </row>
        <row r="2017">
          <cell r="B2017" t="str">
            <v>St Mary's CofE Junior and Infant School (NC)</v>
          </cell>
        </row>
        <row r="2018">
          <cell r="B2018" t="str">
            <v>St Mary's CofE Nursery and Infant School</v>
          </cell>
        </row>
        <row r="2019">
          <cell r="B2019" t="str">
            <v>St Mary's VA CofE Lower School</v>
          </cell>
        </row>
        <row r="2020">
          <cell r="B2020" t="str">
            <v>St Mary's VC Lower School</v>
          </cell>
        </row>
        <row r="2021">
          <cell r="B2021" t="str">
            <v>St Matthews CofE (A) Primary School</v>
          </cell>
        </row>
        <row r="2022">
          <cell r="B2022" t="str">
            <v>St Matthew's CofE Primary School</v>
          </cell>
        </row>
        <row r="2023">
          <cell r="B2023" t="str">
            <v>St Matthias Church of England Primary School</v>
          </cell>
        </row>
        <row r="2024">
          <cell r="B2024" t="str">
            <v>St Merryn School</v>
          </cell>
        </row>
        <row r="2025">
          <cell r="B2025" t="str">
            <v>St Mewan Community Primary School</v>
          </cell>
        </row>
        <row r="2026">
          <cell r="B2026" t="str">
            <v>St Michael and All Angels Church of England (Aided) Primary School</v>
          </cell>
        </row>
        <row r="2027">
          <cell r="B2027" t="str">
            <v>St Michael's Catholic College</v>
          </cell>
        </row>
        <row r="2028">
          <cell r="B2028" t="str">
            <v>St Michael's Catholic Grammar School</v>
          </cell>
        </row>
        <row r="2029">
          <cell r="B2029" t="str">
            <v>St Michael's Church of England Aided Primary School</v>
          </cell>
        </row>
        <row r="2030">
          <cell r="B2030" t="str">
            <v>St Michael's Church of England High School</v>
          </cell>
        </row>
        <row r="2031">
          <cell r="B2031" t="str">
            <v>St Michael's CofE Primary School</v>
          </cell>
        </row>
        <row r="2032">
          <cell r="B2032" t="str">
            <v>St Nicholas Catholic Primary School</v>
          </cell>
        </row>
        <row r="2033">
          <cell r="B2033" t="str">
            <v>St Nicholas' CofE Primary</v>
          </cell>
        </row>
        <row r="2034">
          <cell r="B2034" t="str">
            <v>St Nicholas of Tolentine Catholic Primary School</v>
          </cell>
        </row>
        <row r="2035">
          <cell r="B2035" t="str">
            <v>St Nicholas School</v>
          </cell>
        </row>
        <row r="2036">
          <cell r="B2036" t="str">
            <v>St Nicolas' Church of England Combined School</v>
          </cell>
        </row>
        <row r="2037">
          <cell r="B2037" t="str">
            <v>St Nicolas CofE (Voluntary Aided) Primary School</v>
          </cell>
        </row>
        <row r="2038">
          <cell r="B2038" t="str">
            <v>St Olave's and St Saviour's Grammar School</v>
          </cell>
        </row>
        <row r="2039">
          <cell r="B2039" t="str">
            <v>St Osmund's Church of England Voluntary Aided Middle School, Dorchester</v>
          </cell>
        </row>
        <row r="2040">
          <cell r="B2040" t="str">
            <v>St Patrick's Catholic Primary and Nursery School</v>
          </cell>
        </row>
        <row r="2041">
          <cell r="B2041" t="str">
            <v>St Patrick's Catholic Primary School</v>
          </cell>
        </row>
        <row r="2042">
          <cell r="B2042" t="str">
            <v>St Patrick's Catholic Primary School</v>
          </cell>
        </row>
        <row r="2043">
          <cell r="B2043" t="str">
            <v>St Patricks Church of England Primary Academy</v>
          </cell>
        </row>
        <row r="2044">
          <cell r="B2044" t="str">
            <v>St Paul's and All Hallows CofE Infant School</v>
          </cell>
        </row>
        <row r="2045">
          <cell r="B2045" t="str">
            <v>St Paul's and All Hallows CofE Junior School</v>
          </cell>
        </row>
        <row r="2046">
          <cell r="B2046" t="str">
            <v>St Paul's Catholic High School</v>
          </cell>
        </row>
        <row r="2047">
          <cell r="B2047" t="str">
            <v>St Paul's CofE (C) Primary School</v>
          </cell>
        </row>
        <row r="2048">
          <cell r="B2048" t="str">
            <v>St Paul's CofE Primary School</v>
          </cell>
        </row>
        <row r="2049">
          <cell r="B2049" t="str">
            <v>St Paul's CofE Primary School, Astley Bridge</v>
          </cell>
        </row>
        <row r="2050">
          <cell r="B2050" t="str">
            <v>St Peter and Paul Catholic Primary School, Yeadon</v>
          </cell>
        </row>
        <row r="2051">
          <cell r="B2051" t="str">
            <v>St Peter and St Paul Church of England Primary School</v>
          </cell>
        </row>
        <row r="2052">
          <cell r="B2052" t="str">
            <v>St Peter and St Paul, Lincoln's Catholic High School, A Science College</v>
          </cell>
        </row>
        <row r="2053">
          <cell r="B2053" t="str">
            <v>St Peter's Catholic Comprehensive School</v>
          </cell>
        </row>
        <row r="2054">
          <cell r="B2054" t="str">
            <v>St Peter's Catholic High School and Sixth Form Centre</v>
          </cell>
        </row>
        <row r="2055">
          <cell r="B2055" t="str">
            <v>St Peter's Catholic Primary School</v>
          </cell>
        </row>
        <row r="2056">
          <cell r="B2056" t="str">
            <v>St Peter's Church of England Aided School</v>
          </cell>
        </row>
        <row r="2057">
          <cell r="B2057" t="str">
            <v>St Peter's Church of England Primary School</v>
          </cell>
        </row>
        <row r="2058">
          <cell r="B2058" t="str">
            <v>St Peter's Collegiate Church of England School</v>
          </cell>
        </row>
        <row r="2059">
          <cell r="B2059" t="str">
            <v>St Peter's School</v>
          </cell>
        </row>
        <row r="2060">
          <cell r="B2060" t="str">
            <v>St Petroc's Church of England Voluntary Aided Primary School</v>
          </cell>
        </row>
        <row r="2061">
          <cell r="B2061" t="str">
            <v>St Simon and Jude CofE Primary School, Bolton</v>
          </cell>
        </row>
        <row r="2062">
          <cell r="B2062" t="str">
            <v>St Simon Stock Catholic School</v>
          </cell>
        </row>
        <row r="2063">
          <cell r="B2063" t="str">
            <v>St Stephen's Junior School</v>
          </cell>
        </row>
        <row r="2064">
          <cell r="B2064" t="str">
            <v>St Teresa's Catholic Primary School</v>
          </cell>
        </row>
        <row r="2065">
          <cell r="B2065" t="str">
            <v>St Teresa's Catholic Primary School</v>
          </cell>
        </row>
        <row r="2066">
          <cell r="B2066" t="str">
            <v>St Teresa's Catholic Primary School, Colchester</v>
          </cell>
        </row>
        <row r="2067">
          <cell r="B2067" t="str">
            <v>St Thomas A Becket Catholic College Specialist Status In Humanities: With Autism Resource</v>
          </cell>
        </row>
        <row r="2068">
          <cell r="B2068" t="str">
            <v>St Thomas Becket Catholic Primary School</v>
          </cell>
        </row>
        <row r="2069">
          <cell r="B2069" t="str">
            <v>St Thomas' Catholic Primary School</v>
          </cell>
        </row>
        <row r="2070">
          <cell r="B2070" t="str">
            <v>St Thomas More Catholic High School, A Specialist School for Maths &amp; ICT</v>
          </cell>
        </row>
        <row r="2071">
          <cell r="B2071" t="str">
            <v>St Thomas More Catholic Primary School</v>
          </cell>
        </row>
        <row r="2072">
          <cell r="B2072" t="str">
            <v>St Thomas More Catholic Primary School, Kidlington</v>
          </cell>
        </row>
        <row r="2073">
          <cell r="B2073" t="str">
            <v>St Thomas More Catholic Primary School, Saffron Walden</v>
          </cell>
        </row>
        <row r="2074">
          <cell r="B2074" t="str">
            <v>St Thomas More Catholic School</v>
          </cell>
        </row>
        <row r="2075">
          <cell r="B2075" t="str">
            <v>St Thomas More Catholic School</v>
          </cell>
        </row>
        <row r="2076">
          <cell r="B2076" t="str">
            <v>St Thomas More Catholic School</v>
          </cell>
        </row>
        <row r="2077">
          <cell r="B2077" t="str">
            <v>St Thomas More High School for Boys</v>
          </cell>
        </row>
        <row r="2078">
          <cell r="B2078" t="str">
            <v>St Thomas More Roman Catholic Comprehensive School</v>
          </cell>
        </row>
        <row r="2079">
          <cell r="B2079" t="str">
            <v>St Thomas More Roman Catholic High School Aided</v>
          </cell>
        </row>
        <row r="2080">
          <cell r="B2080" t="str">
            <v>St Thomas More Roman Catholic Primary School</v>
          </cell>
        </row>
        <row r="2081">
          <cell r="B2081" t="str">
            <v>St Thomas More's Catholic Primary School, Colchester</v>
          </cell>
        </row>
        <row r="2082">
          <cell r="B2082" t="str">
            <v>St Thomas of Canterbury Catholic Primary School</v>
          </cell>
        </row>
        <row r="2083">
          <cell r="B2083" t="str">
            <v>St Tudy CofE VA Primary School</v>
          </cell>
        </row>
        <row r="2084">
          <cell r="B2084" t="str">
            <v>St Wilfrid's Catholic High School and Sixth Form College: With Speech and Language Resource</v>
          </cell>
        </row>
        <row r="2085">
          <cell r="B2085" t="str">
            <v>St Wilfrid's Catholic Primary School</v>
          </cell>
        </row>
        <row r="2086">
          <cell r="B2086" t="str">
            <v>St Wilfrid's Catholic Primary School</v>
          </cell>
        </row>
        <row r="2087">
          <cell r="B2087" t="str">
            <v>St Wilfrid's Church of England Academy</v>
          </cell>
        </row>
        <row r="2088">
          <cell r="B2088" t="str">
            <v>St Winnow CofE School</v>
          </cell>
        </row>
        <row r="2089">
          <cell r="B2089" t="str">
            <v>St. John the Baptist Catholic Primary School</v>
          </cell>
        </row>
        <row r="2090">
          <cell r="B2090" t="str">
            <v>Stafford Leys Community Primary School</v>
          </cell>
        </row>
        <row r="2091">
          <cell r="B2091" t="str">
            <v>Staindrop School A Business and Enterprise College</v>
          </cell>
        </row>
        <row r="2092">
          <cell r="B2092" t="str">
            <v>Stamford Queen Eleanor School</v>
          </cell>
        </row>
        <row r="2093">
          <cell r="B2093" t="str">
            <v>Stamford St Gilberts Church of England Primary School</v>
          </cell>
        </row>
        <row r="2094">
          <cell r="B2094" t="str">
            <v>Stamshaw Junior School</v>
          </cell>
        </row>
        <row r="2095">
          <cell r="B2095" t="str">
            <v>Stanborough School</v>
          </cell>
        </row>
        <row r="2096">
          <cell r="B2096" t="str">
            <v>Stanchester Community School</v>
          </cell>
        </row>
        <row r="2097">
          <cell r="B2097" t="str">
            <v>Stanley Park High School</v>
          </cell>
        </row>
        <row r="2098">
          <cell r="B2098" t="str">
            <v>Stanley Park Infants' School</v>
          </cell>
        </row>
        <row r="2099">
          <cell r="B2099" t="str">
            <v>Stanton Under Bardon Community Primary School</v>
          </cell>
        </row>
        <row r="2100">
          <cell r="B2100" t="str">
            <v>Staunton and Corse Church of England Primary School</v>
          </cell>
        </row>
        <row r="2101">
          <cell r="B2101" t="str">
            <v>Stewards School - Science Specialist, Harlow</v>
          </cell>
        </row>
        <row r="2102">
          <cell r="B2102" t="str">
            <v>Stewart Fleming Primary School</v>
          </cell>
        </row>
        <row r="2103">
          <cell r="B2103" t="str">
            <v>Stifford Primary School</v>
          </cell>
        </row>
        <row r="2104">
          <cell r="B2104" t="str">
            <v>Stisted Church of England Voluntary Aided Primary School</v>
          </cell>
        </row>
        <row r="2105">
          <cell r="B2105" t="str">
            <v>Stoberry Park School</v>
          </cell>
        </row>
        <row r="2106">
          <cell r="B2106" t="str">
            <v>Stockland Church of England Primary School</v>
          </cell>
        </row>
        <row r="2107">
          <cell r="B2107" t="str">
            <v>Stockland Green School</v>
          </cell>
        </row>
        <row r="2108">
          <cell r="B2108" t="str">
            <v>Stockwell Park High School</v>
          </cell>
        </row>
        <row r="2109">
          <cell r="B2109" t="str">
            <v>Stoke Bishop Church of England Primary School</v>
          </cell>
        </row>
        <row r="2110">
          <cell r="B2110" t="str">
            <v>Stoke Damerel Community College</v>
          </cell>
        </row>
        <row r="2111">
          <cell r="B2111" t="str">
            <v>Stokeinteignhead School</v>
          </cell>
        </row>
        <row r="2112">
          <cell r="B2112" t="str">
            <v>Stondon Lower School</v>
          </cell>
        </row>
        <row r="2113">
          <cell r="B2113" t="str">
            <v>Stonebow Primary School Loughborough</v>
          </cell>
        </row>
        <row r="2114">
          <cell r="B2114" t="str">
            <v>Stourfield Infant School</v>
          </cell>
        </row>
        <row r="2115">
          <cell r="B2115" t="str">
            <v>Stowford Primary School</v>
          </cell>
        </row>
        <row r="2116">
          <cell r="B2116" t="str">
            <v>Stowmarket Middle School</v>
          </cell>
        </row>
        <row r="2117">
          <cell r="B2117" t="str">
            <v>Stow-on-the-Wold Primary School</v>
          </cell>
        </row>
        <row r="2118">
          <cell r="B2118" t="str">
            <v>Stradbroke Business and Enterprise College</v>
          </cell>
        </row>
        <row r="2119">
          <cell r="B2119" t="str">
            <v>Stramongate Primary School</v>
          </cell>
        </row>
        <row r="2120">
          <cell r="B2120" t="str">
            <v>Stratford School</v>
          </cell>
        </row>
        <row r="2121">
          <cell r="B2121" t="str">
            <v>Stratford upon Avon High School</v>
          </cell>
        </row>
        <row r="2122">
          <cell r="B2122" t="str">
            <v>Stratford-Upon-Avon Grammar School for Girls</v>
          </cell>
        </row>
        <row r="2123">
          <cell r="B2123" t="str">
            <v>Stratton Upper School and Community College</v>
          </cell>
        </row>
        <row r="2124">
          <cell r="B2124" t="str">
            <v>Stretton Sugwas CofE Primary School</v>
          </cell>
        </row>
        <row r="2125">
          <cell r="B2125" t="str">
            <v>Stroud High School</v>
          </cell>
        </row>
        <row r="2126">
          <cell r="B2126" t="str">
            <v>Studley High School  - A Humanities and Music College</v>
          </cell>
        </row>
        <row r="2127">
          <cell r="B2127" t="str">
            <v>Sturry Church of England Primary School</v>
          </cell>
        </row>
        <row r="2128">
          <cell r="B2128" t="str">
            <v>Suckley Primary School</v>
          </cell>
        </row>
        <row r="2129">
          <cell r="B2129" t="str">
            <v>Sudbury Primary School</v>
          </cell>
        </row>
        <row r="2130">
          <cell r="B2130" t="str">
            <v>Suffolk One</v>
          </cell>
        </row>
        <row r="2131">
          <cell r="B2131" t="str">
            <v>Summercroft Primary School</v>
          </cell>
        </row>
        <row r="2132">
          <cell r="B2132" t="str">
            <v>Summerhill Junior School</v>
          </cell>
        </row>
        <row r="2133">
          <cell r="B2133" t="str">
            <v>Summerhill Primary School</v>
          </cell>
        </row>
        <row r="2134">
          <cell r="B2134" t="str">
            <v>Sun Hill Infant School</v>
          </cell>
        </row>
        <row r="2135">
          <cell r="B2135" t="str">
            <v>Sun Hill Junior School</v>
          </cell>
        </row>
        <row r="2136">
          <cell r="B2136" t="str">
            <v>Sunbury Manor School</v>
          </cell>
        </row>
        <row r="2137">
          <cell r="B2137" t="str">
            <v>Sundon Lower School</v>
          </cell>
        </row>
        <row r="2138">
          <cell r="B2138" t="str">
            <v>Sundorne School and Sports College</v>
          </cell>
        </row>
        <row r="2139">
          <cell r="B2139" t="str">
            <v>Sunshine Infant and Nursery School</v>
          </cell>
        </row>
        <row r="2140">
          <cell r="B2140" t="str">
            <v>Sutherland Business and Enterprise College</v>
          </cell>
        </row>
        <row r="2141">
          <cell r="B2141" t="str">
            <v>Sutherland Primary School</v>
          </cell>
        </row>
        <row r="2142">
          <cell r="B2142" t="str">
            <v>Sutton Coldfield Grammar School for Girls</v>
          </cell>
        </row>
        <row r="2143">
          <cell r="B2143" t="str">
            <v>Sutton Grammar School</v>
          </cell>
        </row>
        <row r="2144">
          <cell r="B2144" t="str">
            <v>Sutton Park Primary School</v>
          </cell>
        </row>
        <row r="2145">
          <cell r="B2145" t="str">
            <v>Sutton Primary School</v>
          </cell>
        </row>
        <row r="2146">
          <cell r="B2146" t="str">
            <v>Swakeleys School</v>
          </cell>
        </row>
        <row r="2147">
          <cell r="B2147" t="str">
            <v>Swallowdale Primary School and Community Centre</v>
          </cell>
        </row>
        <row r="2148">
          <cell r="B2148" t="str">
            <v>Swanland Primary School</v>
          </cell>
        </row>
        <row r="2149">
          <cell r="B2149" t="str">
            <v>Swavesey Village College</v>
          </cell>
        </row>
        <row r="2150">
          <cell r="B2150" t="str">
            <v>Swindon Village Primary School</v>
          </cell>
        </row>
        <row r="2151">
          <cell r="B2151" t="str">
            <v>Sycamore Primary School</v>
          </cell>
        </row>
        <row r="2152">
          <cell r="B2152" t="str">
            <v>Tabor Science College</v>
          </cell>
        </row>
        <row r="2153">
          <cell r="B2153" t="str">
            <v>Tanworth-in-Arden CofE Primary School</v>
          </cell>
        </row>
        <row r="2154">
          <cell r="B2154" t="str">
            <v>Tapton School</v>
          </cell>
        </row>
        <row r="2155">
          <cell r="B2155" t="str">
            <v>Tarleton High School, A Community Technology College</v>
          </cell>
        </row>
        <row r="2156">
          <cell r="B2156" t="str">
            <v>Tarporley High School and Sixth Form College</v>
          </cell>
        </row>
        <row r="2157">
          <cell r="B2157" t="str">
            <v>Tatworth Primary School</v>
          </cell>
        </row>
        <row r="2158">
          <cell r="B2158" t="str">
            <v>Taverham High School</v>
          </cell>
        </row>
        <row r="2159">
          <cell r="B2159" t="str">
            <v>Teddington School</v>
          </cell>
        </row>
        <row r="2160">
          <cell r="B2160" t="str">
            <v>Teesdale School</v>
          </cell>
        </row>
        <row r="2161">
          <cell r="B2161" t="str">
            <v>Teign School</v>
          </cell>
        </row>
        <row r="2162">
          <cell r="B2162" t="str">
            <v>Teignmouth Community College</v>
          </cell>
        </row>
        <row r="2163">
          <cell r="B2163" t="str">
            <v>Tendring Technology College</v>
          </cell>
        </row>
        <row r="2164">
          <cell r="B2164" t="str">
            <v>Testwood Sports College</v>
          </cell>
        </row>
        <row r="2165">
          <cell r="B2165" t="str">
            <v>Tewkesbury Church of England Primary School</v>
          </cell>
        </row>
        <row r="2166">
          <cell r="B2166" t="str">
            <v>Tewkesbury School</v>
          </cell>
        </row>
        <row r="2167">
          <cell r="B2167" t="str">
            <v>Thames Primary School</v>
          </cell>
        </row>
        <row r="2168">
          <cell r="B2168" t="str">
            <v>Thames View Infants' School</v>
          </cell>
        </row>
        <row r="2169">
          <cell r="B2169" t="str">
            <v>Thamesmead School</v>
          </cell>
        </row>
        <row r="2170">
          <cell r="B2170" t="str">
            <v>The Abbey School</v>
          </cell>
        </row>
        <row r="2171">
          <cell r="B2171" t="str">
            <v>The Abbey School</v>
          </cell>
        </row>
        <row r="2172">
          <cell r="B2172" t="str">
            <v>The Aerodrome School</v>
          </cell>
        </row>
        <row r="2173">
          <cell r="B2173" t="str">
            <v>The Albany, A Business and Enterprise College</v>
          </cell>
        </row>
        <row r="2174">
          <cell r="B2174" t="str">
            <v>The Appleton School</v>
          </cell>
        </row>
        <row r="2175">
          <cell r="B2175" t="str">
            <v>The Armthorpe School</v>
          </cell>
        </row>
        <row r="2176">
          <cell r="B2176" t="str">
            <v>The Arnewood School</v>
          </cell>
        </row>
        <row r="2177">
          <cell r="B2177" t="str">
            <v>The Arthur Terry School</v>
          </cell>
        </row>
        <row r="2178">
          <cell r="B2178" t="str">
            <v>The Ashley School</v>
          </cell>
        </row>
        <row r="2179">
          <cell r="B2179" t="str">
            <v>The Avenue Special School</v>
          </cell>
        </row>
        <row r="2180">
          <cell r="B2180" t="str">
            <v>The Avon Valley School and Performing Arts College</v>
          </cell>
        </row>
        <row r="2181">
          <cell r="B2181" t="str">
            <v>The Bankfield School</v>
          </cell>
        </row>
        <row r="2182">
          <cell r="B2182" t="str">
            <v>The Beacon School</v>
          </cell>
        </row>
        <row r="2183">
          <cell r="B2183" t="str">
            <v>The Beaconsfield School</v>
          </cell>
        </row>
        <row r="2184">
          <cell r="B2184" t="str">
            <v>The Becket School</v>
          </cell>
        </row>
        <row r="2185">
          <cell r="B2185" t="str">
            <v>The Bicknell School</v>
          </cell>
        </row>
        <row r="2186">
          <cell r="B2186" t="str">
            <v>The Billericay School</v>
          </cell>
        </row>
        <row r="2187">
          <cell r="B2187" t="str">
            <v>The Bishop Wand Church of England School</v>
          </cell>
        </row>
        <row r="2188">
          <cell r="B2188" t="str">
            <v>The Bishops' Blue Coat Church of England High School</v>
          </cell>
        </row>
        <row r="2189">
          <cell r="B2189" t="str">
            <v>The Bishop's Stortford High School</v>
          </cell>
        </row>
        <row r="2190">
          <cell r="B2190" t="str">
            <v>The Blue Coat CofE School</v>
          </cell>
        </row>
        <row r="2191">
          <cell r="B2191" t="str">
            <v>The Blue Coat School</v>
          </cell>
        </row>
        <row r="2192">
          <cell r="B2192" t="str">
            <v>The Blue School</v>
          </cell>
        </row>
        <row r="2193">
          <cell r="B2193" t="str">
            <v>The Bolsover School</v>
          </cell>
        </row>
        <row r="2194">
          <cell r="B2194" t="str">
            <v>The Boston Grammar School</v>
          </cell>
        </row>
        <row r="2195">
          <cell r="B2195" t="str">
            <v>The Boswells School</v>
          </cell>
        </row>
        <row r="2196">
          <cell r="B2196" t="str">
            <v>The Bramcote Park Sport,Business and Enterprise School</v>
          </cell>
        </row>
        <row r="2197">
          <cell r="B2197" t="str">
            <v>The Bridge Academy</v>
          </cell>
        </row>
        <row r="2198">
          <cell r="B2198" t="str">
            <v>The Bridge School</v>
          </cell>
        </row>
        <row r="2199">
          <cell r="B2199" t="str">
            <v>The Bromfords School</v>
          </cell>
        </row>
        <row r="2200">
          <cell r="B2200" t="str">
            <v>The Brooksbank School</v>
          </cell>
        </row>
        <row r="2201">
          <cell r="B2201" t="str">
            <v>The Broxbourne School</v>
          </cell>
        </row>
        <row r="2202">
          <cell r="B2202" t="str">
            <v>The Brunts School</v>
          </cell>
        </row>
        <row r="2203">
          <cell r="B2203" t="str">
            <v>The Burgate School and Sixth Form Centre</v>
          </cell>
        </row>
        <row r="2204">
          <cell r="B2204" t="str">
            <v>The Buttsbury Junior School</v>
          </cell>
        </row>
        <row r="2205">
          <cell r="B2205" t="str">
            <v>The Byrchall High School</v>
          </cell>
        </row>
        <row r="2206">
          <cell r="B2206" t="str">
            <v>The Campion School</v>
          </cell>
        </row>
        <row r="2207">
          <cell r="B2207" t="str">
            <v>The Canterbury Academy</v>
          </cell>
        </row>
        <row r="2208">
          <cell r="B2208" t="str">
            <v>The Canterbury Primary School</v>
          </cell>
        </row>
        <row r="2209">
          <cell r="B2209" t="str">
            <v>The Castle School</v>
          </cell>
        </row>
        <row r="2210">
          <cell r="B2210" t="str">
            <v>The Castle School</v>
          </cell>
        </row>
        <row r="2211">
          <cell r="B2211" t="str">
            <v>The Cathedral School</v>
          </cell>
        </row>
        <row r="2212">
          <cell r="B2212" t="str">
            <v>The Catholic High School, Chester A Specialist Science College</v>
          </cell>
        </row>
        <row r="2213">
          <cell r="B2213" t="str">
            <v>The Cavendish School</v>
          </cell>
        </row>
        <row r="2214">
          <cell r="B2214" t="str">
            <v>The Cedars School</v>
          </cell>
        </row>
        <row r="2215">
          <cell r="B2215" t="str">
            <v>The Centre School</v>
          </cell>
        </row>
        <row r="2216">
          <cell r="B2216" t="str">
            <v>The Chalfonts Community College</v>
          </cell>
        </row>
        <row r="2217">
          <cell r="B2217" t="str">
            <v>The Charles Read High School</v>
          </cell>
        </row>
        <row r="2218">
          <cell r="B2218" t="str">
            <v>The Charter School</v>
          </cell>
        </row>
        <row r="2219">
          <cell r="B2219" t="str">
            <v>The Chase</v>
          </cell>
        </row>
        <row r="2220">
          <cell r="B2220" t="str">
            <v>The Chauncy School</v>
          </cell>
        </row>
        <row r="2221">
          <cell r="B2221" t="str">
            <v>The Cherwell School</v>
          </cell>
        </row>
        <row r="2222">
          <cell r="B2222" t="str">
            <v>The Coleshill School</v>
          </cell>
        </row>
        <row r="2223">
          <cell r="B2223" t="str">
            <v>The Commonweal School</v>
          </cell>
        </row>
        <row r="2224">
          <cell r="B2224" t="str">
            <v>The Community Science College at Thornhill</v>
          </cell>
        </row>
        <row r="2225">
          <cell r="B2225" t="str">
            <v>The Compton School</v>
          </cell>
        </row>
        <row r="2226">
          <cell r="B2226" t="str">
            <v>The Coopers' Company and Coborn School</v>
          </cell>
        </row>
        <row r="2227">
          <cell r="B2227" t="str">
            <v>The Corbet School Technology College</v>
          </cell>
        </row>
        <row r="2228">
          <cell r="B2228" t="str">
            <v>The Corsham School</v>
          </cell>
        </row>
        <row r="2229">
          <cell r="B2229" t="str">
            <v>The Cotswold Academy</v>
          </cell>
        </row>
        <row r="2230">
          <cell r="B2230" t="str">
            <v>The County High School Leftwich</v>
          </cell>
        </row>
        <row r="2231">
          <cell r="B2231" t="str">
            <v>The Coventry Blue Coat Church of England School and Music College</v>
          </cell>
        </row>
        <row r="2232">
          <cell r="B2232" t="str">
            <v>The Crossley Heath School</v>
          </cell>
        </row>
        <row r="2233">
          <cell r="B2233" t="str">
            <v>The Crypt School</v>
          </cell>
        </row>
        <row r="2234">
          <cell r="B2234" t="str">
            <v>The Deanery Church of England Primary School</v>
          </cell>
        </row>
        <row r="2235">
          <cell r="B2235" t="str">
            <v>The Deepings School</v>
          </cell>
        </row>
        <row r="2236">
          <cell r="B2236" t="str">
            <v>The Denes High School</v>
          </cell>
        </row>
        <row r="2237">
          <cell r="B2237" t="str">
            <v>The Douay Martyrs Catholic School</v>
          </cell>
        </row>
        <row r="2238">
          <cell r="B2238" t="str">
            <v>The Duchess's Community High School</v>
          </cell>
        </row>
        <row r="2239">
          <cell r="B2239" t="str">
            <v>The Duchy School Bradninch</v>
          </cell>
        </row>
        <row r="2240">
          <cell r="B2240" t="str">
            <v>The Duston School</v>
          </cell>
        </row>
        <row r="2241">
          <cell r="B2241" t="str">
            <v>The Earl of Dysart Primary School, Grantham</v>
          </cell>
        </row>
        <row r="2242">
          <cell r="B2242" t="str">
            <v>The Earls High School</v>
          </cell>
        </row>
        <row r="2243">
          <cell r="B2243" t="str">
            <v>The Eastwood Academy</v>
          </cell>
        </row>
        <row r="2244">
          <cell r="B2244" t="str">
            <v>The Ecclesbourne School</v>
          </cell>
        </row>
        <row r="2245">
          <cell r="B2245" t="str">
            <v>The Elizabethan High School</v>
          </cell>
        </row>
        <row r="2246">
          <cell r="B2246" t="str">
            <v>The Elmgreen School</v>
          </cell>
        </row>
        <row r="2247">
          <cell r="B2247" t="str">
            <v>The Epiphany Church of England Primary School</v>
          </cell>
        </row>
        <row r="2248">
          <cell r="B2248" t="str">
            <v>The Eresby School, Spilsby</v>
          </cell>
        </row>
        <row r="2249">
          <cell r="B2249" t="str">
            <v>The Faber Catholic Primary School</v>
          </cell>
        </row>
        <row r="2250">
          <cell r="B2250" t="str">
            <v>The Firs Lower School</v>
          </cell>
        </row>
        <row r="2251">
          <cell r="B2251" t="str">
            <v>The Folkestone School for Girls</v>
          </cell>
        </row>
        <row r="2252">
          <cell r="B2252" t="str">
            <v>The Frances Bardsley School for Girls</v>
          </cell>
        </row>
        <row r="2253">
          <cell r="B2253" t="str">
            <v>The Freeston Academy</v>
          </cell>
        </row>
        <row r="2254">
          <cell r="B2254" t="str">
            <v>The Gainsborough Hillcrest Community Infant and Nursery School</v>
          </cell>
        </row>
        <row r="2255">
          <cell r="B2255" t="str">
            <v>The Gainsborough Parish Church Primary School</v>
          </cell>
        </row>
        <row r="2256">
          <cell r="B2256" t="str">
            <v>The Gerrards Cross CofE School</v>
          </cell>
        </row>
        <row r="2257">
          <cell r="B2257" t="str">
            <v>The Gilberd School</v>
          </cell>
        </row>
        <row r="2258">
          <cell r="B2258" t="str">
            <v>The Giles Academy</v>
          </cell>
        </row>
        <row r="2259">
          <cell r="B2259" t="str">
            <v>The Good Shepherd Catholic Primary, Arnold</v>
          </cell>
        </row>
        <row r="2260">
          <cell r="B2260" t="str">
            <v>The Greneway School</v>
          </cell>
        </row>
        <row r="2261">
          <cell r="B2261" t="str">
            <v>The Grey Coat Hospital</v>
          </cell>
        </row>
        <row r="2262">
          <cell r="B2262" t="str">
            <v>The Gryphon School</v>
          </cell>
        </row>
        <row r="2263">
          <cell r="B2263" t="str">
            <v>The Hammond Primary School</v>
          </cell>
        </row>
        <row r="2264">
          <cell r="B2264" t="str">
            <v>The Harrowby Church of England Infant School, Grantham</v>
          </cell>
        </row>
        <row r="2265">
          <cell r="B2265" t="str">
            <v>The Harvey Grammar School</v>
          </cell>
        </row>
        <row r="2266">
          <cell r="B2266" t="str">
            <v>The Harwich School</v>
          </cell>
        </row>
        <row r="2267">
          <cell r="B2267" t="str">
            <v>The Hathershaw College of Technology &amp; Sport</v>
          </cell>
        </row>
        <row r="2268">
          <cell r="B2268" t="str">
            <v>The Hayesbrook School</v>
          </cell>
        </row>
        <row r="2269">
          <cell r="B2269" t="str">
            <v>The Hayfield School</v>
          </cell>
        </row>
        <row r="2270">
          <cell r="B2270" t="str">
            <v>The Heath School</v>
          </cell>
        </row>
        <row r="2271">
          <cell r="B2271" t="str">
            <v>The Henrietta Barnett School</v>
          </cell>
        </row>
        <row r="2272">
          <cell r="B2272" t="str">
            <v>The Henry Box School</v>
          </cell>
        </row>
        <row r="2273">
          <cell r="B2273" t="str">
            <v>The Hermitage Academy</v>
          </cell>
        </row>
        <row r="2274">
          <cell r="B2274" t="str">
            <v>The Hertfordshire &amp; Essex High School and Science College</v>
          </cell>
        </row>
        <row r="2275">
          <cell r="B2275" t="str">
            <v>The Hewett School</v>
          </cell>
        </row>
        <row r="2276">
          <cell r="B2276" t="str">
            <v>The High Arcal School</v>
          </cell>
        </row>
        <row r="2277">
          <cell r="B2277" t="str">
            <v>The Highfield School</v>
          </cell>
        </row>
        <row r="2278">
          <cell r="B2278" t="str">
            <v>The Hill Primary School</v>
          </cell>
        </row>
        <row r="2279">
          <cell r="B2279" t="str">
            <v>The Hills Lower School</v>
          </cell>
        </row>
        <row r="2280">
          <cell r="B2280" t="str">
            <v>The Hollyfield School and Sixth Form Centre</v>
          </cell>
        </row>
        <row r="2281">
          <cell r="B2281" t="str">
            <v>The Holt School</v>
          </cell>
        </row>
        <row r="2282">
          <cell r="B2282" t="str">
            <v>The Holy Cross School</v>
          </cell>
        </row>
        <row r="2283">
          <cell r="B2283" t="str">
            <v>The Holy Trinity Church of England Primary Academy</v>
          </cell>
        </row>
        <row r="2284">
          <cell r="B2284" t="str">
            <v>The Honywood Community Science School</v>
          </cell>
        </row>
        <row r="2285">
          <cell r="B2285" t="str">
            <v>The John Bentley School</v>
          </cell>
        </row>
        <row r="2286">
          <cell r="B2286" t="str">
            <v>The John Henry Newman Catholic School</v>
          </cell>
        </row>
        <row r="2287">
          <cell r="B2287" t="str">
            <v>The John of Gaunt School</v>
          </cell>
        </row>
        <row r="2288">
          <cell r="B2288" t="str">
            <v>The John Warner School</v>
          </cell>
        </row>
        <row r="2289">
          <cell r="B2289" t="str">
            <v>The Kimberley School</v>
          </cell>
        </row>
        <row r="2290">
          <cell r="B2290" t="str">
            <v>The King David High School</v>
          </cell>
        </row>
        <row r="2291">
          <cell r="B2291" t="str">
            <v>The King Edmund School</v>
          </cell>
        </row>
        <row r="2292">
          <cell r="B2292" t="str">
            <v>The King Edward VI School</v>
          </cell>
        </row>
        <row r="2293">
          <cell r="B2293" t="str">
            <v>The King John School</v>
          </cell>
        </row>
        <row r="2294">
          <cell r="B2294" t="str">
            <v>The Kingfisher School</v>
          </cell>
        </row>
        <row r="2295">
          <cell r="B2295" t="str">
            <v>The King's (the Cathedral) School</v>
          </cell>
        </row>
        <row r="2296">
          <cell r="B2296" t="str">
            <v>The Kings of Wessex School</v>
          </cell>
        </row>
        <row r="2297">
          <cell r="B2297" t="str">
            <v>The King's School</v>
          </cell>
        </row>
        <row r="2298">
          <cell r="B2298" t="str">
            <v>The King's School Specialising in Mathematics and Computing</v>
          </cell>
        </row>
        <row r="2299">
          <cell r="B2299" t="str">
            <v>The King's School, Grantham</v>
          </cell>
        </row>
        <row r="2300">
          <cell r="B2300" t="str">
            <v>The Kingswinford School &amp; Science College</v>
          </cell>
        </row>
        <row r="2301">
          <cell r="B2301" t="str">
            <v>The Knights Templar School</v>
          </cell>
        </row>
        <row r="2302">
          <cell r="B2302" t="str">
            <v>The Lady Jane Franklin School</v>
          </cell>
        </row>
        <row r="2303">
          <cell r="B2303" t="str">
            <v>The Lakelands School, Sports and Language College</v>
          </cell>
        </row>
        <row r="2304">
          <cell r="B2304" t="str">
            <v>The Lakes School</v>
          </cell>
        </row>
        <row r="2305">
          <cell r="B2305" t="str">
            <v>The Leventhorpe School</v>
          </cell>
        </row>
        <row r="2306">
          <cell r="B2306" t="str">
            <v>The Lincoln Manor Leas Infants School</v>
          </cell>
        </row>
        <row r="2307">
          <cell r="B2307" t="str">
            <v>The Links Education Support Centre</v>
          </cell>
        </row>
        <row r="2308">
          <cell r="B2308" t="str">
            <v>The Little Gonerby Church of England Infant School, Grantham</v>
          </cell>
        </row>
        <row r="2309">
          <cell r="B2309" t="str">
            <v>The London Oratory School</v>
          </cell>
        </row>
        <row r="2310">
          <cell r="B2310" t="str">
            <v>The Long Eaton School</v>
          </cell>
        </row>
        <row r="2311">
          <cell r="B2311" t="str">
            <v>The Long Eaton School</v>
          </cell>
        </row>
        <row r="2312">
          <cell r="B2312" t="str">
            <v>The Lord Silkin School</v>
          </cell>
        </row>
        <row r="2313">
          <cell r="B2313" t="str">
            <v>The Malcolm Sargent Primary School</v>
          </cell>
        </row>
        <row r="2314">
          <cell r="B2314" t="str">
            <v>The Malling School</v>
          </cell>
        </row>
        <row r="2315">
          <cell r="B2315" t="str">
            <v>The Manor CofE VC Primary School</v>
          </cell>
        </row>
        <row r="2316">
          <cell r="B2316" t="str">
            <v>The Manor School</v>
          </cell>
        </row>
        <row r="2317">
          <cell r="B2317" t="str">
            <v>The Maplesden Noakes School</v>
          </cell>
        </row>
        <row r="2318">
          <cell r="B2318" t="str">
            <v>The Marches School and Technology College</v>
          </cell>
        </row>
        <row r="2319">
          <cell r="B2319" t="str">
            <v>The Marlborough Church of England School</v>
          </cell>
        </row>
        <row r="2320">
          <cell r="B2320" t="str">
            <v>The Martin High School Anstey</v>
          </cell>
        </row>
        <row r="2321">
          <cell r="B2321" t="str">
            <v>The Matthew Arnold School</v>
          </cell>
        </row>
        <row r="2322">
          <cell r="B2322" t="str">
            <v>The Mead Community Primary School</v>
          </cell>
        </row>
        <row r="2323">
          <cell r="B2323" t="str">
            <v>The Meadow Community Primary School</v>
          </cell>
        </row>
        <row r="2324">
          <cell r="B2324" t="str">
            <v>The Merton Primary School</v>
          </cell>
        </row>
        <row r="2325">
          <cell r="B2325" t="str">
            <v>The Mirfield Free Grammar and Sixth Form</v>
          </cell>
        </row>
        <row r="2326">
          <cell r="B2326" t="str">
            <v>The Mountbatten School</v>
          </cell>
        </row>
        <row r="2327">
          <cell r="B2327" t="str">
            <v>The National Church of England Junior School, Grantham</v>
          </cell>
        </row>
        <row r="2328">
          <cell r="B2328" t="str">
            <v>The National CofE Academy</v>
          </cell>
        </row>
        <row r="2329">
          <cell r="B2329" t="str">
            <v>The Nene Infant School</v>
          </cell>
        </row>
        <row r="2330">
          <cell r="B2330" t="str">
            <v>The Netherhall School</v>
          </cell>
        </row>
        <row r="2331">
          <cell r="B2331" t="str">
            <v>The Nettleham Infant School</v>
          </cell>
        </row>
        <row r="2332">
          <cell r="B2332" t="str">
            <v>The North Halifax Grammar School</v>
          </cell>
        </row>
        <row r="2333">
          <cell r="B2333" t="str">
            <v>The North School</v>
          </cell>
        </row>
        <row r="2334">
          <cell r="B2334" t="str">
            <v>The Norton Knatchbull School</v>
          </cell>
        </row>
        <row r="2335">
          <cell r="B2335" t="str">
            <v>The Nottingham Bluecoat School and Technology College</v>
          </cell>
        </row>
        <row r="2336">
          <cell r="B2336" t="str">
            <v>The Nottingham Emmanuel School</v>
          </cell>
        </row>
        <row r="2337">
          <cell r="B2337" t="str">
            <v>The Oaklands Primary School</v>
          </cell>
        </row>
        <row r="2338">
          <cell r="B2338" t="str">
            <v>The Oaks Primary School</v>
          </cell>
        </row>
        <row r="2339">
          <cell r="B2339" t="str">
            <v>The Oaktree School</v>
          </cell>
        </row>
        <row r="2340">
          <cell r="B2340" t="str">
            <v>The Ockendon Academy</v>
          </cell>
        </row>
        <row r="2341">
          <cell r="B2341" t="str">
            <v>The Oldershaw School</v>
          </cell>
        </row>
        <row r="2342">
          <cell r="B2342" t="str">
            <v>The Park Lane (Foundation) Primary School</v>
          </cell>
        </row>
        <row r="2343">
          <cell r="B2343" t="str">
            <v>The Petersfield School</v>
          </cell>
        </row>
        <row r="2344">
          <cell r="B2344" t="str">
            <v>The Phoenix School</v>
          </cell>
        </row>
        <row r="2345">
          <cell r="B2345" t="str">
            <v>The Phoenix School</v>
          </cell>
        </row>
        <row r="2346">
          <cell r="B2346" t="str">
            <v>The Piggott School</v>
          </cell>
        </row>
        <row r="2347">
          <cell r="B2347" t="str">
            <v>The Pioneer School</v>
          </cell>
        </row>
        <row r="2348">
          <cell r="B2348" t="str">
            <v>The Pochin School</v>
          </cell>
        </row>
        <row r="2349">
          <cell r="B2349" t="str">
            <v>The Polesworth School</v>
          </cell>
        </row>
        <row r="2350">
          <cell r="B2350" t="str">
            <v>The Priory Primary School</v>
          </cell>
        </row>
        <row r="2351">
          <cell r="B2351" t="str">
            <v>The Priory School</v>
          </cell>
        </row>
        <row r="2352">
          <cell r="B2352" t="str">
            <v>The Priory School</v>
          </cell>
        </row>
        <row r="2353">
          <cell r="B2353" t="str">
            <v>The Priory School, A Business and Enterprise College</v>
          </cell>
        </row>
        <row r="2354">
          <cell r="B2354" t="str">
            <v>The Quay School</v>
          </cell>
        </row>
        <row r="2355">
          <cell r="B2355" t="str">
            <v>The Queen Elizabeth's High School, Gainsborough</v>
          </cell>
        </row>
        <row r="2356">
          <cell r="B2356" t="str">
            <v>The Queen Katherine School</v>
          </cell>
        </row>
        <row r="2357">
          <cell r="B2357" t="str">
            <v>The Radcliffe School</v>
          </cell>
        </row>
        <row r="2358">
          <cell r="B2358" t="str">
            <v>The Raleigh School</v>
          </cell>
        </row>
        <row r="2359">
          <cell r="B2359" t="str">
            <v>The Ravensbourne School</v>
          </cell>
        </row>
        <row r="2360">
          <cell r="B2360" t="str">
            <v>The Ravenscroft School A Technology College</v>
          </cell>
        </row>
        <row r="2361">
          <cell r="B2361" t="str">
            <v>The Redstart Primary School</v>
          </cell>
        </row>
        <row r="2362">
          <cell r="B2362" t="str">
            <v>The Ridgeway School &amp; Sixth Form College</v>
          </cell>
        </row>
        <row r="2363">
          <cell r="B2363" t="str">
            <v>The Robert Drake Primary School</v>
          </cell>
        </row>
        <row r="2364">
          <cell r="B2364" t="str">
            <v>The Robert Manning Technology College</v>
          </cell>
        </row>
        <row r="2365">
          <cell r="B2365" t="str">
            <v>The Robert Smyth School</v>
          </cell>
        </row>
        <row r="2366">
          <cell r="B2366" t="str">
            <v>The Rochester Grammar School</v>
          </cell>
        </row>
        <row r="2367">
          <cell r="B2367" t="str">
            <v>The Romsey School</v>
          </cell>
        </row>
        <row r="2368">
          <cell r="B2368" t="str">
            <v>The Rookeries Carleton Junior and Infant School: With Hearing Impairment Resource</v>
          </cell>
        </row>
        <row r="2369">
          <cell r="B2369" t="str">
            <v>The Rosary Catholic Primary School</v>
          </cell>
        </row>
        <row r="2370">
          <cell r="B2370" t="str">
            <v>The Roseland Community College</v>
          </cell>
        </row>
        <row r="2371">
          <cell r="B2371" t="str">
            <v>The Royal Grammar School, High Wycombe</v>
          </cell>
        </row>
        <row r="2372">
          <cell r="B2372" t="str">
            <v>The Sacred Heart Catholic Primary School</v>
          </cell>
        </row>
        <row r="2373">
          <cell r="B2373" t="str">
            <v>The Saint Augustine's Catholic Primary School, Stamford</v>
          </cell>
        </row>
        <row r="2374">
          <cell r="B2374" t="str">
            <v>The Saint Hugh's Catholic Primary School, Lincoln</v>
          </cell>
        </row>
        <row r="2375">
          <cell r="B2375" t="str">
            <v>The Sandon School</v>
          </cell>
        </row>
        <row r="2376">
          <cell r="B2376" t="str">
            <v>The Sele School</v>
          </cell>
        </row>
        <row r="2377">
          <cell r="B2377" t="str">
            <v>The Sir William Robertson High School, Welbourn</v>
          </cell>
        </row>
        <row r="2378">
          <cell r="B2378" t="str">
            <v>The Skegness Grammar School</v>
          </cell>
        </row>
        <row r="2379">
          <cell r="B2379" t="str">
            <v>The Snaith School</v>
          </cell>
        </row>
        <row r="2380">
          <cell r="B2380" t="str">
            <v>The St Christopher School</v>
          </cell>
        </row>
        <row r="2381">
          <cell r="B2381" t="str">
            <v>The St Marylebone CofE School</v>
          </cell>
        </row>
        <row r="2382">
          <cell r="B2382" t="str">
            <v>The Stanway School</v>
          </cell>
        </row>
        <row r="2383">
          <cell r="B2383" t="str">
            <v>The Stourport High School and Sixth Form Centre</v>
          </cell>
        </row>
        <row r="2384">
          <cell r="B2384" t="str">
            <v>The Streetly School</v>
          </cell>
        </row>
        <row r="2385">
          <cell r="B2385" t="str">
            <v>The Surrey Teaching Centre</v>
          </cell>
        </row>
        <row r="2386">
          <cell r="B2386" t="str">
            <v>The Sweyne Park School</v>
          </cell>
        </row>
        <row r="2387">
          <cell r="B2387" t="str">
            <v>The Swinton High School</v>
          </cell>
        </row>
        <row r="2388">
          <cell r="B2388" t="str">
            <v>The Thomas Adams School, Wem</v>
          </cell>
        </row>
        <row r="2389">
          <cell r="B2389" t="str">
            <v>The Thomas Aveling School</v>
          </cell>
        </row>
        <row r="2390">
          <cell r="B2390" t="str">
            <v>The Thomas Cowley High School</v>
          </cell>
        </row>
        <row r="2391">
          <cell r="B2391" t="str">
            <v>The Thomas Hardye School</v>
          </cell>
        </row>
        <row r="2392">
          <cell r="B2392" t="str">
            <v>The Thomas Lord Audley School</v>
          </cell>
        </row>
        <row r="2393">
          <cell r="B2393" t="str">
            <v>The Tiffin Girls' School</v>
          </cell>
        </row>
        <row r="2394">
          <cell r="B2394" t="str">
            <v>The Trinity Catholic School</v>
          </cell>
        </row>
        <row r="2395">
          <cell r="B2395" t="str">
            <v>The Tyrrells School</v>
          </cell>
        </row>
        <row r="2396">
          <cell r="B2396" t="str">
            <v>The Utterby Primary School</v>
          </cell>
        </row>
        <row r="2397">
          <cell r="B2397" t="str">
            <v>The Vaynor First School</v>
          </cell>
        </row>
        <row r="2398">
          <cell r="B2398" t="str">
            <v>The Warriner School</v>
          </cell>
        </row>
        <row r="2399">
          <cell r="B2399" t="str">
            <v>The West Bridgford School</v>
          </cell>
        </row>
        <row r="2400">
          <cell r="B2400" t="str">
            <v>The West Somerset Community College</v>
          </cell>
        </row>
        <row r="2401">
          <cell r="B2401" t="str">
            <v>The Westborough Academy</v>
          </cell>
        </row>
        <row r="2402">
          <cell r="B2402" t="str">
            <v>The Westerings Primary School</v>
          </cell>
        </row>
        <row r="2403">
          <cell r="B2403" t="str">
            <v>The Westgate School</v>
          </cell>
        </row>
        <row r="2404">
          <cell r="B2404" t="str">
            <v>The Westlands School</v>
          </cell>
        </row>
        <row r="2405">
          <cell r="B2405" t="str">
            <v>The Weston Road Academy</v>
          </cell>
        </row>
        <row r="2406">
          <cell r="B2406" t="str">
            <v>The Westwood Academy</v>
          </cell>
        </row>
        <row r="2407">
          <cell r="B2407" t="str">
            <v>The Wey Valley School</v>
          </cell>
        </row>
        <row r="2408">
          <cell r="B2408" t="str">
            <v>The White's Wood Lane Community Junior School, Gainsborough</v>
          </cell>
        </row>
        <row r="2409">
          <cell r="B2409" t="str">
            <v>The Willows Primary School</v>
          </cell>
        </row>
        <row r="2410">
          <cell r="B2410" t="str">
            <v>The Willows School</v>
          </cell>
        </row>
        <row r="2411">
          <cell r="B2411" t="str">
            <v>The Woodlands School</v>
          </cell>
        </row>
        <row r="2412">
          <cell r="B2412" t="str">
            <v>The Woodlands School</v>
          </cell>
        </row>
        <row r="2413">
          <cell r="B2413" t="str">
            <v>The Wroxham School</v>
          </cell>
        </row>
        <row r="2414">
          <cell r="B2414" t="str">
            <v>The Wye Valley School</v>
          </cell>
        </row>
        <row r="2415">
          <cell r="B2415" t="str">
            <v>Thomas Bennett Community College</v>
          </cell>
        </row>
        <row r="2416">
          <cell r="B2416" t="str">
            <v>Thomas Estley Community College</v>
          </cell>
        </row>
        <row r="2417">
          <cell r="B2417" t="str">
            <v>Thomas Keble School</v>
          </cell>
        </row>
        <row r="2418">
          <cell r="B2418" t="str">
            <v>Thomas Knyvett College</v>
          </cell>
        </row>
        <row r="2419">
          <cell r="B2419" t="str">
            <v>Thomas Mills High School</v>
          </cell>
        </row>
        <row r="2420">
          <cell r="B2420" t="str">
            <v>Thomas Wolsey School</v>
          </cell>
        </row>
        <row r="2421">
          <cell r="B2421" t="str">
            <v>Thoresby Primary School</v>
          </cell>
        </row>
        <row r="2422">
          <cell r="B2422" t="str">
            <v>Thornden School</v>
          </cell>
        </row>
        <row r="2423">
          <cell r="B2423" t="str">
            <v>Thornhill Primary School</v>
          </cell>
        </row>
        <row r="2424">
          <cell r="B2424" t="str">
            <v>Thornton Community Primary School</v>
          </cell>
        </row>
        <row r="2425">
          <cell r="B2425" t="str">
            <v>Three Ways School</v>
          </cell>
        </row>
        <row r="2426">
          <cell r="B2426" t="str">
            <v>Thriftwood School</v>
          </cell>
        </row>
        <row r="2427">
          <cell r="B2427" t="str">
            <v>Thrunscoe Primary School</v>
          </cell>
        </row>
        <row r="2428">
          <cell r="B2428" t="str">
            <v>Thrussington Church of England Primary School</v>
          </cell>
        </row>
        <row r="2429">
          <cell r="B2429" t="str">
            <v>Thrybergh School and Sports College</v>
          </cell>
        </row>
        <row r="2430">
          <cell r="B2430" t="str">
            <v>Thurstable School Sports College and Sixth Form Centre</v>
          </cell>
        </row>
        <row r="2431">
          <cell r="B2431" t="str">
            <v>Tidemill Primary School</v>
          </cell>
        </row>
        <row r="2432">
          <cell r="B2432" t="str">
            <v>Tiffin School</v>
          </cell>
        </row>
        <row r="2433">
          <cell r="B2433" t="str">
            <v>Tile Hill Wood School and Language College</v>
          </cell>
        </row>
        <row r="2434">
          <cell r="B2434" t="str">
            <v>Timberley Primary School</v>
          </cell>
        </row>
        <row r="2435">
          <cell r="B2435" t="str">
            <v>Timbertree Primary School</v>
          </cell>
        </row>
        <row r="2436">
          <cell r="B2436" t="str">
            <v>Toddington St George Lower School</v>
          </cell>
        </row>
        <row r="2437">
          <cell r="B2437" t="str">
            <v>Tollbar Academy</v>
          </cell>
        </row>
        <row r="2438">
          <cell r="B2438" t="str">
            <v>Tolworth Girls' School and Centre for Continuing Education</v>
          </cell>
        </row>
        <row r="2439">
          <cell r="B2439" t="str">
            <v>Tonbridge Grammar School</v>
          </cell>
        </row>
        <row r="2440">
          <cell r="B2440" t="str">
            <v>Toot Hill School</v>
          </cell>
        </row>
        <row r="2441">
          <cell r="B2441" t="str">
            <v>Topcliffe Primary School</v>
          </cell>
        </row>
        <row r="2442">
          <cell r="B2442" t="str">
            <v>Tor Bridge High</v>
          </cell>
        </row>
        <row r="2443">
          <cell r="B2443" t="str">
            <v>Torquay Boys' Grammar School</v>
          </cell>
        </row>
        <row r="2444">
          <cell r="B2444" t="str">
            <v>Torquay Girls Grammar School</v>
          </cell>
        </row>
        <row r="2445">
          <cell r="B2445" t="str">
            <v>Torre Church of England Primary School</v>
          </cell>
        </row>
        <row r="2446">
          <cell r="B2446" t="str">
            <v>Towers School and Sixth Form Centre</v>
          </cell>
        </row>
        <row r="2447">
          <cell r="B2447" t="str">
            <v>Town End Academy</v>
          </cell>
        </row>
        <row r="2448">
          <cell r="B2448" t="str">
            <v>Townley Grammar School for Girls</v>
          </cell>
        </row>
        <row r="2449">
          <cell r="B2449" t="str">
            <v>Tregoze Primary School</v>
          </cell>
        </row>
        <row r="2450">
          <cell r="B2450" t="str">
            <v>Tremona Road Hospital and Home</v>
          </cell>
        </row>
        <row r="2451">
          <cell r="B2451" t="str">
            <v>Trenance Infant School</v>
          </cell>
        </row>
        <row r="2452">
          <cell r="B2452" t="str">
            <v>Trevithick Learning Academy</v>
          </cell>
        </row>
        <row r="2453">
          <cell r="B2453" t="str">
            <v>Trewirgie Infant School</v>
          </cell>
        </row>
        <row r="2454">
          <cell r="B2454" t="str">
            <v>Trewirgie Junior School</v>
          </cell>
        </row>
        <row r="2455">
          <cell r="B2455" t="str">
            <v>Tring School</v>
          </cell>
        </row>
        <row r="2456">
          <cell r="B2456" t="str">
            <v>Trinity Church of England School, Belvedere</v>
          </cell>
        </row>
        <row r="2457">
          <cell r="B2457" t="str">
            <v>Trinity CofE High School</v>
          </cell>
        </row>
        <row r="2458">
          <cell r="B2458" t="str">
            <v>Trinity High School and Sixth Form Centre</v>
          </cell>
        </row>
        <row r="2459">
          <cell r="B2459" t="str">
            <v>Trinity School</v>
          </cell>
        </row>
        <row r="2460">
          <cell r="B2460" t="str">
            <v>Trinity School</v>
          </cell>
        </row>
        <row r="2461">
          <cell r="B2461" t="str">
            <v>Trinity School</v>
          </cell>
        </row>
        <row r="2462">
          <cell r="B2462" t="str">
            <v>Tubbenden Primary School</v>
          </cell>
        </row>
        <row r="2463">
          <cell r="B2463" t="str">
            <v>Tudhoe Colliery Primary School</v>
          </cell>
        </row>
        <row r="2464">
          <cell r="B2464" t="str">
            <v>Tudor Grange Academy</v>
          </cell>
        </row>
        <row r="2465">
          <cell r="B2465" t="str">
            <v>Turvey Lower School</v>
          </cell>
        </row>
        <row r="2466">
          <cell r="B2466" t="str">
            <v>Tuxford School</v>
          </cell>
        </row>
        <row r="2467">
          <cell r="B2467" t="str">
            <v>Tweendykes School</v>
          </cell>
        </row>
        <row r="2468">
          <cell r="B2468" t="str">
            <v>Two Mile Ash School</v>
          </cell>
        </row>
        <row r="2469">
          <cell r="B2469" t="str">
            <v>Twyford Church of England High School</v>
          </cell>
        </row>
        <row r="2470">
          <cell r="B2470" t="str">
            <v>Twynham School</v>
          </cell>
        </row>
        <row r="2471">
          <cell r="B2471" t="str">
            <v>Tyldesley Primary School</v>
          </cell>
        </row>
        <row r="2472">
          <cell r="B2472" t="str">
            <v>Uffculme Primary School</v>
          </cell>
        </row>
        <row r="2473">
          <cell r="B2473" t="str">
            <v>Uffculme School</v>
          </cell>
        </row>
        <row r="2474">
          <cell r="B2474" t="str">
            <v>Upminster Infant School</v>
          </cell>
        </row>
        <row r="2475">
          <cell r="B2475" t="str">
            <v>Upminster Junior School</v>
          </cell>
        </row>
        <row r="2476">
          <cell r="B2476" t="str">
            <v>Upper Shirley High School</v>
          </cell>
        </row>
        <row r="2477">
          <cell r="B2477" t="str">
            <v>Uppingham Community College</v>
          </cell>
        </row>
        <row r="2478">
          <cell r="B2478" t="str">
            <v>Upton Hall School FCJ</v>
          </cell>
        </row>
        <row r="2479">
          <cell r="B2479" t="str">
            <v>Upton Meadows Primary School</v>
          </cell>
        </row>
        <row r="2480">
          <cell r="B2480" t="str">
            <v>Upton St James CofE Primary School</v>
          </cell>
        </row>
        <row r="2481">
          <cell r="B2481" t="str">
            <v>Urmston Grammar Academy</v>
          </cell>
        </row>
        <row r="2482">
          <cell r="B2482" t="str">
            <v>Ursuline College</v>
          </cell>
        </row>
        <row r="2483">
          <cell r="B2483" t="str">
            <v>Ursuline High School Wimbledon</v>
          </cell>
        </row>
        <row r="2484">
          <cell r="B2484" t="str">
            <v>Uxbridge High School</v>
          </cell>
        </row>
        <row r="2485">
          <cell r="B2485" t="str">
            <v>Vale of Ancholme Technology &amp; Music College</v>
          </cell>
        </row>
        <row r="2486">
          <cell r="B2486" t="str">
            <v>Vale of Evesham School</v>
          </cell>
        </row>
        <row r="2487">
          <cell r="B2487" t="str">
            <v>Valentines High School</v>
          </cell>
        </row>
        <row r="2488">
          <cell r="B2488" t="str">
            <v>Valley Park Community School</v>
          </cell>
        </row>
        <row r="2489">
          <cell r="B2489" t="str">
            <v>Valley Primary School</v>
          </cell>
        </row>
        <row r="2490">
          <cell r="B2490" t="str">
            <v>Vandyke Upper School and Community College</v>
          </cell>
        </row>
        <row r="2491">
          <cell r="B2491" t="str">
            <v>Venerable Bede Church of England (Aided) Secondary School</v>
          </cell>
        </row>
        <row r="2492">
          <cell r="B2492" t="str">
            <v>Verulam School</v>
          </cell>
        </row>
        <row r="2493">
          <cell r="B2493" t="str">
            <v>Victoria Dock Primary School</v>
          </cell>
        </row>
        <row r="2494">
          <cell r="B2494" t="str">
            <v>Victoria Infant School</v>
          </cell>
        </row>
        <row r="2495">
          <cell r="B2495" t="str">
            <v>Victoria Park Primary</v>
          </cell>
        </row>
        <row r="2496">
          <cell r="B2496" t="str">
            <v>Violet Lane Infant School</v>
          </cell>
        </row>
        <row r="2497">
          <cell r="B2497" t="str">
            <v>Vyners School</v>
          </cell>
        </row>
        <row r="2498">
          <cell r="B2498" t="str">
            <v>Waddesdon Church of England School</v>
          </cell>
        </row>
        <row r="2499">
          <cell r="B2499" t="str">
            <v>Wade Deacon High School</v>
          </cell>
        </row>
        <row r="2500">
          <cell r="B2500" t="str">
            <v>Wadebridge Community Primary School</v>
          </cell>
        </row>
        <row r="2501">
          <cell r="B2501" t="str">
            <v>Wadebridge School</v>
          </cell>
        </row>
        <row r="2502">
          <cell r="B2502" t="str">
            <v>Wadham School</v>
          </cell>
        </row>
        <row r="2503">
          <cell r="B2503" t="str">
            <v>Wainstalls School</v>
          </cell>
        </row>
        <row r="2504">
          <cell r="B2504" t="str">
            <v>Wakefield City Academy</v>
          </cell>
        </row>
        <row r="2505">
          <cell r="B2505" t="str">
            <v>Waldegrave School for Girls</v>
          </cell>
        </row>
        <row r="2506">
          <cell r="B2506" t="str">
            <v>Walderslade Girls' School</v>
          </cell>
        </row>
        <row r="2507">
          <cell r="B2507" t="str">
            <v>Wales High School</v>
          </cell>
        </row>
        <row r="2508">
          <cell r="B2508" t="str">
            <v>Walkwood CofE Middle School</v>
          </cell>
        </row>
        <row r="2509">
          <cell r="B2509" t="str">
            <v>Wallingford School</v>
          </cell>
        </row>
        <row r="2510">
          <cell r="B2510" t="str">
            <v>Wallington County Grammar School</v>
          </cell>
        </row>
        <row r="2511">
          <cell r="B2511" t="str">
            <v>Wallington High School for Girls</v>
          </cell>
        </row>
        <row r="2512">
          <cell r="B2512" t="str">
            <v>Waltham Leas Primary School</v>
          </cell>
        </row>
        <row r="2513">
          <cell r="B2513" t="str">
            <v>Walton High</v>
          </cell>
        </row>
        <row r="2514">
          <cell r="B2514" t="str">
            <v>Wandle Valley School</v>
          </cell>
        </row>
        <row r="2515">
          <cell r="B2515" t="str">
            <v>Wansdyke Community School</v>
          </cell>
        </row>
        <row r="2516">
          <cell r="B2516" t="str">
            <v>Warden House Primary School</v>
          </cell>
        </row>
        <row r="2517">
          <cell r="B2517" t="str">
            <v>Warden Park School</v>
          </cell>
        </row>
        <row r="2518">
          <cell r="B2518" t="str">
            <v>Wardle High School</v>
          </cell>
        </row>
        <row r="2519">
          <cell r="B2519" t="str">
            <v>Warlingham School</v>
          </cell>
        </row>
        <row r="2520">
          <cell r="B2520" t="str">
            <v>Warminster Kingdown</v>
          </cell>
        </row>
        <row r="2521">
          <cell r="B2521" t="str">
            <v>Warren Farm Primary School</v>
          </cell>
        </row>
        <row r="2522">
          <cell r="B2522" t="str">
            <v>Warren Primary School</v>
          </cell>
        </row>
        <row r="2523">
          <cell r="B2523" t="str">
            <v>Warren Road Primary School</v>
          </cell>
        </row>
        <row r="2524">
          <cell r="B2524" t="str">
            <v>Warton Nethersole's CofE Primary School</v>
          </cell>
        </row>
        <row r="2525">
          <cell r="B2525" t="str">
            <v>Waseley Hills High School and Sixth Form Centre</v>
          </cell>
        </row>
        <row r="2526">
          <cell r="B2526" t="str">
            <v>Washingborough Primary School</v>
          </cell>
        </row>
        <row r="2527">
          <cell r="B2527" t="str">
            <v>Waterloo Primary School</v>
          </cell>
        </row>
        <row r="2528">
          <cell r="B2528" t="str">
            <v>Watford Grammar School for Boys</v>
          </cell>
        </row>
        <row r="2529">
          <cell r="B2529" t="str">
            <v>Watford Grammar School for Girls</v>
          </cell>
        </row>
        <row r="2530">
          <cell r="B2530" t="str">
            <v>Waycroft Academy</v>
          </cell>
        </row>
        <row r="2531">
          <cell r="B2531" t="str">
            <v>Wayland Community High School</v>
          </cell>
        </row>
        <row r="2532">
          <cell r="B2532" t="str">
            <v>Weald of Kent Grammar School</v>
          </cell>
        </row>
        <row r="2533">
          <cell r="B2533" t="str">
            <v>Weare Academy First School</v>
          </cell>
        </row>
        <row r="2534">
          <cell r="B2534" t="str">
            <v>Weatherfield School</v>
          </cell>
        </row>
        <row r="2535">
          <cell r="B2535" t="str">
            <v>Weatherhead High School Media Arts College</v>
          </cell>
        </row>
        <row r="2536">
          <cell r="B2536" t="str">
            <v>Webheath First School</v>
          </cell>
        </row>
        <row r="2537">
          <cell r="B2537" t="str">
            <v>Webster Primary School</v>
          </cell>
        </row>
        <row r="2538">
          <cell r="B2538" t="str">
            <v>Wedmore First School</v>
          </cell>
        </row>
        <row r="2539">
          <cell r="B2539" t="str">
            <v>Wednesbury Oak Primary School</v>
          </cell>
        </row>
        <row r="2540">
          <cell r="B2540" t="str">
            <v>Wellacre Technology College</v>
          </cell>
        </row>
        <row r="2541">
          <cell r="B2541" t="str">
            <v>Welland Park Community College</v>
          </cell>
        </row>
        <row r="2542">
          <cell r="B2542" t="str">
            <v>Welling School</v>
          </cell>
        </row>
        <row r="2543">
          <cell r="B2543" t="str">
            <v>Wellington School</v>
          </cell>
        </row>
        <row r="2544">
          <cell r="B2544" t="str">
            <v>Wellsway School</v>
          </cell>
        </row>
        <row r="2545">
          <cell r="B2545" t="str">
            <v>Welton Church of England Primary School</v>
          </cell>
        </row>
        <row r="2546">
          <cell r="B2546" t="str">
            <v>Welton St Mary's Church of England Primary School</v>
          </cell>
        </row>
        <row r="2547">
          <cell r="B2547" t="str">
            <v>Welwyn St Mary's Church of England Voluntary Aided Primary School</v>
          </cell>
        </row>
        <row r="2548">
          <cell r="B2548" t="str">
            <v>Wembley High Technology College</v>
          </cell>
        </row>
        <row r="2549">
          <cell r="B2549" t="str">
            <v>Wensley Fold (VC) Church of England Primary School</v>
          </cell>
        </row>
        <row r="2550">
          <cell r="B2550" t="str">
            <v>Wentworth Primary School</v>
          </cell>
        </row>
        <row r="2551">
          <cell r="B2551" t="str">
            <v>West Derby School</v>
          </cell>
        </row>
        <row r="2552">
          <cell r="B2552" t="str">
            <v>West Exe Technology College</v>
          </cell>
        </row>
        <row r="2553">
          <cell r="B2553" t="str">
            <v>West Hatch High School</v>
          </cell>
        </row>
        <row r="2554">
          <cell r="B2554" t="str">
            <v>West Hill School</v>
          </cell>
        </row>
        <row r="2555">
          <cell r="B2555" t="str">
            <v>West Kirby Grammar School</v>
          </cell>
        </row>
        <row r="2556">
          <cell r="B2556" t="str">
            <v>West Leigh Junior School</v>
          </cell>
        </row>
        <row r="2557">
          <cell r="B2557" t="str">
            <v>West Malling Church of England Voluntary Controlled Primary School and Language Unit</v>
          </cell>
        </row>
        <row r="2558">
          <cell r="B2558" t="str">
            <v>West Park Primary School</v>
          </cell>
        </row>
        <row r="2559">
          <cell r="B2559" t="str">
            <v>West Park School</v>
          </cell>
        </row>
        <row r="2560">
          <cell r="B2560" t="str">
            <v>West Thornton Primary School</v>
          </cell>
        </row>
        <row r="2561">
          <cell r="B2561" t="str">
            <v>West Thurrock Primary School</v>
          </cell>
        </row>
        <row r="2562">
          <cell r="B2562" t="str">
            <v>West Town Lane Primary School</v>
          </cell>
        </row>
        <row r="2563">
          <cell r="B2563" t="str">
            <v>Westbourne Primary School</v>
          </cell>
        </row>
        <row r="2564">
          <cell r="B2564" t="str">
            <v>Westbourne Sports College</v>
          </cell>
        </row>
        <row r="2565">
          <cell r="B2565" t="str">
            <v>Westbrook Primary</v>
          </cell>
        </row>
        <row r="2566">
          <cell r="B2566" t="str">
            <v>Westbury Park Primary School</v>
          </cell>
        </row>
        <row r="2567">
          <cell r="B2567" t="str">
            <v>Westbury-On-Trym Church of England Academy</v>
          </cell>
        </row>
        <row r="2568">
          <cell r="B2568" t="str">
            <v>Westcliff High School for Boys</v>
          </cell>
        </row>
        <row r="2569">
          <cell r="B2569" t="str">
            <v>Westcliff High School for Girls</v>
          </cell>
        </row>
        <row r="2570">
          <cell r="B2570" t="str">
            <v>Westcliff Primary School</v>
          </cell>
        </row>
        <row r="2571">
          <cell r="B2571" t="str">
            <v>Westfield Community School</v>
          </cell>
        </row>
        <row r="2572">
          <cell r="B2572" t="str">
            <v>Westfield Community Technology College</v>
          </cell>
        </row>
        <row r="2573">
          <cell r="B2573" t="str">
            <v>Westgate Hill Primary School</v>
          </cell>
        </row>
        <row r="2574">
          <cell r="B2574" t="str">
            <v>Westgate Junior School</v>
          </cell>
        </row>
        <row r="2575">
          <cell r="B2575" t="str">
            <v>Westlands Primary School</v>
          </cell>
        </row>
        <row r="2576">
          <cell r="B2576" t="str">
            <v>Westlands School</v>
          </cell>
        </row>
        <row r="2577">
          <cell r="B2577" t="str">
            <v>Westlea Primary School</v>
          </cell>
        </row>
        <row r="2578">
          <cell r="B2578" t="str">
            <v>Westley Middle School</v>
          </cell>
        </row>
        <row r="2579">
          <cell r="B2579" t="str">
            <v>Westminster City School</v>
          </cell>
        </row>
        <row r="2580">
          <cell r="B2580" t="str">
            <v>Weston Community School</v>
          </cell>
        </row>
        <row r="2581">
          <cell r="B2581" t="str">
            <v>Weston Favell CofE VA Primary School</v>
          </cell>
        </row>
        <row r="2582">
          <cell r="B2582" t="str">
            <v>Westwood Academy</v>
          </cell>
        </row>
        <row r="2583">
          <cell r="B2583" t="str">
            <v>Westwoodside CofE Primary School</v>
          </cell>
        </row>
        <row r="2584">
          <cell r="B2584" t="str">
            <v>Weydon School</v>
          </cell>
        </row>
        <row r="2585">
          <cell r="B2585" t="str">
            <v>Wheeler Primary School</v>
          </cell>
        </row>
        <row r="2586">
          <cell r="B2586" t="str">
            <v>Whickham School</v>
          </cell>
        </row>
        <row r="2587">
          <cell r="B2587" t="str">
            <v>Whipperley Infant School</v>
          </cell>
        </row>
        <row r="2588">
          <cell r="B2588" t="str">
            <v>Whitburn Church of England Academy</v>
          </cell>
        </row>
        <row r="2589">
          <cell r="B2589" t="str">
            <v>Whitchurch First School and Nursery</v>
          </cell>
        </row>
        <row r="2590">
          <cell r="B2590" t="str">
            <v>White Cliffs Primary College for the Arts</v>
          </cell>
        </row>
        <row r="2591">
          <cell r="B2591" t="str">
            <v>White Waltham CofE School</v>
          </cell>
        </row>
        <row r="2592">
          <cell r="B2592" t="str">
            <v>Whitecross Hereford; High School and Specialist Sports College</v>
          </cell>
        </row>
        <row r="2593">
          <cell r="B2593" t="str">
            <v>Whitefield School</v>
          </cell>
        </row>
        <row r="2594">
          <cell r="B2594" t="str">
            <v>Whitehill Community Academy</v>
          </cell>
        </row>
        <row r="2595">
          <cell r="B2595" t="str">
            <v>Whitehorse Manor Infant School</v>
          </cell>
        </row>
        <row r="2596">
          <cell r="B2596" t="str">
            <v>Whitehorse Manor Junior School</v>
          </cell>
        </row>
        <row r="2597">
          <cell r="B2597" t="str">
            <v>Whitemoor Community Primary School</v>
          </cell>
        </row>
        <row r="2598">
          <cell r="B2598" t="str">
            <v>Whitemoor Primary and Nursery School</v>
          </cell>
        </row>
        <row r="2599">
          <cell r="B2599" t="str">
            <v>Whitgift School</v>
          </cell>
        </row>
        <row r="2600">
          <cell r="B2600" t="str">
            <v>Whitley Abbey Business and Enterprise College</v>
          </cell>
        </row>
        <row r="2601">
          <cell r="B2601" t="str">
            <v>Whitstone</v>
          </cell>
        </row>
        <row r="2602">
          <cell r="B2602" t="str">
            <v>Whittingham Community Primary School</v>
          </cell>
        </row>
        <row r="2603">
          <cell r="B2603" t="str">
            <v>Wickford Church of England Voluntary Controlled Infant School</v>
          </cell>
        </row>
        <row r="2604">
          <cell r="B2604" t="str">
            <v>Widecombe-in-the-Moor Primary</v>
          </cell>
        </row>
        <row r="2605">
          <cell r="B2605" t="str">
            <v>Widewell Primary School</v>
          </cell>
        </row>
        <row r="2606">
          <cell r="B2606" t="str">
            <v>Wigmore High School</v>
          </cell>
        </row>
        <row r="2607">
          <cell r="B2607" t="str">
            <v>Wigmore Primary School</v>
          </cell>
        </row>
        <row r="2608">
          <cell r="B2608" t="str">
            <v>Wigston Birkett House Community Special School</v>
          </cell>
        </row>
        <row r="2609">
          <cell r="B2609" t="str">
            <v>Wilcombe Primary School</v>
          </cell>
        </row>
        <row r="2610">
          <cell r="B2610" t="str">
            <v>Wildern School</v>
          </cell>
        </row>
        <row r="2611">
          <cell r="B2611" t="str">
            <v>Wilkes Green Junior School</v>
          </cell>
        </row>
        <row r="2612">
          <cell r="B2612" t="str">
            <v>William Alvey School</v>
          </cell>
        </row>
        <row r="2613">
          <cell r="B2613" t="str">
            <v>William Brookes School</v>
          </cell>
        </row>
        <row r="2614">
          <cell r="B2614" t="str">
            <v>William de Ferrers School</v>
          </cell>
        </row>
        <row r="2615">
          <cell r="B2615" t="str">
            <v>William Edwards School and Sports College</v>
          </cell>
        </row>
        <row r="2616">
          <cell r="B2616" t="str">
            <v>William Farr CofE Comprehensive School</v>
          </cell>
        </row>
        <row r="2617">
          <cell r="B2617" t="str">
            <v>William Howard School</v>
          </cell>
        </row>
        <row r="2618">
          <cell r="B2618" t="str">
            <v>William Lovell Church of England School</v>
          </cell>
        </row>
        <row r="2619">
          <cell r="B2619" t="str">
            <v>William Tyndale Primary School</v>
          </cell>
        </row>
        <row r="2620">
          <cell r="B2620" t="str">
            <v>Willow Primary School</v>
          </cell>
        </row>
        <row r="2621">
          <cell r="B2621" t="str">
            <v>Willowcroft Community School</v>
          </cell>
        </row>
        <row r="2622">
          <cell r="B2622" t="str">
            <v>Wilmington Grammar School for Boys</v>
          </cell>
        </row>
        <row r="2623">
          <cell r="B2623" t="str">
            <v>Wilmington Grammar School for Girls</v>
          </cell>
        </row>
        <row r="2624">
          <cell r="B2624" t="str">
            <v>Wilmington Primary School</v>
          </cell>
        </row>
        <row r="2625">
          <cell r="B2625" t="str">
            <v>Wilnecote High School</v>
          </cell>
        </row>
        <row r="2626">
          <cell r="B2626" t="str">
            <v>Wilson Stuart School</v>
          </cell>
        </row>
        <row r="2627">
          <cell r="B2627" t="str">
            <v>Wilson's School</v>
          </cell>
        </row>
        <row r="2628">
          <cell r="B2628" t="str">
            <v>Winchcombe School</v>
          </cell>
        </row>
        <row r="2629">
          <cell r="B2629" t="str">
            <v>Windermere CofE Junior School</v>
          </cell>
        </row>
        <row r="2630">
          <cell r="B2630" t="str">
            <v>Windsor High School</v>
          </cell>
        </row>
        <row r="2631">
          <cell r="B2631" t="str">
            <v>Wingfield Business and Enterprise College</v>
          </cell>
        </row>
        <row r="2632">
          <cell r="B2632" t="str">
            <v>Winifred Holtby School Technology College</v>
          </cell>
        </row>
        <row r="2633">
          <cell r="B2633" t="str">
            <v>Winstanley Community College</v>
          </cell>
        </row>
        <row r="2634">
          <cell r="B2634" t="str">
            <v>Winterton Comprehensive School with Specialist Status in Engineering</v>
          </cell>
        </row>
        <row r="2635">
          <cell r="B2635" t="str">
            <v>Wirral Grammar School for Boys</v>
          </cell>
        </row>
        <row r="2636">
          <cell r="B2636" t="str">
            <v>Wirral Grammar School for Girls</v>
          </cell>
        </row>
        <row r="2637">
          <cell r="B2637" t="str">
            <v>Wishmore Cross School</v>
          </cell>
        </row>
        <row r="2638">
          <cell r="B2638" t="str">
            <v>Witchford Village College</v>
          </cell>
        </row>
        <row r="2639">
          <cell r="B2639" t="str">
            <v>Witham St Hughs Primary School</v>
          </cell>
        </row>
        <row r="2640">
          <cell r="B2640" t="str">
            <v>Withington Primary School</v>
          </cell>
        </row>
        <row r="2641">
          <cell r="B2641" t="str">
            <v>Woldgate College</v>
          </cell>
        </row>
        <row r="2642">
          <cell r="B2642" t="str">
            <v>Wood End Junior School</v>
          </cell>
        </row>
        <row r="2643">
          <cell r="B2643" t="str">
            <v>Wood End Park Community School</v>
          </cell>
        </row>
        <row r="2644">
          <cell r="B2644" t="str">
            <v>Wood Green Academy</v>
          </cell>
        </row>
        <row r="2645">
          <cell r="B2645" t="str">
            <v>Woodbrook Vale High School</v>
          </cell>
        </row>
        <row r="2646">
          <cell r="B2646" t="str">
            <v>Woodchurch High School Engineering College</v>
          </cell>
        </row>
        <row r="2647">
          <cell r="B2647" t="str">
            <v>Woodcote High School</v>
          </cell>
        </row>
        <row r="2648">
          <cell r="B2648" t="str">
            <v>Woodfield Middle School</v>
          </cell>
        </row>
        <row r="2649">
          <cell r="B2649" t="str">
            <v>Woodford Valley Church of England Aided School</v>
          </cell>
        </row>
        <row r="2650">
          <cell r="B2650" t="str">
            <v>Woodham Community Technology College</v>
          </cell>
        </row>
        <row r="2651">
          <cell r="B2651" t="str">
            <v>Woodkirk Academy</v>
          </cell>
        </row>
        <row r="2652">
          <cell r="B2652" t="str">
            <v>Woodland Middle School</v>
          </cell>
        </row>
        <row r="2653">
          <cell r="B2653" t="str">
            <v>Woodland View Primary School</v>
          </cell>
        </row>
        <row r="2654">
          <cell r="B2654" t="str">
            <v>Woodlands Primary School</v>
          </cell>
        </row>
        <row r="2655">
          <cell r="B2655" t="str">
            <v>Woodlands Primary School</v>
          </cell>
        </row>
        <row r="2656">
          <cell r="B2656" t="str">
            <v>Woodlands School</v>
          </cell>
        </row>
        <row r="2657">
          <cell r="B2657" t="str">
            <v>Woodnewton- A Learning Community</v>
          </cell>
        </row>
        <row r="2658">
          <cell r="B2658" t="str">
            <v>Woodrush Community High School</v>
          </cell>
        </row>
        <row r="2659">
          <cell r="B2659" t="str">
            <v>Woodside CofE Controlled Primary School</v>
          </cell>
        </row>
        <row r="2660">
          <cell r="B2660" t="str">
            <v>Woodside High School, A Business &amp; Enterprise Specialist School</v>
          </cell>
        </row>
        <row r="2661">
          <cell r="B2661" t="str">
            <v>Woodside Primary School</v>
          </cell>
        </row>
        <row r="2662">
          <cell r="B2662" t="str">
            <v>Woodside Primary School</v>
          </cell>
        </row>
        <row r="2663">
          <cell r="B2663" t="str">
            <v>Woodside Primary School and Children's Centre</v>
          </cell>
        </row>
        <row r="2664">
          <cell r="B2664" t="str">
            <v>Woolgrove School</v>
          </cell>
        </row>
        <row r="2665">
          <cell r="B2665" t="str">
            <v>Woolmer Hill School</v>
          </cell>
        </row>
        <row r="2666">
          <cell r="B2666" t="str">
            <v>Wootton Bassett School</v>
          </cell>
        </row>
        <row r="2667">
          <cell r="B2667" t="str">
            <v>Wootton Primary School</v>
          </cell>
        </row>
        <row r="2668">
          <cell r="B2668" t="str">
            <v>Wootton Upper School</v>
          </cell>
        </row>
        <row r="2669">
          <cell r="B2669" t="str">
            <v>Worden Sports College</v>
          </cell>
        </row>
        <row r="2670">
          <cell r="B2670" t="str">
            <v>Worlaby Primary School</v>
          </cell>
        </row>
        <row r="2671">
          <cell r="B2671" t="str">
            <v>Worth Primary School</v>
          </cell>
        </row>
        <row r="2672">
          <cell r="B2672" t="str">
            <v>Wortham Primary School</v>
          </cell>
        </row>
        <row r="2673">
          <cell r="B2673" t="str">
            <v>Worthing High School</v>
          </cell>
        </row>
        <row r="2674">
          <cell r="B2674" t="str">
            <v>Wreake Valley Community College</v>
          </cell>
        </row>
        <row r="2675">
          <cell r="B2675" t="str">
            <v>Writhlington School</v>
          </cell>
        </row>
        <row r="2676">
          <cell r="B2676" t="str">
            <v>Wrockwardine Wood Arts College</v>
          </cell>
        </row>
        <row r="2677">
          <cell r="B2677" t="str">
            <v>Wrotham School</v>
          </cell>
        </row>
        <row r="2678">
          <cell r="B2678" t="str">
            <v>Wycombe High School</v>
          </cell>
        </row>
        <row r="2679">
          <cell r="B2679" t="str">
            <v>Wyedean School and 6th Form Centre</v>
          </cell>
        </row>
        <row r="2680">
          <cell r="B2680" t="str">
            <v>Wymondham College</v>
          </cell>
        </row>
        <row r="2681">
          <cell r="B2681" t="str">
            <v>Wymondham High School</v>
          </cell>
        </row>
        <row r="2682">
          <cell r="B2682" t="str">
            <v>Wyvern School</v>
          </cell>
        </row>
        <row r="2683">
          <cell r="B2683" t="str">
            <v>Wyvern Technology College</v>
          </cell>
        </row>
        <row r="2684">
          <cell r="B2684" t="str">
            <v>Yarborough Primary School</v>
          </cell>
        </row>
        <row r="2685">
          <cell r="B2685" t="str">
            <v>Yardley Primary School</v>
          </cell>
        </row>
        <row r="2686">
          <cell r="B2686" t="str">
            <v>Yardleys School</v>
          </cell>
        </row>
        <row r="2687">
          <cell r="B2687" t="str">
            <v>Yavneh College</v>
          </cell>
        </row>
        <row r="2688">
          <cell r="B2688" t="str">
            <v>Yealmpton Primary School</v>
          </cell>
        </row>
        <row r="2689">
          <cell r="B2689" t="str">
            <v>Yesoiday Hatorah School</v>
          </cell>
        </row>
        <row r="2690">
          <cell r="B2690" t="str">
            <v>Yewlands School Technology College</v>
          </cell>
        </row>
      </sheetData>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s>
    <sheetDataSet>
      <sheetData sheetId="0"/>
      <sheetData sheetId="1">
        <row r="1">
          <cell r="C1" t="str">
            <v>Active</v>
          </cell>
          <cell r="D1" t="str">
            <v>Applied</v>
          </cell>
          <cell r="E1" t="str">
            <v>Director Clearance</v>
          </cell>
          <cell r="T1">
            <v>1</v>
          </cell>
        </row>
        <row r="2">
          <cell r="C2" t="str">
            <v>Declined - Finances</v>
          </cell>
          <cell r="D2" t="str">
            <v>Brokered</v>
          </cell>
          <cell r="E2" t="str">
            <v>Intervention Board</v>
          </cell>
          <cell r="T2">
            <v>2</v>
          </cell>
        </row>
        <row r="3">
          <cell r="C3" t="str">
            <v>Declined - Other</v>
          </cell>
          <cell r="E3" t="str">
            <v>Ministerial Submission (Converters)</v>
          </cell>
          <cell r="T3">
            <v>3</v>
          </cell>
        </row>
        <row r="4">
          <cell r="C4" t="str">
            <v>Declined - Performance</v>
          </cell>
          <cell r="E4" t="str">
            <v>Ministerial Submission with Conditions (Converters)</v>
          </cell>
          <cell r="T4">
            <v>4</v>
          </cell>
        </row>
        <row r="5">
          <cell r="C5" t="str">
            <v>Declined - Performance and Finances</v>
          </cell>
          <cell r="E5" t="str">
            <v>Ministerial Submission (Fast Track)</v>
          </cell>
        </row>
        <row r="6">
          <cell r="C6" t="str">
            <v>Deferred</v>
          </cell>
          <cell r="E6" t="str">
            <v>Ministerial Submission (Other)</v>
          </cell>
        </row>
        <row r="7">
          <cell r="C7" t="str">
            <v>Full Sponsored</v>
          </cell>
          <cell r="E7" t="str">
            <v>Ops Board</v>
          </cell>
        </row>
        <row r="8">
          <cell r="C8" t="str">
            <v>Incomplete Application</v>
          </cell>
        </row>
        <row r="9">
          <cell r="C9" t="str">
            <v>Open</v>
          </cell>
        </row>
        <row r="10">
          <cell r="C10" t="str">
            <v>Open - Merged with Academy</v>
          </cell>
        </row>
        <row r="11">
          <cell r="C11" t="str">
            <v>Passed to APBD</v>
          </cell>
        </row>
        <row r="12">
          <cell r="C12" t="str">
            <v>Withdrawn</v>
          </cell>
        </row>
      </sheetData>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Notes"/>
      <sheetName val="Glossary"/>
      <sheetName val="LA Inspection"/>
      <sheetName val="Children's Social Care"/>
      <sheetName val="Sub-Judgements"/>
      <sheetName val="SNGrid"/>
      <sheetName val="dropdown lookups"/>
      <sheetName val="Inspection Outcome data"/>
      <sheetName val="Data2"/>
      <sheetName val="DataSubJudgements"/>
      <sheetName val="LA PIVOTS"/>
      <sheetName val="LA data"/>
      <sheetName val="LA FINAL RAW DATA"/>
      <sheetName val="pandp"/>
      <sheetName val="pandpleavers"/>
      <sheetName val="pandpjoiners"/>
      <sheetName val="Sheet1"/>
      <sheetName val="Sheet2"/>
      <sheetName val="LA level at 30 06 2015"/>
      <sheetName val="Provider level at 31 March 2015"/>
      <sheetName val="Provider level in year 2014-15"/>
      <sheetName val="Providers+places at 31 03 2015 "/>
      <sheetName val="In Year CH Time series"/>
      <sheetName val="Latest OE 31 March Time Series"/>
    </sheetNames>
    <sheetDataSet>
      <sheetData sheetId="0"/>
      <sheetData sheetId="1"/>
      <sheetData sheetId="2"/>
      <sheetData sheetId="3"/>
      <sheetData sheetId="4"/>
      <sheetData sheetId="5">
        <row r="5">
          <cell r="G5" t="str">
            <v>All</v>
          </cell>
        </row>
      </sheetData>
      <sheetData sheetId="6"/>
      <sheetData sheetId="7"/>
      <sheetData sheetId="8">
        <row r="2">
          <cell r="T2" t="str">
            <v>Value</v>
          </cell>
          <cell r="AA2" t="str">
            <v>All</v>
          </cell>
          <cell r="AB2" t="str">
            <v>Outstanding</v>
          </cell>
          <cell r="AC2" t="str">
            <v>Good</v>
          </cell>
          <cell r="AD2" t="str">
            <v>Requires Improvement / Adequate</v>
          </cell>
          <cell r="AE2" t="str">
            <v>Inadequate</v>
          </cell>
          <cell r="AG2" t="str">
            <v>All</v>
          </cell>
        </row>
        <row r="3">
          <cell r="D3" t="str">
            <v>Provider</v>
          </cell>
          <cell r="N3" t="str">
            <v>Full Inspection</v>
          </cell>
          <cell r="T3" t="str">
            <v>as at 31 March 2015</v>
          </cell>
          <cell r="U3">
            <v>2015</v>
          </cell>
          <cell r="W3" t="str">
            <v>All</v>
          </cell>
          <cell r="AA3" t="str">
            <v>Full Inspection</v>
          </cell>
          <cell r="AB3" t="str">
            <v>Outstanding</v>
          </cell>
          <cell r="AC3" t="str">
            <v>Good</v>
          </cell>
          <cell r="AD3" t="str">
            <v>Requires Improvement / Adequate</v>
          </cell>
          <cell r="AE3" t="str">
            <v>Inadequate</v>
          </cell>
          <cell r="AG3" t="str">
            <v>Local Authority</v>
          </cell>
        </row>
        <row r="4">
          <cell r="D4" t="str">
            <v>Placement</v>
          </cell>
          <cell r="N4" t="str">
            <v>Interim Inspection</v>
          </cell>
          <cell r="T4" t="str">
            <v>1 April 2014 to 31 March 2015</v>
          </cell>
          <cell r="U4" t="str">
            <v>14-15</v>
          </cell>
          <cell r="W4" t="str">
            <v>All Children's Homes</v>
          </cell>
          <cell r="AA4" t="str">
            <v>Interim Inspection</v>
          </cell>
          <cell r="AB4" t="str">
            <v>-</v>
          </cell>
          <cell r="AC4" t="str">
            <v>Improved Effectiveness</v>
          </cell>
          <cell r="AD4" t="str">
            <v>Sustained Effectiveness</v>
          </cell>
          <cell r="AE4" t="str">
            <v>Declined Effectiveness</v>
          </cell>
          <cell r="AG4" t="str">
            <v>Private</v>
          </cell>
        </row>
        <row r="5">
          <cell r="N5" t="str">
            <v>SC Monitoring Inspection</v>
          </cell>
          <cell r="W5" t="str">
            <v>Children's Home</v>
          </cell>
          <cell r="AA5" t="str">
            <v>SC Monitoring Inspection</v>
          </cell>
          <cell r="AB5" t="str">
            <v>-</v>
          </cell>
          <cell r="AC5" t="str">
            <v>Good Progress</v>
          </cell>
          <cell r="AD5" t="str">
            <v>-</v>
          </cell>
          <cell r="AE5" t="str">
            <v>NMS Not Met</v>
          </cell>
          <cell r="AG5" t="str">
            <v>Voluntary</v>
          </cell>
        </row>
        <row r="6">
          <cell r="N6" t="str">
            <v>SC Emergency Inspection</v>
          </cell>
          <cell r="W6" t="str">
            <v>Residential special school (&gt;295 days/year)</v>
          </cell>
          <cell r="AA6" t="str">
            <v>SC Emergency Inspection</v>
          </cell>
          <cell r="AB6" t="str">
            <v>-</v>
          </cell>
          <cell r="AC6" t="str">
            <v>-</v>
          </cell>
          <cell r="AD6" t="str">
            <v>Advice Note Only</v>
          </cell>
          <cell r="AE6" t="str">
            <v>NMS Not Met</v>
          </cell>
          <cell r="AG6" t="str">
            <v>Academy</v>
          </cell>
        </row>
        <row r="7">
          <cell r="W7" t="str">
            <v>Secure children's home</v>
          </cell>
          <cell r="AG7" t="str">
            <v>Health Authority</v>
          </cell>
        </row>
        <row r="8">
          <cell r="W8" t="str">
            <v>Independent fostering agency</v>
          </cell>
        </row>
        <row r="9">
          <cell r="W9" t="str">
            <v>Voluntary Adoption Agency</v>
          </cell>
        </row>
        <row r="10">
          <cell r="W10" t="str">
            <v>Residential Special School</v>
          </cell>
        </row>
        <row r="11">
          <cell r="W11" t="str">
            <v>Boarding School</v>
          </cell>
        </row>
        <row r="12">
          <cell r="W12" t="str">
            <v>Residential Family Centre</v>
          </cell>
        </row>
        <row r="13">
          <cell r="W13" t="str">
            <v>Adoption Support Agency</v>
          </cell>
        </row>
        <row r="14">
          <cell r="W14" t="str">
            <v>Further Education College with Residential Accommodation</v>
          </cell>
        </row>
        <row r="15">
          <cell r="B15" t="str">
            <v>All</v>
          </cell>
        </row>
        <row r="16">
          <cell r="B16" t="str">
            <v>East Midlands</v>
          </cell>
        </row>
        <row r="17">
          <cell r="B17" t="str">
            <v>East of England</v>
          </cell>
        </row>
        <row r="18">
          <cell r="B18" t="str">
            <v>London</v>
          </cell>
        </row>
        <row r="19">
          <cell r="B19" t="str">
            <v>North East, Yorkshire and the Humber</v>
          </cell>
        </row>
        <row r="20">
          <cell r="B20" t="str">
            <v>North West</v>
          </cell>
        </row>
        <row r="21">
          <cell r="B21" t="str">
            <v>South East</v>
          </cell>
        </row>
        <row r="22">
          <cell r="B22" t="str">
            <v>South West</v>
          </cell>
        </row>
        <row r="23">
          <cell r="B23" t="str">
            <v>West Midlands</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DataPack"/>
      <sheetName val="T1 Inspections this year"/>
      <sheetName val="T2 Outcomes this year"/>
      <sheetName val="C1 Outcomes each year"/>
      <sheetName val="C2 Phase outcomes this year"/>
      <sheetName val="C3 Key outcomes this year"/>
      <sheetName val="T3 Outcomes most recent"/>
      <sheetName val="C4 Outcomes most recent"/>
      <sheetName val="T4 Category of concern"/>
      <sheetName val="C5 Most recent each year"/>
      <sheetName val="T5 Most recent LA Region"/>
      <sheetName val="C6 Most recent - education type"/>
      <sheetName val="Rev T1 Inspections last period"/>
      <sheetName val="Rev T2 Outcomes last period"/>
      <sheetName val="T5 Most recent Region"/>
    </sheetNames>
    <sheetDataSet>
      <sheetData sheetId="0"/>
      <sheetData sheetId="1"/>
      <sheetData sheetId="2">
        <row r="3">
          <cell r="E3" t="str">
            <v>1 September 2014 to 31 August 2015</v>
          </cell>
        </row>
        <row r="4">
          <cell r="E4" t="str">
            <v>2 October 2015</v>
          </cell>
        </row>
        <row r="5">
          <cell r="E5" t="str">
            <v>2 September 2015</v>
          </cell>
        </row>
        <row r="6">
          <cell r="E6" t="str">
            <v>5 October 2015</v>
          </cell>
        </row>
        <row r="7">
          <cell r="E7" t="str">
            <v>1 September 2014</v>
          </cell>
        </row>
      </sheetData>
      <sheetData sheetId="3">
        <row r="17">
          <cell r="N17" t="str">
            <v>Lookup</v>
          </cell>
          <cell r="O17" t="str">
            <v>Inspection judgement</v>
          </cell>
          <cell r="P17" t="str">
            <v>Phase</v>
          </cell>
          <cell r="Q17" t="str">
            <v>total_insp</v>
          </cell>
          <cell r="R17" t="str">
            <v>Outstanding</v>
          </cell>
          <cell r="S17" t="str">
            <v>Good</v>
          </cell>
          <cell r="T17" t="str">
            <v>Satisfactory</v>
          </cell>
          <cell r="U17" t="str">
            <v>Inadequate</v>
          </cell>
          <cell r="V17" t="str">
            <v>Outstanding</v>
          </cell>
          <cell r="W17" t="str">
            <v>Good</v>
          </cell>
          <cell r="X17" t="str">
            <v>Satisfactory</v>
          </cell>
          <cell r="Y17" t="str">
            <v>Inadequate</v>
          </cell>
        </row>
        <row r="18">
          <cell r="N18" t="str">
            <v>Overall effectiveness: how good is the schoolPrimary</v>
          </cell>
          <cell r="O18" t="str">
            <v>Overall effectiveness: how good is the school</v>
          </cell>
          <cell r="P18" t="str">
            <v>Primary</v>
          </cell>
          <cell r="Q18">
            <v>1054</v>
          </cell>
          <cell r="R18">
            <v>92</v>
          </cell>
          <cell r="S18">
            <v>639</v>
          </cell>
          <cell r="T18">
            <v>273</v>
          </cell>
          <cell r="U18">
            <v>50</v>
          </cell>
          <cell r="V18">
            <v>9</v>
          </cell>
          <cell r="W18">
            <v>61</v>
          </cell>
          <cell r="X18">
            <v>26</v>
          </cell>
          <cell r="Y18">
            <v>5</v>
          </cell>
        </row>
        <row r="19">
          <cell r="N19" t="str">
            <v>Effectiveness of the early years provisionPrimary</v>
          </cell>
          <cell r="O19" t="str">
            <v>Effectiveness of the early years provision</v>
          </cell>
          <cell r="P19" t="str">
            <v>Primary</v>
          </cell>
          <cell r="Q19">
            <v>971</v>
          </cell>
          <cell r="R19">
            <v>121</v>
          </cell>
          <cell r="S19">
            <v>691</v>
          </cell>
          <cell r="T19">
            <v>149</v>
          </cell>
          <cell r="U19">
            <v>10</v>
          </cell>
          <cell r="V19">
            <v>12</v>
          </cell>
          <cell r="W19">
            <v>71</v>
          </cell>
          <cell r="X19">
            <v>15</v>
          </cell>
          <cell r="Y19">
            <v>1</v>
          </cell>
        </row>
        <row r="20">
          <cell r="N20" t="str">
            <v>Effectiveness of the sixth form provisionPrimary</v>
          </cell>
          <cell r="O20" t="str">
            <v>Effectiveness of the sixth form provision</v>
          </cell>
          <cell r="P20" t="str">
            <v>Primary</v>
          </cell>
          <cell r="Q20">
            <v>0</v>
          </cell>
          <cell r="R20">
            <v>0</v>
          </cell>
          <cell r="S20">
            <v>0</v>
          </cell>
          <cell r="T20">
            <v>0</v>
          </cell>
          <cell r="U20">
            <v>0</v>
          </cell>
          <cell r="V20" t="str">
            <v>0</v>
          </cell>
          <cell r="W20" t="str">
            <v>0</v>
          </cell>
          <cell r="X20" t="str">
            <v>0</v>
          </cell>
          <cell r="Y20" t="str">
            <v>0</v>
          </cell>
        </row>
        <row r="21">
          <cell r="N21" t="str">
            <v>Achievement of pupils at the schoolPrimary</v>
          </cell>
          <cell r="O21" t="str">
            <v>Achievement of pupils at the school</v>
          </cell>
          <cell r="P21" t="str">
            <v>Primary</v>
          </cell>
          <cell r="Q21">
            <v>1054</v>
          </cell>
          <cell r="R21">
            <v>92</v>
          </cell>
          <cell r="S21">
            <v>642</v>
          </cell>
          <cell r="T21">
            <v>273</v>
          </cell>
          <cell r="U21">
            <v>47</v>
          </cell>
          <cell r="V21">
            <v>9</v>
          </cell>
          <cell r="W21">
            <v>61</v>
          </cell>
          <cell r="X21">
            <v>26</v>
          </cell>
          <cell r="Y21">
            <v>4</v>
          </cell>
        </row>
        <row r="22">
          <cell r="N22" t="str">
            <v>Behaviour and safety of pupilsPrimary</v>
          </cell>
          <cell r="O22" t="str">
            <v>Behaviour and safety of pupils</v>
          </cell>
          <cell r="P22" t="str">
            <v>Primary</v>
          </cell>
          <cell r="Q22">
            <v>1054</v>
          </cell>
          <cell r="R22">
            <v>203</v>
          </cell>
          <cell r="S22">
            <v>708</v>
          </cell>
          <cell r="T22">
            <v>128</v>
          </cell>
          <cell r="U22">
            <v>15</v>
          </cell>
          <cell r="V22">
            <v>19</v>
          </cell>
          <cell r="W22">
            <v>67</v>
          </cell>
          <cell r="X22">
            <v>12</v>
          </cell>
          <cell r="Y22">
            <v>1</v>
          </cell>
        </row>
        <row r="23">
          <cell r="N23" t="str">
            <v>Quality of teachingPrimary</v>
          </cell>
          <cell r="O23" t="str">
            <v>Quality of teaching</v>
          </cell>
          <cell r="P23" t="str">
            <v>Primary</v>
          </cell>
          <cell r="Q23">
            <v>1054</v>
          </cell>
          <cell r="R23">
            <v>92</v>
          </cell>
          <cell r="S23">
            <v>645</v>
          </cell>
          <cell r="T23">
            <v>272</v>
          </cell>
          <cell r="U23">
            <v>45</v>
          </cell>
          <cell r="V23">
            <v>9</v>
          </cell>
          <cell r="W23">
            <v>61</v>
          </cell>
          <cell r="X23">
            <v>26</v>
          </cell>
          <cell r="Y23">
            <v>4</v>
          </cell>
        </row>
        <row r="24">
          <cell r="N24" t="str">
            <v>Leadership and managementPrimary</v>
          </cell>
          <cell r="O24" t="str">
            <v>Leadership and management</v>
          </cell>
          <cell r="P24" t="str">
            <v>Primary</v>
          </cell>
          <cell r="Q24">
            <v>1054</v>
          </cell>
          <cell r="R24">
            <v>130</v>
          </cell>
          <cell r="S24">
            <v>669</v>
          </cell>
          <cell r="T24">
            <v>219</v>
          </cell>
          <cell r="U24">
            <v>36</v>
          </cell>
          <cell r="V24">
            <v>12</v>
          </cell>
          <cell r="W24">
            <v>63</v>
          </cell>
          <cell r="X24">
            <v>21</v>
          </cell>
          <cell r="Y24">
            <v>3</v>
          </cell>
        </row>
        <row r="25">
          <cell r="N25" t="str">
            <v>The effectiveness of the boarding experiencePrimary</v>
          </cell>
          <cell r="O25" t="str">
            <v>The effectiveness of the boarding experience</v>
          </cell>
          <cell r="P25" t="str">
            <v>Primary</v>
          </cell>
          <cell r="Q25">
            <v>0</v>
          </cell>
          <cell r="R25">
            <v>0</v>
          </cell>
          <cell r="S25">
            <v>0</v>
          </cell>
          <cell r="T25">
            <v>0</v>
          </cell>
          <cell r="U25">
            <v>0</v>
          </cell>
          <cell r="V25" t="str">
            <v>0</v>
          </cell>
          <cell r="W25" t="str">
            <v>0</v>
          </cell>
          <cell r="X25" t="str">
            <v>0</v>
          </cell>
          <cell r="Y25" t="str">
            <v>0</v>
          </cell>
        </row>
        <row r="26">
          <cell r="N26" t="str">
            <v>Outcomes for boarding pupilsPrimary</v>
          </cell>
          <cell r="O26" t="str">
            <v>Outcomes for boarding pupils</v>
          </cell>
          <cell r="P26" t="str">
            <v>Primary</v>
          </cell>
          <cell r="Q26">
            <v>0</v>
          </cell>
          <cell r="R26">
            <v>0</v>
          </cell>
          <cell r="S26">
            <v>0</v>
          </cell>
          <cell r="T26">
            <v>0</v>
          </cell>
          <cell r="U26">
            <v>0</v>
          </cell>
          <cell r="V26" t="str">
            <v>0</v>
          </cell>
          <cell r="W26" t="str">
            <v>0</v>
          </cell>
          <cell r="X26" t="str">
            <v>0</v>
          </cell>
          <cell r="Y26" t="str">
            <v>0</v>
          </cell>
        </row>
        <row r="27">
          <cell r="N27" t="str">
            <v>The quality of boarding provision and carePrimary</v>
          </cell>
          <cell r="O27" t="str">
            <v>The quality of boarding provision and care</v>
          </cell>
          <cell r="P27" t="str">
            <v>Primary</v>
          </cell>
          <cell r="Q27">
            <v>0</v>
          </cell>
          <cell r="R27">
            <v>0</v>
          </cell>
          <cell r="S27">
            <v>0</v>
          </cell>
          <cell r="T27">
            <v>0</v>
          </cell>
          <cell r="U27">
            <v>0</v>
          </cell>
          <cell r="V27" t="str">
            <v>0</v>
          </cell>
          <cell r="W27" t="str">
            <v>0</v>
          </cell>
          <cell r="X27" t="str">
            <v>0</v>
          </cell>
          <cell r="Y27" t="str">
            <v>0</v>
          </cell>
        </row>
        <row r="28">
          <cell r="N28" t="str">
            <v>The boarding pupils' safetyPrimary</v>
          </cell>
          <cell r="O28" t="str">
            <v>The boarding pupils' safety</v>
          </cell>
          <cell r="P28" t="str">
            <v>Primary</v>
          </cell>
          <cell r="Q28">
            <v>0</v>
          </cell>
          <cell r="R28">
            <v>0</v>
          </cell>
          <cell r="S28">
            <v>0</v>
          </cell>
          <cell r="T28">
            <v>0</v>
          </cell>
          <cell r="U28">
            <v>0</v>
          </cell>
          <cell r="V28" t="str">
            <v>0</v>
          </cell>
          <cell r="W28" t="str">
            <v>0</v>
          </cell>
          <cell r="X28" t="str">
            <v>0</v>
          </cell>
          <cell r="Y28" t="str">
            <v>0</v>
          </cell>
        </row>
        <row r="29">
          <cell r="N29" t="str">
            <v>Leadership and management of the boarding provisionPrimary</v>
          </cell>
          <cell r="O29" t="str">
            <v>Leadership and management of the boarding provision</v>
          </cell>
          <cell r="P29" t="str">
            <v>Primary</v>
          </cell>
          <cell r="Q29">
            <v>0</v>
          </cell>
          <cell r="R29">
            <v>0</v>
          </cell>
          <cell r="S29">
            <v>0</v>
          </cell>
          <cell r="T29">
            <v>0</v>
          </cell>
          <cell r="U29">
            <v>0</v>
          </cell>
          <cell r="V29" t="str">
            <v>0</v>
          </cell>
          <cell r="W29" t="str">
            <v>0</v>
          </cell>
          <cell r="X29" t="str">
            <v>0</v>
          </cell>
          <cell r="Y29" t="str">
            <v>0</v>
          </cell>
        </row>
        <row r="30">
          <cell r="N30" t="str">
            <v>Overall effectiveness: how good is the schoolSecondary</v>
          </cell>
          <cell r="O30" t="str">
            <v>Overall effectiveness: how good is the school</v>
          </cell>
          <cell r="P30" t="str">
            <v>Secondary</v>
          </cell>
          <cell r="Q30">
            <v>256</v>
          </cell>
          <cell r="R30">
            <v>26</v>
          </cell>
          <cell r="S30">
            <v>99</v>
          </cell>
          <cell r="T30">
            <v>97</v>
          </cell>
          <cell r="U30">
            <v>34</v>
          </cell>
          <cell r="V30">
            <v>10</v>
          </cell>
          <cell r="W30">
            <v>39</v>
          </cell>
          <cell r="X30">
            <v>38</v>
          </cell>
          <cell r="Y30">
            <v>13</v>
          </cell>
        </row>
        <row r="31">
          <cell r="N31" t="str">
            <v>Effectiveness of the early years provisionSecondary</v>
          </cell>
          <cell r="O31" t="str">
            <v>Effectiveness of the early years provision</v>
          </cell>
          <cell r="P31" t="str">
            <v>Secondary</v>
          </cell>
          <cell r="Q31">
            <v>4</v>
          </cell>
          <cell r="R31">
            <v>0</v>
          </cell>
          <cell r="S31">
            <v>3</v>
          </cell>
          <cell r="T31">
            <v>1</v>
          </cell>
          <cell r="U31">
            <v>0</v>
          </cell>
          <cell r="V31">
            <v>0</v>
          </cell>
          <cell r="W31">
            <v>75</v>
          </cell>
          <cell r="X31">
            <v>25</v>
          </cell>
          <cell r="Y31">
            <v>0</v>
          </cell>
        </row>
        <row r="32">
          <cell r="N32" t="str">
            <v>Effectiveness of the sixth form provisionSecondary</v>
          </cell>
          <cell r="O32" t="str">
            <v>Effectiveness of the sixth form provision</v>
          </cell>
          <cell r="P32" t="str">
            <v>Secondary</v>
          </cell>
          <cell r="Q32">
            <v>147</v>
          </cell>
          <cell r="R32">
            <v>15</v>
          </cell>
          <cell r="S32">
            <v>77</v>
          </cell>
          <cell r="T32">
            <v>47</v>
          </cell>
          <cell r="U32">
            <v>8</v>
          </cell>
          <cell r="V32">
            <v>10</v>
          </cell>
          <cell r="W32">
            <v>52</v>
          </cell>
          <cell r="X32">
            <v>32</v>
          </cell>
          <cell r="Y32">
            <v>5</v>
          </cell>
        </row>
        <row r="33">
          <cell r="N33" t="str">
            <v>Achievement of pupils at the schoolSecondary</v>
          </cell>
          <cell r="O33" t="str">
            <v>Achievement of pupils at the school</v>
          </cell>
          <cell r="P33" t="str">
            <v>Secondary</v>
          </cell>
          <cell r="Q33">
            <v>256</v>
          </cell>
          <cell r="R33">
            <v>28</v>
          </cell>
          <cell r="S33">
            <v>97</v>
          </cell>
          <cell r="T33">
            <v>99</v>
          </cell>
          <cell r="U33">
            <v>32</v>
          </cell>
          <cell r="V33">
            <v>11</v>
          </cell>
          <cell r="W33">
            <v>38</v>
          </cell>
          <cell r="X33">
            <v>39</v>
          </cell>
          <cell r="Y33">
            <v>13</v>
          </cell>
        </row>
        <row r="34">
          <cell r="N34" t="str">
            <v>Behaviour and safety of pupilsSecondary</v>
          </cell>
          <cell r="O34" t="str">
            <v>Behaviour and safety of pupils</v>
          </cell>
          <cell r="P34" t="str">
            <v>Secondary</v>
          </cell>
          <cell r="Q34">
            <v>256</v>
          </cell>
          <cell r="R34">
            <v>36</v>
          </cell>
          <cell r="S34">
            <v>136</v>
          </cell>
          <cell r="T34">
            <v>71</v>
          </cell>
          <cell r="U34">
            <v>13</v>
          </cell>
          <cell r="V34">
            <v>14</v>
          </cell>
          <cell r="W34">
            <v>53</v>
          </cell>
          <cell r="X34">
            <v>28</v>
          </cell>
          <cell r="Y34">
            <v>5</v>
          </cell>
        </row>
        <row r="35">
          <cell r="N35" t="str">
            <v>Quality of teachingSecondary</v>
          </cell>
          <cell r="O35" t="str">
            <v>Quality of teaching</v>
          </cell>
          <cell r="P35" t="str">
            <v>Secondary</v>
          </cell>
          <cell r="Q35">
            <v>256</v>
          </cell>
          <cell r="R35">
            <v>27</v>
          </cell>
          <cell r="S35">
            <v>99</v>
          </cell>
          <cell r="T35">
            <v>103</v>
          </cell>
          <cell r="U35">
            <v>27</v>
          </cell>
          <cell r="V35">
            <v>11</v>
          </cell>
          <cell r="W35">
            <v>39</v>
          </cell>
          <cell r="X35">
            <v>40</v>
          </cell>
          <cell r="Y35">
            <v>11</v>
          </cell>
        </row>
        <row r="36">
          <cell r="N36" t="str">
            <v>Leadership and managementSecondary</v>
          </cell>
          <cell r="O36" t="str">
            <v>Leadership and management</v>
          </cell>
          <cell r="P36" t="str">
            <v>Secondary</v>
          </cell>
          <cell r="Q36">
            <v>256</v>
          </cell>
          <cell r="R36">
            <v>33</v>
          </cell>
          <cell r="S36">
            <v>122</v>
          </cell>
          <cell r="T36">
            <v>78</v>
          </cell>
          <cell r="U36">
            <v>23</v>
          </cell>
          <cell r="V36">
            <v>13</v>
          </cell>
          <cell r="W36">
            <v>48</v>
          </cell>
          <cell r="X36">
            <v>30</v>
          </cell>
          <cell r="Y36">
            <v>9</v>
          </cell>
        </row>
        <row r="37">
          <cell r="N37" t="str">
            <v>The effectiveness of the boarding experienceSecondary</v>
          </cell>
          <cell r="O37" t="str">
            <v>The effectiveness of the boarding experience</v>
          </cell>
          <cell r="P37" t="str">
            <v>Secondary</v>
          </cell>
          <cell r="Q37">
            <v>0</v>
          </cell>
          <cell r="R37">
            <v>0</v>
          </cell>
          <cell r="S37">
            <v>0</v>
          </cell>
          <cell r="T37">
            <v>0</v>
          </cell>
          <cell r="U37">
            <v>0</v>
          </cell>
          <cell r="V37" t="str">
            <v>0</v>
          </cell>
          <cell r="W37" t="str">
            <v>0</v>
          </cell>
          <cell r="X37" t="str">
            <v>0</v>
          </cell>
          <cell r="Y37" t="str">
            <v>0</v>
          </cell>
        </row>
        <row r="38">
          <cell r="N38" t="str">
            <v>Outcomes for boarding pupilsSecondary</v>
          </cell>
          <cell r="O38" t="str">
            <v>Outcomes for boarding pupils</v>
          </cell>
          <cell r="P38" t="str">
            <v>Secondary</v>
          </cell>
          <cell r="Q38">
            <v>0</v>
          </cell>
          <cell r="R38">
            <v>0</v>
          </cell>
          <cell r="S38">
            <v>0</v>
          </cell>
          <cell r="T38">
            <v>0</v>
          </cell>
          <cell r="U38">
            <v>0</v>
          </cell>
          <cell r="V38" t="str">
            <v>0</v>
          </cell>
          <cell r="W38" t="str">
            <v>0</v>
          </cell>
          <cell r="X38" t="str">
            <v>0</v>
          </cell>
          <cell r="Y38" t="str">
            <v>0</v>
          </cell>
        </row>
        <row r="39">
          <cell r="N39" t="str">
            <v>The quality of boarding provision and careSecondary</v>
          </cell>
          <cell r="O39" t="str">
            <v>The quality of boarding provision and care</v>
          </cell>
          <cell r="P39" t="str">
            <v>Secondary</v>
          </cell>
          <cell r="Q39">
            <v>0</v>
          </cell>
          <cell r="R39">
            <v>0</v>
          </cell>
          <cell r="S39">
            <v>0</v>
          </cell>
          <cell r="T39">
            <v>0</v>
          </cell>
          <cell r="U39">
            <v>0</v>
          </cell>
          <cell r="V39" t="str">
            <v>0</v>
          </cell>
          <cell r="W39" t="str">
            <v>0</v>
          </cell>
          <cell r="X39" t="str">
            <v>0</v>
          </cell>
          <cell r="Y39" t="str">
            <v>0</v>
          </cell>
        </row>
        <row r="40">
          <cell r="N40" t="str">
            <v>The boarding pupils' safetySecondary</v>
          </cell>
          <cell r="O40" t="str">
            <v>The boarding pupils' safety</v>
          </cell>
          <cell r="P40" t="str">
            <v>Secondary</v>
          </cell>
          <cell r="Q40">
            <v>0</v>
          </cell>
          <cell r="R40">
            <v>0</v>
          </cell>
          <cell r="S40">
            <v>0</v>
          </cell>
          <cell r="T40">
            <v>0</v>
          </cell>
          <cell r="U40">
            <v>0</v>
          </cell>
          <cell r="V40" t="str">
            <v>0</v>
          </cell>
          <cell r="W40" t="str">
            <v>0</v>
          </cell>
          <cell r="X40" t="str">
            <v>0</v>
          </cell>
          <cell r="Y40" t="str">
            <v>0</v>
          </cell>
        </row>
        <row r="41">
          <cell r="N41" t="str">
            <v>Leadership and management of the boarding provisionSecondary</v>
          </cell>
          <cell r="O41" t="str">
            <v>Leadership and management of the boarding provision</v>
          </cell>
          <cell r="P41" t="str">
            <v>Secondary</v>
          </cell>
          <cell r="Q41">
            <v>0</v>
          </cell>
          <cell r="R41">
            <v>0</v>
          </cell>
          <cell r="S41">
            <v>0</v>
          </cell>
          <cell r="T41">
            <v>0</v>
          </cell>
          <cell r="U41">
            <v>0</v>
          </cell>
          <cell r="V41" t="str">
            <v>0</v>
          </cell>
          <cell r="W41" t="str">
            <v>0</v>
          </cell>
          <cell r="X41" t="str">
            <v>0</v>
          </cell>
          <cell r="Y41" t="str">
            <v>0</v>
          </cell>
        </row>
        <row r="42">
          <cell r="N42" t="str">
            <v>Overall effectiveness: how good is the schoolSpecial</v>
          </cell>
          <cell r="O42" t="str">
            <v>Overall effectiveness: how good is the school</v>
          </cell>
          <cell r="P42" t="str">
            <v>Special</v>
          </cell>
          <cell r="Q42">
            <v>83</v>
          </cell>
          <cell r="R42">
            <v>32</v>
          </cell>
          <cell r="S42">
            <v>39</v>
          </cell>
          <cell r="T42">
            <v>8</v>
          </cell>
          <cell r="U42">
            <v>4</v>
          </cell>
          <cell r="V42">
            <v>39</v>
          </cell>
          <cell r="W42">
            <v>47</v>
          </cell>
          <cell r="X42">
            <v>10</v>
          </cell>
          <cell r="Y42">
            <v>5</v>
          </cell>
        </row>
        <row r="43">
          <cell r="N43" t="str">
            <v>Effectiveness of the early years provisionSpecial</v>
          </cell>
          <cell r="O43" t="str">
            <v>Effectiveness of the early years provision</v>
          </cell>
          <cell r="P43" t="str">
            <v>Special</v>
          </cell>
          <cell r="Q43">
            <v>36</v>
          </cell>
          <cell r="R43">
            <v>19</v>
          </cell>
          <cell r="S43">
            <v>13</v>
          </cell>
          <cell r="T43">
            <v>3</v>
          </cell>
          <cell r="U43">
            <v>1</v>
          </cell>
          <cell r="V43">
            <v>53</v>
          </cell>
          <cell r="W43">
            <v>36</v>
          </cell>
          <cell r="X43">
            <v>8</v>
          </cell>
          <cell r="Y43">
            <v>3</v>
          </cell>
        </row>
        <row r="44">
          <cell r="N44" t="str">
            <v>Effectiveness of the sixth form provisionSpecial</v>
          </cell>
          <cell r="O44" t="str">
            <v>Effectiveness of the sixth form provision</v>
          </cell>
          <cell r="P44" t="str">
            <v>Special</v>
          </cell>
          <cell r="Q44">
            <v>41</v>
          </cell>
          <cell r="R44">
            <v>18</v>
          </cell>
          <cell r="S44">
            <v>16</v>
          </cell>
          <cell r="T44">
            <v>5</v>
          </cell>
          <cell r="U44">
            <v>2</v>
          </cell>
          <cell r="V44">
            <v>44</v>
          </cell>
          <cell r="W44">
            <v>39</v>
          </cell>
          <cell r="X44">
            <v>12</v>
          </cell>
          <cell r="Y44">
            <v>5</v>
          </cell>
        </row>
        <row r="45">
          <cell r="N45" t="str">
            <v>Achievement of pupils at the schoolSpecial</v>
          </cell>
          <cell r="O45" t="str">
            <v>Achievement of pupils at the school</v>
          </cell>
          <cell r="P45" t="str">
            <v>Special</v>
          </cell>
          <cell r="Q45">
            <v>83</v>
          </cell>
          <cell r="R45">
            <v>32</v>
          </cell>
          <cell r="S45">
            <v>41</v>
          </cell>
          <cell r="T45">
            <v>9</v>
          </cell>
          <cell r="U45">
            <v>1</v>
          </cell>
          <cell r="V45">
            <v>39</v>
          </cell>
          <cell r="W45">
            <v>49</v>
          </cell>
          <cell r="X45">
            <v>11</v>
          </cell>
          <cell r="Y45">
            <v>1</v>
          </cell>
        </row>
        <row r="46">
          <cell r="N46" t="str">
            <v>Behaviour and safety of pupilsSpecial</v>
          </cell>
          <cell r="O46" t="str">
            <v>Behaviour and safety of pupils</v>
          </cell>
          <cell r="P46" t="str">
            <v>Special</v>
          </cell>
          <cell r="Q46">
            <v>83</v>
          </cell>
          <cell r="R46">
            <v>43</v>
          </cell>
          <cell r="S46">
            <v>31</v>
          </cell>
          <cell r="T46">
            <v>5</v>
          </cell>
          <cell r="U46">
            <v>4</v>
          </cell>
          <cell r="V46">
            <v>52</v>
          </cell>
          <cell r="W46">
            <v>37</v>
          </cell>
          <cell r="X46">
            <v>6</v>
          </cell>
          <cell r="Y46">
            <v>5</v>
          </cell>
        </row>
        <row r="47">
          <cell r="N47" t="str">
            <v>Quality of teachingSpecial</v>
          </cell>
          <cell r="O47" t="str">
            <v>Quality of teaching</v>
          </cell>
          <cell r="P47" t="str">
            <v>Special</v>
          </cell>
          <cell r="Q47">
            <v>83</v>
          </cell>
          <cell r="R47">
            <v>32</v>
          </cell>
          <cell r="S47">
            <v>42</v>
          </cell>
          <cell r="T47">
            <v>8</v>
          </cell>
          <cell r="U47">
            <v>1</v>
          </cell>
          <cell r="V47">
            <v>39</v>
          </cell>
          <cell r="W47">
            <v>51</v>
          </cell>
          <cell r="X47">
            <v>10</v>
          </cell>
          <cell r="Y47">
            <v>1</v>
          </cell>
        </row>
        <row r="48">
          <cell r="N48" t="str">
            <v>Leadership and managementSpecial</v>
          </cell>
          <cell r="O48" t="str">
            <v>Leadership and management</v>
          </cell>
          <cell r="P48" t="str">
            <v>Special</v>
          </cell>
          <cell r="Q48">
            <v>83</v>
          </cell>
          <cell r="R48">
            <v>36</v>
          </cell>
          <cell r="S48">
            <v>35</v>
          </cell>
          <cell r="T48">
            <v>8</v>
          </cell>
          <cell r="U48">
            <v>4</v>
          </cell>
          <cell r="V48">
            <v>43</v>
          </cell>
          <cell r="W48">
            <v>42</v>
          </cell>
          <cell r="X48">
            <v>10</v>
          </cell>
          <cell r="Y48">
            <v>5</v>
          </cell>
        </row>
        <row r="49">
          <cell r="N49" t="str">
            <v>The effectiveness of the boarding experienceSpecial</v>
          </cell>
          <cell r="O49" t="str">
            <v>The effectiveness of the boarding experience</v>
          </cell>
          <cell r="P49" t="str">
            <v>Special</v>
          </cell>
          <cell r="Q49">
            <v>0</v>
          </cell>
          <cell r="R49">
            <v>0</v>
          </cell>
          <cell r="S49">
            <v>0</v>
          </cell>
          <cell r="T49">
            <v>0</v>
          </cell>
          <cell r="U49">
            <v>0</v>
          </cell>
          <cell r="V49" t="str">
            <v>0</v>
          </cell>
          <cell r="W49" t="str">
            <v>0</v>
          </cell>
          <cell r="X49" t="str">
            <v>0</v>
          </cell>
          <cell r="Y49" t="str">
            <v>0</v>
          </cell>
        </row>
        <row r="50">
          <cell r="N50" t="str">
            <v>Outcomes for boarding pupilsSpecial</v>
          </cell>
          <cell r="O50" t="str">
            <v>Outcomes for boarding pupils</v>
          </cell>
          <cell r="P50" t="str">
            <v>Special</v>
          </cell>
          <cell r="Q50">
            <v>0</v>
          </cell>
          <cell r="R50">
            <v>0</v>
          </cell>
          <cell r="S50">
            <v>0</v>
          </cell>
          <cell r="T50">
            <v>0</v>
          </cell>
          <cell r="U50">
            <v>0</v>
          </cell>
          <cell r="V50" t="str">
            <v>0</v>
          </cell>
          <cell r="W50" t="str">
            <v>0</v>
          </cell>
          <cell r="X50" t="str">
            <v>0</v>
          </cell>
          <cell r="Y50" t="str">
            <v>0</v>
          </cell>
        </row>
        <row r="51">
          <cell r="N51" t="str">
            <v>The quality of boarding provision and careSpecial</v>
          </cell>
          <cell r="O51" t="str">
            <v>The quality of boarding provision and care</v>
          </cell>
          <cell r="P51" t="str">
            <v>Special</v>
          </cell>
          <cell r="Q51">
            <v>0</v>
          </cell>
          <cell r="R51">
            <v>0</v>
          </cell>
          <cell r="S51">
            <v>0</v>
          </cell>
          <cell r="T51">
            <v>0</v>
          </cell>
          <cell r="U51">
            <v>0</v>
          </cell>
          <cell r="V51" t="str">
            <v>0</v>
          </cell>
          <cell r="W51" t="str">
            <v>0</v>
          </cell>
          <cell r="X51" t="str">
            <v>0</v>
          </cell>
          <cell r="Y51" t="str">
            <v>0</v>
          </cell>
        </row>
        <row r="52">
          <cell r="N52" t="str">
            <v>The boarding pupils' safetySpecial</v>
          </cell>
          <cell r="O52" t="str">
            <v>The boarding pupils' safety</v>
          </cell>
          <cell r="P52" t="str">
            <v>Special</v>
          </cell>
          <cell r="Q52">
            <v>0</v>
          </cell>
          <cell r="R52">
            <v>0</v>
          </cell>
          <cell r="S52">
            <v>0</v>
          </cell>
          <cell r="T52">
            <v>0</v>
          </cell>
          <cell r="U52">
            <v>0</v>
          </cell>
          <cell r="V52" t="str">
            <v>0</v>
          </cell>
          <cell r="W52" t="str">
            <v>0</v>
          </cell>
          <cell r="X52" t="str">
            <v>0</v>
          </cell>
          <cell r="Y52" t="str">
            <v>0</v>
          </cell>
        </row>
        <row r="53">
          <cell r="N53" t="str">
            <v>Leadership and management of the boarding provisionSpecial</v>
          </cell>
          <cell r="O53" t="str">
            <v>Leadership and management of the boarding provision</v>
          </cell>
          <cell r="P53" t="str">
            <v>Special</v>
          </cell>
          <cell r="Q53">
            <v>0</v>
          </cell>
          <cell r="R53">
            <v>0</v>
          </cell>
          <cell r="S53">
            <v>0</v>
          </cell>
          <cell r="T53">
            <v>0</v>
          </cell>
          <cell r="U53">
            <v>0</v>
          </cell>
          <cell r="V53" t="str">
            <v>0</v>
          </cell>
          <cell r="W53" t="str">
            <v>0</v>
          </cell>
          <cell r="X53" t="str">
            <v>0</v>
          </cell>
          <cell r="Y53" t="str">
            <v>0</v>
          </cell>
        </row>
        <row r="54">
          <cell r="N54" t="str">
            <v>Overall effectiveness: how good is the schoolPupil Referral Unit</v>
          </cell>
          <cell r="O54" t="str">
            <v>Overall effectiveness: how good is the school</v>
          </cell>
          <cell r="P54" t="str">
            <v>Pupil Referral Unit</v>
          </cell>
          <cell r="Q54">
            <v>37</v>
          </cell>
          <cell r="R54">
            <v>9</v>
          </cell>
          <cell r="S54">
            <v>18</v>
          </cell>
          <cell r="T54">
            <v>6</v>
          </cell>
          <cell r="U54">
            <v>4</v>
          </cell>
          <cell r="V54">
            <v>24</v>
          </cell>
          <cell r="W54">
            <v>49</v>
          </cell>
          <cell r="X54">
            <v>16</v>
          </cell>
          <cell r="Y54">
            <v>11</v>
          </cell>
        </row>
        <row r="55">
          <cell r="N55" t="str">
            <v>Effectiveness of the early years provisionPupil Referral Unit</v>
          </cell>
          <cell r="O55" t="str">
            <v>Effectiveness of the early years provision</v>
          </cell>
          <cell r="P55" t="str">
            <v>Pupil Referral Unit</v>
          </cell>
          <cell r="Q55">
            <v>37</v>
          </cell>
          <cell r="R55">
            <v>0</v>
          </cell>
          <cell r="S55">
            <v>0</v>
          </cell>
          <cell r="T55">
            <v>1</v>
          </cell>
          <cell r="U55">
            <v>0</v>
          </cell>
          <cell r="V55">
            <v>0</v>
          </cell>
          <cell r="W55">
            <v>0</v>
          </cell>
          <cell r="X55">
            <v>3</v>
          </cell>
          <cell r="Y55">
            <v>0</v>
          </cell>
        </row>
        <row r="56">
          <cell r="N56" t="str">
            <v>Effectiveness of the sixth form provisionPupil Referral Unit</v>
          </cell>
          <cell r="O56" t="str">
            <v>Effectiveness of the sixth form provision</v>
          </cell>
          <cell r="P56" t="str">
            <v>Pupil Referral Unit</v>
          </cell>
          <cell r="Q56">
            <v>2</v>
          </cell>
          <cell r="R56">
            <v>0</v>
          </cell>
          <cell r="S56">
            <v>2</v>
          </cell>
          <cell r="T56">
            <v>0</v>
          </cell>
          <cell r="U56">
            <v>0</v>
          </cell>
          <cell r="V56">
            <v>0</v>
          </cell>
          <cell r="W56">
            <v>100</v>
          </cell>
          <cell r="X56">
            <v>0</v>
          </cell>
          <cell r="Y56">
            <v>0</v>
          </cell>
        </row>
        <row r="57">
          <cell r="N57" t="str">
            <v>Achievement of pupils at the schoolPupil Referral Unit</v>
          </cell>
          <cell r="O57" t="str">
            <v>Achievement of pupils at the school</v>
          </cell>
          <cell r="P57" t="str">
            <v>Pupil Referral Unit</v>
          </cell>
          <cell r="Q57">
            <v>37</v>
          </cell>
          <cell r="R57">
            <v>9</v>
          </cell>
          <cell r="S57">
            <v>18</v>
          </cell>
          <cell r="T57">
            <v>7</v>
          </cell>
          <cell r="U57">
            <v>3</v>
          </cell>
          <cell r="V57">
            <v>24</v>
          </cell>
          <cell r="W57">
            <v>49</v>
          </cell>
          <cell r="X57">
            <v>19</v>
          </cell>
          <cell r="Y57">
            <v>8</v>
          </cell>
        </row>
        <row r="58">
          <cell r="N58" t="str">
            <v>Behaviour and safety of pupilsPupil Referral Unit</v>
          </cell>
          <cell r="O58" t="str">
            <v>Behaviour and safety of pupils</v>
          </cell>
          <cell r="P58" t="str">
            <v>Pupil Referral Unit</v>
          </cell>
          <cell r="Q58">
            <v>37</v>
          </cell>
          <cell r="R58">
            <v>12</v>
          </cell>
          <cell r="S58">
            <v>17</v>
          </cell>
          <cell r="T58">
            <v>4</v>
          </cell>
          <cell r="U58">
            <v>4</v>
          </cell>
          <cell r="V58">
            <v>32</v>
          </cell>
          <cell r="W58">
            <v>46</v>
          </cell>
          <cell r="X58">
            <v>11</v>
          </cell>
          <cell r="Y58">
            <v>11</v>
          </cell>
        </row>
        <row r="59">
          <cell r="N59" t="str">
            <v>Quality of teachingPupil Referral Unit</v>
          </cell>
          <cell r="O59" t="str">
            <v>Quality of teaching</v>
          </cell>
          <cell r="P59" t="str">
            <v>Pupil Referral Unit</v>
          </cell>
          <cell r="Q59">
            <v>37</v>
          </cell>
          <cell r="R59">
            <v>9</v>
          </cell>
          <cell r="S59">
            <v>18</v>
          </cell>
          <cell r="T59">
            <v>7</v>
          </cell>
          <cell r="U59">
            <v>3</v>
          </cell>
          <cell r="V59">
            <v>24</v>
          </cell>
          <cell r="W59">
            <v>49</v>
          </cell>
          <cell r="X59">
            <v>19</v>
          </cell>
          <cell r="Y59">
            <v>8</v>
          </cell>
        </row>
        <row r="60">
          <cell r="N60" t="str">
            <v>Leadership and managementPupil Referral Unit</v>
          </cell>
          <cell r="O60" t="str">
            <v>Leadership and management</v>
          </cell>
          <cell r="P60" t="str">
            <v>Pupil Referral Unit</v>
          </cell>
          <cell r="Q60">
            <v>37</v>
          </cell>
          <cell r="R60">
            <v>10</v>
          </cell>
          <cell r="S60">
            <v>17</v>
          </cell>
          <cell r="T60">
            <v>6</v>
          </cell>
          <cell r="U60">
            <v>4</v>
          </cell>
          <cell r="V60">
            <v>27</v>
          </cell>
          <cell r="W60">
            <v>46</v>
          </cell>
          <cell r="X60">
            <v>16</v>
          </cell>
          <cell r="Y60">
            <v>11</v>
          </cell>
        </row>
        <row r="61">
          <cell r="N61" t="str">
            <v>The effectiveness of the boarding experiencePupil Referral Unit</v>
          </cell>
          <cell r="O61" t="str">
            <v>The effectiveness of the boarding experience</v>
          </cell>
          <cell r="P61" t="str">
            <v>Pupil Referral Unit</v>
          </cell>
          <cell r="Q61">
            <v>0</v>
          </cell>
          <cell r="R61">
            <v>0</v>
          </cell>
          <cell r="S61">
            <v>0</v>
          </cell>
          <cell r="T61">
            <v>0</v>
          </cell>
          <cell r="U61">
            <v>0</v>
          </cell>
          <cell r="V61" t="str">
            <v>0</v>
          </cell>
          <cell r="W61" t="str">
            <v>0</v>
          </cell>
          <cell r="X61" t="str">
            <v>0</v>
          </cell>
          <cell r="Y61" t="str">
            <v>0</v>
          </cell>
        </row>
        <row r="62">
          <cell r="N62" t="str">
            <v>Outcomes for boarding pupilsPupil Referral Unit</v>
          </cell>
          <cell r="O62" t="str">
            <v>Outcomes for boarding pupils</v>
          </cell>
          <cell r="P62" t="str">
            <v>Pupil Referral Unit</v>
          </cell>
          <cell r="Q62">
            <v>0</v>
          </cell>
          <cell r="R62">
            <v>0</v>
          </cell>
          <cell r="S62">
            <v>0</v>
          </cell>
          <cell r="T62">
            <v>0</v>
          </cell>
          <cell r="U62">
            <v>0</v>
          </cell>
          <cell r="V62" t="str">
            <v>0</v>
          </cell>
          <cell r="W62" t="str">
            <v>0</v>
          </cell>
          <cell r="X62" t="str">
            <v>0</v>
          </cell>
          <cell r="Y62" t="str">
            <v>0</v>
          </cell>
        </row>
        <row r="63">
          <cell r="N63" t="str">
            <v>The quality of boarding provision and carePupil Referral Unit</v>
          </cell>
          <cell r="O63" t="str">
            <v>The quality of boarding provision and care</v>
          </cell>
          <cell r="P63" t="str">
            <v>Pupil Referral Unit</v>
          </cell>
          <cell r="Q63">
            <v>0</v>
          </cell>
          <cell r="R63">
            <v>0</v>
          </cell>
          <cell r="S63">
            <v>0</v>
          </cell>
          <cell r="T63">
            <v>0</v>
          </cell>
          <cell r="U63">
            <v>0</v>
          </cell>
          <cell r="V63" t="str">
            <v>0</v>
          </cell>
          <cell r="W63" t="str">
            <v>0</v>
          </cell>
          <cell r="X63" t="str">
            <v>0</v>
          </cell>
          <cell r="Y63" t="str">
            <v>0</v>
          </cell>
        </row>
        <row r="64">
          <cell r="N64" t="str">
            <v>The boarding pupils' safetyPupil Referral Unit</v>
          </cell>
          <cell r="O64" t="str">
            <v>The boarding pupils' safety</v>
          </cell>
          <cell r="P64" t="str">
            <v>Pupil Referral Unit</v>
          </cell>
          <cell r="Q64">
            <v>0</v>
          </cell>
          <cell r="R64">
            <v>0</v>
          </cell>
          <cell r="S64">
            <v>0</v>
          </cell>
          <cell r="T64">
            <v>0</v>
          </cell>
          <cell r="U64">
            <v>0</v>
          </cell>
          <cell r="V64" t="str">
            <v>0</v>
          </cell>
          <cell r="W64" t="str">
            <v>0</v>
          </cell>
          <cell r="X64" t="str">
            <v>0</v>
          </cell>
          <cell r="Y64" t="str">
            <v>0</v>
          </cell>
        </row>
        <row r="65">
          <cell r="N65" t="str">
            <v>Leadership and management of the boarding provisionPupil Referral Unit</v>
          </cell>
          <cell r="O65" t="str">
            <v>Leadership and management of the boarding provision</v>
          </cell>
          <cell r="P65" t="str">
            <v>Pupil Referral Unit</v>
          </cell>
          <cell r="Q65">
            <v>0</v>
          </cell>
          <cell r="R65">
            <v>0</v>
          </cell>
          <cell r="S65">
            <v>0</v>
          </cell>
          <cell r="T65">
            <v>0</v>
          </cell>
          <cell r="U65">
            <v>0</v>
          </cell>
          <cell r="V65" t="str">
            <v>0</v>
          </cell>
          <cell r="W65" t="str">
            <v>0</v>
          </cell>
          <cell r="X65" t="str">
            <v>0</v>
          </cell>
          <cell r="Y65" t="str">
            <v>0</v>
          </cell>
        </row>
        <row r="66">
          <cell r="N66" t="str">
            <v>Overall effectiveness: how good is the schoolNursery</v>
          </cell>
          <cell r="O66" t="str">
            <v>Overall effectiveness: how good is the school</v>
          </cell>
          <cell r="P66" t="str">
            <v>Nursery</v>
          </cell>
          <cell r="Q66">
            <v>39</v>
          </cell>
          <cell r="R66">
            <v>25</v>
          </cell>
          <cell r="S66">
            <v>12</v>
          </cell>
          <cell r="T66">
            <v>0</v>
          </cell>
          <cell r="U66">
            <v>2</v>
          </cell>
          <cell r="V66">
            <v>64</v>
          </cell>
          <cell r="W66">
            <v>31</v>
          </cell>
          <cell r="X66">
            <v>0</v>
          </cell>
          <cell r="Y66">
            <v>5</v>
          </cell>
        </row>
        <row r="67">
          <cell r="N67" t="str">
            <v>Effectiveness of the early years provisionNursery</v>
          </cell>
          <cell r="O67" t="str">
            <v>Effectiveness of the early years provision</v>
          </cell>
          <cell r="P67" t="str">
            <v>Nursery</v>
          </cell>
          <cell r="Q67">
            <v>39</v>
          </cell>
          <cell r="R67">
            <v>25</v>
          </cell>
          <cell r="S67">
            <v>12</v>
          </cell>
          <cell r="T67">
            <v>0</v>
          </cell>
          <cell r="U67">
            <v>2</v>
          </cell>
          <cell r="V67">
            <v>64</v>
          </cell>
          <cell r="W67">
            <v>31</v>
          </cell>
          <cell r="X67">
            <v>0</v>
          </cell>
          <cell r="Y67">
            <v>5</v>
          </cell>
        </row>
        <row r="68">
          <cell r="N68" t="str">
            <v>Effectiveness of the sixth form provisionNursery</v>
          </cell>
          <cell r="O68" t="str">
            <v>Effectiveness of the sixth form provision</v>
          </cell>
          <cell r="P68" t="str">
            <v>Nursery</v>
          </cell>
          <cell r="Q68">
            <v>0</v>
          </cell>
          <cell r="R68">
            <v>0</v>
          </cell>
          <cell r="S68">
            <v>0</v>
          </cell>
          <cell r="T68">
            <v>0</v>
          </cell>
          <cell r="U68">
            <v>0</v>
          </cell>
          <cell r="V68" t="str">
            <v>0</v>
          </cell>
          <cell r="W68" t="str">
            <v>0</v>
          </cell>
          <cell r="X68" t="str">
            <v>0</v>
          </cell>
          <cell r="Y68" t="str">
            <v>0</v>
          </cell>
        </row>
        <row r="69">
          <cell r="N69" t="str">
            <v>Achievement of pupils at the schoolNursery</v>
          </cell>
          <cell r="O69" t="str">
            <v>Achievement of pupils at the school</v>
          </cell>
          <cell r="P69" t="str">
            <v>Nursery</v>
          </cell>
          <cell r="Q69">
            <v>39</v>
          </cell>
          <cell r="R69">
            <v>25</v>
          </cell>
          <cell r="S69">
            <v>12</v>
          </cell>
          <cell r="T69">
            <v>0</v>
          </cell>
          <cell r="U69">
            <v>2</v>
          </cell>
          <cell r="V69">
            <v>64</v>
          </cell>
          <cell r="W69">
            <v>31</v>
          </cell>
          <cell r="X69">
            <v>0</v>
          </cell>
          <cell r="Y69">
            <v>5</v>
          </cell>
        </row>
        <row r="70">
          <cell r="N70" t="str">
            <v>Behaviour and safety of pupilsNursery</v>
          </cell>
          <cell r="O70" t="str">
            <v>Behaviour and safety of pupils</v>
          </cell>
          <cell r="P70" t="str">
            <v>Nursery</v>
          </cell>
          <cell r="Q70">
            <v>39</v>
          </cell>
          <cell r="R70">
            <v>28</v>
          </cell>
          <cell r="S70">
            <v>9</v>
          </cell>
          <cell r="T70">
            <v>2</v>
          </cell>
          <cell r="U70">
            <v>0</v>
          </cell>
          <cell r="V70">
            <v>72</v>
          </cell>
          <cell r="W70">
            <v>23</v>
          </cell>
          <cell r="X70">
            <v>5</v>
          </cell>
          <cell r="Y70">
            <v>0</v>
          </cell>
        </row>
        <row r="71">
          <cell r="N71" t="str">
            <v>Quality of teachingNursery</v>
          </cell>
          <cell r="O71" t="str">
            <v>Quality of teaching</v>
          </cell>
          <cell r="P71" t="str">
            <v>Nursery</v>
          </cell>
          <cell r="Q71">
            <v>39</v>
          </cell>
          <cell r="R71">
            <v>25</v>
          </cell>
          <cell r="S71">
            <v>12</v>
          </cell>
          <cell r="T71">
            <v>0</v>
          </cell>
          <cell r="U71">
            <v>2</v>
          </cell>
          <cell r="V71">
            <v>64</v>
          </cell>
          <cell r="W71">
            <v>31</v>
          </cell>
          <cell r="X71">
            <v>0</v>
          </cell>
          <cell r="Y71">
            <v>5</v>
          </cell>
        </row>
        <row r="72">
          <cell r="N72" t="str">
            <v>Leadership and managementNursery</v>
          </cell>
          <cell r="O72" t="str">
            <v>Leadership and management</v>
          </cell>
          <cell r="P72" t="str">
            <v>Nursery</v>
          </cell>
          <cell r="Q72">
            <v>39</v>
          </cell>
          <cell r="R72">
            <v>25</v>
          </cell>
          <cell r="S72">
            <v>12</v>
          </cell>
          <cell r="T72">
            <v>0</v>
          </cell>
          <cell r="U72">
            <v>2</v>
          </cell>
          <cell r="V72">
            <v>64</v>
          </cell>
          <cell r="W72">
            <v>31</v>
          </cell>
          <cell r="X72">
            <v>0</v>
          </cell>
          <cell r="Y72">
            <v>5</v>
          </cell>
        </row>
        <row r="73">
          <cell r="N73" t="str">
            <v>The effectiveness of the boarding experienceNursery</v>
          </cell>
          <cell r="O73" t="str">
            <v>The effectiveness of the boarding experience</v>
          </cell>
          <cell r="P73" t="str">
            <v>Nursery</v>
          </cell>
          <cell r="Q73">
            <v>0</v>
          </cell>
          <cell r="R73">
            <v>0</v>
          </cell>
          <cell r="S73">
            <v>0</v>
          </cell>
          <cell r="T73">
            <v>0</v>
          </cell>
          <cell r="U73">
            <v>0</v>
          </cell>
          <cell r="V73" t="str">
            <v>0</v>
          </cell>
          <cell r="W73" t="str">
            <v>0</v>
          </cell>
          <cell r="X73" t="str">
            <v>0</v>
          </cell>
          <cell r="Y73" t="str">
            <v>0</v>
          </cell>
        </row>
        <row r="74">
          <cell r="N74" t="str">
            <v>Outcomes for boarding pupilsNursery</v>
          </cell>
          <cell r="O74" t="str">
            <v>Outcomes for boarding pupils</v>
          </cell>
          <cell r="P74" t="str">
            <v>Nursery</v>
          </cell>
          <cell r="Q74">
            <v>0</v>
          </cell>
          <cell r="R74">
            <v>0</v>
          </cell>
          <cell r="S74">
            <v>0</v>
          </cell>
          <cell r="T74">
            <v>0</v>
          </cell>
          <cell r="U74">
            <v>0</v>
          </cell>
          <cell r="V74" t="str">
            <v>0</v>
          </cell>
          <cell r="W74" t="str">
            <v>0</v>
          </cell>
          <cell r="X74" t="str">
            <v>0</v>
          </cell>
          <cell r="Y74" t="str">
            <v>0</v>
          </cell>
        </row>
        <row r="75">
          <cell r="N75" t="str">
            <v>The quality of boarding provision and careNursery</v>
          </cell>
          <cell r="O75" t="str">
            <v>The quality of boarding provision and care</v>
          </cell>
          <cell r="P75" t="str">
            <v>Nursery</v>
          </cell>
          <cell r="Q75">
            <v>0</v>
          </cell>
          <cell r="R75">
            <v>0</v>
          </cell>
          <cell r="S75">
            <v>0</v>
          </cell>
          <cell r="T75">
            <v>0</v>
          </cell>
          <cell r="U75">
            <v>0</v>
          </cell>
          <cell r="V75" t="str">
            <v>0</v>
          </cell>
          <cell r="W75" t="str">
            <v>0</v>
          </cell>
          <cell r="X75" t="str">
            <v>0</v>
          </cell>
          <cell r="Y75" t="str">
            <v>0</v>
          </cell>
        </row>
        <row r="76">
          <cell r="N76" t="str">
            <v>The boarding pupils' safetyNursery</v>
          </cell>
          <cell r="O76" t="str">
            <v>The boarding pupils' safety</v>
          </cell>
          <cell r="P76" t="str">
            <v>Nursery</v>
          </cell>
          <cell r="Q76">
            <v>0</v>
          </cell>
          <cell r="R76">
            <v>0</v>
          </cell>
          <cell r="S76">
            <v>0</v>
          </cell>
          <cell r="T76">
            <v>0</v>
          </cell>
          <cell r="U76">
            <v>0</v>
          </cell>
          <cell r="V76" t="str">
            <v>0</v>
          </cell>
          <cell r="W76" t="str">
            <v>0</v>
          </cell>
          <cell r="X76" t="str">
            <v>0</v>
          </cell>
          <cell r="Y76" t="str">
            <v>0</v>
          </cell>
        </row>
        <row r="77">
          <cell r="N77" t="str">
            <v>Leadership and management of the boarding provisionNursery</v>
          </cell>
          <cell r="O77" t="str">
            <v>Leadership and management of the boarding provision</v>
          </cell>
          <cell r="P77" t="str">
            <v>Nursery</v>
          </cell>
          <cell r="Q77">
            <v>0</v>
          </cell>
          <cell r="R77">
            <v>0</v>
          </cell>
          <cell r="S77">
            <v>0</v>
          </cell>
          <cell r="T77">
            <v>0</v>
          </cell>
          <cell r="U77">
            <v>0</v>
          </cell>
          <cell r="V77" t="str">
            <v>0</v>
          </cell>
          <cell r="W77" t="str">
            <v>0</v>
          </cell>
          <cell r="X77" t="str">
            <v>0</v>
          </cell>
          <cell r="Y77" t="str">
            <v>0</v>
          </cell>
        </row>
        <row r="78">
          <cell r="N78" t="str">
            <v>Overall effectiveness: how good is the schoolAll Schools</v>
          </cell>
          <cell r="O78" t="str">
            <v>Overall effectiveness: how good is the school</v>
          </cell>
          <cell r="P78" t="str">
            <v>All Schools</v>
          </cell>
          <cell r="Q78">
            <v>1469</v>
          </cell>
          <cell r="R78">
            <v>184</v>
          </cell>
          <cell r="S78">
            <v>807</v>
          </cell>
          <cell r="T78">
            <v>384</v>
          </cell>
          <cell r="U78">
            <v>94</v>
          </cell>
          <cell r="V78">
            <v>13</v>
          </cell>
          <cell r="W78">
            <v>55</v>
          </cell>
          <cell r="X78">
            <v>26</v>
          </cell>
          <cell r="Y78">
            <v>6</v>
          </cell>
        </row>
        <row r="79">
          <cell r="N79" t="str">
            <v>Effectiveness of the early years provisionAll Schools</v>
          </cell>
          <cell r="O79" t="str">
            <v>Effectiveness of the early years provision</v>
          </cell>
          <cell r="P79" t="str">
            <v>All Schools</v>
          </cell>
          <cell r="Q79">
            <v>1051</v>
          </cell>
          <cell r="R79">
            <v>165</v>
          </cell>
          <cell r="S79">
            <v>719</v>
          </cell>
          <cell r="T79">
            <v>154</v>
          </cell>
          <cell r="U79">
            <v>13</v>
          </cell>
          <cell r="V79">
            <v>16</v>
          </cell>
          <cell r="W79">
            <v>68</v>
          </cell>
          <cell r="X79">
            <v>15</v>
          </cell>
          <cell r="Y79">
            <v>1</v>
          </cell>
        </row>
        <row r="80">
          <cell r="N80" t="str">
            <v>Effectiveness of the sixth form provisionAll Schools</v>
          </cell>
          <cell r="O80" t="str">
            <v>Effectiveness of the sixth form provision</v>
          </cell>
          <cell r="P80" t="str">
            <v>All Schools</v>
          </cell>
          <cell r="Q80">
            <v>190</v>
          </cell>
          <cell r="R80">
            <v>33</v>
          </cell>
          <cell r="S80">
            <v>95</v>
          </cell>
          <cell r="T80">
            <v>52</v>
          </cell>
          <cell r="U80">
            <v>10</v>
          </cell>
          <cell r="V80">
            <v>17</v>
          </cell>
          <cell r="W80">
            <v>50</v>
          </cell>
          <cell r="X80">
            <v>27</v>
          </cell>
          <cell r="Y80">
            <v>5</v>
          </cell>
        </row>
        <row r="81">
          <cell r="N81" t="str">
            <v>Achievement of pupils at the schoolAll Schools</v>
          </cell>
          <cell r="O81" t="str">
            <v>Achievement of pupils at the school</v>
          </cell>
          <cell r="P81" t="str">
            <v>All Schools</v>
          </cell>
          <cell r="Q81">
            <v>1469</v>
          </cell>
          <cell r="R81">
            <v>186</v>
          </cell>
          <cell r="S81">
            <v>810</v>
          </cell>
          <cell r="T81">
            <v>388</v>
          </cell>
          <cell r="U81">
            <v>85</v>
          </cell>
          <cell r="V81">
            <v>13</v>
          </cell>
          <cell r="W81">
            <v>55</v>
          </cell>
          <cell r="X81">
            <v>26</v>
          </cell>
          <cell r="Y81">
            <v>6</v>
          </cell>
        </row>
        <row r="82">
          <cell r="N82" t="str">
            <v>Behaviour and safety of pupilsAll Schools</v>
          </cell>
          <cell r="O82" t="str">
            <v>Behaviour and safety of pupils</v>
          </cell>
          <cell r="P82" t="str">
            <v>All Schools</v>
          </cell>
          <cell r="Q82">
            <v>1469</v>
          </cell>
          <cell r="R82">
            <v>322</v>
          </cell>
          <cell r="S82">
            <v>901</v>
          </cell>
          <cell r="T82">
            <v>210</v>
          </cell>
          <cell r="U82">
            <v>36</v>
          </cell>
          <cell r="V82">
            <v>22</v>
          </cell>
          <cell r="W82">
            <v>61</v>
          </cell>
          <cell r="X82">
            <v>14</v>
          </cell>
          <cell r="Y82">
            <v>2</v>
          </cell>
        </row>
        <row r="83">
          <cell r="N83" t="str">
            <v>Quality of teachingAll Schools</v>
          </cell>
          <cell r="O83" t="str">
            <v>Quality of teaching</v>
          </cell>
          <cell r="P83" t="str">
            <v>All Schools</v>
          </cell>
          <cell r="Q83">
            <v>1469</v>
          </cell>
          <cell r="R83">
            <v>185</v>
          </cell>
          <cell r="S83">
            <v>816</v>
          </cell>
          <cell r="T83">
            <v>390</v>
          </cell>
          <cell r="U83">
            <v>78</v>
          </cell>
          <cell r="V83">
            <v>13</v>
          </cell>
          <cell r="W83">
            <v>56</v>
          </cell>
          <cell r="X83">
            <v>27</v>
          </cell>
          <cell r="Y83">
            <v>5</v>
          </cell>
        </row>
        <row r="84">
          <cell r="N84" t="str">
            <v>Leadership and managementAll Schools</v>
          </cell>
          <cell r="O84" t="str">
            <v>Leadership and management</v>
          </cell>
          <cell r="P84" t="str">
            <v>All Schools</v>
          </cell>
          <cell r="Q84">
            <v>1469</v>
          </cell>
          <cell r="R84">
            <v>234</v>
          </cell>
          <cell r="S84">
            <v>855</v>
          </cell>
          <cell r="T84">
            <v>311</v>
          </cell>
          <cell r="U84">
            <v>69</v>
          </cell>
          <cell r="V84">
            <v>16</v>
          </cell>
          <cell r="W84">
            <v>58</v>
          </cell>
          <cell r="X84">
            <v>21</v>
          </cell>
          <cell r="Y84">
            <v>5</v>
          </cell>
        </row>
        <row r="85">
          <cell r="N85" t="str">
            <v>The effectiveness of the boarding experienceAll Schools</v>
          </cell>
          <cell r="O85" t="str">
            <v>The effectiveness of the boarding experience</v>
          </cell>
          <cell r="P85" t="str">
            <v>All Schools</v>
          </cell>
          <cell r="Q85">
            <v>0</v>
          </cell>
          <cell r="R85">
            <v>0</v>
          </cell>
          <cell r="S85">
            <v>0</v>
          </cell>
          <cell r="T85">
            <v>0</v>
          </cell>
          <cell r="U85">
            <v>0</v>
          </cell>
          <cell r="V85" t="str">
            <v>0</v>
          </cell>
          <cell r="W85" t="str">
            <v>0</v>
          </cell>
          <cell r="X85" t="str">
            <v>0</v>
          </cell>
          <cell r="Y85" t="str">
            <v>0</v>
          </cell>
        </row>
        <row r="86">
          <cell r="N86" t="str">
            <v>Outcomes for boarding pupilsAll Schools</v>
          </cell>
          <cell r="O86" t="str">
            <v>Outcomes for boarding pupils</v>
          </cell>
          <cell r="P86" t="str">
            <v>All Schools</v>
          </cell>
          <cell r="Q86">
            <v>0</v>
          </cell>
          <cell r="R86">
            <v>0</v>
          </cell>
          <cell r="S86">
            <v>0</v>
          </cell>
          <cell r="T86">
            <v>0</v>
          </cell>
          <cell r="U86">
            <v>0</v>
          </cell>
          <cell r="V86" t="str">
            <v>0</v>
          </cell>
          <cell r="W86" t="str">
            <v>0</v>
          </cell>
          <cell r="X86" t="str">
            <v>0</v>
          </cell>
          <cell r="Y86" t="str">
            <v>0</v>
          </cell>
        </row>
        <row r="87">
          <cell r="N87" t="str">
            <v>The quality of boarding provision and careAll Schools</v>
          </cell>
          <cell r="O87" t="str">
            <v>The quality of boarding provision and care</v>
          </cell>
          <cell r="P87" t="str">
            <v>All Schools</v>
          </cell>
          <cell r="Q87">
            <v>0</v>
          </cell>
          <cell r="R87">
            <v>0</v>
          </cell>
          <cell r="S87">
            <v>0</v>
          </cell>
          <cell r="T87">
            <v>0</v>
          </cell>
          <cell r="U87">
            <v>0</v>
          </cell>
          <cell r="V87" t="str">
            <v>0</v>
          </cell>
          <cell r="W87" t="str">
            <v>0</v>
          </cell>
          <cell r="X87" t="str">
            <v>0</v>
          </cell>
          <cell r="Y87" t="str">
            <v>0</v>
          </cell>
        </row>
        <row r="88">
          <cell r="N88" t="str">
            <v>The boarding pupils' safetyAll Schools</v>
          </cell>
          <cell r="O88" t="str">
            <v>The boarding pupils' safety</v>
          </cell>
          <cell r="P88" t="str">
            <v>All Schools</v>
          </cell>
          <cell r="Q88">
            <v>0</v>
          </cell>
          <cell r="R88">
            <v>0</v>
          </cell>
          <cell r="S88">
            <v>0</v>
          </cell>
          <cell r="T88">
            <v>0</v>
          </cell>
          <cell r="U88">
            <v>0</v>
          </cell>
          <cell r="V88" t="str">
            <v>0</v>
          </cell>
          <cell r="W88" t="str">
            <v>0</v>
          </cell>
          <cell r="X88" t="str">
            <v>0</v>
          </cell>
          <cell r="Y88" t="str">
            <v>0</v>
          </cell>
        </row>
        <row r="89">
          <cell r="N89" t="str">
            <v>Leadership and management of the boarding provisionAll Schools</v>
          </cell>
          <cell r="O89" t="str">
            <v>Leadership and management of the boarding provision</v>
          </cell>
          <cell r="P89" t="str">
            <v>All Schools</v>
          </cell>
          <cell r="Q89">
            <v>0</v>
          </cell>
          <cell r="R89">
            <v>0</v>
          </cell>
          <cell r="S89">
            <v>0</v>
          </cell>
          <cell r="T89">
            <v>0</v>
          </cell>
          <cell r="U89">
            <v>0</v>
          </cell>
          <cell r="V89" t="str">
            <v>0</v>
          </cell>
          <cell r="W89" t="str">
            <v>0</v>
          </cell>
          <cell r="X89" t="str">
            <v>0</v>
          </cell>
          <cell r="Y89" t="str">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T1 Inspections this year"/>
      <sheetName val="T2 Outcomes this year"/>
      <sheetName val="T3 Outcomes most recent"/>
      <sheetName val="T4 Category of concern"/>
      <sheetName val="T5 Most recent LA Region"/>
      <sheetName val="T6 Short inspections this year"/>
      <sheetName val="C1 Outcomes each year"/>
      <sheetName val="C2 Phase outcomes this year"/>
      <sheetName val="C3 Key outcomes this year"/>
      <sheetName val="Pivots"/>
      <sheetName val="C4 Outcomes most recent"/>
      <sheetName val="C5 Most recent each year"/>
      <sheetName val="C6 Most recent - education type"/>
      <sheetName val="D1 Sept to Dec 2015"/>
      <sheetName val="D2 All schools 31 Dec 2015"/>
      <sheetName val="Rev T1 Inspections last period"/>
      <sheetName val="Rev T2 Inspections last period"/>
      <sheetName val="Columns"/>
    </sheetNames>
    <sheetDataSet>
      <sheetData sheetId="0"/>
      <sheetData sheetId="1"/>
      <sheetData sheetId="2">
        <row r="3">
          <cell r="B3" t="str">
            <v>31 January 2016</v>
          </cell>
        </row>
        <row r="4">
          <cell r="B4" t="str">
            <v>31 January 2016</v>
          </cell>
        </row>
        <row r="5">
          <cell r="B5" t="str">
            <v>1 September 2015</v>
          </cell>
        </row>
        <row r="6">
          <cell r="B6" t="str">
            <v>31 December 2015</v>
          </cell>
        </row>
      </sheetData>
      <sheetData sheetId="3"/>
      <sheetData sheetId="4"/>
      <sheetData sheetId="5"/>
      <sheetData sheetId="6"/>
      <sheetData sheetId="7"/>
      <sheetData sheetId="8"/>
      <sheetData sheetId="9"/>
      <sheetData sheetId="10"/>
      <sheetData sheetId="11"/>
      <sheetData sheetId="12">
        <row r="92">
          <cell r="AC92" t="str">
            <v>All schools</v>
          </cell>
        </row>
        <row r="93">
          <cell r="AC93" t="str">
            <v>Nursery</v>
          </cell>
        </row>
        <row r="94">
          <cell r="AC94" t="str">
            <v>Primary</v>
          </cell>
        </row>
        <row r="95">
          <cell r="AC95" t="str">
            <v>Secondary</v>
          </cell>
        </row>
        <row r="96">
          <cell r="AC96" t="str">
            <v>Special</v>
          </cell>
        </row>
        <row r="97">
          <cell r="AC97" t="str">
            <v>PRU</v>
          </cell>
        </row>
      </sheetData>
      <sheetData sheetId="13"/>
      <sheetData sheetId="14"/>
      <sheetData sheetId="15"/>
      <sheetData sheetId="16"/>
      <sheetData sheetId="17"/>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M by type"/>
      <sheetName val="Denom"/>
      <sheetName val="Phase by size"/>
      <sheetName val="Chartdatalatest"/>
      <sheetName val="crosstablatest"/>
      <sheetName val="LatestFilteredData"/>
      <sheetName val="LatestFilterCriteria"/>
      <sheetName val="crosstab"/>
      <sheetName val="FilterCriteria"/>
      <sheetName val="FilteredData"/>
      <sheetName val="latestFilteredCharData"/>
      <sheetName val="categories "/>
      <sheetName val="latestCharPivotdata"/>
      <sheetName val="CharPivotdata"/>
      <sheetName val="latestCharpivot"/>
      <sheetName val="Charpivot"/>
      <sheetName val="FilteredCharData"/>
      <sheetName val="Characteristicfilter"/>
      <sheetName val="DataForBreakdown"/>
      <sheetName val="characteristicsdata"/>
      <sheetName val="latestRegionBreakdown"/>
      <sheetName val="latestcharacteristicsdata"/>
      <sheetName val="Chapter1&amp;2 BaseData"/>
      <sheetName val="Allsection5"/>
      <sheetName val="LatestJudgements(S5)"/>
      <sheetName val="LatestJudgements(S5)old"/>
      <sheetName val="Chartdata"/>
      <sheetName val="AllS5byRegion"/>
      <sheetName val="LatestS5byRegion"/>
      <sheetName val="AllByCharacteristics"/>
      <sheetName val="LatestByCharacteristics"/>
      <sheetName val="Desk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E1" t="str">
            <v>All</v>
          </cell>
          <cell r="F1" t="str">
            <v>All</v>
          </cell>
        </row>
        <row r="2">
          <cell r="E2" t="str">
            <v>North</v>
          </cell>
          <cell r="F2" t="str">
            <v>East Midlands</v>
          </cell>
        </row>
        <row r="3">
          <cell r="E3" t="str">
            <v>South</v>
          </cell>
          <cell r="F3" t="str">
            <v>East of England</v>
          </cell>
        </row>
        <row r="4">
          <cell r="E4" t="str">
            <v>Midlands</v>
          </cell>
          <cell r="F4" t="str">
            <v>London</v>
          </cell>
        </row>
        <row r="5">
          <cell r="F5" t="str">
            <v>North East</v>
          </cell>
        </row>
        <row r="6">
          <cell r="F6" t="str">
            <v>North West</v>
          </cell>
        </row>
        <row r="7">
          <cell r="F7" t="str">
            <v>South East</v>
          </cell>
        </row>
        <row r="8">
          <cell r="F8" t="str">
            <v>South West</v>
          </cell>
        </row>
        <row r="9">
          <cell r="F9" t="str">
            <v>West Midlands</v>
          </cell>
        </row>
        <row r="10">
          <cell r="F10" t="str">
            <v>Yorkshire and The Humber</v>
          </cell>
        </row>
      </sheetData>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otes"/>
      <sheetName val="Contents"/>
      <sheetName val="VLOOKUPS"/>
      <sheetName val="Dates1"/>
      <sheetName val="T1 In-year inspections"/>
      <sheetName val="T2 In-year short inspections"/>
      <sheetName val="T3 In-year outcomes"/>
      <sheetName val="T2 Outcomes this year (2)"/>
      <sheetName val="INSTRUCTIONS"/>
      <sheetName val="T3a Prison outcomes"/>
      <sheetName val="T4 Most recent outcomes"/>
      <sheetName val="C1 In-year judgement outcomes"/>
      <sheetName val="C2 In-year provider outcomes"/>
      <sheetName val="C3 In-year outcomes over time"/>
      <sheetName val="C4 In-year grade 3 outcomes"/>
      <sheetName val="C5 Most recent outcomes"/>
      <sheetName val="C6 Most recent over time"/>
      <sheetName val="Pivots"/>
      <sheetName val="Dataset 1 (all)"/>
      <sheetName val="Dataset 1 (all) (SHORT inc)"/>
      <sheetName val="In-year data"/>
      <sheetName val="In-year prisons"/>
      <sheetName val="Sheet2"/>
      <sheetName val="Most recent insp"/>
      <sheetName val="Lookups"/>
      <sheetName val="References"/>
      <sheetName val="D1 In-year inspection data"/>
      <sheetName val="In-year historical (1H)"/>
      <sheetName val="D2 In-year historical data"/>
      <sheetName val="D3 Most recent inspection data"/>
      <sheetName val="Further_education_and_skills_in"/>
    </sheetNames>
    <sheetDataSet>
      <sheetData sheetId="0" refreshError="1"/>
      <sheetData sheetId="1" refreshError="1"/>
      <sheetData sheetId="2"/>
      <sheetData sheetId="3" refreshError="1"/>
      <sheetData sheetId="4">
        <row r="3">
          <cell r="E3" t="str">
            <v>1 September 2015</v>
          </cell>
        </row>
        <row r="4">
          <cell r="E4" t="str">
            <v>31 August 2016</v>
          </cell>
        </row>
        <row r="7">
          <cell r="E7" t="str">
            <v>1 September 2015 to 31 August 2016</v>
          </cell>
        </row>
      </sheetData>
      <sheetData sheetId="5"/>
      <sheetData sheetId="6"/>
      <sheetData sheetId="7">
        <row r="5">
          <cell r="D5" t="str">
            <v>&lt;All providers&gt;</v>
          </cell>
        </row>
        <row r="7">
          <cell r="D7" t="str">
            <v>&lt;All&gt;</v>
          </cell>
        </row>
      </sheetData>
      <sheetData sheetId="8" refreshError="1"/>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ow r="2">
          <cell r="B2" t="str">
            <v>Column for reporting</v>
          </cell>
          <cell r="C2" t="str">
            <v>Column in data</v>
          </cell>
          <cell r="F2" t="str">
            <v>Colleges</v>
          </cell>
          <cell r="G2" t="str">
            <v>Independent specialist colleges</v>
          </cell>
          <cell r="H2" t="str">
            <v>Independent learning providers</v>
          </cell>
          <cell r="I2" t="str">
            <v>Community learning and skills providers</v>
          </cell>
          <cell r="J2" t="str">
            <v>16-19 academies</v>
          </cell>
          <cell r="K2" t="str">
            <v>Dance and drama colleges</v>
          </cell>
          <cell r="L2" t="str">
            <v>Higher education institutions</v>
          </cell>
          <cell r="M2" t="str">
            <v>National Careers Service contractors</v>
          </cell>
        </row>
        <row r="3">
          <cell r="B3" t="str">
            <v>&lt;All providers&gt;</v>
          </cell>
          <cell r="C3" t="str">
            <v>&lt;All providers&gt;</v>
          </cell>
        </row>
        <row r="4">
          <cell r="B4" t="str">
            <v>Colleges</v>
          </cell>
          <cell r="C4" t="str">
            <v>Colleges</v>
          </cell>
        </row>
        <row r="5">
          <cell r="B5" t="str">
            <v>Independent specialist colleges</v>
          </cell>
          <cell r="C5" t="str">
            <v>Independent specialist colleges</v>
          </cell>
        </row>
        <row r="6">
          <cell r="B6" t="str">
            <v>Independent learning providers</v>
          </cell>
          <cell r="C6" t="str">
            <v>Independent learning providers (including employer providers)</v>
          </cell>
        </row>
        <row r="7">
          <cell r="B7" t="str">
            <v>Community learning and skills providers</v>
          </cell>
          <cell r="C7" t="str">
            <v>Community learning and skills providers</v>
          </cell>
        </row>
        <row r="8">
          <cell r="B8" t="str">
            <v>16-19 academies</v>
          </cell>
          <cell r="C8" t="str">
            <v>16-19 Academies</v>
          </cell>
        </row>
        <row r="9">
          <cell r="B9" t="str">
            <v>Dance and drama colleges</v>
          </cell>
          <cell r="C9" t="str">
            <v>Dance and drama colleges</v>
          </cell>
        </row>
        <row r="10">
          <cell r="B10" t="str">
            <v>Higher education institutions</v>
          </cell>
          <cell r="C10" t="str">
            <v>Higher education institutions</v>
          </cell>
        </row>
        <row r="11">
          <cell r="B11" t="str">
            <v>National Careers Service contractors</v>
          </cell>
          <cell r="C11" t="str">
            <v>National Careers Service Contractors</v>
          </cell>
        </row>
      </sheetData>
      <sheetData sheetId="26" refreshError="1"/>
      <sheetData sheetId="27">
        <row r="1">
          <cell r="A1" t="str">
            <v>Data 1: In-year inspection data</v>
          </cell>
        </row>
      </sheetData>
      <sheetData sheetId="28" refreshError="1"/>
      <sheetData sheetId="29"/>
      <sheetData sheetId="30" refreshError="1"/>
      <sheetData sheetId="3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s>
    <sheetDataSet>
      <sheetData sheetId="0"/>
      <sheetData sheetId="1">
        <row r="1">
          <cell r="J1" t="str">
            <v>Amy B</v>
          </cell>
        </row>
        <row r="2">
          <cell r="J2" t="str">
            <v>Andrew K</v>
          </cell>
        </row>
        <row r="3">
          <cell r="J3" t="str">
            <v>Bhupinder B</v>
          </cell>
        </row>
        <row r="4">
          <cell r="J4" t="str">
            <v>Carol D</v>
          </cell>
        </row>
        <row r="5">
          <cell r="J5" t="str">
            <v>Caroline C</v>
          </cell>
        </row>
        <row r="6">
          <cell r="J6" t="str">
            <v>Chris S</v>
          </cell>
        </row>
        <row r="7">
          <cell r="J7" t="str">
            <v>Chris Senior</v>
          </cell>
        </row>
        <row r="8">
          <cell r="J8" t="str">
            <v>Chris W</v>
          </cell>
        </row>
        <row r="9">
          <cell r="J9" t="str">
            <v>Colin K</v>
          </cell>
        </row>
        <row r="10">
          <cell r="J10" t="str">
            <v>Debbie K</v>
          </cell>
        </row>
        <row r="11">
          <cell r="J11" t="str">
            <v>Emma M</v>
          </cell>
        </row>
        <row r="12">
          <cell r="J12" t="str">
            <v>Gail B</v>
          </cell>
        </row>
        <row r="13">
          <cell r="J13" t="str">
            <v>Gill P</v>
          </cell>
        </row>
        <row r="14">
          <cell r="J14" t="str">
            <v>Helen W</v>
          </cell>
        </row>
        <row r="15">
          <cell r="J15" t="str">
            <v>Holly T</v>
          </cell>
        </row>
        <row r="16">
          <cell r="J16" t="str">
            <v>Ian A</v>
          </cell>
        </row>
        <row r="17">
          <cell r="J17" t="str">
            <v>Jackie B</v>
          </cell>
        </row>
        <row r="18">
          <cell r="J18" t="str">
            <v>Jane H</v>
          </cell>
        </row>
        <row r="19">
          <cell r="J19" t="str">
            <v>Jane S</v>
          </cell>
        </row>
        <row r="20">
          <cell r="J20" t="str">
            <v>Janet Miller</v>
          </cell>
        </row>
        <row r="21">
          <cell r="J21" t="str">
            <v>Janet P</v>
          </cell>
        </row>
        <row r="22">
          <cell r="J22" t="str">
            <v>John A-H</v>
          </cell>
        </row>
        <row r="23">
          <cell r="J23" t="str">
            <v>Kayleigh Walker</v>
          </cell>
        </row>
        <row r="24">
          <cell r="J24" t="str">
            <v>Louise G</v>
          </cell>
        </row>
        <row r="25">
          <cell r="J25" t="str">
            <v>Lyn H</v>
          </cell>
        </row>
        <row r="26">
          <cell r="J26" t="str">
            <v>Maria Whiting</v>
          </cell>
        </row>
        <row r="27">
          <cell r="J27" t="str">
            <v>Max G</v>
          </cell>
        </row>
        <row r="28">
          <cell r="J28" t="str">
            <v>Melissia</v>
          </cell>
        </row>
        <row r="29">
          <cell r="J29" t="str">
            <v>Paul S</v>
          </cell>
        </row>
        <row r="30">
          <cell r="J30" t="str">
            <v>Susan P</v>
          </cell>
        </row>
        <row r="31">
          <cell r="J31" t="str">
            <v>Tracy B</v>
          </cell>
        </row>
        <row r="32">
          <cell r="J32" t="str">
            <v>Viv Miller</v>
          </cell>
        </row>
      </sheetData>
      <sheetData sheetId="2"/>
      <sheetData sheetId="3"/>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Stuart Lloyd" refreshedDate="43109.55428449074" createdVersion="5" refreshedVersion="5" minRefreshableVersion="3" recordCount="99">
  <cacheSource type="worksheet">
    <worksheetSource ref="A4:AF103" sheet="D1 In-year inspection data"/>
  </cacheSource>
  <cacheFields count="32">
    <cacheField name="Web link" numFmtId="0">
      <sharedItems/>
    </cacheField>
    <cacheField name="Provider URN" numFmtId="0">
      <sharedItems containsSemiMixedTypes="0" containsString="0" containsNumber="1" containsInteger="1" minValue="50128" maxValue="1237204"/>
    </cacheField>
    <cacheField name="Provider UKPRN" numFmtId="0">
      <sharedItems containsSemiMixedTypes="0" containsString="0" containsNumber="1" containsInteger="1" minValue="10000020" maxValue="10065146"/>
    </cacheField>
    <cacheField name="Provider name" numFmtId="49">
      <sharedItems/>
    </cacheField>
    <cacheField name="Provider type" numFmtId="49">
      <sharedItems count="12">
        <s v="Local authority provider"/>
        <s v="Sixth form college"/>
        <s v="General further education college"/>
        <s v="Not for profit organisation"/>
        <s v="Independent learning provider"/>
        <s v="Independent specialist college"/>
        <s v="Higher education institution"/>
        <s v="Employer provider"/>
        <s v="16-19 academy converter"/>
        <s v="16-19 free school"/>
        <s v="Specialist further education college"/>
        <s v="Specialist designated institution"/>
      </sharedItems>
    </cacheField>
    <cacheField name="Provider group" numFmtId="49">
      <sharedItems/>
    </cacheField>
    <cacheField name="Local authority" numFmtId="49">
      <sharedItems/>
    </cacheField>
    <cacheField name="Region" numFmtId="49">
      <sharedItems/>
    </cacheField>
    <cacheField name="Ofsted region" numFmtId="49">
      <sharedItems/>
    </cacheField>
    <cacheField name="Inspection number" numFmtId="1">
      <sharedItems containsSemiMixedTypes="0" containsString="0" containsNumber="1" containsInteger="1" minValue="10020120" maxValue="10041471"/>
    </cacheField>
    <cacheField name="Inspection type" numFmtId="0">
      <sharedItems/>
    </cacheField>
    <cacheField name="Inspection type group" numFmtId="0">
      <sharedItems count="3">
        <s v="Full inspection"/>
        <s v="Short inspection"/>
        <s v="Full inspection (short converted)"/>
      </sharedItems>
    </cacheField>
    <cacheField name="Did the short inspection convert to a full inspection?" numFmtId="0">
      <sharedItems/>
    </cacheField>
    <cacheField name="First day of inspection" numFmtId="14">
      <sharedItems containsSemiMixedTypes="0" containsNonDate="0" containsDate="1" containsString="0" minDate="2017-09-11T00:00:00" maxDate="2017-11-29T00:00:00"/>
    </cacheField>
    <cacheField name="Last day of inspection" numFmtId="14">
      <sharedItems containsSemiMixedTypes="0" containsNonDate="0" containsDate="1" containsString="0" minDate="2017-09-12T00:00:00" maxDate="2017-11-30T00:00:00"/>
    </cacheField>
    <cacheField name="Date published" numFmtId="164">
      <sharedItems containsSemiMixedTypes="0" containsNonDate="0" containsDate="1" containsString="0" minDate="2017-10-09T00:00:00" maxDate="2017-12-23T00:00:00"/>
    </cacheField>
    <cacheField name="Overall effectiveness" numFmtId="0">
      <sharedItems containsSemiMixedTypes="0" containsString="0" containsNumber="1" containsInteger="1" minValue="1" maxValue="9" count="5">
        <n v="3"/>
        <n v="9"/>
        <n v="1"/>
        <n v="2"/>
        <n v="4"/>
      </sharedItems>
    </cacheField>
    <cacheField name="Outcomes for learners" numFmtId="0">
      <sharedItems containsMixedTypes="1" containsNumber="1" containsInteger="1" minValue="1" maxValue="4"/>
    </cacheField>
    <cacheField name="Quality of teaching, learning and assessment" numFmtId="0">
      <sharedItems containsMixedTypes="1" containsNumber="1" containsInteger="1" minValue="1" maxValue="4"/>
    </cacheField>
    <cacheField name="Personal development, behaviour and welfare" numFmtId="0">
      <sharedItems containsMixedTypes="1" containsNumber="1" containsInteger="1" minValue="1" maxValue="4"/>
    </cacheField>
    <cacheField name="Effectiveness of leadership and management" numFmtId="0">
      <sharedItems containsMixedTypes="1" containsNumber="1" containsInteger="1" minValue="1" maxValue="4"/>
    </cacheField>
    <cacheField name="Full-time provision for 14 to 16-year-olds" numFmtId="0">
      <sharedItems containsMixedTypes="1" containsNumber="1" containsInteger="1" minValue="3" maxValue="3"/>
    </cacheField>
    <cacheField name="16 to 19 study programmes" numFmtId="0">
      <sharedItems containsMixedTypes="1" containsNumber="1" containsInteger="1" minValue="1" maxValue="4"/>
    </cacheField>
    <cacheField name="Adult learning programmes" numFmtId="0">
      <sharedItems containsMixedTypes="1" containsNumber="1" containsInteger="1" minValue="1" maxValue="4"/>
    </cacheField>
    <cacheField name="Traineeships" numFmtId="0">
      <sharedItems containsMixedTypes="1" containsNumber="1" containsInteger="1" minValue="1" maxValue="3"/>
    </cacheField>
    <cacheField name="Apprenticeships" numFmtId="0">
      <sharedItems containsMixedTypes="1" containsNumber="1" containsInteger="1" minValue="1" maxValue="4"/>
    </cacheField>
    <cacheField name="Provision for learners with high needs" numFmtId="0">
      <sharedItems containsMixedTypes="1" containsNumber="1" containsInteger="1" minValue="1" maxValue="3"/>
    </cacheField>
    <cacheField name="Is safeguarding effective?" numFmtId="0">
      <sharedItems/>
    </cacheField>
    <cacheField name="Previous inspection number" numFmtId="0">
      <sharedItems containsMixedTypes="1" containsNumber="1" containsInteger="1" minValue="10004667" maxValue="10021962"/>
    </cacheField>
    <cacheField name="Previous last day of inspection" numFmtId="0">
      <sharedItems containsDate="1" containsMixedTypes="1" minDate="2006-02-24T00:00:00" maxDate="2016-10-08T00:00:00"/>
    </cacheField>
    <cacheField name="Previous overall effectiveness" numFmtId="0">
      <sharedItems containsMixedTypes="1" containsNumber="1" containsInteger="1" minValue="1" maxValue="4"/>
    </cacheField>
    <cacheField name="Improved/   declined/ stayed the same"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Stuart Lloyd" refreshedDate="43109.554732407407" createdVersion="5" refreshedVersion="5" minRefreshableVersion="3" recordCount="1314">
  <cacheSource type="worksheet">
    <worksheetSource ref="A4:AC1318" sheet="D2 Most recent inspection data"/>
  </cacheSource>
  <cacheFields count="29">
    <cacheField name="Web link" numFmtId="0">
      <sharedItems/>
    </cacheField>
    <cacheField name="Provider URN" numFmtId="0">
      <sharedItems containsSemiMixedTypes="0" containsString="0" containsNumber="1" containsInteger="1" minValue="50009" maxValue="1272201"/>
    </cacheField>
    <cacheField name="Provider UKPRN" numFmtId="0">
      <sharedItems containsSemiMixedTypes="0" containsString="0" containsNumber="1" containsInteger="1" minValue="10000020" maxValue="10065942"/>
    </cacheField>
    <cacheField name="Provider name" numFmtId="49">
      <sharedItems/>
    </cacheField>
    <cacheField name="Provider type" numFmtId="49">
      <sharedItems count="16">
        <s v="Dance and drama college"/>
        <s v="Independent learning provider"/>
        <s v="Local authority provider"/>
        <s v="Not for profit organisation"/>
        <s v="Employer provider"/>
        <s v="National Careers Service contractor"/>
        <s v="Independent specialist college"/>
        <s v="Specialist designated institution"/>
        <s v="General further education college"/>
        <s v="Sixth form college"/>
        <s v="Specialist further education college"/>
        <s v="Higher education institution"/>
        <s v="16-19 free school"/>
        <s v="16-19 academy converter"/>
        <s v="16-19 academy sponsor led"/>
        <s v="NULL" u="1"/>
      </sharedItems>
    </cacheField>
    <cacheField name="Provider group" numFmtId="49">
      <sharedItems/>
    </cacheField>
    <cacheField name="Local authority" numFmtId="49">
      <sharedItems/>
    </cacheField>
    <cacheField name="Region" numFmtId="49">
      <sharedItems/>
    </cacheField>
    <cacheField name="Ofsted region" numFmtId="49">
      <sharedItems/>
    </cacheField>
    <cacheField name="Date of latest short inspection" numFmtId="14">
      <sharedItems containsDate="1" containsMixedTypes="1" minDate="2015-09-24T00:00:00" maxDate="2017-11-30T00:00:00"/>
    </cacheField>
    <cacheField name="Number of short inspections since last full inspection" numFmtId="0">
      <sharedItems containsMixedTypes="1" containsNumber="1" containsInteger="1" minValue="1" maxValue="1"/>
    </cacheField>
    <cacheField name="Inspection number" numFmtId="0">
      <sharedItems containsMixedTypes="1" containsNumber="1" containsInteger="1" minValue="10004672" maxValue="10041328"/>
    </cacheField>
    <cacheField name="Inspection type" numFmtId="49">
      <sharedItems/>
    </cacheField>
    <cacheField name="First day of inspection" numFmtId="14">
      <sharedItems containsDate="1" containsMixedTypes="1" minDate="2006-01-19T00:00:00" maxDate="2017-11-22T00:00:00"/>
    </cacheField>
    <cacheField name="Last day of inspection" numFmtId="14">
      <sharedItems containsDate="1" containsMixedTypes="1" minDate="2006-01-19T00:00:00" maxDate="2017-11-25T00:00:00"/>
    </cacheField>
    <cacheField name="Date published" numFmtId="0">
      <sharedItems containsDate="1" containsMixedTypes="1" minDate="2006-02-17T00:00:00" maxDate="2017-12-23T00:00:00"/>
    </cacheField>
    <cacheField name="Overall effectiveness" numFmtId="0">
      <sharedItems containsMixedTypes="1" containsNumber="1" containsInteger="1" minValue="1" maxValue="4" count="6">
        <n v="2"/>
        <n v="1"/>
        <n v="3"/>
        <s v="-"/>
        <n v="4"/>
        <s v="NULL"/>
      </sharedItems>
    </cacheField>
    <cacheField name="Outcomes for learners" numFmtId="0">
      <sharedItems containsMixedTypes="1" containsNumber="1" containsInteger="1" minValue="1" maxValue="4"/>
    </cacheField>
    <cacheField name="Quality of teaching, learning and assessment" numFmtId="0">
      <sharedItems containsMixedTypes="1" containsNumber="1" containsInteger="1" minValue="1" maxValue="4"/>
    </cacheField>
    <cacheField name="Personal development, behaviour and welfare" numFmtId="0">
      <sharedItems containsMixedTypes="1" containsNumber="1" containsInteger="1" minValue="1" maxValue="4"/>
    </cacheField>
    <cacheField name="Effectiveness of leadership and management" numFmtId="0">
      <sharedItems containsMixedTypes="1" containsNumber="1" containsInteger="1" minValue="1" maxValue="4"/>
    </cacheField>
    <cacheField name="Previous inspection number" numFmtId="0">
      <sharedItems containsMixedTypes="1" containsNumber="1" containsInteger="1" minValue="10004663" maxValue="10021962"/>
    </cacheField>
    <cacheField name="Previous last day of inspection" numFmtId="14">
      <sharedItems containsDate="1" containsMixedTypes="1" minDate="2005-09-02T00:00:00" maxDate="2016-10-08T00:00:00"/>
    </cacheField>
    <cacheField name="Previous overall effectiveness" numFmtId="0">
      <sharedItems containsMixedTypes="1" containsNumber="1" containsInteger="1" minValue="1" maxValue="4"/>
    </cacheField>
    <cacheField name="Previous outcomes for learners" numFmtId="0">
      <sharedItems containsMixedTypes="1" containsNumber="1" containsInteger="1" minValue="1" maxValue="4"/>
    </cacheField>
    <cacheField name="Previous quality of teaching, learning and assessment" numFmtId="0">
      <sharedItems containsMixedTypes="1" containsNumber="1" containsInteger="1" minValue="1" maxValue="4"/>
    </cacheField>
    <cacheField name="Previous personal development, behaviour and welfare" numFmtId="0">
      <sharedItems containsMixedTypes="1" containsNumber="1" containsInteger="1" minValue="2" maxValue="4"/>
    </cacheField>
    <cacheField name="Previous effectiveness of leadership and management" numFmtId="0">
      <sharedItems containsMixedTypes="1" containsNumber="1" containsInteger="1" minValue="1" maxValue="4"/>
    </cacheField>
    <cacheField name="Improved/_x000a_declined/_x000a_stayed the same"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9">
  <r>
    <s v="Ofsted Webpage"/>
    <n v="53325"/>
    <n v="10003996"/>
    <s v="Merton Adult Education"/>
    <x v="0"/>
    <s v="Community learning and skills providers"/>
    <s v="Merton"/>
    <s v="London"/>
    <s v="London"/>
    <n v="10037413"/>
    <s v="Community Learning and Skills - Local authority - Requires Improvement"/>
    <x v="0"/>
    <s v="-"/>
    <d v="2017-11-13T00:00:00"/>
    <d v="2017-11-16T00:00:00"/>
    <d v="2017-12-22T00:00:00"/>
    <x v="0"/>
    <n v="3"/>
    <n v="3"/>
    <n v="2"/>
    <n v="3"/>
    <s v="-"/>
    <s v="-"/>
    <n v="3"/>
    <s v="-"/>
    <s v="-"/>
    <s v="-"/>
    <s v="Yes"/>
    <n v="10004968"/>
    <d v="2015-11-20T00:00:00"/>
    <n v="3"/>
    <s v="Stayed the Same"/>
  </r>
  <r>
    <s v="Ofsted Webpage"/>
    <n v="52137"/>
    <n v="10002916"/>
    <s v="Hartlepool Borough Council"/>
    <x v="0"/>
    <s v="Community learning and skills providers"/>
    <s v="Hartlepool"/>
    <s v="North East"/>
    <s v="North East, Yorkshire and the Humber"/>
    <n v="10037354"/>
    <s v="Community Learning and Skills - Local authority - Short"/>
    <x v="1"/>
    <s v="No"/>
    <d v="2017-11-22T00:00:00"/>
    <d v="2017-11-23T00:00:00"/>
    <d v="2017-12-22T00:00:00"/>
    <x v="1"/>
    <s v="-"/>
    <s v="-"/>
    <s v="-"/>
    <s v="-"/>
    <s v="-"/>
    <s v="-"/>
    <s v="-"/>
    <s v="-"/>
    <s v="-"/>
    <s v="-"/>
    <s v="Yes"/>
    <s v="ITS423416"/>
    <d v="2013-12-06T00:00:00"/>
    <n v="2"/>
    <s v="Not Applicable"/>
  </r>
  <r>
    <s v="Ofsted Webpage"/>
    <n v="130468"/>
    <n v="10003511"/>
    <s v="Joseph Chamberlain Sixth Form College"/>
    <x v="1"/>
    <s v="Colleges"/>
    <s v="Birmingham"/>
    <s v="West Midlands"/>
    <s v="West Midlands"/>
    <n v="10037331"/>
    <s v="SFC - Full"/>
    <x v="2"/>
    <s v="Yes"/>
    <d v="2017-11-07T00:00:00"/>
    <d v="2017-11-10T00:00:00"/>
    <d v="2017-12-21T00:00:00"/>
    <x v="2"/>
    <n v="1"/>
    <n v="1"/>
    <n v="1"/>
    <n v="1"/>
    <s v="-"/>
    <n v="1"/>
    <n v="1"/>
    <s v="-"/>
    <s v="-"/>
    <s v="-"/>
    <s v="Yes"/>
    <s v="ITS430285"/>
    <d v="2014-09-19T00:00:00"/>
    <n v="2"/>
    <s v="Improved"/>
  </r>
  <r>
    <s v="Ofsted Webpage"/>
    <n v="130484"/>
    <n v="10007578"/>
    <s v="City of Wolverhampton College"/>
    <x v="2"/>
    <s v="Colleges"/>
    <s v="Wolverhampton"/>
    <s v="West Midlands"/>
    <s v="West Midlands"/>
    <n v="10037362"/>
    <s v="FE College - Full"/>
    <x v="0"/>
    <s v="-"/>
    <d v="2017-11-14T00:00:00"/>
    <d v="2017-11-17T00:00:00"/>
    <d v="2017-12-21T00:00:00"/>
    <x v="3"/>
    <n v="2"/>
    <n v="2"/>
    <n v="2"/>
    <n v="2"/>
    <s v="-"/>
    <n v="2"/>
    <n v="2"/>
    <s v="-"/>
    <n v="3"/>
    <n v="2"/>
    <s v="Yes"/>
    <s v="ITS430270"/>
    <d v="2014-10-24T00:00:00"/>
    <n v="2"/>
    <s v="Stayed the Same"/>
  </r>
  <r>
    <s v="Ofsted Webpage"/>
    <n v="52410"/>
    <n v="10003206"/>
    <s v="Humberside Engineering Training Association Limited"/>
    <x v="3"/>
    <s v="Community learning and skills providers"/>
    <s v="Kingston upon Hull"/>
    <s v="Yorkshire and The Humber"/>
    <s v="North East, Yorkshire and the Humber"/>
    <n v="10037335"/>
    <s v="Community Learning and Skills - Not for profit organisation - Short"/>
    <x v="1"/>
    <s v="No"/>
    <d v="2017-11-15T00:00:00"/>
    <d v="2017-11-16T00:00:00"/>
    <d v="2017-12-21T00:00:00"/>
    <x v="1"/>
    <s v="-"/>
    <s v="-"/>
    <s v="-"/>
    <s v="-"/>
    <s v="-"/>
    <s v="-"/>
    <s v="-"/>
    <s v="-"/>
    <s v="-"/>
    <s v="-"/>
    <s v="Yes"/>
    <s v="ITS423753"/>
    <d v="2013-11-08T00:00:00"/>
    <n v="2"/>
    <s v="Not Applicable"/>
  </r>
  <r>
    <s v="Ofsted Webpage"/>
    <n v="58385"/>
    <n v="10019293"/>
    <s v="Asphaleia Limited"/>
    <x v="4"/>
    <s v="Independent learning providers (including employer providers)"/>
    <s v="West Sussex"/>
    <s v="South East"/>
    <s v="South East"/>
    <n v="10030690"/>
    <s v="Independent Learning Provider (Regional) - Requires Improvement"/>
    <x v="0"/>
    <s v="-"/>
    <d v="2017-11-21T00:00:00"/>
    <d v="2017-11-23T00:00:00"/>
    <d v="2017-12-21T00:00:00"/>
    <x v="3"/>
    <n v="2"/>
    <n v="2"/>
    <n v="2"/>
    <n v="2"/>
    <s v="-"/>
    <n v="2"/>
    <s v="-"/>
    <s v="-"/>
    <s v="-"/>
    <s v="-"/>
    <s v="Yes"/>
    <n v="10005060"/>
    <d v="2015-12-11T00:00:00"/>
    <n v="3"/>
    <s v="Improved"/>
  </r>
  <r>
    <s v="Ofsted Webpage"/>
    <n v="130621"/>
    <n v="10004144"/>
    <s v="Macclesfield College"/>
    <x v="2"/>
    <s v="Colleges"/>
    <s v="Cheshire East"/>
    <s v="North West"/>
    <s v="North West"/>
    <n v="10039831"/>
    <s v="FE College - Requires improvement"/>
    <x v="0"/>
    <s v="-"/>
    <d v="2017-11-20T00:00:00"/>
    <d v="2017-11-23T00:00:00"/>
    <d v="2017-12-21T00:00:00"/>
    <x v="3"/>
    <n v="2"/>
    <n v="2"/>
    <n v="2"/>
    <n v="2"/>
    <s v="-"/>
    <n v="2"/>
    <n v="3"/>
    <s v="-"/>
    <n v="2"/>
    <s v="-"/>
    <s v="Yes"/>
    <n v="10011427"/>
    <d v="2016-05-27T00:00:00"/>
    <n v="3"/>
    <s v="Improved"/>
  </r>
  <r>
    <s v="Ofsted Webpage"/>
    <n v="139251"/>
    <n v="10040375"/>
    <s v="Lakeside Early Adult Provision - Leap College (Wargrave House Ltd)"/>
    <x v="5"/>
    <s v="Independent specialist colleges"/>
    <s v="St Helens"/>
    <s v="North West"/>
    <s v="North West"/>
    <n v="10038320"/>
    <s v="ISC - Requires improvement"/>
    <x v="0"/>
    <s v="-"/>
    <d v="2017-11-13T00:00:00"/>
    <d v="2017-11-15T00:00:00"/>
    <d v="2017-12-20T00:00:00"/>
    <x v="0"/>
    <n v="3"/>
    <n v="3"/>
    <n v="3"/>
    <n v="3"/>
    <s v="-"/>
    <s v="-"/>
    <s v="-"/>
    <s v="-"/>
    <s v="-"/>
    <n v="3"/>
    <s v="Yes"/>
    <n v="10004820"/>
    <d v="2016-01-21T00:00:00"/>
    <n v="3"/>
    <s v="Stayed the Same"/>
  </r>
  <r>
    <s v="Ofsted Webpage"/>
    <n v="130474"/>
    <n v="10003029"/>
    <s v="Hereward College of Further Education"/>
    <x v="2"/>
    <s v="Colleges"/>
    <s v="Coventry"/>
    <s v="West Midlands"/>
    <s v="West Midlands"/>
    <n v="10037387"/>
    <s v="FE College - Reinspection"/>
    <x v="0"/>
    <s v="-"/>
    <d v="2017-11-21T00:00:00"/>
    <d v="2017-11-24T00:00:00"/>
    <d v="2017-12-20T00:00:00"/>
    <x v="3"/>
    <n v="2"/>
    <n v="2"/>
    <n v="2"/>
    <n v="2"/>
    <s v="-"/>
    <s v="-"/>
    <s v="-"/>
    <s v="-"/>
    <s v="-"/>
    <n v="2"/>
    <s v="Yes"/>
    <n v="10021962"/>
    <d v="2016-10-07T00:00:00"/>
    <n v="4"/>
    <s v="Improved"/>
  </r>
  <r>
    <s v="Ofsted Webpage"/>
    <n v="130761"/>
    <n v="10000812"/>
    <s v="Boston College"/>
    <x v="2"/>
    <s v="Colleges"/>
    <s v="Lincolnshire"/>
    <s v="East Midlands"/>
    <s v="East Midlands"/>
    <n v="10038316"/>
    <s v="FE College - Short"/>
    <x v="1"/>
    <s v="No"/>
    <d v="2017-11-15T00:00:00"/>
    <d v="2017-11-16T00:00:00"/>
    <d v="2017-12-20T00:00:00"/>
    <x v="1"/>
    <s v="-"/>
    <s v="-"/>
    <s v="-"/>
    <s v="-"/>
    <s v="-"/>
    <s v="-"/>
    <s v="-"/>
    <s v="-"/>
    <s v="-"/>
    <s v="-"/>
    <s v="Yes"/>
    <s v="ITS429285"/>
    <d v="2014-06-06T00:00:00"/>
    <n v="2"/>
    <s v="Not Applicable"/>
  </r>
  <r>
    <s v="Ofsted Webpage"/>
    <n v="52533"/>
    <n v="10003385"/>
    <s v="IPS International Limited"/>
    <x v="4"/>
    <s v="Independent learning providers (including employer providers)"/>
    <s v="Medway"/>
    <s v="South East"/>
    <s v="South East"/>
    <n v="10037412"/>
    <s v="Independent Learning Provider (Regional) - Requires Improvement"/>
    <x v="0"/>
    <s v="-"/>
    <d v="2017-11-14T00:00:00"/>
    <d v="2017-11-17T00:00:00"/>
    <d v="2017-12-20T00:00:00"/>
    <x v="3"/>
    <n v="2"/>
    <n v="2"/>
    <n v="2"/>
    <n v="2"/>
    <s v="-"/>
    <s v="-"/>
    <n v="2"/>
    <s v="-"/>
    <n v="2"/>
    <s v="-"/>
    <s v="Yes"/>
    <n v="10004934"/>
    <d v="2016-03-17T00:00:00"/>
    <n v="3"/>
    <s v="Improved"/>
  </r>
  <r>
    <s v="Ofsted Webpage"/>
    <n v="50809"/>
    <n v="10000848"/>
    <s v="Appris Charity Limited"/>
    <x v="3"/>
    <s v="Community learning and skills providers"/>
    <s v="Bradford"/>
    <s v="Yorkshire and The Humber"/>
    <s v="North East, Yorkshire and the Humber"/>
    <n v="10030671"/>
    <s v="Community Learning and Skills - Not for profit organisation - Requires Improvement"/>
    <x v="0"/>
    <s v="-"/>
    <d v="2017-11-14T00:00:00"/>
    <d v="2017-11-17T00:00:00"/>
    <d v="2017-12-19T00:00:00"/>
    <x v="3"/>
    <n v="2"/>
    <n v="2"/>
    <n v="1"/>
    <n v="2"/>
    <s v="-"/>
    <s v="-"/>
    <s v="-"/>
    <s v="-"/>
    <n v="2"/>
    <s v="-"/>
    <s v="Yes"/>
    <n v="10005135"/>
    <d v="2015-12-10T00:00:00"/>
    <n v="3"/>
    <s v="Improved"/>
  </r>
  <r>
    <s v="Ofsted Webpage"/>
    <n v="130581"/>
    <n v="10007673"/>
    <s v="Wyke Sixth Form College"/>
    <x v="1"/>
    <s v="Colleges"/>
    <s v="Kingston upon Hull"/>
    <s v="Yorkshire and The Humber"/>
    <s v="North East, Yorkshire and the Humber"/>
    <n v="10037332"/>
    <s v="SFC - Short"/>
    <x v="1"/>
    <s v="No"/>
    <d v="2017-11-15T00:00:00"/>
    <d v="2017-11-16T00:00:00"/>
    <d v="2017-12-18T00:00:00"/>
    <x v="1"/>
    <s v="-"/>
    <s v="-"/>
    <s v="-"/>
    <s v="-"/>
    <s v="-"/>
    <s v="-"/>
    <s v="-"/>
    <s v="-"/>
    <s v="-"/>
    <s v="-"/>
    <s v="Yes"/>
    <s v="ITS423380"/>
    <d v="2013-10-04T00:00:00"/>
    <n v="2"/>
    <s v="Not Applicable"/>
  </r>
  <r>
    <s v="Ofsted Webpage"/>
    <n v="51961"/>
    <n v="10012171"/>
    <s v="GHQ Training Limited"/>
    <x v="4"/>
    <s v="Independent learning providers (including employer providers)"/>
    <s v="Plymouth"/>
    <s v="South West"/>
    <s v="South West"/>
    <n v="10037334"/>
    <s v="Independent Learning Provider (Regional) - Short"/>
    <x v="1"/>
    <s v="No"/>
    <d v="2017-11-28T00:00:00"/>
    <d v="2017-11-29T00:00:00"/>
    <d v="2017-12-18T00:00:00"/>
    <x v="1"/>
    <s v="-"/>
    <s v="-"/>
    <s v="-"/>
    <s v="-"/>
    <s v="-"/>
    <s v="-"/>
    <s v="-"/>
    <s v="-"/>
    <s v="-"/>
    <s v="-"/>
    <s v="Yes"/>
    <s v="ITS445774"/>
    <d v="2014-11-20T00:00:00"/>
    <n v="2"/>
    <s v="Not Applicable"/>
  </r>
  <r>
    <s v="Ofsted Webpage"/>
    <n v="141311"/>
    <n v="10024088"/>
    <s v="Nisai Virtual Academy Ltd"/>
    <x v="5"/>
    <s v="Independent specialist colleges"/>
    <s v="Harrow"/>
    <s v="London"/>
    <s v="London"/>
    <n v="10037432"/>
    <s v="ISC - Requires improvement"/>
    <x v="0"/>
    <s v="-"/>
    <d v="2017-11-14T00:00:00"/>
    <d v="2017-11-16T00:00:00"/>
    <d v="2017-12-15T00:00:00"/>
    <x v="3"/>
    <n v="2"/>
    <n v="2"/>
    <n v="2"/>
    <n v="2"/>
    <s v="-"/>
    <s v="-"/>
    <s v="-"/>
    <s v="-"/>
    <s v="-"/>
    <n v="2"/>
    <s v="Yes"/>
    <s v="NULL"/>
    <s v="NULL"/>
    <s v="NULL"/>
    <s v="Not Applicable"/>
  </r>
  <r>
    <s v="Ofsted Webpage"/>
    <n v="58229"/>
    <n v="10019026"/>
    <s v="Baltic Training Services Limited"/>
    <x v="4"/>
    <s v="Independent learning providers (including employer providers)"/>
    <s v="Durham"/>
    <s v="North East"/>
    <s v="North East, Yorkshire and the Humber"/>
    <n v="10040098"/>
    <s v="Independent Learning Provider (National) - Short"/>
    <x v="1"/>
    <s v="No"/>
    <d v="2017-11-08T00:00:00"/>
    <d v="2017-11-09T00:00:00"/>
    <d v="2017-12-14T00:00:00"/>
    <x v="1"/>
    <s v="-"/>
    <s v="-"/>
    <s v="-"/>
    <s v="-"/>
    <s v="-"/>
    <s v="-"/>
    <s v="-"/>
    <s v="-"/>
    <s v="-"/>
    <s v="-"/>
    <s v="Yes"/>
    <s v="ITS452988"/>
    <d v="2015-01-23T00:00:00"/>
    <n v="2"/>
    <s v="Not Applicable"/>
  </r>
  <r>
    <s v="Ofsted Webpage"/>
    <n v="131868"/>
    <n v="10012822"/>
    <s v="Cambian Dilston College"/>
    <x v="5"/>
    <s v="Independent specialist colleges"/>
    <s v="Northumberland"/>
    <s v="North East"/>
    <s v="North East, Yorkshire and the Humber"/>
    <n v="10030661"/>
    <s v="ISC - Short"/>
    <x v="1"/>
    <s v="No"/>
    <d v="2017-11-08T00:00:00"/>
    <d v="2017-11-09T00:00:00"/>
    <d v="2017-12-14T00:00:00"/>
    <x v="1"/>
    <s v="-"/>
    <s v="-"/>
    <s v="-"/>
    <s v="-"/>
    <s v="-"/>
    <s v="-"/>
    <s v="-"/>
    <s v="-"/>
    <s v="-"/>
    <s v="-"/>
    <s v="Yes"/>
    <s v="ITS408447"/>
    <d v="2013-01-18T00:00:00"/>
    <n v="2"/>
    <s v="Not Applicable"/>
  </r>
  <r>
    <s v="Ofsted Webpage"/>
    <n v="53535"/>
    <n v="10004645"/>
    <s v="NLT Training Services Ltd"/>
    <x v="3"/>
    <s v="Community learning and skills providers"/>
    <s v="Derbyshire"/>
    <s v="East Midlands"/>
    <s v="East Midlands"/>
    <n v="10037356"/>
    <s v="Community Learning and Skills - Not for profit organisation - Full"/>
    <x v="0"/>
    <s v="-"/>
    <d v="2017-10-31T00:00:00"/>
    <d v="2017-11-03T00:00:00"/>
    <d v="2017-12-12T00:00:00"/>
    <x v="4"/>
    <n v="4"/>
    <n v="4"/>
    <n v="4"/>
    <n v="4"/>
    <s v="-"/>
    <n v="4"/>
    <s v="-"/>
    <s v="-"/>
    <n v="4"/>
    <s v="-"/>
    <s v="Yes"/>
    <s v="ITS429263"/>
    <d v="2014-05-16T00:00:00"/>
    <n v="2"/>
    <s v="Declined"/>
  </r>
  <r>
    <s v="Ofsted Webpage"/>
    <n v="133435"/>
    <n v="10006432"/>
    <s v="Sussex Downs College"/>
    <x v="2"/>
    <s v="Colleges"/>
    <s v="East Sussex"/>
    <s v="South East"/>
    <s v="South East"/>
    <n v="10037409"/>
    <s v="FE College - Requires improvement"/>
    <x v="0"/>
    <s v="-"/>
    <d v="2017-10-31T00:00:00"/>
    <d v="2017-11-03T00:00:00"/>
    <d v="2017-12-08T00:00:00"/>
    <x v="0"/>
    <n v="3"/>
    <n v="3"/>
    <n v="2"/>
    <n v="3"/>
    <s v="-"/>
    <n v="3"/>
    <n v="2"/>
    <s v="-"/>
    <n v="2"/>
    <n v="2"/>
    <s v="Yes"/>
    <n v="10004809"/>
    <d v="2015-11-06T00:00:00"/>
    <n v="3"/>
    <s v="Stayed the Same"/>
  </r>
  <r>
    <s v="Ofsted Webpage"/>
    <n v="1237128"/>
    <n v="10028094"/>
    <s v="Skills North East"/>
    <x v="4"/>
    <s v="Independent learning providers (including employer providers)"/>
    <s v="Northumberland"/>
    <s v="North East"/>
    <s v="North East, Yorkshire and the Humber"/>
    <n v="10037428"/>
    <s v="Independent Learning Provider (Regional) - Full"/>
    <x v="0"/>
    <s v="-"/>
    <d v="2017-11-01T00:00:00"/>
    <d v="2017-11-03T00:00:00"/>
    <d v="2017-12-08T00:00:00"/>
    <x v="0"/>
    <n v="3"/>
    <n v="3"/>
    <n v="3"/>
    <n v="3"/>
    <s v="-"/>
    <s v="-"/>
    <n v="3"/>
    <s v="-"/>
    <s v="-"/>
    <s v="-"/>
    <s v="Yes"/>
    <s v="NULL"/>
    <s v="NULL"/>
    <s v="NULL"/>
    <s v="Not Applicable"/>
  </r>
  <r>
    <s v="Ofsted Webpage"/>
    <n v="130648"/>
    <n v="10005977"/>
    <s v="South Devon College"/>
    <x v="2"/>
    <s v="Colleges"/>
    <s v="Torbay"/>
    <s v="South West"/>
    <s v="South West"/>
    <n v="10037375"/>
    <s v="FE College - Full"/>
    <x v="0"/>
    <s v="-"/>
    <d v="2017-10-31T00:00:00"/>
    <d v="2017-11-03T00:00:00"/>
    <d v="2017-12-07T00:00:00"/>
    <x v="3"/>
    <n v="2"/>
    <n v="2"/>
    <n v="2"/>
    <n v="2"/>
    <n v="3"/>
    <n v="2"/>
    <s v="-"/>
    <s v="-"/>
    <n v="2"/>
    <n v="2"/>
    <s v="Yes"/>
    <s v="ITS329155"/>
    <d v="2008-11-07T00:00:00"/>
    <n v="1"/>
    <s v="Declined"/>
  </r>
  <r>
    <s v="Ofsted Webpage"/>
    <n v="58611"/>
    <n v="10021684"/>
    <s v="London Learning Consortium Community Interest Company"/>
    <x v="3"/>
    <s v="Community learning and skills providers"/>
    <s v="Croydon"/>
    <s v="London"/>
    <s v="London"/>
    <n v="10039583"/>
    <s v="Community Learning and Skills - Not for profit organisation - Short"/>
    <x v="1"/>
    <s v="No"/>
    <d v="2017-10-31T00:00:00"/>
    <d v="2017-11-01T00:00:00"/>
    <d v="2017-12-06T00:00:00"/>
    <x v="1"/>
    <s v="-"/>
    <s v="-"/>
    <s v="-"/>
    <s v="-"/>
    <s v="-"/>
    <s v="-"/>
    <s v="-"/>
    <s v="-"/>
    <s v="-"/>
    <s v="-"/>
    <s v="Yes"/>
    <s v="ITS430254"/>
    <d v="2014-11-28T00:00:00"/>
    <n v="2"/>
    <s v="Not Applicable"/>
  </r>
  <r>
    <s v="Ofsted Webpage"/>
    <n v="58729"/>
    <n v="10022507"/>
    <s v="London Skills &amp; Development Network Limited"/>
    <x v="4"/>
    <s v="Independent learning providers (including employer providers)"/>
    <s v="Croydon"/>
    <s v="London"/>
    <s v="London"/>
    <n v="10039581"/>
    <s v="Independent Learning Provider (Regional) - Full"/>
    <x v="2"/>
    <s v="Yes"/>
    <d v="2017-10-17T00:00:00"/>
    <d v="2017-11-02T00:00:00"/>
    <d v="2017-12-06T00:00:00"/>
    <x v="0"/>
    <n v="3"/>
    <n v="3"/>
    <n v="3"/>
    <n v="3"/>
    <s v="-"/>
    <s v="-"/>
    <n v="3"/>
    <s v="-"/>
    <n v="4"/>
    <s v="-"/>
    <s v="Yes"/>
    <s v="ITS429137"/>
    <d v="2014-01-31T00:00:00"/>
    <n v="2"/>
    <s v="Declined"/>
  </r>
  <r>
    <s v="Ofsted Webpage"/>
    <n v="133808"/>
    <n v="10001726"/>
    <s v="Coventry University"/>
    <x v="6"/>
    <s v="Higher education institutions"/>
    <s v="Coventry"/>
    <s v="West Midlands"/>
    <s v="West Midlands"/>
    <n v="10041328"/>
    <s v="FE in HE - Full"/>
    <x v="0"/>
    <s v="-"/>
    <d v="2017-11-07T00:00:00"/>
    <d v="2017-11-10T00:00:00"/>
    <d v="2017-12-05T00:00:00"/>
    <x v="0"/>
    <n v="3"/>
    <n v="3"/>
    <n v="3"/>
    <n v="3"/>
    <s v="-"/>
    <n v="2"/>
    <n v="3"/>
    <s v="-"/>
    <s v="-"/>
    <s v="-"/>
    <s v="Yes"/>
    <s v="ITS429183"/>
    <d v="2014-03-28T00:00:00"/>
    <n v="2"/>
    <s v="Declined"/>
  </r>
  <r>
    <s v="Ofsted Webpage"/>
    <n v="130479"/>
    <n v="10005669"/>
    <s v="Sandwell College"/>
    <x v="2"/>
    <s v="Colleges"/>
    <s v="Sandwell"/>
    <s v="West Midlands"/>
    <s v="West Midlands"/>
    <n v="10037365"/>
    <s v="FE College - Short"/>
    <x v="1"/>
    <s v="No"/>
    <d v="2017-11-15T00:00:00"/>
    <d v="2017-11-16T00:00:00"/>
    <d v="2017-12-04T00:00:00"/>
    <x v="1"/>
    <s v="-"/>
    <s v="-"/>
    <s v="-"/>
    <s v="-"/>
    <s v="-"/>
    <s v="-"/>
    <s v="-"/>
    <s v="-"/>
    <s v="-"/>
    <s v="-"/>
    <s v="Yes"/>
    <s v="ITS434083"/>
    <d v="2014-05-16T00:00:00"/>
    <n v="2"/>
    <s v="Not Applicable"/>
  </r>
  <r>
    <s v="Ofsted Webpage"/>
    <n v="130851"/>
    <n v="10004579"/>
    <s v="New College Swindon"/>
    <x v="2"/>
    <s v="Colleges"/>
    <s v="Swindon"/>
    <s v="South West"/>
    <s v="South West"/>
    <n v="10037379"/>
    <s v="FE College - Short"/>
    <x v="1"/>
    <s v="No"/>
    <d v="2017-11-02T00:00:00"/>
    <d v="2017-11-03T00:00:00"/>
    <d v="2017-12-04T00:00:00"/>
    <x v="1"/>
    <s v="-"/>
    <s v="-"/>
    <s v="-"/>
    <s v="-"/>
    <s v="-"/>
    <s v="-"/>
    <s v="-"/>
    <s v="-"/>
    <s v="-"/>
    <s v="-"/>
    <s v="Yes"/>
    <s v="ITS446541"/>
    <d v="2014-12-05T00:00:00"/>
    <n v="2"/>
    <s v="Not Applicable"/>
  </r>
  <r>
    <s v="Ofsted Webpage"/>
    <n v="52888"/>
    <n v="10013665"/>
    <s v="KT Associates"/>
    <x v="4"/>
    <s v="Independent learning providers (including employer providers)"/>
    <s v="Stockton-on-Tees"/>
    <s v="North East"/>
    <s v="North East, Yorkshire and the Humber"/>
    <n v="10030732"/>
    <s v="Independent Learning Provider (Regional) - Full"/>
    <x v="0"/>
    <s v="-"/>
    <d v="2017-10-24T00:00:00"/>
    <d v="2017-10-27T00:00:00"/>
    <d v="2017-12-01T00:00:00"/>
    <x v="4"/>
    <n v="4"/>
    <n v="4"/>
    <n v="4"/>
    <n v="4"/>
    <s v="-"/>
    <s v="-"/>
    <n v="4"/>
    <s v="-"/>
    <s v="-"/>
    <s v="-"/>
    <s v="No"/>
    <s v="ITS306936"/>
    <d v="2006-02-24T00:00:00"/>
    <n v="2"/>
    <s v="Declined"/>
  </r>
  <r>
    <s v="Ofsted Webpage"/>
    <n v="50257"/>
    <n v="10000020"/>
    <s v="5 E Ltd."/>
    <x v="4"/>
    <s v="Independent learning providers (including employer providers)"/>
    <s v="Haringey"/>
    <s v="London"/>
    <s v="London"/>
    <n v="10022541"/>
    <s v="Independent Learning Provider (Regional) - Short"/>
    <x v="1"/>
    <s v="No"/>
    <d v="2017-11-02T00:00:00"/>
    <d v="2017-11-03T00:00:00"/>
    <d v="2017-12-01T00:00:00"/>
    <x v="1"/>
    <s v="-"/>
    <s v="-"/>
    <s v="-"/>
    <s v="-"/>
    <s v="-"/>
    <s v="-"/>
    <s v="-"/>
    <s v="-"/>
    <s v="-"/>
    <s v="-"/>
    <s v="Yes"/>
    <s v="ITS424453"/>
    <d v="2014-08-08T00:00:00"/>
    <n v="2"/>
    <s v="Not Applicable"/>
  </r>
  <r>
    <s v="Ofsted Webpage"/>
    <n v="54519"/>
    <n v="10006029"/>
    <s v="Southend-on-Sea Borough Council"/>
    <x v="0"/>
    <s v="Community learning and skills providers"/>
    <s v="Southend on Sea"/>
    <s v="East of England"/>
    <s v="East of England"/>
    <n v="10037435"/>
    <s v="Community Learning and Skills - Local authority - Short"/>
    <x v="1"/>
    <s v="No"/>
    <d v="2017-10-31T00:00:00"/>
    <d v="2017-11-01T00:00:00"/>
    <d v="2017-11-30T00:00:00"/>
    <x v="1"/>
    <s v="-"/>
    <s v="-"/>
    <s v="-"/>
    <s v="-"/>
    <s v="-"/>
    <s v="-"/>
    <s v="-"/>
    <s v="-"/>
    <s v="-"/>
    <s v="-"/>
    <s v="Yes"/>
    <s v="ITS446666"/>
    <d v="2014-10-10T00:00:00"/>
    <n v="2"/>
    <s v="Not Applicable"/>
  </r>
  <r>
    <s v="Ofsted Webpage"/>
    <n v="59233"/>
    <n v="10044778"/>
    <s v="Hob Salons"/>
    <x v="7"/>
    <s v="Independent learning providers (including employer providers)"/>
    <s v="Camden"/>
    <s v="London"/>
    <s v="London"/>
    <n v="10041031"/>
    <s v="Independent Learning Provider (National) - Full"/>
    <x v="0"/>
    <s v="-"/>
    <d v="2017-10-31T00:00:00"/>
    <d v="2017-11-03T00:00:00"/>
    <d v="2017-11-30T00:00:00"/>
    <x v="0"/>
    <n v="3"/>
    <n v="3"/>
    <n v="3"/>
    <n v="3"/>
    <s v="-"/>
    <s v="-"/>
    <s v="-"/>
    <s v="-"/>
    <n v="3"/>
    <s v="-"/>
    <s v="Yes"/>
    <s v="NULL"/>
    <s v="NULL"/>
    <s v="NULL"/>
    <s v="Not Applicable"/>
  </r>
  <r>
    <s v="Ofsted Webpage"/>
    <n v="130820"/>
    <n v="10006398"/>
    <s v="Suffolk New College"/>
    <x v="2"/>
    <s v="Colleges"/>
    <s v="Suffolk"/>
    <s v="East of England"/>
    <s v="East of England"/>
    <n v="10037407"/>
    <s v="FE College - Requires improvement"/>
    <x v="0"/>
    <s v="-"/>
    <d v="2017-10-17T00:00:00"/>
    <d v="2017-10-20T00:00:00"/>
    <d v="2017-11-30T00:00:00"/>
    <x v="3"/>
    <n v="2"/>
    <n v="2"/>
    <n v="2"/>
    <n v="2"/>
    <s v="-"/>
    <n v="2"/>
    <n v="2"/>
    <s v="-"/>
    <n v="2"/>
    <s v="-"/>
    <s v="Yes"/>
    <n v="10004779"/>
    <d v="2015-11-13T00:00:00"/>
    <n v="3"/>
    <s v="Improved"/>
  </r>
  <r>
    <s v="Ofsted Webpage"/>
    <n v="53615"/>
    <n v="10004723"/>
    <s v="North West Training Council"/>
    <x v="3"/>
    <s v="Community learning and skills providers"/>
    <s v="Sefton"/>
    <s v="North West"/>
    <s v="North West"/>
    <n v="10037338"/>
    <s v="Community Learning and Skills - Not for profit organisation - Short"/>
    <x v="1"/>
    <s v="No"/>
    <d v="2017-11-01T00:00:00"/>
    <d v="2017-11-02T00:00:00"/>
    <d v="2017-11-30T00:00:00"/>
    <x v="1"/>
    <s v="-"/>
    <s v="-"/>
    <s v="-"/>
    <s v="-"/>
    <s v="-"/>
    <s v="-"/>
    <s v="-"/>
    <s v="-"/>
    <s v="-"/>
    <s v="-"/>
    <s v="Yes"/>
    <s v="ITS440402"/>
    <d v="2015-04-24T00:00:00"/>
    <n v="2"/>
    <s v="Not Applicable"/>
  </r>
  <r>
    <s v="Ofsted Webpage"/>
    <n v="130825"/>
    <n v="10000950"/>
    <s v="Brooklands College"/>
    <x v="2"/>
    <s v="Colleges"/>
    <s v="Surrey"/>
    <s v="South East"/>
    <s v="South East"/>
    <n v="10037370"/>
    <s v="FE College - Short"/>
    <x v="1"/>
    <s v="No"/>
    <d v="2017-11-01T00:00:00"/>
    <d v="2017-11-02T00:00:00"/>
    <d v="2017-11-30T00:00:00"/>
    <x v="1"/>
    <s v="-"/>
    <s v="-"/>
    <s v="-"/>
    <s v="-"/>
    <s v="-"/>
    <s v="-"/>
    <s v="-"/>
    <s v="-"/>
    <s v="-"/>
    <s v="-"/>
    <s v="Yes"/>
    <s v="ITS423366"/>
    <d v="2013-12-06T00:00:00"/>
    <n v="2"/>
    <s v="Not Applicable"/>
  </r>
  <r>
    <s v="Ofsted Webpage"/>
    <n v="53861"/>
    <n v="10005064"/>
    <s v="PETA Limited"/>
    <x v="3"/>
    <s v="Community learning and skills providers"/>
    <s v="Portsmouth"/>
    <s v="South East"/>
    <s v="South East"/>
    <n v="10037339"/>
    <s v="Community Learning and Skills - Not for profit organisation - Short"/>
    <x v="1"/>
    <s v="No"/>
    <d v="2017-11-01T00:00:00"/>
    <d v="2017-11-02T00:00:00"/>
    <d v="2017-11-29T00:00:00"/>
    <x v="1"/>
    <s v="-"/>
    <s v="-"/>
    <s v="-"/>
    <s v="-"/>
    <s v="-"/>
    <s v="-"/>
    <s v="-"/>
    <s v="-"/>
    <s v="-"/>
    <s v="-"/>
    <s v="Yes"/>
    <s v="ITS429859"/>
    <d v="2014-01-31T00:00:00"/>
    <n v="2"/>
    <s v="Not Applicable"/>
  </r>
  <r>
    <s v="Ofsted Webpage"/>
    <n v="1236915"/>
    <n v="10045136"/>
    <s v="Elmhouse Training"/>
    <x v="4"/>
    <s v="Independent learning providers (including employer providers)"/>
    <s v="Lambeth"/>
    <s v="London"/>
    <s v="London"/>
    <n v="10037426"/>
    <s v="Independent Learning Provider (Regional) - Full"/>
    <x v="0"/>
    <s v="-"/>
    <d v="2017-10-31T00:00:00"/>
    <d v="2017-11-02T00:00:00"/>
    <d v="2017-11-29T00:00:00"/>
    <x v="0"/>
    <n v="3"/>
    <n v="3"/>
    <n v="2"/>
    <n v="3"/>
    <s v="-"/>
    <s v="-"/>
    <n v="3"/>
    <s v="-"/>
    <s v="-"/>
    <s v="-"/>
    <s v="Yes"/>
    <s v="NULL"/>
    <s v="NULL"/>
    <s v="NULL"/>
    <s v="Not Applicable"/>
  </r>
  <r>
    <s v="Ofsted Webpage"/>
    <n v="130756"/>
    <n v="10007671"/>
    <s v="Wyggeston and Queen Elizabeth I College"/>
    <x v="1"/>
    <s v="Colleges"/>
    <s v="Leicester"/>
    <s v="East Midlands"/>
    <s v="East Midlands"/>
    <n v="10040627"/>
    <s v="SFC - Requires improvement"/>
    <x v="0"/>
    <s v="-"/>
    <d v="2017-10-31T00:00:00"/>
    <d v="2017-11-03T00:00:00"/>
    <d v="2017-11-27T00:00:00"/>
    <x v="3"/>
    <n v="2"/>
    <n v="2"/>
    <n v="2"/>
    <n v="2"/>
    <s v="-"/>
    <n v="2"/>
    <s v="-"/>
    <s v="-"/>
    <s v="-"/>
    <s v="-"/>
    <s v="Yes"/>
    <n v="10004757"/>
    <d v="2016-03-11T00:00:00"/>
    <n v="3"/>
    <s v="Improved"/>
  </r>
  <r>
    <s v="Ofsted Webpage"/>
    <n v="51170"/>
    <n v="10001436"/>
    <s v="CITB (Construction Industry Training Board)"/>
    <x v="3"/>
    <s v="Community learning and skills providers"/>
    <s v="Norfolk"/>
    <s v="East of England"/>
    <s v="East of England"/>
    <n v="10030785"/>
    <s v="Community Learning and Skills - Not for profit organisation - Full"/>
    <x v="0"/>
    <s v="-"/>
    <d v="2017-10-10T00:00:00"/>
    <d v="2017-10-13T00:00:00"/>
    <d v="2017-11-24T00:00:00"/>
    <x v="2"/>
    <n v="1"/>
    <n v="1"/>
    <n v="1"/>
    <n v="1"/>
    <s v="-"/>
    <s v="-"/>
    <s v="-"/>
    <s v="-"/>
    <n v="1"/>
    <s v="-"/>
    <s v="Yes"/>
    <s v="ITS388432"/>
    <d v="2012-11-30T00:00:00"/>
    <n v="1"/>
    <s v="Stayed the Same"/>
  </r>
  <r>
    <s v="Ofsted Webpage"/>
    <n v="53674"/>
    <n v="10004801"/>
    <s v="Nottinghamshire County Council"/>
    <x v="0"/>
    <s v="Community learning and skills providers"/>
    <s v="Nottinghamshire"/>
    <s v="East Midlands"/>
    <s v="East Midlands"/>
    <n v="10037346"/>
    <s v="Community Learning and Skills - Local authority - Full"/>
    <x v="0"/>
    <s v="-"/>
    <d v="2017-10-16T00:00:00"/>
    <d v="2017-10-19T00:00:00"/>
    <d v="2017-11-24T00:00:00"/>
    <x v="3"/>
    <n v="2"/>
    <n v="2"/>
    <n v="2"/>
    <n v="2"/>
    <s v="-"/>
    <n v="2"/>
    <n v="2"/>
    <s v="-"/>
    <s v="-"/>
    <s v="-"/>
    <s v="Yes"/>
    <s v="ITS455583"/>
    <d v="2015-05-15T00:00:00"/>
    <n v="2"/>
    <s v="Stayed the Same"/>
  </r>
  <r>
    <s v="Ofsted Webpage"/>
    <n v="145003"/>
    <n v="10065146"/>
    <s v="City of Stoke-On-Trent Sixth Form College"/>
    <x v="8"/>
    <s v="16-19 academies"/>
    <s v="Stoke-on-Trent"/>
    <s v="West Midlands"/>
    <s v="West Midlands"/>
    <n v="10041471"/>
    <s v="SFC - Short"/>
    <x v="1"/>
    <s v="No"/>
    <d v="2017-10-17T00:00:00"/>
    <d v="2017-10-18T00:00:00"/>
    <d v="2017-11-23T00:00:00"/>
    <x v="1"/>
    <s v="-"/>
    <s v="-"/>
    <s v="-"/>
    <s v="-"/>
    <s v="-"/>
    <s v="-"/>
    <s v="-"/>
    <s v="-"/>
    <s v="-"/>
    <s v="-"/>
    <s v="Yes"/>
    <s v="ITS446035"/>
    <d v="2015-04-24T00:00:00"/>
    <n v="2"/>
    <s v="Not Applicable"/>
  </r>
  <r>
    <s v="Ofsted Webpage"/>
    <n v="139218"/>
    <n v="10024772"/>
    <s v="Royal College Manchester (Seashell Trust)"/>
    <x v="5"/>
    <s v="Independent specialist colleges"/>
    <s v="Stockport"/>
    <s v="North West"/>
    <s v="North West"/>
    <n v="10030787"/>
    <s v="ISC - Full"/>
    <x v="0"/>
    <s v="-"/>
    <d v="2017-10-18T00:00:00"/>
    <d v="2017-10-20T00:00:00"/>
    <d v="2017-11-23T00:00:00"/>
    <x v="3"/>
    <n v="2"/>
    <n v="2"/>
    <n v="1"/>
    <n v="2"/>
    <s v="-"/>
    <s v="-"/>
    <s v="-"/>
    <s v="-"/>
    <s v="-"/>
    <n v="2"/>
    <s v="Yes"/>
    <s v="ITS408448"/>
    <d v="2013-07-05T00:00:00"/>
    <n v="1"/>
    <s v="Declined"/>
  </r>
  <r>
    <s v="Ofsted Webpage"/>
    <n v="130721"/>
    <n v="10004690"/>
    <s v="North Hertfordshire College"/>
    <x v="2"/>
    <s v="Colleges"/>
    <s v="Hertfordshire"/>
    <s v="East of England"/>
    <s v="East of England"/>
    <n v="10037405"/>
    <s v="FE College - Requires improvement"/>
    <x v="0"/>
    <s v="-"/>
    <d v="2017-10-31T00:00:00"/>
    <d v="2017-11-03T00:00:00"/>
    <d v="2017-11-23T00:00:00"/>
    <x v="3"/>
    <n v="2"/>
    <n v="2"/>
    <n v="2"/>
    <n v="2"/>
    <s v="-"/>
    <n v="2"/>
    <n v="2"/>
    <n v="1"/>
    <n v="2"/>
    <n v="1"/>
    <s v="Yes"/>
    <n v="10011438"/>
    <d v="2016-06-10T00:00:00"/>
    <n v="3"/>
    <s v="Improved"/>
  </r>
  <r>
    <s v="Ofsted Webpage"/>
    <n v="138403"/>
    <n v="10037983"/>
    <s v="London Academy of Excellence"/>
    <x v="9"/>
    <s v="16-19 academies"/>
    <s v="Newham"/>
    <s v="London"/>
    <s v="London"/>
    <n v="10022552"/>
    <s v="16-19 academy - Full"/>
    <x v="2"/>
    <s v="Yes"/>
    <d v="2017-10-04T00:00:00"/>
    <d v="2017-10-11T00:00:00"/>
    <d v="2017-11-22T00:00:00"/>
    <x v="2"/>
    <n v="1"/>
    <n v="1"/>
    <n v="1"/>
    <n v="1"/>
    <s v="-"/>
    <n v="1"/>
    <s v="-"/>
    <s v="-"/>
    <s v="-"/>
    <s v="-"/>
    <s v="Yes"/>
    <s v="ITS430419"/>
    <d v="2014-03-21T00:00:00"/>
    <n v="2"/>
    <s v="Improved"/>
  </r>
  <r>
    <s v="Ofsted Webpage"/>
    <n v="130487"/>
    <n v="10003955"/>
    <s v="The City of Liverpool College"/>
    <x v="2"/>
    <s v="Colleges"/>
    <s v="Liverpool"/>
    <s v="North West"/>
    <s v="North West"/>
    <n v="10037398"/>
    <s v="FE College - Requires improvement"/>
    <x v="0"/>
    <s v="-"/>
    <d v="2017-10-02T00:00:00"/>
    <d v="2017-10-05T00:00:00"/>
    <d v="2017-11-21T00:00:00"/>
    <x v="3"/>
    <n v="2"/>
    <n v="2"/>
    <n v="2"/>
    <n v="2"/>
    <s v="-"/>
    <n v="2"/>
    <n v="2"/>
    <s v="-"/>
    <n v="3"/>
    <n v="2"/>
    <s v="Yes"/>
    <n v="10004689"/>
    <d v="2015-11-13T00:00:00"/>
    <n v="3"/>
    <s v="Improved"/>
  </r>
  <r>
    <s v="Ofsted Webpage"/>
    <n v="53010"/>
    <n v="10003889"/>
    <s v="Leslie Frances (Hair Fashions) Limited"/>
    <x v="4"/>
    <s v="Independent learning providers (including employer providers)"/>
    <s v="Barnsley"/>
    <s v="Yorkshire and The Humber"/>
    <s v="North East, Yorkshire and the Humber"/>
    <n v="10037329"/>
    <s v="Independent Learning Provider (Regional) - Short"/>
    <x v="1"/>
    <s v="No"/>
    <d v="2017-10-18T00:00:00"/>
    <d v="2017-10-19T00:00:00"/>
    <d v="2017-11-21T00:00:00"/>
    <x v="1"/>
    <s v="-"/>
    <s v="-"/>
    <s v="-"/>
    <s v="-"/>
    <s v="-"/>
    <s v="-"/>
    <s v="-"/>
    <s v="-"/>
    <s v="-"/>
    <s v="-"/>
    <s v="Yes"/>
    <s v="ITS423776"/>
    <d v="2013-09-26T00:00:00"/>
    <n v="2"/>
    <s v="Not Applicable"/>
  </r>
  <r>
    <s v="Ofsted Webpage"/>
    <n v="131959"/>
    <n v="10005151"/>
    <s v="Portland College"/>
    <x v="5"/>
    <s v="Independent specialist colleges"/>
    <s v="Nottinghamshire"/>
    <s v="East Midlands"/>
    <s v="East Midlands"/>
    <n v="10037385"/>
    <s v="ISC - Short"/>
    <x v="1"/>
    <s v="No"/>
    <d v="2017-10-17T00:00:00"/>
    <d v="2017-10-18T00:00:00"/>
    <d v="2017-11-17T00:00:00"/>
    <x v="1"/>
    <s v="-"/>
    <s v="-"/>
    <s v="-"/>
    <s v="-"/>
    <s v="-"/>
    <s v="-"/>
    <s v="-"/>
    <s v="-"/>
    <s v="-"/>
    <s v="-"/>
    <s v="Yes"/>
    <s v="ITS429097"/>
    <d v="2014-03-21T00:00:00"/>
    <n v="2"/>
    <s v="Not Applicable"/>
  </r>
  <r>
    <s v="Ofsted Webpage"/>
    <n v="53137"/>
    <n v="10003895"/>
    <s v="Lewisham London Borough Council"/>
    <x v="0"/>
    <s v="Community learning and skills providers"/>
    <s v="Lewisham"/>
    <s v="London"/>
    <s v="London"/>
    <n v="10037355"/>
    <s v="Community Learning and Skills - Local authority - Short"/>
    <x v="1"/>
    <s v="No"/>
    <d v="2017-10-11T00:00:00"/>
    <d v="2017-10-12T00:00:00"/>
    <d v="2017-11-17T00:00:00"/>
    <x v="1"/>
    <s v="-"/>
    <s v="-"/>
    <s v="-"/>
    <s v="-"/>
    <s v="-"/>
    <s v="-"/>
    <s v="-"/>
    <s v="-"/>
    <s v="-"/>
    <s v="-"/>
    <s v="Yes"/>
    <s v="ITS429148"/>
    <d v="2014-02-07T00:00:00"/>
    <n v="2"/>
    <s v="Not Applicable"/>
  </r>
  <r>
    <s v="Ofsted Webpage"/>
    <n v="130454"/>
    <n v="10005469"/>
    <s v="Richmond-upon-Thames College"/>
    <x v="2"/>
    <s v="Colleges"/>
    <s v="Richmond upon Thames"/>
    <s v="London"/>
    <s v="London"/>
    <n v="10037397"/>
    <s v="FE College - Requires improvement"/>
    <x v="0"/>
    <s v="-"/>
    <d v="2017-10-10T00:00:00"/>
    <d v="2017-10-13T00:00:00"/>
    <d v="2017-11-17T00:00:00"/>
    <x v="3"/>
    <n v="2"/>
    <n v="2"/>
    <n v="2"/>
    <n v="2"/>
    <s v="-"/>
    <n v="2"/>
    <n v="2"/>
    <s v="-"/>
    <n v="2"/>
    <n v="2"/>
    <s v="Yes"/>
    <n v="10004682"/>
    <d v="2015-11-13T00:00:00"/>
    <n v="3"/>
    <s v="Improved"/>
  </r>
  <r>
    <s v="Ofsted Webpage"/>
    <n v="139238"/>
    <n v="10036143"/>
    <s v="South Gloucestershire and Stroud College"/>
    <x v="2"/>
    <s v="Colleges"/>
    <s v="South Gloucestershire"/>
    <s v="South West"/>
    <s v="South West"/>
    <n v="10037368"/>
    <s v="FE College - Short"/>
    <x v="1"/>
    <s v="No"/>
    <d v="2017-10-17T00:00:00"/>
    <d v="2017-10-18T00:00:00"/>
    <d v="2017-11-17T00:00:00"/>
    <x v="1"/>
    <s v="-"/>
    <s v="-"/>
    <s v="-"/>
    <s v="-"/>
    <s v="-"/>
    <s v="-"/>
    <s v="-"/>
    <s v="-"/>
    <s v="-"/>
    <s v="-"/>
    <s v="Yes"/>
    <s v="ITS452493"/>
    <d v="2014-11-21T00:00:00"/>
    <n v="2"/>
    <s v="Not Applicable"/>
  </r>
  <r>
    <s v="Ofsted Webpage"/>
    <n v="53127"/>
    <n v="10003993"/>
    <s v="Havering London Borough Council"/>
    <x v="0"/>
    <s v="Community learning and skills providers"/>
    <s v="Havering"/>
    <s v="London"/>
    <s v="London"/>
    <n v="10039582"/>
    <s v="Community Learning and Skills - Local authority - Short"/>
    <x v="1"/>
    <s v="No"/>
    <d v="2017-10-11T00:00:00"/>
    <d v="2017-10-12T00:00:00"/>
    <d v="2017-11-16T00:00:00"/>
    <x v="1"/>
    <s v="-"/>
    <s v="-"/>
    <s v="-"/>
    <s v="-"/>
    <s v="-"/>
    <s v="-"/>
    <s v="-"/>
    <s v="-"/>
    <s v="-"/>
    <s v="-"/>
    <s v="Yes"/>
    <s v="ITS434068"/>
    <d v="2014-10-17T00:00:00"/>
    <n v="2"/>
    <s v="Not Applicable"/>
  </r>
  <r>
    <s v="Ofsted Webpage"/>
    <n v="130573"/>
    <n v="10005414"/>
    <s v="Redcar &amp; Cleveland College"/>
    <x v="2"/>
    <s v="Colleges"/>
    <s v="Redcar and Cleveland"/>
    <s v="North East"/>
    <s v="North East, Yorkshire and the Humber"/>
    <n v="10030672"/>
    <s v="FE College - Requires improvement"/>
    <x v="0"/>
    <s v="-"/>
    <d v="2017-10-10T00:00:00"/>
    <d v="2017-10-13T00:00:00"/>
    <d v="2017-11-16T00:00:00"/>
    <x v="4"/>
    <n v="4"/>
    <n v="3"/>
    <n v="3"/>
    <n v="4"/>
    <s v="-"/>
    <n v="3"/>
    <n v="3"/>
    <s v="-"/>
    <n v="3"/>
    <s v="-"/>
    <s v="Yes"/>
    <n v="10004706"/>
    <d v="2015-10-16T00:00:00"/>
    <n v="3"/>
    <s v="Declined"/>
  </r>
  <r>
    <s v="Ofsted Webpage"/>
    <n v="52094"/>
    <n v="10002834"/>
    <s v="Hair and Beauty Industry Training Limited"/>
    <x v="4"/>
    <s v="Independent learning providers (including employer providers)"/>
    <s v="Durham"/>
    <s v="North East"/>
    <s v="North East, Yorkshire and the Humber"/>
    <n v="10037353"/>
    <s v="Independent Learning Provider (National) - Short"/>
    <x v="1"/>
    <s v="No"/>
    <d v="2017-10-25T00:00:00"/>
    <d v="2017-10-26T00:00:00"/>
    <d v="2017-11-15T00:00:00"/>
    <x v="1"/>
    <s v="-"/>
    <s v="-"/>
    <s v="-"/>
    <s v="-"/>
    <s v="-"/>
    <s v="-"/>
    <s v="-"/>
    <s v="-"/>
    <s v="-"/>
    <s v="-"/>
    <s v="Yes"/>
    <s v="ITS424454"/>
    <d v="2013-11-14T00:00:00"/>
    <n v="2"/>
    <s v="Not Applicable"/>
  </r>
  <r>
    <s v="Ofsted Webpage"/>
    <n v="59144"/>
    <n v="10019237"/>
    <s v="Activate Community and Education Services"/>
    <x v="5"/>
    <s v="Independent specialist colleges"/>
    <s v="Knowsley"/>
    <s v="North West"/>
    <s v="North West"/>
    <n v="10037420"/>
    <s v="ISC - Requires improvement"/>
    <x v="0"/>
    <s v="-"/>
    <d v="2017-10-16T00:00:00"/>
    <d v="2017-10-18T00:00:00"/>
    <d v="2017-11-15T00:00:00"/>
    <x v="3"/>
    <n v="2"/>
    <n v="2"/>
    <n v="2"/>
    <n v="2"/>
    <s v="-"/>
    <s v="-"/>
    <s v="-"/>
    <s v="-"/>
    <s v="-"/>
    <n v="2"/>
    <s v="Yes"/>
    <n v="10005971"/>
    <d v="2015-11-30T00:00:00"/>
    <n v="3"/>
    <s v="Improved"/>
  </r>
  <r>
    <s v="Ofsted Webpage"/>
    <n v="54636"/>
    <n v="10001473"/>
    <s v="STOKE-ON-TRENT UNITARY AUTHORITY"/>
    <x v="0"/>
    <s v="Community learning and skills providers"/>
    <s v="Stoke-on-Trent"/>
    <s v="West Midlands"/>
    <s v="West Midlands"/>
    <n v="10037417"/>
    <s v="Community Learning and Skills - Local authority - Requires Improvement"/>
    <x v="0"/>
    <s v="-"/>
    <d v="2017-10-17T00:00:00"/>
    <d v="2017-10-20T00:00:00"/>
    <d v="2017-11-15T00:00:00"/>
    <x v="0"/>
    <n v="3"/>
    <n v="3"/>
    <n v="3"/>
    <n v="3"/>
    <s v="-"/>
    <s v="-"/>
    <n v="3"/>
    <s v="-"/>
    <n v="2"/>
    <s v="-"/>
    <s v="Yes"/>
    <n v="10011511"/>
    <d v="2016-04-29T00:00:00"/>
    <n v="3"/>
    <s v="Stayed the Same"/>
  </r>
  <r>
    <s v="Ofsted Webpage"/>
    <n v="133823"/>
    <n v="10000975"/>
    <s v="Buckinghamshire New University"/>
    <x v="6"/>
    <s v="Higher education institutions"/>
    <s v="Buckinghamshire"/>
    <s v="South East"/>
    <s v="South East"/>
    <n v="10020120"/>
    <s v="FE in HE - Short"/>
    <x v="1"/>
    <s v="No"/>
    <d v="2017-10-17T00:00:00"/>
    <d v="2017-10-18T00:00:00"/>
    <d v="2017-11-15T00:00:00"/>
    <x v="1"/>
    <s v="-"/>
    <s v="-"/>
    <s v="-"/>
    <s v="-"/>
    <s v="-"/>
    <s v="-"/>
    <s v="-"/>
    <s v="-"/>
    <s v="-"/>
    <s v="-"/>
    <s v="Yes"/>
    <s v="ITS410058"/>
    <d v="2012-10-26T00:00:00"/>
    <n v="2"/>
    <s v="Not Applicable"/>
  </r>
  <r>
    <s v="Ofsted Webpage"/>
    <n v="130532"/>
    <n v="10000840"/>
    <s v="Bradford College"/>
    <x v="2"/>
    <s v="Colleges"/>
    <s v="Bradford"/>
    <s v="Yorkshire and The Humber"/>
    <s v="North East, Yorkshire and the Humber"/>
    <n v="10037383"/>
    <s v="FE College - Full"/>
    <x v="0"/>
    <s v="-"/>
    <d v="2017-10-10T00:00:00"/>
    <d v="2017-10-13T00:00:00"/>
    <d v="2017-11-14T00:00:00"/>
    <x v="0"/>
    <n v="3"/>
    <n v="3"/>
    <n v="3"/>
    <n v="3"/>
    <s v="-"/>
    <n v="3"/>
    <n v="2"/>
    <s v="-"/>
    <n v="2"/>
    <n v="3"/>
    <s v="Yes"/>
    <s v="ITS446537"/>
    <d v="2014-09-26T00:00:00"/>
    <n v="2"/>
    <s v="Declined"/>
  </r>
  <r>
    <s v="Ofsted Webpage"/>
    <n v="130824"/>
    <n v="10002130"/>
    <s v="East Surrey College"/>
    <x v="2"/>
    <s v="Colleges"/>
    <s v="Surrey"/>
    <s v="South East"/>
    <s v="South East"/>
    <n v="10041128"/>
    <s v="FE College - Short"/>
    <x v="1"/>
    <s v="No"/>
    <d v="2017-10-11T00:00:00"/>
    <d v="2017-10-12T00:00:00"/>
    <d v="2017-11-14T00:00:00"/>
    <x v="1"/>
    <s v="-"/>
    <s v="-"/>
    <s v="-"/>
    <s v="-"/>
    <s v="-"/>
    <s v="-"/>
    <s v="-"/>
    <s v="-"/>
    <s v="-"/>
    <s v="-"/>
    <s v="Yes"/>
    <s v="ITS446540"/>
    <d v="2014-12-12T00:00:00"/>
    <n v="2"/>
    <s v="Not Applicable"/>
  </r>
  <r>
    <s v="Ofsted Webpage"/>
    <n v="130714"/>
    <n v="10003022"/>
    <s v="Hereford College of Arts "/>
    <x v="10"/>
    <s v="Colleges"/>
    <s v="Herefordshire"/>
    <s v="West Midlands"/>
    <s v="West Midlands"/>
    <n v="10037381"/>
    <s v="FE College - Short"/>
    <x v="1"/>
    <s v="No"/>
    <d v="2017-10-11T00:00:00"/>
    <d v="2017-10-12T00:00:00"/>
    <d v="2017-11-13T00:00:00"/>
    <x v="1"/>
    <s v="-"/>
    <s v="-"/>
    <s v="-"/>
    <s v="-"/>
    <s v="-"/>
    <s v="-"/>
    <s v="-"/>
    <s v="-"/>
    <s v="-"/>
    <s v="-"/>
    <s v="Yes"/>
    <s v="ITS423372"/>
    <d v="2013-10-04T00:00:00"/>
    <n v="2"/>
    <s v="Not Applicable"/>
  </r>
  <r>
    <s v="Ofsted Webpage"/>
    <n v="53201"/>
    <n v="10004124"/>
    <s v="Luton Borough Council"/>
    <x v="0"/>
    <s v="Community learning and skills providers"/>
    <s v="Luton"/>
    <s v="East of England"/>
    <s v="East of England"/>
    <n v="10030786"/>
    <s v="Community Learning and Skills - Local authority - Short"/>
    <x v="1"/>
    <s v="No"/>
    <d v="2017-09-27T00:00:00"/>
    <d v="2017-09-28T00:00:00"/>
    <d v="2017-11-13T00:00:00"/>
    <x v="1"/>
    <s v="-"/>
    <s v="-"/>
    <s v="-"/>
    <s v="-"/>
    <s v="-"/>
    <s v="-"/>
    <s v="-"/>
    <s v="-"/>
    <s v="-"/>
    <s v="-"/>
    <s v="Yes"/>
    <s v="ITS434069"/>
    <d v="2014-10-03T00:00:00"/>
    <n v="2"/>
    <s v="Not Applicable"/>
  </r>
  <r>
    <s v="Ofsted Webpage"/>
    <n v="130467"/>
    <n v="10008641"/>
    <s v="Fircroft College of Adult Education"/>
    <x v="11"/>
    <s v="Community learning and skills providers"/>
    <s v="Birmingham"/>
    <s v="West Midlands"/>
    <s v="West Midlands"/>
    <n v="10041112"/>
    <s v="Community Learning and Skills - Specialist designated institution - Short"/>
    <x v="1"/>
    <s v="No"/>
    <d v="2017-10-10T00:00:00"/>
    <d v="2017-10-11T00:00:00"/>
    <d v="2017-11-10T00:00:00"/>
    <x v="1"/>
    <s v="-"/>
    <s v="-"/>
    <s v="-"/>
    <s v="-"/>
    <s v="-"/>
    <s v="-"/>
    <s v="-"/>
    <s v="-"/>
    <s v="-"/>
    <s v="-"/>
    <s v="Yes"/>
    <s v="ITS434066"/>
    <d v="2014-05-01T00:00:00"/>
    <n v="2"/>
    <s v="Not Applicable"/>
  </r>
  <r>
    <s v="Ofsted Webpage"/>
    <n v="54714"/>
    <n v="10006458"/>
    <s v="Swarthmore Education Centre"/>
    <x v="3"/>
    <s v="Community learning and skills providers"/>
    <s v="Leeds"/>
    <s v="Yorkshire and The Humber"/>
    <s v="North East, Yorkshire and the Humber"/>
    <n v="10037360"/>
    <s v="Community Learning and Skills - Not for profit organisation - Short"/>
    <x v="1"/>
    <s v="No"/>
    <d v="2017-10-03T00:00:00"/>
    <d v="2017-10-03T00:00:00"/>
    <d v="2017-11-10T00:00:00"/>
    <x v="1"/>
    <s v="-"/>
    <s v="-"/>
    <s v="-"/>
    <s v="-"/>
    <s v="-"/>
    <s v="-"/>
    <s v="-"/>
    <s v="-"/>
    <s v="-"/>
    <s v="-"/>
    <s v="Yes"/>
    <s v="ITS429151"/>
    <d v="2014-01-24T00:00:00"/>
    <n v="2"/>
    <s v="Not Applicable"/>
  </r>
  <r>
    <s v="Ofsted Webpage"/>
    <n v="52544"/>
    <n v="10003407"/>
    <s v="Adult and Community Learning Service, Isle of Wight Council"/>
    <x v="0"/>
    <s v="Community learning and skills providers"/>
    <s v="Isle of Wight"/>
    <s v="South East"/>
    <s v="South East"/>
    <n v="10037336"/>
    <s v="Community Learning and Skills - Local authority - Full"/>
    <x v="0"/>
    <s v="-"/>
    <d v="2017-10-04T00:00:00"/>
    <d v="2017-10-06T00:00:00"/>
    <d v="2017-11-10T00:00:00"/>
    <x v="0"/>
    <n v="3"/>
    <n v="3"/>
    <n v="3"/>
    <n v="3"/>
    <s v="-"/>
    <s v="-"/>
    <n v="3"/>
    <s v="-"/>
    <s v="-"/>
    <s v="-"/>
    <s v="Yes"/>
    <s v="ITS429244"/>
    <d v="2014-06-06T00:00:00"/>
    <n v="2"/>
    <s v="Declined"/>
  </r>
  <r>
    <s v="Ofsted Webpage"/>
    <n v="58118"/>
    <n v="10008591"/>
    <s v="West Yorkshire Learning Providers Ltd"/>
    <x v="3"/>
    <s v="Community learning and skills providers"/>
    <s v="Bradford"/>
    <s v="Yorkshire and The Humber"/>
    <s v="North East, Yorkshire and the Humber"/>
    <n v="10041105"/>
    <s v="Community Learning and Skills - Not for profit organisation - Short"/>
    <x v="1"/>
    <s v="No"/>
    <d v="2017-10-11T00:00:00"/>
    <d v="2017-10-12T00:00:00"/>
    <d v="2017-11-10T00:00:00"/>
    <x v="1"/>
    <s v="-"/>
    <s v="-"/>
    <s v="-"/>
    <s v="-"/>
    <s v="-"/>
    <s v="-"/>
    <s v="-"/>
    <s v="-"/>
    <s v="-"/>
    <s v="-"/>
    <s v="Yes"/>
    <s v="ITS429233"/>
    <d v="2014-05-02T00:00:00"/>
    <n v="2"/>
    <s v="Not Applicable"/>
  </r>
  <r>
    <s v="Ofsted Webpage"/>
    <n v="130693"/>
    <n v="10007928"/>
    <s v="Fareham College"/>
    <x v="2"/>
    <s v="Colleges"/>
    <s v="Hampshire"/>
    <s v="South East"/>
    <s v="South East"/>
    <n v="10030681"/>
    <s v="FE College - Full"/>
    <x v="2"/>
    <s v="Yes"/>
    <d v="2017-10-03T00:00:00"/>
    <d v="2017-10-06T00:00:00"/>
    <d v="2017-11-10T00:00:00"/>
    <x v="2"/>
    <n v="1"/>
    <n v="1"/>
    <n v="1"/>
    <n v="1"/>
    <s v="-"/>
    <n v="1"/>
    <n v="2"/>
    <s v="-"/>
    <n v="1"/>
    <s v="-"/>
    <s v="Yes"/>
    <s v="ITS409445"/>
    <d v="2013-05-03T00:00:00"/>
    <n v="2"/>
    <s v="Improved"/>
  </r>
  <r>
    <s v="Ofsted Webpage"/>
    <n v="52459"/>
    <n v="10003289"/>
    <s v="Independent Training Services Limited"/>
    <x v="3"/>
    <s v="Community learning and skills providers"/>
    <s v="Barnsley"/>
    <s v="Yorkshire and The Humber"/>
    <s v="North East, Yorkshire and the Humber"/>
    <n v="10041123"/>
    <s v="Community Learning and Skills - Not for profit organisation - Short"/>
    <x v="1"/>
    <s v="No"/>
    <d v="2017-10-03T00:00:00"/>
    <d v="2017-10-04T00:00:00"/>
    <d v="2017-11-08T00:00:00"/>
    <x v="1"/>
    <s v="-"/>
    <s v="-"/>
    <s v="-"/>
    <s v="-"/>
    <s v="-"/>
    <s v="-"/>
    <s v="-"/>
    <s v="-"/>
    <s v="-"/>
    <s v="-"/>
    <s v="Yes"/>
    <s v="ITS429272"/>
    <d v="2014-03-14T00:00:00"/>
    <n v="2"/>
    <s v="Not Applicable"/>
  </r>
  <r>
    <s v="Ofsted Webpage"/>
    <n v="130434"/>
    <n v="10003500"/>
    <s v="John Ruskin College"/>
    <x v="1"/>
    <s v="Colleges"/>
    <s v="Croydon"/>
    <s v="London"/>
    <s v="London"/>
    <n v="10030887"/>
    <s v="SFC - Full"/>
    <x v="0"/>
    <s v="-"/>
    <d v="2017-10-03T00:00:00"/>
    <d v="2017-10-06T00:00:00"/>
    <d v="2017-11-08T00:00:00"/>
    <x v="0"/>
    <n v="3"/>
    <n v="3"/>
    <n v="2"/>
    <n v="3"/>
    <s v="-"/>
    <n v="3"/>
    <s v="-"/>
    <s v="-"/>
    <n v="3"/>
    <s v="-"/>
    <s v="Yes"/>
    <s v="ITS423375"/>
    <d v="2013-10-04T00:00:00"/>
    <n v="1"/>
    <s v="Declined"/>
  </r>
  <r>
    <s v="Ofsted Webpage"/>
    <n v="130493"/>
    <n v="10007553"/>
    <s v="Wirral Metropolitan College"/>
    <x v="2"/>
    <s v="Colleges"/>
    <s v="Wirral"/>
    <s v="North West"/>
    <s v="North West"/>
    <n v="10037400"/>
    <s v="FE College - Requires improvement"/>
    <x v="0"/>
    <s v="-"/>
    <d v="2017-10-03T00:00:00"/>
    <d v="2017-10-06T00:00:00"/>
    <d v="2017-11-07T00:00:00"/>
    <x v="3"/>
    <n v="2"/>
    <n v="2"/>
    <n v="2"/>
    <n v="2"/>
    <s v="-"/>
    <n v="2"/>
    <n v="2"/>
    <n v="2"/>
    <n v="3"/>
    <n v="1"/>
    <s v="Yes"/>
    <n v="10004692"/>
    <d v="2015-12-09T00:00:00"/>
    <n v="3"/>
    <s v="Improved"/>
  </r>
  <r>
    <s v="Ofsted Webpage"/>
    <n v="58841"/>
    <n v="10019383"/>
    <s v="City Gateway"/>
    <x v="3"/>
    <s v="Community learning and skills providers"/>
    <s v="Tower Hamlets"/>
    <s v="London"/>
    <s v="London"/>
    <n v="10030696"/>
    <s v="Community Learning and Skills - Not for profit organisation - Full"/>
    <x v="0"/>
    <s v="-"/>
    <d v="2017-10-03T00:00:00"/>
    <d v="2017-10-06T00:00:00"/>
    <d v="2017-11-07T00:00:00"/>
    <x v="0"/>
    <n v="3"/>
    <n v="3"/>
    <n v="3"/>
    <n v="3"/>
    <s v="-"/>
    <s v="-"/>
    <n v="3"/>
    <s v="-"/>
    <n v="3"/>
    <s v="-"/>
    <s v="Yes"/>
    <s v="ITS452623"/>
    <d v="2015-03-19T00:00:00"/>
    <n v="2"/>
    <s v="Declined"/>
  </r>
  <r>
    <s v="Ofsted Webpage"/>
    <n v="130478"/>
    <n v="10003625"/>
    <s v="King Edward VI College Stourbridge"/>
    <x v="1"/>
    <s v="Colleges"/>
    <s v="Dudley"/>
    <s v="West Midlands"/>
    <s v="West Midlands"/>
    <n v="10037333"/>
    <s v="SFC - Full"/>
    <x v="0"/>
    <s v="-"/>
    <d v="2017-10-03T00:00:00"/>
    <d v="2017-10-06T00:00:00"/>
    <d v="2017-11-07T00:00:00"/>
    <x v="3"/>
    <n v="2"/>
    <n v="2"/>
    <n v="2"/>
    <n v="2"/>
    <s v="-"/>
    <n v="2"/>
    <s v="-"/>
    <s v="-"/>
    <s v="-"/>
    <s v="-"/>
    <s v="Yes"/>
    <s v="ITS318902"/>
    <d v="2008-02-06T00:00:00"/>
    <n v="1"/>
    <s v="Declined"/>
  </r>
  <r>
    <s v="Ofsted Webpage"/>
    <n v="50213"/>
    <n v="10000703"/>
    <s v="Birmingham City Council"/>
    <x v="0"/>
    <s v="Community learning and skills providers"/>
    <s v="Birmingham"/>
    <s v="West Midlands"/>
    <s v="West Midlands"/>
    <n v="10037350"/>
    <s v="Community Learning and Skills - Local authority - Full"/>
    <x v="2"/>
    <s v="Yes"/>
    <d v="2017-09-26T00:00:00"/>
    <d v="2017-09-29T00:00:00"/>
    <d v="2017-11-03T00:00:00"/>
    <x v="0"/>
    <n v="3"/>
    <n v="3"/>
    <n v="2"/>
    <n v="3"/>
    <s v="-"/>
    <s v="-"/>
    <n v="3"/>
    <s v="-"/>
    <s v="-"/>
    <s v="-"/>
    <s v="Yes"/>
    <s v="ITS430076"/>
    <d v="2014-02-28T00:00:00"/>
    <n v="2"/>
    <s v="Declined"/>
  </r>
  <r>
    <s v="Ofsted Webpage"/>
    <n v="52843"/>
    <n v="10003586"/>
    <s v="KETTERING BOROUGH COUNCIL"/>
    <x v="0"/>
    <s v="Community learning and skills providers"/>
    <s v="Northamptonshire"/>
    <s v="East Midlands"/>
    <s v="East Midlands"/>
    <n v="10030708"/>
    <s v="Community Learning and Skills - Local authority - Requires Improvement"/>
    <x v="0"/>
    <s v="-"/>
    <d v="2017-09-20T00:00:00"/>
    <d v="2017-09-22T00:00:00"/>
    <d v="2017-11-02T00:00:00"/>
    <x v="0"/>
    <n v="3"/>
    <n v="3"/>
    <n v="3"/>
    <n v="3"/>
    <s v="-"/>
    <n v="3"/>
    <s v="-"/>
    <s v="-"/>
    <s v="-"/>
    <s v="-"/>
    <s v="Yes"/>
    <n v="10005149"/>
    <d v="2015-10-08T00:00:00"/>
    <n v="3"/>
    <s v="Stayed the Same"/>
  </r>
  <r>
    <s v="Ofsted Webpage"/>
    <n v="58929"/>
    <n v="10026072"/>
    <s v="Nestor Primecare Services Limited"/>
    <x v="7"/>
    <s v="Independent learning providers (including employer providers)"/>
    <s v="Staffordshire"/>
    <s v="West Midlands"/>
    <s v="West Midlands"/>
    <n v="10037418"/>
    <s v="Independent Learning Provider (National) - Requires improvement"/>
    <x v="0"/>
    <s v="-"/>
    <d v="2017-09-19T00:00:00"/>
    <d v="2017-09-22T00:00:00"/>
    <d v="2017-11-02T00:00:00"/>
    <x v="4"/>
    <n v="4"/>
    <n v="4"/>
    <n v="4"/>
    <n v="4"/>
    <s v="-"/>
    <s v="-"/>
    <s v="-"/>
    <s v="-"/>
    <n v="4"/>
    <s v="-"/>
    <s v="No"/>
    <n v="10005082"/>
    <d v="2016-02-19T00:00:00"/>
    <n v="3"/>
    <s v="Declined"/>
  </r>
  <r>
    <s v="Ofsted Webpage"/>
    <n v="50795"/>
    <n v="10000831"/>
    <s v="BPP Holdings Limited"/>
    <x v="4"/>
    <s v="Independent learning providers (including employer providers)"/>
    <s v="Reading"/>
    <s v="South East"/>
    <s v="South East"/>
    <n v="10039585"/>
    <s v="Independent Learning Provider (National) - Full"/>
    <x v="0"/>
    <s v="-"/>
    <d v="2017-09-26T00:00:00"/>
    <d v="2017-09-29T00:00:00"/>
    <d v="2017-11-02T00:00:00"/>
    <x v="3"/>
    <n v="2"/>
    <n v="2"/>
    <n v="2"/>
    <n v="2"/>
    <s v="-"/>
    <s v="-"/>
    <s v="-"/>
    <s v="-"/>
    <n v="2"/>
    <s v="-"/>
    <s v="Yes"/>
    <s v="ITS363609"/>
    <d v="2010-09-24T00:00:00"/>
    <n v="2"/>
    <s v="Stayed the Same"/>
  </r>
  <r>
    <s v="Ofsted Webpage"/>
    <n v="51097"/>
    <n v="10032017"/>
    <s v="Community Learning in Partnership (CLIP) CIC"/>
    <x v="3"/>
    <s v="Community learning and skills providers"/>
    <s v="Lincolnshire"/>
    <s v="East Midlands"/>
    <s v="East Midlands"/>
    <n v="10037352"/>
    <s v="Community Learning and Skills - Not for profit organisation - Short"/>
    <x v="1"/>
    <s v="No"/>
    <d v="2017-10-04T00:00:00"/>
    <d v="2017-10-04T00:00:00"/>
    <d v="2017-11-01T00:00:00"/>
    <x v="1"/>
    <s v="-"/>
    <s v="-"/>
    <s v="-"/>
    <s v="-"/>
    <s v="-"/>
    <s v="-"/>
    <s v="-"/>
    <s v="-"/>
    <s v="-"/>
    <s v="-"/>
    <s v="Yes"/>
    <s v="ITS429087"/>
    <d v="2014-02-07T00:00:00"/>
    <n v="2"/>
    <s v="Not Applicable"/>
  </r>
  <r>
    <s v="Ofsted Webpage"/>
    <n v="130655"/>
    <n v="10003676"/>
    <s v="Kingston Maurward College"/>
    <x v="10"/>
    <s v="Colleges"/>
    <s v="Dorset"/>
    <s v="South West"/>
    <s v="South West"/>
    <n v="10037373"/>
    <s v="FE College - Short"/>
    <x v="1"/>
    <s v="No"/>
    <d v="2017-10-10T00:00:00"/>
    <d v="2017-10-11T00:00:00"/>
    <d v="2017-11-01T00:00:00"/>
    <x v="1"/>
    <s v="-"/>
    <s v="-"/>
    <s v="-"/>
    <s v="-"/>
    <s v="-"/>
    <s v="-"/>
    <s v="-"/>
    <s v="-"/>
    <s v="-"/>
    <s v="-"/>
    <s v="Yes"/>
    <s v="ITS430267"/>
    <d v="2014-10-03T00:00:00"/>
    <n v="2"/>
    <s v="Not Applicable"/>
  </r>
  <r>
    <s v="Ofsted Webpage"/>
    <n v="53774"/>
    <n v="10002331"/>
    <s v="EMBS Community College Limited"/>
    <x v="4"/>
    <s v="Independent learning providers (including employer providers)"/>
    <s v="Oxfordshire"/>
    <s v="South East"/>
    <s v="South East"/>
    <n v="10037347"/>
    <s v="Independent Learning Provider (Regional) - Short"/>
    <x v="1"/>
    <s v="No"/>
    <d v="2017-10-04T00:00:00"/>
    <d v="2017-10-05T00:00:00"/>
    <d v="2017-11-01T00:00:00"/>
    <x v="1"/>
    <s v="-"/>
    <s v="-"/>
    <s v="-"/>
    <s v="-"/>
    <s v="-"/>
    <s v="-"/>
    <s v="-"/>
    <s v="-"/>
    <s v="-"/>
    <s v="-"/>
    <s v="Yes"/>
    <s v="ITS429108"/>
    <d v="2013-12-13T00:00:00"/>
    <n v="2"/>
    <s v="Not Applicable"/>
  </r>
  <r>
    <s v="Ofsted Webpage"/>
    <n v="54719"/>
    <n v="10006462"/>
    <s v="SWINDON UNITARY AUTHORITY"/>
    <x v="0"/>
    <s v="Community learning and skills providers"/>
    <s v="Swindon"/>
    <s v="South West"/>
    <s v="South West"/>
    <n v="10039739"/>
    <s v="Community Learning and Skills - Local authority - Full"/>
    <x v="2"/>
    <s v="Yes"/>
    <d v="2017-09-26T00:00:00"/>
    <d v="2017-10-11T00:00:00"/>
    <d v="2017-11-01T00:00:00"/>
    <x v="0"/>
    <n v="3"/>
    <n v="3"/>
    <n v="2"/>
    <n v="3"/>
    <s v="-"/>
    <s v="-"/>
    <n v="3"/>
    <s v="-"/>
    <s v="-"/>
    <s v="-"/>
    <s v="Yes"/>
    <s v="ITS423429"/>
    <d v="2013-10-04T00:00:00"/>
    <n v="2"/>
    <s v="Declined"/>
  </r>
  <r>
    <s v="Ofsted Webpage"/>
    <n v="50128"/>
    <n v="10002697"/>
    <s v="Adult Education In Gloucestershire"/>
    <x v="0"/>
    <s v="Community learning and skills providers"/>
    <s v="Gloucestershire"/>
    <s v="South West"/>
    <s v="South West"/>
    <n v="10037328"/>
    <s v="Community Learning and Skills - Local authority - Short"/>
    <x v="1"/>
    <s v="No"/>
    <d v="2017-10-03T00:00:00"/>
    <d v="2017-10-04T00:00:00"/>
    <d v="2017-11-01T00:00:00"/>
    <x v="1"/>
    <s v="-"/>
    <s v="-"/>
    <s v="-"/>
    <s v="-"/>
    <s v="-"/>
    <s v="-"/>
    <s v="-"/>
    <s v="-"/>
    <s v="-"/>
    <s v="-"/>
    <s v="Yes"/>
    <s v="ITS429144"/>
    <d v="2014-01-31T00:00:00"/>
    <n v="2"/>
    <s v="Not Applicable"/>
  </r>
  <r>
    <s v="Ofsted Webpage"/>
    <n v="130759"/>
    <n v="10002743"/>
    <s v="Grantham College"/>
    <x v="2"/>
    <s v="Colleges"/>
    <s v="Lincolnshire"/>
    <s v="East Midlands"/>
    <s v="East Midlands"/>
    <n v="10030741"/>
    <s v="FE College - Requires improvement"/>
    <x v="0"/>
    <s v="-"/>
    <d v="2017-09-19T00:00:00"/>
    <d v="2017-09-22T00:00:00"/>
    <d v="2017-10-31T00:00:00"/>
    <x v="3"/>
    <n v="2"/>
    <n v="2"/>
    <n v="2"/>
    <n v="2"/>
    <s v="-"/>
    <n v="2"/>
    <n v="2"/>
    <s v="-"/>
    <n v="2"/>
    <n v="2"/>
    <s v="Yes"/>
    <n v="10004759"/>
    <d v="2015-12-18T00:00:00"/>
    <n v="3"/>
    <s v="Improved"/>
  </r>
  <r>
    <s v="Ofsted Webpage"/>
    <n v="133785"/>
    <n v="10000712"/>
    <s v="University College Birmingham"/>
    <x v="6"/>
    <s v="Higher education institutions"/>
    <s v="Birmingham"/>
    <s v="West Midlands"/>
    <s v="West Midlands"/>
    <n v="10037421"/>
    <s v="FE in HE - Full"/>
    <x v="0"/>
    <s v="-"/>
    <d v="2017-10-03T00:00:00"/>
    <d v="2017-10-06T00:00:00"/>
    <d v="2017-10-30T00:00:00"/>
    <x v="3"/>
    <n v="2"/>
    <n v="2"/>
    <n v="1"/>
    <n v="2"/>
    <s v="-"/>
    <n v="2"/>
    <n v="2"/>
    <s v="-"/>
    <n v="2"/>
    <s v="-"/>
    <s v="Yes"/>
    <s v="ITS385352"/>
    <d v="2012-02-10T00:00:00"/>
    <n v="1"/>
    <s v="Declined"/>
  </r>
  <r>
    <s v="Ofsted Webpage"/>
    <n v="130837"/>
    <n v="10006002"/>
    <s v="Stratford-upon-Avon College"/>
    <x v="2"/>
    <s v="Colleges"/>
    <s v="Warwickshire"/>
    <s v="West Midlands"/>
    <s v="West Midlands"/>
    <n v="10037376"/>
    <s v="FE College - Full"/>
    <x v="0"/>
    <s v="-"/>
    <d v="2017-09-19T00:00:00"/>
    <d v="2017-09-22T00:00:00"/>
    <d v="2017-10-30T00:00:00"/>
    <x v="0"/>
    <n v="3"/>
    <n v="3"/>
    <n v="2"/>
    <n v="3"/>
    <s v="-"/>
    <n v="3"/>
    <n v="2"/>
    <s v="-"/>
    <n v="3"/>
    <n v="2"/>
    <s v="Yes"/>
    <s v="ITS433769"/>
    <d v="2015-03-20T00:00:00"/>
    <n v="2"/>
    <s v="Declined"/>
  </r>
  <r>
    <s v="Ofsted Webpage"/>
    <n v="58791"/>
    <n v="10024426"/>
    <s v="Vector Aerospace International Limited"/>
    <x v="4"/>
    <s v="Independent learning providers (including employer providers)"/>
    <s v="Hampshire"/>
    <s v="South East"/>
    <s v="South East"/>
    <n v="10039584"/>
    <s v="Independent Learning Provider (Regional) - Short"/>
    <x v="1"/>
    <s v="No"/>
    <d v="2017-09-27T00:00:00"/>
    <d v="2017-09-27T00:00:00"/>
    <d v="2017-10-27T00:00:00"/>
    <x v="1"/>
    <s v="-"/>
    <s v="-"/>
    <s v="-"/>
    <s v="-"/>
    <s v="-"/>
    <s v="-"/>
    <s v="-"/>
    <s v="-"/>
    <s v="-"/>
    <s v="-"/>
    <s v="Yes"/>
    <s v="ITS434061"/>
    <d v="2014-07-11T00:00:00"/>
    <n v="2"/>
    <s v="Not Applicable"/>
  </r>
  <r>
    <s v="Ofsted Webpage"/>
    <n v="50227"/>
    <n v="10002910"/>
    <s v="Harrow London Borough Council"/>
    <x v="0"/>
    <s v="Community learning and skills providers"/>
    <s v="Harrow"/>
    <s v="London"/>
    <s v="London"/>
    <n v="10037351"/>
    <s v="Community Learning and Skills - Local authority - Short"/>
    <x v="1"/>
    <s v="No"/>
    <d v="2017-09-27T00:00:00"/>
    <d v="2017-09-28T00:00:00"/>
    <d v="2017-10-27T00:00:00"/>
    <x v="1"/>
    <s v="-"/>
    <s v="-"/>
    <s v="-"/>
    <s v="-"/>
    <s v="-"/>
    <s v="-"/>
    <s v="-"/>
    <s v="-"/>
    <s v="-"/>
    <s v="-"/>
    <s v="Yes"/>
    <s v="ITS423412"/>
    <d v="2013-10-18T00:00:00"/>
    <n v="2"/>
    <s v="Not Applicable"/>
  </r>
  <r>
    <s v="Ofsted Webpage"/>
    <n v="59094"/>
    <n v="10034309"/>
    <s v="ESG (Skills) Limited"/>
    <x v="4"/>
    <s v="Independent learning providers (including employer providers)"/>
    <s v="Sheffield"/>
    <s v="Yorkshire and The Humber"/>
    <s v="North East, Yorkshire and the Humber"/>
    <n v="10033381"/>
    <s v="Independent Learning Provider (National) - Short"/>
    <x v="1"/>
    <s v="No"/>
    <d v="2017-09-26T00:00:00"/>
    <d v="2017-09-27T00:00:00"/>
    <d v="2017-10-27T00:00:00"/>
    <x v="1"/>
    <s v="-"/>
    <s v="-"/>
    <s v="-"/>
    <s v="-"/>
    <s v="-"/>
    <s v="-"/>
    <s v="-"/>
    <s v="-"/>
    <s v="-"/>
    <s v="-"/>
    <s v="Yes"/>
    <s v="ITS423830"/>
    <d v="2013-12-13T00:00:00"/>
    <n v="2"/>
    <s v="Not Applicable"/>
  </r>
  <r>
    <s v="Ofsted Webpage"/>
    <n v="1237204"/>
    <n v="10007706"/>
    <s v="Activ8 Learning"/>
    <x v="4"/>
    <s v="Independent learning providers (including employer providers)"/>
    <s v="York"/>
    <s v="Yorkshire and The Humber"/>
    <s v="North East, Yorkshire and the Humber"/>
    <n v="10037429"/>
    <s v="Independent Learning Provider (Regional) - Full"/>
    <x v="0"/>
    <s v="-"/>
    <d v="2017-09-20T00:00:00"/>
    <d v="2017-09-22T00:00:00"/>
    <d v="2017-10-27T00:00:00"/>
    <x v="4"/>
    <n v="4"/>
    <n v="4"/>
    <n v="4"/>
    <n v="4"/>
    <s v="-"/>
    <s v="-"/>
    <n v="4"/>
    <s v="-"/>
    <s v="-"/>
    <s v="-"/>
    <s v="Yes"/>
    <s v="NULL"/>
    <s v="NULL"/>
    <s v="NULL"/>
    <s v="Not Applicable"/>
  </r>
  <r>
    <s v="Ofsted Webpage"/>
    <n v="130476"/>
    <n v="10002852"/>
    <s v="Halesowen College"/>
    <x v="2"/>
    <s v="Colleges"/>
    <s v="Dudley"/>
    <s v="West Midlands"/>
    <s v="West Midlands"/>
    <n v="10022584"/>
    <s v="FE College - Full"/>
    <x v="0"/>
    <s v="-"/>
    <d v="2017-09-18T00:00:00"/>
    <d v="2017-09-21T00:00:00"/>
    <d v="2017-10-26T00:00:00"/>
    <x v="3"/>
    <n v="2"/>
    <n v="2"/>
    <n v="2"/>
    <n v="2"/>
    <s v="-"/>
    <n v="2"/>
    <s v="-"/>
    <s v="-"/>
    <n v="2"/>
    <s v="-"/>
    <s v="Yes"/>
    <s v="ITS409317"/>
    <d v="2013-06-07T00:00:00"/>
    <n v="2"/>
    <s v="Stayed the Same"/>
  </r>
  <r>
    <s v="Ofsted Webpage"/>
    <n v="58362"/>
    <n v="10009491"/>
    <s v="Mainstream Training Limited"/>
    <x v="4"/>
    <s v="Independent learning providers (including employer providers)"/>
    <s v="Kent"/>
    <s v="South East"/>
    <s v="South East"/>
    <n v="10040411"/>
    <s v="Independent Learning Provider (Regional) - Short"/>
    <x v="1"/>
    <s v="No"/>
    <d v="2017-09-19T00:00:00"/>
    <d v="2017-09-20T00:00:00"/>
    <d v="2017-10-25T00:00:00"/>
    <x v="1"/>
    <s v="-"/>
    <s v="-"/>
    <s v="-"/>
    <s v="-"/>
    <s v="-"/>
    <s v="-"/>
    <s v="-"/>
    <s v="-"/>
    <s v="-"/>
    <s v="-"/>
    <s v="Yes"/>
    <s v="ITS446612"/>
    <d v="2014-12-05T00:00:00"/>
    <n v="2"/>
    <s v="Not Applicable"/>
  </r>
  <r>
    <s v="Ofsted Webpage"/>
    <n v="130757"/>
    <n v="10005429"/>
    <s v="Regent College"/>
    <x v="1"/>
    <s v="Colleges"/>
    <s v="Leicester"/>
    <s v="East Midlands"/>
    <s v="East Midlands"/>
    <n v="10040628"/>
    <s v="SFC - Requires improvement"/>
    <x v="0"/>
    <s v="-"/>
    <d v="2017-09-19T00:00:00"/>
    <d v="2017-09-22T00:00:00"/>
    <d v="2017-10-24T00:00:00"/>
    <x v="3"/>
    <n v="2"/>
    <n v="2"/>
    <n v="2"/>
    <n v="2"/>
    <s v="-"/>
    <n v="2"/>
    <s v="-"/>
    <s v="-"/>
    <n v="3"/>
    <s v="-"/>
    <s v="Yes"/>
    <n v="10004758"/>
    <d v="2016-03-24T00:00:00"/>
    <n v="3"/>
    <s v="Improved"/>
  </r>
  <r>
    <s v="Ofsted Webpage"/>
    <n v="58472"/>
    <n v="10010940"/>
    <s v="Inspire 2 Independence (I2I) Ltd"/>
    <x v="4"/>
    <s v="Independent learning providers (including employer providers)"/>
    <s v="York"/>
    <s v="Yorkshire and The Humber"/>
    <s v="North East, Yorkshire and the Humber"/>
    <n v="10037380"/>
    <s v="Independent Learning Provider (National) - Full"/>
    <x v="2"/>
    <s v="Yes"/>
    <d v="2017-09-12T00:00:00"/>
    <d v="2017-09-15T00:00:00"/>
    <d v="2017-10-23T00:00:00"/>
    <x v="0"/>
    <n v="3"/>
    <n v="3"/>
    <n v="2"/>
    <n v="3"/>
    <s v="-"/>
    <s v="-"/>
    <n v="2"/>
    <s v="-"/>
    <n v="3"/>
    <s v="-"/>
    <s v="Yes"/>
    <s v="ITS429265"/>
    <d v="2014-07-04T00:00:00"/>
    <n v="2"/>
    <s v="Declined"/>
  </r>
  <r>
    <s v="Ofsted Webpage"/>
    <n v="138966"/>
    <n v="10039420"/>
    <s v="Shooters Hill Sixth Form College"/>
    <x v="8"/>
    <s v="16-19 academies"/>
    <s v="Greenwich"/>
    <s v="London"/>
    <s v="London"/>
    <n v="10037410"/>
    <s v="16-19 academy - Requires Improvement"/>
    <x v="0"/>
    <s v="-"/>
    <d v="2017-09-18T00:00:00"/>
    <d v="2017-09-21T00:00:00"/>
    <d v="2017-10-23T00:00:00"/>
    <x v="0"/>
    <n v="3"/>
    <n v="3"/>
    <n v="3"/>
    <n v="3"/>
    <s v="-"/>
    <n v="3"/>
    <s v="-"/>
    <s v="-"/>
    <s v="-"/>
    <n v="2"/>
    <s v="Yes"/>
    <n v="10004818"/>
    <d v="2015-10-22T00:00:00"/>
    <n v="3"/>
    <s v="Stayed the Same"/>
  </r>
  <r>
    <s v="Ofsted Webpage"/>
    <n v="130809"/>
    <n v="10001004"/>
    <s v="Burton and South Derbyshire College"/>
    <x v="2"/>
    <s v="Colleges"/>
    <s v="Staffordshire"/>
    <s v="West Midlands"/>
    <s v="West Midlands"/>
    <n v="10037406"/>
    <s v="FE College - Requires improvement"/>
    <x v="0"/>
    <s v="-"/>
    <d v="2017-09-26T00:00:00"/>
    <d v="2017-09-29T00:00:00"/>
    <d v="2017-10-20T00:00:00"/>
    <x v="3"/>
    <n v="2"/>
    <n v="2"/>
    <n v="2"/>
    <n v="2"/>
    <s v="-"/>
    <n v="2"/>
    <n v="2"/>
    <s v="-"/>
    <n v="2"/>
    <n v="2"/>
    <s v="Yes"/>
    <n v="10008495"/>
    <d v="2016-03-04T00:00:00"/>
    <n v="3"/>
    <s v="Improved"/>
  </r>
  <r>
    <s v="Ofsted Webpage"/>
    <n v="58277"/>
    <n v="10018942"/>
    <s v="Steadfast Training Ltd"/>
    <x v="4"/>
    <s v="Independent learning providers (including employer providers)"/>
    <s v="Lincolnshire"/>
    <s v="East Midlands"/>
    <s v="East Midlands"/>
    <n v="10037341"/>
    <s v="Independent Learning Provider (Regional) - Short"/>
    <x v="1"/>
    <s v="No"/>
    <d v="2017-09-27T00:00:00"/>
    <d v="2017-09-28T00:00:00"/>
    <d v="2017-10-20T00:00:00"/>
    <x v="1"/>
    <s v="-"/>
    <s v="-"/>
    <s v="-"/>
    <s v="-"/>
    <s v="-"/>
    <s v="-"/>
    <s v="-"/>
    <s v="-"/>
    <s v="-"/>
    <s v="-"/>
    <s v="Yes"/>
    <s v="ITS434054"/>
    <d v="2014-07-04T00:00:00"/>
    <n v="2"/>
    <s v="Not Applicable"/>
  </r>
  <r>
    <s v="Ofsted Webpage"/>
    <n v="58177"/>
    <n v="10001149"/>
    <s v="Capita PLC"/>
    <x v="7"/>
    <s v="Independent learning providers (including employer providers)"/>
    <s v="City of London"/>
    <s v="London"/>
    <s v="London"/>
    <n v="10022581"/>
    <s v="Independent Learning Provider (National) - Full"/>
    <x v="0"/>
    <s v="-"/>
    <d v="2017-09-12T00:00:00"/>
    <d v="2017-09-15T00:00:00"/>
    <d v="2017-10-20T00:00:00"/>
    <x v="3"/>
    <n v="2"/>
    <n v="2"/>
    <n v="1"/>
    <n v="2"/>
    <s v="-"/>
    <s v="-"/>
    <n v="2"/>
    <n v="3"/>
    <n v="2"/>
    <s v="-"/>
    <s v="Yes"/>
    <s v="ITS404579"/>
    <d v="2012-10-26T00:00:00"/>
    <n v="2"/>
    <s v="Stayed the Same"/>
  </r>
  <r>
    <s v="Ofsted Webpage"/>
    <n v="130414"/>
    <n v="10004204"/>
    <s v="The Marine Society College of the Sea"/>
    <x v="11"/>
    <s v="Community learning and skills providers"/>
    <s v="Lambeth"/>
    <s v="London"/>
    <s v="London"/>
    <n v="10037396"/>
    <s v="Community Learning and Skills - Specialist designated institution - Requires Improvement"/>
    <x v="0"/>
    <s v="-"/>
    <d v="2017-09-28T00:00:00"/>
    <d v="2017-09-29T00:00:00"/>
    <d v="2017-10-19T00:00:00"/>
    <x v="3"/>
    <n v="2"/>
    <n v="2"/>
    <n v="2"/>
    <n v="2"/>
    <s v="-"/>
    <s v="-"/>
    <n v="2"/>
    <s v="-"/>
    <s v="-"/>
    <s v="-"/>
    <s v="Yes"/>
    <n v="10004667"/>
    <d v="2016-01-22T00:00:00"/>
    <n v="3"/>
    <s v="Improved"/>
  </r>
  <r>
    <s v="Ofsted Webpage"/>
    <n v="130519"/>
    <n v="10005998"/>
    <s v="Trafford College"/>
    <x v="2"/>
    <s v="Colleges"/>
    <s v="Trafford"/>
    <s v="North West"/>
    <s v="North West"/>
    <n v="10040550"/>
    <s v="FE College - Short"/>
    <x v="1"/>
    <s v="No"/>
    <d v="2017-09-19T00:00:00"/>
    <d v="2017-09-20T00:00:00"/>
    <d v="2017-10-18T00:00:00"/>
    <x v="1"/>
    <s v="-"/>
    <s v="-"/>
    <s v="-"/>
    <s v="-"/>
    <s v="-"/>
    <s v="-"/>
    <s v="-"/>
    <s v="-"/>
    <s v="-"/>
    <s v="-"/>
    <s v="Yes"/>
    <s v="ITS452485"/>
    <d v="2015-01-23T00:00:00"/>
    <n v="2"/>
    <s v="Not Applicable"/>
  </r>
  <r>
    <s v="Ofsted Webpage"/>
    <n v="58719"/>
    <n v="10010571"/>
    <s v="First City Training Limited"/>
    <x v="4"/>
    <s v="Independent learning providers (including employer providers)"/>
    <s v="Swindon"/>
    <s v="South West"/>
    <s v="South West"/>
    <n v="10030750"/>
    <s v="Independent Learning Provider (Regional) - Requires Improvement"/>
    <x v="0"/>
    <s v="-"/>
    <d v="2017-09-12T00:00:00"/>
    <d v="2017-09-14T00:00:00"/>
    <d v="2017-10-12T00:00:00"/>
    <x v="4"/>
    <n v="4"/>
    <n v="4"/>
    <n v="3"/>
    <n v="4"/>
    <s v="-"/>
    <s v="-"/>
    <n v="3"/>
    <s v="-"/>
    <n v="4"/>
    <s v="-"/>
    <s v="No"/>
    <n v="10005075"/>
    <d v="2016-01-22T00:00:00"/>
    <n v="3"/>
    <s v="Declined"/>
  </r>
  <r>
    <s v="Ofsted Webpage"/>
    <n v="130492"/>
    <n v="10003640"/>
    <s v="King George V College"/>
    <x v="1"/>
    <s v="Colleges"/>
    <s v="Sefton"/>
    <s v="North West"/>
    <s v="North West"/>
    <n v="10037399"/>
    <s v="SFC - Requires improvement"/>
    <x v="0"/>
    <s v="-"/>
    <d v="2017-09-20T00:00:00"/>
    <d v="2017-09-22T00:00:00"/>
    <d v="2017-10-12T00:00:00"/>
    <x v="3"/>
    <n v="2"/>
    <n v="2"/>
    <n v="2"/>
    <n v="2"/>
    <s v="-"/>
    <n v="2"/>
    <s v="-"/>
    <s v="-"/>
    <s v="-"/>
    <s v="-"/>
    <s v="Yes"/>
    <n v="10004690"/>
    <d v="2015-12-03T00:00:00"/>
    <n v="3"/>
    <s v="Improved"/>
  </r>
  <r>
    <s v="Ofsted Webpage"/>
    <n v="53422"/>
    <n v="10004434"/>
    <s v="Morthyng Group Limited"/>
    <x v="3"/>
    <s v="Community learning and skills providers"/>
    <s v="Rotherham"/>
    <s v="Yorkshire and The Humber"/>
    <s v="North East, Yorkshire and the Humber"/>
    <n v="10022480"/>
    <s v="Community Learning and Skills - Not for profit organisation - Full"/>
    <x v="0"/>
    <s v="-"/>
    <d v="2017-09-12T00:00:00"/>
    <d v="2017-09-15T00:00:00"/>
    <d v="2017-10-11T00:00:00"/>
    <x v="3"/>
    <n v="2"/>
    <n v="2"/>
    <n v="2"/>
    <n v="2"/>
    <s v="-"/>
    <n v="2"/>
    <s v="-"/>
    <s v="-"/>
    <s v="-"/>
    <s v="-"/>
    <s v="Yes"/>
    <s v="ITS452205"/>
    <d v="2014-10-17T00:00:00"/>
    <n v="2"/>
    <s v="Stayed the Same"/>
  </r>
  <r>
    <s v="Ofsted Webpage"/>
    <n v="59172"/>
    <n v="10013122"/>
    <s v="SYSCO BUSINESS SKILLS ACADEMY LIMITED"/>
    <x v="4"/>
    <s v="Independent learning providers (including employer providers)"/>
    <s v="Liverpool"/>
    <s v="North West"/>
    <s v="North West"/>
    <n v="10030737"/>
    <s v="Independent Learning Provider (Regional) - Short"/>
    <x v="1"/>
    <s v="No"/>
    <d v="2017-09-11T00:00:00"/>
    <d v="2017-09-12T00:00:00"/>
    <d v="2017-10-11T00:00:00"/>
    <x v="1"/>
    <s v="-"/>
    <s v="-"/>
    <s v="-"/>
    <s v="-"/>
    <s v="-"/>
    <s v="-"/>
    <s v="-"/>
    <s v="-"/>
    <s v="-"/>
    <s v="-"/>
    <s v="Yes"/>
    <s v="ITS433553"/>
    <d v="2013-11-15T00:00:00"/>
    <n v="2"/>
    <s v="Not Applicable"/>
  </r>
  <r>
    <s v="Ofsted Webpage"/>
    <n v="53574"/>
    <n v="10004547"/>
    <s v="North East Employment &amp; Training Agency Ltd"/>
    <x v="4"/>
    <s v="Independent learning providers (including employer providers)"/>
    <s v="North Tyneside"/>
    <s v="North East"/>
    <s v="North East, Yorkshire and the Humber"/>
    <n v="10037337"/>
    <s v="Independent Learning Provider (Regional) - Short"/>
    <x v="1"/>
    <s v="No"/>
    <d v="2017-09-12T00:00:00"/>
    <d v="2017-09-13T00:00:00"/>
    <d v="2017-10-09T00:00:00"/>
    <x v="1"/>
    <s v="-"/>
    <s v="-"/>
    <s v="-"/>
    <s v="-"/>
    <s v="-"/>
    <s v="-"/>
    <s v="-"/>
    <s v="-"/>
    <s v="-"/>
    <s v="-"/>
    <s v="Yes"/>
    <s v="ITS429225"/>
    <d v="2014-06-27T00:00:00"/>
    <n v="2"/>
    <s v="Not Applicable"/>
  </r>
</pivotCacheRecords>
</file>

<file path=xl/pivotCache/pivotCacheRecords2.xml><?xml version="1.0" encoding="utf-8"?>
<pivotCacheRecords xmlns="http://schemas.openxmlformats.org/spreadsheetml/2006/main" xmlns:r="http://schemas.openxmlformats.org/officeDocument/2006/relationships" count="1314">
  <r>
    <s v="Ofsted Webpage"/>
    <n v="50009"/>
    <n v="10009064"/>
    <s v="Cambridge Performing Arts Course"/>
    <x v="0"/>
    <s v="Dance and drama colleges"/>
    <s v="Cambridgeshire"/>
    <s v="East of England"/>
    <s v="East of England"/>
    <s v="NULL"/>
    <s v="NULL"/>
    <n v="10004842"/>
    <s v="Dance and drama - Full"/>
    <d v="2016-01-13T00:00:00"/>
    <d v="2016-01-14T00:00:00"/>
    <d v="2016-02-12T00:00:00"/>
    <x v="0"/>
    <n v="2"/>
    <n v="2"/>
    <n v="2"/>
    <n v="2"/>
    <s v="ITS387995"/>
    <d v="2012-06-28T00:00:00"/>
    <s v="-"/>
    <s v="-"/>
    <s v="-"/>
    <s v="-"/>
    <s v="-"/>
    <s v="Not Applicable"/>
  </r>
  <r>
    <s v="Ofsted Webpage"/>
    <n v="50010"/>
    <n v="10003959"/>
    <s v="Liverpool Theatre School &amp; College Limited"/>
    <x v="0"/>
    <s v="Dance and drama colleges"/>
    <s v="Liverpool"/>
    <s v="North West"/>
    <s v="North West"/>
    <s v="NULL"/>
    <s v="NULL"/>
    <n v="10004843"/>
    <s v="Dance and drama - Full"/>
    <d v="2016-01-13T00:00:00"/>
    <d v="2016-01-14T00:00:00"/>
    <d v="2016-02-08T00:00:00"/>
    <x v="0"/>
    <n v="2"/>
    <n v="2"/>
    <n v="2"/>
    <n v="2"/>
    <s v="ITS364905"/>
    <d v="2010-11-25T00:00:00"/>
    <s v="-"/>
    <s v="-"/>
    <s v="-"/>
    <s v="-"/>
    <s v="-"/>
    <s v="Not Applicable"/>
  </r>
  <r>
    <s v="Ofsted Webpage"/>
    <n v="50012"/>
    <n v="10003746"/>
    <s v="Laine Theatre Arts Limited"/>
    <x v="0"/>
    <s v="Dance and drama colleges"/>
    <s v="Surrey"/>
    <s v="South East"/>
    <s v="South East"/>
    <s v="NULL"/>
    <s v="NULL"/>
    <n v="10004844"/>
    <s v="Dance and drama - Full"/>
    <d v="2016-01-27T00:00:00"/>
    <d v="2016-01-28T00:00:00"/>
    <d v="2016-03-02T00:00:00"/>
    <x v="1"/>
    <n v="1"/>
    <n v="1"/>
    <n v="1"/>
    <n v="1"/>
    <s v="ITS364499"/>
    <d v="2010-11-03T00:00:00"/>
    <s v="-"/>
    <s v="-"/>
    <s v="-"/>
    <s v="-"/>
    <s v="-"/>
    <s v="Not Applicable"/>
  </r>
  <r>
    <s v="Ofsted Webpage"/>
    <n v="50013"/>
    <n v="10004365"/>
    <s v="Millennium Performing Arts Ltd."/>
    <x v="0"/>
    <s v="Dance and drama colleges"/>
    <s v="Greenwich"/>
    <s v="London"/>
    <s v="London"/>
    <s v="NULL"/>
    <s v="NULL"/>
    <n v="10004845"/>
    <s v="Dance and drama - Full"/>
    <d v="2016-02-03T00:00:00"/>
    <d v="2016-02-04T00:00:00"/>
    <d v="2016-03-11T00:00:00"/>
    <x v="2"/>
    <n v="3"/>
    <n v="3"/>
    <n v="3"/>
    <n v="3"/>
    <s v="ITS409438"/>
    <d v="2013-03-06T00:00:00"/>
    <s v="-"/>
    <s v="-"/>
    <s v="-"/>
    <s v="-"/>
    <s v="-"/>
    <s v="Not Applicable"/>
  </r>
  <r>
    <s v="Ofsted Webpage"/>
    <n v="50029"/>
    <n v="10009099"/>
    <s v="The Urdang Academy"/>
    <x v="0"/>
    <s v="Dance and drama colleges"/>
    <s v="Islington"/>
    <s v="London"/>
    <s v="London"/>
    <s v="NULL"/>
    <s v="NULL"/>
    <n v="10004846"/>
    <s v="Dance and drama - Full"/>
    <d v="2015-10-21T00:00:00"/>
    <d v="2015-10-22T00:00:00"/>
    <d v="2015-11-13T00:00:00"/>
    <x v="1"/>
    <n v="1"/>
    <n v="1"/>
    <n v="1"/>
    <n v="1"/>
    <s v="ITS364505"/>
    <d v="2011-03-09T00:00:00"/>
    <s v="-"/>
    <s v="-"/>
    <s v="-"/>
    <s v="-"/>
    <s v="-"/>
    <s v="Not Applicable"/>
  </r>
  <r>
    <s v="Ofsted Webpage"/>
    <n v="50030"/>
    <n v="10003425"/>
    <s v="Italia Conti Academy of Theatre Arts"/>
    <x v="0"/>
    <s v="Dance and drama colleges"/>
    <s v="Islington"/>
    <s v="London"/>
    <s v="London"/>
    <s v="NULL"/>
    <s v="NULL"/>
    <n v="10004847"/>
    <s v="Dance and drama - Full"/>
    <d v="2016-01-20T00:00:00"/>
    <d v="2016-01-21T00:00:00"/>
    <d v="2016-02-15T00:00:00"/>
    <x v="1"/>
    <n v="1"/>
    <n v="1"/>
    <n v="1"/>
    <n v="1"/>
    <s v="ITS364504"/>
    <d v="2011-03-30T00:00:00"/>
    <s v="-"/>
    <s v="-"/>
    <s v="-"/>
    <s v="-"/>
    <s v="-"/>
    <s v="Not Applicable"/>
  </r>
  <r>
    <s v="Ofsted Webpage"/>
    <n v="50031"/>
    <n v="10002805"/>
    <s v="The Guildford School of Acting Conservatoire"/>
    <x v="0"/>
    <s v="Dance and drama colleges"/>
    <s v="Surrey"/>
    <s v="South East"/>
    <s v="South East"/>
    <s v="NULL"/>
    <s v="NULL"/>
    <s v="ITS376309"/>
    <s v="Dance and drama - Full"/>
    <d v="2012-02-06T00:00:00"/>
    <d v="2012-02-09T00:00:00"/>
    <d v="2012-03-20T00:00:00"/>
    <x v="3"/>
    <s v="-"/>
    <s v="-"/>
    <s v="-"/>
    <s v="-"/>
    <s v="NULL"/>
    <s v="NULL"/>
    <s v="NULL"/>
    <s v="NULL"/>
    <s v="NULL"/>
    <s v="NULL"/>
    <s v="NULL"/>
    <s v="Not Applicable"/>
  </r>
  <r>
    <s v="Ofsted Webpage"/>
    <n v="50032"/>
    <n v="10008637"/>
    <s v="Elmhurst School for Dance"/>
    <x v="0"/>
    <s v="Dance and drama colleges"/>
    <s v="Birmingham"/>
    <s v="West Midlands"/>
    <s v="West Midlands"/>
    <s v="NULL"/>
    <s v="NULL"/>
    <n v="10004849"/>
    <s v="Dance and drama - Full"/>
    <d v="2015-11-18T00:00:00"/>
    <d v="2015-11-19T00:00:00"/>
    <d v="2015-12-10T00:00:00"/>
    <x v="1"/>
    <n v="1"/>
    <n v="1"/>
    <n v="1"/>
    <n v="1"/>
    <s v="ITS367205"/>
    <d v="2011-05-25T00:00:00"/>
    <s v="-"/>
    <s v="-"/>
    <s v="-"/>
    <s v="-"/>
    <s v="-"/>
    <s v="Not Applicable"/>
  </r>
  <r>
    <s v="Ofsted Webpage"/>
    <n v="50067"/>
    <n v="10011264"/>
    <s v="Performers College"/>
    <x v="0"/>
    <s v="Dance and drama colleges"/>
    <s v="Thurrock"/>
    <s v="East of England"/>
    <s v="East of England"/>
    <s v="NULL"/>
    <s v="NULL"/>
    <n v="10004850"/>
    <s v="Dance and drama - Full"/>
    <d v="2015-10-14T00:00:00"/>
    <d v="2015-10-15T00:00:00"/>
    <d v="2015-11-09T00:00:00"/>
    <x v="1"/>
    <n v="1"/>
    <n v="1"/>
    <n v="1"/>
    <n v="1"/>
    <s v="ITS376308"/>
    <d v="2011-10-13T00:00:00"/>
    <s v="-"/>
    <s v="-"/>
    <s v="-"/>
    <s v="-"/>
    <s v="-"/>
    <s v="Not Applicable"/>
  </r>
  <r>
    <s v="Ofsted Webpage"/>
    <n v="50070"/>
    <n v="10012385"/>
    <s v="SLP College Leeds"/>
    <x v="0"/>
    <s v="Dance and drama colleges"/>
    <s v="Leeds"/>
    <s v="Yorkshire and The Humber"/>
    <s v="North East, Yorkshire and the Humber"/>
    <s v="NULL"/>
    <s v="NULL"/>
    <n v="10011461"/>
    <s v="Dance and drama - Full"/>
    <d v="2016-04-13T00:00:00"/>
    <d v="2016-04-14T00:00:00"/>
    <d v="2016-05-03T00:00:00"/>
    <x v="1"/>
    <n v="1"/>
    <n v="1"/>
    <n v="1"/>
    <n v="1"/>
    <s v="ITS364500"/>
    <d v="2010-11-24T00:00:00"/>
    <s v="-"/>
    <s v="-"/>
    <s v="-"/>
    <s v="-"/>
    <s v="-"/>
    <s v="Not Applicable"/>
  </r>
  <r>
    <s v="Ofsted Webpage"/>
    <n v="50080"/>
    <n v="10010584"/>
    <s v="Access Training (East Midlands) Ltd"/>
    <x v="1"/>
    <s v="Independent learning providers (including employer providers)"/>
    <s v="Nottingham"/>
    <s v="East Midlands"/>
    <s v="East Midlands"/>
    <d v="2015-11-05T00:00:00"/>
    <n v="1"/>
    <s v="ITS346192"/>
    <s v="Work based Learning - full inspection Historic"/>
    <d v="2010-05-24T00:00:00"/>
    <d v="2010-05-28T00:00:00"/>
    <d v="2010-07-05T00:00:00"/>
    <x v="0"/>
    <n v="2"/>
    <n v="2"/>
    <s v="-"/>
    <n v="2"/>
    <s v="ITS300632"/>
    <d v="2007-08-17T00:00:00"/>
    <n v="3"/>
    <n v="3"/>
    <n v="3"/>
    <s v="-"/>
    <n v="3"/>
    <s v="Improved"/>
  </r>
  <r>
    <s v="Ofsted Webpage"/>
    <n v="50082"/>
    <n v="10000108"/>
    <s v="Acorn Training Consultants Limited"/>
    <x v="1"/>
    <s v="Independent learning providers (including employer providers)"/>
    <s v="Derbyshire"/>
    <s v="East Midlands"/>
    <s v="East Midlands"/>
    <s v="NULL"/>
    <s v="NULL"/>
    <n v="10004853"/>
    <s v="Independent Learning Provider (Regional) - Full"/>
    <d v="2016-01-19T00:00:00"/>
    <d v="2016-01-21T00:00:00"/>
    <d v="2016-03-01T00:00:00"/>
    <x v="0"/>
    <n v="2"/>
    <n v="2"/>
    <n v="2"/>
    <n v="2"/>
    <s v="ITS388102"/>
    <d v="2012-07-27T00:00:00"/>
    <n v="2"/>
    <n v="2"/>
    <n v="2"/>
    <s v="-"/>
    <n v="2"/>
    <s v="Stayed the Same"/>
  </r>
  <r>
    <s v="Ofsted Webpage"/>
    <n v="50092"/>
    <n v="10000673"/>
    <s v="Bexley Youth Training Group (T/A Skills for Growth)"/>
    <x v="1"/>
    <s v="Independent learning providers (including employer providers)"/>
    <s v="Bexley"/>
    <s v="London"/>
    <s v="London"/>
    <s v="NULL"/>
    <s v="NULL"/>
    <n v="10011462"/>
    <s v="Independent Learning Provider (Regional) - Full"/>
    <d v="2016-07-05T00:00:00"/>
    <d v="2016-07-08T00:00:00"/>
    <d v="2016-08-15T00:00:00"/>
    <x v="2"/>
    <n v="3"/>
    <n v="3"/>
    <n v="3"/>
    <n v="3"/>
    <s v="ITS399122"/>
    <d v="2012-10-12T00:00:00"/>
    <n v="2"/>
    <n v="2"/>
    <n v="2"/>
    <s v="-"/>
    <n v="2"/>
    <s v="Declined"/>
  </r>
  <r>
    <s v="Ofsted Webpage"/>
    <n v="50098"/>
    <n v="10000941"/>
    <s v="BROADLAND DISTRICT COUNCIL"/>
    <x v="2"/>
    <s v="Community learning and skills providers"/>
    <s v="Norfolk"/>
    <s v="East of England"/>
    <s v="East of England"/>
    <s v="NULL"/>
    <s v="NULL"/>
    <n v="10022597"/>
    <s v="Community Learning and Skills - Local authority - Requires Improvement"/>
    <d v="2017-01-24T00:00:00"/>
    <d v="2017-01-27T00:00:00"/>
    <d v="2017-03-14T00:00:00"/>
    <x v="0"/>
    <n v="2"/>
    <n v="2"/>
    <n v="2"/>
    <n v="2"/>
    <s v="ITS452973"/>
    <d v="2015-03-13T00:00:00"/>
    <n v="3"/>
    <n v="3"/>
    <n v="3"/>
    <s v="-"/>
    <n v="3"/>
    <s v="Improved"/>
  </r>
  <r>
    <s v="Ofsted Webpage"/>
    <n v="50099"/>
    <n v="10000976"/>
    <s v="Buckinghamshire County Council"/>
    <x v="2"/>
    <s v="Community learning and skills providers"/>
    <s v="Buckinghamshire"/>
    <s v="South East"/>
    <s v="South East"/>
    <s v="NULL"/>
    <s v="NULL"/>
    <n v="10006631"/>
    <s v="Community Learning and Skills - Local authority - Full"/>
    <d v="2015-11-03T00:00:00"/>
    <d v="2015-11-06T00:00:00"/>
    <d v="2015-12-11T00:00:00"/>
    <x v="0"/>
    <n v="2"/>
    <n v="2"/>
    <n v="2"/>
    <n v="2"/>
    <s v="ITS321725"/>
    <d v="2008-10-17T00:00:00"/>
    <n v="2"/>
    <n v="2"/>
    <n v="3"/>
    <s v="-"/>
    <n v="2"/>
    <s v="Stayed the Same"/>
  </r>
  <r>
    <s v="Ofsted Webpage"/>
    <n v="50103"/>
    <n v="10001055"/>
    <s v="Business Management Resources (UK) Ltd"/>
    <x v="1"/>
    <s v="Independent learning providers (including employer providers)"/>
    <s v="Telford and Wrekin"/>
    <s v="West Midlands"/>
    <s v="West Midlands"/>
    <s v="NULL"/>
    <s v="NULL"/>
    <n v="10022588"/>
    <s v="Independent Learning Provider (National) - Full"/>
    <d v="2017-01-10T00:00:00"/>
    <d v="2017-01-13T00:00:00"/>
    <d v="2017-02-01T00:00:00"/>
    <x v="0"/>
    <n v="2"/>
    <n v="2"/>
    <n v="2"/>
    <n v="2"/>
    <s v="ITS399073"/>
    <d v="2012-10-05T00:00:00"/>
    <n v="2"/>
    <n v="2"/>
    <n v="2"/>
    <s v="-"/>
    <n v="2"/>
    <s v="Stayed the Same"/>
  </r>
  <r>
    <s v="Ofsted Webpage"/>
    <n v="50116"/>
    <n v="10001927"/>
    <s v="East Midlands Chamber (Derbyshire, Nottinghamshire, Leicestershire)"/>
    <x v="1"/>
    <s v="Independent learning providers (including employer providers)"/>
    <s v="Derbyshire"/>
    <s v="East Midlands"/>
    <s v="East Midlands"/>
    <s v="NULL"/>
    <s v="NULL"/>
    <n v="10022564"/>
    <s v="Independent Learning Provider (Regional) - Full"/>
    <d v="2017-06-20T00:00:00"/>
    <d v="2017-06-23T00:00:00"/>
    <d v="2017-07-28T00:00:00"/>
    <x v="2"/>
    <n v="3"/>
    <n v="3"/>
    <n v="3"/>
    <n v="3"/>
    <s v="ITS434044"/>
    <d v="2014-08-22T00:00:00"/>
    <n v="2"/>
    <n v="2"/>
    <n v="2"/>
    <s v="-"/>
    <n v="2"/>
    <s v="Declined"/>
  </r>
  <r>
    <s v="Ofsted Webpage"/>
    <n v="50120"/>
    <n v="10002131"/>
    <s v="East Sussex County Council"/>
    <x v="2"/>
    <s v="Community learning and skills providers"/>
    <s v="East Sussex"/>
    <s v="South East"/>
    <s v="South East"/>
    <d v="2017-05-17T00:00:00"/>
    <n v="1"/>
    <s v="ITS345782"/>
    <s v="Adult and Community - full (regional) Historic"/>
    <d v="2010-06-07T00:00:00"/>
    <d v="2010-06-11T00:00:00"/>
    <d v="2010-07-16T00:00:00"/>
    <x v="0"/>
    <n v="2"/>
    <n v="3"/>
    <s v="-"/>
    <n v="2"/>
    <s v="ITS301026"/>
    <d v="2007-05-17T00:00:00"/>
    <n v="2"/>
    <s v="-"/>
    <s v="-"/>
    <s v="-"/>
    <n v="2"/>
    <s v="Stayed the Same"/>
  </r>
  <r>
    <s v="Ofsted Webpage"/>
    <n v="50124"/>
    <n v="10008920"/>
    <s v="Enham Trust"/>
    <x v="3"/>
    <s v="Community learning and skills providers"/>
    <s v="Hampshire"/>
    <s v="South East"/>
    <s v="South East"/>
    <s v="NULL"/>
    <s v="NULL"/>
    <s v="ITS429294"/>
    <s v="Employer - Requires improvement"/>
    <d v="2014-07-08T00:00:00"/>
    <d v="2014-07-11T00:00:00"/>
    <d v="2014-08-15T00:00:00"/>
    <x v="0"/>
    <n v="2"/>
    <n v="2"/>
    <s v="-"/>
    <n v="2"/>
    <s v="ITS410147"/>
    <d v="2013-01-18T00:00:00"/>
    <n v="3"/>
    <n v="3"/>
    <n v="3"/>
    <s v="-"/>
    <n v="3"/>
    <s v="Improved"/>
  </r>
  <r>
    <s v="Ofsted Webpage"/>
    <n v="50126"/>
    <n v="10026590"/>
    <s v="Focus Training (SW) Limited"/>
    <x v="1"/>
    <s v="Independent learning providers (including employer providers)"/>
    <s v="Plymouth"/>
    <s v="South West"/>
    <s v="South West"/>
    <s v="NULL"/>
    <s v="NULL"/>
    <s v="ITS452974"/>
    <s v="Employer - Full"/>
    <d v="2015-03-16T00:00:00"/>
    <d v="2015-03-20T00:00:00"/>
    <d v="2015-05-01T00:00:00"/>
    <x v="0"/>
    <n v="2"/>
    <n v="2"/>
    <s v="-"/>
    <n v="2"/>
    <s v="ITS376243"/>
    <d v="2011-09-30T00:00:00"/>
    <n v="2"/>
    <n v="2"/>
    <n v="2"/>
    <s v="-"/>
    <n v="2"/>
    <s v="Stayed the Same"/>
  </r>
  <r>
    <s v="Ofsted Webpage"/>
    <n v="50128"/>
    <n v="10002697"/>
    <s v="Adult Education In Gloucestershire"/>
    <x v="2"/>
    <s v="Community learning and skills providers"/>
    <s v="Gloucestershire"/>
    <s v="South West"/>
    <s v="South West"/>
    <d v="2017-10-04T00:00:00"/>
    <n v="1"/>
    <s v="ITS429144"/>
    <s v="Adult and Community - full (regional) Historic"/>
    <d v="2014-01-27T00:00:00"/>
    <d v="2014-01-31T00:00:00"/>
    <d v="2014-03-07T00:00:00"/>
    <x v="0"/>
    <n v="2"/>
    <n v="2"/>
    <s v="-"/>
    <n v="2"/>
    <s v="ITS385911"/>
    <d v="2012-02-10T00:00:00"/>
    <n v="3"/>
    <n v="3"/>
    <n v="3"/>
    <s v="-"/>
    <n v="3"/>
    <s v="Improved"/>
  </r>
  <r>
    <s v="Ofsted Webpage"/>
    <n v="50129"/>
    <n v="10002704"/>
    <s v="Gloucestershire Engineering Training Limited"/>
    <x v="3"/>
    <s v="Community learning and skills providers"/>
    <s v="Gloucestershire"/>
    <s v="South West"/>
    <s v="South West"/>
    <s v="NULL"/>
    <s v="NULL"/>
    <n v="10020151"/>
    <s v="Community Learning and Skills - Not for profit organisation - Full"/>
    <d v="2016-10-04T00:00:00"/>
    <d v="2016-10-07T00:00:00"/>
    <d v="2016-11-18T00:00:00"/>
    <x v="0"/>
    <n v="1"/>
    <n v="2"/>
    <n v="2"/>
    <n v="2"/>
    <s v="ITS382477"/>
    <d v="2011-06-24T00:00:00"/>
    <n v="2"/>
    <n v="2"/>
    <n v="3"/>
    <s v="-"/>
    <n v="3"/>
    <s v="Stayed the Same"/>
  </r>
  <r>
    <s v="Ofsted Webpage"/>
    <n v="50133"/>
    <n v="10003039"/>
    <s v="Hertfordshire County Council"/>
    <x v="2"/>
    <s v="Community learning and skills providers"/>
    <s v="Hertfordshire"/>
    <s v="East of England"/>
    <s v="East of England"/>
    <d v="2017-06-22T00:00:00"/>
    <n v="1"/>
    <s v="ITS387973"/>
    <s v="Adult and Community - full (regional) Historic"/>
    <d v="2012-05-28T00:00:00"/>
    <d v="2012-06-01T00:00:00"/>
    <d v="2012-07-10T00:00:00"/>
    <x v="0"/>
    <n v="2"/>
    <n v="2"/>
    <s v="-"/>
    <n v="2"/>
    <s v="ITS329820"/>
    <d v="2008-11-28T00:00:00"/>
    <n v="3"/>
    <n v="3"/>
    <n v="3"/>
    <s v="-"/>
    <n v="3"/>
    <s v="Improved"/>
  </r>
  <r>
    <s v="Ofsted Webpage"/>
    <n v="50162"/>
    <n v="10009206"/>
    <s v="Ealing London Borough Council"/>
    <x v="2"/>
    <s v="Community learning and skills providers"/>
    <s v="Ealing"/>
    <s v="London"/>
    <s v="London"/>
    <d v="2016-03-09T00:00:00"/>
    <n v="1"/>
    <s v="ITS345785"/>
    <s v="Adult and Community - full (regional) Historic"/>
    <d v="2010-05-24T00:00:00"/>
    <d v="2010-05-28T00:00:00"/>
    <d v="2010-07-06T00:00:00"/>
    <x v="0"/>
    <n v="2"/>
    <n v="2"/>
    <s v="-"/>
    <n v="2"/>
    <s v="ITS317027"/>
    <d v="2007-04-26T00:00:00"/>
    <n v="3"/>
    <s v="-"/>
    <s v="-"/>
    <s v="-"/>
    <n v="3"/>
    <s v="Improved"/>
  </r>
  <r>
    <s v="Ofsted Webpage"/>
    <n v="50165"/>
    <n v="10005926"/>
    <s v="Mardell Associates Limited"/>
    <x v="1"/>
    <s v="Independent learning providers (including employer providers)"/>
    <s v="Richmond upon Thames"/>
    <s v="London"/>
    <s v="London"/>
    <s v="NULL"/>
    <s v="NULL"/>
    <n v="10011464"/>
    <s v="Independent Learning Provider (National) - Full"/>
    <d v="2016-10-18T00:00:00"/>
    <d v="2016-10-21T00:00:00"/>
    <d v="2016-11-30T00:00:00"/>
    <x v="2"/>
    <n v="3"/>
    <n v="3"/>
    <n v="3"/>
    <n v="3"/>
    <s v="ITS407165"/>
    <d v="2012-11-02T00:00:00"/>
    <n v="2"/>
    <n v="2"/>
    <n v="2"/>
    <s v="-"/>
    <n v="2"/>
    <s v="Declined"/>
  </r>
  <r>
    <s v="Ofsted Webpage"/>
    <n v="50166"/>
    <n v="10014196"/>
    <s v="Michael John Academy"/>
    <x v="1"/>
    <s v="Independent learning providers (including employer providers)"/>
    <s v="Liverpool"/>
    <s v="North West"/>
    <s v="North West"/>
    <d v="2016-08-17T00:00:00"/>
    <n v="1"/>
    <s v="ITS385756"/>
    <s v="Work based Learning - full inspection Historic"/>
    <d v="2012-03-26T00:00:00"/>
    <d v="2012-03-29T00:00:00"/>
    <d v="2012-05-03T00:00:00"/>
    <x v="0"/>
    <n v="2"/>
    <n v="2"/>
    <s v="-"/>
    <n v="2"/>
    <s v="ITS301584"/>
    <d v="2007-06-07T00:00:00"/>
    <n v="2"/>
    <n v="2"/>
    <n v="2"/>
    <s v="-"/>
    <n v="2"/>
    <s v="Stayed the Same"/>
  </r>
  <r>
    <s v="Ofsted Webpage"/>
    <n v="50168"/>
    <n v="10004343"/>
    <s v="Middlesbrough Council"/>
    <x v="2"/>
    <s v="Community learning and skills providers"/>
    <s v="Middlesbrough"/>
    <s v="North East"/>
    <s v="North East, Yorkshire and the Humber"/>
    <s v="NULL"/>
    <s v="NULL"/>
    <n v="10008480"/>
    <s v="Community Learning and Skills - Local authority - Full"/>
    <d v="2016-01-26T00:00:00"/>
    <d v="2016-01-29T00:00:00"/>
    <d v="2016-02-15T00:00:00"/>
    <x v="0"/>
    <n v="2"/>
    <n v="2"/>
    <n v="1"/>
    <n v="1"/>
    <s v="ITS363134"/>
    <d v="2011-02-04T00:00:00"/>
    <n v="2"/>
    <n v="2"/>
    <n v="2"/>
    <s v="-"/>
    <n v="2"/>
    <s v="Stayed the Same"/>
  </r>
  <r>
    <s v="Ofsted Webpage"/>
    <n v="50169"/>
    <n v="10004376"/>
    <s v="Milton Keynes Council - Community Learning MK"/>
    <x v="2"/>
    <s v="Community learning and skills providers"/>
    <s v="Milton Keynes"/>
    <s v="South East"/>
    <s v="South East"/>
    <d v="2016-09-28T00:00:00"/>
    <n v="1"/>
    <s v="ITS399143"/>
    <s v="ACL - Full"/>
    <d v="2012-11-13T00:00:00"/>
    <d v="2012-11-16T00:00:00"/>
    <d v="2012-12-21T00:00:00"/>
    <x v="0"/>
    <n v="2"/>
    <n v="2"/>
    <s v="-"/>
    <n v="2"/>
    <s v="ITS329180"/>
    <d v="2008-11-07T00:00:00"/>
    <n v="3"/>
    <n v="3"/>
    <n v="3"/>
    <s v="-"/>
    <n v="3"/>
    <s v="Improved"/>
  </r>
  <r>
    <s v="Ofsted Webpage"/>
    <n v="50170"/>
    <n v="10004486"/>
    <s v="NACRO"/>
    <x v="3"/>
    <s v="Community learning and skills providers"/>
    <s v="Southwark"/>
    <s v="London"/>
    <s v="London"/>
    <s v="NULL"/>
    <s v="NULL"/>
    <n v="10022545"/>
    <s v="Community Learning and Skills - Not for profit organisation - Full"/>
    <d v="2017-05-09T00:00:00"/>
    <d v="2017-05-12T00:00:00"/>
    <d v="2017-07-19T00:00:00"/>
    <x v="2"/>
    <n v="3"/>
    <n v="3"/>
    <n v="2"/>
    <n v="3"/>
    <s v="ITS422202"/>
    <d v="2014-05-02T00:00:00"/>
    <n v="2"/>
    <n v="3"/>
    <n v="2"/>
    <s v="-"/>
    <n v="2"/>
    <s v="Declined"/>
  </r>
  <r>
    <s v="Ofsted Webpage"/>
    <n v="50178"/>
    <n v="10004733"/>
    <s v="Northamptonshire County Council"/>
    <x v="2"/>
    <s v="Community learning and skills providers"/>
    <s v="Northamptonshire"/>
    <s v="East Midlands"/>
    <s v="East Midlands"/>
    <d v="2016-09-28T00:00:00"/>
    <n v="1"/>
    <s v="ITS345775"/>
    <s v="Adult and Community - full (regional) Historic"/>
    <d v="2010-06-07T00:00:00"/>
    <d v="2010-06-11T00:00:00"/>
    <d v="2010-07-16T00:00:00"/>
    <x v="0"/>
    <n v="2"/>
    <n v="2"/>
    <s v="-"/>
    <n v="2"/>
    <s v="ITS307265"/>
    <d v="2007-04-27T00:00:00"/>
    <n v="3"/>
    <s v="-"/>
    <s v="-"/>
    <s v="-"/>
    <n v="3"/>
    <s v="Improved"/>
  </r>
  <r>
    <s v="Ofsted Webpage"/>
    <n v="50192"/>
    <n v="10010523"/>
    <s v="Skills for Security Limited"/>
    <x v="1"/>
    <s v="Independent learning providers (including employer providers)"/>
    <s v="Worcestershire"/>
    <s v="West Midlands"/>
    <s v="West Midlands"/>
    <s v="NULL"/>
    <s v="NULL"/>
    <n v="10008481"/>
    <s v="Independent Learning Provider (National) - Requires improvement - second inspection"/>
    <d v="2016-01-26T00:00:00"/>
    <d v="2016-01-29T00:00:00"/>
    <d v="2016-02-24T00:00:00"/>
    <x v="0"/>
    <n v="2"/>
    <n v="2"/>
    <n v="2"/>
    <n v="2"/>
    <s v="ITS430258"/>
    <d v="2014-09-26T00:00:00"/>
    <n v="3"/>
    <n v="3"/>
    <n v="3"/>
    <s v="-"/>
    <n v="3"/>
    <s v="Improved"/>
  </r>
  <r>
    <s v="Ofsted Webpage"/>
    <n v="50193"/>
    <n v="10005735"/>
    <s v="Seetec Business Technology Centre Limited"/>
    <x v="1"/>
    <s v="Independent learning providers (including employer providers)"/>
    <s v="Essex"/>
    <s v="East of England"/>
    <s v="East of England"/>
    <d v="2017-07-27T00:00:00"/>
    <n v="1"/>
    <s v="ITS429135"/>
    <s v="WBL (national) - Full"/>
    <d v="2014-02-03T00:00:00"/>
    <d v="2014-02-07T00:00:00"/>
    <d v="2014-03-11T00:00:00"/>
    <x v="0"/>
    <n v="2"/>
    <n v="2"/>
    <s v="-"/>
    <n v="2"/>
    <s v="ITS382698"/>
    <d v="2011-12-16T00:00:00"/>
    <n v="3"/>
    <n v="3"/>
    <n v="3"/>
    <s v="-"/>
    <n v="2"/>
    <s v="Improved"/>
  </r>
  <r>
    <s v="Ofsted Webpage"/>
    <n v="50199"/>
    <n v="10006086"/>
    <s v="Springboard"/>
    <x v="3"/>
    <s v="Community learning and skills providers"/>
    <s v="Sunderland"/>
    <s v="North East"/>
    <s v="North East, Yorkshire and the Humber"/>
    <s v="NULL"/>
    <s v="NULL"/>
    <n v="10005153"/>
    <s v="Independent Learning Provider (National) - Full"/>
    <d v="2016-03-01T00:00:00"/>
    <d v="2016-03-04T00:00:00"/>
    <d v="2016-03-30T00:00:00"/>
    <x v="0"/>
    <n v="2"/>
    <n v="2"/>
    <n v="2"/>
    <n v="2"/>
    <s v="ITS385748"/>
    <d v="2012-02-24T00:00:00"/>
    <n v="2"/>
    <n v="2"/>
    <n v="3"/>
    <s v="-"/>
    <n v="2"/>
    <s v="Stayed the Same"/>
  </r>
  <r>
    <s v="Ofsted Webpage"/>
    <n v="50202"/>
    <n v="10006325"/>
    <s v="Steps to Work (Walsall) Ltd"/>
    <x v="3"/>
    <s v="Community learning and skills providers"/>
    <s v="Walsall"/>
    <s v="West Midlands"/>
    <s v="West Midlands"/>
    <s v="NULL"/>
    <s v="NULL"/>
    <s v="ITS455576"/>
    <s v="Adult and Community - full (regional) Historic"/>
    <d v="2015-04-22T00:00:00"/>
    <d v="2015-04-24T00:00:00"/>
    <d v="2015-06-02T00:00:00"/>
    <x v="2"/>
    <n v="3"/>
    <n v="3"/>
    <s v="-"/>
    <n v="2"/>
    <s v="NULL"/>
    <s v="NULL"/>
    <s v="NULL"/>
    <s v="NULL"/>
    <s v="NULL"/>
    <s v="NULL"/>
    <s v="NULL"/>
    <s v="Not Applicable"/>
  </r>
  <r>
    <s v="Ofsted Webpage"/>
    <n v="50208"/>
    <n v="10007432"/>
    <s v="West Sussex County Council"/>
    <x v="2"/>
    <s v="Community learning and skills providers"/>
    <s v="West Sussex"/>
    <s v="South East"/>
    <s v="South East"/>
    <s v="NULL"/>
    <s v="NULL"/>
    <n v="10022533"/>
    <s v="Community Learning and Skills - Local authority - Reinspection"/>
    <d v="2017-01-24T00:00:00"/>
    <d v="2017-01-27T00:00:00"/>
    <d v="2017-02-24T00:00:00"/>
    <x v="0"/>
    <n v="2"/>
    <n v="2"/>
    <n v="2"/>
    <n v="2"/>
    <n v="10004865"/>
    <d v="2015-11-13T00:00:00"/>
    <n v="4"/>
    <n v="2"/>
    <n v="2"/>
    <n v="2"/>
    <n v="4"/>
    <s v="Improved"/>
  </r>
  <r>
    <s v="Ofsted Webpage"/>
    <n v="50210"/>
    <n v="10007635"/>
    <s v="Working Links (Employment) Limited"/>
    <x v="1"/>
    <s v="Independent learning providers (including employer providers)"/>
    <s v="Westminster"/>
    <s v="London"/>
    <s v="London"/>
    <s v="NULL"/>
    <s v="NULL"/>
    <s v="ITS399091"/>
    <s v="WBL (national) - Full"/>
    <d v="2012-12-11T00:00:00"/>
    <d v="2012-12-14T00:00:00"/>
    <d v="2013-01-23T00:00:00"/>
    <x v="2"/>
    <n v="3"/>
    <n v="3"/>
    <s v="-"/>
    <n v="3"/>
    <s v="ITS330954"/>
    <d v="2009-03-20T00:00:00"/>
    <n v="3"/>
    <n v="3"/>
    <n v="3"/>
    <s v="-"/>
    <n v="3"/>
    <s v="Stayed the Same"/>
  </r>
  <r>
    <s v="Ofsted Webpage"/>
    <n v="50213"/>
    <n v="10000703"/>
    <s v="Birmingham City Council"/>
    <x v="2"/>
    <s v="Community learning and skills providers"/>
    <s v="Birmingham"/>
    <s v="West Midlands"/>
    <s v="West Midlands"/>
    <s v="NULL"/>
    <s v="NULL"/>
    <n v="10037350"/>
    <s v="Community Learning and Skills - Local authority - Full"/>
    <d v="2017-09-26T00:00:00"/>
    <d v="2017-09-29T00:00:00"/>
    <d v="2017-11-03T00:00:00"/>
    <x v="2"/>
    <n v="3"/>
    <n v="3"/>
    <n v="2"/>
    <n v="3"/>
    <s v="ITS430076"/>
    <d v="2014-02-28T00:00:00"/>
    <n v="2"/>
    <n v="2"/>
    <n v="2"/>
    <s v="-"/>
    <n v="2"/>
    <s v="Declined"/>
  </r>
  <r>
    <s v="Ofsted Webpage"/>
    <n v="50215"/>
    <n v="10001230"/>
    <s v="Forster Community College Limited"/>
    <x v="3"/>
    <s v="Community learning and skills providers"/>
    <s v="Bradford"/>
    <s v="Yorkshire and The Humber"/>
    <s v="North East, Yorkshire and the Humber"/>
    <s v="NULL"/>
    <s v="NULL"/>
    <s v="ITS429141"/>
    <s v="Adult and Community - full (regional) Historic"/>
    <d v="2014-02-04T00:00:00"/>
    <d v="2014-02-07T00:00:00"/>
    <d v="2014-03-12T00:00:00"/>
    <x v="0"/>
    <n v="2"/>
    <n v="2"/>
    <s v="-"/>
    <n v="2"/>
    <s v="ITS365875"/>
    <d v="2011-05-20T00:00:00"/>
    <n v="3"/>
    <n v="3"/>
    <n v="3"/>
    <s v="-"/>
    <n v="3"/>
    <s v="Improved"/>
  </r>
  <r>
    <s v="Ofsted Webpage"/>
    <n v="50216"/>
    <n v="10001918"/>
    <s v="Derby City Council"/>
    <x v="2"/>
    <s v="Community learning and skills providers"/>
    <s v="Derby"/>
    <s v="East Midlands"/>
    <s v="East Midlands"/>
    <s v="NULL"/>
    <s v="NULL"/>
    <n v="10004866"/>
    <s v="Community Learning and Skills - Local authority - Full"/>
    <d v="2016-01-12T00:00:00"/>
    <d v="2016-01-15T00:00:00"/>
    <d v="2016-02-12T00:00:00"/>
    <x v="0"/>
    <n v="2"/>
    <n v="2"/>
    <n v="2"/>
    <n v="2"/>
    <s v="ITS364617"/>
    <d v="2011-02-11T00:00:00"/>
    <n v="2"/>
    <n v="2"/>
    <n v="2"/>
    <s v="-"/>
    <n v="2"/>
    <s v="Stayed the Same"/>
  </r>
  <r>
    <s v="Ofsted Webpage"/>
    <n v="50217"/>
    <n v="10001928"/>
    <s v="Derbyshire Adult Community Education Service"/>
    <x v="2"/>
    <s v="Community learning and skills providers"/>
    <s v="Derbyshire"/>
    <s v="East Midlands"/>
    <s v="East Midlands"/>
    <d v="2017-06-22T00:00:00"/>
    <n v="1"/>
    <s v="ITS387974"/>
    <s v="ACL - Full"/>
    <d v="2012-05-21T00:00:00"/>
    <d v="2012-05-25T00:00:00"/>
    <d v="2012-07-03T00:00:00"/>
    <x v="0"/>
    <n v="2"/>
    <n v="2"/>
    <s v="-"/>
    <n v="2"/>
    <s v="ITS300649"/>
    <d v="2007-05-04T00:00:00"/>
    <n v="2"/>
    <n v="2"/>
    <n v="2"/>
    <s v="-"/>
    <n v="2"/>
    <s v="Stayed the Same"/>
  </r>
  <r>
    <s v="Ofsted Webpage"/>
    <n v="50218"/>
    <n v="10002054"/>
    <s v="Dudley Metropolitan Borough Council"/>
    <x v="2"/>
    <s v="Community learning and skills providers"/>
    <s v="Dudley"/>
    <s v="West Midlands"/>
    <s v="West Midlands"/>
    <d v="2016-03-10T00:00:00"/>
    <n v="1"/>
    <s v="ITS385049"/>
    <s v="Adult and Community - full (regional) Historic"/>
    <d v="2012-03-05T00:00:00"/>
    <d v="2012-03-09T00:00:00"/>
    <d v="2012-04-17T00:00:00"/>
    <x v="0"/>
    <n v="2"/>
    <n v="2"/>
    <s v="-"/>
    <n v="2"/>
    <s v="ITS316585"/>
    <d v="2007-11-16T00:00:00"/>
    <n v="3"/>
    <n v="2"/>
    <n v="3"/>
    <s v="-"/>
    <n v="3"/>
    <s v="Improved"/>
  </r>
  <r>
    <s v="Ofsted Webpage"/>
    <n v="50219"/>
    <n v="10002064"/>
    <s v="Durham County Council"/>
    <x v="2"/>
    <s v="Community learning and skills providers"/>
    <s v="Durham"/>
    <s v="North East"/>
    <s v="North East, Yorkshire and the Humber"/>
    <s v="NULL"/>
    <s v="NULL"/>
    <s v="ITS434393"/>
    <s v="ACL - Requires improvement"/>
    <d v="2015-01-19T00:00:00"/>
    <d v="2015-01-23T00:00:00"/>
    <d v="2015-03-06T00:00:00"/>
    <x v="0"/>
    <n v="2"/>
    <n v="2"/>
    <s v="-"/>
    <n v="2"/>
    <s v="ITS423431"/>
    <d v="2013-10-11T00:00:00"/>
    <n v="3"/>
    <n v="2"/>
    <n v="3"/>
    <s v="-"/>
    <n v="3"/>
    <s v="Improved"/>
  </r>
  <r>
    <s v="Ofsted Webpage"/>
    <n v="50221"/>
    <n v="10003025"/>
    <s v="Herefordshire Council"/>
    <x v="2"/>
    <s v="Community learning and skills providers"/>
    <s v="Herefordshire"/>
    <s v="West Midlands"/>
    <s v="West Midlands"/>
    <s v="NULL"/>
    <s v="NULL"/>
    <n v="10004868"/>
    <s v="Community Learning and Skills - Local authority - Full"/>
    <d v="2016-01-18T00:00:00"/>
    <d v="2016-01-21T00:00:00"/>
    <d v="2016-02-25T00:00:00"/>
    <x v="0"/>
    <n v="2"/>
    <n v="2"/>
    <n v="2"/>
    <n v="2"/>
    <s v="ITS399623"/>
    <d v="2012-06-15T00:00:00"/>
    <n v="2"/>
    <n v="2"/>
    <n v="2"/>
    <s v="-"/>
    <n v="2"/>
    <s v="Stayed the Same"/>
  </r>
  <r>
    <s v="Ofsted Webpage"/>
    <n v="50227"/>
    <n v="10002910"/>
    <s v="Harrow London Borough Council"/>
    <x v="2"/>
    <s v="Community learning and skills providers"/>
    <s v="Harrow"/>
    <s v="London"/>
    <s v="London"/>
    <d v="2017-09-28T00:00:00"/>
    <n v="1"/>
    <s v="ITS423412"/>
    <s v="Adult and Community - full (regional) Historic"/>
    <d v="2013-10-15T00:00:00"/>
    <d v="2013-10-18T00:00:00"/>
    <d v="2013-11-22T00:00:00"/>
    <x v="0"/>
    <n v="2"/>
    <n v="2"/>
    <s v="-"/>
    <n v="2"/>
    <s v="ITS316584"/>
    <d v="2007-11-02T00:00:00"/>
    <n v="2"/>
    <n v="2"/>
    <n v="3"/>
    <s v="-"/>
    <n v="2"/>
    <s v="Stayed the Same"/>
  </r>
  <r>
    <s v="Ofsted Webpage"/>
    <n v="50229"/>
    <n v="10004727"/>
    <s v="North Yorkshire County Council"/>
    <x v="2"/>
    <s v="Community learning and skills providers"/>
    <s v="North Yorkshire"/>
    <s v="Yorkshire and The Humber"/>
    <s v="North East, Yorkshire and the Humber"/>
    <s v="NULL"/>
    <s v="NULL"/>
    <n v="10022479"/>
    <s v="Community Learning and Skills - Local authority - Full"/>
    <d v="2017-06-06T00:00:00"/>
    <d v="2017-06-09T00:00:00"/>
    <d v="2017-07-12T00:00:00"/>
    <x v="2"/>
    <n v="3"/>
    <n v="3"/>
    <n v="3"/>
    <n v="3"/>
    <s v="ITS446660"/>
    <d v="2014-11-07T00:00:00"/>
    <n v="2"/>
    <n v="2"/>
    <n v="2"/>
    <s v="-"/>
    <n v="2"/>
    <s v="Declined"/>
  </r>
  <r>
    <s v="Ofsted Webpage"/>
    <n v="50230"/>
    <n v="10000239"/>
    <s v="Pre-School Learning Alliance"/>
    <x v="3"/>
    <s v="Community learning and skills providers"/>
    <s v="Islington"/>
    <s v="London"/>
    <s v="London"/>
    <d v="2016-09-21T00:00:00"/>
    <n v="1"/>
    <s v="ITS387971"/>
    <s v="ACL - Full"/>
    <d v="2012-05-29T00:00:00"/>
    <d v="2012-06-01T00:00:00"/>
    <d v="2012-07-10T00:00:00"/>
    <x v="0"/>
    <n v="2"/>
    <n v="2"/>
    <s v="-"/>
    <n v="2"/>
    <s v="ITS301031"/>
    <d v="2007-06-29T00:00:00"/>
    <n v="2"/>
    <n v="2"/>
    <n v="2"/>
    <s v="-"/>
    <n v="2"/>
    <s v="Stayed the Same"/>
  </r>
  <r>
    <s v="Ofsted Webpage"/>
    <n v="50237"/>
    <n v="10006335"/>
    <s v="Stockport Metropolitan Borough Council"/>
    <x v="2"/>
    <s v="Community learning and skills providers"/>
    <s v="Stockport"/>
    <s v="North West"/>
    <s v="North West"/>
    <s v="NULL"/>
    <s v="NULL"/>
    <n v="10011466"/>
    <s v="Community Learning and Skills - Local authority - Full"/>
    <d v="2016-05-03T00:00:00"/>
    <d v="2016-05-06T00:00:00"/>
    <d v="2016-05-31T00:00:00"/>
    <x v="2"/>
    <n v="3"/>
    <n v="3"/>
    <n v="3"/>
    <n v="3"/>
    <s v="ITS365877"/>
    <d v="2011-06-17T00:00:00"/>
    <n v="2"/>
    <n v="2"/>
    <n v="2"/>
    <s v="-"/>
    <n v="2"/>
    <s v="Declined"/>
  </r>
  <r>
    <s v="Ofsted Webpage"/>
    <n v="50243"/>
    <n v="10007002"/>
    <s v="Training for Today"/>
    <x v="1"/>
    <s v="Independent learning providers (including employer providers)"/>
    <s v="Bolton"/>
    <s v="North West"/>
    <s v="North West"/>
    <s v="NULL"/>
    <s v="NULL"/>
    <n v="10019113"/>
    <s v="Independent Learning Provider (Regional) - Full"/>
    <d v="2016-07-04T00:00:00"/>
    <d v="2016-07-07T00:00:00"/>
    <d v="2016-08-03T00:00:00"/>
    <x v="0"/>
    <n v="2"/>
    <n v="2"/>
    <n v="2"/>
    <n v="2"/>
    <s v="ITS429218"/>
    <d v="2014-05-16T00:00:00"/>
    <n v="2"/>
    <n v="2"/>
    <n v="2"/>
    <s v="-"/>
    <n v="2"/>
    <s v="Stayed the Same"/>
  </r>
  <r>
    <s v="Ofsted Webpage"/>
    <n v="50244"/>
    <n v="10007013"/>
    <s v="Training Plus (Merseyside) Limited"/>
    <x v="1"/>
    <s v="Independent learning providers (including employer providers)"/>
    <s v="Liverpool"/>
    <s v="North West"/>
    <s v="North West"/>
    <d v="2016-06-10T00:00:00"/>
    <n v="1"/>
    <s v="ITS366030"/>
    <s v="Work based Learning - full inspection Historic"/>
    <d v="2011-12-05T00:00:00"/>
    <d v="2011-12-09T00:00:00"/>
    <d v="2012-01-21T00:00:00"/>
    <x v="0"/>
    <n v="2"/>
    <n v="2"/>
    <s v="-"/>
    <n v="2"/>
    <s v="ITS301558"/>
    <d v="2007-08-02T00:00:00"/>
    <n v="2"/>
    <n v="2"/>
    <n v="2"/>
    <s v="-"/>
    <n v="2"/>
    <s v="Stayed the Same"/>
  </r>
  <r>
    <s v="Ofsted Webpage"/>
    <n v="50245"/>
    <n v="10007528"/>
    <s v="The Wiltshire Council"/>
    <x v="2"/>
    <s v="Community learning and skills providers"/>
    <s v="Wiltshire"/>
    <s v="South West"/>
    <s v="South West"/>
    <s v="NULL"/>
    <s v="NULL"/>
    <n v="10020100"/>
    <s v="Community Learning and Skills - Local authority - Full"/>
    <d v="2016-10-18T00:00:00"/>
    <d v="2016-10-21T00:00:00"/>
    <d v="2016-12-01T00:00:00"/>
    <x v="4"/>
    <n v="4"/>
    <n v="4"/>
    <n v="3"/>
    <n v="4"/>
    <s v="ITS363514"/>
    <d v="2011-03-25T00:00:00"/>
    <n v="2"/>
    <n v="2"/>
    <n v="2"/>
    <s v="-"/>
    <n v="2"/>
    <s v="Declined"/>
  </r>
  <r>
    <s v="Ofsted Webpage"/>
    <n v="50246"/>
    <n v="10007567"/>
    <s v="Wokingham Council"/>
    <x v="2"/>
    <s v="Community learning and skills providers"/>
    <s v="Wokingham"/>
    <s v="South East"/>
    <s v="South East"/>
    <s v="NULL"/>
    <s v="NULL"/>
    <n v="10011468"/>
    <s v="Community Learning and Skills - Local authority - Requires Improvement"/>
    <d v="2016-07-05T00:00:00"/>
    <d v="2016-07-08T00:00:00"/>
    <d v="2016-08-08T00:00:00"/>
    <x v="0"/>
    <n v="2"/>
    <n v="2"/>
    <n v="2"/>
    <n v="2"/>
    <s v="ITS452599"/>
    <d v="2014-11-13T00:00:00"/>
    <n v="3"/>
    <n v="3"/>
    <n v="2"/>
    <s v="-"/>
    <n v="3"/>
    <s v="Improved"/>
  </r>
  <r>
    <s v="Ofsted Webpage"/>
    <n v="50257"/>
    <n v="10000020"/>
    <s v="5 E Ltd."/>
    <x v="1"/>
    <s v="Independent learning providers (including employer providers)"/>
    <s v="Haringey"/>
    <s v="London"/>
    <s v="London"/>
    <d v="2017-11-03T00:00:00"/>
    <n v="1"/>
    <s v="ITS424453"/>
    <s v="WBL (national) - Full"/>
    <d v="2014-08-04T00:00:00"/>
    <d v="2014-08-08T00:00:00"/>
    <d v="2014-09-29T00:00:00"/>
    <x v="0"/>
    <n v="2"/>
    <n v="2"/>
    <s v="-"/>
    <n v="2"/>
    <s v="ITS321458"/>
    <d v="2008-09-19T00:00:00"/>
    <n v="1"/>
    <n v="1"/>
    <n v="2"/>
    <s v="-"/>
    <n v="1"/>
    <s v="Declined"/>
  </r>
  <r>
    <s v="Ofsted Webpage"/>
    <n v="50262"/>
    <n v="10000028"/>
    <s v="Woodspeen Training Limited"/>
    <x v="1"/>
    <s v="Independent learning providers (including employer providers)"/>
    <s v="Kirklees"/>
    <s v="Yorkshire and The Humber"/>
    <s v="North East, Yorkshire and the Humber"/>
    <s v="NULL"/>
    <s v="NULL"/>
    <n v="10040419"/>
    <s v="Independent Learning Provider (National) - Full"/>
    <d v="2017-08-21T00:00:00"/>
    <d v="2017-08-24T00:00:00"/>
    <d v="2017-09-22T00:00:00"/>
    <x v="2"/>
    <n v="3"/>
    <n v="3"/>
    <n v="3"/>
    <n v="3"/>
    <s v="ITS446598"/>
    <d v="2014-10-17T00:00:00"/>
    <n v="2"/>
    <n v="2"/>
    <n v="2"/>
    <s v="-"/>
    <n v="2"/>
    <s v="Declined"/>
  </r>
  <r>
    <s v="Ofsted Webpage"/>
    <n v="50303"/>
    <n v="10000060"/>
    <s v="Acacia Training and Development Ltd"/>
    <x v="1"/>
    <s v="Independent learning providers (including employer providers)"/>
    <s v="Plymouth"/>
    <s v="South West"/>
    <s v="South West"/>
    <s v="NULL"/>
    <s v="NULL"/>
    <s v="ITS434034"/>
    <s v="Employer - Full"/>
    <d v="2014-06-23T00:00:00"/>
    <d v="2014-06-27T00:00:00"/>
    <d v="2014-08-13T00:00:00"/>
    <x v="0"/>
    <n v="2"/>
    <n v="2"/>
    <s v="-"/>
    <n v="2"/>
    <s v="ITS366053"/>
    <d v="2011-08-19T00:00:00"/>
    <n v="2"/>
    <n v="2"/>
    <n v="2"/>
    <s v="-"/>
    <n v="2"/>
    <s v="Stayed the Same"/>
  </r>
  <r>
    <s v="Ofsted Webpage"/>
    <n v="50304"/>
    <n v="10000061"/>
    <s v="Acacia Training Limited"/>
    <x v="1"/>
    <s v="Independent learning providers (including employer providers)"/>
    <s v="Stoke-on-Trent"/>
    <s v="West Midlands"/>
    <s v="West Midlands"/>
    <s v="NULL"/>
    <s v="NULL"/>
    <n v="10004873"/>
    <s v="Independent Learning Provider (National) - Requires improvement - second inspection"/>
    <d v="2016-01-19T00:00:00"/>
    <d v="2016-01-22T00:00:00"/>
    <d v="2016-02-16T00:00:00"/>
    <x v="0"/>
    <n v="2"/>
    <n v="2"/>
    <n v="2"/>
    <n v="2"/>
    <s v="ITS430249"/>
    <d v="2014-10-03T00:00:00"/>
    <n v="3"/>
    <n v="3"/>
    <n v="3"/>
    <s v="-"/>
    <n v="3"/>
    <s v="Improved"/>
  </r>
  <r>
    <s v="Ofsted Webpage"/>
    <n v="50305"/>
    <n v="10000191"/>
    <s v="Academy Education Limited"/>
    <x v="1"/>
    <s v="Independent learning providers (including employer providers)"/>
    <s v="City of London"/>
    <s v="London"/>
    <s v="London"/>
    <s v="NULL"/>
    <s v="NULL"/>
    <s v="ITS429259"/>
    <s v="Employer - Requires improvement"/>
    <d v="2014-07-29T00:00:00"/>
    <d v="2014-08-01T00:00:00"/>
    <d v="2014-09-17T00:00:00"/>
    <x v="0"/>
    <n v="2"/>
    <n v="2"/>
    <s v="-"/>
    <n v="2"/>
    <s v="ITS408523"/>
    <d v="2013-02-08T00:00:00"/>
    <n v="3"/>
    <n v="3"/>
    <n v="3"/>
    <s v="-"/>
    <n v="3"/>
    <s v="Improved"/>
  </r>
  <r>
    <s v="Ofsted Webpage"/>
    <n v="50308"/>
    <n v="10000248"/>
    <s v="Academy of Live and Recorded Arts"/>
    <x v="0"/>
    <s v="Dance and drama colleges"/>
    <s v="Wandsworth"/>
    <s v="London"/>
    <s v="London"/>
    <s v="NULL"/>
    <s v="NULL"/>
    <n v="10004874"/>
    <s v="Dance and drama - Full"/>
    <d v="2015-10-21T00:00:00"/>
    <d v="2015-10-22T00:00:00"/>
    <d v="2015-11-17T00:00:00"/>
    <x v="0"/>
    <n v="2"/>
    <n v="2"/>
    <n v="2"/>
    <n v="2"/>
    <s v="ITS367171"/>
    <d v="2012-01-31T00:00:00"/>
    <s v="-"/>
    <s v="-"/>
    <s v="-"/>
    <s v="-"/>
    <s v="-"/>
    <s v="Not Applicable"/>
  </r>
  <r>
    <s v="Ofsted Webpage"/>
    <n v="50313"/>
    <n v="10000080"/>
    <s v="Access to Music Limited"/>
    <x v="1"/>
    <s v="Independent learning providers (including employer providers)"/>
    <s v="Birmingham"/>
    <s v="West Midlands"/>
    <s v="West Midlands"/>
    <s v="NULL"/>
    <s v="NULL"/>
    <n v="10004875"/>
    <s v="Independent Learning Provider (National) - Full"/>
    <d v="2016-05-17T00:00:00"/>
    <d v="2016-05-20T00:00:00"/>
    <d v="2016-06-21T00:00:00"/>
    <x v="0"/>
    <n v="2"/>
    <n v="2"/>
    <n v="2"/>
    <n v="2"/>
    <s v="ITS411227"/>
    <d v="2013-03-08T00:00:00"/>
    <n v="2"/>
    <n v="2"/>
    <n v="2"/>
    <s v="-"/>
    <n v="2"/>
    <s v="Stayed the Same"/>
  </r>
  <r>
    <s v="Ofsted Webpage"/>
    <n v="50314"/>
    <n v="10009059"/>
    <s v="Access Training Limited"/>
    <x v="1"/>
    <s v="Independent learning providers (including employer providers)"/>
    <s v="Gateshead"/>
    <s v="North East"/>
    <s v="North East, Yorkshire and the Humber"/>
    <s v="NULL"/>
    <s v="NULL"/>
    <s v="ITS455577"/>
    <s v="Employer - Full"/>
    <d v="2015-06-22T00:00:00"/>
    <d v="2015-06-26T00:00:00"/>
    <d v="2015-07-22T00:00:00"/>
    <x v="0"/>
    <n v="2"/>
    <n v="2"/>
    <s v="-"/>
    <n v="2"/>
    <s v="ITS385750"/>
    <d v="2012-02-03T00:00:00"/>
    <n v="2"/>
    <n v="2"/>
    <n v="2"/>
    <s v="-"/>
    <n v="2"/>
    <s v="Stayed the Same"/>
  </r>
  <r>
    <s v="Ofsted Webpage"/>
    <n v="50315"/>
    <n v="10000082"/>
    <s v="TRN (Train) Ltd."/>
    <x v="1"/>
    <s v="Independent learning providers (including employer providers)"/>
    <s v="Gateshead"/>
    <s v="North East"/>
    <s v="North East, Yorkshire and the Humber"/>
    <d v="2017-02-22T00:00:00"/>
    <n v="1"/>
    <s v="ITS410660"/>
    <s v="WBL (national) - Full"/>
    <d v="2013-05-13T00:00:00"/>
    <d v="2013-05-17T00:00:00"/>
    <d v="2013-06-20T00:00:00"/>
    <x v="0"/>
    <n v="2"/>
    <n v="2"/>
    <s v="-"/>
    <n v="2"/>
    <s v="ITS331668"/>
    <d v="2009-03-26T00:00:00"/>
    <n v="2"/>
    <n v="2"/>
    <n v="2"/>
    <s v="-"/>
    <n v="2"/>
    <s v="Stayed the Same"/>
  </r>
  <r>
    <s v="Ofsted Webpage"/>
    <n v="50322"/>
    <n v="10000099"/>
    <s v="Achievement Training Limited"/>
    <x v="1"/>
    <s v="Independent learning providers (including employer providers)"/>
    <s v="Plymouth"/>
    <s v="South West"/>
    <s v="South West"/>
    <d v="2016-01-21T00:00:00"/>
    <n v="1"/>
    <s v="ITS366061"/>
    <s v="Work based Learning - full inspection Historic"/>
    <d v="2011-07-04T00:00:00"/>
    <d v="2011-07-08T00:00:00"/>
    <d v="2011-08-10T00:00:00"/>
    <x v="0"/>
    <n v="2"/>
    <n v="2"/>
    <s v="-"/>
    <n v="2"/>
    <s v="NULL"/>
    <s v="NULL"/>
    <s v="NULL"/>
    <s v="NULL"/>
    <s v="NULL"/>
    <s v="NULL"/>
    <s v="NULL"/>
    <s v="Not Applicable"/>
  </r>
  <r>
    <s v="Ofsted Webpage"/>
    <n v="50349"/>
    <n v="10007111"/>
    <s v="Adult College for Rural East Sussex (ACRES)"/>
    <x v="1"/>
    <s v="Independent learning providers (including employer providers)"/>
    <s v="East Sussex"/>
    <s v="South East"/>
    <s v="South East"/>
    <s v="NULL"/>
    <s v="NULL"/>
    <s v="ITS429297"/>
    <s v="ACL - Requires improvement"/>
    <d v="2014-05-13T00:00:00"/>
    <d v="2014-05-15T00:00:00"/>
    <d v="2014-06-20T00:00:00"/>
    <x v="0"/>
    <n v="2"/>
    <n v="2"/>
    <s v="-"/>
    <n v="2"/>
    <s v="ITS408460"/>
    <d v="2013-02-08T00:00:00"/>
    <n v="3"/>
    <n v="3"/>
    <n v="3"/>
    <s v="-"/>
    <n v="3"/>
    <s v="Improved"/>
  </r>
  <r>
    <s v="Ofsted Webpage"/>
    <n v="50376"/>
    <n v="10000201"/>
    <s v="Alder Training Limited"/>
    <x v="1"/>
    <s v="Independent learning providers (including employer providers)"/>
    <s v="Liverpool"/>
    <s v="North West"/>
    <s v="North West"/>
    <d v="2016-02-11T00:00:00"/>
    <n v="1"/>
    <s v="ITS354638"/>
    <s v="Work based Learning - full inspection Historic"/>
    <d v="2010-12-06T00:00:00"/>
    <d v="2010-12-10T00:00:00"/>
    <d v="2011-01-19T00:00:00"/>
    <x v="0"/>
    <n v="2"/>
    <n v="2"/>
    <s v="-"/>
    <n v="2"/>
    <s v="NULL"/>
    <s v="NULL"/>
    <s v="NULL"/>
    <s v="NULL"/>
    <s v="NULL"/>
    <s v="NULL"/>
    <s v="NULL"/>
    <s v="Not Applicable"/>
  </r>
  <r>
    <s v="Ofsted Webpage"/>
    <n v="50387"/>
    <n v="10000238"/>
    <s v="Alliance Learning"/>
    <x v="3"/>
    <s v="Community learning and skills providers"/>
    <s v="Bolton"/>
    <s v="North West"/>
    <s v="North West"/>
    <d v="2017-05-24T00:00:00"/>
    <n v="1"/>
    <s v="ITS408489"/>
    <s v="WBL (national) - Full"/>
    <d v="2013-07-01T00:00:00"/>
    <d v="2013-07-05T00:00:00"/>
    <d v="2013-08-09T00:00:00"/>
    <x v="0"/>
    <n v="2"/>
    <n v="2"/>
    <s v="-"/>
    <n v="2"/>
    <s v="ITS345910"/>
    <d v="2010-08-13T00:00:00"/>
    <n v="3"/>
    <n v="3"/>
    <n v="3"/>
    <s v="-"/>
    <n v="3"/>
    <s v="Improved"/>
  </r>
  <r>
    <s v="Ofsted Webpage"/>
    <n v="50410"/>
    <n v="10023918"/>
    <s v="Anderson Stockley Accredited Training Ltd"/>
    <x v="1"/>
    <s v="Independent learning providers (including employer providers)"/>
    <s v="Northamptonshire"/>
    <s v="East Midlands"/>
    <s v="East Midlands"/>
    <s v="NULL"/>
    <s v="NULL"/>
    <n v="10011469"/>
    <s v="Independent Learning Provider (National) - Requires improvement"/>
    <d v="2017-01-24T00:00:00"/>
    <d v="2017-01-27T00:00:00"/>
    <d v="2017-02-22T00:00:00"/>
    <x v="0"/>
    <n v="3"/>
    <n v="2"/>
    <n v="2"/>
    <n v="2"/>
    <s v="ITS452600"/>
    <d v="2015-02-05T00:00:00"/>
    <n v="3"/>
    <n v="3"/>
    <n v="3"/>
    <s v="-"/>
    <n v="3"/>
    <s v="Improved"/>
  </r>
  <r>
    <s v="Ofsted Webpage"/>
    <n v="50411"/>
    <n v="10000285"/>
    <s v="Andrew Collinge Training Limited"/>
    <x v="1"/>
    <s v="Independent learning providers (including employer providers)"/>
    <s v="Liverpool"/>
    <s v="North West"/>
    <s v="North West"/>
    <s v="NULL"/>
    <s v="NULL"/>
    <n v="10030789"/>
    <s v="Independent Learning Provider (Regional) - Full"/>
    <d v="2017-06-20T00:00:00"/>
    <d v="2017-06-23T00:00:00"/>
    <d v="2017-07-24T00:00:00"/>
    <x v="0"/>
    <n v="2"/>
    <n v="2"/>
    <n v="1"/>
    <n v="2"/>
    <s v="ITS316806"/>
    <d v="2007-09-14T00:00:00"/>
    <n v="1"/>
    <n v="1"/>
    <n v="1"/>
    <s v="-"/>
    <n v="2"/>
    <s v="Declined"/>
  </r>
  <r>
    <s v="Ofsted Webpage"/>
    <n v="50442"/>
    <n v="10000348"/>
    <s v="Archway Academy"/>
    <x v="1"/>
    <s v="Independent learning providers (including employer providers)"/>
    <s v="Birmingham"/>
    <s v="West Midlands"/>
    <s v="West Midlands"/>
    <s v="NULL"/>
    <s v="NULL"/>
    <n v="10030711"/>
    <s v="Independent Learning Provider (Regional) - Full"/>
    <d v="2017-06-27T00:00:00"/>
    <d v="2017-06-30T00:00:00"/>
    <d v="2017-07-19T00:00:00"/>
    <x v="2"/>
    <n v="3"/>
    <n v="3"/>
    <n v="3"/>
    <n v="3"/>
    <s v="ITS446034"/>
    <d v="2015-05-08T00:00:00"/>
    <n v="2"/>
    <n v="2"/>
    <n v="2"/>
    <s v="-"/>
    <n v="2"/>
    <s v="Declined"/>
  </r>
  <r>
    <s v="Ofsted Webpage"/>
    <n v="50525"/>
    <n v="10008074"/>
    <s v="Tring Park School for the Performing Arts"/>
    <x v="0"/>
    <s v="Dance and drama colleges"/>
    <s v="Hertfordshire"/>
    <s v="East of England"/>
    <s v="East of England"/>
    <s v="NULL"/>
    <s v="NULL"/>
    <n v="10004879"/>
    <s v="Dance and drama - Full"/>
    <d v="2015-11-04T00:00:00"/>
    <d v="2015-11-05T00:00:00"/>
    <d v="2015-11-27T00:00:00"/>
    <x v="1"/>
    <n v="1"/>
    <n v="1"/>
    <n v="1"/>
    <n v="1"/>
    <s v="ITS385313"/>
    <d v="2012-01-26T00:00:00"/>
    <s v="-"/>
    <s v="-"/>
    <s v="-"/>
    <s v="-"/>
    <s v="-"/>
    <s v="Not Applicable"/>
  </r>
  <r>
    <s v="Ofsted Webpage"/>
    <n v="50527"/>
    <n v="10000381"/>
    <s v="Arts Educational School"/>
    <x v="0"/>
    <s v="Dance and drama colleges"/>
    <s v="Hounslow"/>
    <s v="London"/>
    <s v="London"/>
    <s v="NULL"/>
    <s v="NULL"/>
    <n v="10004880"/>
    <s v="Dance and drama - Full"/>
    <d v="2015-11-11T00:00:00"/>
    <d v="2015-11-12T00:00:00"/>
    <d v="2015-12-03T00:00:00"/>
    <x v="1"/>
    <n v="1"/>
    <n v="1"/>
    <n v="1"/>
    <n v="1"/>
    <s v="ITS385316"/>
    <d v="2012-01-12T00:00:00"/>
    <s v="-"/>
    <s v="-"/>
    <s v="-"/>
    <s v="-"/>
    <s v="-"/>
    <s v="Not Applicable"/>
  </r>
  <r>
    <s v="Ofsted Webpage"/>
    <n v="50537"/>
    <n v="10000417"/>
    <s v="Aspect Training Ltd"/>
    <x v="1"/>
    <s v="Independent learning providers (including employer providers)"/>
    <s v="Sheffield"/>
    <s v="Yorkshire and The Humber"/>
    <s v="North East, Yorkshire and the Humber"/>
    <s v="NULL"/>
    <s v="NULL"/>
    <s v="NULL"/>
    <s v="NULL"/>
    <s v="NULL"/>
    <s v="NULL"/>
    <s v="NULL"/>
    <x v="5"/>
    <s v="NULL"/>
    <s v="NULL"/>
    <s v="NULL"/>
    <s v="NULL"/>
    <s v="NULL"/>
    <s v="NULL"/>
    <s v="NULL"/>
    <s v="NULL"/>
    <s v="NULL"/>
    <s v="NULL"/>
    <s v="NULL"/>
    <s v="NULL"/>
  </r>
  <r>
    <s v="Ofsted Webpage"/>
    <n v="50544"/>
    <n v="10000427"/>
    <s v="Asset Training &amp; Consultancy Limited"/>
    <x v="1"/>
    <s v="Independent learning providers (including employer providers)"/>
    <s v="Sefton"/>
    <s v="North West"/>
    <s v="North West"/>
    <s v="NULL"/>
    <s v="NULL"/>
    <n v="10004881"/>
    <s v="Independent Learning Provider (National) - Full"/>
    <d v="2016-02-02T00:00:00"/>
    <d v="2016-02-05T00:00:00"/>
    <d v="2016-03-09T00:00:00"/>
    <x v="0"/>
    <n v="2"/>
    <n v="2"/>
    <n v="2"/>
    <n v="2"/>
    <s v="ITS342648"/>
    <d v="2009-11-20T00:00:00"/>
    <n v="2"/>
    <n v="1"/>
    <n v="2"/>
    <s v="-"/>
    <n v="2"/>
    <s v="Stayed the Same"/>
  </r>
  <r>
    <s v="Ofsted Webpage"/>
    <n v="50579"/>
    <n v="10000470"/>
    <s v="Axia Solutions Limited"/>
    <x v="1"/>
    <s v="Independent learning providers (including employer providers)"/>
    <s v="Stoke-on-Trent"/>
    <s v="West Midlands"/>
    <s v="West Midlands"/>
    <s v="NULL"/>
    <s v="NULL"/>
    <s v="ITS375546"/>
    <s v="WBL (national) - Full"/>
    <d v="2011-12-06T00:00:00"/>
    <d v="2011-12-09T00:00:00"/>
    <d v="2012-01-18T00:00:00"/>
    <x v="1"/>
    <n v="1"/>
    <n v="1"/>
    <s v="-"/>
    <n v="1"/>
    <s v="ITS307056"/>
    <d v="2006-09-29T00:00:00"/>
    <n v="2"/>
    <s v="-"/>
    <s v="-"/>
    <s v="-"/>
    <n v="2"/>
    <s v="Improved"/>
  </r>
  <r>
    <s v="Ofsted Webpage"/>
    <n v="50580"/>
    <n v="10000476"/>
    <s v="ATG Training"/>
    <x v="3"/>
    <s v="Community learning and skills providers"/>
    <s v="Buckinghamshire"/>
    <s v="South East"/>
    <s v="South East"/>
    <d v="2016-01-14T00:00:00"/>
    <n v="1"/>
    <s v="ITS345917"/>
    <s v="Work based Learning - full inspection Historic"/>
    <d v="2010-07-19T00:00:00"/>
    <d v="2010-07-23T00:00:00"/>
    <d v="2010-08-27T00:00:00"/>
    <x v="0"/>
    <n v="2"/>
    <n v="2"/>
    <s v="-"/>
    <n v="2"/>
    <s v="ITS306992"/>
    <d v="2006-04-28T00:00:00"/>
    <n v="3"/>
    <s v="-"/>
    <s v="-"/>
    <s v="-"/>
    <n v="2"/>
    <s v="Improved"/>
  </r>
  <r>
    <s v="Ofsted Webpage"/>
    <n v="50582"/>
    <n v="10005781"/>
    <s v="Azure Charitable Enterprises"/>
    <x v="3"/>
    <s v="Community learning and skills providers"/>
    <s v="Northumberland"/>
    <s v="North East"/>
    <s v="North East, Yorkshire and the Humber"/>
    <s v="NULL"/>
    <s v="NULL"/>
    <s v="ITS429276"/>
    <s v="Employer - Requires improvement"/>
    <d v="2014-06-10T00:00:00"/>
    <d v="2014-06-12T00:00:00"/>
    <d v="2014-07-15T00:00:00"/>
    <x v="0"/>
    <n v="2"/>
    <n v="2"/>
    <s v="-"/>
    <n v="2"/>
    <s v="ITS408491"/>
    <d v="2013-03-27T00:00:00"/>
    <n v="3"/>
    <n v="2"/>
    <n v="3"/>
    <s v="-"/>
    <n v="3"/>
    <s v="Improved"/>
  </r>
  <r>
    <s v="Ofsted Webpage"/>
    <n v="50584"/>
    <n v="10000486"/>
    <s v="B L Training Limited"/>
    <x v="1"/>
    <s v="Independent learning providers (including employer providers)"/>
    <s v="Newcastle upon Tyne"/>
    <s v="North East"/>
    <s v="North East, Yorkshire and the Humber"/>
    <s v="NULL"/>
    <s v="NULL"/>
    <s v="ITS455578"/>
    <s v="Employer - Full"/>
    <d v="2015-06-15T00:00:00"/>
    <d v="2015-06-19T00:00:00"/>
    <d v="2015-07-21T00:00:00"/>
    <x v="0"/>
    <n v="2"/>
    <n v="2"/>
    <s v="-"/>
    <n v="2"/>
    <s v="ITS385757"/>
    <d v="2012-02-10T00:00:00"/>
    <n v="2"/>
    <n v="2"/>
    <n v="2"/>
    <s v="-"/>
    <n v="2"/>
    <s v="Stayed the Same"/>
  </r>
  <r>
    <s v="Ofsted Webpage"/>
    <n v="50585"/>
    <n v="10000488"/>
    <s v="B-Skill Limited"/>
    <x v="1"/>
    <s v="Independent learning providers (including employer providers)"/>
    <s v="Newcastle upon Tyne"/>
    <s v="North East"/>
    <s v="North East, Yorkshire and the Humber"/>
    <s v="NULL"/>
    <s v="NULL"/>
    <n v="10004882"/>
    <s v="Independent Learning Provider (National) - Requires improvement - second inspection"/>
    <d v="2015-12-01T00:00:00"/>
    <d v="2015-12-04T00:00:00"/>
    <d v="2016-01-04T00:00:00"/>
    <x v="0"/>
    <n v="2"/>
    <n v="2"/>
    <n v="2"/>
    <n v="2"/>
    <s v="ITS429260"/>
    <d v="2014-07-18T00:00:00"/>
    <n v="3"/>
    <n v="3"/>
    <n v="3"/>
    <s v="-"/>
    <n v="3"/>
    <s v="Improved"/>
  </r>
  <r>
    <s v="Ofsted Webpage"/>
    <n v="50586"/>
    <n v="10000494"/>
    <s v="Babington Business College Limited"/>
    <x v="1"/>
    <s v="Independent learning providers (including employer providers)"/>
    <s v="Derby"/>
    <s v="East Midlands"/>
    <s v="East Midlands"/>
    <s v="NULL"/>
    <s v="NULL"/>
    <s v="ITS452977"/>
    <s v="WBL (national) - Full"/>
    <d v="2015-03-02T00:00:00"/>
    <d v="2015-03-06T00:00:00"/>
    <d v="2015-04-07T00:00:00"/>
    <x v="0"/>
    <n v="2"/>
    <n v="2"/>
    <s v="-"/>
    <n v="2"/>
    <s v="ITS375547"/>
    <d v="2011-11-18T00:00:00"/>
    <n v="2"/>
    <n v="2"/>
    <n v="2"/>
    <s v="-"/>
    <n v="2"/>
    <s v="Stayed the Same"/>
  </r>
  <r>
    <s v="Ofsted Webpage"/>
    <n v="50592"/>
    <n v="10000501"/>
    <s v="BAE Systems PLC"/>
    <x v="4"/>
    <s v="Independent learning providers (including employer providers)"/>
    <s v="Lancashire"/>
    <s v="North West"/>
    <s v="North West"/>
    <s v="NULL"/>
    <s v="NULL"/>
    <s v="ITS345916"/>
    <s v="WBL (national) - Full"/>
    <d v="2010-06-14T00:00:00"/>
    <d v="2010-06-18T00:00:00"/>
    <d v="2010-07-15T00:00:00"/>
    <x v="1"/>
    <n v="1"/>
    <n v="1"/>
    <s v="-"/>
    <n v="2"/>
    <s v="ITS302807"/>
    <d v="2007-07-27T00:00:00"/>
    <n v="2"/>
    <n v="2"/>
    <n v="2"/>
    <s v="-"/>
    <n v="2"/>
    <s v="Improved"/>
  </r>
  <r>
    <s v="Ofsted Webpage"/>
    <n v="50604"/>
    <n v="10000532"/>
    <s v="Barnardo's Employment, Training and Skills"/>
    <x v="1"/>
    <s v="Independent learning providers (including employer providers)"/>
    <s v="Redbridge"/>
    <s v="London"/>
    <s v="London"/>
    <s v="NULL"/>
    <s v="NULL"/>
    <n v="10005151"/>
    <s v="Independent Learning Provider (National) - Requires improvement"/>
    <d v="2015-11-17T00:00:00"/>
    <d v="2015-11-20T00:00:00"/>
    <d v="2015-12-09T00:00:00"/>
    <x v="0"/>
    <n v="2"/>
    <n v="2"/>
    <n v="2"/>
    <n v="2"/>
    <s v="ITS434035"/>
    <d v="2014-07-18T00:00:00"/>
    <n v="3"/>
    <n v="3"/>
    <n v="3"/>
    <s v="-"/>
    <n v="3"/>
    <s v="Improved"/>
  </r>
  <r>
    <s v="Ofsted Webpage"/>
    <n v="50609"/>
    <n v="10000538"/>
    <s v="Barnsley Metropolitan Borough Council"/>
    <x v="2"/>
    <s v="Community learning and skills providers"/>
    <s v="Barnsley"/>
    <s v="Yorkshire and The Humber"/>
    <s v="North East, Yorkshire and the Humber"/>
    <s v="NULL"/>
    <s v="NULL"/>
    <n v="10020192"/>
    <s v="Community Learning and Skills - Local authority - Full"/>
    <d v="2016-12-06T00:00:00"/>
    <d v="2016-12-09T00:00:00"/>
    <d v="2017-01-20T00:00:00"/>
    <x v="2"/>
    <n v="3"/>
    <n v="3"/>
    <n v="3"/>
    <n v="3"/>
    <s v="ITS399156"/>
    <d v="2012-12-07T00:00:00"/>
    <n v="2"/>
    <n v="2"/>
    <n v="2"/>
    <s v="-"/>
    <n v="2"/>
    <s v="Declined"/>
  </r>
  <r>
    <s v="Ofsted Webpage"/>
    <n v="50621"/>
    <n v="10000561"/>
    <s v="Basingstoke ITEC"/>
    <x v="3"/>
    <s v="Community learning and skills providers"/>
    <s v="Hampshire"/>
    <s v="South East"/>
    <s v="South East"/>
    <d v="2017-05-05T00:00:00"/>
    <n v="1"/>
    <s v="ITS404581"/>
    <s v="Employer - Full"/>
    <d v="2012-11-13T00:00:00"/>
    <d v="2012-11-16T00:00:00"/>
    <d v="2012-12-21T00:00:00"/>
    <x v="0"/>
    <n v="1"/>
    <n v="2"/>
    <s v="-"/>
    <n v="2"/>
    <s v="ITS317023"/>
    <d v="2007-11-09T00:00:00"/>
    <n v="2"/>
    <n v="2"/>
    <n v="2"/>
    <s v="-"/>
    <n v="2"/>
    <s v="Stayed the Same"/>
  </r>
  <r>
    <s v="Ofsted Webpage"/>
    <n v="50656"/>
    <n v="10000631"/>
    <s v="Bellis Training Limited"/>
    <x v="1"/>
    <s v="Independent learning providers (including employer providers)"/>
    <s v="Birmingham"/>
    <s v="West Midlands"/>
    <s v="West Midlands"/>
    <s v="NULL"/>
    <s v="NULL"/>
    <n v="10022585"/>
    <s v="Independent Learning Provider (Regional) - Full"/>
    <d v="2017-01-31T00:00:00"/>
    <d v="2017-02-02T00:00:00"/>
    <d v="2017-02-28T00:00:00"/>
    <x v="0"/>
    <n v="2"/>
    <n v="2"/>
    <n v="2"/>
    <n v="2"/>
    <s v="ITS429000"/>
    <d v="2013-10-24T00:00:00"/>
    <n v="2"/>
    <n v="2"/>
    <n v="2"/>
    <s v="-"/>
    <n v="2"/>
    <s v="Stayed the Same"/>
  </r>
  <r>
    <s v="Ofsted Webpage"/>
    <n v="50701"/>
    <n v="10002011"/>
    <s v="Doreen Bird College of Performing Arts Ltd."/>
    <x v="0"/>
    <s v="Dance and drama colleges"/>
    <s v="Bexley"/>
    <s v="London"/>
    <s v="London"/>
    <s v="NULL"/>
    <s v="NULL"/>
    <n v="10004883"/>
    <s v="Dance and drama - Full"/>
    <d v="2015-12-02T00:00:00"/>
    <d v="2015-12-03T00:00:00"/>
    <d v="2016-01-12T00:00:00"/>
    <x v="1"/>
    <n v="1"/>
    <n v="1"/>
    <n v="1"/>
    <n v="1"/>
    <s v="ITS387997"/>
    <d v="2012-05-02T00:00:00"/>
    <s v="-"/>
    <s v="-"/>
    <s v="-"/>
    <s v="-"/>
    <s v="-"/>
    <s v="Not Applicable"/>
  </r>
  <r>
    <s v="Ofsted Webpage"/>
    <n v="50713"/>
    <n v="10000715"/>
    <s v="Birmingham Electrical Training Ltd"/>
    <x v="1"/>
    <s v="Independent learning providers (including employer providers)"/>
    <s v="Birmingham"/>
    <s v="West Midlands"/>
    <s v="West Midlands"/>
    <s v="NULL"/>
    <s v="NULL"/>
    <s v="ITS446037"/>
    <s v="Employer - Requires improvement - second inspection"/>
    <d v="2015-06-23T00:00:00"/>
    <d v="2015-06-26T00:00:00"/>
    <d v="2015-07-16T00:00:00"/>
    <x v="0"/>
    <n v="2"/>
    <n v="2"/>
    <s v="-"/>
    <n v="2"/>
    <s v="ITS429219"/>
    <d v="2014-02-21T00:00:00"/>
    <n v="3"/>
    <n v="3"/>
    <n v="3"/>
    <s v="-"/>
    <n v="3"/>
    <s v="Improved"/>
  </r>
  <r>
    <s v="Ofsted Webpage"/>
    <n v="50729"/>
    <n v="10006600"/>
    <s v="BCTG Limited"/>
    <x v="1"/>
    <s v="Independent learning providers (including employer providers)"/>
    <s v="Sandwell"/>
    <s v="West Midlands"/>
    <s v="West Midlands"/>
    <s v="NULL"/>
    <s v="NULL"/>
    <n v="10020081"/>
    <s v="Independent Learning Provider (National) - Full"/>
    <d v="2016-10-04T00:00:00"/>
    <d v="2016-10-07T00:00:00"/>
    <d v="2016-11-16T00:00:00"/>
    <x v="2"/>
    <n v="3"/>
    <n v="3"/>
    <n v="3"/>
    <n v="3"/>
    <s v="ITS388125"/>
    <d v="2012-05-04T00:00:00"/>
    <n v="2"/>
    <n v="2"/>
    <n v="2"/>
    <s v="-"/>
    <n v="2"/>
    <s v="Declined"/>
  </r>
  <r>
    <s v="Ofsted Webpage"/>
    <n v="50732"/>
    <n v="10000748"/>
    <s v="Blackburn with Darwen Borough Council"/>
    <x v="2"/>
    <s v="Community learning and skills providers"/>
    <s v="Blackburn with Darwen"/>
    <s v="North West"/>
    <s v="North West"/>
    <d v="2015-10-16T00:00:00"/>
    <n v="1"/>
    <s v="ITS343845"/>
    <s v="Adult and Community - full (regional) Historic"/>
    <d v="2010-02-01T00:00:00"/>
    <d v="2010-02-05T00:00:00"/>
    <d v="2010-03-12T00:00:00"/>
    <x v="0"/>
    <n v="2"/>
    <n v="2"/>
    <s v="-"/>
    <n v="2"/>
    <s v="ITS306779"/>
    <d v="2005-11-11T00:00:00"/>
    <n v="2"/>
    <s v="-"/>
    <s v="-"/>
    <s v="-"/>
    <n v="2"/>
    <s v="Stayed the Same"/>
  </r>
  <r>
    <s v="Ofsted Webpage"/>
    <n v="50737"/>
    <n v="10000755"/>
    <s v="BLACKPOOL UNITARY AUTHORITY"/>
    <x v="2"/>
    <s v="Community learning and skills providers"/>
    <s v="Blackpool"/>
    <s v="North West"/>
    <s v="North West"/>
    <s v="NULL"/>
    <s v="NULL"/>
    <n v="10022617"/>
    <s v="Community Learning and Skills - Local authority - Full"/>
    <d v="2017-06-27T00:00:00"/>
    <d v="2017-07-05T00:00:00"/>
    <d v="2017-09-08T00:00:00"/>
    <x v="2"/>
    <n v="3"/>
    <n v="3"/>
    <n v="3"/>
    <n v="3"/>
    <s v="ITS404218"/>
    <d v="2013-02-08T00:00:00"/>
    <n v="2"/>
    <n v="2"/>
    <n v="2"/>
    <s v="-"/>
    <n v="2"/>
    <s v="Declined"/>
  </r>
  <r>
    <s v="Ofsted Webpage"/>
    <n v="50743"/>
    <n v="10030748"/>
    <s v="Blake College LLP"/>
    <x v="1"/>
    <s v="Independent learning providers (including employer providers)"/>
    <s v="Islington"/>
    <s v="London"/>
    <s v="London"/>
    <s v="NULL"/>
    <s v="NULL"/>
    <n v="10020111"/>
    <s v="Independent Learning Provider (Regional) - Full"/>
    <d v="2016-10-10T00:00:00"/>
    <d v="2016-10-12T00:00:00"/>
    <d v="2016-11-28T00:00:00"/>
    <x v="4"/>
    <n v="4"/>
    <n v="3"/>
    <n v="4"/>
    <n v="4"/>
    <s v="ITS404216"/>
    <d v="2013-02-01T00:00:00"/>
    <n v="2"/>
    <n v="2"/>
    <n v="2"/>
    <s v="-"/>
    <n v="3"/>
    <s v="Declined"/>
  </r>
  <r>
    <s v="Ofsted Webpage"/>
    <n v="50766"/>
    <n v="10000795"/>
    <s v="Bolton Metropolitan Borough Council"/>
    <x v="2"/>
    <s v="Community learning and skills providers"/>
    <s v="Bolton"/>
    <s v="North West"/>
    <s v="North West"/>
    <s v="NULL"/>
    <s v="NULL"/>
    <n v="10022095"/>
    <s v="Community Learning and Skills - Local authority - Full"/>
    <d v="2016-11-22T00:00:00"/>
    <d v="2016-11-25T00:00:00"/>
    <d v="2017-01-06T00:00:00"/>
    <x v="2"/>
    <n v="3"/>
    <n v="3"/>
    <n v="3"/>
    <n v="3"/>
    <s v="ITS342352"/>
    <d v="2010-05-14T00:00:00"/>
    <n v="2"/>
    <n v="2"/>
    <n v="3"/>
    <s v="-"/>
    <n v="2"/>
    <s v="Declined"/>
  </r>
  <r>
    <s v="Ofsted Webpage"/>
    <n v="50782"/>
    <n v="10047306"/>
    <s v="BOSCO Centre"/>
    <x v="3"/>
    <s v="Community learning and skills providers"/>
    <s v="Southwark"/>
    <s v="London"/>
    <s v="London"/>
    <s v="NULL"/>
    <s v="NULL"/>
    <n v="10004888"/>
    <s v="Independent Learning Provider (Regional) - Requires Improvement"/>
    <d v="2015-10-19T00:00:00"/>
    <d v="2015-10-22T00:00:00"/>
    <d v="2015-11-30T00:00:00"/>
    <x v="0"/>
    <n v="2"/>
    <n v="2"/>
    <n v="2"/>
    <n v="2"/>
    <s v="ITS423756"/>
    <d v="2014-02-28T00:00:00"/>
    <n v="3"/>
    <n v="3"/>
    <n v="3"/>
    <s v="-"/>
    <n v="3"/>
    <s v="Improved"/>
  </r>
  <r>
    <s v="Ofsted Webpage"/>
    <n v="50795"/>
    <n v="10000831"/>
    <s v="BPP Holdings Limited"/>
    <x v="1"/>
    <s v="Independent learning providers (including employer providers)"/>
    <s v="Reading"/>
    <s v="South East"/>
    <s v="South East"/>
    <s v="NULL"/>
    <s v="NULL"/>
    <n v="10039585"/>
    <s v="Independent Learning Provider (National) - Full"/>
    <d v="2017-09-26T00:00:00"/>
    <d v="2017-09-29T00:00:00"/>
    <d v="2017-11-02T00:00:00"/>
    <x v="0"/>
    <n v="2"/>
    <n v="2"/>
    <n v="2"/>
    <n v="2"/>
    <s v="ITS363609"/>
    <d v="2010-09-24T00:00:00"/>
    <n v="2"/>
    <n v="2"/>
    <n v="2"/>
    <s v="-"/>
    <n v="2"/>
    <s v="Stayed the Same"/>
  </r>
  <r>
    <s v="Ofsted Webpage"/>
    <n v="50798"/>
    <n v="10000834"/>
    <s v="Bracknell Forest Borough Council"/>
    <x v="2"/>
    <s v="Community learning and skills providers"/>
    <s v="Bracknell Forest"/>
    <s v="South East"/>
    <s v="South East"/>
    <s v="NULL"/>
    <s v="NULL"/>
    <n v="10004890"/>
    <s v="Community Learning and Skills - Local authority - Full"/>
    <d v="2016-02-09T00:00:00"/>
    <d v="2016-02-12T00:00:00"/>
    <d v="2016-03-09T00:00:00"/>
    <x v="2"/>
    <n v="3"/>
    <n v="3"/>
    <n v="3"/>
    <n v="3"/>
    <s v="ITS408817"/>
    <d v="2012-11-23T00:00:00"/>
    <n v="2"/>
    <n v="2"/>
    <n v="2"/>
    <s v="-"/>
    <n v="2"/>
    <s v="Declined"/>
  </r>
  <r>
    <s v="Ofsted Webpage"/>
    <n v="50806"/>
    <n v="10000850"/>
    <s v="City Of Bradford Metropolitan District Council"/>
    <x v="2"/>
    <s v="Community learning and skills providers"/>
    <s v="Bradford"/>
    <s v="Yorkshire and The Humber"/>
    <s v="North East, Yorkshire and the Humber"/>
    <s v="NULL"/>
    <s v="NULL"/>
    <s v="ITS429146"/>
    <s v="Adult and Community - full (regional) Historic"/>
    <d v="2014-03-25T00:00:00"/>
    <d v="2014-03-27T00:00:00"/>
    <d v="2014-04-28T00:00:00"/>
    <x v="0"/>
    <n v="2"/>
    <n v="2"/>
    <s v="-"/>
    <n v="2"/>
    <s v="ITS375503"/>
    <d v="2011-10-14T00:00:00"/>
    <n v="3"/>
    <n v="3"/>
    <n v="2"/>
    <s v="-"/>
    <n v="2"/>
    <s v="Improved"/>
  </r>
  <r>
    <s v="Ofsted Webpage"/>
    <n v="50809"/>
    <n v="10000848"/>
    <s v="Appris Charity Limited"/>
    <x v="3"/>
    <s v="Community learning and skills providers"/>
    <s v="Bradford"/>
    <s v="Yorkshire and The Humber"/>
    <s v="North East, Yorkshire and the Humber"/>
    <s v="NULL"/>
    <s v="NULL"/>
    <n v="10030671"/>
    <s v="Community Learning and Skills - Not for profit organisation - Requires Improvement"/>
    <d v="2017-11-14T00:00:00"/>
    <d v="2017-11-17T00:00:00"/>
    <d v="2017-12-19T00:00:00"/>
    <x v="0"/>
    <n v="2"/>
    <n v="2"/>
    <n v="1"/>
    <n v="2"/>
    <n v="10005135"/>
    <d v="2015-12-10T00:00:00"/>
    <n v="3"/>
    <n v="3"/>
    <n v="3"/>
    <n v="2"/>
    <n v="3"/>
    <s v="Improved"/>
  </r>
  <r>
    <s v="Ofsted Webpage"/>
    <n v="50827"/>
    <n v="10000874"/>
    <s v="Bridge Training Limited"/>
    <x v="1"/>
    <s v="Independent learning providers (including employer providers)"/>
    <s v="Gloucestershire"/>
    <s v="South West"/>
    <s v="South West"/>
    <s v="NULL"/>
    <s v="NULL"/>
    <n v="10030676"/>
    <s v="Independent Learning Provider (Regional) - Requires Improvement - second inspection"/>
    <d v="2017-05-15T00:00:00"/>
    <d v="2017-05-18T00:00:00"/>
    <d v="2017-06-13T00:00:00"/>
    <x v="0"/>
    <n v="2"/>
    <n v="2"/>
    <n v="2"/>
    <n v="2"/>
    <n v="10006354"/>
    <d v="2015-11-26T00:00:00"/>
    <n v="3"/>
    <n v="3"/>
    <n v="3"/>
    <n v="3"/>
    <n v="3"/>
    <s v="Improved"/>
  </r>
  <r>
    <s v="Ofsted Webpage"/>
    <n v="50835"/>
    <n v="10000883"/>
    <s v="Brighton &amp; Hove City Council"/>
    <x v="2"/>
    <s v="Community learning and skills providers"/>
    <s v="Brighton and Hove"/>
    <s v="South East"/>
    <s v="South East"/>
    <d v="2016-01-14T00:00:00"/>
    <n v="1"/>
    <s v="ITS333091"/>
    <s v="Adult and Community - full (regional) Historic"/>
    <d v="2010-02-08T00:00:00"/>
    <d v="2010-02-12T00:00:00"/>
    <d v="2010-03-15T00:00:00"/>
    <x v="0"/>
    <n v="2"/>
    <n v="2"/>
    <s v="-"/>
    <n v="3"/>
    <s v="ITS306780"/>
    <d v="2005-10-21T00:00:00"/>
    <n v="2"/>
    <s v="-"/>
    <s v="-"/>
    <s v="-"/>
    <n v="2"/>
    <s v="Stayed the Same"/>
  </r>
  <r>
    <s v="Ofsted Webpage"/>
    <n v="50846"/>
    <n v="10000896"/>
    <s v="Bristol City Council"/>
    <x v="2"/>
    <s v="Community learning and skills providers"/>
    <s v="Bristol"/>
    <s v="South West"/>
    <s v="South West"/>
    <s v="NULL"/>
    <s v="NULL"/>
    <n v="10004892"/>
    <s v="Community Learning and Skills - Local authority - Full"/>
    <d v="2016-02-22T00:00:00"/>
    <d v="2016-02-25T00:00:00"/>
    <d v="2016-04-04T00:00:00"/>
    <x v="0"/>
    <n v="2"/>
    <n v="2"/>
    <n v="2"/>
    <n v="2"/>
    <s v="ITS387988"/>
    <d v="2012-04-27T00:00:00"/>
    <n v="2"/>
    <n v="2"/>
    <n v="2"/>
    <s v="-"/>
    <n v="2"/>
    <s v="Stayed the Same"/>
  </r>
  <r>
    <s v="Ofsted Webpage"/>
    <n v="50855"/>
    <n v="10000915"/>
    <s v="British Gas Services Limited"/>
    <x v="4"/>
    <s v="Independent learning providers (including employer providers)"/>
    <s v="Leicestershire"/>
    <s v="East Midlands"/>
    <s v="East Midlands"/>
    <s v="NULL"/>
    <s v="NULL"/>
    <s v="ITS317802"/>
    <s v="Work based Learning - full inspection Historic"/>
    <d v="2007-07-09T00:00:00"/>
    <d v="2007-07-12T00:00:00"/>
    <d v="2007-08-14T00:00:00"/>
    <x v="1"/>
    <n v="1"/>
    <n v="1"/>
    <s v="-"/>
    <n v="1"/>
    <s v="NULL"/>
    <s v="NULL"/>
    <s v="NULL"/>
    <s v="NULL"/>
    <s v="NULL"/>
    <s v="NULL"/>
    <s v="NULL"/>
    <s v="Not Applicable"/>
  </r>
  <r>
    <s v="Ofsted Webpage"/>
    <n v="50857"/>
    <n v="10000929"/>
    <s v="British Printing Industries Federation Ltd"/>
    <x v="1"/>
    <s v="Independent learning providers (including employer providers)"/>
    <s v="Coventry"/>
    <s v="West Midlands"/>
    <s v="West Midlands"/>
    <s v="NULL"/>
    <s v="NULL"/>
    <n v="10011471"/>
    <s v="Independent Learning Provider (National) - Full"/>
    <d v="2016-06-28T00:00:00"/>
    <d v="2016-07-01T00:00:00"/>
    <d v="2016-07-25T00:00:00"/>
    <x v="2"/>
    <n v="3"/>
    <n v="3"/>
    <n v="3"/>
    <n v="3"/>
    <s v="ITS408526"/>
    <d v="2013-02-15T00:00:00"/>
    <n v="2"/>
    <n v="2"/>
    <n v="2"/>
    <s v="-"/>
    <n v="2"/>
    <s v="Declined"/>
  </r>
  <r>
    <s v="Ofsted Webpage"/>
    <n v="50858"/>
    <n v="10000931"/>
    <s v="British Racing School"/>
    <x v="3"/>
    <s v="Community learning and skills providers"/>
    <s v="Cambridgeshire"/>
    <s v="East of England"/>
    <s v="East of England"/>
    <d v="2015-12-17T00:00:00"/>
    <n v="1"/>
    <s v="ITS345865"/>
    <s v="Work based Learning - full inspection Historic"/>
    <d v="2010-08-03T00:00:00"/>
    <d v="2010-08-06T00:00:00"/>
    <d v="2010-09-13T00:00:00"/>
    <x v="0"/>
    <n v="2"/>
    <n v="2"/>
    <s v="-"/>
    <n v="2"/>
    <s v="ITS306839"/>
    <d v="2005-10-13T00:00:00"/>
    <n v="1"/>
    <s v="-"/>
    <s v="-"/>
    <s v="-"/>
    <n v="1"/>
    <s v="Declined"/>
  </r>
  <r>
    <s v="Ofsted Webpage"/>
    <n v="50888"/>
    <n v="10009063"/>
    <s v="Building Crafts College"/>
    <x v="3"/>
    <s v="Community learning and skills providers"/>
    <s v="Newham"/>
    <s v="London"/>
    <s v="London"/>
    <d v="2017-06-14T00:00:00"/>
    <n v="1"/>
    <s v="ITS429140"/>
    <s v="Adult and Community - full (regional) Historic"/>
    <d v="2014-02-03T00:00:00"/>
    <d v="2014-02-05T00:00:00"/>
    <d v="2014-03-12T00:00:00"/>
    <x v="0"/>
    <n v="2"/>
    <n v="2"/>
    <s v="-"/>
    <n v="2"/>
    <s v="ITS330813"/>
    <d v="2009-03-13T00:00:00"/>
    <n v="2"/>
    <n v="2"/>
    <n v="2"/>
    <s v="-"/>
    <n v="2"/>
    <s v="Stayed the Same"/>
  </r>
  <r>
    <s v="Ofsted Webpage"/>
    <n v="50893"/>
    <n v="10000994"/>
    <s v="Burleigh College"/>
    <x v="1"/>
    <s v="Independent learning providers (including employer providers)"/>
    <s v="Hammersmith and Fulham"/>
    <s v="London"/>
    <s v="London"/>
    <s v="NULL"/>
    <s v="NULL"/>
    <s v="ITS321465"/>
    <s v="Work based Learning - full inspection Historic"/>
    <d v="2008-08-11T00:00:00"/>
    <d v="2008-08-13T00:00:00"/>
    <d v="2008-09-25T00:00:00"/>
    <x v="2"/>
    <n v="4"/>
    <n v="3"/>
    <s v="-"/>
    <n v="3"/>
    <s v="NULL"/>
    <s v="NULL"/>
    <s v="NULL"/>
    <s v="NULL"/>
    <s v="NULL"/>
    <s v="NULL"/>
    <s v="NULL"/>
    <s v="Not Applicable"/>
  </r>
  <r>
    <s v="Ofsted Webpage"/>
    <n v="50898"/>
    <n v="10001008"/>
    <s v="Bury Metropolitan Borough Council"/>
    <x v="2"/>
    <s v="Community learning and skills providers"/>
    <s v="Bury"/>
    <s v="North West"/>
    <s v="North West"/>
    <d v="2015-11-25T00:00:00"/>
    <n v="1"/>
    <s v="ITS342353"/>
    <s v="Adult and Community - full (regional) Historic"/>
    <d v="2010-03-15T00:00:00"/>
    <d v="2010-03-19T00:00:00"/>
    <d v="2010-05-21T00:00:00"/>
    <x v="0"/>
    <n v="2"/>
    <n v="2"/>
    <s v="-"/>
    <n v="2"/>
    <s v="ITS306892"/>
    <d v="2006-02-03T00:00:00"/>
    <n v="2"/>
    <s v="-"/>
    <s v="-"/>
    <s v="-"/>
    <n v="2"/>
    <s v="Stayed the Same"/>
  </r>
  <r>
    <s v="Ofsted Webpage"/>
    <n v="50936"/>
    <n v="10030637"/>
    <s v="Busy Bees Nurseries Limited"/>
    <x v="4"/>
    <s v="Independent learning providers (including employer providers)"/>
    <s v="Staffordshire"/>
    <s v="West Midlands"/>
    <s v="West Midlands"/>
    <s v="NULL"/>
    <s v="NULL"/>
    <n v="10022580"/>
    <s v="Independent Learning Provider (National) - Full"/>
    <d v="2017-02-01T00:00:00"/>
    <d v="2017-02-09T00:00:00"/>
    <d v="2017-03-16T00:00:00"/>
    <x v="1"/>
    <n v="1"/>
    <n v="1"/>
    <n v="1"/>
    <n v="1"/>
    <s v="ITS404570"/>
    <d v="2012-10-19T00:00:00"/>
    <n v="2"/>
    <n v="2"/>
    <n v="2"/>
    <s v="-"/>
    <n v="2"/>
    <s v="Improved"/>
  </r>
  <r>
    <s v="Ofsted Webpage"/>
    <n v="50949"/>
    <n v="10001078"/>
    <s v="Cablecom Training Limited"/>
    <x v="1"/>
    <s v="Independent learning providers (including employer providers)"/>
    <s v="Stockton-on-Tees"/>
    <s v="North East"/>
    <s v="North East, Yorkshire and the Humber"/>
    <d v="2016-04-07T00:00:00"/>
    <n v="1"/>
    <s v="ITS364467"/>
    <s v="WBL (national) - Full"/>
    <d v="2011-07-26T00:00:00"/>
    <d v="2011-07-29T00:00:00"/>
    <d v="2011-08-24T00:00:00"/>
    <x v="0"/>
    <n v="2"/>
    <n v="3"/>
    <s v="-"/>
    <n v="2"/>
    <s v="ITS307100"/>
    <d v="2006-08-24T00:00:00"/>
    <n v="2"/>
    <s v="-"/>
    <s v="-"/>
    <s v="-"/>
    <n v="2"/>
    <s v="Stayed the Same"/>
  </r>
  <r>
    <s v="Ofsted Webpage"/>
    <n v="50958"/>
    <n v="10001094"/>
    <s v="Calderdale Metropolitan Borough Council"/>
    <x v="2"/>
    <s v="Community learning and skills providers"/>
    <s v="Calderdale"/>
    <s v="Yorkshire and The Humber"/>
    <s v="North East, Yorkshire and the Humber"/>
    <s v="NULL"/>
    <s v="NULL"/>
    <n v="10004896"/>
    <s v="Community Learning and Skills - Local authority - Full"/>
    <d v="2016-02-22T00:00:00"/>
    <d v="2016-03-08T00:00:00"/>
    <d v="2016-04-08T00:00:00"/>
    <x v="2"/>
    <n v="3"/>
    <n v="3"/>
    <n v="3"/>
    <n v="3"/>
    <s v="ITS365879"/>
    <d v="2011-04-08T00:00:00"/>
    <n v="2"/>
    <n v="2"/>
    <n v="2"/>
    <s v="-"/>
    <n v="2"/>
    <s v="Declined"/>
  </r>
  <r>
    <s v="Ofsted Webpage"/>
    <n v="50971"/>
    <n v="10001123"/>
    <s v="Cambridgeshire County Council"/>
    <x v="2"/>
    <s v="Community learning and skills providers"/>
    <s v="Cambridgeshire"/>
    <s v="East of England"/>
    <s v="East of England"/>
    <d v="2016-05-27T00:00:00"/>
    <n v="1"/>
    <s v="ITS363131"/>
    <s v="Adult and Community - full (regional) Historic"/>
    <d v="2011-03-07T00:00:00"/>
    <d v="2011-03-11T00:00:00"/>
    <d v="2011-04-15T00:00:00"/>
    <x v="0"/>
    <n v="2"/>
    <n v="2"/>
    <s v="-"/>
    <n v="2"/>
    <s v="ITS307143"/>
    <d v="2006-12-01T00:00:00"/>
    <n v="3"/>
    <s v="-"/>
    <s v="-"/>
    <s v="-"/>
    <n v="3"/>
    <s v="Improved"/>
  </r>
  <r>
    <s v="Ofsted Webpage"/>
    <n v="50992"/>
    <n v="10001145"/>
    <s v="CANTO LIMITED"/>
    <x v="1"/>
    <s v="Independent learning providers (including employer providers)"/>
    <s v="Northamptonshire"/>
    <s v="East Midlands"/>
    <s v="East Midlands"/>
    <s v="NULL"/>
    <s v="NULL"/>
    <n v="10022565"/>
    <s v="Independent Learning Provider (Regional) - Full"/>
    <d v="2016-10-11T00:00:00"/>
    <d v="2016-10-13T00:00:00"/>
    <d v="2016-11-17T00:00:00"/>
    <x v="0"/>
    <n v="2"/>
    <n v="2"/>
    <n v="2"/>
    <n v="2"/>
    <s v="ITS429270"/>
    <d v="2014-07-10T00:00:00"/>
    <n v="2"/>
    <n v="2"/>
    <n v="2"/>
    <s v="-"/>
    <n v="2"/>
    <s v="Stayed the Same"/>
  </r>
  <r>
    <s v="Ofsted Webpage"/>
    <n v="51002"/>
    <n v="10006622"/>
    <s v="The Care Learning Centre (Isle of Wight) Limited"/>
    <x v="1"/>
    <s v="Independent learning providers (including employer providers)"/>
    <s v="Isle of Wight"/>
    <s v="South East"/>
    <s v="South East"/>
    <s v="NULL"/>
    <s v="NULL"/>
    <n v="10011473"/>
    <s v="Independent Learning Provider (National) - Full"/>
    <d v="2016-05-24T00:00:00"/>
    <d v="2016-05-27T00:00:00"/>
    <d v="2016-06-23T00:00:00"/>
    <x v="0"/>
    <n v="2"/>
    <n v="2"/>
    <n v="2"/>
    <n v="2"/>
    <s v="ITS343657"/>
    <d v="2010-01-29T00:00:00"/>
    <n v="2"/>
    <n v="2"/>
    <n v="2"/>
    <s v="-"/>
    <n v="2"/>
    <s v="Stayed the Same"/>
  </r>
  <r>
    <s v="Ofsted Webpage"/>
    <n v="51005"/>
    <n v="10001174"/>
    <s v="CT Skills Limited"/>
    <x v="1"/>
    <s v="Independent learning providers (including employer providers)"/>
    <s v="Nottinghamshire"/>
    <s v="East Midlands"/>
    <s v="East Midlands"/>
    <s v="NULL"/>
    <s v="NULL"/>
    <n v="10004899"/>
    <s v="Independent Learning Provider (Regional) - Full"/>
    <d v="2016-08-16T00:00:00"/>
    <d v="2016-08-19T00:00:00"/>
    <d v="2016-09-13T00:00:00"/>
    <x v="0"/>
    <n v="2"/>
    <n v="2"/>
    <n v="2"/>
    <n v="2"/>
    <s v="ITS429126"/>
    <d v="2014-03-28T00:00:00"/>
    <n v="2"/>
    <n v="2"/>
    <n v="2"/>
    <s v="-"/>
    <n v="2"/>
    <s v="Stayed the Same"/>
  </r>
  <r>
    <s v="Ofsted Webpage"/>
    <n v="51025"/>
    <n v="10001182"/>
    <s v="Aspire-I Limited"/>
    <x v="1"/>
    <s v="Independent learning providers (including employer providers)"/>
    <s v="Bradford"/>
    <s v="Yorkshire and The Humber"/>
    <s v="North East, Yorkshire and the Humber"/>
    <s v="NULL"/>
    <s v="NULL"/>
    <n v="10008484"/>
    <s v="Independent Learning Provider (Regional) - Requires Improvement - second inspection"/>
    <d v="2016-01-26T00:00:00"/>
    <d v="2016-01-29T00:00:00"/>
    <d v="2016-02-16T00:00:00"/>
    <x v="0"/>
    <n v="2"/>
    <n v="2"/>
    <n v="2"/>
    <n v="2"/>
    <s v="ITS429271"/>
    <d v="2014-07-04T00:00:00"/>
    <n v="3"/>
    <n v="3"/>
    <n v="3"/>
    <s v="-"/>
    <n v="3"/>
    <s v="Improved"/>
  </r>
  <r>
    <s v="Ofsted Webpage"/>
    <n v="51036"/>
    <n v="10001193"/>
    <s v="Carillion Construction Limited"/>
    <x v="4"/>
    <s v="Independent learning providers (including employer providers)"/>
    <s v="Wolverhampton"/>
    <s v="West Midlands"/>
    <s v="West Midlands"/>
    <s v="NULL"/>
    <s v="NULL"/>
    <n v="10020124"/>
    <s v="Independent Learning Provider (National) - Full"/>
    <d v="2016-10-26T00:00:00"/>
    <d v="2016-11-02T00:00:00"/>
    <d v="2016-12-12T00:00:00"/>
    <x v="2"/>
    <n v="3"/>
    <n v="3"/>
    <n v="3"/>
    <n v="3"/>
    <s v="ITS410643"/>
    <d v="2013-08-02T00:00:00"/>
    <n v="2"/>
    <n v="3"/>
    <n v="2"/>
    <s v="-"/>
    <n v="2"/>
    <s v="Declined"/>
  </r>
  <r>
    <s v="Ofsted Webpage"/>
    <n v="51072"/>
    <n v="10001259"/>
    <s v="Central Training Academy Limited"/>
    <x v="1"/>
    <s v="Independent learning providers (including employer providers)"/>
    <s v="Southend on Sea"/>
    <s v="East of England"/>
    <s v="East of England"/>
    <s v="NULL"/>
    <s v="NULL"/>
    <s v="ITS452978"/>
    <s v="WBL (national) - Full"/>
    <d v="2015-03-02T00:00:00"/>
    <d v="2015-03-06T00:00:00"/>
    <d v="2015-04-14T00:00:00"/>
    <x v="0"/>
    <n v="2"/>
    <n v="2"/>
    <s v="-"/>
    <n v="2"/>
    <s v="ITS345936"/>
    <d v="2010-05-28T00:00:00"/>
    <n v="2"/>
    <n v="2"/>
    <n v="2"/>
    <s v="-"/>
    <n v="2"/>
    <s v="Stayed the Same"/>
  </r>
  <r>
    <s v="Ofsted Webpage"/>
    <n v="51097"/>
    <n v="10032017"/>
    <s v="Community Learning in Partnership (CLIP) CIC"/>
    <x v="3"/>
    <s v="Community learning and skills providers"/>
    <s v="Lincolnshire"/>
    <s v="East Midlands"/>
    <s v="East Midlands"/>
    <d v="2017-10-04T00:00:00"/>
    <n v="1"/>
    <s v="ITS429087"/>
    <s v="Employer - Requires improvement"/>
    <d v="2014-02-04T00:00:00"/>
    <d v="2014-02-07T00:00:00"/>
    <d v="2014-03-12T00:00:00"/>
    <x v="0"/>
    <n v="2"/>
    <n v="2"/>
    <s v="-"/>
    <n v="2"/>
    <s v="ITS408406"/>
    <d v="2012-09-28T00:00:00"/>
    <n v="3"/>
    <n v="3"/>
    <n v="3"/>
    <s v="-"/>
    <n v="3"/>
    <s v="Improved"/>
  </r>
  <r>
    <s v="Ofsted Webpage"/>
    <n v="51104"/>
    <n v="10001310"/>
    <s v="Chamber Training (Humber) Limited"/>
    <x v="1"/>
    <s v="Independent learning providers (including employer providers)"/>
    <s v="Kingston upon Hull"/>
    <s v="Yorkshire and The Humber"/>
    <s v="North East, Yorkshire and the Humber"/>
    <s v="NULL"/>
    <s v="NULL"/>
    <s v="ITS429795"/>
    <s v="Employer - Requires improvement"/>
    <d v="2015-01-12T00:00:00"/>
    <d v="2015-01-16T00:00:00"/>
    <d v="2015-02-23T00:00:00"/>
    <x v="0"/>
    <n v="2"/>
    <n v="2"/>
    <s v="-"/>
    <n v="2"/>
    <s v="ITS404575"/>
    <d v="2013-07-19T00:00:00"/>
    <n v="3"/>
    <n v="3"/>
    <n v="3"/>
    <s v="-"/>
    <n v="3"/>
    <s v="Improved"/>
  </r>
  <r>
    <s v="Ofsted Webpage"/>
    <n v="51142"/>
    <n v="10008159"/>
    <s v="Cheyne's (Management) Limited"/>
    <x v="1"/>
    <s v="Independent learning providers (including employer providers)"/>
    <s v="City of Edinburgh"/>
    <s v="Scotland"/>
    <s v="London"/>
    <s v="NULL"/>
    <s v="NULL"/>
    <s v="ITS429261"/>
    <s v="Employer - Requires improvement"/>
    <d v="2014-08-18T00:00:00"/>
    <d v="2014-08-22T00:00:00"/>
    <d v="2014-09-29T00:00:00"/>
    <x v="0"/>
    <n v="2"/>
    <n v="2"/>
    <s v="-"/>
    <n v="2"/>
    <s v="ITS408527"/>
    <d v="2013-02-22T00:00:00"/>
    <n v="3"/>
    <n v="3"/>
    <n v="3"/>
    <s v="-"/>
    <n v="3"/>
    <s v="Improved"/>
  </r>
  <r>
    <s v="Ofsted Webpage"/>
    <n v="51149"/>
    <n v="10001394"/>
    <s v="Chiltern Training Limited"/>
    <x v="1"/>
    <s v="Independent learning providers (including employer providers)"/>
    <s v="Reading"/>
    <s v="South East"/>
    <s v="South East"/>
    <d v="2016-12-07T00:00:00"/>
    <n v="1"/>
    <s v="ITS366052"/>
    <s v="WBL (national) - Full"/>
    <d v="2012-03-26T00:00:00"/>
    <d v="2012-03-30T00:00:00"/>
    <d v="2012-05-09T00:00:00"/>
    <x v="0"/>
    <n v="2"/>
    <n v="2"/>
    <s v="-"/>
    <n v="2"/>
    <s v="ITS307160"/>
    <d v="2006-12-14T00:00:00"/>
    <n v="2"/>
    <s v="-"/>
    <s v="-"/>
    <s v="-"/>
    <n v="1"/>
    <s v="Stayed the Same"/>
  </r>
  <r>
    <s v="Ofsted Webpage"/>
    <n v="51170"/>
    <n v="10001436"/>
    <s v="CITB (Construction Industry Training Board)"/>
    <x v="3"/>
    <s v="Community learning and skills providers"/>
    <s v="Norfolk"/>
    <s v="East of England"/>
    <s v="East of England"/>
    <s v="NULL"/>
    <s v="NULL"/>
    <n v="10030785"/>
    <s v="Community Learning and Skills - Not for profit organisation - Full"/>
    <d v="2017-10-10T00:00:00"/>
    <d v="2017-10-13T00:00:00"/>
    <d v="2017-11-24T00:00:00"/>
    <x v="1"/>
    <n v="1"/>
    <n v="1"/>
    <n v="1"/>
    <n v="1"/>
    <s v="ITS388432"/>
    <d v="2012-11-30T00:00:00"/>
    <n v="1"/>
    <n v="1"/>
    <n v="1"/>
    <s v="-"/>
    <n v="1"/>
    <s v="Stayed the Same"/>
  </r>
  <r>
    <s v="Ofsted Webpage"/>
    <n v="51224"/>
    <n v="10001539"/>
    <s v="The College of Animal Welfare Limited"/>
    <x v="3"/>
    <s v="Community learning and skills providers"/>
    <s v="Cambridgeshire"/>
    <s v="East of England"/>
    <s v="East of England"/>
    <s v="NULL"/>
    <s v="NULL"/>
    <n v="10004903"/>
    <s v="Independent Learning Provider (National) - Full"/>
    <d v="2016-02-08T00:00:00"/>
    <d v="2016-02-11T00:00:00"/>
    <d v="2016-03-11T00:00:00"/>
    <x v="0"/>
    <n v="2"/>
    <n v="2"/>
    <n v="2"/>
    <n v="2"/>
    <s v="ITS406785"/>
    <d v="2012-10-05T00:00:00"/>
    <n v="2"/>
    <n v="2"/>
    <n v="2"/>
    <s v="-"/>
    <n v="2"/>
    <s v="Stayed the Same"/>
  </r>
  <r>
    <s v="Ofsted Webpage"/>
    <n v="51259"/>
    <n v="10001602"/>
    <s v="CTS Training"/>
    <x v="1"/>
    <s v="Independent learning providers (including employer providers)"/>
    <s v="Sheffield"/>
    <s v="Yorkshire and The Humber"/>
    <s v="North East, Yorkshire and the Humber"/>
    <s v="NULL"/>
    <s v="NULL"/>
    <n v="10022471"/>
    <s v="Independent Learning Provider (National) - Full"/>
    <d v="2017-02-21T00:00:00"/>
    <d v="2017-02-24T00:00:00"/>
    <d v="2017-04-03T00:00:00"/>
    <x v="2"/>
    <n v="3"/>
    <n v="3"/>
    <n v="3"/>
    <n v="3"/>
    <s v="ITS452979"/>
    <d v="2015-01-16T00:00:00"/>
    <n v="2"/>
    <n v="3"/>
    <n v="2"/>
    <s v="-"/>
    <n v="2"/>
    <s v="Declined"/>
  </r>
  <r>
    <s v="Ofsted Webpage"/>
    <n v="51349"/>
    <n v="10001695"/>
    <s v="The Cornwall Council"/>
    <x v="2"/>
    <s v="Community learning and skills providers"/>
    <s v="Cornwall"/>
    <s v="South West"/>
    <s v="South West"/>
    <s v="NULL"/>
    <s v="NULL"/>
    <s v="ITS430293"/>
    <s v="ACL - Requires improvement"/>
    <d v="2014-11-17T00:00:00"/>
    <d v="2014-11-21T00:00:00"/>
    <d v="2015-01-14T00:00:00"/>
    <x v="0"/>
    <n v="2"/>
    <n v="2"/>
    <s v="-"/>
    <n v="2"/>
    <s v="ITS410630"/>
    <d v="2013-06-07T00:00:00"/>
    <n v="3"/>
    <n v="3"/>
    <n v="3"/>
    <s v="-"/>
    <n v="3"/>
    <s v="Improved"/>
  </r>
  <r>
    <s v="Ofsted Webpage"/>
    <n v="51359"/>
    <n v="10008915"/>
    <s v="City of London Adult Community Learning"/>
    <x v="2"/>
    <s v="Community learning and skills providers"/>
    <s v="Islington"/>
    <s v="London"/>
    <s v="London"/>
    <s v="NULL"/>
    <s v="NULL"/>
    <n v="10004904"/>
    <s v="Community Learning and Skills - Local authority - Full"/>
    <d v="2016-05-23T00:00:00"/>
    <d v="2016-05-26T00:00:00"/>
    <d v="2016-06-21T00:00:00"/>
    <x v="0"/>
    <n v="2"/>
    <n v="2"/>
    <n v="2"/>
    <n v="2"/>
    <s v="ITS354476"/>
    <d v="2010-06-23T00:00:00"/>
    <n v="2"/>
    <n v="2"/>
    <n v="2"/>
    <s v="-"/>
    <n v="2"/>
    <s v="Stayed the Same"/>
  </r>
  <r>
    <s v="Ofsted Webpage"/>
    <n v="51385"/>
    <n v="10001723"/>
    <s v="Coventry City Council"/>
    <x v="2"/>
    <s v="Community learning and skills providers"/>
    <s v="Coventry"/>
    <s v="West Midlands"/>
    <s v="West Midlands"/>
    <d v="2017-03-09T00:00:00"/>
    <n v="1"/>
    <s v="ITS423414"/>
    <s v="Adult and Community - full (regional) Historic"/>
    <d v="2013-11-11T00:00:00"/>
    <d v="2013-11-15T00:00:00"/>
    <d v="2013-12-16T00:00:00"/>
    <x v="0"/>
    <n v="2"/>
    <n v="2"/>
    <s v="-"/>
    <n v="2"/>
    <s v="ITS316648"/>
    <d v="2007-10-05T00:00:00"/>
    <n v="2"/>
    <n v="2"/>
    <n v="3"/>
    <s v="-"/>
    <n v="2"/>
    <s v="Stayed the Same"/>
  </r>
  <r>
    <s v="Ofsted Webpage"/>
    <n v="51395"/>
    <n v="10001736"/>
    <s v="Crackerjack Training Limited"/>
    <x v="1"/>
    <s v="Independent learning providers (including employer providers)"/>
    <s v="Birmingham"/>
    <s v="West Midlands"/>
    <s v="West Midlands"/>
    <s v="NULL"/>
    <s v="NULL"/>
    <s v="ITS366023"/>
    <s v="Work based Learning - full inspection Historic"/>
    <d v="2011-05-10T00:00:00"/>
    <d v="2011-05-13T00:00:00"/>
    <d v="2011-06-20T00:00:00"/>
    <x v="1"/>
    <n v="1"/>
    <n v="2"/>
    <s v="-"/>
    <n v="1"/>
    <s v="ITS319146"/>
    <d v="2007-11-16T00:00:00"/>
    <n v="2"/>
    <n v="1"/>
    <n v="2"/>
    <s v="-"/>
    <n v="2"/>
    <s v="Improved"/>
  </r>
  <r>
    <s v="Ofsted Webpage"/>
    <n v="51433"/>
    <n v="10001786"/>
    <s v="CSM Consulting Limited"/>
    <x v="1"/>
    <s v="Independent learning providers (including employer providers)"/>
    <s v="Somerset"/>
    <s v="South West"/>
    <s v="South West"/>
    <s v="NULL"/>
    <s v="NULL"/>
    <n v="10020135"/>
    <s v="Independent Learning Provider (National) - Full"/>
    <d v="2016-09-13T00:00:00"/>
    <d v="2016-09-16T00:00:00"/>
    <d v="2016-10-12T00:00:00"/>
    <x v="2"/>
    <n v="3"/>
    <n v="3"/>
    <n v="2"/>
    <n v="3"/>
    <s v="ITS429128"/>
    <d v="2014-03-21T00:00:00"/>
    <n v="2"/>
    <n v="2"/>
    <n v="2"/>
    <s v="-"/>
    <n v="2"/>
    <s v="Declined"/>
  </r>
  <r>
    <s v="Ofsted Webpage"/>
    <n v="51435"/>
    <n v="10001787"/>
    <s v="Volunteering Matters"/>
    <x v="3"/>
    <s v="Community learning and skills providers"/>
    <s v="Suffolk"/>
    <s v="East of England"/>
    <s v="East of England"/>
    <s v="NULL"/>
    <s v="NULL"/>
    <n v="10006595"/>
    <s v="Independent Learning Provider (Regional) - Full"/>
    <d v="2016-01-13T00:00:00"/>
    <d v="2016-01-15T00:00:00"/>
    <d v="2016-02-17T00:00:00"/>
    <x v="2"/>
    <n v="3"/>
    <n v="3"/>
    <n v="3"/>
    <n v="3"/>
    <s v="ITS408509"/>
    <d v="2013-03-08T00:00:00"/>
    <n v="3"/>
    <n v="3"/>
    <n v="3"/>
    <s v="-"/>
    <n v="3"/>
    <s v="Stayed the Same"/>
  </r>
  <r>
    <s v="Ofsted Webpage"/>
    <n v="51448"/>
    <n v="10001800"/>
    <s v="Cumbria County Council"/>
    <x v="2"/>
    <s v="Community learning and skills providers"/>
    <s v="Cumbria"/>
    <s v="North West"/>
    <s v="North West"/>
    <s v="NULL"/>
    <s v="NULL"/>
    <n v="10011475"/>
    <s v="Community Learning and Skills - Local authority - Full"/>
    <d v="2016-05-24T00:00:00"/>
    <d v="2016-05-27T00:00:00"/>
    <d v="2016-06-29T00:00:00"/>
    <x v="2"/>
    <n v="3"/>
    <n v="3"/>
    <n v="3"/>
    <n v="3"/>
    <s v="ITS363135"/>
    <d v="2011-01-28T00:00:00"/>
    <n v="2"/>
    <n v="2"/>
    <n v="2"/>
    <s v="-"/>
    <n v="2"/>
    <s v="Declined"/>
  </r>
  <r>
    <s v="Ofsted Webpage"/>
    <n v="51459"/>
    <n v="10001309"/>
    <s v="Coventry and Warwickshire Chambers of Commerce Training Limited"/>
    <x v="1"/>
    <s v="Independent learning providers (including employer providers)"/>
    <s v="Coventry"/>
    <s v="West Midlands"/>
    <s v="West Midlands"/>
    <d v="2016-02-25T00:00:00"/>
    <n v="1"/>
    <s v="ITS342709"/>
    <s v="Work based Learning - full inspection Historic"/>
    <d v="2009-11-02T00:00:00"/>
    <d v="2009-11-06T00:00:00"/>
    <d v="2009-12-18T00:00:00"/>
    <x v="0"/>
    <n v="2"/>
    <n v="2"/>
    <s v="-"/>
    <n v="2"/>
    <s v="NULL"/>
    <s v="NULL"/>
    <s v="NULL"/>
    <s v="NULL"/>
    <s v="NULL"/>
    <s v="NULL"/>
    <s v="NULL"/>
    <s v="Not Applicable"/>
  </r>
  <r>
    <s v="Ofsted Webpage"/>
    <n v="51468"/>
    <n v="10001828"/>
    <s v="DART Limited"/>
    <x v="1"/>
    <s v="Independent learning providers (including employer providers)"/>
    <s v="Derbyshire"/>
    <s v="East Midlands"/>
    <s v="East Midlands"/>
    <s v="NULL"/>
    <s v="NULL"/>
    <n v="10004907"/>
    <s v="Independent Learning Provider (National) - Full"/>
    <d v="2015-10-06T00:00:00"/>
    <d v="2015-10-09T00:00:00"/>
    <d v="2015-11-04T00:00:00"/>
    <x v="0"/>
    <n v="2"/>
    <n v="2"/>
    <n v="2"/>
    <n v="2"/>
    <s v="ITS363191"/>
    <d v="2011-03-04T00:00:00"/>
    <n v="2"/>
    <n v="2"/>
    <n v="2"/>
    <s v="-"/>
    <n v="2"/>
    <s v="Stayed the Same"/>
  </r>
  <r>
    <s v="Ofsted Webpage"/>
    <n v="51469"/>
    <n v="10001831"/>
    <s v="Damar Limited"/>
    <x v="1"/>
    <s v="Independent learning providers (including employer providers)"/>
    <s v="Stockport"/>
    <s v="North West"/>
    <s v="North West"/>
    <d v="2016-04-07T00:00:00"/>
    <n v="1"/>
    <s v="ITS388117"/>
    <s v="WBL (national) - Full"/>
    <d v="2012-07-30T00:00:00"/>
    <d v="2012-08-03T00:00:00"/>
    <d v="2012-09-07T00:00:00"/>
    <x v="0"/>
    <n v="1"/>
    <n v="2"/>
    <s v="-"/>
    <n v="2"/>
    <s v="ITS307037"/>
    <d v="2006-06-30T00:00:00"/>
    <n v="2"/>
    <s v="-"/>
    <s v="-"/>
    <s v="-"/>
    <n v="2"/>
    <s v="Stayed the Same"/>
  </r>
  <r>
    <s v="Ofsted Webpage"/>
    <n v="51474"/>
    <n v="10001848"/>
    <s v="Darlington Borough Council"/>
    <x v="2"/>
    <s v="Community learning and skills providers"/>
    <s v="Darlington"/>
    <s v="North East"/>
    <s v="North East, Yorkshire and the Humber"/>
    <d v="2016-03-10T00:00:00"/>
    <n v="1"/>
    <s v="ITS375501"/>
    <s v="Adult and Community - full (regional) Historic"/>
    <d v="2012-01-16T00:00:00"/>
    <d v="2012-01-20T00:00:00"/>
    <d v="2012-02-23T00:00:00"/>
    <x v="0"/>
    <n v="2"/>
    <n v="3"/>
    <s v="-"/>
    <n v="2"/>
    <s v="ITS316664"/>
    <d v="2007-12-07T00:00:00"/>
    <n v="2"/>
    <n v="2"/>
    <n v="3"/>
    <s v="-"/>
    <n v="2"/>
    <s v="Stayed the Same"/>
  </r>
  <r>
    <s v="Ofsted Webpage"/>
    <n v="51492"/>
    <n v="10001869"/>
    <s v="Davidson Training UK Limited"/>
    <x v="1"/>
    <s v="Independent learning providers (including employer providers)"/>
    <s v="Thurrock"/>
    <s v="East of England"/>
    <s v="East of England"/>
    <s v="NULL"/>
    <s v="NULL"/>
    <s v="ITS342603"/>
    <s v="Work based Learning - full inspection Historic"/>
    <d v="2009-10-13T00:00:00"/>
    <d v="2009-10-16T00:00:00"/>
    <d v="2009-11-19T00:00:00"/>
    <x v="1"/>
    <n v="1"/>
    <n v="2"/>
    <s v="-"/>
    <n v="1"/>
    <s v="NULL"/>
    <s v="NULL"/>
    <s v="NULL"/>
    <s v="NULL"/>
    <s v="NULL"/>
    <s v="NULL"/>
    <s v="NULL"/>
    <s v="Not Applicable"/>
  </r>
  <r>
    <s v="Ofsted Webpage"/>
    <n v="51510"/>
    <n v="10011058"/>
    <s v="Defence Equipment &amp; Support, Defence Munitions (DM) Gosport"/>
    <x v="4"/>
    <s v="Independent learning providers (including employer providers)"/>
    <s v="Hampshire"/>
    <s v="South East"/>
    <s v="South East"/>
    <s v="NULL"/>
    <s v="NULL"/>
    <s v="ITS404561"/>
    <s v="Employer - Full"/>
    <d v="2012-11-19T00:00:00"/>
    <d v="2012-11-22T00:00:00"/>
    <d v="2012-12-25T00:00:00"/>
    <x v="1"/>
    <n v="1"/>
    <n v="1"/>
    <s v="-"/>
    <n v="1"/>
    <s v="ITS342607"/>
    <d v="2009-09-18T00:00:00"/>
    <n v="3"/>
    <n v="2"/>
    <n v="3"/>
    <s v="-"/>
    <n v="3"/>
    <s v="Improved"/>
  </r>
  <r>
    <s v="Ofsted Webpage"/>
    <n v="51525"/>
    <n v="10007922"/>
    <s v="Derby Skillbuild"/>
    <x v="3"/>
    <s v="Community learning and skills providers"/>
    <s v="Derby"/>
    <s v="East Midlands"/>
    <s v="East Midlands"/>
    <d v="2017-06-29T00:00:00"/>
    <n v="1"/>
    <s v="ITS434401"/>
    <s v="Employer - Requires improvement"/>
    <d v="2015-03-17T00:00:00"/>
    <d v="2015-03-19T00:00:00"/>
    <d v="2015-04-24T00:00:00"/>
    <x v="0"/>
    <n v="2"/>
    <n v="2"/>
    <s v="-"/>
    <n v="2"/>
    <s v="ITS423742"/>
    <d v="2013-10-25T00:00:00"/>
    <n v="3"/>
    <n v="2"/>
    <n v="2"/>
    <s v="-"/>
    <n v="3"/>
    <s v="Improved"/>
  </r>
  <r>
    <s v="Ofsted Webpage"/>
    <n v="51535"/>
    <n v="10001944"/>
    <s v="Developing Initiatives for Support in the Community"/>
    <x v="3"/>
    <s v="Community learning and skills providers"/>
    <s v="Durham"/>
    <s v="North East"/>
    <s v="North East, Yorkshire and the Humber"/>
    <s v="NULL"/>
    <s v="NULL"/>
    <s v="ITS429106"/>
    <s v="Employer - Full"/>
    <d v="2014-03-04T00:00:00"/>
    <d v="2014-03-07T00:00:00"/>
    <d v="2014-04-09T00:00:00"/>
    <x v="1"/>
    <n v="1"/>
    <n v="1"/>
    <s v="-"/>
    <n v="1"/>
    <s v="ITS376221"/>
    <d v="2011-10-07T00:00:00"/>
    <n v="3"/>
    <n v="3"/>
    <n v="3"/>
    <s v="-"/>
    <n v="3"/>
    <s v="Improved"/>
  </r>
  <r>
    <s v="Ofsted Webpage"/>
    <n v="51540"/>
    <n v="10001951"/>
    <s v="Devon County Council Adult and Community Learning"/>
    <x v="2"/>
    <s v="Community learning and skills providers"/>
    <s v="Devon"/>
    <s v="South West"/>
    <s v="South West"/>
    <d v="2017-03-01T00:00:00"/>
    <n v="1"/>
    <s v="ITS410631"/>
    <s v="Adult and Community - full (regional) Historic"/>
    <d v="2013-04-22T00:00:00"/>
    <d v="2013-04-26T00:00:00"/>
    <d v="2013-06-04T00:00:00"/>
    <x v="0"/>
    <n v="2"/>
    <n v="2"/>
    <s v="-"/>
    <n v="2"/>
    <s v="ITS366690"/>
    <d v="2011-05-20T00:00:00"/>
    <n v="3"/>
    <n v="3"/>
    <n v="3"/>
    <s v="-"/>
    <n v="3"/>
    <s v="Improved"/>
  </r>
  <r>
    <s v="Ofsted Webpage"/>
    <n v="51550"/>
    <n v="10001967"/>
    <s v="Didac Limited"/>
    <x v="1"/>
    <s v="Independent learning providers (including employer providers)"/>
    <s v="Bristol"/>
    <s v="South West"/>
    <s v="South West"/>
    <s v="NULL"/>
    <s v="NULL"/>
    <s v="ITS452601"/>
    <s v="WBL (national) - Full"/>
    <d v="2015-03-10T00:00:00"/>
    <d v="2015-03-13T00:00:00"/>
    <d v="2015-04-21T00:00:00"/>
    <x v="0"/>
    <n v="3"/>
    <n v="2"/>
    <s v="-"/>
    <n v="2"/>
    <s v="ITS397718"/>
    <d v="2012-06-14T00:00:00"/>
    <n v="1"/>
    <n v="1"/>
    <n v="1"/>
    <s v="-"/>
    <n v="1"/>
    <s v="Declined"/>
  </r>
  <r>
    <s v="Ofsted Webpage"/>
    <n v="51551"/>
    <n v="10001971"/>
    <s v="Dimensions Training Solutions Limited"/>
    <x v="1"/>
    <s v="Independent learning providers (including employer providers)"/>
    <s v="Leicester"/>
    <s v="East Midlands"/>
    <s v="East Midlands"/>
    <s v="NULL"/>
    <s v="NULL"/>
    <n v="10004910"/>
    <s v="Independent Learning Provider (Regional) - Requires Improvement"/>
    <d v="2015-09-22T00:00:00"/>
    <d v="2015-09-25T00:00:00"/>
    <d v="2015-11-03T00:00:00"/>
    <x v="0"/>
    <n v="2"/>
    <n v="2"/>
    <n v="2"/>
    <n v="2"/>
    <s v="ITS429107"/>
    <d v="2014-03-28T00:00:00"/>
    <n v="3"/>
    <n v="3"/>
    <n v="3"/>
    <s v="-"/>
    <n v="3"/>
    <s v="Improved"/>
  </r>
  <r>
    <s v="Ofsted Webpage"/>
    <n v="51573"/>
    <n v="10028930"/>
    <s v="Boots Opticians Professional Services Limited"/>
    <x v="4"/>
    <s v="Independent learning providers (including employer providers)"/>
    <s v="Birmingham"/>
    <s v="West Midlands"/>
    <s v="West Midlands"/>
    <s v="NULL"/>
    <s v="NULL"/>
    <n v="10030712"/>
    <s v="Independent Learning Provider (National) - Requires improvement"/>
    <d v="2017-05-09T00:00:00"/>
    <d v="2017-05-12T00:00:00"/>
    <d v="2017-06-07T00:00:00"/>
    <x v="2"/>
    <n v="3"/>
    <n v="3"/>
    <n v="2"/>
    <n v="3"/>
    <s v="ITS455579"/>
    <d v="2015-05-15T00:00:00"/>
    <n v="3"/>
    <n v="3"/>
    <n v="3"/>
    <s v="-"/>
    <n v="3"/>
    <s v="Stayed the Same"/>
  </r>
  <r>
    <s v="Ofsted Webpage"/>
    <n v="51578"/>
    <n v="10002008"/>
    <s v="Doncaster Metropolitan Borough Council"/>
    <x v="2"/>
    <s v="Community learning and skills providers"/>
    <s v="Doncaster"/>
    <s v="Yorkshire and The Humber"/>
    <s v="North East, Yorkshire and the Humber"/>
    <s v="NULL"/>
    <s v="NULL"/>
    <n v="10030658"/>
    <s v="Community Learning and Skills - Local authority - Full"/>
    <d v="2017-05-23T00:00:00"/>
    <d v="2017-05-26T00:00:00"/>
    <d v="2017-06-21T00:00:00"/>
    <x v="0"/>
    <n v="2"/>
    <n v="2"/>
    <n v="2"/>
    <n v="2"/>
    <s v="ITS463030"/>
    <d v="2015-05-22T00:00:00"/>
    <n v="2"/>
    <n v="2"/>
    <n v="2"/>
    <s v="-"/>
    <n v="2"/>
    <s v="Stayed the Same"/>
  </r>
  <r>
    <s v="Ofsted Webpage"/>
    <n v="51579"/>
    <n v="10002009"/>
    <s v="Doncaster Rotherham and District Motor Trades Group Training Association Limited"/>
    <x v="3"/>
    <s v="Community learning and skills providers"/>
    <s v="Doncaster"/>
    <s v="Yorkshire and The Humber"/>
    <s v="North East, Yorkshire and the Humber"/>
    <d v="2016-05-25T00:00:00"/>
    <n v="1"/>
    <s v="ITS366036"/>
    <s v="Work based Learning - full inspection Historic"/>
    <d v="2011-05-10T00:00:00"/>
    <d v="2011-05-13T00:00:00"/>
    <d v="2011-06-16T00:00:00"/>
    <x v="0"/>
    <n v="2"/>
    <n v="2"/>
    <s v="-"/>
    <n v="2"/>
    <s v="ITS316795"/>
    <d v="2007-11-02T00:00:00"/>
    <n v="2"/>
    <n v="2"/>
    <n v="2"/>
    <s v="-"/>
    <n v="2"/>
    <s v="Stayed the Same"/>
  </r>
  <r>
    <s v="Ofsted Webpage"/>
    <n v="51619"/>
    <n v="10002073"/>
    <s v="Big Creative Training LTD"/>
    <x v="1"/>
    <s v="Independent learning providers (including employer providers)"/>
    <s v="Waltham Forest"/>
    <s v="London"/>
    <s v="London"/>
    <s v="NULL"/>
    <s v="NULL"/>
    <n v="10022538"/>
    <s v="Independent Learning Provider (Regional) - Requires Improvement"/>
    <d v="2017-03-15T00:00:00"/>
    <d v="2017-03-17T00:00:00"/>
    <d v="2017-04-20T00:00:00"/>
    <x v="0"/>
    <n v="2"/>
    <n v="2"/>
    <n v="2"/>
    <n v="2"/>
    <s v="ITS446600"/>
    <d v="2015-03-13T00:00:00"/>
    <n v="3"/>
    <n v="3"/>
    <n v="3"/>
    <s v="-"/>
    <n v="3"/>
    <s v="Improved"/>
  </r>
  <r>
    <s v="Ofsted Webpage"/>
    <n v="51623"/>
    <n v="10002085"/>
    <s v="E.Quality Training Limited"/>
    <x v="1"/>
    <s v="Independent learning providers (including employer providers)"/>
    <s v="Staffordshire"/>
    <s v="West Midlands"/>
    <s v="West Midlands"/>
    <d v="2017-03-16T00:00:00"/>
    <n v="1"/>
    <s v="ITS408483"/>
    <s v="Employer - Full"/>
    <d v="2013-06-18T00:00:00"/>
    <d v="2013-06-21T00:00:00"/>
    <d v="2013-07-26T00:00:00"/>
    <x v="0"/>
    <n v="2"/>
    <n v="2"/>
    <s v="-"/>
    <n v="2"/>
    <s v="ITS345880"/>
    <d v="2010-07-29T00:00:00"/>
    <n v="3"/>
    <n v="3"/>
    <n v="3"/>
    <s v="-"/>
    <n v="3"/>
    <s v="Improved"/>
  </r>
  <r>
    <s v="Ofsted Webpage"/>
    <n v="51635"/>
    <n v="10019812"/>
    <s v="East Birmingham Community Forum Ltd"/>
    <x v="1"/>
    <s v="Independent learning providers (including employer providers)"/>
    <s v="Birmingham"/>
    <s v="West Midlands"/>
    <s v="West Midlands"/>
    <s v="NULL"/>
    <s v="NULL"/>
    <s v="NULL"/>
    <s v="NULL"/>
    <s v="NULL"/>
    <s v="NULL"/>
    <s v="NULL"/>
    <x v="5"/>
    <s v="NULL"/>
    <s v="NULL"/>
    <s v="NULL"/>
    <s v="NULL"/>
    <s v="NULL"/>
    <s v="NULL"/>
    <s v="NULL"/>
    <s v="NULL"/>
    <s v="NULL"/>
    <s v="NULL"/>
    <s v="NULL"/>
    <s v="NULL"/>
  </r>
  <r>
    <s v="Ofsted Webpage"/>
    <n v="51646"/>
    <n v="10002118"/>
    <s v="East London Advanced Technology Training"/>
    <x v="3"/>
    <s v="Community learning and skills providers"/>
    <s v="Hackney"/>
    <s v="London"/>
    <s v="London"/>
    <s v="NULL"/>
    <s v="NULL"/>
    <s v="ITS452602"/>
    <s v="Adult and Community - full (regional) Historic"/>
    <d v="2015-01-14T00:00:00"/>
    <d v="2015-01-16T00:00:00"/>
    <d v="2015-02-20T00:00:00"/>
    <x v="1"/>
    <n v="1"/>
    <n v="1"/>
    <s v="-"/>
    <n v="1"/>
    <s v="ITS334063"/>
    <d v="2009-04-24T00:00:00"/>
    <n v="2"/>
    <n v="2"/>
    <n v="3"/>
    <s v="-"/>
    <n v="2"/>
    <s v="Improved"/>
  </r>
  <r>
    <s v="Ofsted Webpage"/>
    <n v="51653"/>
    <n v="10008919"/>
    <s v="East Riding of Yorkshire Council"/>
    <x v="2"/>
    <s v="Community learning and skills providers"/>
    <s v="East Riding of Yorkshire"/>
    <s v="Yorkshire and The Humber"/>
    <s v="North East, Yorkshire and the Humber"/>
    <s v="NULL"/>
    <s v="NULL"/>
    <n v="10004911"/>
    <s v="Community Learning and Skills - Local authority - Requires Improvement - second inspection"/>
    <d v="2015-09-22T00:00:00"/>
    <d v="2015-09-25T00:00:00"/>
    <d v="2015-11-04T00:00:00"/>
    <x v="0"/>
    <n v="2"/>
    <n v="2"/>
    <n v="2"/>
    <n v="2"/>
    <s v="ITS429243"/>
    <d v="2014-05-02T00:00:00"/>
    <n v="3"/>
    <n v="3"/>
    <n v="3"/>
    <s v="-"/>
    <n v="3"/>
    <s v="Improved"/>
  </r>
  <r>
    <s v="Ofsted Webpage"/>
    <n v="51686"/>
    <n v="10000612"/>
    <s v="Bedfordshire &amp; Luton Education Business Partnership"/>
    <x v="1"/>
    <s v="Independent learning providers (including employer providers)"/>
    <s v="Central Bedfordshire"/>
    <s v="East of England"/>
    <s v="East of England"/>
    <s v="NULL"/>
    <s v="NULL"/>
    <s v="ITS429088"/>
    <s v="Employer - Requires improvement"/>
    <d v="2014-01-20T00:00:00"/>
    <d v="2014-01-24T00:00:00"/>
    <d v="2014-02-18T00:00:00"/>
    <x v="0"/>
    <n v="2"/>
    <n v="2"/>
    <s v="-"/>
    <n v="2"/>
    <s v="ITS406802"/>
    <d v="2012-09-21T00:00:00"/>
    <n v="3"/>
    <n v="3"/>
    <n v="3"/>
    <s v="-"/>
    <n v="3"/>
    <s v="Improved"/>
  </r>
  <r>
    <s v="Ofsted Webpage"/>
    <n v="51688"/>
    <n v="10002187"/>
    <s v="Education and Training Skills Ltd"/>
    <x v="3"/>
    <s v="Community learning and skills providers"/>
    <s v="Devon"/>
    <s v="South West"/>
    <s v="South West"/>
    <s v="NULL"/>
    <s v="NULL"/>
    <s v="ITS366054"/>
    <s v="Work based Learning - full inspection Historic"/>
    <d v="2012-06-25T00:00:00"/>
    <d v="2012-06-29T00:00:00"/>
    <d v="2012-08-03T00:00:00"/>
    <x v="1"/>
    <n v="1"/>
    <n v="2"/>
    <s v="-"/>
    <n v="1"/>
    <s v="ITS307156"/>
    <d v="2006-12-01T00:00:00"/>
    <n v="2"/>
    <s v="-"/>
    <s v="-"/>
    <s v="-"/>
    <n v="2"/>
    <s v="Improved"/>
  </r>
  <r>
    <s v="Ofsted Webpage"/>
    <n v="51693"/>
    <n v="10025384"/>
    <s v="EEF Limited"/>
    <x v="1"/>
    <s v="Independent learning providers (including employer providers)"/>
    <s v="Birmingham"/>
    <s v="West Midlands"/>
    <s v="West Midlands"/>
    <s v="NULL"/>
    <s v="NULL"/>
    <n v="10011477"/>
    <s v="Independent Learning Provider (Regional) - Full"/>
    <d v="2016-05-17T00:00:00"/>
    <d v="2016-05-20T00:00:00"/>
    <d v="2016-06-21T00:00:00"/>
    <x v="0"/>
    <n v="2"/>
    <n v="2"/>
    <n v="2"/>
    <n v="2"/>
    <s v="ITS346191"/>
    <d v="2010-01-08T00:00:00"/>
    <n v="2"/>
    <n v="2"/>
    <n v="2"/>
    <s v="-"/>
    <n v="3"/>
    <s v="Stayed the Same"/>
  </r>
  <r>
    <s v="Ofsted Webpage"/>
    <n v="51701"/>
    <n v="10002214"/>
    <s v="Elfrida Rathbone Camden - Leighton Education Project"/>
    <x v="1"/>
    <s v="Independent learning providers (including employer providers)"/>
    <s v="Camden"/>
    <s v="London"/>
    <s v="London"/>
    <d v="2016-03-09T00:00:00"/>
    <n v="1"/>
    <s v="ITS354462"/>
    <s v="Adult and Community - full (regional) Historic"/>
    <d v="2010-11-23T00:00:00"/>
    <d v="2010-11-26T00:00:00"/>
    <d v="2011-01-07T00:00:00"/>
    <x v="0"/>
    <n v="2"/>
    <n v="2"/>
    <s v="-"/>
    <n v="2"/>
    <s v="ITS307148"/>
    <d v="2006-11-09T00:00:00"/>
    <n v="2"/>
    <s v="-"/>
    <s v="-"/>
    <s v="-"/>
    <n v="2"/>
    <s v="Stayed the Same"/>
  </r>
  <r>
    <s v="Ofsted Webpage"/>
    <n v="51708"/>
    <n v="10002230"/>
    <s v="Bauer Radio Limited"/>
    <x v="1"/>
    <s v="Independent learning providers (including employer providers)"/>
    <s v="City of Edinburgh"/>
    <s v="Scotland"/>
    <s v="Scotland"/>
    <s v="NULL"/>
    <s v="NULL"/>
    <s v="NULL"/>
    <s v="NULL"/>
    <s v="NULL"/>
    <s v="NULL"/>
    <s v="NULL"/>
    <x v="5"/>
    <s v="NULL"/>
    <s v="NULL"/>
    <s v="NULL"/>
    <s v="NULL"/>
    <s v="NULL"/>
    <s v="NULL"/>
    <s v="NULL"/>
    <s v="NULL"/>
    <s v="NULL"/>
    <s v="NULL"/>
    <s v="NULL"/>
    <s v="NULL"/>
  </r>
  <r>
    <s v="Ofsted Webpage"/>
    <n v="51731"/>
    <n v="10002269"/>
    <s v="English National Ballet School Limited"/>
    <x v="0"/>
    <s v="Dance and drama colleges"/>
    <s v="Kensington and Chelsea"/>
    <s v="London"/>
    <s v="London"/>
    <s v="NULL"/>
    <s v="NULL"/>
    <n v="10004915"/>
    <s v="Dance and drama - Full"/>
    <d v="2016-03-09T00:00:00"/>
    <d v="2016-03-10T00:00:00"/>
    <d v="2016-04-20T00:00:00"/>
    <x v="1"/>
    <n v="1"/>
    <n v="1"/>
    <n v="1"/>
    <n v="1"/>
    <s v="ITS387996"/>
    <d v="2012-05-31T00:00:00"/>
    <s v="-"/>
    <s v="-"/>
    <s v="-"/>
    <s v="-"/>
    <s v="-"/>
    <s v="Not Applicable"/>
  </r>
  <r>
    <s v="Ofsted Webpage"/>
    <n v="51762"/>
    <n v="10008227"/>
    <s v="Essential Learning Company"/>
    <x v="1"/>
    <s v="Independent learning providers (including employer providers)"/>
    <s v="Stockport"/>
    <s v="North West"/>
    <s v="North West"/>
    <s v="NULL"/>
    <s v="NULL"/>
    <s v="ITS306946"/>
    <s v="Work Based Learning - full inspection (ALI) Historic"/>
    <d v="2006-01-19T00:00:00"/>
    <d v="2006-01-19T00:00:00"/>
    <d v="2006-02-17T00:00:00"/>
    <x v="2"/>
    <s v="-"/>
    <s v="-"/>
    <s v="-"/>
    <n v="3"/>
    <s v="NULL"/>
    <s v="NULL"/>
    <s v="NULL"/>
    <s v="NULL"/>
    <s v="NULL"/>
    <s v="NULL"/>
    <s v="NULL"/>
    <s v="Not Applicable"/>
  </r>
  <r>
    <s v="Ofsted Webpage"/>
    <n v="51766"/>
    <n v="10002327"/>
    <s v="Essex County Council"/>
    <x v="2"/>
    <s v="Community learning and skills providers"/>
    <s v="Essex"/>
    <s v="East of England"/>
    <s v="East of England"/>
    <s v="NULL"/>
    <s v="NULL"/>
    <n v="10020145"/>
    <s v="Community Learning and Skills - Local authority - Requires Improvement"/>
    <d v="2016-12-06T00:00:00"/>
    <d v="2016-12-09T00:00:00"/>
    <d v="2017-02-02T00:00:00"/>
    <x v="4"/>
    <n v="3"/>
    <n v="3"/>
    <n v="4"/>
    <n v="4"/>
    <s v="ITS423415"/>
    <d v="2014-11-14T00:00:00"/>
    <n v="3"/>
    <n v="3"/>
    <n v="3"/>
    <s v="-"/>
    <n v="3"/>
    <s v="Declined"/>
  </r>
  <r>
    <s v="Ofsted Webpage"/>
    <n v="51779"/>
    <n v="10002078"/>
    <s v="E Training"/>
    <x v="1"/>
    <s v="Independent learning providers (including employer providers)"/>
    <s v="Bromley"/>
    <s v="London"/>
    <s v="London"/>
    <s v="NULL"/>
    <s v="NULL"/>
    <s v="ITS433754"/>
    <s v="Employer - Full"/>
    <d v="2014-07-01T00:00:00"/>
    <d v="2014-07-04T00:00:00"/>
    <d v="2014-08-08T00:00:00"/>
    <x v="0"/>
    <n v="1"/>
    <n v="2"/>
    <s v="-"/>
    <n v="2"/>
    <s v="NULL"/>
    <s v="NULL"/>
    <s v="NULL"/>
    <s v="NULL"/>
    <s v="NULL"/>
    <s v="NULL"/>
    <s v="NULL"/>
    <s v="Not Applicable"/>
  </r>
  <r>
    <s v="Ofsted Webpage"/>
    <n v="51815"/>
    <n v="10002407"/>
    <s v="Fareport Training Organisation Limited"/>
    <x v="1"/>
    <s v="Independent learning providers (including employer providers)"/>
    <s v="Hampshire"/>
    <s v="South East"/>
    <s v="South East"/>
    <s v="NULL"/>
    <s v="NULL"/>
    <s v="ITS366057"/>
    <s v="Work based Learning - full inspection Historic"/>
    <d v="2011-07-04T00:00:00"/>
    <d v="2011-07-08T00:00:00"/>
    <d v="2011-08-12T00:00:00"/>
    <x v="1"/>
    <n v="2"/>
    <n v="1"/>
    <s v="-"/>
    <n v="1"/>
    <s v="NULL"/>
    <s v="NULL"/>
    <s v="NULL"/>
    <s v="NULL"/>
    <s v="NULL"/>
    <s v="NULL"/>
    <s v="NULL"/>
    <s v="Not Applicable"/>
  </r>
  <r>
    <s v="Ofsted Webpage"/>
    <n v="51835"/>
    <n v="10002463"/>
    <s v="Finning (UK) Ltd."/>
    <x v="4"/>
    <s v="Independent learning providers (including employer providers)"/>
    <s v="Staffordshire"/>
    <s v="West Midlands"/>
    <s v="West Midlands"/>
    <s v="NULL"/>
    <s v="NULL"/>
    <n v="10030778"/>
    <s v="Independent Learning Provider (Regional) - Full"/>
    <d v="2017-05-16T00:00:00"/>
    <d v="2017-05-18T00:00:00"/>
    <d v="2017-06-12T00:00:00"/>
    <x v="0"/>
    <n v="2"/>
    <n v="2"/>
    <n v="2"/>
    <n v="2"/>
    <s v="ITS354306"/>
    <d v="2010-12-10T00:00:00"/>
    <n v="1"/>
    <n v="1"/>
    <n v="1"/>
    <s v="-"/>
    <n v="1"/>
    <s v="Declined"/>
  </r>
  <r>
    <s v="Ofsted Webpage"/>
    <n v="51841"/>
    <n v="10002471"/>
    <s v="First College"/>
    <x v="3"/>
    <s v="Community learning and skills providers"/>
    <s v="Lincolnshire"/>
    <s v="East Midlands"/>
    <s v="East Midlands"/>
    <d v="2016-03-10T00:00:00"/>
    <n v="1"/>
    <s v="ITS343968"/>
    <s v="Work based Learning - full inspection Historic"/>
    <d v="2010-03-16T00:00:00"/>
    <d v="2010-03-19T00:00:00"/>
    <d v="2010-04-27T00:00:00"/>
    <x v="0"/>
    <n v="2"/>
    <n v="1"/>
    <s v="-"/>
    <n v="2"/>
    <s v="ITS306830"/>
    <d v="2005-11-11T00:00:00"/>
    <n v="3"/>
    <s v="-"/>
    <s v="-"/>
    <s v="-"/>
    <n v="2"/>
    <s v="Improved"/>
  </r>
  <r>
    <s v="Ofsted Webpage"/>
    <n v="51850"/>
    <n v="10002483"/>
    <s v="First Rung Limited"/>
    <x v="3"/>
    <s v="Community learning and skills providers"/>
    <s v="Enfield"/>
    <s v="London"/>
    <s v="London"/>
    <s v="NULL"/>
    <s v="NULL"/>
    <n v="10017525"/>
    <s v="Community Learning and Skills - Not for profit organisation - Full"/>
    <d v="2016-11-22T00:00:00"/>
    <d v="2016-11-25T00:00:00"/>
    <d v="2017-01-12T00:00:00"/>
    <x v="0"/>
    <n v="2"/>
    <n v="2"/>
    <n v="2"/>
    <n v="2"/>
    <s v="ITS423795"/>
    <d v="2013-11-08T00:00:00"/>
    <n v="2"/>
    <n v="2"/>
    <n v="2"/>
    <s v="-"/>
    <n v="2"/>
    <s v="Stayed the Same"/>
  </r>
  <r>
    <s v="Ofsted Webpage"/>
    <n v="51856"/>
    <n v="10003915"/>
    <s v="Lifetime Training Group Limited"/>
    <x v="1"/>
    <s v="Independent learning providers (including employer providers)"/>
    <s v="Bristol"/>
    <s v="South West"/>
    <s v="South West"/>
    <d v="2016-05-19T00:00:00"/>
    <n v="1"/>
    <s v="ITS395225"/>
    <s v="WBL (national) - Full"/>
    <d v="2012-07-09T00:00:00"/>
    <d v="2012-07-13T00:00:00"/>
    <d v="2012-08-18T00:00:00"/>
    <x v="0"/>
    <n v="2"/>
    <n v="2"/>
    <s v="-"/>
    <n v="2"/>
    <s v="ITS321545"/>
    <d v="2008-07-18T00:00:00"/>
    <n v="2"/>
    <n v="3"/>
    <n v="2"/>
    <s v="-"/>
    <n v="2"/>
    <s v="Stayed the Same"/>
  </r>
  <r>
    <s v="Ofsted Webpage"/>
    <n v="51859"/>
    <n v="10037348"/>
    <s v="Babcock Skills Development And Training Limited"/>
    <x v="1"/>
    <s v="Independent learning providers (including employer providers)"/>
    <s v="South Gloucestershire"/>
    <s v="South West"/>
    <s v="South West"/>
    <s v="NULL"/>
    <s v="NULL"/>
    <s v="ITS345944"/>
    <s v="Work based Learning - full inspection Historic"/>
    <d v="2010-09-28T00:00:00"/>
    <d v="2010-10-01T00:00:00"/>
    <d v="2010-11-05T00:00:00"/>
    <x v="1"/>
    <n v="1"/>
    <n v="2"/>
    <s v="-"/>
    <n v="1"/>
    <s v="ITS306875"/>
    <d v="2006-06-02T00:00:00"/>
    <n v="2"/>
    <s v="-"/>
    <s v="-"/>
    <s v="-"/>
    <n v="2"/>
    <s v="Improved"/>
  </r>
  <r>
    <s v="Ofsted Webpage"/>
    <n v="51862"/>
    <n v="10002424"/>
    <s v="FNTC Training and Consultancy Limited"/>
    <x v="1"/>
    <s v="Independent learning providers (including employer providers)"/>
    <s v="Hampshire"/>
    <s v="South East"/>
    <s v="South East"/>
    <d v="2016-03-24T00:00:00"/>
    <n v="1"/>
    <s v="ITS376245"/>
    <s v="Work based Learning - full inspection Historic"/>
    <d v="2011-10-17T00:00:00"/>
    <d v="2011-10-21T00:00:00"/>
    <d v="2011-11-25T00:00:00"/>
    <x v="0"/>
    <n v="2"/>
    <n v="2"/>
    <s v="-"/>
    <n v="2"/>
    <s v="ITS306709"/>
    <d v="2005-12-09T00:00:00"/>
    <n v="2"/>
    <s v="-"/>
    <s v="-"/>
    <s v="-"/>
    <n v="2"/>
    <s v="Stayed the Same"/>
  </r>
  <r>
    <s v="Ofsted Webpage"/>
    <n v="51873"/>
    <n v="10010401"/>
    <s v="Focus Training Limited"/>
    <x v="1"/>
    <s v="Independent learning providers (including employer providers)"/>
    <s v="Bolton"/>
    <s v="North West"/>
    <s v="North West"/>
    <s v="NULL"/>
    <s v="NULL"/>
    <n v="10030760"/>
    <s v="Independent Learning Provider (National) - Full"/>
    <d v="2017-04-20T00:00:00"/>
    <d v="2017-04-26T00:00:00"/>
    <d v="2017-05-22T00:00:00"/>
    <x v="2"/>
    <n v="3"/>
    <n v="3"/>
    <n v="3"/>
    <n v="3"/>
    <s v="ITS333479"/>
    <d v="2009-08-06T00:00:00"/>
    <n v="2"/>
    <n v="2"/>
    <n v="2"/>
    <s v="-"/>
    <n v="2"/>
    <s v="Declined"/>
  </r>
  <r>
    <s v="Ofsted Webpage"/>
    <n v="51895"/>
    <n v="10002565"/>
    <s v="Francesco Group (Holdings) Limited"/>
    <x v="1"/>
    <s v="Independent learning providers (including employer providers)"/>
    <s v="Staffordshire"/>
    <s v="West Midlands"/>
    <s v="West Midlands"/>
    <s v="NULL"/>
    <s v="NULL"/>
    <n v="10022589"/>
    <s v="Independent Learning Provider (National) - Full"/>
    <d v="2017-03-28T00:00:00"/>
    <d v="2017-03-31T00:00:00"/>
    <d v="2017-04-21T00:00:00"/>
    <x v="2"/>
    <n v="3"/>
    <n v="3"/>
    <n v="2"/>
    <n v="3"/>
    <s v="ITS388126"/>
    <d v="2012-07-12T00:00:00"/>
    <n v="2"/>
    <n v="1"/>
    <n v="2"/>
    <s v="-"/>
    <n v="3"/>
    <s v="Declined"/>
  </r>
  <r>
    <s v="Ofsted Webpage"/>
    <n v="51905"/>
    <n v="10002578"/>
    <s v="Friends Centre"/>
    <x v="3"/>
    <s v="Community learning and skills providers"/>
    <s v="Brighton and Hove"/>
    <s v="South East"/>
    <s v="South East"/>
    <s v="NULL"/>
    <s v="NULL"/>
    <n v="10022520"/>
    <s v="Community Learning and Skills - Not for profit organisation - Requires Improvement - second inspection"/>
    <d v="2017-01-23T00:00:00"/>
    <d v="2017-01-25T00:00:00"/>
    <d v="2017-02-21T00:00:00"/>
    <x v="0"/>
    <n v="2"/>
    <n v="2"/>
    <n v="2"/>
    <n v="2"/>
    <s v="ITS444482"/>
    <d v="2015-06-12T00:00:00"/>
    <n v="3"/>
    <n v="3"/>
    <n v="3"/>
    <s v="-"/>
    <n v="3"/>
    <s v="Improved"/>
  </r>
  <r>
    <s v="Ofsted Webpage"/>
    <n v="51938"/>
    <n v="10002639"/>
    <s v="Gateshead Council"/>
    <x v="2"/>
    <s v="Community learning and skills providers"/>
    <s v="Gateshead"/>
    <s v="North East"/>
    <s v="North East, Yorkshire and the Humber"/>
    <d v="2016-03-03T00:00:00"/>
    <n v="1"/>
    <s v="ITS354461"/>
    <s v="Adult and Community - full (regional) Historic"/>
    <d v="2010-10-18T00:00:00"/>
    <d v="2010-10-22T00:00:00"/>
    <d v="2010-11-26T00:00:00"/>
    <x v="0"/>
    <n v="2"/>
    <n v="3"/>
    <s v="-"/>
    <n v="2"/>
    <s v="ITS307141"/>
    <d v="2006-12-01T00:00:00"/>
    <n v="2"/>
    <s v="-"/>
    <s v="-"/>
    <s v="-"/>
    <n v="2"/>
    <s v="Stayed the Same"/>
  </r>
  <r>
    <s v="Ofsted Webpage"/>
    <n v="51944"/>
    <n v="10002618"/>
    <s v="G B Training (UK) Ltd"/>
    <x v="1"/>
    <s v="Independent learning providers (including employer providers)"/>
    <s v="Birmingham"/>
    <s v="West Midlands"/>
    <s v="West Midlands"/>
    <s v="NULL"/>
    <s v="NULL"/>
    <s v="ITS452603"/>
    <s v="Employer - Full"/>
    <d v="2015-01-19T00:00:00"/>
    <d v="2015-01-23T00:00:00"/>
    <d v="2015-03-03T00:00:00"/>
    <x v="0"/>
    <n v="2"/>
    <n v="2"/>
    <s v="-"/>
    <n v="2"/>
    <s v="ITS307094"/>
    <d v="2006-09-07T00:00:00"/>
    <n v="3"/>
    <s v="-"/>
    <s v="-"/>
    <s v="-"/>
    <n v="3"/>
    <s v="Improved"/>
  </r>
  <r>
    <s v="Ofsted Webpage"/>
    <n v="51952"/>
    <n v="10002655"/>
    <s v="GenII Engineering &amp; Technology Training Limited"/>
    <x v="1"/>
    <s v="Independent learning providers (including employer providers)"/>
    <s v="Cumbria"/>
    <s v="North West"/>
    <s v="North West"/>
    <s v="NULL"/>
    <s v="NULL"/>
    <s v="ITS363205"/>
    <s v="Work based Learning - full inspection Historic"/>
    <d v="2011-02-21T00:00:00"/>
    <d v="2011-02-25T00:00:00"/>
    <d v="2011-04-01T00:00:00"/>
    <x v="1"/>
    <n v="1"/>
    <n v="1"/>
    <s v="-"/>
    <n v="1"/>
    <s v="NULL"/>
    <s v="NULL"/>
    <s v="NULL"/>
    <s v="NULL"/>
    <s v="NULL"/>
    <s v="NULL"/>
    <s v="NULL"/>
    <s v="Not Applicable"/>
  </r>
  <r>
    <s v="Ofsted Webpage"/>
    <n v="51954"/>
    <n v="10036952"/>
    <s v="GP Strategies Training Ltd"/>
    <x v="1"/>
    <s v="Independent learning providers (including employer providers)"/>
    <s v="Stockport"/>
    <s v="North West"/>
    <s v="North West"/>
    <d v="2016-04-22T00:00:00"/>
    <n v="1"/>
    <s v="ITS388118"/>
    <s v="WBL (national) - Full"/>
    <d v="2012-07-23T00:00:00"/>
    <d v="2012-07-27T00:00:00"/>
    <d v="2012-08-24T00:00:00"/>
    <x v="0"/>
    <n v="2"/>
    <n v="1"/>
    <s v="-"/>
    <n v="1"/>
    <s v="ITS307055"/>
    <d v="2006-07-21T00:00:00"/>
    <n v="2"/>
    <s v="-"/>
    <s v="-"/>
    <s v="-"/>
    <n v="2"/>
    <s v="Stayed the Same"/>
  </r>
  <r>
    <s v="Ofsted Webpage"/>
    <n v="51961"/>
    <n v="10012171"/>
    <s v="GHQ Training Limited"/>
    <x v="1"/>
    <s v="Independent learning providers (including employer providers)"/>
    <s v="Plymouth"/>
    <s v="South West"/>
    <s v="South West"/>
    <d v="2017-11-29T00:00:00"/>
    <n v="1"/>
    <s v="ITS445774"/>
    <s v="Employer - Full"/>
    <d v="2014-11-17T00:00:00"/>
    <d v="2014-11-20T00:00:00"/>
    <d v="2014-12-25T00:00:00"/>
    <x v="0"/>
    <n v="2"/>
    <n v="2"/>
    <s v="-"/>
    <n v="2"/>
    <s v="ITS376246"/>
    <d v="2011-11-25T00:00:00"/>
    <n v="2"/>
    <n v="2"/>
    <n v="2"/>
    <s v="-"/>
    <n v="2"/>
    <s v="Stayed the Same"/>
  </r>
  <r>
    <s v="Ofsted Webpage"/>
    <n v="52037"/>
    <n v="10002767"/>
    <s v="Greenbank Project (The)"/>
    <x v="3"/>
    <s v="Community learning and skills providers"/>
    <s v="Liverpool"/>
    <s v="North West"/>
    <s v="North West"/>
    <s v="NULL"/>
    <s v="NULL"/>
    <n v="10004925"/>
    <s v="Community Learning and Skills - Not for profit organisation - Full"/>
    <d v="2016-02-23T00:00:00"/>
    <d v="2016-02-26T00:00:00"/>
    <d v="2016-03-24T00:00:00"/>
    <x v="2"/>
    <n v="3"/>
    <n v="3"/>
    <n v="2"/>
    <n v="3"/>
    <s v="ITS404118"/>
    <d v="2012-06-15T00:00:00"/>
    <n v="2"/>
    <n v="2"/>
    <n v="2"/>
    <s v="-"/>
    <n v="2"/>
    <s v="Declined"/>
  </r>
  <r>
    <s v="Ofsted Webpage"/>
    <n v="52093"/>
    <n v="10002841"/>
    <s v="Haddon Training Limited"/>
    <x v="1"/>
    <s v="Independent learning providers (including employer providers)"/>
    <s v="Wiltshire"/>
    <s v="South West"/>
    <s v="South West"/>
    <s v="NULL"/>
    <s v="NULL"/>
    <s v="ITS363232"/>
    <s v="Work based Learning - full inspection Historic"/>
    <d v="2011-06-07T00:00:00"/>
    <d v="2011-06-10T00:00:00"/>
    <d v="2011-07-13T00:00:00"/>
    <x v="1"/>
    <n v="1"/>
    <n v="1"/>
    <s v="-"/>
    <n v="1"/>
    <s v="NULL"/>
    <s v="NULL"/>
    <s v="NULL"/>
    <s v="NULL"/>
    <s v="NULL"/>
    <s v="NULL"/>
    <s v="NULL"/>
    <s v="Not Applicable"/>
  </r>
  <r>
    <s v="Ofsted Webpage"/>
    <n v="52094"/>
    <n v="10002834"/>
    <s v="Hair and Beauty Industry Training Limited"/>
    <x v="1"/>
    <s v="Independent learning providers (including employer providers)"/>
    <s v="Durham"/>
    <s v="North East"/>
    <s v="North East, Yorkshire and the Humber"/>
    <d v="2017-10-26T00:00:00"/>
    <n v="1"/>
    <s v="ITS424454"/>
    <s v="WBL (national) - Full"/>
    <d v="2013-11-11T00:00:00"/>
    <d v="2013-11-14T00:00:00"/>
    <d v="2013-12-13T00:00:00"/>
    <x v="0"/>
    <n v="2"/>
    <n v="2"/>
    <s v="-"/>
    <n v="2"/>
    <s v="ITS321569"/>
    <d v="2008-08-21T00:00:00"/>
    <n v="2"/>
    <n v="2"/>
    <n v="2"/>
    <s v="-"/>
    <n v="2"/>
    <s v="Stayed the Same"/>
  </r>
  <r>
    <s v="Ofsted Webpage"/>
    <n v="52095"/>
    <n v="10002850"/>
    <s v="Hair Academy South West Limited"/>
    <x v="1"/>
    <s v="Independent learning providers (including employer providers)"/>
    <s v="Somerset"/>
    <s v="South West"/>
    <s v="South West"/>
    <d v="2016-03-04T00:00:00"/>
    <n v="1"/>
    <s v="ITS354322"/>
    <s v="Work based Learning - full inspection Historic"/>
    <d v="2010-11-22T00:00:00"/>
    <d v="2010-11-25T00:00:00"/>
    <d v="2010-12-24T00:00:00"/>
    <x v="0"/>
    <n v="2"/>
    <n v="2"/>
    <s v="-"/>
    <n v="2"/>
    <s v="ITS317536"/>
    <d v="2007-02-01T00:00:00"/>
    <n v="3"/>
    <s v="-"/>
    <s v="-"/>
    <s v="-"/>
    <n v="3"/>
    <s v="Improved"/>
  </r>
  <r>
    <s v="Ofsted Webpage"/>
    <n v="52104"/>
    <n v="10002861"/>
    <s v="Halton Borough Council"/>
    <x v="2"/>
    <s v="Community learning and skills providers"/>
    <s v="Halton"/>
    <s v="North West"/>
    <s v="North West"/>
    <d v="2017-03-16T00:00:00"/>
    <n v="1"/>
    <s v="ITS410632"/>
    <s v="Adult and Community - full (regional) Historic"/>
    <d v="2013-04-23T00:00:00"/>
    <d v="2013-04-26T00:00:00"/>
    <d v="2013-05-24T00:00:00"/>
    <x v="0"/>
    <n v="1"/>
    <n v="2"/>
    <s v="-"/>
    <n v="1"/>
    <s v="ITS333317"/>
    <d v="2009-06-05T00:00:00"/>
    <n v="2"/>
    <n v="2"/>
    <n v="2"/>
    <s v="-"/>
    <n v="2"/>
    <s v="Stayed the Same"/>
  </r>
  <r>
    <s v="Ofsted Webpage"/>
    <n v="52116"/>
    <n v="10002872"/>
    <s v="Hampshire County Council"/>
    <x v="2"/>
    <s v="Community learning and skills providers"/>
    <s v="Hampshire"/>
    <s v="South East"/>
    <s v="South East"/>
    <s v="NULL"/>
    <s v="NULL"/>
    <n v="10011482"/>
    <s v="Community Learning and Skills - Local authority - Full"/>
    <d v="2016-04-26T00:00:00"/>
    <d v="2016-04-29T00:00:00"/>
    <d v="2016-05-24T00:00:00"/>
    <x v="2"/>
    <n v="3"/>
    <n v="3"/>
    <n v="3"/>
    <n v="3"/>
    <s v="ITS345783"/>
    <d v="2010-06-25T00:00:00"/>
    <n v="2"/>
    <n v="2"/>
    <n v="2"/>
    <s v="-"/>
    <n v="2"/>
    <s v="Declined"/>
  </r>
  <r>
    <s v="Ofsted Webpage"/>
    <n v="52135"/>
    <n v="10019114"/>
    <s v="Harrogate Training Services"/>
    <x v="1"/>
    <s v="Independent learning providers (including employer providers)"/>
    <s v="North Yorkshire"/>
    <s v="Yorkshire and The Humber"/>
    <s v="North East, Yorkshire and the Humber"/>
    <s v="NULL"/>
    <s v="NULL"/>
    <s v="ITS423743"/>
    <s v="Employer - Full"/>
    <d v="2014-03-26T00:00:00"/>
    <d v="2014-03-27T00:00:00"/>
    <d v="2014-04-28T00:00:00"/>
    <x v="0"/>
    <n v="2"/>
    <n v="2"/>
    <s v="-"/>
    <n v="2"/>
    <s v="ITS345899"/>
    <d v="2010-07-23T00:00:00"/>
    <n v="3"/>
    <n v="2"/>
    <n v="3"/>
    <s v="-"/>
    <n v="3"/>
    <s v="Improved"/>
  </r>
  <r>
    <s v="Ofsted Webpage"/>
    <n v="52137"/>
    <n v="10002916"/>
    <s v="Hartlepool Borough Council"/>
    <x v="2"/>
    <s v="Community learning and skills providers"/>
    <s v="Hartlepool"/>
    <s v="North East"/>
    <s v="North East, Yorkshire and the Humber"/>
    <d v="2017-11-23T00:00:00"/>
    <n v="1"/>
    <s v="ITS423416"/>
    <s v="Adult and Community - full (regional) Historic"/>
    <d v="2013-12-03T00:00:00"/>
    <d v="2013-12-06T00:00:00"/>
    <d v="2014-01-09T00:00:00"/>
    <x v="0"/>
    <n v="2"/>
    <n v="2"/>
    <s v="-"/>
    <n v="2"/>
    <s v="ITS320068"/>
    <d v="2007-12-07T00:00:00"/>
    <n v="2"/>
    <n v="2"/>
    <n v="3"/>
    <s v="-"/>
    <n v="2"/>
    <s v="Stayed the Same"/>
  </r>
  <r>
    <s v="Ofsted Webpage"/>
    <n v="52147"/>
    <n v="10009600"/>
    <s v="Hawk Management (UK) Limited"/>
    <x v="1"/>
    <s v="Independent learning providers (including employer providers)"/>
    <s v="Richmond upon Thames"/>
    <s v="London"/>
    <s v="London"/>
    <s v="NULL"/>
    <s v="NULL"/>
    <s v="ITS424455"/>
    <s v="WBL (national) - Full"/>
    <d v="2013-09-23T00:00:00"/>
    <d v="2013-09-27T00:00:00"/>
    <d v="2013-11-01T00:00:00"/>
    <x v="1"/>
    <n v="2"/>
    <n v="1"/>
    <s v="-"/>
    <n v="1"/>
    <s v="ITS321468"/>
    <d v="2008-08-15T00:00:00"/>
    <n v="2"/>
    <n v="2"/>
    <n v="2"/>
    <s v="-"/>
    <n v="2"/>
    <s v="Improved"/>
  </r>
  <r>
    <s v="Ofsted Webpage"/>
    <n v="52157"/>
    <n v="10009072"/>
    <s v="The Headmasters Partnership Limited"/>
    <x v="4"/>
    <s v="Independent learning providers (including employer providers)"/>
    <s v="Kingston upon Thames"/>
    <s v="London"/>
    <s v="London"/>
    <s v="NULL"/>
    <s v="NULL"/>
    <s v="ITS429221"/>
    <s v="Employer - Requires improvement"/>
    <d v="2014-05-06T00:00:00"/>
    <d v="2014-05-09T00:00:00"/>
    <d v="2014-06-16T00:00:00"/>
    <x v="0"/>
    <n v="2"/>
    <n v="2"/>
    <s v="-"/>
    <n v="2"/>
    <s v="ITS387977"/>
    <d v="2012-11-22T00:00:00"/>
    <n v="3"/>
    <n v="2"/>
    <n v="3"/>
    <s v="-"/>
    <n v="3"/>
    <s v="Improved"/>
  </r>
  <r>
    <s v="Ofsted Webpage"/>
    <n v="52163"/>
    <n v="10002976"/>
    <s v="Heart of England Training Limited"/>
    <x v="1"/>
    <s v="Independent learning providers (including employer providers)"/>
    <s v="Warwickshire"/>
    <s v="West Midlands"/>
    <s v="West Midlands"/>
    <s v="NULL"/>
    <s v="NULL"/>
    <n v="10030779"/>
    <s v="Independent Learning Provider (Regional) - Full"/>
    <d v="2017-06-27T00:00:00"/>
    <d v="2017-06-30T00:00:00"/>
    <d v="2017-07-31T00:00:00"/>
    <x v="0"/>
    <n v="2"/>
    <n v="2"/>
    <n v="2"/>
    <n v="2"/>
    <s v="ITS354613"/>
    <d v="2010-10-15T00:00:00"/>
    <n v="1"/>
    <n v="1"/>
    <n v="2"/>
    <s v="-"/>
    <n v="1"/>
    <s v="Declined"/>
  </r>
  <r>
    <s v="Ofsted Webpage"/>
    <n v="52165"/>
    <n v="10002979"/>
    <s v="Heathercroft Training Services Limited"/>
    <x v="1"/>
    <s v="Independent learning providers (including employer providers)"/>
    <s v="East Sussex"/>
    <s v="South East"/>
    <s v="South East"/>
    <d v="2017-07-27T00:00:00"/>
    <n v="1"/>
    <s v="ITS385483"/>
    <s v="WBL (national) - Reinspection"/>
    <d v="2012-09-24T00:00:00"/>
    <d v="2012-09-28T00:00:00"/>
    <d v="2012-11-02T00:00:00"/>
    <x v="0"/>
    <n v="2"/>
    <n v="2"/>
    <s v="-"/>
    <n v="2"/>
    <s v="ITS363230"/>
    <d v="2011-06-24T00:00:00"/>
    <n v="4"/>
    <n v="4"/>
    <n v="3"/>
    <s v="-"/>
    <n v="4"/>
    <s v="Improved"/>
  </r>
  <r>
    <s v="Ofsted Webpage"/>
    <n v="52179"/>
    <n v="10003026"/>
    <s v="Herefordshire Group Training Association Limited"/>
    <x v="3"/>
    <s v="Community learning and skills providers"/>
    <s v="Herefordshire"/>
    <s v="West Midlands"/>
    <s v="West Midlands"/>
    <s v="NULL"/>
    <s v="NULL"/>
    <n v="10005137"/>
    <s v="Independent Learning Provider (Regional) - Full"/>
    <d v="2016-02-24T00:00:00"/>
    <d v="2016-03-02T00:00:00"/>
    <d v="2016-03-31T00:00:00"/>
    <x v="1"/>
    <n v="1"/>
    <n v="1"/>
    <n v="1"/>
    <n v="1"/>
    <s v="ITS342767"/>
    <d v="2009-10-16T00:00:00"/>
    <n v="2"/>
    <n v="2"/>
    <n v="2"/>
    <s v="-"/>
    <n v="2"/>
    <s v="Improved"/>
  </r>
  <r>
    <s v="Ofsted Webpage"/>
    <n v="52210"/>
    <n v="10003085"/>
    <s v="Hill Holt Wood"/>
    <x v="1"/>
    <s v="Independent learning providers (including employer providers)"/>
    <s v="Lincolnshire"/>
    <s v="East Midlands"/>
    <s v="East Midlands"/>
    <s v="NULL"/>
    <s v="NULL"/>
    <n v="10022566"/>
    <s v="Independent Learning Provider (Regional) - Full"/>
    <d v="2016-11-29T00:00:00"/>
    <d v="2016-12-01T00:00:00"/>
    <d v="2017-01-04T00:00:00"/>
    <x v="2"/>
    <n v="3"/>
    <n v="3"/>
    <n v="3"/>
    <n v="3"/>
    <s v="ITS429277"/>
    <d v="2014-06-20T00:00:00"/>
    <n v="2"/>
    <n v="2"/>
    <n v="2"/>
    <s v="-"/>
    <n v="2"/>
    <s v="Declined"/>
  </r>
  <r>
    <s v="Ofsted Webpage"/>
    <n v="52212"/>
    <n v="10003093"/>
    <s v="Hillingdon Training Limited"/>
    <x v="1"/>
    <s v="Independent learning providers (including employer providers)"/>
    <s v="Hounslow"/>
    <s v="London"/>
    <s v="London"/>
    <s v="NULL"/>
    <s v="NULL"/>
    <n v="10011566"/>
    <s v="Independent Learning Provider (National) - Full"/>
    <d v="2016-10-11T00:00:00"/>
    <d v="2016-10-14T00:00:00"/>
    <d v="2016-11-14T00:00:00"/>
    <x v="0"/>
    <n v="2"/>
    <n v="2"/>
    <n v="2"/>
    <n v="2"/>
    <s v="ITS388036"/>
    <d v="2012-08-31T00:00:00"/>
    <n v="1"/>
    <n v="1"/>
    <n v="2"/>
    <s v="-"/>
    <n v="1"/>
    <s v="Declined"/>
  </r>
  <r>
    <s v="Ofsted Webpage"/>
    <n v="52377"/>
    <n v="10011941"/>
    <s v="Honda Motor Europe Limited"/>
    <x v="4"/>
    <s v="Independent learning providers (including employer providers)"/>
    <s v="Nottinghamshire"/>
    <s v="East Midlands"/>
    <s v="East Midlands"/>
    <s v="NULL"/>
    <s v="NULL"/>
    <s v="ITS385727"/>
    <s v="WBL (national) - Full"/>
    <d v="2012-01-24T00:00:00"/>
    <d v="2012-01-27T00:00:00"/>
    <d v="2012-03-02T00:00:00"/>
    <x v="1"/>
    <n v="1"/>
    <n v="1"/>
    <s v="-"/>
    <n v="1"/>
    <s v="ITS307067"/>
    <d v="2006-09-08T00:00:00"/>
    <n v="2"/>
    <s v="-"/>
    <s v="-"/>
    <s v="-"/>
    <n v="2"/>
    <s v="Improved"/>
  </r>
  <r>
    <s v="Ofsted Webpage"/>
    <n v="52386"/>
    <n v="10003162"/>
    <s v="HTP Apprenticeship College LTD"/>
    <x v="1"/>
    <s v="Independent learning providers (including employer providers)"/>
    <s v="Isle of Wight"/>
    <s v="South East"/>
    <s v="South East"/>
    <s v="NULL"/>
    <s v="NULL"/>
    <s v="ITS321470"/>
    <s v="Work based Learning - full inspection Historic"/>
    <d v="2008-11-10T00:00:00"/>
    <d v="2008-11-14T00:00:00"/>
    <d v="2008-12-16T00:00:00"/>
    <x v="1"/>
    <n v="1"/>
    <n v="1"/>
    <s v="-"/>
    <n v="1"/>
    <s v="NULL"/>
    <s v="NULL"/>
    <s v="NULL"/>
    <s v="NULL"/>
    <s v="NULL"/>
    <s v="NULL"/>
    <s v="NULL"/>
    <s v="Not Applicable"/>
  </r>
  <r>
    <s v="Ofsted Webpage"/>
    <n v="52395"/>
    <n v="10003190"/>
    <s v="Huddersfield Textile Training Limited"/>
    <x v="1"/>
    <s v="Independent learning providers (including employer providers)"/>
    <s v="Kirklees"/>
    <s v="Yorkshire and The Humber"/>
    <s v="North East, Yorkshire and the Humber"/>
    <s v="NULL"/>
    <s v="NULL"/>
    <n v="10011484"/>
    <s v="Independent Learning Provider (Regional) - Full"/>
    <d v="2016-07-04T00:00:00"/>
    <d v="2016-07-07T00:00:00"/>
    <d v="2016-08-02T00:00:00"/>
    <x v="0"/>
    <n v="2"/>
    <n v="2"/>
    <n v="2"/>
    <n v="2"/>
    <s v="ITS408423"/>
    <d v="2012-11-15T00:00:00"/>
    <n v="2"/>
    <n v="2"/>
    <n v="2"/>
    <s v="-"/>
    <n v="2"/>
    <s v="Stayed the Same"/>
  </r>
  <r>
    <s v="Ofsted Webpage"/>
    <n v="52396"/>
    <n v="10003192"/>
    <s v="Hudson &amp; Hughes Training Limited"/>
    <x v="1"/>
    <s v="Independent learning providers (including employer providers)"/>
    <s v="Somerset"/>
    <s v="South West"/>
    <s v="South West"/>
    <s v="NULL"/>
    <s v="NULL"/>
    <s v="ITS452604"/>
    <s v="Employer - Full"/>
    <d v="2015-03-24T00:00:00"/>
    <d v="2015-03-27T00:00:00"/>
    <d v="2015-04-30T00:00:00"/>
    <x v="0"/>
    <n v="2"/>
    <n v="2"/>
    <s v="-"/>
    <n v="2"/>
    <s v="ITS365986"/>
    <d v="2011-05-27T00:00:00"/>
    <n v="2"/>
    <n v="2"/>
    <n v="2"/>
    <s v="-"/>
    <n v="2"/>
    <s v="Stayed the Same"/>
  </r>
  <r>
    <s v="Ofsted Webpage"/>
    <n v="52402"/>
    <n v="10003197"/>
    <s v="Hull Business Training Centre Limited"/>
    <x v="1"/>
    <s v="Independent learning providers (including employer providers)"/>
    <s v="Kingston upon Hull"/>
    <s v="Yorkshire and The Humber"/>
    <s v="North East, Yorkshire and the Humber"/>
    <d v="2015-10-07T00:00:00"/>
    <n v="1"/>
    <s v="ITS343956"/>
    <s v="Work based Learning - full inspection Historic"/>
    <d v="2010-01-12T00:00:00"/>
    <d v="2010-01-15T00:00:00"/>
    <d v="2010-02-19T00:00:00"/>
    <x v="0"/>
    <n v="2"/>
    <n v="3"/>
    <s v="-"/>
    <n v="2"/>
    <s v="ITS306705"/>
    <d v="2005-10-14T00:00:00"/>
    <n v="2"/>
    <s v="-"/>
    <s v="-"/>
    <s v="-"/>
    <n v="2"/>
    <s v="Stayed the Same"/>
  </r>
  <r>
    <s v="Ofsted Webpage"/>
    <n v="52403"/>
    <n v="10003198"/>
    <s v="Kingston Upon Hull City Council"/>
    <x v="2"/>
    <s v="Community learning and skills providers"/>
    <s v="Kingston upon Hull"/>
    <s v="Yorkshire and The Humber"/>
    <s v="North East, Yorkshire and the Humber"/>
    <s v="NULL"/>
    <s v="NULL"/>
    <n v="10020163"/>
    <s v="Community Learning and Skills - Local authority - Full"/>
    <d v="2016-11-29T00:00:00"/>
    <d v="2016-12-02T00:00:00"/>
    <d v="2017-01-13T00:00:00"/>
    <x v="2"/>
    <n v="3"/>
    <n v="3"/>
    <n v="3"/>
    <n v="3"/>
    <s v="ITS387984"/>
    <d v="2012-06-15T00:00:00"/>
    <n v="2"/>
    <n v="2"/>
    <n v="2"/>
    <s v="-"/>
    <n v="2"/>
    <s v="Declined"/>
  </r>
  <r>
    <s v="Ofsted Webpage"/>
    <n v="52410"/>
    <n v="10003206"/>
    <s v="Humberside Engineering Training Association Limited"/>
    <x v="3"/>
    <s v="Community learning and skills providers"/>
    <s v="Kingston upon Hull"/>
    <s v="Yorkshire and The Humber"/>
    <s v="North East, Yorkshire and the Humber"/>
    <d v="2017-11-16T00:00:00"/>
    <n v="1"/>
    <s v="ITS423753"/>
    <s v="Employer - Full"/>
    <d v="2013-11-04T00:00:00"/>
    <d v="2013-11-08T00:00:00"/>
    <d v="2013-12-11T00:00:00"/>
    <x v="0"/>
    <n v="2"/>
    <n v="2"/>
    <s v="-"/>
    <n v="2"/>
    <s v="ITS318252"/>
    <d v="2008-02-29T00:00:00"/>
    <n v="2"/>
    <n v="2"/>
    <n v="2"/>
    <s v="-"/>
    <n v="2"/>
    <s v="Stayed the Same"/>
  </r>
  <r>
    <s v="Ofsted Webpage"/>
    <n v="52418"/>
    <n v="10003219"/>
    <s v="HYA Training Limited"/>
    <x v="1"/>
    <s v="Independent learning providers (including employer providers)"/>
    <s v="Kingston upon Hull"/>
    <s v="Yorkshire and The Humber"/>
    <s v="North East, Yorkshire and the Humber"/>
    <s v="NULL"/>
    <s v="NULL"/>
    <n v="10030659"/>
    <s v="Independent Learning Provider (Regional) - Full"/>
    <d v="2017-07-18T00:00:00"/>
    <d v="2017-07-20T00:00:00"/>
    <d v="2017-08-24T00:00:00"/>
    <x v="0"/>
    <n v="2"/>
    <n v="2"/>
    <n v="2"/>
    <n v="2"/>
    <s v="ITS444472"/>
    <d v="2015-05-22T00:00:00"/>
    <n v="2"/>
    <n v="2"/>
    <n v="2"/>
    <s v="-"/>
    <n v="2"/>
    <s v="Stayed the Same"/>
  </r>
  <r>
    <s v="Ofsted Webpage"/>
    <n v="52434"/>
    <n v="10003240"/>
    <s v="Icon Vocational Training Limited"/>
    <x v="1"/>
    <s v="Independent learning providers (including employer providers)"/>
    <s v="Monmouthshire"/>
    <s v="Wales"/>
    <s v="South East"/>
    <s v="NULL"/>
    <s v="NULL"/>
    <s v="ITS385765"/>
    <s v="WBL (national) - Full"/>
    <d v="2012-02-20T00:00:00"/>
    <d v="2012-02-24T00:00:00"/>
    <d v="2012-03-30T00:00:00"/>
    <x v="1"/>
    <n v="1"/>
    <n v="1"/>
    <s v="-"/>
    <n v="1"/>
    <s v="NULL"/>
    <s v="NULL"/>
    <s v="NULL"/>
    <s v="NULL"/>
    <s v="NULL"/>
    <s v="NULL"/>
    <s v="NULL"/>
    <s v="Not Applicable"/>
  </r>
  <r>
    <s v="Ofsted Webpage"/>
    <n v="52459"/>
    <n v="10003289"/>
    <s v="Independent Training Services Limited"/>
    <x v="1"/>
    <s v="Independent learning providers (including employer providers)"/>
    <s v="Barnsley"/>
    <s v="Yorkshire and The Humber"/>
    <s v="North East, Yorkshire and the Humber"/>
    <d v="2017-10-04T00:00:00"/>
    <n v="1"/>
    <s v="ITS429272"/>
    <s v="Employer - Requires improvement"/>
    <d v="2014-03-10T00:00:00"/>
    <d v="2014-03-14T00:00:00"/>
    <d v="2014-04-16T00:00:00"/>
    <x v="0"/>
    <n v="2"/>
    <n v="2"/>
    <s v="-"/>
    <n v="2"/>
    <s v="ITS420118"/>
    <d v="2013-03-01T00:00:00"/>
    <n v="3"/>
    <n v="3"/>
    <n v="3"/>
    <s v="-"/>
    <n v="3"/>
    <s v="Improved"/>
  </r>
  <r>
    <s v="Ofsted Webpage"/>
    <n v="52487"/>
    <n v="10003347"/>
    <s v="Intec Business Colleges Limited"/>
    <x v="1"/>
    <s v="Independent learning providers (including employer providers)"/>
    <s v="Warwickshire"/>
    <s v="West Midlands"/>
    <s v="West Midlands"/>
    <d v="2017-01-19T00:00:00"/>
    <n v="1"/>
    <s v="ITS404569"/>
    <s v="WBL (national) - Full"/>
    <d v="2013-04-22T00:00:00"/>
    <d v="2013-04-26T00:00:00"/>
    <d v="2013-06-04T00:00:00"/>
    <x v="0"/>
    <n v="2"/>
    <n v="2"/>
    <s v="-"/>
    <n v="2"/>
    <s v="ITS346562"/>
    <d v="2010-07-02T00:00:00"/>
    <n v="3"/>
    <n v="3"/>
    <n v="3"/>
    <s v="-"/>
    <n v="3"/>
    <s v="Improved"/>
  </r>
  <r>
    <s v="Ofsted Webpage"/>
    <n v="52489"/>
    <n v="10003354"/>
    <s v="Inter Training Services Limited"/>
    <x v="1"/>
    <s v="Independent learning providers (including employer providers)"/>
    <s v="Hampshire"/>
    <s v="South East"/>
    <s v="South East"/>
    <s v="NULL"/>
    <s v="NULL"/>
    <s v="ITS445775"/>
    <s v="Employer - Full"/>
    <d v="2014-07-14T00:00:00"/>
    <d v="2014-07-18T00:00:00"/>
    <d v="2014-08-22T00:00:00"/>
    <x v="0"/>
    <n v="2"/>
    <n v="2"/>
    <s v="-"/>
    <n v="2"/>
    <s v="ITS364519"/>
    <d v="2011-09-09T00:00:00"/>
    <n v="2"/>
    <n v="2"/>
    <n v="2"/>
    <s v="-"/>
    <n v="2"/>
    <s v="Stayed the Same"/>
  </r>
  <r>
    <s v="Ofsted Webpage"/>
    <n v="52529"/>
    <n v="10034022"/>
    <s v="Introtrain (ACE) Limited"/>
    <x v="1"/>
    <s v="Independent learning providers (including employer providers)"/>
    <s v="Oxfordshire"/>
    <s v="South East"/>
    <s v="South East"/>
    <d v="2017-06-21T00:00:00"/>
    <n v="1"/>
    <s v="ITS408520"/>
    <s v="Employer - Full"/>
    <d v="2013-04-23T00:00:00"/>
    <d v="2013-04-26T00:00:00"/>
    <d v="2013-06-06T00:00:00"/>
    <x v="0"/>
    <n v="1"/>
    <n v="2"/>
    <s v="-"/>
    <n v="2"/>
    <s v="ITS307002"/>
    <d v="2006-05-18T00:00:00"/>
    <n v="2"/>
    <s v="-"/>
    <s v="-"/>
    <s v="-"/>
    <n v="2"/>
    <s v="Stayed the Same"/>
  </r>
  <r>
    <s v="Ofsted Webpage"/>
    <n v="52531"/>
    <n v="10003382"/>
    <s v="Intuitions Limited"/>
    <x v="1"/>
    <s v="Independent learning providers (including employer providers)"/>
    <s v="North Yorkshire"/>
    <s v="Yorkshire and The Humber"/>
    <s v="North East, Yorkshire and the Humber"/>
    <s v="NULL"/>
    <s v="NULL"/>
    <n v="10004933"/>
    <s v="Independent Learning Provider (Regional) - Full"/>
    <d v="2016-02-09T00:00:00"/>
    <d v="2016-02-12T00:00:00"/>
    <d v="2016-03-14T00:00:00"/>
    <x v="0"/>
    <n v="2"/>
    <n v="2"/>
    <n v="2"/>
    <n v="1"/>
    <s v="ITS364904"/>
    <d v="2010-10-22T00:00:00"/>
    <n v="1"/>
    <n v="1"/>
    <n v="2"/>
    <s v="-"/>
    <n v="1"/>
    <s v="Declined"/>
  </r>
  <r>
    <s v="Ofsted Webpage"/>
    <n v="52533"/>
    <n v="10003385"/>
    <s v="IPS International Limited"/>
    <x v="1"/>
    <s v="Independent learning providers (including employer providers)"/>
    <s v="Medway"/>
    <s v="South East"/>
    <s v="South East"/>
    <s v="NULL"/>
    <s v="NULL"/>
    <n v="10037412"/>
    <s v="Independent Learning Provider (Regional) - Requires Improvement"/>
    <d v="2017-11-14T00:00:00"/>
    <d v="2017-11-17T00:00:00"/>
    <d v="2017-12-20T00:00:00"/>
    <x v="0"/>
    <n v="2"/>
    <n v="2"/>
    <n v="2"/>
    <n v="2"/>
    <n v="10004934"/>
    <d v="2016-03-17T00:00:00"/>
    <n v="3"/>
    <n v="3"/>
    <n v="3"/>
    <n v="3"/>
    <n v="3"/>
    <s v="Improved"/>
  </r>
  <r>
    <s v="Ofsted Webpage"/>
    <n v="52540"/>
    <n v="10003402"/>
    <s v="ENGINEERING TRUST TRAINING LIMITED"/>
    <x v="1"/>
    <s v="Independent learning providers (including employer providers)"/>
    <s v="Oxfordshire"/>
    <s v="South East"/>
    <s v="South East"/>
    <d v="2016-11-30T00:00:00"/>
    <n v="1"/>
    <s v="ITS343654"/>
    <s v="Work based Learning - full inspection Historic"/>
    <d v="2010-03-02T00:00:00"/>
    <d v="2010-03-05T00:00:00"/>
    <d v="2010-03-30T00:00:00"/>
    <x v="0"/>
    <n v="2"/>
    <n v="2"/>
    <s v="-"/>
    <n v="2"/>
    <s v="ITS306460"/>
    <d v="2005-09-02T00:00:00"/>
    <n v="3"/>
    <s v="-"/>
    <s v="-"/>
    <s v="-"/>
    <n v="3"/>
    <s v="Improved"/>
  </r>
  <r>
    <s v="Ofsted Webpage"/>
    <n v="52544"/>
    <n v="10003407"/>
    <s v="Adult and Community Learning Service, Isle of Wight Council"/>
    <x v="2"/>
    <s v="Community learning and skills providers"/>
    <s v="Isle of Wight"/>
    <s v="South East"/>
    <s v="South East"/>
    <s v="NULL"/>
    <s v="NULL"/>
    <n v="10037336"/>
    <s v="Community Learning and Skills - Local authority - Full"/>
    <d v="2017-10-04T00:00:00"/>
    <d v="2017-10-06T00:00:00"/>
    <d v="2017-11-10T00:00:00"/>
    <x v="2"/>
    <n v="3"/>
    <n v="3"/>
    <n v="3"/>
    <n v="3"/>
    <s v="ITS429244"/>
    <d v="2014-06-06T00:00:00"/>
    <n v="2"/>
    <n v="2"/>
    <n v="2"/>
    <s v="-"/>
    <n v="2"/>
    <s v="Declined"/>
  </r>
  <r>
    <s v="Ofsted Webpage"/>
    <n v="52550"/>
    <n v="10001710"/>
    <s v="Council of the Isles of Scilly"/>
    <x v="2"/>
    <s v="Community learning and skills providers"/>
    <s v="Isles of Scilly"/>
    <s v="South West"/>
    <s v="South West"/>
    <d v="2017-02-15T00:00:00"/>
    <n v="1"/>
    <s v="ITS399144"/>
    <s v="Adult and Community - full (regional) Historic"/>
    <d v="2012-11-06T00:00:00"/>
    <d v="2012-11-09T00:00:00"/>
    <d v="2012-12-14T00:00:00"/>
    <x v="0"/>
    <n v="2"/>
    <n v="2"/>
    <s v="-"/>
    <n v="2"/>
    <s v="ITS329192"/>
    <d v="2008-11-14T00:00:00"/>
    <n v="3"/>
    <n v="3"/>
    <n v="3"/>
    <s v="-"/>
    <n v="3"/>
    <s v="Improved"/>
  </r>
  <r>
    <s v="Ofsted Webpage"/>
    <n v="52563"/>
    <n v="10003430"/>
    <s v="ITEC North East Limited"/>
    <x v="3"/>
    <s v="Community learning and skills providers"/>
    <s v="Durham"/>
    <s v="North East"/>
    <s v="North East, Yorkshire and the Humber"/>
    <d v="2016-11-16T00:00:00"/>
    <n v="1"/>
    <s v="ITS404563"/>
    <s v="Employer - Full"/>
    <d v="2012-09-17T00:00:00"/>
    <d v="2012-09-21T00:00:00"/>
    <d v="2012-10-26T00:00:00"/>
    <x v="0"/>
    <n v="2"/>
    <n v="2"/>
    <s v="-"/>
    <n v="2"/>
    <s v="ITS342751"/>
    <d v="2009-10-15T00:00:00"/>
    <n v="3"/>
    <n v="3"/>
    <n v="3"/>
    <s v="-"/>
    <n v="3"/>
    <s v="Improved"/>
  </r>
  <r>
    <s v="Ofsted Webpage"/>
    <n v="52587"/>
    <n v="10003456"/>
    <s v="Jarvis Training Management Limited"/>
    <x v="1"/>
    <s v="Independent learning providers (including employer providers)"/>
    <s v="Liverpool"/>
    <s v="North West"/>
    <s v="North West"/>
    <d v="2016-05-06T00:00:00"/>
    <n v="1"/>
    <s v="ITS388119"/>
    <s v="WBL (national) - Full"/>
    <d v="2012-06-25T00:00:00"/>
    <d v="2012-06-29T00:00:00"/>
    <d v="2012-07-25T00:00:00"/>
    <x v="0"/>
    <n v="2"/>
    <n v="2"/>
    <s v="-"/>
    <n v="2"/>
    <s v="ITS329244"/>
    <d v="2008-07-11T00:00:00"/>
    <n v="3"/>
    <n v="3"/>
    <n v="3"/>
    <s v="-"/>
    <n v="3"/>
    <s v="Improved"/>
  </r>
  <r>
    <s v="Ofsted Webpage"/>
    <n v="52598"/>
    <n v="10006710"/>
    <s v="The JGA Group"/>
    <x v="1"/>
    <s v="Independent learning providers (including employer providers)"/>
    <s v="Hillingdon"/>
    <s v="London"/>
    <s v="London"/>
    <s v="NULL"/>
    <s v="NULL"/>
    <n v="10004937"/>
    <s v="Independent Learning Provider (Regional) - Requires Improvement - second inspection"/>
    <d v="2015-12-07T00:00:00"/>
    <d v="2015-12-10T00:00:00"/>
    <d v="2016-01-11T00:00:00"/>
    <x v="0"/>
    <n v="2"/>
    <n v="2"/>
    <n v="2"/>
    <n v="2"/>
    <s v="ITS429089"/>
    <d v="2014-03-21T00:00:00"/>
    <n v="3"/>
    <n v="3"/>
    <n v="3"/>
    <s v="-"/>
    <n v="3"/>
    <s v="Improved"/>
  </r>
  <r>
    <s v="Ofsted Webpage"/>
    <n v="52627"/>
    <n v="10003478"/>
    <s v="Jobwise Training Limited"/>
    <x v="1"/>
    <s v="Independent learning providers (including employer providers)"/>
    <s v="Islington"/>
    <s v="London"/>
    <s v="London"/>
    <s v="NULL"/>
    <s v="NULL"/>
    <n v="10011486"/>
    <s v="Independent Learning Provider (Regional) - Full"/>
    <d v="2016-06-21T00:00:00"/>
    <d v="2016-06-24T00:00:00"/>
    <d v="2016-07-27T00:00:00"/>
    <x v="0"/>
    <n v="2"/>
    <n v="2"/>
    <n v="2"/>
    <n v="2"/>
    <s v="ITS410645"/>
    <d v="2013-06-21T00:00:00"/>
    <n v="2"/>
    <n v="1"/>
    <n v="2"/>
    <s v="-"/>
    <n v="2"/>
    <s v="Stayed the Same"/>
  </r>
  <r>
    <s v="Ofsted Webpage"/>
    <n v="52638"/>
    <n v="10003490"/>
    <s v="John Laing Training Ltd"/>
    <x v="1"/>
    <s v="Independent learning providers (including employer providers)"/>
    <s v="Hertfordshire"/>
    <s v="East of England"/>
    <s v="East of England"/>
    <d v="2017-06-29T00:00:00"/>
    <n v="1"/>
    <s v="ITS452605"/>
    <s v="WBL (national) - Full"/>
    <d v="2015-02-17T00:00:00"/>
    <d v="2015-02-20T00:00:00"/>
    <d v="2015-03-25T00:00:00"/>
    <x v="0"/>
    <n v="2"/>
    <n v="2"/>
    <s v="-"/>
    <n v="2"/>
    <s v="ITS342621"/>
    <d v="2009-11-20T00:00:00"/>
    <n v="3"/>
    <n v="3"/>
    <n v="3"/>
    <s v="-"/>
    <n v="2"/>
    <s v="Improved"/>
  </r>
  <r>
    <s v="Ofsted Webpage"/>
    <n v="52794"/>
    <n v="10042190"/>
    <s v="JANCETT CHILDCARE &amp; JACE TRAINING LIMITED"/>
    <x v="1"/>
    <s v="Independent learning providers (including employer providers)"/>
    <s v="Sutton"/>
    <s v="London"/>
    <s v="London"/>
    <s v="NULL"/>
    <s v="NULL"/>
    <n v="10022553"/>
    <s v="Independent Learning Provider (Regional) - Full"/>
    <d v="2017-01-17T00:00:00"/>
    <d v="2017-01-20T00:00:00"/>
    <d v="2017-02-23T00:00:00"/>
    <x v="2"/>
    <n v="3"/>
    <n v="3"/>
    <n v="2"/>
    <n v="3"/>
    <s v="ITS423764"/>
    <d v="2013-11-29T00:00:00"/>
    <n v="2"/>
    <n v="2"/>
    <n v="2"/>
    <s v="-"/>
    <n v="2"/>
    <s v="Declined"/>
  </r>
  <r>
    <s v="Ofsted Webpage"/>
    <n v="52804"/>
    <n v="10003526"/>
    <s v="JTL"/>
    <x v="1"/>
    <s v="Independent learning providers (including employer providers)"/>
    <s v="Bromley"/>
    <s v="London"/>
    <s v="London"/>
    <s v="NULL"/>
    <s v="NULL"/>
    <n v="10020162"/>
    <s v="Community Learning and Skills - Not for profit organisation - Full"/>
    <d v="2016-11-21T00:00:00"/>
    <d v="2016-11-24T00:00:00"/>
    <d v="2017-01-05T00:00:00"/>
    <x v="0"/>
    <n v="3"/>
    <n v="2"/>
    <n v="2"/>
    <n v="2"/>
    <s v="ITS404574"/>
    <d v="2012-12-14T00:00:00"/>
    <n v="2"/>
    <n v="2"/>
    <n v="2"/>
    <s v="-"/>
    <n v="2"/>
    <s v="Stayed the Same"/>
  </r>
  <r>
    <s v="Ofsted Webpage"/>
    <n v="52805"/>
    <n v="10003529"/>
    <s v="Juniper Training Limited"/>
    <x v="1"/>
    <s v="Independent learning providers (including employer providers)"/>
    <s v="Staffordshire"/>
    <s v="West Midlands"/>
    <s v="West Midlands"/>
    <s v="NULL"/>
    <s v="NULL"/>
    <n v="10030747"/>
    <s v="Independent Learning Provider (Regional) - Requires Improvement"/>
    <d v="2017-07-11T00:00:00"/>
    <d v="2017-07-14T00:00:00"/>
    <d v="2017-08-01T00:00:00"/>
    <x v="0"/>
    <n v="2"/>
    <n v="2"/>
    <n v="2"/>
    <n v="2"/>
    <n v="10004939"/>
    <d v="2016-03-04T00:00:00"/>
    <n v="3"/>
    <n v="3"/>
    <n v="3"/>
    <n v="3"/>
    <n v="3"/>
    <s v="Improved"/>
  </r>
  <r>
    <s v="Ofsted Webpage"/>
    <n v="52824"/>
    <n v="10033723"/>
    <s v="K &amp; G HAIR LLP"/>
    <x v="1"/>
    <s v="Independent learning providers (including employer providers)"/>
    <s v="Kent"/>
    <s v="South East"/>
    <s v="South East"/>
    <d v="2016-04-07T00:00:00"/>
    <n v="1"/>
    <s v="ITS362099"/>
    <s v="Work based Learning - full inspection Historic"/>
    <d v="2010-07-06T00:00:00"/>
    <d v="2010-07-09T00:00:00"/>
    <d v="2010-08-13T00:00:00"/>
    <x v="0"/>
    <n v="2"/>
    <n v="3"/>
    <s v="-"/>
    <n v="2"/>
    <s v="ITS306430"/>
    <d v="2005-09-02T00:00:00"/>
    <n v="2"/>
    <s v="-"/>
    <s v="-"/>
    <s v="-"/>
    <n v="2"/>
    <s v="Stayed the Same"/>
  </r>
  <r>
    <s v="Ofsted Webpage"/>
    <n v="52836"/>
    <n v="10003570"/>
    <s v="Kent Community Learning and Skills"/>
    <x v="2"/>
    <s v="Community learning and skills providers"/>
    <s v="Kent"/>
    <s v="South East"/>
    <s v="South East"/>
    <s v="NULL"/>
    <s v="NULL"/>
    <n v="10011488"/>
    <s v="Community Learning and Skills - Local authority - Full"/>
    <d v="2016-06-14T00:00:00"/>
    <d v="2016-06-17T00:00:00"/>
    <d v="2016-07-27T00:00:00"/>
    <x v="0"/>
    <n v="2"/>
    <n v="2"/>
    <n v="2"/>
    <n v="2"/>
    <s v="ITS354410"/>
    <d v="2010-06-25T00:00:00"/>
    <n v="2"/>
    <n v="2"/>
    <n v="2"/>
    <s v="-"/>
    <n v="2"/>
    <s v="Stayed the Same"/>
  </r>
  <r>
    <s v="Ofsted Webpage"/>
    <n v="52838"/>
    <n v="10003571"/>
    <s v="Keits Training Services Ltd"/>
    <x v="1"/>
    <s v="Independent learning providers (including employer providers)"/>
    <s v="Hertfordshire"/>
    <s v="East of England"/>
    <s v="East of England"/>
    <d v="2016-01-14T00:00:00"/>
    <n v="1"/>
    <s v="ITS343971"/>
    <s v="Work based Learning - full inspection Historic"/>
    <d v="2010-03-16T00:00:00"/>
    <d v="2010-03-19T00:00:00"/>
    <d v="2010-04-27T00:00:00"/>
    <x v="0"/>
    <n v="2"/>
    <n v="2"/>
    <s v="-"/>
    <n v="2"/>
    <s v="ITS306725"/>
    <d v="2005-11-10T00:00:00"/>
    <n v="3"/>
    <s v="-"/>
    <s v="-"/>
    <s v="-"/>
    <n v="3"/>
    <s v="Improved"/>
  </r>
  <r>
    <s v="Ofsted Webpage"/>
    <n v="52843"/>
    <n v="10003586"/>
    <s v="KETTERING BOROUGH COUNCIL"/>
    <x v="2"/>
    <s v="Community learning and skills providers"/>
    <s v="Northamptonshire"/>
    <s v="East Midlands"/>
    <s v="East Midlands"/>
    <s v="NULL"/>
    <s v="NULL"/>
    <n v="10030708"/>
    <s v="Community Learning and Skills - Local authority - Requires Improvement"/>
    <d v="2017-09-20T00:00:00"/>
    <d v="2017-09-22T00:00:00"/>
    <d v="2017-11-02T00:00:00"/>
    <x v="2"/>
    <n v="3"/>
    <n v="3"/>
    <n v="3"/>
    <n v="3"/>
    <n v="10005149"/>
    <d v="2015-10-08T00:00:00"/>
    <n v="3"/>
    <n v="3"/>
    <n v="3"/>
    <n v="3"/>
    <n v="3"/>
    <s v="Stayed the Same"/>
  </r>
  <r>
    <s v="Ofsted Webpage"/>
    <n v="52847"/>
    <n v="10003593"/>
    <s v="Key Training Limited"/>
    <x v="1"/>
    <s v="Independent learning providers (including employer providers)"/>
    <s v="Bracknell Forest"/>
    <s v="South East"/>
    <s v="South East"/>
    <s v="NULL"/>
    <s v="NULL"/>
    <n v="10011489"/>
    <s v="Independent Learning Provider (National) - Full"/>
    <d v="2016-04-05T00:00:00"/>
    <d v="2016-04-08T00:00:00"/>
    <d v="2016-05-10T00:00:00"/>
    <x v="2"/>
    <n v="3"/>
    <n v="3"/>
    <n v="3"/>
    <n v="3"/>
    <s v="ITS343954"/>
    <d v="2010-03-19T00:00:00"/>
    <n v="2"/>
    <n v="2"/>
    <n v="2"/>
    <s v="-"/>
    <n v="2"/>
    <s v="Declined"/>
  </r>
  <r>
    <s v="Ofsted Webpage"/>
    <n v="52867"/>
    <n v="10003688"/>
    <s v="Kirkdale Industrial Training Services Limited"/>
    <x v="3"/>
    <s v="Community learning and skills providers"/>
    <s v="Calderdale"/>
    <s v="Yorkshire and The Humber"/>
    <s v="North East, Yorkshire and the Humber"/>
    <d v="2017-03-17T00:00:00"/>
    <n v="1"/>
    <s v="ITS429111"/>
    <s v="Employer - Full"/>
    <d v="2014-01-14T00:00:00"/>
    <d v="2014-01-17T00:00:00"/>
    <d v="2014-02-18T00:00:00"/>
    <x v="0"/>
    <n v="2"/>
    <n v="2"/>
    <s v="-"/>
    <n v="2"/>
    <s v="ITS388107"/>
    <d v="2012-05-03T00:00:00"/>
    <n v="3"/>
    <n v="3"/>
    <n v="3"/>
    <s v="-"/>
    <n v="3"/>
    <s v="Improved"/>
  </r>
  <r>
    <s v="Ofsted Webpage"/>
    <n v="52870"/>
    <n v="10003692"/>
    <s v="Kirklees Council Adult and Community Learning"/>
    <x v="2"/>
    <s v="Community learning and skills providers"/>
    <s v="Kirklees"/>
    <s v="Yorkshire and The Humber"/>
    <s v="North East, Yorkshire and the Humber"/>
    <s v="NULL"/>
    <s v="NULL"/>
    <s v="ITS423417"/>
    <s v="Adult and Community - full (regional) Historic"/>
    <d v="2013-11-25T00:00:00"/>
    <d v="2013-11-27T00:00:00"/>
    <d v="2013-12-18T00:00:00"/>
    <x v="1"/>
    <n v="1"/>
    <n v="1"/>
    <s v="-"/>
    <n v="1"/>
    <s v="ITS316624"/>
    <d v="2007-09-28T00:00:00"/>
    <n v="1"/>
    <n v="1"/>
    <n v="1"/>
    <s v="-"/>
    <n v="1"/>
    <s v="Stayed the Same"/>
  </r>
  <r>
    <s v="Ofsted Webpage"/>
    <n v="52883"/>
    <n v="10003709"/>
    <s v="Knowsley Metropolitan Borough Council"/>
    <x v="2"/>
    <s v="Community learning and skills providers"/>
    <s v="Knowsley"/>
    <s v="North West"/>
    <s v="North West"/>
    <s v="NULL"/>
    <s v="NULL"/>
    <n v="10004945"/>
    <s v="Community Learning and Skills - Local authority - Full"/>
    <d v="2016-01-11T00:00:00"/>
    <d v="2016-01-15T00:00:00"/>
    <d v="2016-02-05T00:00:00"/>
    <x v="0"/>
    <n v="2"/>
    <n v="2"/>
    <n v="2"/>
    <n v="2"/>
    <s v="ITS404215"/>
    <d v="2013-02-01T00:00:00"/>
    <n v="2"/>
    <n v="2"/>
    <n v="2"/>
    <s v="-"/>
    <n v="2"/>
    <s v="Stayed the Same"/>
  </r>
  <r>
    <s v="Ofsted Webpage"/>
    <n v="52888"/>
    <n v="10013665"/>
    <s v="KT Associates"/>
    <x v="1"/>
    <s v="Independent learning providers (including employer providers)"/>
    <s v="Stockton-on-Tees"/>
    <s v="North East"/>
    <s v="North East, Yorkshire and the Humber"/>
    <s v="NULL"/>
    <s v="NULL"/>
    <n v="10030732"/>
    <s v="Independent Learning Provider (Regional) - Full"/>
    <d v="2017-10-24T00:00:00"/>
    <d v="2017-10-27T00:00:00"/>
    <d v="2017-12-01T00:00:00"/>
    <x v="4"/>
    <n v="4"/>
    <n v="4"/>
    <n v="4"/>
    <n v="4"/>
    <s v="ITS306936"/>
    <d v="2006-02-24T00:00:00"/>
    <n v="2"/>
    <s v="-"/>
    <s v="-"/>
    <s v="-"/>
    <n v="2"/>
    <s v="Declined"/>
  </r>
  <r>
    <s v="Ofsted Webpage"/>
    <n v="52896"/>
    <n v="10003724"/>
    <s v="Kwik-Fit (GB) Limited"/>
    <x v="4"/>
    <s v="Independent learning providers (including employer providers)"/>
    <s v="Derby"/>
    <s v="East Midlands"/>
    <s v="East Midlands"/>
    <s v="NULL"/>
    <s v="NULL"/>
    <s v="ITS434402"/>
    <s v="Employer - Requires improvement"/>
    <d v="2015-04-20T00:00:00"/>
    <d v="2015-04-24T00:00:00"/>
    <d v="2015-05-20T00:00:00"/>
    <x v="1"/>
    <n v="1"/>
    <n v="1"/>
    <s v="-"/>
    <n v="1"/>
    <s v="ITS423719"/>
    <d v="2013-11-01T00:00:00"/>
    <n v="3"/>
    <n v="3"/>
    <n v="3"/>
    <s v="-"/>
    <n v="3"/>
    <s v="Improved"/>
  </r>
  <r>
    <s v="Ofsted Webpage"/>
    <n v="52902"/>
    <n v="10003744"/>
    <s v="LAGAT Limited"/>
    <x v="1"/>
    <s v="Independent learning providers (including employer providers)"/>
    <s v="Lincolnshire"/>
    <s v="East Midlands"/>
    <s v="East Midlands"/>
    <s v="NULL"/>
    <s v="NULL"/>
    <n v="10030748"/>
    <s v="Independent Learning Provider (Regional) - Requires Improvement"/>
    <d v="2017-08-01T00:00:00"/>
    <d v="2017-08-04T00:00:00"/>
    <d v="2017-09-01T00:00:00"/>
    <x v="0"/>
    <n v="2"/>
    <n v="2"/>
    <n v="2"/>
    <n v="2"/>
    <n v="10004946"/>
    <d v="2016-02-05T00:00:00"/>
    <n v="3"/>
    <n v="3"/>
    <n v="3"/>
    <n v="3"/>
    <n v="3"/>
    <s v="Improved"/>
  </r>
  <r>
    <s v="Ofsted Webpage"/>
    <n v="52923"/>
    <n v="10003771"/>
    <s v="Lancaster Training Services Limited"/>
    <x v="3"/>
    <s v="Community learning and skills providers"/>
    <s v="Lancashire"/>
    <s v="North West"/>
    <s v="North West"/>
    <d v="2016-07-21T00:00:00"/>
    <n v="1"/>
    <s v="ITS376223"/>
    <s v="Work based Learning - full inspection Historic"/>
    <d v="2011-09-19T00:00:00"/>
    <d v="2011-09-22T00:00:00"/>
    <d v="2011-10-20T00:00:00"/>
    <x v="0"/>
    <n v="2"/>
    <n v="2"/>
    <s v="-"/>
    <n v="2"/>
    <s v="ITS306733"/>
    <d v="2005-12-08T00:00:00"/>
    <n v="2"/>
    <s v="-"/>
    <s v="-"/>
    <s v="-"/>
    <n v="2"/>
    <s v="Stayed the Same"/>
  </r>
  <r>
    <s v="Ofsted Webpage"/>
    <n v="52949"/>
    <n v="10003808"/>
    <s v="League Football Education"/>
    <x v="3"/>
    <s v="Community learning and skills providers"/>
    <s v="Lancashire"/>
    <s v="North West"/>
    <s v="North West"/>
    <s v="NULL"/>
    <s v="NULL"/>
    <s v="ITS386017"/>
    <s v="WBL (national) - Full"/>
    <d v="2012-04-16T00:00:00"/>
    <d v="2012-04-20T00:00:00"/>
    <d v="2012-05-28T00:00:00"/>
    <x v="1"/>
    <n v="1"/>
    <n v="1"/>
    <s v="-"/>
    <n v="1"/>
    <s v="ITS307171"/>
    <d v="2006-12-15T00:00:00"/>
    <n v="2"/>
    <s v="-"/>
    <s v="-"/>
    <s v="-"/>
    <n v="2"/>
    <s v="Improved"/>
  </r>
  <r>
    <s v="Ofsted Webpage"/>
    <n v="52954"/>
    <n v="10028742"/>
    <s v="Social Enterprise Kent CIC"/>
    <x v="3"/>
    <s v="Community learning and skills providers"/>
    <s v="Kent"/>
    <s v="South East"/>
    <s v="South East"/>
    <d v="2016-01-21T00:00:00"/>
    <n v="1"/>
    <s v="ITS345929"/>
    <s v="Train to Gain - full inspection Historic"/>
    <d v="2010-06-22T00:00:00"/>
    <d v="2010-06-25T00:00:00"/>
    <d v="2010-07-30T00:00:00"/>
    <x v="0"/>
    <n v="2"/>
    <n v="3"/>
    <s v="-"/>
    <n v="2"/>
    <s v="ITS306999"/>
    <d v="2006-06-02T00:00:00"/>
    <n v="3"/>
    <s v="-"/>
    <s v="-"/>
    <s v="-"/>
    <n v="3"/>
    <s v="Improved"/>
  </r>
  <r>
    <s v="Ofsted Webpage"/>
    <n v="52983"/>
    <n v="10003841"/>
    <s v="V Learning Net"/>
    <x v="3"/>
    <s v="Community learning and skills providers"/>
    <s v="Cornwall"/>
    <s v="South West"/>
    <s v="South West"/>
    <d v="2015-11-04T00:00:00"/>
    <n v="1"/>
    <s v="ITS343087"/>
    <s v="Adult and Community - full (regional) Historic"/>
    <d v="2009-11-24T00:00:00"/>
    <d v="2009-11-27T00:00:00"/>
    <d v="2010-01-08T00:00:00"/>
    <x v="0"/>
    <n v="2"/>
    <n v="2"/>
    <s v="-"/>
    <n v="2"/>
    <s v="ITS306939"/>
    <d v="2006-03-10T00:00:00"/>
    <n v="3"/>
    <s v="-"/>
    <s v="-"/>
    <s v="-"/>
    <n v="3"/>
    <s v="Improved"/>
  </r>
  <r>
    <s v="Ofsted Webpage"/>
    <n v="52985"/>
    <n v="10003853"/>
    <s v="Leeds City Council"/>
    <x v="2"/>
    <s v="Community learning and skills providers"/>
    <s v="Leeds"/>
    <s v="Yorkshire and The Humber"/>
    <s v="North East, Yorkshire and the Humber"/>
    <d v="2017-02-09T00:00:00"/>
    <n v="1"/>
    <s v="ITS410634"/>
    <s v="Adult and Community - full (regional) Historic"/>
    <d v="2013-04-15T00:00:00"/>
    <d v="2013-04-19T00:00:00"/>
    <d v="2013-05-23T00:00:00"/>
    <x v="0"/>
    <n v="2"/>
    <n v="2"/>
    <s v="-"/>
    <n v="2"/>
    <s v="ITS333316"/>
    <d v="2009-06-05T00:00:00"/>
    <n v="3"/>
    <n v="3"/>
    <n v="3"/>
    <s v="-"/>
    <n v="3"/>
    <s v="Improved"/>
  </r>
  <r>
    <s v="Ofsted Webpage"/>
    <n v="52994"/>
    <n v="10003866"/>
    <s v="Leicester Adult Skills &amp; Learning"/>
    <x v="2"/>
    <s v="Community learning and skills providers"/>
    <s v="Leicester"/>
    <s v="East Midlands"/>
    <s v="East Midlands"/>
    <s v="NULL"/>
    <s v="NULL"/>
    <s v="ITS427779"/>
    <s v="Adult and Community - full (regional) Historic"/>
    <d v="2013-11-25T00:00:00"/>
    <d v="2013-11-29T00:00:00"/>
    <d v="2014-01-08T00:00:00"/>
    <x v="0"/>
    <n v="2"/>
    <n v="2"/>
    <s v="-"/>
    <n v="1"/>
    <s v="ITS331447"/>
    <d v="2009-01-30T00:00:00"/>
    <n v="2"/>
    <n v="2"/>
    <n v="2"/>
    <s v="-"/>
    <n v="2"/>
    <s v="Stayed the Same"/>
  </r>
  <r>
    <s v="Ofsted Webpage"/>
    <n v="52998"/>
    <n v="10003872"/>
    <s v="Leicestershire County Council"/>
    <x v="2"/>
    <s v="Community learning and skills providers"/>
    <s v="Leicestershire"/>
    <s v="East Midlands"/>
    <s v="East Midlands"/>
    <s v="NULL"/>
    <s v="NULL"/>
    <s v="ITS452656"/>
    <s v="Adult and Community - full (regional) Historic"/>
    <d v="2015-05-11T00:00:00"/>
    <d v="2015-05-15T00:00:00"/>
    <d v="2015-06-15T00:00:00"/>
    <x v="0"/>
    <n v="2"/>
    <n v="2"/>
    <s v="-"/>
    <n v="2"/>
    <s v="ITS399151"/>
    <d v="2012-10-12T00:00:00"/>
    <n v="2"/>
    <n v="2"/>
    <n v="2"/>
    <s v="-"/>
    <n v="2"/>
    <s v="Stayed the Same"/>
  </r>
  <r>
    <s v="Ofsted Webpage"/>
    <n v="53010"/>
    <n v="10003889"/>
    <s v="Leslie Frances (Hair Fashions) Limited"/>
    <x v="1"/>
    <s v="Independent learning providers (including employer providers)"/>
    <s v="Barnsley"/>
    <s v="Yorkshire and The Humber"/>
    <s v="North East, Yorkshire and the Humber"/>
    <d v="2017-10-19T00:00:00"/>
    <n v="1"/>
    <s v="ITS423776"/>
    <s v="Employer - Full"/>
    <d v="2013-09-23T00:00:00"/>
    <d v="2013-09-26T00:00:00"/>
    <d v="2013-10-31T00:00:00"/>
    <x v="0"/>
    <n v="2"/>
    <n v="2"/>
    <s v="-"/>
    <n v="2"/>
    <s v="ITS318269"/>
    <d v="2008-04-03T00:00:00"/>
    <n v="2"/>
    <n v="3"/>
    <n v="2"/>
    <s v="-"/>
    <n v="2"/>
    <s v="Stayed the Same"/>
  </r>
  <r>
    <s v="Ofsted Webpage"/>
    <n v="53025"/>
    <n v="10003909"/>
    <s v="Lifeskills Solutions Limited"/>
    <x v="1"/>
    <s v="Independent learning providers (including employer providers)"/>
    <s v="Rotherham"/>
    <s v="Yorkshire and The Humber"/>
    <s v="North East, Yorkshire and the Humber"/>
    <s v="NULL"/>
    <s v="NULL"/>
    <n v="10011491"/>
    <s v="Independent Learning Provider (National) - Full"/>
    <d v="2016-06-20T00:00:00"/>
    <d v="2016-06-23T00:00:00"/>
    <d v="2016-08-01T00:00:00"/>
    <x v="0"/>
    <n v="2"/>
    <n v="2"/>
    <n v="2"/>
    <n v="2"/>
    <s v="ITS429231"/>
    <d v="2014-05-16T00:00:00"/>
    <n v="2"/>
    <n v="2"/>
    <n v="2"/>
    <s v="-"/>
    <n v="2"/>
    <s v="Stayed the Same"/>
  </r>
  <r>
    <s v="Ofsted Webpage"/>
    <n v="53032"/>
    <n v="10003919"/>
    <s v="TheLightbulb Ltd"/>
    <x v="1"/>
    <s v="Independent learning providers (including employer providers)"/>
    <s v="Essex"/>
    <s v="East of England"/>
    <s v="East of England"/>
    <s v="NULL"/>
    <s v="NULL"/>
    <n v="10004951"/>
    <s v="Independent Learning Provider (Regional) - Requires Improvement"/>
    <d v="2016-01-26T00:00:00"/>
    <d v="2016-01-29T00:00:00"/>
    <d v="2016-02-22T00:00:00"/>
    <x v="0"/>
    <n v="2"/>
    <n v="2"/>
    <n v="2"/>
    <n v="2"/>
    <s v="ITS434059"/>
    <d v="2014-08-22T00:00:00"/>
    <n v="3"/>
    <n v="3"/>
    <n v="3"/>
    <s v="-"/>
    <n v="3"/>
    <s v="Improved"/>
  </r>
  <r>
    <s v="Ofsted Webpage"/>
    <n v="53042"/>
    <n v="10003932"/>
    <s v="Lincolnshire County Council"/>
    <x v="2"/>
    <s v="Community learning and skills providers"/>
    <s v="Lincolnshire"/>
    <s v="East Midlands"/>
    <s v="East Midlands"/>
    <d v="2016-04-28T00:00:00"/>
    <n v="1"/>
    <s v="ITS410125"/>
    <s v="Adult and Community - full (regional) Historic"/>
    <d v="2013-02-11T00:00:00"/>
    <d v="2013-02-15T00:00:00"/>
    <d v="2013-03-22T00:00:00"/>
    <x v="0"/>
    <n v="2"/>
    <n v="2"/>
    <s v="-"/>
    <n v="2"/>
    <s v="ITS333354"/>
    <d v="2009-06-05T00:00:00"/>
    <n v="3"/>
    <n v="2"/>
    <n v="3"/>
    <s v="-"/>
    <n v="3"/>
    <s v="Improved"/>
  </r>
  <r>
    <s v="Ofsted Webpage"/>
    <n v="53068"/>
    <n v="10008354"/>
    <s v="Lite (Stockport) Limited"/>
    <x v="1"/>
    <s v="Independent learning providers (including employer providers)"/>
    <s v="Stockport"/>
    <s v="North West"/>
    <s v="North West"/>
    <s v="NULL"/>
    <s v="NULL"/>
    <s v="ITS463358"/>
    <s v="Employer - Full"/>
    <d v="2015-06-30T00:00:00"/>
    <d v="2015-07-03T00:00:00"/>
    <d v="2015-07-31T00:00:00"/>
    <x v="0"/>
    <n v="2"/>
    <n v="2"/>
    <s v="-"/>
    <n v="2"/>
    <s v="ITS319225"/>
    <d v="2008-04-02T00:00:00"/>
    <n v="1"/>
    <n v="1"/>
    <n v="1"/>
    <s v="-"/>
    <n v="1"/>
    <s v="Declined"/>
  </r>
  <r>
    <s v="Ofsted Webpage"/>
    <n v="53069"/>
    <n v="10003728"/>
    <s v="L.I.T.S. Limited"/>
    <x v="1"/>
    <s v="Independent learning providers (including employer providers)"/>
    <s v="Bromley"/>
    <s v="London"/>
    <s v="London"/>
    <s v="NULL"/>
    <s v="NULL"/>
    <n v="10004952"/>
    <s v="Independent Learning Provider (National) - Requires improvement"/>
    <d v="2015-10-21T00:00:00"/>
    <d v="2015-10-23T00:00:00"/>
    <d v="2015-11-20T00:00:00"/>
    <x v="0"/>
    <n v="2"/>
    <n v="2"/>
    <n v="2"/>
    <n v="2"/>
    <s v="ITS434045"/>
    <d v="2014-07-25T00:00:00"/>
    <n v="3"/>
    <n v="3"/>
    <n v="3"/>
    <s v="-"/>
    <n v="3"/>
    <s v="Improved"/>
  </r>
  <r>
    <s v="Ofsted Webpage"/>
    <n v="53073"/>
    <n v="10003954"/>
    <s v="Liverpool City Council"/>
    <x v="2"/>
    <s v="Community learning and skills providers"/>
    <s v="Liverpool"/>
    <s v="North West"/>
    <s v="North West"/>
    <d v="2016-12-02T00:00:00"/>
    <n v="1"/>
    <s v="ITS345778"/>
    <s v="Adult and Community - full (regional) Historic"/>
    <d v="2010-04-26T00:00:00"/>
    <d v="2010-04-30T00:00:00"/>
    <d v="2010-06-10T00:00:00"/>
    <x v="0"/>
    <n v="2"/>
    <n v="2"/>
    <s v="-"/>
    <n v="2"/>
    <s v="ITS307022"/>
    <d v="2006-12-01T00:00:00"/>
    <n v="3"/>
    <s v="-"/>
    <s v="-"/>
    <s v="-"/>
    <n v="3"/>
    <s v="Improved"/>
  </r>
  <r>
    <s v="Ofsted Webpage"/>
    <n v="53094"/>
    <n v="10003976"/>
    <s v="Locomotivation Ltd."/>
    <x v="1"/>
    <s v="Independent learning providers (including employer providers)"/>
    <s v="Poole"/>
    <s v="South West"/>
    <s v="South West"/>
    <d v="2015-10-14T00:00:00"/>
    <n v="1"/>
    <s v="ITS345937"/>
    <s v="Work based Learning - full inspection Historic"/>
    <d v="2010-03-15T00:00:00"/>
    <d v="2010-03-19T00:00:00"/>
    <d v="2010-04-16T00:00:00"/>
    <x v="0"/>
    <n v="2"/>
    <n v="3"/>
    <s v="-"/>
    <n v="2"/>
    <s v="ITS320022"/>
    <d v="2007-12-06T00:00:00"/>
    <n v="2"/>
    <n v="2"/>
    <n v="2"/>
    <s v="-"/>
    <n v="2"/>
    <s v="Stayed the Same"/>
  </r>
  <r>
    <s v="Ofsted Webpage"/>
    <n v="53100"/>
    <n v="10000143"/>
    <s v="Adult College of Barking and Dagenham"/>
    <x v="2"/>
    <s v="Community learning and skills providers"/>
    <s v="Barking and Dagenham"/>
    <s v="London"/>
    <s v="London"/>
    <s v="NULL"/>
    <s v="NULL"/>
    <n v="10020127"/>
    <s v="Community Learning and Skills - Local authority - Full"/>
    <d v="2016-12-06T00:00:00"/>
    <d v="2016-12-09T00:00:00"/>
    <d v="2017-01-20T00:00:00"/>
    <x v="0"/>
    <n v="2"/>
    <n v="2"/>
    <n v="2"/>
    <n v="2"/>
    <s v="ITS399158"/>
    <d v="2013-04-26T00:00:00"/>
    <n v="2"/>
    <n v="2"/>
    <n v="2"/>
    <s v="-"/>
    <n v="2"/>
    <s v="Stayed the Same"/>
  </r>
  <r>
    <s v="Ofsted Webpage"/>
    <n v="53104"/>
    <n v="10000146"/>
    <s v="The Learning Centre Bexley"/>
    <x v="2"/>
    <s v="Community learning and skills providers"/>
    <s v="Bexley"/>
    <s v="London"/>
    <s v="London"/>
    <s v="NULL"/>
    <s v="NULL"/>
    <n v="10011492"/>
    <s v="Community Learning and Skills - Local authority - Full"/>
    <d v="2016-05-16T00:00:00"/>
    <d v="2016-05-19T00:00:00"/>
    <d v="2016-06-23T00:00:00"/>
    <x v="2"/>
    <n v="3"/>
    <n v="3"/>
    <n v="3"/>
    <n v="3"/>
    <s v="ITS410629"/>
    <d v="2013-06-28T00:00:00"/>
    <n v="2"/>
    <n v="2"/>
    <n v="2"/>
    <s v="-"/>
    <n v="2"/>
    <s v="Declined"/>
  </r>
  <r>
    <s v="Ofsted Webpage"/>
    <n v="53106"/>
    <n v="10000863"/>
    <s v="Brent Adult and Community Education Service"/>
    <x v="2"/>
    <s v="Community learning and skills providers"/>
    <s v="Brent"/>
    <s v="London"/>
    <s v="London"/>
    <d v="2017-03-22T00:00:00"/>
    <n v="1"/>
    <s v="ITS385052"/>
    <s v="Adult and Community - full (regional) Historic"/>
    <d v="2012-03-19T00:00:00"/>
    <d v="2012-03-23T00:00:00"/>
    <d v="2012-05-01T00:00:00"/>
    <x v="0"/>
    <n v="2"/>
    <n v="2"/>
    <s v="-"/>
    <n v="2"/>
    <s v="ITS333093"/>
    <d v="2009-05-01T00:00:00"/>
    <n v="3"/>
    <n v="3"/>
    <n v="3"/>
    <s v="-"/>
    <n v="3"/>
    <s v="Improved"/>
  </r>
  <r>
    <s v="Ofsted Webpage"/>
    <n v="53108"/>
    <n v="10003987"/>
    <s v="Bromley London Borough Council"/>
    <x v="2"/>
    <s v="Community learning and skills providers"/>
    <s v="Bromley"/>
    <s v="London"/>
    <s v="London"/>
    <s v="NULL"/>
    <s v="NULL"/>
    <n v="10020118"/>
    <s v="Community Learning and Skills - Local authority - Requires Improvement"/>
    <d v="2017-02-07T00:00:00"/>
    <d v="2017-02-10T00:00:00"/>
    <d v="2017-04-03T00:00:00"/>
    <x v="2"/>
    <n v="3"/>
    <n v="3"/>
    <n v="3"/>
    <n v="3"/>
    <s v="ITS452606"/>
    <d v="2015-03-13T00:00:00"/>
    <n v="3"/>
    <n v="3"/>
    <n v="2"/>
    <s v="-"/>
    <n v="3"/>
    <s v="Stayed the Same"/>
  </r>
  <r>
    <s v="Ofsted Webpage"/>
    <n v="53110"/>
    <n v="10003988"/>
    <s v="Camden London Borough Council"/>
    <x v="2"/>
    <s v="Community learning and skills providers"/>
    <s v="Camden"/>
    <s v="London"/>
    <s v="London"/>
    <d v="2016-06-09T00:00:00"/>
    <n v="1"/>
    <s v="ITS366691"/>
    <s v="Adult and Community - full (regional) Historic"/>
    <d v="2011-05-09T00:00:00"/>
    <d v="2011-05-13T00:00:00"/>
    <d v="2011-06-20T00:00:00"/>
    <x v="0"/>
    <n v="2"/>
    <n v="3"/>
    <s v="-"/>
    <n v="2"/>
    <s v="ITS320890"/>
    <d v="2008-06-06T00:00:00"/>
    <n v="3"/>
    <n v="3"/>
    <n v="3"/>
    <s v="-"/>
    <n v="3"/>
    <s v="Improved"/>
  </r>
  <r>
    <s v="Ofsted Webpage"/>
    <n v="53112"/>
    <n v="10003989"/>
    <s v="Croydon London Borough Council"/>
    <x v="2"/>
    <s v="Community learning and skills providers"/>
    <s v="Croydon"/>
    <s v="London"/>
    <s v="London"/>
    <d v="2016-10-13T00:00:00"/>
    <n v="1"/>
    <s v="ITS345784"/>
    <s v="Adult and Community - full (regional) Historic"/>
    <d v="2010-06-07T00:00:00"/>
    <d v="2010-06-11T00:00:00"/>
    <d v="2010-07-16T00:00:00"/>
    <x v="0"/>
    <n v="3"/>
    <n v="2"/>
    <s v="-"/>
    <n v="2"/>
    <s v="ITS306795"/>
    <d v="2006-03-03T00:00:00"/>
    <n v="2"/>
    <s v="-"/>
    <s v="-"/>
    <s v="-"/>
    <n v="2"/>
    <s v="Stayed the Same"/>
  </r>
  <r>
    <s v="Ofsted Webpage"/>
    <n v="53116"/>
    <n v="10002260"/>
    <s v="Enfield London Borough Council"/>
    <x v="2"/>
    <s v="Community learning and skills providers"/>
    <s v="Enfield"/>
    <s v="London"/>
    <s v="London"/>
    <s v="NULL"/>
    <s v="NULL"/>
    <s v="ITS452607"/>
    <s v="ACL - Full"/>
    <d v="2015-03-24T00:00:00"/>
    <d v="2015-03-27T00:00:00"/>
    <d v="2015-05-08T00:00:00"/>
    <x v="0"/>
    <n v="2"/>
    <n v="2"/>
    <s v="-"/>
    <n v="2"/>
    <s v="ITS366693"/>
    <d v="2011-04-01T00:00:00"/>
    <n v="2"/>
    <n v="2"/>
    <n v="2"/>
    <s v="-"/>
    <n v="2"/>
    <s v="Stayed the Same"/>
  </r>
  <r>
    <s v="Ofsted Webpage"/>
    <n v="53117"/>
    <n v="10003990"/>
    <s v="Royal Borough of Greenwich"/>
    <x v="2"/>
    <s v="Community learning and skills providers"/>
    <s v="Greenwich"/>
    <s v="London"/>
    <s v="London"/>
    <d v="2017-05-18T00:00:00"/>
    <n v="1"/>
    <s v="ITS410635"/>
    <s v="Adult and Community - full (regional) Historic"/>
    <d v="2013-05-14T00:00:00"/>
    <d v="2013-05-17T00:00:00"/>
    <d v="2013-06-24T00:00:00"/>
    <x v="0"/>
    <n v="2"/>
    <n v="2"/>
    <s v="-"/>
    <n v="2"/>
    <s v="ITS330816"/>
    <d v="2009-05-01T00:00:00"/>
    <n v="3"/>
    <n v="3"/>
    <n v="3"/>
    <s v="-"/>
    <n v="3"/>
    <s v="Improved"/>
  </r>
  <r>
    <s v="Ofsted Webpage"/>
    <n v="53121"/>
    <n v="10002868"/>
    <s v="Hammersmith and Fulham Adult Learning and Skills Service"/>
    <x v="2"/>
    <s v="Community learning and skills providers"/>
    <s v="Hammersmith and Fulham"/>
    <s v="London"/>
    <s v="London"/>
    <d v="2016-11-17T00:00:00"/>
    <n v="1"/>
    <s v="ITS345786"/>
    <s v="Adult and Community - full (regional) Historic"/>
    <d v="2010-06-21T00:00:00"/>
    <d v="2010-06-25T00:00:00"/>
    <d v="2010-07-30T00:00:00"/>
    <x v="0"/>
    <n v="2"/>
    <n v="2"/>
    <s v="-"/>
    <n v="1"/>
    <s v="ITS306793"/>
    <d v="2006-03-10T00:00:00"/>
    <n v="3"/>
    <s v="-"/>
    <s v="-"/>
    <s v="-"/>
    <n v="3"/>
    <s v="Improved"/>
  </r>
  <r>
    <s v="Ofsted Webpage"/>
    <n v="53124"/>
    <n v="10002859"/>
    <s v="Haringey London Borough Council"/>
    <x v="2"/>
    <s v="Community learning and skills providers"/>
    <s v="Haringey"/>
    <s v="London"/>
    <s v="London"/>
    <s v="NULL"/>
    <s v="NULL"/>
    <n v="10008488"/>
    <s v="Community Learning and Skills - Local authority - Requires Improvement - second inspection"/>
    <d v="2016-11-01T00:00:00"/>
    <d v="2016-11-04T00:00:00"/>
    <d v="2016-12-12T00:00:00"/>
    <x v="0"/>
    <n v="2"/>
    <n v="2"/>
    <n v="2"/>
    <n v="2"/>
    <s v="ITS430294"/>
    <d v="2014-11-14T00:00:00"/>
    <n v="3"/>
    <n v="3"/>
    <n v="3"/>
    <s v="-"/>
    <n v="3"/>
    <s v="Improved"/>
  </r>
  <r>
    <s v="Ofsted Webpage"/>
    <n v="53127"/>
    <n v="10003993"/>
    <s v="Havering London Borough Council"/>
    <x v="2"/>
    <s v="Community learning and skills providers"/>
    <s v="Havering"/>
    <s v="London"/>
    <s v="London"/>
    <d v="2017-10-12T00:00:00"/>
    <n v="1"/>
    <s v="ITS434068"/>
    <s v="ACL - Full"/>
    <d v="2014-10-13T00:00:00"/>
    <d v="2014-10-17T00:00:00"/>
    <d v="2014-12-04T00:00:00"/>
    <x v="0"/>
    <n v="2"/>
    <n v="2"/>
    <s v="-"/>
    <n v="2"/>
    <s v="ITS387987"/>
    <d v="2012-05-04T00:00:00"/>
    <n v="3"/>
    <n v="3"/>
    <n v="2"/>
    <s v="-"/>
    <n v="3"/>
    <s v="Improved"/>
  </r>
  <r>
    <s v="Ofsted Webpage"/>
    <n v="53129"/>
    <n v="10003089"/>
    <s v="Hillingdon London Borough Council"/>
    <x v="2"/>
    <s v="Community learning and skills providers"/>
    <s v="Hillingdon"/>
    <s v="London"/>
    <s v="London"/>
    <d v="2016-01-14T00:00:00"/>
    <n v="1"/>
    <s v="ITS363140"/>
    <s v="Adult and Community - full (regional) Historic"/>
    <d v="2011-02-14T00:00:00"/>
    <d v="2011-02-18T00:00:00"/>
    <d v="2011-03-25T00:00:00"/>
    <x v="0"/>
    <n v="2"/>
    <n v="2"/>
    <s v="-"/>
    <n v="2"/>
    <s v="ITS302906"/>
    <d v="2007-05-18T00:00:00"/>
    <n v="2"/>
    <n v="2"/>
    <n v="3"/>
    <s v="-"/>
    <n v="2"/>
    <s v="Stayed the Same"/>
  </r>
  <r>
    <s v="Ofsted Webpage"/>
    <n v="53132"/>
    <n v="10003165"/>
    <s v="Hounslow Adult and Community Education"/>
    <x v="2"/>
    <s v="Community learning and skills providers"/>
    <s v="Hounslow"/>
    <s v="London"/>
    <s v="London"/>
    <s v="NULL"/>
    <s v="NULL"/>
    <s v="ITS446662"/>
    <s v="Adult and Community - full (regional) Historic"/>
    <d v="2014-12-01T00:00:00"/>
    <d v="2014-12-05T00:00:00"/>
    <d v="2015-01-14T00:00:00"/>
    <x v="0"/>
    <n v="2"/>
    <n v="2"/>
    <s v="-"/>
    <n v="2"/>
    <s v="ITS329193"/>
    <d v="2008-12-05T00:00:00"/>
    <n v="2"/>
    <n v="2"/>
    <n v="2"/>
    <s v="-"/>
    <n v="2"/>
    <s v="Stayed the Same"/>
  </r>
  <r>
    <s v="Ofsted Webpage"/>
    <n v="53133"/>
    <n v="10003414"/>
    <s v="Adult &amp; Community Learning Service, Islington London Borough Council"/>
    <x v="2"/>
    <s v="Community learning and skills providers"/>
    <s v="Islington"/>
    <s v="London"/>
    <s v="London"/>
    <d v="2016-03-03T00:00:00"/>
    <n v="1"/>
    <s v="ITS363142"/>
    <s v="Adult and Community - full (regional) Historic"/>
    <d v="2011-02-14T00:00:00"/>
    <d v="2011-02-18T00:00:00"/>
    <d v="2011-03-25T00:00:00"/>
    <x v="0"/>
    <n v="2"/>
    <n v="2"/>
    <s v="-"/>
    <n v="2"/>
    <s v="ITS307149"/>
    <d v="2006-10-13T00:00:00"/>
    <n v="3"/>
    <s v="-"/>
    <s v="-"/>
    <s v="-"/>
    <n v="3"/>
    <s v="Improved"/>
  </r>
  <r>
    <s v="Ofsted Webpage"/>
    <n v="53135"/>
    <n v="10003995"/>
    <s v="Lambeth London Borough Council"/>
    <x v="2"/>
    <s v="Community learning and skills providers"/>
    <s v="Lambeth"/>
    <s v="London"/>
    <s v="London"/>
    <s v="NULL"/>
    <s v="NULL"/>
    <n v="10005431"/>
    <s v="Community Learning and Skills - Local authority - Full"/>
    <d v="2015-10-06T00:00:00"/>
    <d v="2015-10-09T00:00:00"/>
    <d v="2015-11-17T00:00:00"/>
    <x v="0"/>
    <n v="2"/>
    <n v="2"/>
    <n v="2"/>
    <n v="2"/>
    <s v="ITS354478"/>
    <d v="2010-11-19T00:00:00"/>
    <n v="2"/>
    <n v="2"/>
    <n v="3"/>
    <s v="-"/>
    <n v="2"/>
    <s v="Stayed the Same"/>
  </r>
  <r>
    <s v="Ofsted Webpage"/>
    <n v="53137"/>
    <n v="10003895"/>
    <s v="Lewisham London Borough Council"/>
    <x v="2"/>
    <s v="Community learning and skills providers"/>
    <s v="Lewisham"/>
    <s v="London"/>
    <s v="London"/>
    <d v="2017-10-12T00:00:00"/>
    <n v="1"/>
    <s v="ITS429148"/>
    <s v="Adult and Community - full (regional) Historic"/>
    <d v="2014-02-03T00:00:00"/>
    <d v="2014-02-07T00:00:00"/>
    <d v="2014-03-14T00:00:00"/>
    <x v="0"/>
    <n v="2"/>
    <n v="2"/>
    <s v="-"/>
    <n v="2"/>
    <s v="ITS395177"/>
    <d v="2012-02-24T00:00:00"/>
    <n v="3"/>
    <n v="3"/>
    <n v="3"/>
    <s v="-"/>
    <n v="2"/>
    <s v="Improved"/>
  </r>
  <r>
    <s v="Ofsted Webpage"/>
    <n v="53139"/>
    <n v="10003997"/>
    <s v="London Borough of Newham: Adult Learning Service"/>
    <x v="2"/>
    <s v="Community learning and skills providers"/>
    <s v="Newham"/>
    <s v="London"/>
    <s v="London"/>
    <s v="NULL"/>
    <s v="NULL"/>
    <n v="10004960"/>
    <s v="Community Learning and Skills - Local authority - Full"/>
    <d v="2016-03-09T00:00:00"/>
    <d v="2016-03-15T00:00:00"/>
    <d v="2016-04-15T00:00:00"/>
    <x v="0"/>
    <n v="2"/>
    <n v="2"/>
    <n v="2"/>
    <n v="2"/>
    <s v="ITS345787"/>
    <d v="2010-06-11T00:00:00"/>
    <n v="2"/>
    <n v="2"/>
    <n v="2"/>
    <s v="-"/>
    <n v="3"/>
    <s v="Stayed the Same"/>
  </r>
  <r>
    <s v="Ofsted Webpage"/>
    <n v="53141"/>
    <n v="10005412"/>
    <s v="Redbridge Institute of Adult Education"/>
    <x v="2"/>
    <s v="Community learning and skills providers"/>
    <s v="Redbridge"/>
    <s v="London"/>
    <s v="London"/>
    <s v="NULL"/>
    <s v="NULL"/>
    <s v="ITS452608"/>
    <s v="Adult and Community - full (regional) Historic"/>
    <d v="2015-03-23T00:00:00"/>
    <d v="2015-03-27T00:00:00"/>
    <d v="2015-05-08T00:00:00"/>
    <x v="0"/>
    <n v="2"/>
    <n v="2"/>
    <s v="-"/>
    <n v="2"/>
    <s v="ITS330815"/>
    <d v="2009-03-13T00:00:00"/>
    <n v="2"/>
    <n v="2"/>
    <n v="2"/>
    <s v="-"/>
    <n v="2"/>
    <s v="Stayed the Same"/>
  </r>
  <r>
    <s v="Ofsted Webpage"/>
    <n v="53144"/>
    <n v="10007362"/>
    <s v="Richmond Upon Thames Borough Council"/>
    <x v="2"/>
    <s v="Community learning and skills providers"/>
    <s v="Richmond upon Thames"/>
    <s v="London"/>
    <s v="London"/>
    <d v="2016-01-14T00:00:00"/>
    <n v="1"/>
    <s v="ITS345788"/>
    <s v="Adult and Community - full (regional) Historic"/>
    <d v="2010-05-17T00:00:00"/>
    <d v="2010-05-21T00:00:00"/>
    <d v="2010-06-28T00:00:00"/>
    <x v="0"/>
    <n v="2"/>
    <n v="2"/>
    <s v="-"/>
    <n v="2"/>
    <s v="ITS307111"/>
    <d v="2006-05-26T00:00:00"/>
    <n v="3"/>
    <s v="-"/>
    <s v="-"/>
    <s v="-"/>
    <n v="3"/>
    <s v="Improved"/>
  </r>
  <r>
    <s v="Ofsted Webpage"/>
    <n v="53145"/>
    <n v="10006042"/>
    <s v="Southwark Adult Learning Service"/>
    <x v="2"/>
    <s v="Community learning and skills providers"/>
    <s v="Southwark"/>
    <s v="London"/>
    <s v="London"/>
    <d v="2016-05-18T00:00:00"/>
    <n v="1"/>
    <s v="ITS375509"/>
    <s v="Adult and Community - full (regional) Historic"/>
    <d v="2012-03-05T00:00:00"/>
    <d v="2012-03-09T00:00:00"/>
    <d v="2012-04-17T00:00:00"/>
    <x v="0"/>
    <n v="2"/>
    <n v="2"/>
    <s v="-"/>
    <n v="2"/>
    <s v="ITS330982"/>
    <d v="2009-05-15T00:00:00"/>
    <n v="3"/>
    <n v="3"/>
    <n v="3"/>
    <s v="-"/>
    <n v="3"/>
    <s v="Improved"/>
  </r>
  <r>
    <s v="Ofsted Webpage"/>
    <n v="53146"/>
    <n v="10004000"/>
    <s v="Sutton London Borough Council"/>
    <x v="2"/>
    <s v="Community learning and skills providers"/>
    <s v="Sutton"/>
    <s v="London"/>
    <s v="London"/>
    <d v="2016-03-17T00:00:00"/>
    <n v="1"/>
    <s v="ITS441287"/>
    <s v="Adult and Community - full (regional) Historic"/>
    <d v="2014-06-25T00:00:00"/>
    <d v="2014-06-27T00:00:00"/>
    <d v="2014-08-07T00:00:00"/>
    <x v="0"/>
    <n v="2"/>
    <n v="2"/>
    <s v="-"/>
    <n v="2"/>
    <s v="ITS306790"/>
    <d v="2006-03-24T00:00:00"/>
    <n v="3"/>
    <s v="-"/>
    <s v="-"/>
    <s v="-"/>
    <n v="2"/>
    <s v="Improved"/>
  </r>
  <r>
    <s v="Ofsted Webpage"/>
    <n v="53150"/>
    <n v="10007322"/>
    <s v="WALTHAM FOREST LONDON BOROUGH COUNCIL"/>
    <x v="2"/>
    <s v="Community learning and skills providers"/>
    <s v="Waltham Forest"/>
    <s v="London"/>
    <s v="London"/>
    <s v="NULL"/>
    <s v="NULL"/>
    <n v="10011495"/>
    <s v="Community Learning and Skills - Local authority - Full"/>
    <d v="2016-06-21T00:00:00"/>
    <d v="2016-06-24T00:00:00"/>
    <d v="2016-08-10T00:00:00"/>
    <x v="0"/>
    <n v="3"/>
    <n v="2"/>
    <n v="2"/>
    <n v="2"/>
    <s v="ITS387989"/>
    <d v="2012-06-15T00:00:00"/>
    <n v="2"/>
    <n v="2"/>
    <n v="2"/>
    <s v="-"/>
    <n v="2"/>
    <s v="Stayed the Same"/>
  </r>
  <r>
    <s v="Ofsted Webpage"/>
    <n v="53152"/>
    <n v="10004002"/>
    <s v="Wandsworth London Borough Council"/>
    <x v="2"/>
    <s v="Community learning and skills providers"/>
    <s v="Wandsworth"/>
    <s v="London"/>
    <s v="London"/>
    <s v="NULL"/>
    <s v="NULL"/>
    <n v="10004964"/>
    <s v="Community Learning and Skills - Local authority - Reinspection"/>
    <d v="2016-03-01T00:00:00"/>
    <d v="2016-03-04T00:00:00"/>
    <d v="2016-04-12T00:00:00"/>
    <x v="0"/>
    <n v="2"/>
    <n v="2"/>
    <n v="2"/>
    <n v="2"/>
    <s v="ITS446663"/>
    <d v="2014-12-12T00:00:00"/>
    <n v="4"/>
    <n v="3"/>
    <n v="3"/>
    <s v="-"/>
    <n v="4"/>
    <s v="Improved"/>
  </r>
  <r>
    <s v="Ofsted Webpage"/>
    <n v="53160"/>
    <n v="10004013"/>
    <s v="The London College of Beauty Therapy Limited"/>
    <x v="1"/>
    <s v="Independent learning providers (including employer providers)"/>
    <s v="Westminster"/>
    <s v="London"/>
    <s v="London"/>
    <s v="NULL"/>
    <s v="NULL"/>
    <n v="10022562"/>
    <s v="Independent Learning Provider (Regional) - Full"/>
    <d v="2017-06-13T00:00:00"/>
    <d v="2017-06-16T00:00:00"/>
    <d v="2017-07-25T00:00:00"/>
    <x v="2"/>
    <n v="3"/>
    <n v="3"/>
    <n v="2"/>
    <n v="3"/>
    <s v="ITS410656"/>
    <d v="2013-06-21T00:00:00"/>
    <n v="2"/>
    <n v="2"/>
    <n v="2"/>
    <s v="-"/>
    <n v="2"/>
    <s v="Declined"/>
  </r>
  <r>
    <s v="Ofsted Webpage"/>
    <n v="53201"/>
    <n v="10004124"/>
    <s v="Luton Borough Council"/>
    <x v="2"/>
    <s v="Community learning and skills providers"/>
    <s v="Luton"/>
    <s v="East of England"/>
    <s v="East of England"/>
    <d v="2017-09-28T00:00:00"/>
    <n v="1"/>
    <s v="ITS434069"/>
    <s v="ACL - Full"/>
    <d v="2014-09-29T00:00:00"/>
    <d v="2014-10-03T00:00:00"/>
    <d v="2014-11-07T00:00:00"/>
    <x v="0"/>
    <n v="2"/>
    <n v="2"/>
    <s v="-"/>
    <n v="2"/>
    <s v="ITS387972"/>
    <d v="2012-06-15T00:00:00"/>
    <n v="3"/>
    <n v="3"/>
    <n v="3"/>
    <s v="-"/>
    <n v="3"/>
    <s v="Improved"/>
  </r>
  <r>
    <s v="Ofsted Webpage"/>
    <n v="53230"/>
    <n v="10004175"/>
    <s v="Manchester City Council"/>
    <x v="2"/>
    <s v="Community learning and skills providers"/>
    <s v="Manchester"/>
    <s v="North West"/>
    <s v="North West"/>
    <d v="2017-02-28T00:00:00"/>
    <n v="1"/>
    <s v="ITS423418"/>
    <s v="Adult and Community - full (regional) Historic"/>
    <d v="2013-10-21T00:00:00"/>
    <d v="2013-10-25T00:00:00"/>
    <d v="2013-11-29T00:00:00"/>
    <x v="0"/>
    <n v="2"/>
    <n v="2"/>
    <s v="-"/>
    <n v="2"/>
    <s v="ITS322475"/>
    <d v="2008-04-18T00:00:00"/>
    <n v="2"/>
    <n v="2"/>
    <n v="2"/>
    <s v="-"/>
    <n v="2"/>
    <s v="Stayed the Same"/>
  </r>
  <r>
    <s v="Ofsted Webpage"/>
    <n v="53233"/>
    <n v="10004177"/>
    <s v="The Growth Company Limited"/>
    <x v="1"/>
    <s v="Independent learning providers (including employer providers)"/>
    <s v="Manchester"/>
    <s v="North West"/>
    <s v="North West"/>
    <s v="NULL"/>
    <s v="NULL"/>
    <n v="10004965"/>
    <s v="Independent Learning Provider (Regional) - Requires Improvement"/>
    <d v="2016-10-04T00:00:00"/>
    <d v="2016-10-07T00:00:00"/>
    <d v="2016-11-11T00:00:00"/>
    <x v="2"/>
    <n v="3"/>
    <n v="3"/>
    <n v="3"/>
    <n v="3"/>
    <s v="ITS443658"/>
    <d v="2014-11-28T00:00:00"/>
    <n v="3"/>
    <n v="3"/>
    <n v="3"/>
    <s v="-"/>
    <n v="3"/>
    <s v="Stayed the Same"/>
  </r>
  <r>
    <s v="Ofsted Webpage"/>
    <n v="53237"/>
    <n v="10004181"/>
    <s v="Mantra Learning Limited"/>
    <x v="1"/>
    <s v="Independent learning providers (including employer providers)"/>
    <s v="Oldham"/>
    <s v="North West"/>
    <s v="North West"/>
    <d v="2017-06-09T00:00:00"/>
    <n v="1"/>
    <s v="ITS433721"/>
    <s v="WBL (national) - Full"/>
    <d v="2014-03-10T00:00:00"/>
    <d v="2014-03-14T00:00:00"/>
    <d v="2014-04-16T00:00:00"/>
    <x v="0"/>
    <n v="2"/>
    <n v="2"/>
    <s v="-"/>
    <n v="2"/>
    <s v="ITS306731"/>
    <d v="2005-10-20T00:00:00"/>
    <n v="1"/>
    <s v="-"/>
    <s v="-"/>
    <s v="-"/>
    <n v="1"/>
    <s v="Declined"/>
  </r>
  <r>
    <s v="Ofsted Webpage"/>
    <n v="53259"/>
    <n v="10004223"/>
    <s v="Marson Garages (Wolstanton) Limited"/>
    <x v="1"/>
    <s v="Independent learning providers (including employer providers)"/>
    <s v="Staffordshire"/>
    <s v="West Midlands"/>
    <s v="West Midlands"/>
    <s v="NULL"/>
    <s v="NULL"/>
    <n v="10030715"/>
    <s v="Independent Learning Provider (Regional) - Full"/>
    <d v="2017-04-25T00:00:00"/>
    <d v="2017-04-27T00:00:00"/>
    <d v="2017-05-22T00:00:00"/>
    <x v="2"/>
    <n v="3"/>
    <n v="3"/>
    <n v="3"/>
    <n v="3"/>
    <s v="ITS424459"/>
    <d v="2013-12-13T00:00:00"/>
    <n v="2"/>
    <n v="2"/>
    <n v="2"/>
    <s v="-"/>
    <n v="2"/>
    <s v="Declined"/>
  </r>
  <r>
    <s v="Ofsted Webpage"/>
    <n v="53268"/>
    <n v="10004240"/>
    <s v="Matrix Training and Development Limited"/>
    <x v="1"/>
    <s v="Independent learning providers (including employer providers)"/>
    <s v="Telford and Wrekin"/>
    <s v="West Midlands"/>
    <s v="West Midlands"/>
    <s v="NULL"/>
    <s v="NULL"/>
    <n v="10035682"/>
    <s v="Independent Learning Provider (Regional) - Full"/>
    <d v="2017-05-17T00:00:00"/>
    <d v="2017-06-02T00:00:00"/>
    <d v="2017-07-05T00:00:00"/>
    <x v="4"/>
    <n v="4"/>
    <n v="4"/>
    <n v="4"/>
    <n v="4"/>
    <s v="ITS446602"/>
    <d v="2014-10-16T00:00:00"/>
    <n v="2"/>
    <n v="2"/>
    <n v="2"/>
    <s v="-"/>
    <n v="2"/>
    <s v="Declined"/>
  </r>
  <r>
    <s v="Ofsted Webpage"/>
    <n v="53280"/>
    <n v="10004257"/>
    <s v="McArthur Dean Training Limited"/>
    <x v="1"/>
    <s v="Independent learning providers (including employer providers)"/>
    <s v="Kingston upon Hull"/>
    <s v="Yorkshire and The Humber"/>
    <s v="North East, Yorkshire and the Humber"/>
    <d v="2016-11-24T00:00:00"/>
    <n v="1"/>
    <s v="ITS406811"/>
    <s v="Employer - Full"/>
    <d v="2012-12-11T00:00:00"/>
    <d v="2012-12-14T00:00:00"/>
    <d v="2013-01-17T00:00:00"/>
    <x v="0"/>
    <n v="2"/>
    <n v="2"/>
    <s v="-"/>
    <n v="2"/>
    <s v="ITS354640"/>
    <d v="2011-03-18T00:00:00"/>
    <n v="3"/>
    <n v="3"/>
    <n v="2"/>
    <s v="-"/>
    <n v="3"/>
    <s v="Improved"/>
  </r>
  <r>
    <s v="Ofsted Webpage"/>
    <n v="53281"/>
    <n v="10013073"/>
    <s v="McDonald's Restaurants Limited"/>
    <x v="4"/>
    <s v="Independent learning providers (including employer providers)"/>
    <s v="Barnet"/>
    <s v="London"/>
    <s v="London"/>
    <s v="NULL"/>
    <s v="NULL"/>
    <s v="ITS345918"/>
    <s v="WBL (national) - Full"/>
    <d v="2010-10-18T00:00:00"/>
    <d v="2010-10-22T00:00:00"/>
    <d v="2010-11-26T00:00:00"/>
    <x v="0"/>
    <n v="2"/>
    <n v="2"/>
    <s v="-"/>
    <n v="2"/>
    <s v="NULL"/>
    <s v="NULL"/>
    <s v="NULL"/>
    <s v="NULL"/>
    <s v="NULL"/>
    <s v="NULL"/>
    <s v="NULL"/>
    <s v="Not Applicable"/>
  </r>
  <r>
    <s v="Ofsted Webpage"/>
    <n v="53295"/>
    <n v="10004285"/>
    <s v="Medway Council"/>
    <x v="2"/>
    <s v="Community learning and skills providers"/>
    <s v="Medway"/>
    <s v="South East"/>
    <s v="South East"/>
    <s v="NULL"/>
    <s v="NULL"/>
    <s v="ITS446029"/>
    <s v="ACL - Requires improvement"/>
    <d v="2015-06-23T00:00:00"/>
    <d v="2015-06-26T00:00:00"/>
    <d v="2015-07-28T00:00:00"/>
    <x v="0"/>
    <n v="2"/>
    <n v="2"/>
    <s v="-"/>
    <n v="2"/>
    <s v="ITS422200"/>
    <d v="2014-02-07T00:00:00"/>
    <n v="3"/>
    <n v="3"/>
    <n v="3"/>
    <s v="-"/>
    <n v="3"/>
    <s v="Improved"/>
  </r>
  <r>
    <s v="Ofsted Webpage"/>
    <n v="53305"/>
    <n v="10004303"/>
    <s v="Mercia Partnership (UK) Ltd"/>
    <x v="1"/>
    <s v="Independent learning providers (including employer providers)"/>
    <s v="Knowsley"/>
    <s v="North West"/>
    <s v="North West"/>
    <s v="NULL"/>
    <s v="NULL"/>
    <n v="10005186"/>
    <s v="Independent Learning Provider (Regional) - Requires Improvement"/>
    <d v="2015-11-03T00:00:00"/>
    <d v="2015-11-06T00:00:00"/>
    <d v="2015-12-09T00:00:00"/>
    <x v="0"/>
    <n v="2"/>
    <n v="2"/>
    <n v="2"/>
    <n v="2"/>
    <s v="ITS429114"/>
    <d v="2014-03-14T00:00:00"/>
    <n v="3"/>
    <n v="3"/>
    <n v="3"/>
    <s v="-"/>
    <n v="3"/>
    <s v="Improved"/>
  </r>
  <r>
    <s v="Ofsted Webpage"/>
    <n v="53314"/>
    <n v="10007214"/>
    <s v="Merseyside Accredited Childcare Training and Assessment Centre"/>
    <x v="1"/>
    <s v="Independent learning providers (including employer providers)"/>
    <s v="Liverpool"/>
    <s v="North West"/>
    <s v="North West"/>
    <s v="NULL"/>
    <s v="NULL"/>
    <s v="ITS306613"/>
    <s v="Work based Learning - full inspection Historic"/>
    <d v="2006-03-24T00:00:00"/>
    <d v="2006-03-24T00:00:00"/>
    <d v="2006-05-05T00:00:00"/>
    <x v="3"/>
    <s v="-"/>
    <s v="-"/>
    <s v="-"/>
    <s v="-"/>
    <s v="NULL"/>
    <s v="NULL"/>
    <s v="NULL"/>
    <s v="NULL"/>
    <s v="NULL"/>
    <s v="NULL"/>
    <s v="NULL"/>
    <s v="Not Applicable"/>
  </r>
  <r>
    <s v="Ofsted Webpage"/>
    <n v="53325"/>
    <n v="10003996"/>
    <s v="Merton Adult Education"/>
    <x v="2"/>
    <s v="Community learning and skills providers"/>
    <s v="Merton"/>
    <s v="London"/>
    <s v="London"/>
    <s v="NULL"/>
    <s v="NULL"/>
    <n v="10037413"/>
    <s v="Community Learning and Skills - Local authority - Requires Improvement"/>
    <d v="2017-11-13T00:00:00"/>
    <d v="2017-11-16T00:00:00"/>
    <d v="2017-12-22T00:00:00"/>
    <x v="2"/>
    <n v="3"/>
    <n v="3"/>
    <n v="2"/>
    <n v="3"/>
    <n v="10004968"/>
    <d v="2015-11-20T00:00:00"/>
    <n v="3"/>
    <n v="3"/>
    <n v="3"/>
    <n v="3"/>
    <n v="3"/>
    <s v="Stayed the Same"/>
  </r>
  <r>
    <s v="Ofsted Webpage"/>
    <n v="53330"/>
    <n v="10004319"/>
    <s v="METSKILL Limited"/>
    <x v="3"/>
    <s v="Community learning and skills providers"/>
    <s v="Sheffield"/>
    <s v="Yorkshire and The Humber"/>
    <s v="North East, Yorkshire and the Humber"/>
    <s v="NULL"/>
    <s v="NULL"/>
    <n v="10005140"/>
    <s v="Independent Learning Provider (National) - Requires improvement"/>
    <d v="2016-11-15T00:00:00"/>
    <d v="2016-11-18T00:00:00"/>
    <d v="2016-12-21T00:00:00"/>
    <x v="0"/>
    <n v="2"/>
    <n v="2"/>
    <n v="2"/>
    <n v="2"/>
    <s v="ITS452609"/>
    <d v="2015-02-13T00:00:00"/>
    <n v="3"/>
    <n v="3"/>
    <n v="3"/>
    <s v="-"/>
    <n v="3"/>
    <s v="Improved"/>
  </r>
  <r>
    <s v="Ofsted Webpage"/>
    <n v="53349"/>
    <n v="10012892"/>
    <s v="Michael John Training Manchester"/>
    <x v="1"/>
    <s v="Independent learning providers (including employer providers)"/>
    <s v="Manchester"/>
    <s v="North West"/>
    <s v="North West"/>
    <d v="2016-09-15T00:00:00"/>
    <n v="1"/>
    <s v="ITS366028"/>
    <s v="WBL (national) - Full"/>
    <d v="2011-09-05T00:00:00"/>
    <d v="2011-09-08T00:00:00"/>
    <d v="2011-10-10T00:00:00"/>
    <x v="0"/>
    <n v="2"/>
    <n v="2"/>
    <s v="-"/>
    <n v="2"/>
    <s v="ITS307158"/>
    <d v="2006-11-17T00:00:00"/>
    <n v="2"/>
    <s v="-"/>
    <s v="-"/>
    <s v="-"/>
    <n v="2"/>
    <s v="Stayed the Same"/>
  </r>
  <r>
    <s v="Ofsted Webpage"/>
    <n v="53373"/>
    <n v="10004355"/>
    <s v="Midland Group Training Services Limited"/>
    <x v="1"/>
    <s v="Independent learning providers (including employer providers)"/>
    <s v="Coventry"/>
    <s v="West Midlands"/>
    <s v="West Midlands"/>
    <d v="2017-06-22T00:00:00"/>
    <n v="1"/>
    <s v="ITS429002"/>
    <s v="WBL (national) - Full"/>
    <d v="2013-11-18T00:00:00"/>
    <d v="2013-11-22T00:00:00"/>
    <d v="2013-12-19T00:00:00"/>
    <x v="0"/>
    <n v="2"/>
    <n v="2"/>
    <s v="-"/>
    <n v="2"/>
    <s v="ITS319220"/>
    <d v="2008-03-14T00:00:00"/>
    <n v="1"/>
    <n v="1"/>
    <n v="2"/>
    <s v="-"/>
    <n v="1"/>
    <s v="Declined"/>
  </r>
  <r>
    <s v="Ofsted Webpage"/>
    <n v="53388"/>
    <n v="10004370"/>
    <s v="Youngsave Company Limited"/>
    <x v="1"/>
    <s v="Independent learning providers (including employer providers)"/>
    <s v="Sunderland"/>
    <s v="North East"/>
    <s v="North East, Yorkshire and the Humber"/>
    <d v="2017-06-29T00:00:00"/>
    <n v="1"/>
    <s v="ITS410686"/>
    <s v="Employer - Full"/>
    <d v="2013-06-18T00:00:00"/>
    <d v="2013-06-21T00:00:00"/>
    <d v="2013-07-24T00:00:00"/>
    <x v="0"/>
    <n v="2"/>
    <n v="2"/>
    <s v="-"/>
    <n v="2"/>
    <s v="ITS363213"/>
    <d v="2011-03-04T00:00:00"/>
    <n v="3"/>
    <n v="3"/>
    <n v="3"/>
    <s v="-"/>
    <n v="3"/>
    <s v="Improved"/>
  </r>
  <r>
    <s v="Ofsted Webpage"/>
    <n v="53392"/>
    <n v="10004374"/>
    <s v="Milton Keynes Christian Foundation Limited"/>
    <x v="3"/>
    <s v="Community learning and skills providers"/>
    <s v="Milton Keynes"/>
    <s v="South East"/>
    <s v="South East"/>
    <s v="NULL"/>
    <s v="NULL"/>
    <s v="ITS429273"/>
    <s v="Employer - Requires improvement"/>
    <d v="2014-06-09T00:00:00"/>
    <d v="2014-06-12T00:00:00"/>
    <d v="2014-07-17T00:00:00"/>
    <x v="0"/>
    <n v="2"/>
    <n v="2"/>
    <s v="-"/>
    <n v="2"/>
    <s v="ITS404573"/>
    <d v="2012-12-13T00:00:00"/>
    <n v="3"/>
    <n v="3"/>
    <n v="3"/>
    <s v="-"/>
    <n v="3"/>
    <s v="Improved"/>
  </r>
  <r>
    <s v="Ofsted Webpage"/>
    <n v="53403"/>
    <n v="10024055"/>
    <s v="Mitre Group Ltd"/>
    <x v="2"/>
    <s v="Community learning and skills providers"/>
    <s v="Derbyshire"/>
    <s v="East Midlands"/>
    <s v="East Midlands"/>
    <s v="NULL"/>
    <s v="NULL"/>
    <s v="ITS317509"/>
    <s v="Adult and Community - full (regional) (ALI) Historic"/>
    <d v="2007-02-16T00:00:00"/>
    <d v="2007-02-16T00:00:00"/>
    <d v="2007-05-31T00:00:00"/>
    <x v="0"/>
    <s v="-"/>
    <s v="-"/>
    <s v="-"/>
    <n v="2"/>
    <s v="NULL"/>
    <s v="NULL"/>
    <s v="NULL"/>
    <s v="NULL"/>
    <s v="NULL"/>
    <s v="NULL"/>
    <s v="NULL"/>
    <s v="Not Applicable"/>
  </r>
  <r>
    <s v="Ofsted Webpage"/>
    <n v="53404"/>
    <n v="10004399"/>
    <s v="Doosan Babcock Limited"/>
    <x v="4"/>
    <s v="Independent learning providers (including employer providers)"/>
    <s v="Sandwell"/>
    <s v="West Midlands"/>
    <s v="West Midlands"/>
    <d v="2016-01-14T00:00:00"/>
    <n v="1"/>
    <s v="ITS388103"/>
    <s v="Work based Learning - full inspection Historic"/>
    <d v="2012-08-21T00:00:00"/>
    <d v="2012-08-24T00:00:00"/>
    <d v="2012-10-01T00:00:00"/>
    <x v="0"/>
    <n v="2"/>
    <n v="2"/>
    <s v="-"/>
    <n v="2"/>
    <s v="ITS316791"/>
    <d v="2007-09-21T00:00:00"/>
    <n v="2"/>
    <n v="2"/>
    <n v="2"/>
    <s v="-"/>
    <n v="2"/>
    <s v="Stayed the Same"/>
  </r>
  <r>
    <s v="Ofsted Webpage"/>
    <n v="53407"/>
    <n v="10004404"/>
    <s v="Mobile Care Qualifications Limited"/>
    <x v="1"/>
    <s v="Independent learning providers (including employer providers)"/>
    <s v="Newcastle upon Tyne"/>
    <s v="North East"/>
    <s v="North East, Yorkshire and the Humber"/>
    <s v="NULL"/>
    <s v="NULL"/>
    <n v="10004970"/>
    <s v="Independent Learning Provider (Regional) - Full"/>
    <d v="2016-03-15T00:00:00"/>
    <d v="2016-03-18T00:00:00"/>
    <d v="2016-04-22T00:00:00"/>
    <x v="0"/>
    <n v="2"/>
    <n v="2"/>
    <n v="2"/>
    <n v="2"/>
    <s v="ITS408502"/>
    <d v="2013-01-18T00:00:00"/>
    <n v="2"/>
    <n v="2"/>
    <n v="2"/>
    <s v="-"/>
    <n v="2"/>
    <s v="Stayed the Same"/>
  </r>
  <r>
    <s v="Ofsted Webpage"/>
    <n v="53411"/>
    <n v="10004406"/>
    <s v="Mode Training Ltd"/>
    <x v="1"/>
    <s v="Independent learning providers (including employer providers)"/>
    <s v="Liverpool"/>
    <s v="North West"/>
    <s v="North West"/>
    <s v="NULL"/>
    <s v="NULL"/>
    <s v="ITS342651"/>
    <s v="Work based Learning - full inspection Historic"/>
    <d v="2009-10-06T00:00:00"/>
    <d v="2009-10-09T00:00:00"/>
    <d v="2009-11-19T00:00:00"/>
    <x v="0"/>
    <n v="2"/>
    <n v="2"/>
    <s v="-"/>
    <n v="2"/>
    <s v="NULL"/>
    <s v="NULL"/>
    <s v="NULL"/>
    <s v="NULL"/>
    <s v="NULL"/>
    <s v="NULL"/>
    <s v="NULL"/>
    <s v="Not Applicable"/>
  </r>
  <r>
    <s v="Ofsted Webpage"/>
    <n v="53422"/>
    <n v="10004434"/>
    <s v="Morthyng Group Limited"/>
    <x v="3"/>
    <s v="Community learning and skills providers"/>
    <s v="Rotherham"/>
    <s v="Yorkshire and The Humber"/>
    <s v="North East, Yorkshire and the Humber"/>
    <s v="NULL"/>
    <s v="NULL"/>
    <n v="10022480"/>
    <s v="Community Learning and Skills - Not for profit organisation - Full"/>
    <d v="2017-09-12T00:00:00"/>
    <d v="2017-09-15T00:00:00"/>
    <d v="2017-10-11T00:00:00"/>
    <x v="0"/>
    <n v="2"/>
    <n v="2"/>
    <n v="2"/>
    <n v="2"/>
    <s v="ITS452205"/>
    <d v="2014-10-17T00:00:00"/>
    <n v="2"/>
    <n v="2"/>
    <n v="2"/>
    <s v="-"/>
    <n v="2"/>
    <s v="Stayed the Same"/>
  </r>
  <r>
    <s v="Ofsted Webpage"/>
    <n v="53429"/>
    <n v="10004440"/>
    <s v="M I T Skills Limited"/>
    <x v="1"/>
    <s v="Independent learning providers (including employer providers)"/>
    <s v="Surrey"/>
    <s v="South East"/>
    <s v="South East"/>
    <s v="NULL"/>
    <s v="NULL"/>
    <n v="10022522"/>
    <s v="Independent Learning Provider (National) - Full"/>
    <d v="2017-03-14T00:00:00"/>
    <d v="2017-03-17T00:00:00"/>
    <d v="2017-04-12T00:00:00"/>
    <x v="0"/>
    <n v="2"/>
    <n v="2"/>
    <n v="2"/>
    <n v="2"/>
    <s v="ITS429232"/>
    <d v="2014-02-14T00:00:00"/>
    <n v="2"/>
    <n v="2"/>
    <n v="2"/>
    <s v="-"/>
    <n v="2"/>
    <s v="Stayed the Same"/>
  </r>
  <r>
    <s v="Ofsted Webpage"/>
    <n v="53432"/>
    <n v="10004450"/>
    <s v="Mountview Academy of Theatre Arts Limited"/>
    <x v="0"/>
    <s v="Dance and drama colleges"/>
    <s v="Haringey"/>
    <s v="London"/>
    <s v="London"/>
    <s v="NULL"/>
    <s v="NULL"/>
    <n v="10004971"/>
    <s v="Dance and drama - Full"/>
    <d v="2015-10-07T00:00:00"/>
    <d v="2015-10-08T00:00:00"/>
    <d v="2015-11-11T00:00:00"/>
    <x v="1"/>
    <n v="1"/>
    <n v="1"/>
    <n v="1"/>
    <n v="2"/>
    <s v="ITS367206"/>
    <d v="2011-06-09T00:00:00"/>
    <s v="-"/>
    <s v="-"/>
    <s v="-"/>
    <s v="-"/>
    <s v="-"/>
    <s v="Not Applicable"/>
  </r>
  <r>
    <s v="Ofsted Webpage"/>
    <n v="53446"/>
    <n v="10004484"/>
    <s v="N &amp; B Training Company Limited"/>
    <x v="1"/>
    <s v="Independent learning providers (including employer providers)"/>
    <s v="Surrey"/>
    <s v="South East"/>
    <s v="South East"/>
    <s v="NULL"/>
    <s v="NULL"/>
    <n v="10004972"/>
    <s v="Independent Learning Provider (Regional) - Full"/>
    <d v="2015-12-15T00:00:00"/>
    <d v="2015-12-18T00:00:00"/>
    <d v="2016-01-15T00:00:00"/>
    <x v="0"/>
    <n v="2"/>
    <n v="2"/>
    <n v="2"/>
    <n v="2"/>
    <s v="ITS307164"/>
    <d v="2006-11-16T00:00:00"/>
    <n v="3"/>
    <s v="-"/>
    <s v="-"/>
    <s v="-"/>
    <n v="3"/>
    <s v="Improved"/>
  </r>
  <r>
    <s v="Ofsted Webpage"/>
    <n v="53451"/>
    <n v="10004499"/>
    <s v="National Business College Limited"/>
    <x v="1"/>
    <s v="Independent learning providers (including employer providers)"/>
    <s v="Kirklees"/>
    <s v="Yorkshire and The Humber"/>
    <s v="North East, Yorkshire and the Humber"/>
    <d v="2016-03-17T00:00:00"/>
    <n v="1"/>
    <s v="ITS343430"/>
    <s v="Work based Learning - full inspection Historic"/>
    <d v="2009-09-15T00:00:00"/>
    <d v="2009-09-18T00:00:00"/>
    <d v="2009-11-20T00:00:00"/>
    <x v="0"/>
    <n v="2"/>
    <n v="2"/>
    <s v="-"/>
    <n v="2"/>
    <s v="NULL"/>
    <s v="NULL"/>
    <s v="NULL"/>
    <s v="NULL"/>
    <s v="NULL"/>
    <s v="NULL"/>
    <s v="NULL"/>
    <s v="Not Applicable"/>
  </r>
  <r>
    <s v="Ofsted Webpage"/>
    <n v="53457"/>
    <n v="10004512"/>
    <s v="National Grid PLC"/>
    <x v="4"/>
    <s v="Independent learning providers (including employer providers)"/>
    <s v="Nottinghamshire"/>
    <s v="East Midlands"/>
    <s v="East Midlands"/>
    <s v="NULL"/>
    <s v="NULL"/>
    <n v="10020177"/>
    <s v="Independent Learning Provider (National) - Full"/>
    <d v="2016-11-15T00:00:00"/>
    <d v="2016-11-18T00:00:00"/>
    <d v="2016-12-28T00:00:00"/>
    <x v="1"/>
    <n v="1"/>
    <n v="1"/>
    <n v="1"/>
    <n v="1"/>
    <s v="ITS345454"/>
    <d v="2010-01-22T00:00:00"/>
    <n v="1"/>
    <n v="1"/>
    <n v="1"/>
    <s v="-"/>
    <n v="1"/>
    <s v="Stayed the Same"/>
  </r>
  <r>
    <s v="Ofsted Webpage"/>
    <n v="53465"/>
    <n v="10004530"/>
    <s v="National Tyre Service Limited"/>
    <x v="4"/>
    <s v="Independent learning providers (including employer providers)"/>
    <s v="Stockport"/>
    <s v="North West"/>
    <s v="North West"/>
    <d v="2016-03-08T00:00:00"/>
    <n v="1"/>
    <s v="ITS345356"/>
    <s v="Work based Learning - full inspection Historic"/>
    <d v="2010-01-12T00:00:00"/>
    <d v="2010-01-15T00:00:00"/>
    <d v="2010-02-25T00:00:00"/>
    <x v="0"/>
    <n v="2"/>
    <n v="3"/>
    <s v="-"/>
    <n v="2"/>
    <s v="NULL"/>
    <s v="NULL"/>
    <s v="NULL"/>
    <s v="NULL"/>
    <s v="NULL"/>
    <s v="NULL"/>
    <s v="NULL"/>
    <s v="Not Applicable"/>
  </r>
  <r>
    <s v="Ofsted Webpage"/>
    <n v="53504"/>
    <n v="10004601"/>
    <s v="Newcastle upon Tyne City Council"/>
    <x v="2"/>
    <s v="Community learning and skills providers"/>
    <s v="Newcastle upon Tyne"/>
    <s v="North East"/>
    <s v="North East, Yorkshire and the Humber"/>
    <s v="NULL"/>
    <s v="NULL"/>
    <s v="ITS434070"/>
    <s v="ACL - Full"/>
    <d v="2014-05-19T00:00:00"/>
    <d v="2014-05-23T00:00:00"/>
    <d v="2014-06-25T00:00:00"/>
    <x v="0"/>
    <n v="2"/>
    <n v="2"/>
    <s v="-"/>
    <n v="2"/>
    <s v="ITS333338"/>
    <d v="2009-05-15T00:00:00"/>
    <n v="2"/>
    <n v="2"/>
    <n v="2"/>
    <s v="-"/>
    <n v="2"/>
    <s v="Stayed the Same"/>
  </r>
  <r>
    <s v="Ofsted Webpage"/>
    <n v="53508"/>
    <n v="10004609"/>
    <s v="Newham Training and Education Centre"/>
    <x v="3"/>
    <s v="Community learning and skills providers"/>
    <s v="Newham"/>
    <s v="London"/>
    <s v="London"/>
    <d v="2016-11-03T00:00:00"/>
    <n v="1"/>
    <s v="ITS404219"/>
    <s v="Adult and Community - full (regional) Historic"/>
    <d v="2013-02-13T00:00:00"/>
    <d v="2013-02-15T00:00:00"/>
    <d v="2013-03-22T00:00:00"/>
    <x v="0"/>
    <n v="2"/>
    <n v="2"/>
    <s v="-"/>
    <n v="1"/>
    <s v="ITS333965"/>
    <d v="2009-11-20T00:00:00"/>
    <n v="3"/>
    <n v="3"/>
    <n v="2"/>
    <s v="-"/>
    <n v="2"/>
    <s v="Improved"/>
  </r>
  <r>
    <s v="Ofsted Webpage"/>
    <n v="53533"/>
    <n v="10026702"/>
    <s v="Nissan Motor Manufacturing (UK) Limited"/>
    <x v="4"/>
    <s v="Independent learning providers (including employer providers)"/>
    <s v="Sunderland"/>
    <s v="North East"/>
    <s v="North East, Yorkshire and the Humber"/>
    <s v="NULL"/>
    <s v="NULL"/>
    <s v="NULL"/>
    <s v="NULL"/>
    <s v="NULL"/>
    <s v="NULL"/>
    <s v="NULL"/>
    <x v="5"/>
    <s v="NULL"/>
    <s v="NULL"/>
    <s v="NULL"/>
    <s v="NULL"/>
    <s v="NULL"/>
    <s v="NULL"/>
    <s v="NULL"/>
    <s v="NULL"/>
    <s v="NULL"/>
    <s v="NULL"/>
    <s v="NULL"/>
    <s v="NULL"/>
  </r>
  <r>
    <s v="Ofsted Webpage"/>
    <n v="53534"/>
    <n v="10004643"/>
    <s v="NITAL"/>
    <x v="1"/>
    <s v="Independent learning providers (including employer providers)"/>
    <s v="Northamptonshire"/>
    <s v="East Midlands"/>
    <s v="East Midlands"/>
    <d v="2016-12-08T00:00:00"/>
    <n v="1"/>
    <s v="ITS399109"/>
    <s v="WBL (national) - Full"/>
    <d v="2012-12-11T00:00:00"/>
    <d v="2012-12-14T00:00:00"/>
    <d v="2013-01-23T00:00:00"/>
    <x v="0"/>
    <n v="2"/>
    <n v="2"/>
    <s v="-"/>
    <n v="2"/>
    <s v="ITS346797"/>
    <d v="2010-08-27T00:00:00"/>
    <n v="2"/>
    <n v="2"/>
    <n v="2"/>
    <s v="-"/>
    <n v="2"/>
    <s v="Stayed the Same"/>
  </r>
  <r>
    <s v="Ofsted Webpage"/>
    <n v="53535"/>
    <n v="10004645"/>
    <s v="NLT Training Services Ltd"/>
    <x v="3"/>
    <s v="Community learning and skills providers"/>
    <s v="Derbyshire"/>
    <s v="East Midlands"/>
    <s v="East Midlands"/>
    <s v="NULL"/>
    <s v="NULL"/>
    <n v="10037356"/>
    <s v="Community Learning and Skills - Not for profit organisation - Full"/>
    <d v="2017-10-31T00:00:00"/>
    <d v="2017-11-03T00:00:00"/>
    <d v="2017-12-12T00:00:00"/>
    <x v="4"/>
    <n v="4"/>
    <n v="4"/>
    <n v="4"/>
    <n v="4"/>
    <s v="ITS429263"/>
    <d v="2014-05-16T00:00:00"/>
    <n v="2"/>
    <n v="2"/>
    <n v="2"/>
    <s v="-"/>
    <n v="2"/>
    <s v="Declined"/>
  </r>
  <r>
    <s v="Ofsted Webpage"/>
    <n v="53545"/>
    <n v="10004657"/>
    <s v="NCC Adult Education Services"/>
    <x v="2"/>
    <s v="Community learning and skills providers"/>
    <s v="Norfolk"/>
    <s v="East of England"/>
    <s v="East of England"/>
    <s v="NULL"/>
    <s v="NULL"/>
    <n v="10011497"/>
    <s v="Community Learning and Skills - Local authority - Reinspection"/>
    <d v="2016-04-18T00:00:00"/>
    <d v="2016-04-21T00:00:00"/>
    <d v="2016-05-23T00:00:00"/>
    <x v="0"/>
    <n v="2"/>
    <n v="2"/>
    <n v="2"/>
    <n v="2"/>
    <s v="ITS452610"/>
    <d v="2015-01-23T00:00:00"/>
    <n v="4"/>
    <n v="3"/>
    <n v="3"/>
    <s v="-"/>
    <n v="4"/>
    <s v="Improved"/>
  </r>
  <r>
    <s v="Ofsted Webpage"/>
    <n v="53565"/>
    <n v="10003256"/>
    <s v="Westward Pathfinder"/>
    <x v="3"/>
    <s v="Community learning and skills providers"/>
    <s v="Devon"/>
    <s v="South West"/>
    <s v="South West"/>
    <s v="NULL"/>
    <s v="NULL"/>
    <s v="ITS452785"/>
    <s v="Employer - Requires improvement"/>
    <d v="2015-06-02T00:00:00"/>
    <d v="2015-06-05T00:00:00"/>
    <d v="2015-07-10T00:00:00"/>
    <x v="0"/>
    <n v="2"/>
    <n v="2"/>
    <s v="-"/>
    <n v="2"/>
    <s v="ITS429122"/>
    <d v="2014-02-21T00:00:00"/>
    <n v="3"/>
    <n v="3"/>
    <n v="3"/>
    <s v="-"/>
    <n v="3"/>
    <s v="Improved"/>
  </r>
  <r>
    <s v="Ofsted Webpage"/>
    <n v="53574"/>
    <n v="10004547"/>
    <s v="North East Employment &amp; Training Agency Ltd"/>
    <x v="1"/>
    <s v="Independent learning providers (including employer providers)"/>
    <s v="North Tyneside"/>
    <s v="North East"/>
    <s v="North East, Yorkshire and the Humber"/>
    <d v="2017-09-13T00:00:00"/>
    <n v="1"/>
    <s v="ITS429225"/>
    <s v="Employer - Requires improvement"/>
    <d v="2014-06-24T00:00:00"/>
    <d v="2014-06-27T00:00:00"/>
    <d v="2014-07-30T00:00:00"/>
    <x v="0"/>
    <n v="2"/>
    <n v="2"/>
    <s v="-"/>
    <n v="2"/>
    <s v="ITS406813"/>
    <d v="2012-11-02T00:00:00"/>
    <n v="3"/>
    <n v="3"/>
    <n v="3"/>
    <s v="-"/>
    <n v="3"/>
    <s v="Improved"/>
  </r>
  <r>
    <s v="Ofsted Webpage"/>
    <n v="53575"/>
    <n v="10004684"/>
    <s v="North East Lincolnshire Council"/>
    <x v="2"/>
    <s v="Community learning and skills providers"/>
    <s v="North East Lincolnshire"/>
    <s v="Yorkshire and The Humber"/>
    <s v="North East, Yorkshire and the Humber"/>
    <s v="NULL"/>
    <s v="NULL"/>
    <n v="10019054"/>
    <s v="Community Learning and Skills - Local authority - Requires Improvement - second inspection"/>
    <d v="2016-12-06T00:00:00"/>
    <d v="2016-12-09T00:00:00"/>
    <d v="2017-01-20T00:00:00"/>
    <x v="2"/>
    <n v="3"/>
    <n v="3"/>
    <n v="3"/>
    <n v="3"/>
    <s v="ITS446860"/>
    <d v="2015-05-01T00:00:00"/>
    <n v="3"/>
    <n v="3"/>
    <n v="3"/>
    <s v="-"/>
    <n v="3"/>
    <s v="Stayed the Same"/>
  </r>
  <r>
    <s v="Ofsted Webpage"/>
    <n v="53588"/>
    <n v="10004692"/>
    <s v="North Lancs. Training Group Limited(The)"/>
    <x v="1"/>
    <s v="Independent learning providers (including employer providers)"/>
    <s v="Lancashire"/>
    <s v="North West"/>
    <s v="North West"/>
    <s v="NULL"/>
    <s v="NULL"/>
    <n v="10004979"/>
    <s v="Independent Learning Provider (National) - Full"/>
    <d v="2015-11-10T00:00:00"/>
    <d v="2015-11-13T00:00:00"/>
    <d v="2015-12-11T00:00:00"/>
    <x v="0"/>
    <n v="2"/>
    <n v="2"/>
    <n v="2"/>
    <n v="2"/>
    <s v="ITS388121"/>
    <d v="2012-07-27T00:00:00"/>
    <n v="2"/>
    <n v="2"/>
    <n v="2"/>
    <s v="-"/>
    <n v="2"/>
    <s v="Stayed the Same"/>
  </r>
  <r>
    <s v="Ofsted Webpage"/>
    <n v="53589"/>
    <n v="10004694"/>
    <s v="North Lincolnshire Council"/>
    <x v="2"/>
    <s v="Community learning and skills providers"/>
    <s v="North Lincolnshire"/>
    <s v="Yorkshire and The Humber"/>
    <s v="North East, Yorkshire and the Humber"/>
    <s v="NULL"/>
    <s v="NULL"/>
    <n v="10011498"/>
    <s v="Community Learning and Skills - Local authority - Full"/>
    <d v="2016-06-14T00:00:00"/>
    <d v="2016-06-17T00:00:00"/>
    <d v="2016-07-22T00:00:00"/>
    <x v="0"/>
    <n v="2"/>
    <n v="2"/>
    <n v="2"/>
    <n v="2"/>
    <s v="ITS408464"/>
    <d v="2013-03-22T00:00:00"/>
    <n v="2"/>
    <n v="2"/>
    <n v="2"/>
    <s v="-"/>
    <n v="2"/>
    <s v="Stayed the Same"/>
  </r>
  <r>
    <s v="Ofsted Webpage"/>
    <n v="53603"/>
    <n v="10004714"/>
    <s v="North Tyneside Metropolitan Borough Council"/>
    <x v="2"/>
    <s v="Community learning and skills providers"/>
    <s v="North Tyneside"/>
    <s v="North East"/>
    <s v="North East, Yorkshire and the Humber"/>
    <s v="NULL"/>
    <s v="NULL"/>
    <s v="ITS408506"/>
    <s v="WBL (national) - Full"/>
    <d v="2013-05-13T00:00:00"/>
    <d v="2013-05-17T00:00:00"/>
    <d v="2013-06-20T00:00:00"/>
    <x v="0"/>
    <n v="2"/>
    <n v="2"/>
    <s v="-"/>
    <n v="2"/>
    <s v="ITS319224"/>
    <d v="2008-02-29T00:00:00"/>
    <n v="2"/>
    <n v="2"/>
    <n v="2"/>
    <s v="-"/>
    <n v="2"/>
    <s v="Stayed the Same"/>
  </r>
  <r>
    <s v="Ofsted Webpage"/>
    <n v="53611"/>
    <n v="10004720"/>
    <s v="North West Community Services Training Ltd"/>
    <x v="1"/>
    <s v="Independent learning providers (including employer providers)"/>
    <s v="Liverpool"/>
    <s v="North West"/>
    <s v="North West"/>
    <d v="2016-07-21T00:00:00"/>
    <n v="1"/>
    <s v="ITS410687"/>
    <s v="Employer - Full"/>
    <d v="2013-06-03T00:00:00"/>
    <d v="2013-06-07T00:00:00"/>
    <d v="2013-07-08T00:00:00"/>
    <x v="0"/>
    <n v="2"/>
    <n v="2"/>
    <s v="-"/>
    <n v="2"/>
    <s v="ITS343878"/>
    <d v="2010-02-12T00:00:00"/>
    <n v="3"/>
    <n v="3"/>
    <n v="3"/>
    <s v="-"/>
    <n v="3"/>
    <s v="Improved"/>
  </r>
  <r>
    <s v="Ofsted Webpage"/>
    <n v="53615"/>
    <n v="10004723"/>
    <s v="North West Training Council"/>
    <x v="3"/>
    <s v="Community learning and skills providers"/>
    <s v="Sefton"/>
    <s v="North West"/>
    <s v="North West"/>
    <d v="2017-11-02T00:00:00"/>
    <n v="1"/>
    <s v="ITS440402"/>
    <s v="Employer - Requires improvement"/>
    <d v="2015-04-20T00:00:00"/>
    <d v="2015-04-24T00:00:00"/>
    <d v="2015-06-02T00:00:00"/>
    <x v="0"/>
    <n v="2"/>
    <n v="2"/>
    <s v="-"/>
    <n v="2"/>
    <s v="ITS410920"/>
    <d v="2013-11-15T00:00:00"/>
    <n v="3"/>
    <n v="3"/>
    <n v="3"/>
    <s v="-"/>
    <n v="3"/>
    <s v="Improved"/>
  </r>
  <r>
    <s v="Ofsted Webpage"/>
    <n v="53634"/>
    <n v="10004738"/>
    <s v="Northern Ballet School"/>
    <x v="0"/>
    <s v="Dance and drama colleges"/>
    <s v="Manchester"/>
    <s v="North West"/>
    <s v="North West"/>
    <s v="NULL"/>
    <s v="NULL"/>
    <n v="10004981"/>
    <s v="Dance and drama - Full"/>
    <d v="2015-10-07T00:00:00"/>
    <d v="2015-10-08T00:00:00"/>
    <d v="2015-10-30T00:00:00"/>
    <x v="1"/>
    <n v="1"/>
    <n v="1"/>
    <n v="1"/>
    <n v="1"/>
    <s v="ITS364629"/>
    <d v="2011-04-06T00:00:00"/>
    <s v="-"/>
    <s v="-"/>
    <s v="-"/>
    <s v="-"/>
    <s v="-"/>
    <s v="Not Applicable"/>
  </r>
  <r>
    <s v="Ofsted Webpage"/>
    <n v="53644"/>
    <n v="10004762"/>
    <s v="The Northumberland Council"/>
    <x v="2"/>
    <s v="Community learning and skills providers"/>
    <s v="Northumberland"/>
    <s v="North East"/>
    <s v="North East, Yorkshire and the Humber"/>
    <s v="NULL"/>
    <s v="NULL"/>
    <s v="ITS429150"/>
    <s v="Adult and Community - full (regional) Historic"/>
    <d v="2014-06-16T00:00:00"/>
    <d v="2014-06-20T00:00:00"/>
    <d v="2014-07-23T00:00:00"/>
    <x v="0"/>
    <n v="2"/>
    <n v="2"/>
    <s v="-"/>
    <n v="1"/>
    <s v="ITS385050"/>
    <d v="2012-03-16T00:00:00"/>
    <n v="3"/>
    <n v="3"/>
    <n v="3"/>
    <s v="-"/>
    <n v="3"/>
    <s v="Improved"/>
  </r>
  <r>
    <s v="Ofsted Webpage"/>
    <n v="53664"/>
    <n v="10004791"/>
    <s v="Nottingham City Council"/>
    <x v="2"/>
    <s v="Community learning and skills providers"/>
    <s v="Nottingham"/>
    <s v="East Midlands"/>
    <s v="East Midlands"/>
    <s v="NULL"/>
    <s v="NULL"/>
    <s v="ITS423419"/>
    <s v="Adult and Community - full (regional) Historic"/>
    <d v="2015-02-04T00:00:00"/>
    <d v="2015-02-06T00:00:00"/>
    <d v="2015-03-13T00:00:00"/>
    <x v="0"/>
    <n v="2"/>
    <n v="2"/>
    <s v="-"/>
    <n v="2"/>
    <s v="ITS329892"/>
    <d v="2008-11-28T00:00:00"/>
    <n v="2"/>
    <n v="2"/>
    <n v="2"/>
    <s v="-"/>
    <n v="2"/>
    <s v="Stayed the Same"/>
  </r>
  <r>
    <s v="Ofsted Webpage"/>
    <n v="53671"/>
    <n v="10004632"/>
    <s v="NHTA Limited"/>
    <x v="1"/>
    <s v="Independent learning providers (including employer providers)"/>
    <s v="Nottingham"/>
    <s v="East Midlands"/>
    <s v="East Midlands"/>
    <s v="NULL"/>
    <s v="NULL"/>
    <s v="ITS446030"/>
    <s v="Employer - Requires improvement"/>
    <d v="2015-05-18T00:00:00"/>
    <d v="2015-05-21T00:00:00"/>
    <d v="2015-06-19T00:00:00"/>
    <x v="1"/>
    <n v="1"/>
    <n v="1"/>
    <s v="-"/>
    <n v="1"/>
    <s v="ITS429116"/>
    <d v="2014-02-14T00:00:00"/>
    <n v="3"/>
    <n v="3"/>
    <n v="2"/>
    <s v="-"/>
    <n v="3"/>
    <s v="Improved"/>
  </r>
  <r>
    <s v="Ofsted Webpage"/>
    <n v="53674"/>
    <n v="10004801"/>
    <s v="Nottinghamshire County Council"/>
    <x v="2"/>
    <s v="Community learning and skills providers"/>
    <s v="Nottinghamshire"/>
    <s v="East Midlands"/>
    <s v="East Midlands"/>
    <s v="NULL"/>
    <s v="NULL"/>
    <n v="10037346"/>
    <s v="Community Learning and Skills - Local authority - Full"/>
    <d v="2017-10-16T00:00:00"/>
    <d v="2017-10-19T00:00:00"/>
    <d v="2017-11-24T00:00:00"/>
    <x v="0"/>
    <n v="2"/>
    <n v="2"/>
    <n v="2"/>
    <n v="2"/>
    <s v="ITS455583"/>
    <d v="2015-05-15T00:00:00"/>
    <n v="2"/>
    <n v="2"/>
    <n v="2"/>
    <s v="-"/>
    <n v="2"/>
    <s v="Stayed the Same"/>
  </r>
  <r>
    <s v="Ofsted Webpage"/>
    <n v="53682"/>
    <n v="10027272"/>
    <s v="Nova Training"/>
    <x v="1"/>
    <s v="Independent learning providers (including employer providers)"/>
    <s v="Walsall"/>
    <s v="West Midlands"/>
    <s v="West Midlands"/>
    <s v="NULL"/>
    <s v="NULL"/>
    <n v="10004982"/>
    <s v="Independent Learning Provider (National) - Full"/>
    <d v="2016-07-11T00:00:00"/>
    <d v="2016-07-14T00:00:00"/>
    <d v="2016-08-15T00:00:00"/>
    <x v="1"/>
    <n v="1"/>
    <n v="1"/>
    <n v="1"/>
    <n v="1"/>
    <s v="ITS423811"/>
    <d v="2013-12-06T00:00:00"/>
    <n v="2"/>
    <n v="2"/>
    <n v="2"/>
    <s v="-"/>
    <n v="2"/>
    <s v="Improved"/>
  </r>
  <r>
    <s v="Ofsted Webpage"/>
    <n v="53693"/>
    <n v="10004819"/>
    <s v="Midlands Training and Development Limited"/>
    <x v="1"/>
    <s v="Independent learning providers (including employer providers)"/>
    <s v="Warwickshire"/>
    <s v="West Midlands"/>
    <s v="West Midlands"/>
    <s v="NULL"/>
    <s v="NULL"/>
    <n v="10011499"/>
    <s v="Independent Learning Provider (Regional) - Requires Improvement"/>
    <d v="2016-05-16T00:00:00"/>
    <d v="2016-05-19T00:00:00"/>
    <d v="2016-06-29T00:00:00"/>
    <x v="0"/>
    <n v="2"/>
    <n v="2"/>
    <n v="2"/>
    <n v="2"/>
    <s v="ITS452612"/>
    <d v="2015-02-12T00:00:00"/>
    <n v="3"/>
    <n v="3"/>
    <n v="3"/>
    <s v="-"/>
    <n v="3"/>
    <s v="Improved"/>
  </r>
  <r>
    <s v="Ofsted Webpage"/>
    <n v="53697"/>
    <n v="10012477"/>
    <s v="lookfantastic Training Limited"/>
    <x v="1"/>
    <s v="Independent learning providers (including employer providers)"/>
    <s v="Brighton and Hove"/>
    <s v="South East"/>
    <s v="South East"/>
    <s v="NULL"/>
    <s v="NULL"/>
    <n v="10004984"/>
    <s v="Independent Learning Provider (National) - Requires improvement"/>
    <d v="2016-11-15T00:00:00"/>
    <d v="2016-11-18T00:00:00"/>
    <d v="2016-12-22T00:00:00"/>
    <x v="0"/>
    <n v="2"/>
    <n v="2"/>
    <n v="2"/>
    <n v="2"/>
    <s v="ITS452613"/>
    <d v="2015-02-06T00:00:00"/>
    <n v="3"/>
    <n v="3"/>
    <n v="2"/>
    <s v="-"/>
    <n v="3"/>
    <s v="Improved"/>
  </r>
  <r>
    <s v="Ofsted Webpage"/>
    <n v="53721"/>
    <n v="10004856"/>
    <s v="Oldham Engineering Group Training Association Limited (The)"/>
    <x v="1"/>
    <s v="Independent learning providers (including employer providers)"/>
    <s v="Oldham"/>
    <s v="North West"/>
    <s v="North West"/>
    <d v="2016-01-14T00:00:00"/>
    <n v="1"/>
    <s v="ITS376225"/>
    <s v="WBL (national) - Full"/>
    <d v="2011-10-03T00:00:00"/>
    <d v="2011-10-06T00:00:00"/>
    <d v="2011-11-10T00:00:00"/>
    <x v="0"/>
    <n v="2"/>
    <n v="2"/>
    <s v="-"/>
    <n v="3"/>
    <s v="ITS307086"/>
    <d v="2006-07-21T00:00:00"/>
    <n v="2"/>
    <s v="-"/>
    <s v="-"/>
    <s v="-"/>
    <n v="2"/>
    <s v="Stayed the Same"/>
  </r>
  <r>
    <s v="Ofsted Webpage"/>
    <n v="53722"/>
    <n v="10004858"/>
    <s v="Oldham Metropolitan Borough Council"/>
    <x v="2"/>
    <s v="Community learning and skills providers"/>
    <s v="Oldham"/>
    <s v="North West"/>
    <s v="North West"/>
    <s v="NULL"/>
    <s v="NULL"/>
    <n v="10005432"/>
    <s v="Community Learning and Skills - Local authority - Full"/>
    <d v="2015-11-17T00:00:00"/>
    <d v="2015-11-20T00:00:00"/>
    <d v="2015-12-07T00:00:00"/>
    <x v="1"/>
    <n v="1"/>
    <n v="1"/>
    <n v="1"/>
    <n v="1"/>
    <s v="ITS333336"/>
    <d v="2009-06-05T00:00:00"/>
    <n v="1"/>
    <n v="1"/>
    <n v="1"/>
    <s v="-"/>
    <n v="1"/>
    <s v="Stayed the Same"/>
  </r>
  <r>
    <s v="Ofsted Webpage"/>
    <n v="53729"/>
    <n v="10004866"/>
    <s v="Omega Training Services Limited"/>
    <x v="1"/>
    <s v="Independent learning providers (including employer providers)"/>
    <s v="Birmingham"/>
    <s v="West Midlands"/>
    <s v="West Midlands"/>
    <s v="NULL"/>
    <s v="NULL"/>
    <n v="10030964"/>
    <s v="Independent Learning Provider (Regional) - Full"/>
    <d v="2017-08-02T00:00:00"/>
    <d v="2017-08-18T00:00:00"/>
    <d v="2017-09-25T00:00:00"/>
    <x v="2"/>
    <n v="3"/>
    <n v="3"/>
    <n v="3"/>
    <n v="3"/>
    <s v="ITS429133"/>
    <d v="2014-01-31T00:00:00"/>
    <n v="2"/>
    <n v="2"/>
    <n v="2"/>
    <s v="-"/>
    <n v="2"/>
    <s v="Declined"/>
  </r>
  <r>
    <s v="Ofsted Webpage"/>
    <n v="53746"/>
    <n v="10030688"/>
    <s v="Open Door Adult Learning Centre"/>
    <x v="3"/>
    <s v="Community learning and skills providers"/>
    <s v="Sheffield"/>
    <s v="Yorkshire and The Humber"/>
    <s v="North East, Yorkshire and the Humber"/>
    <s v="NULL"/>
    <s v="NULL"/>
    <n v="10022493"/>
    <s v="Community Learning and Skills - Not for profit organisation - Requires Improvement"/>
    <d v="2017-03-14T00:00:00"/>
    <d v="2017-03-17T00:00:00"/>
    <d v="2017-04-10T00:00:00"/>
    <x v="0"/>
    <n v="2"/>
    <n v="2"/>
    <n v="2"/>
    <n v="2"/>
    <s v="ITS452615"/>
    <d v="2015-03-27T00:00:00"/>
    <n v="3"/>
    <n v="3"/>
    <n v="2"/>
    <s v="-"/>
    <n v="3"/>
    <s v="Improved"/>
  </r>
  <r>
    <s v="Ofsted Webpage"/>
    <n v="53749"/>
    <n v="10004895"/>
    <s v="Oracle Training Consultants Limited"/>
    <x v="1"/>
    <s v="Independent learning providers (including employer providers)"/>
    <s v="Doncaster"/>
    <s v="Yorkshire and The Humber"/>
    <s v="North East, Yorkshire and the Humber"/>
    <s v="NULL"/>
    <s v="NULL"/>
    <s v="ITS429264"/>
    <s v="Employer - Requires improvement"/>
    <d v="2014-07-01T00:00:00"/>
    <d v="2014-07-04T00:00:00"/>
    <d v="2014-08-06T00:00:00"/>
    <x v="0"/>
    <n v="2"/>
    <n v="2"/>
    <s v="-"/>
    <n v="2"/>
    <s v="ITS408507"/>
    <d v="2013-02-22T00:00:00"/>
    <n v="3"/>
    <n v="3"/>
    <n v="3"/>
    <s v="-"/>
    <n v="3"/>
    <s v="Improved"/>
  </r>
  <r>
    <s v="Ofsted Webpage"/>
    <n v="53771"/>
    <n v="10004943"/>
    <s v="The Oxford School of Drama"/>
    <x v="0"/>
    <s v="Dance and drama colleges"/>
    <s v="Oxfordshire"/>
    <s v="South East"/>
    <s v="South East"/>
    <s v="NULL"/>
    <s v="NULL"/>
    <n v="10004985"/>
    <s v="Dance and drama - Full"/>
    <d v="2015-10-14T00:00:00"/>
    <d v="2015-10-15T00:00:00"/>
    <d v="2015-11-11T00:00:00"/>
    <x v="1"/>
    <n v="1"/>
    <n v="1"/>
    <n v="1"/>
    <n v="1"/>
    <s v="ITS367204"/>
    <d v="2011-02-17T00:00:00"/>
    <s v="-"/>
    <s v="-"/>
    <s v="-"/>
    <s v="-"/>
    <s v="-"/>
    <s v="Not Applicable"/>
  </r>
  <r>
    <s v="Ofsted Webpage"/>
    <n v="53774"/>
    <n v="10002331"/>
    <s v="EMBS Community College Limited"/>
    <x v="1"/>
    <s v="Independent learning providers (including employer providers)"/>
    <s v="Oxfordshire"/>
    <s v="South East"/>
    <s v="South East"/>
    <d v="2017-10-05T00:00:00"/>
    <n v="1"/>
    <s v="ITS429108"/>
    <s v="Employer - Full"/>
    <d v="2013-12-11T00:00:00"/>
    <d v="2013-12-13T00:00:00"/>
    <d v="2014-01-22T00:00:00"/>
    <x v="0"/>
    <n v="2"/>
    <n v="2"/>
    <s v="-"/>
    <n v="2"/>
    <s v="ITS333248"/>
    <d v="2009-04-03T00:00:00"/>
    <n v="1"/>
    <n v="1"/>
    <n v="2"/>
    <s v="-"/>
    <n v="1"/>
    <s v="Declined"/>
  </r>
  <r>
    <s v="Ofsted Webpage"/>
    <n v="53792"/>
    <n v="10004977"/>
    <s v="Paragon Education &amp; Skills Limited"/>
    <x v="1"/>
    <s v="Independent learning providers (including employer providers)"/>
    <s v="Bournemouth"/>
    <s v="South West"/>
    <s v="South West"/>
    <s v="NULL"/>
    <s v="NULL"/>
    <n v="10030677"/>
    <s v="Independent Learning Provider (National) - Requires improvement - second inspection"/>
    <d v="2017-05-16T00:00:00"/>
    <d v="2017-05-19T00:00:00"/>
    <d v="2017-06-09T00:00:00"/>
    <x v="0"/>
    <n v="2"/>
    <n v="2"/>
    <n v="2"/>
    <n v="2"/>
    <n v="10004986"/>
    <d v="2015-09-25T00:00:00"/>
    <n v="3"/>
    <n v="3"/>
    <n v="3"/>
    <n v="2"/>
    <n v="3"/>
    <s v="Improved"/>
  </r>
  <r>
    <s v="Ofsted Webpage"/>
    <n v="53861"/>
    <n v="10005064"/>
    <s v="PETA Limited"/>
    <x v="3"/>
    <s v="Community learning and skills providers"/>
    <s v="Portsmouth"/>
    <s v="South East"/>
    <s v="South East"/>
    <d v="2017-11-02T00:00:00"/>
    <n v="1"/>
    <s v="ITS429859"/>
    <s v="Employer - Full"/>
    <d v="2014-01-27T00:00:00"/>
    <d v="2014-01-31T00:00:00"/>
    <d v="2014-03-07T00:00:00"/>
    <x v="0"/>
    <n v="2"/>
    <n v="2"/>
    <s v="-"/>
    <n v="2"/>
    <s v="ITS345938"/>
    <d v="2010-04-23T00:00:00"/>
    <n v="2"/>
    <n v="2"/>
    <n v="2"/>
    <s v="-"/>
    <n v="2"/>
    <s v="Stayed the Same"/>
  </r>
  <r>
    <s v="Ofsted Webpage"/>
    <n v="53865"/>
    <n v="10005074"/>
    <s v="City College Peterborough"/>
    <x v="2"/>
    <s v="Community learning and skills providers"/>
    <s v="Peterborough"/>
    <s v="East of England"/>
    <s v="East of England"/>
    <d v="2016-11-17T00:00:00"/>
    <n v="1"/>
    <s v="ITS375494"/>
    <s v="Adult and Community - full (regional) Historic"/>
    <d v="2011-10-10T00:00:00"/>
    <d v="2011-10-14T00:00:00"/>
    <d v="2011-11-18T00:00:00"/>
    <x v="0"/>
    <n v="2"/>
    <n v="2"/>
    <s v="-"/>
    <n v="2"/>
    <s v="ITS319339"/>
    <d v="2008-02-08T00:00:00"/>
    <n v="3"/>
    <n v="3"/>
    <n v="3"/>
    <s v="-"/>
    <n v="3"/>
    <s v="Improved"/>
  </r>
  <r>
    <s v="Ofsted Webpage"/>
    <n v="53875"/>
    <n v="10008426"/>
    <s v="PGL Training (Plumbing) Limited"/>
    <x v="1"/>
    <s v="Independent learning providers (including employer providers)"/>
    <s v="Devon"/>
    <s v="South West"/>
    <s v="South West"/>
    <d v="2017-04-21T00:00:00"/>
    <n v="1"/>
    <s v="ITS423825"/>
    <s v="Employer - Full"/>
    <d v="2013-07-16T00:00:00"/>
    <d v="2013-07-19T00:00:00"/>
    <d v="2013-08-23T00:00:00"/>
    <x v="0"/>
    <n v="2"/>
    <n v="2"/>
    <s v="-"/>
    <n v="2"/>
    <s v="ITS318324"/>
    <d v="2008-03-28T00:00:00"/>
    <n v="2"/>
    <n v="1"/>
    <n v="2"/>
    <s v="-"/>
    <n v="2"/>
    <s v="Stayed the Same"/>
  </r>
  <r>
    <s v="Ofsted Webpage"/>
    <n v="53879"/>
    <n v="10005089"/>
    <s v="Philips Hair Salons Limited"/>
    <x v="1"/>
    <s v="Independent learning providers (including employer providers)"/>
    <s v="Wakefield"/>
    <s v="Yorkshire and The Humber"/>
    <s v="North East, Yorkshire and the Humber"/>
    <d v="2016-07-01T00:00:00"/>
    <n v="1"/>
    <s v="ITS385307"/>
    <s v="Work based Learning - full inspection Historic"/>
    <d v="2011-11-08T00:00:00"/>
    <d v="2011-11-11T00:00:00"/>
    <d v="2011-12-15T00:00:00"/>
    <x v="0"/>
    <n v="2"/>
    <n v="1"/>
    <s v="-"/>
    <n v="2"/>
    <s v="ITS316805"/>
    <d v="2007-10-19T00:00:00"/>
    <n v="2"/>
    <n v="2"/>
    <n v="3"/>
    <s v="-"/>
    <n v="3"/>
    <s v="Stayed the Same"/>
  </r>
  <r>
    <s v="Ofsted Webpage"/>
    <n v="53895"/>
    <n v="10005101"/>
    <s v="Pilot IMS Limited"/>
    <x v="1"/>
    <s v="Independent learning providers (including employer providers)"/>
    <s v="Birmingham"/>
    <s v="West Midlands"/>
    <s v="West Midlands"/>
    <s v="NULL"/>
    <s v="NULL"/>
    <n v="10004989"/>
    <s v="Independent Learning Provider (National) - Requires improvement"/>
    <d v="2015-12-01T00:00:00"/>
    <d v="2015-12-04T00:00:00"/>
    <d v="2016-01-21T00:00:00"/>
    <x v="0"/>
    <n v="2"/>
    <n v="2"/>
    <n v="2"/>
    <n v="2"/>
    <s v="ITS434049"/>
    <d v="2014-06-19T00:00:00"/>
    <n v="3"/>
    <n v="3"/>
    <n v="3"/>
    <s v="-"/>
    <n v="3"/>
    <s v="Improved"/>
  </r>
  <r>
    <s v="Ofsted Webpage"/>
    <n v="53927"/>
    <n v="10005126"/>
    <s v="Plymouth Adult and Community Learning Service"/>
    <x v="2"/>
    <s v="Community learning and skills providers"/>
    <s v="Plymouth"/>
    <s v="South West"/>
    <s v="South West"/>
    <s v="NULL"/>
    <s v="NULL"/>
    <n v="10011502"/>
    <s v="Community Learning and Skills - Local authority - Full"/>
    <d v="2016-04-26T00:00:00"/>
    <d v="2016-04-29T00:00:00"/>
    <d v="2016-06-07T00:00:00"/>
    <x v="0"/>
    <n v="2"/>
    <n v="2"/>
    <n v="2"/>
    <n v="2"/>
    <s v="ITS423420"/>
    <d v="2013-11-15T00:00:00"/>
    <n v="2"/>
    <n v="2"/>
    <n v="2"/>
    <s v="-"/>
    <n v="2"/>
    <s v="Stayed the Same"/>
  </r>
  <r>
    <s v="Ofsted Webpage"/>
    <n v="53936"/>
    <n v="10005143"/>
    <s v="Skills and Learning: Bournemouth, Dorset and Poole"/>
    <x v="2"/>
    <s v="Community learning and skills providers"/>
    <s v="Poole"/>
    <s v="South West"/>
    <s v="South West"/>
    <d v="2017-04-28T00:00:00"/>
    <n v="1"/>
    <s v="ITS455585"/>
    <s v="Adult and Community - full (regional) Historic"/>
    <d v="2015-06-15T00:00:00"/>
    <d v="2015-06-19T00:00:00"/>
    <d v="2015-07-22T00:00:00"/>
    <x v="0"/>
    <n v="2"/>
    <n v="2"/>
    <s v="-"/>
    <n v="2"/>
    <s v="ITS385054"/>
    <d v="2012-03-02T00:00:00"/>
    <n v="2"/>
    <n v="2"/>
    <n v="2"/>
    <s v="-"/>
    <n v="2"/>
    <s v="Stayed the Same"/>
  </r>
  <r>
    <s v="Ofsted Webpage"/>
    <n v="53941"/>
    <n v="10005157"/>
    <s v="Portsmouth City Council"/>
    <x v="2"/>
    <s v="Community learning and skills providers"/>
    <s v="Portsmouth"/>
    <s v="South East"/>
    <s v="South East"/>
    <s v="NULL"/>
    <s v="NULL"/>
    <n v="10004991"/>
    <s v="Community Learning and Skills - Local authority - Full"/>
    <d v="2016-02-22T00:00:00"/>
    <d v="2016-02-25T00:00:00"/>
    <d v="2016-03-15T00:00:00"/>
    <x v="0"/>
    <n v="2"/>
    <n v="2"/>
    <n v="2"/>
    <n v="2"/>
    <s v="ITS423421"/>
    <d v="2013-11-07T00:00:00"/>
    <n v="2"/>
    <n v="1"/>
    <n v="2"/>
    <s v="-"/>
    <n v="2"/>
    <s v="Stayed the Same"/>
  </r>
  <r>
    <s v="Ofsted Webpage"/>
    <n v="53951"/>
    <n v="10005172"/>
    <s v="Poultec Training Limited"/>
    <x v="1"/>
    <s v="Independent learning providers (including employer providers)"/>
    <s v="Norfolk"/>
    <s v="East of England"/>
    <s v="East of England"/>
    <d v="2017-01-18T00:00:00"/>
    <n v="1"/>
    <s v="ITS363195"/>
    <s v="WBL (national) - Full"/>
    <d v="2011-07-04T00:00:00"/>
    <d v="2011-07-08T00:00:00"/>
    <d v="2011-08-13T00:00:00"/>
    <x v="0"/>
    <n v="2"/>
    <n v="2"/>
    <s v="-"/>
    <n v="2"/>
    <s v="ITS306995"/>
    <d v="2006-05-25T00:00:00"/>
    <n v="2"/>
    <s v="-"/>
    <s v="-"/>
    <s v="-"/>
    <n v="2"/>
    <s v="Stayed the Same"/>
  </r>
  <r>
    <s v="Ofsted Webpage"/>
    <n v="53981"/>
    <n v="10021842"/>
    <s v="ProCo NW Limited"/>
    <x v="1"/>
    <s v="Independent learning providers (including employer providers)"/>
    <s v="Wigan"/>
    <s v="North West"/>
    <s v="North West"/>
    <s v="NULL"/>
    <s v="NULL"/>
    <n v="10022616"/>
    <s v="Independent Learning Provider (Regional) - Requires Improvement - second inspection"/>
    <d v="2017-03-06T00:00:00"/>
    <d v="2017-03-09T00:00:00"/>
    <d v="2017-04-13T00:00:00"/>
    <x v="2"/>
    <n v="3"/>
    <n v="3"/>
    <n v="3"/>
    <n v="3"/>
    <s v="ITS440404"/>
    <d v="2015-05-01T00:00:00"/>
    <n v="3"/>
    <n v="3"/>
    <n v="3"/>
    <s v="-"/>
    <n v="3"/>
    <s v="Stayed the Same"/>
  </r>
  <r>
    <s v="Ofsted Webpage"/>
    <n v="53982"/>
    <n v="10005237"/>
    <s v="Professional Business &amp; Training Solutions Limited"/>
    <x v="1"/>
    <s v="Independent learning providers (including employer providers)"/>
    <s v="Bexley"/>
    <s v="London"/>
    <s v="London"/>
    <s v="NULL"/>
    <s v="NULL"/>
    <s v="ITS429226"/>
    <s v="Employer - Requires improvement"/>
    <d v="2015-06-16T00:00:00"/>
    <d v="2015-06-18T00:00:00"/>
    <d v="2015-07-23T00:00:00"/>
    <x v="0"/>
    <n v="2"/>
    <n v="2"/>
    <s v="-"/>
    <n v="2"/>
    <s v="ITS399104"/>
    <d v="2012-10-18T00:00:00"/>
    <n v="3"/>
    <n v="2"/>
    <n v="3"/>
    <s v="-"/>
    <n v="3"/>
    <s v="Improved"/>
  </r>
  <r>
    <s v="Ofsted Webpage"/>
    <n v="53992"/>
    <n v="10005250"/>
    <s v="Project Management (Staffordshire) Limited"/>
    <x v="1"/>
    <s v="Independent learning providers (including employer providers)"/>
    <s v="Stoke-on-Trent"/>
    <s v="West Midlands"/>
    <s v="West Midlands"/>
    <s v="NULL"/>
    <s v="NULL"/>
    <s v="ITS452980"/>
    <s v="Employer - Full"/>
    <d v="2015-05-11T00:00:00"/>
    <d v="2015-05-15T00:00:00"/>
    <d v="2015-06-18T00:00:00"/>
    <x v="0"/>
    <n v="2"/>
    <n v="2"/>
    <s v="-"/>
    <n v="2"/>
    <s v="ITS363196"/>
    <d v="2011-01-28T00:00:00"/>
    <n v="2"/>
    <n v="2"/>
    <n v="2"/>
    <s v="-"/>
    <n v="2"/>
    <s v="Stayed the Same"/>
  </r>
  <r>
    <s v="Ofsted Webpage"/>
    <n v="53998"/>
    <n v="10005261"/>
    <s v="Prospect Training Services (Gloucester) Limited"/>
    <x v="1"/>
    <s v="Independent learning providers (including employer providers)"/>
    <s v="Gloucestershire"/>
    <s v="South West"/>
    <s v="South West"/>
    <s v="NULL"/>
    <s v="NULL"/>
    <n v="10020191"/>
    <s v="Independent Learning Provider (Regional) - Full"/>
    <d v="2016-08-30T00:00:00"/>
    <d v="2016-09-02T00:00:00"/>
    <d v="2016-10-04T00:00:00"/>
    <x v="0"/>
    <n v="2"/>
    <n v="2"/>
    <n v="2"/>
    <n v="2"/>
    <s v="ITS424460"/>
    <d v="2013-12-13T00:00:00"/>
    <n v="2"/>
    <n v="2"/>
    <n v="2"/>
    <s v="-"/>
    <n v="2"/>
    <s v="Stayed the Same"/>
  </r>
  <r>
    <s v="Ofsted Webpage"/>
    <n v="54006"/>
    <n v="10005264"/>
    <s v="Prostart Training"/>
    <x v="1"/>
    <s v="Independent learning providers (including employer providers)"/>
    <s v="Derbyshire"/>
    <s v="East Midlands"/>
    <s v="East Midlands"/>
    <d v="2016-04-08T00:00:00"/>
    <n v="1"/>
    <s v="ITS366020"/>
    <s v="Work based Learning - full inspection Historic"/>
    <d v="2012-03-05T00:00:00"/>
    <d v="2012-03-09T00:00:00"/>
    <d v="2012-04-17T00:00:00"/>
    <x v="0"/>
    <n v="2"/>
    <n v="2"/>
    <s v="-"/>
    <n v="2"/>
    <s v="ITS318265"/>
    <d v="2008-04-04T00:00:00"/>
    <n v="2"/>
    <n v="2"/>
    <n v="2"/>
    <s v="-"/>
    <n v="2"/>
    <s v="Stayed the Same"/>
  </r>
  <r>
    <s v="Ofsted Webpage"/>
    <n v="54008"/>
    <n v="10005268"/>
    <s v="Protocol Consultancy Services"/>
    <x v="1"/>
    <s v="Independent learning providers (including employer providers)"/>
    <s v="Birmingham"/>
    <s v="West Midlands"/>
    <s v="West Midlands"/>
    <s v="NULL"/>
    <s v="NULL"/>
    <s v="ITS307165"/>
    <s v="Work Based Learning - full inspection (ALI) Historic"/>
    <d v="2006-11-09T00:00:00"/>
    <d v="2006-11-09T00:00:00"/>
    <d v="2006-12-22T00:00:00"/>
    <x v="1"/>
    <s v="-"/>
    <s v="-"/>
    <s v="-"/>
    <n v="1"/>
    <s v="NULL"/>
    <s v="NULL"/>
    <s v="NULL"/>
    <s v="NULL"/>
    <s v="NULL"/>
    <s v="NULL"/>
    <s v="NULL"/>
    <s v="Not Applicable"/>
  </r>
  <r>
    <s v="Ofsted Webpage"/>
    <n v="54014"/>
    <n v="10005277"/>
    <s v="Skills to Group Limited"/>
    <x v="1"/>
    <s v="Independent learning providers (including employer providers)"/>
    <s v="Devon"/>
    <s v="South West"/>
    <s v="South West"/>
    <s v="NULL"/>
    <s v="NULL"/>
    <s v="ITS366055"/>
    <s v="Work based Learning - full inspection Historic"/>
    <d v="2011-07-25T00:00:00"/>
    <d v="2011-07-29T00:00:00"/>
    <d v="2011-09-05T00:00:00"/>
    <x v="1"/>
    <n v="1"/>
    <n v="2"/>
    <s v="-"/>
    <n v="1"/>
    <s v="NULL"/>
    <s v="NULL"/>
    <s v="NULL"/>
    <s v="NULL"/>
    <s v="NULL"/>
    <s v="NULL"/>
    <s v="NULL"/>
    <s v="Not Applicable"/>
  </r>
  <r>
    <s v="Ofsted Webpage"/>
    <n v="54022"/>
    <n v="10003375"/>
    <s v="QA Limited"/>
    <x v="1"/>
    <s v="Independent learning providers (including employer providers)"/>
    <s v="Slough"/>
    <s v="South East"/>
    <s v="South East"/>
    <s v="NULL"/>
    <s v="NULL"/>
    <s v="ITS423793"/>
    <s v="Employer - Full"/>
    <d v="2013-10-21T00:00:00"/>
    <d v="2013-10-25T00:00:00"/>
    <d v="2013-11-29T00:00:00"/>
    <x v="1"/>
    <n v="1"/>
    <n v="1"/>
    <s v="-"/>
    <n v="1"/>
    <s v="NULL"/>
    <s v="NULL"/>
    <s v="NULL"/>
    <s v="NULL"/>
    <s v="NULL"/>
    <s v="NULL"/>
    <s v="NULL"/>
    <s v="Not Applicable"/>
  </r>
  <r>
    <s v="Ofsted Webpage"/>
    <n v="54026"/>
    <n v="10002264"/>
    <s v="Qinetiq Limited"/>
    <x v="4"/>
    <s v="Independent learning providers (including employer providers)"/>
    <s v="Wiltshire"/>
    <s v="South West"/>
    <s v="South West"/>
    <d v="2016-04-21T00:00:00"/>
    <n v="1"/>
    <s v="ITS385777"/>
    <s v="Work based Learning - full inspection Historic"/>
    <d v="2012-01-31T00:00:00"/>
    <d v="2012-02-03T00:00:00"/>
    <d v="2012-05-02T00:00:00"/>
    <x v="0"/>
    <n v="1"/>
    <n v="2"/>
    <s v="-"/>
    <n v="2"/>
    <s v="ITS318259"/>
    <d v="2008-02-21T00:00:00"/>
    <n v="3"/>
    <n v="2"/>
    <n v="2"/>
    <s v="-"/>
    <n v="3"/>
    <s v="Improved"/>
  </r>
  <r>
    <s v="Ofsted Webpage"/>
    <n v="54038"/>
    <n v="10005319"/>
    <s v="QUBE Qualifications and Development Limited"/>
    <x v="1"/>
    <s v="Independent learning providers (including employer providers)"/>
    <s v="Oxfordshire"/>
    <s v="South East"/>
    <s v="South East"/>
    <s v="NULL"/>
    <s v="NULL"/>
    <n v="10011506"/>
    <s v="Independent Learning Provider (National) - Full"/>
    <d v="2016-06-27T00:00:00"/>
    <d v="2016-06-30T00:00:00"/>
    <d v="2016-08-03T00:00:00"/>
    <x v="0"/>
    <n v="2"/>
    <n v="2"/>
    <n v="2"/>
    <n v="2"/>
    <s v="ITS345942"/>
    <d v="2010-06-18T00:00:00"/>
    <n v="2"/>
    <n v="3"/>
    <n v="2"/>
    <s v="-"/>
    <n v="2"/>
    <s v="Stayed the Same"/>
  </r>
  <r>
    <s v="Ofsted Webpage"/>
    <n v="54071"/>
    <n v="10036345"/>
    <s v="Rathbone Training"/>
    <x v="3"/>
    <s v="Community learning and skills providers"/>
    <s v="Manchester"/>
    <s v="North West"/>
    <s v="North West"/>
    <s v="NULL"/>
    <s v="NULL"/>
    <n v="10030662"/>
    <s v="Community Learning and Skills - Not for profit organisation - Full"/>
    <d v="2017-05-16T00:00:00"/>
    <d v="2017-05-19T00:00:00"/>
    <d v="2017-06-23T00:00:00"/>
    <x v="0"/>
    <n v="2"/>
    <n v="2"/>
    <n v="2"/>
    <n v="2"/>
    <s v="ITS441445"/>
    <d v="2014-07-18T00:00:00"/>
    <n v="2"/>
    <n v="2"/>
    <n v="2"/>
    <s v="-"/>
    <n v="2"/>
    <s v="Stayed the Same"/>
  </r>
  <r>
    <s v="Ofsted Webpage"/>
    <n v="54075"/>
    <n v="10005398"/>
    <s v="New Directions - The Learning and Employment Service for Reading"/>
    <x v="2"/>
    <s v="Community learning and skills providers"/>
    <s v="Reading"/>
    <s v="South East"/>
    <s v="South East"/>
    <s v="NULL"/>
    <s v="NULL"/>
    <n v="10004996"/>
    <s v="Community Learning and Skills - Local authority - Full"/>
    <d v="2015-12-08T00:00:00"/>
    <d v="2015-12-11T00:00:00"/>
    <d v="2016-02-05T00:00:00"/>
    <x v="0"/>
    <n v="2"/>
    <n v="2"/>
    <n v="2"/>
    <n v="2"/>
    <s v="ITS375507"/>
    <d v="2011-11-25T00:00:00"/>
    <n v="2"/>
    <n v="2"/>
    <n v="2"/>
    <s v="-"/>
    <n v="2"/>
    <s v="Stayed the Same"/>
  </r>
  <r>
    <s v="Ofsted Webpage"/>
    <n v="54087"/>
    <n v="10005413"/>
    <s v="Redcar &amp; Cleveland Adult Learning Service"/>
    <x v="2"/>
    <s v="Community learning and skills providers"/>
    <s v="Redcar and Cleveland"/>
    <s v="North East"/>
    <s v="North East, Yorkshire and the Humber"/>
    <s v="NULL"/>
    <s v="NULL"/>
    <s v="ITS446665"/>
    <s v="Adult and Community - full (regional) Historic"/>
    <d v="2014-09-23T00:00:00"/>
    <d v="2014-09-26T00:00:00"/>
    <d v="2014-10-29T00:00:00"/>
    <x v="0"/>
    <n v="2"/>
    <n v="2"/>
    <s v="-"/>
    <n v="2"/>
    <s v="ITS329358"/>
    <d v="2008-11-28T00:00:00"/>
    <n v="2"/>
    <n v="3"/>
    <n v="2"/>
    <s v="-"/>
    <n v="2"/>
    <s v="Stayed the Same"/>
  </r>
  <r>
    <s v="Ofsted Webpage"/>
    <n v="54096"/>
    <n v="10005426"/>
    <s v="House of Clive (Hair and Beauty) Ltd"/>
    <x v="1"/>
    <s v="Independent learning providers (including employer providers)"/>
    <s v="Bristol"/>
    <s v="South West"/>
    <s v="South West"/>
    <s v="NULL"/>
    <s v="NULL"/>
    <s v="ITS385762"/>
    <s v="WBL (national) - Full"/>
    <d v="2012-01-30T00:00:00"/>
    <d v="2012-02-03T00:00:00"/>
    <d v="2012-03-09T00:00:00"/>
    <x v="1"/>
    <n v="1"/>
    <n v="1"/>
    <s v="-"/>
    <n v="1"/>
    <s v="ITS307097"/>
    <d v="2006-07-27T00:00:00"/>
    <n v="2"/>
    <s v="-"/>
    <s v="-"/>
    <s v="-"/>
    <n v="2"/>
    <s v="Improved"/>
  </r>
  <r>
    <s v="Ofsted Webpage"/>
    <n v="54113"/>
    <n v="10005457"/>
    <s v="Rewards Training Recruitment Consultancy Limited"/>
    <x v="1"/>
    <s v="Independent learning providers (including employer providers)"/>
    <s v="West Sussex"/>
    <s v="South East"/>
    <s v="South East"/>
    <s v="NULL"/>
    <s v="NULL"/>
    <s v="ITS434050"/>
    <s v="WBL (national) - Full"/>
    <d v="2014-08-04T00:00:00"/>
    <d v="2014-08-08T00:00:00"/>
    <d v="2014-09-17T00:00:00"/>
    <x v="0"/>
    <n v="2"/>
    <n v="2"/>
    <s v="-"/>
    <n v="2"/>
    <s v="ITS385487"/>
    <d v="2012-07-13T00:00:00"/>
    <n v="3"/>
    <n v="3"/>
    <n v="3"/>
    <s v="-"/>
    <n v="3"/>
    <s v="Improved"/>
  </r>
  <r>
    <s v="Ofsted Webpage"/>
    <n v="54137"/>
    <n v="10005488"/>
    <s v="Riverside Training Limited"/>
    <x v="1"/>
    <s v="Independent learning providers (including employer providers)"/>
    <s v="Herefordshire"/>
    <s v="West Midlands"/>
    <s v="West Midlands"/>
    <s v="NULL"/>
    <s v="NULL"/>
    <n v="10011507"/>
    <s v="Independent Learning Provider (National) - Full"/>
    <d v="2016-08-09T00:00:00"/>
    <d v="2016-08-12T00:00:00"/>
    <d v="2016-09-06T00:00:00"/>
    <x v="0"/>
    <n v="2"/>
    <n v="2"/>
    <n v="2"/>
    <n v="2"/>
    <s v="ITS306860"/>
    <d v="2005-11-10T00:00:00"/>
    <n v="1"/>
    <s v="-"/>
    <s v="-"/>
    <s v="-"/>
    <n v="1"/>
    <s v="Declined"/>
  </r>
  <r>
    <s v="Ofsted Webpage"/>
    <n v="54155"/>
    <n v="10005509"/>
    <s v="Rochdale Training Association Limited"/>
    <x v="1"/>
    <s v="Independent learning providers (including employer providers)"/>
    <s v="Rochdale"/>
    <s v="North West"/>
    <s v="North West"/>
    <d v="2016-02-17T00:00:00"/>
    <n v="1"/>
    <s v="ITS404559"/>
    <s v="WBL (national) - Full"/>
    <d v="2012-11-26T00:00:00"/>
    <d v="2012-11-30T00:00:00"/>
    <d v="2013-01-08T00:00:00"/>
    <x v="0"/>
    <n v="2"/>
    <n v="1"/>
    <s v="-"/>
    <n v="2"/>
    <s v="ITS330776"/>
    <d v="2009-03-25T00:00:00"/>
    <n v="3"/>
    <n v="3"/>
    <n v="2"/>
    <s v="-"/>
    <n v="3"/>
    <s v="Improved"/>
  </r>
  <r>
    <s v="Ofsted Webpage"/>
    <n v="54158"/>
    <n v="10005514"/>
    <s v="Rocket Training Limited"/>
    <x v="1"/>
    <s v="Independent learning providers (including employer providers)"/>
    <s v="Liverpool"/>
    <s v="North West"/>
    <s v="North West"/>
    <s v="NULL"/>
    <s v="NULL"/>
    <n v="10004998"/>
    <s v="Independent Learning Provider (Regional) - Requires Improvement - second inspection"/>
    <d v="2016-07-18T00:00:00"/>
    <d v="2016-07-21T00:00:00"/>
    <d v="2016-08-12T00:00:00"/>
    <x v="0"/>
    <n v="2"/>
    <n v="2"/>
    <n v="2"/>
    <n v="2"/>
    <s v="ITS446603"/>
    <d v="2014-11-28T00:00:00"/>
    <n v="3"/>
    <n v="3"/>
    <n v="3"/>
    <s v="-"/>
    <n v="3"/>
    <s v="Improved"/>
  </r>
  <r>
    <s v="Ofsted Webpage"/>
    <n v="54167"/>
    <n v="10005520"/>
    <s v="Rolls-Royce PLC"/>
    <x v="4"/>
    <s v="Independent learning providers (including employer providers)"/>
    <s v="Derby"/>
    <s v="East Midlands"/>
    <s v="East Midlands"/>
    <s v="NULL"/>
    <s v="NULL"/>
    <s v="ITS345544"/>
    <s v="Work based Learning - full inspection Historic"/>
    <d v="2010-01-05T00:00:00"/>
    <d v="2010-01-08T00:00:00"/>
    <d v="2010-02-12T00:00:00"/>
    <x v="1"/>
    <n v="1"/>
    <n v="2"/>
    <s v="-"/>
    <n v="1"/>
    <s v="ITS306849"/>
    <d v="2006-03-17T00:00:00"/>
    <n v="3"/>
    <s v="-"/>
    <s v="-"/>
    <s v="-"/>
    <n v="3"/>
    <s v="Improved"/>
  </r>
  <r>
    <s v="Ofsted Webpage"/>
    <n v="54175"/>
    <n v="10005522"/>
    <s v="Roots and Shoots"/>
    <x v="3"/>
    <s v="Community learning and skills providers"/>
    <s v="Lambeth"/>
    <s v="London"/>
    <s v="London"/>
    <s v="NULL"/>
    <s v="NULL"/>
    <n v="10022540"/>
    <s v="Community Learning and Skills - Not for profit organisation - Full"/>
    <d v="2017-03-07T00:00:00"/>
    <d v="2017-03-09T00:00:00"/>
    <d v="2017-04-28T00:00:00"/>
    <x v="0"/>
    <n v="2"/>
    <n v="2"/>
    <n v="2"/>
    <n v="2"/>
    <s v="ITS434051"/>
    <d v="2014-11-27T00:00:00"/>
    <n v="2"/>
    <n v="2"/>
    <n v="2"/>
    <s v="-"/>
    <n v="2"/>
    <s v="Stayed the Same"/>
  </r>
  <r>
    <s v="Ofsted Webpage"/>
    <n v="54191"/>
    <n v="10033441"/>
    <s v="Ministry of Defence (RAF)"/>
    <x v="4"/>
    <s v="Independent learning providers (including employer providers)"/>
    <s v="Gloucestershire"/>
    <s v="South West"/>
    <s v="South West"/>
    <s v="NULL"/>
    <s v="NULL"/>
    <s v="ITS446605"/>
    <s v="WBL (national) - Full"/>
    <d v="2014-12-08T00:00:00"/>
    <d v="2014-12-12T00:00:00"/>
    <d v="2015-01-21T00:00:00"/>
    <x v="1"/>
    <n v="1"/>
    <n v="1"/>
    <s v="-"/>
    <n v="1"/>
    <s v="ITS330030"/>
    <d v="2009-01-16T00:00:00"/>
    <n v="2"/>
    <n v="2"/>
    <n v="3"/>
    <s v="-"/>
    <n v="2"/>
    <s v="Improved"/>
  </r>
  <r>
    <s v="Ofsted Webpage"/>
    <n v="54194"/>
    <n v="10005548"/>
    <s v="Royal Borough of Kensington and Chelsea Council"/>
    <x v="2"/>
    <s v="Community learning and skills providers"/>
    <s v="Kensington and Chelsea"/>
    <s v="London"/>
    <s v="London"/>
    <s v="NULL"/>
    <s v="NULL"/>
    <s v="ITS434071"/>
    <s v="ACL - Full"/>
    <d v="2014-04-29T00:00:00"/>
    <d v="2014-05-02T00:00:00"/>
    <d v="2014-06-10T00:00:00"/>
    <x v="0"/>
    <n v="2"/>
    <n v="2"/>
    <s v="-"/>
    <n v="2"/>
    <s v="ITS404252"/>
    <d v="2012-06-29T00:00:00"/>
    <n v="3"/>
    <n v="3"/>
    <n v="2"/>
    <s v="-"/>
    <n v="3"/>
    <s v="Improved"/>
  </r>
  <r>
    <s v="Ofsted Webpage"/>
    <n v="54196"/>
    <n v="10005549"/>
    <s v="Royal Borough of Kingston upon Thames Council"/>
    <x v="2"/>
    <s v="Community learning and skills providers"/>
    <s v="Kingston upon Thames"/>
    <s v="London"/>
    <s v="London"/>
    <s v="NULL"/>
    <s v="NULL"/>
    <n v="10030695"/>
    <s v="Community Learning and Skills - Local authority - Full"/>
    <d v="2017-04-25T00:00:00"/>
    <d v="2017-04-28T00:00:00"/>
    <d v="2017-06-14T00:00:00"/>
    <x v="0"/>
    <n v="2"/>
    <n v="2"/>
    <n v="2"/>
    <n v="2"/>
    <s v="ITS434390"/>
    <d v="2015-03-20T00:00:00"/>
    <n v="2"/>
    <n v="2"/>
    <n v="2"/>
    <s v="-"/>
    <n v="2"/>
    <s v="Stayed the Same"/>
  </r>
  <r>
    <s v="Ofsted Webpage"/>
    <n v="54215"/>
    <n v="10025727"/>
    <s v="Catch 22 Charity Limited"/>
    <x v="1"/>
    <s v="Independent learning providers (including employer providers)"/>
    <s v="Islington"/>
    <s v="London"/>
    <s v="London"/>
    <s v="NULL"/>
    <s v="NULL"/>
    <n v="10004999"/>
    <s v="Independent Learning Provider (National) - Requires improvement - second inspection"/>
    <d v="2015-11-10T00:00:00"/>
    <d v="2015-11-13T00:00:00"/>
    <d v="2015-11-30T00:00:00"/>
    <x v="0"/>
    <n v="2"/>
    <n v="2"/>
    <n v="2"/>
    <n v="2"/>
    <s v="ITS429274"/>
    <d v="2014-06-20T00:00:00"/>
    <n v="3"/>
    <n v="3"/>
    <n v="3"/>
    <s v="-"/>
    <n v="3"/>
    <s v="Improved"/>
  </r>
  <r>
    <s v="Ofsted Webpage"/>
    <n v="54229"/>
    <n v="10005586"/>
    <s v="Rutland County Council"/>
    <x v="2"/>
    <s v="Community learning and skills providers"/>
    <s v="Rutland"/>
    <s v="East Midlands"/>
    <s v="East Midlands"/>
    <s v="NULL"/>
    <s v="NULL"/>
    <s v="ITS446028"/>
    <s v="ACL - Requires improvement"/>
    <d v="2015-06-16T00:00:00"/>
    <d v="2015-06-18T00:00:00"/>
    <d v="2015-07-09T00:00:00"/>
    <x v="0"/>
    <n v="2"/>
    <n v="2"/>
    <s v="-"/>
    <n v="2"/>
    <s v="ITS423423"/>
    <d v="2014-02-07T00:00:00"/>
    <n v="3"/>
    <n v="2"/>
    <n v="2"/>
    <s v="-"/>
    <n v="3"/>
    <s v="Improved"/>
  </r>
  <r>
    <s v="Ofsted Webpage"/>
    <n v="54232"/>
    <n v="10005588"/>
    <s v="RWP Training Limited"/>
    <x v="1"/>
    <s v="Independent learning providers (including employer providers)"/>
    <s v="Cumbria"/>
    <s v="North West"/>
    <s v="North West"/>
    <d v="2016-04-28T00:00:00"/>
    <n v="1"/>
    <s v="ITS410689"/>
    <s v="Employer - Full"/>
    <d v="2013-04-08T00:00:00"/>
    <d v="2013-04-12T00:00:00"/>
    <d v="2013-05-15T00:00:00"/>
    <x v="0"/>
    <n v="2"/>
    <n v="2"/>
    <s v="-"/>
    <n v="2"/>
    <s v="ITS342657"/>
    <d v="2009-10-30T00:00:00"/>
    <n v="3"/>
    <n v="3"/>
    <n v="3"/>
    <s v="-"/>
    <n v="3"/>
    <s v="Improved"/>
  </r>
  <r>
    <s v="Ofsted Webpage"/>
    <n v="54235"/>
    <n v="10005599"/>
    <s v="S &amp; B Automotive Academy Limited"/>
    <x v="1"/>
    <s v="Independent learning providers (including employer providers)"/>
    <s v="Bristol"/>
    <s v="South West"/>
    <s v="South West"/>
    <s v="NULL"/>
    <s v="NULL"/>
    <s v="ITS429858"/>
    <s v="WBL (national) - Full"/>
    <d v="2014-02-24T00:00:00"/>
    <d v="2014-02-28T00:00:00"/>
    <d v="2014-04-02T00:00:00"/>
    <x v="0"/>
    <n v="2"/>
    <n v="2"/>
    <s v="-"/>
    <n v="1"/>
    <s v="ITS342624"/>
    <d v="2009-11-27T00:00:00"/>
    <n v="2"/>
    <n v="2"/>
    <n v="2"/>
    <s v="-"/>
    <n v="2"/>
    <s v="Stayed the Same"/>
  </r>
  <r>
    <s v="Ofsted Webpage"/>
    <n v="54248"/>
    <n v="10005642"/>
    <s v="SAKS (Education) Limited"/>
    <x v="1"/>
    <s v="Independent learning providers (including employer providers)"/>
    <s v="Darlington"/>
    <s v="North East"/>
    <s v="North East, Yorkshire and the Humber"/>
    <s v="NULL"/>
    <s v="NULL"/>
    <s v="ITS307004"/>
    <s v="Work Based Learning - full inspection (ALI) Historic"/>
    <d v="2006-05-26T00:00:00"/>
    <d v="2006-05-26T00:00:00"/>
    <d v="2006-07-14T00:00:00"/>
    <x v="1"/>
    <s v="-"/>
    <s v="-"/>
    <s v="-"/>
    <n v="1"/>
    <s v="NULL"/>
    <s v="NULL"/>
    <s v="NULL"/>
    <s v="NULL"/>
    <s v="NULL"/>
    <s v="NULL"/>
    <s v="NULL"/>
    <s v="Not Applicable"/>
  </r>
  <r>
    <s v="Ofsted Webpage"/>
    <n v="54249"/>
    <n v="10006317"/>
    <s v="Salford and Trafford Engineering Group Training Association Limited"/>
    <x v="1"/>
    <s v="Independent learning providers (including employer providers)"/>
    <s v="Trafford"/>
    <s v="North West"/>
    <s v="North West"/>
    <d v="2016-04-29T00:00:00"/>
    <n v="1"/>
    <s v="ITS399130"/>
    <s v="Employer - Full"/>
    <d v="2012-11-13T00:00:00"/>
    <d v="2012-11-16T00:00:00"/>
    <d v="2012-12-19T00:00:00"/>
    <x v="0"/>
    <n v="2"/>
    <n v="2"/>
    <s v="-"/>
    <n v="2"/>
    <s v="ITS318237"/>
    <d v="2007-10-18T00:00:00"/>
    <n v="2"/>
    <n v="2"/>
    <n v="2"/>
    <s v="-"/>
    <n v="2"/>
    <s v="Stayed the Same"/>
  </r>
  <r>
    <s v="Ofsted Webpage"/>
    <n v="54267"/>
    <n v="10005671"/>
    <s v="Sandwell Metropolitan Borough Council"/>
    <x v="2"/>
    <s v="Community learning and skills providers"/>
    <s v="Sandwell"/>
    <s v="West Midlands"/>
    <s v="West Midlands"/>
    <s v="NULL"/>
    <s v="NULL"/>
    <n v="10011508"/>
    <s v="Community Learning and Skills - Local authority - Full"/>
    <d v="2016-05-17T00:00:00"/>
    <d v="2016-05-20T00:00:00"/>
    <d v="2016-06-28T00:00:00"/>
    <x v="2"/>
    <n v="2"/>
    <n v="2"/>
    <n v="3"/>
    <n v="3"/>
    <s v="ITS354475"/>
    <d v="2010-12-10T00:00:00"/>
    <n v="2"/>
    <n v="2"/>
    <n v="3"/>
    <s v="-"/>
    <n v="2"/>
    <s v="Declined"/>
  </r>
  <r>
    <s v="Ofsted Webpage"/>
    <n v="54277"/>
    <n v="10033746"/>
    <s v="SBC Training Limited"/>
    <x v="1"/>
    <s v="Independent learning providers (including employer providers)"/>
    <s v="Shropshire"/>
    <s v="West Midlands"/>
    <s v="West Midlands"/>
    <s v="NULL"/>
    <s v="NULL"/>
    <n v="10005001"/>
    <s v="Independent Learning Provider (Regional) - Requires Improvement"/>
    <d v="2016-07-26T00:00:00"/>
    <d v="2016-07-29T00:00:00"/>
    <d v="2016-08-25T00:00:00"/>
    <x v="0"/>
    <n v="2"/>
    <n v="2"/>
    <n v="2"/>
    <n v="2"/>
    <s v="ITS446604"/>
    <d v="2014-12-12T00:00:00"/>
    <n v="3"/>
    <n v="3"/>
    <n v="3"/>
    <s v="-"/>
    <n v="3"/>
    <s v="Improved"/>
  </r>
  <r>
    <s v="Ofsted Webpage"/>
    <n v="54317"/>
    <n v="10005738"/>
    <s v="Sefton Metropolitan Borough Council"/>
    <x v="2"/>
    <s v="Community learning and skills providers"/>
    <s v="Sefton"/>
    <s v="North West"/>
    <s v="North West"/>
    <s v="NULL"/>
    <s v="NULL"/>
    <n v="10030734"/>
    <s v="Community Learning and Skills - Local authority - Requires Improvement"/>
    <d v="2017-06-06T00:00:00"/>
    <d v="2017-06-09T00:00:00"/>
    <d v="2017-07-03T00:00:00"/>
    <x v="0"/>
    <n v="2"/>
    <n v="2"/>
    <n v="2"/>
    <n v="2"/>
    <n v="10005002"/>
    <d v="2015-10-16T00:00:00"/>
    <n v="3"/>
    <n v="3"/>
    <n v="3"/>
    <n v="2"/>
    <n v="3"/>
    <s v="Improved"/>
  </r>
  <r>
    <s v="Ofsted Webpage"/>
    <n v="54325"/>
    <n v="10005744"/>
    <s v="Seleta Training and Personnel Services Limited"/>
    <x v="1"/>
    <s v="Independent learning providers (including employer providers)"/>
    <s v="Greenwich"/>
    <s v="London"/>
    <s v="London"/>
    <d v="2016-02-11T00:00:00"/>
    <n v="1"/>
    <s v="ITS388013"/>
    <s v="WBL (national) - Full"/>
    <d v="2012-08-13T00:00:00"/>
    <d v="2012-08-17T00:00:00"/>
    <d v="2012-09-24T00:00:00"/>
    <x v="0"/>
    <n v="1"/>
    <n v="2"/>
    <s v="-"/>
    <n v="2"/>
    <s v="ITS321486"/>
    <d v="2008-08-29T00:00:00"/>
    <n v="3"/>
    <n v="3"/>
    <n v="2"/>
    <s v="-"/>
    <n v="3"/>
    <s v="Improved"/>
  </r>
  <r>
    <s v="Ofsted Webpage"/>
    <n v="54333"/>
    <n v="10005752"/>
    <s v="Serco Limited"/>
    <x v="1"/>
    <s v="Independent learning providers (including employer providers)"/>
    <s v="Somerset"/>
    <s v="South West"/>
    <s v="South West"/>
    <s v="NULL"/>
    <s v="NULL"/>
    <n v="10005003"/>
    <s v="Independent Learning Provider (National) - Requires improvement - second inspection"/>
    <d v="2015-10-20T00:00:00"/>
    <d v="2015-10-23T00:00:00"/>
    <d v="2015-11-13T00:00:00"/>
    <x v="0"/>
    <n v="2"/>
    <n v="2"/>
    <n v="2"/>
    <n v="2"/>
    <s v="ITS429275"/>
    <d v="2014-06-13T00:00:00"/>
    <n v="3"/>
    <n v="3"/>
    <n v="2"/>
    <s v="-"/>
    <n v="3"/>
    <s v="Improved"/>
  </r>
  <r>
    <s v="Ofsted Webpage"/>
    <n v="54342"/>
    <n v="10005775"/>
    <s v="Shape Accredited Training Centre"/>
    <x v="1"/>
    <s v="Independent learning providers (including employer providers)"/>
    <s v="Middlesbrough"/>
    <s v="North East"/>
    <s v="North East, Yorkshire and the Humber"/>
    <d v="2016-02-17T00:00:00"/>
    <n v="1"/>
    <s v="ITS376226"/>
    <s v="Work based Learning - full inspection Historic"/>
    <d v="2011-10-18T00:00:00"/>
    <d v="2011-10-21T00:00:00"/>
    <d v="2011-11-25T00:00:00"/>
    <x v="0"/>
    <n v="2"/>
    <n v="2"/>
    <s v="-"/>
    <n v="2"/>
    <s v="ITS316803"/>
    <d v="2007-12-13T00:00:00"/>
    <n v="3"/>
    <n v="3"/>
    <n v="3"/>
    <s v="-"/>
    <n v="3"/>
    <s v="Improved"/>
  </r>
  <r>
    <s v="Ofsted Webpage"/>
    <n v="54349"/>
    <n v="10002244"/>
    <s v="Sheffield City Council"/>
    <x v="2"/>
    <s v="Community learning and skills providers"/>
    <s v="Sheffield"/>
    <s v="Yorkshire and The Humber"/>
    <s v="North East, Yorkshire and the Humber"/>
    <s v="NULL"/>
    <s v="NULL"/>
    <n v="10030666"/>
    <s v="Community Learning and Skills - Local authority - Full"/>
    <d v="2017-06-13T00:00:00"/>
    <d v="2017-06-16T00:00:00"/>
    <d v="2017-07-14T00:00:00"/>
    <x v="0"/>
    <n v="2"/>
    <n v="2"/>
    <n v="2"/>
    <n v="2"/>
    <s v="ITS429095"/>
    <d v="2014-02-07T00:00:00"/>
    <n v="2"/>
    <n v="3"/>
    <n v="2"/>
    <s v="-"/>
    <n v="2"/>
    <s v="Stayed the Same"/>
  </r>
  <r>
    <s v="Ofsted Webpage"/>
    <n v="54397"/>
    <n v="10005883"/>
    <s v="Skegness College of Vocational Training Limited"/>
    <x v="1"/>
    <s v="Independent learning providers (including employer providers)"/>
    <s v="Lincolnshire"/>
    <s v="East Midlands"/>
    <s v="East Midlands"/>
    <s v="NULL"/>
    <s v="NULL"/>
    <n v="10005005"/>
    <s v="Independent Learning Provider (Regional) - Full"/>
    <d v="2015-11-24T00:00:00"/>
    <d v="2015-11-27T00:00:00"/>
    <d v="2015-12-15T00:00:00"/>
    <x v="0"/>
    <n v="2"/>
    <n v="2"/>
    <n v="2"/>
    <n v="2"/>
    <s v="ITS429119"/>
    <d v="2013-10-18T00:00:00"/>
    <n v="2"/>
    <n v="2"/>
    <n v="2"/>
    <s v="-"/>
    <n v="2"/>
    <s v="Stayed the Same"/>
  </r>
  <r>
    <s v="Ofsted Webpage"/>
    <n v="54402"/>
    <n v="10005891"/>
    <s v="Skillnet Limited"/>
    <x v="1"/>
    <s v="Independent learning providers (including employer providers)"/>
    <s v="Hertfordshire"/>
    <s v="East of England"/>
    <s v="East of England"/>
    <s v="NULL"/>
    <s v="NULL"/>
    <n v="10005382"/>
    <s v="Independent Learning Provider (National) - Full"/>
    <d v="2016-03-01T00:00:00"/>
    <d v="2016-03-04T00:00:00"/>
    <d v="2016-04-05T00:00:00"/>
    <x v="2"/>
    <n v="3"/>
    <n v="3"/>
    <n v="3"/>
    <n v="3"/>
    <s v="ITS343658"/>
    <d v="2010-01-15T00:00:00"/>
    <n v="1"/>
    <n v="1"/>
    <n v="2"/>
    <s v="-"/>
    <n v="1"/>
    <s v="Declined"/>
  </r>
  <r>
    <s v="Ofsted Webpage"/>
    <n v="54409"/>
    <n v="10005894"/>
    <s v="The Skills Partnership Limited"/>
    <x v="1"/>
    <s v="Independent learning providers (including employer providers)"/>
    <s v="West Berkshire"/>
    <s v="South East"/>
    <s v="South East"/>
    <d v="2016-02-25T00:00:00"/>
    <n v="1"/>
    <s v="ITS363234"/>
    <s v="Work based Learning - full inspection Historic"/>
    <d v="2011-02-28T00:00:00"/>
    <d v="2011-03-04T00:00:00"/>
    <d v="2011-04-04T00:00:00"/>
    <x v="0"/>
    <n v="2"/>
    <n v="2"/>
    <s v="-"/>
    <n v="2"/>
    <s v="ITS317529"/>
    <d v="2007-02-02T00:00:00"/>
    <n v="3"/>
    <s v="-"/>
    <s v="-"/>
    <s v="-"/>
    <n v="3"/>
    <s v="Improved"/>
  </r>
  <r>
    <s v="Ofsted Webpage"/>
    <n v="54414"/>
    <n v="10005897"/>
    <s v="Skills Training UK Limited"/>
    <x v="1"/>
    <s v="Independent learning providers (including employer providers)"/>
    <s v="Brent"/>
    <s v="London"/>
    <s v="London"/>
    <s v="NULL"/>
    <s v="NULL"/>
    <n v="10022548"/>
    <s v="Independent Learning Provider (National) - Full"/>
    <d v="2017-02-14T00:00:00"/>
    <d v="2017-02-17T00:00:00"/>
    <d v="2017-03-08T00:00:00"/>
    <x v="0"/>
    <n v="2"/>
    <n v="2"/>
    <n v="2"/>
    <n v="2"/>
    <s v="ITS429090"/>
    <d v="2014-03-07T00:00:00"/>
    <n v="2"/>
    <n v="2"/>
    <n v="2"/>
    <s v="-"/>
    <n v="2"/>
    <s v="Stayed the Same"/>
  </r>
  <r>
    <s v="Ofsted Webpage"/>
    <n v="54429"/>
    <n v="10005916"/>
    <s v="Slough Borough Council"/>
    <x v="2"/>
    <s v="Community learning and skills providers"/>
    <s v="Slough"/>
    <s v="South East"/>
    <s v="South East"/>
    <s v="NULL"/>
    <s v="NULL"/>
    <n v="10011567"/>
    <s v="Community Learning and Skills - Local authority - Full"/>
    <d v="2016-06-21T00:00:00"/>
    <d v="2016-06-24T00:00:00"/>
    <d v="2016-08-02T00:00:00"/>
    <x v="2"/>
    <n v="3"/>
    <n v="3"/>
    <n v="3"/>
    <n v="3"/>
    <s v="ITS363138"/>
    <d v="2010-11-05T00:00:00"/>
    <n v="2"/>
    <n v="2"/>
    <n v="3"/>
    <s v="-"/>
    <n v="2"/>
    <s v="Declined"/>
  </r>
  <r>
    <s v="Ofsted Webpage"/>
    <n v="54434"/>
    <n v="10005927"/>
    <s v="Smart Training and Recruitment Limited"/>
    <x v="1"/>
    <s v="Independent learning providers (including employer providers)"/>
    <s v="Isle of Wight"/>
    <s v="South East"/>
    <s v="South East"/>
    <s v="NULL"/>
    <s v="NULL"/>
    <n v="10030689"/>
    <s v="Independent Learning Provider (National) - Full"/>
    <d v="2017-06-13T00:00:00"/>
    <d v="2017-06-16T00:00:00"/>
    <d v="2017-07-18T00:00:00"/>
    <x v="0"/>
    <n v="2"/>
    <n v="2"/>
    <n v="2"/>
    <n v="2"/>
    <s v="ITS398455"/>
    <d v="2013-01-18T00:00:00"/>
    <n v="2"/>
    <n v="2"/>
    <n v="2"/>
    <s v="-"/>
    <n v="2"/>
    <s v="Stayed the Same"/>
  </r>
  <r>
    <s v="Ofsted Webpage"/>
    <n v="54492"/>
    <n v="10006000"/>
    <s v="South Tyneside Council"/>
    <x v="2"/>
    <s v="Community learning and skills providers"/>
    <s v="South Tyneside"/>
    <s v="North East"/>
    <s v="North East, Yorkshire and the Humber"/>
    <d v="2017-02-02T00:00:00"/>
    <n v="1"/>
    <s v="ITS408467"/>
    <s v="Adult and Community - full (regional) Historic"/>
    <d v="2013-03-11T00:00:00"/>
    <d v="2013-03-15T00:00:00"/>
    <d v="2013-04-19T00:00:00"/>
    <x v="0"/>
    <n v="2"/>
    <n v="2"/>
    <s v="-"/>
    <n v="1"/>
    <s v="ITS333318"/>
    <d v="2009-05-15T00:00:00"/>
    <n v="2"/>
    <n v="2"/>
    <n v="2"/>
    <s v="-"/>
    <n v="2"/>
    <s v="Stayed the Same"/>
  </r>
  <r>
    <s v="Ofsted Webpage"/>
    <n v="54495"/>
    <n v="10006005"/>
    <s v="S.W. Durham Training Limited"/>
    <x v="1"/>
    <s v="Independent learning providers (including employer providers)"/>
    <s v="Durham"/>
    <s v="North East"/>
    <s v="North East, Yorkshire and the Humber"/>
    <s v="NULL"/>
    <s v="NULL"/>
    <s v="ITS429278"/>
    <s v="Employer - Requires improvement"/>
    <d v="2014-07-14T00:00:00"/>
    <d v="2014-07-18T00:00:00"/>
    <d v="2014-08-20T00:00:00"/>
    <x v="1"/>
    <n v="1"/>
    <n v="1"/>
    <s v="-"/>
    <n v="1"/>
    <s v="ITS408538"/>
    <d v="2013-03-15T00:00:00"/>
    <n v="3"/>
    <n v="3"/>
    <n v="3"/>
    <s v="-"/>
    <n v="3"/>
    <s v="Improved"/>
  </r>
  <r>
    <s v="Ofsted Webpage"/>
    <n v="54501"/>
    <n v="10007872"/>
    <s v="South West Regional Assessment Centre Limited"/>
    <x v="1"/>
    <s v="Independent learning providers (including employer providers)"/>
    <s v="Poole"/>
    <s v="South West"/>
    <s v="South West"/>
    <d v="2017-02-24T00:00:00"/>
    <n v="1"/>
    <s v="ITS408542"/>
    <s v="WBL (national) - Full"/>
    <d v="2013-06-10T00:00:00"/>
    <d v="2013-06-14T00:00:00"/>
    <d v="2013-07-19T00:00:00"/>
    <x v="0"/>
    <n v="2"/>
    <n v="2"/>
    <s v="-"/>
    <n v="2"/>
    <s v="ITS330382"/>
    <d v="2008-08-08T00:00:00"/>
    <n v="2"/>
    <n v="2"/>
    <n v="2"/>
    <s v="-"/>
    <n v="2"/>
    <s v="Stayed the Same"/>
  </r>
  <r>
    <s v="Ofsted Webpage"/>
    <n v="54504"/>
    <n v="10010846"/>
    <s v="S.Y.T.G. Limited"/>
    <x v="1"/>
    <s v="Independent learning providers (including employer providers)"/>
    <s v="Sheffield"/>
    <s v="Yorkshire and The Humber"/>
    <s v="North East, Yorkshire and the Humber"/>
    <s v="NULL"/>
    <s v="NULL"/>
    <n v="10022106"/>
    <s v="Independent Learning Provider (Regional) - Full"/>
    <d v="2016-12-06T00:00:00"/>
    <d v="2016-12-09T00:00:00"/>
    <d v="2017-01-19T00:00:00"/>
    <x v="4"/>
    <n v="4"/>
    <n v="4"/>
    <n v="4"/>
    <n v="4"/>
    <s v="ITS430256"/>
    <d v="2014-11-14T00:00:00"/>
    <n v="2"/>
    <n v="2"/>
    <n v="2"/>
    <s v="-"/>
    <n v="3"/>
    <s v="Declined"/>
  </r>
  <r>
    <s v="Ofsted Webpage"/>
    <n v="54505"/>
    <n v="10004748"/>
    <s v="Northern Racing College"/>
    <x v="3"/>
    <s v="Community learning and skills providers"/>
    <s v="Doncaster"/>
    <s v="Yorkshire and The Humber"/>
    <s v="North East, Yorkshire and the Humber"/>
    <s v="NULL"/>
    <s v="NULL"/>
    <n v="10011561"/>
    <s v="Independent Learning Provider (National) - Full"/>
    <d v="2016-06-21T00:00:00"/>
    <d v="2016-06-24T00:00:00"/>
    <d v="2016-07-29T00:00:00"/>
    <x v="0"/>
    <n v="2"/>
    <n v="2"/>
    <n v="1"/>
    <n v="2"/>
    <s v="ITS364510"/>
    <d v="2010-10-15T00:00:00"/>
    <n v="2"/>
    <n v="2"/>
    <n v="2"/>
    <s v="-"/>
    <n v="2"/>
    <s v="Stayed the Same"/>
  </r>
  <r>
    <s v="Ofsted Webpage"/>
    <n v="54509"/>
    <n v="10006021"/>
    <s v="Southampton City Council"/>
    <x v="2"/>
    <s v="Community learning and skills providers"/>
    <s v="Southampton"/>
    <s v="South East"/>
    <s v="South East"/>
    <d v="2017-06-28T00:00:00"/>
    <n v="1"/>
    <s v="ITS410636"/>
    <s v="Adult and Community - full (regional) Historic"/>
    <d v="2013-05-07T00:00:00"/>
    <d v="2013-05-10T00:00:00"/>
    <d v="2013-06-17T00:00:00"/>
    <x v="0"/>
    <n v="2"/>
    <n v="2"/>
    <s v="-"/>
    <n v="3"/>
    <s v="ITS333092"/>
    <d v="2009-06-05T00:00:00"/>
    <n v="3"/>
    <n v="3"/>
    <n v="2"/>
    <s v="-"/>
    <n v="3"/>
    <s v="Improved"/>
  </r>
  <r>
    <s v="Ofsted Webpage"/>
    <n v="54510"/>
    <n v="10005760"/>
    <s v="SETA"/>
    <x v="1"/>
    <s v="Independent learning providers (including employer providers)"/>
    <s v="Southampton"/>
    <s v="South East"/>
    <s v="South East"/>
    <s v="NULL"/>
    <s v="NULL"/>
    <n v="10020200"/>
    <s v="Independent Learning Provider (Regional) - Full"/>
    <d v="2016-10-26T00:00:00"/>
    <d v="2016-11-18T00:00:00"/>
    <d v="2017-01-03T00:00:00"/>
    <x v="0"/>
    <n v="2"/>
    <n v="2"/>
    <n v="2"/>
    <n v="2"/>
    <s v="ITS404564"/>
    <d v="2012-11-30T00:00:00"/>
    <n v="2"/>
    <n v="2"/>
    <n v="2"/>
    <s v="-"/>
    <n v="2"/>
    <s v="Stayed the Same"/>
  </r>
  <r>
    <s v="Ofsted Webpage"/>
    <n v="54519"/>
    <n v="10006029"/>
    <s v="Southend-on-Sea Borough Council"/>
    <x v="2"/>
    <s v="Community learning and skills providers"/>
    <s v="Southend on Sea"/>
    <s v="East of England"/>
    <s v="East of England"/>
    <d v="2017-11-01T00:00:00"/>
    <n v="1"/>
    <s v="ITS446666"/>
    <s v="Adult and Community - full (regional) Historic"/>
    <d v="2014-10-06T00:00:00"/>
    <d v="2014-10-10T00:00:00"/>
    <d v="2014-11-12T00:00:00"/>
    <x v="0"/>
    <n v="2"/>
    <n v="2"/>
    <s v="-"/>
    <n v="2"/>
    <s v="ITS329818"/>
    <d v="2008-11-07T00:00:00"/>
    <n v="2"/>
    <n v="2"/>
    <n v="2"/>
    <s v="-"/>
    <n v="1"/>
    <s v="Stayed the Same"/>
  </r>
  <r>
    <s v="Ofsted Webpage"/>
    <n v="54525"/>
    <n v="10005222"/>
    <s v="Priority Management Limited"/>
    <x v="1"/>
    <s v="Independent learning providers (including employer providers)"/>
    <s v="Liverpool"/>
    <s v="North West"/>
    <s v="North West"/>
    <s v="NULL"/>
    <s v="NULL"/>
    <s v="NULL"/>
    <s v="NULL"/>
    <s v="NULL"/>
    <s v="NULL"/>
    <s v="NULL"/>
    <x v="5"/>
    <s v="NULL"/>
    <s v="NULL"/>
    <s v="NULL"/>
    <s v="NULL"/>
    <s v="NULL"/>
    <s v="NULL"/>
    <s v="NULL"/>
    <s v="NULL"/>
    <s v="NULL"/>
    <s v="NULL"/>
    <s v="NULL"/>
    <s v="NULL"/>
  </r>
  <r>
    <s v="Ofsted Webpage"/>
    <n v="54532"/>
    <n v="10009091"/>
    <s v="Span Training &amp; Development Limited"/>
    <x v="1"/>
    <s v="Independent learning providers (including employer providers)"/>
    <s v="Oxfordshire"/>
    <s v="South East"/>
    <s v="South East"/>
    <s v="NULL"/>
    <s v="NULL"/>
    <s v="ITS434052"/>
    <s v="WBL (national) - Full"/>
    <d v="2014-06-16T00:00:00"/>
    <d v="2014-06-20T00:00:00"/>
    <d v="2014-07-25T00:00:00"/>
    <x v="0"/>
    <n v="2"/>
    <n v="2"/>
    <s v="-"/>
    <n v="2"/>
    <s v="ITS364782"/>
    <d v="2011-01-20T00:00:00"/>
    <n v="2"/>
    <n v="2"/>
    <n v="2"/>
    <s v="-"/>
    <n v="2"/>
    <s v="Stayed the Same"/>
  </r>
  <r>
    <s v="Ofsted Webpage"/>
    <n v="54552"/>
    <n v="10010548"/>
    <s v="Springfields Fuels Limited"/>
    <x v="1"/>
    <s v="Independent learning providers (including employer providers)"/>
    <s v="Lancashire"/>
    <s v="North West"/>
    <s v="North West"/>
    <s v="NULL"/>
    <s v="NULL"/>
    <n v="10011510"/>
    <s v="Independent Learning Provider (Regional) - Full"/>
    <d v="2016-06-28T00:00:00"/>
    <d v="2016-06-30T00:00:00"/>
    <d v="2016-07-28T00:00:00"/>
    <x v="0"/>
    <n v="1"/>
    <n v="2"/>
    <n v="2"/>
    <n v="2"/>
    <s v="ITS385745"/>
    <d v="2012-01-13T00:00:00"/>
    <n v="2"/>
    <n v="1"/>
    <n v="2"/>
    <s v="-"/>
    <n v="2"/>
    <s v="Stayed the Same"/>
  </r>
  <r>
    <s v="Ofsted Webpage"/>
    <n v="54562"/>
    <n v="10006173"/>
    <s v="St Helens Chamber Limited"/>
    <x v="1"/>
    <s v="Independent learning providers (including employer providers)"/>
    <s v="St Helens"/>
    <s v="North West"/>
    <s v="North West"/>
    <s v="NULL"/>
    <s v="NULL"/>
    <n v="10005009"/>
    <s v="Independent Learning Provider (Regional) - Full"/>
    <d v="2016-02-02T00:00:00"/>
    <d v="2016-02-05T00:00:00"/>
    <d v="2016-03-02T00:00:00"/>
    <x v="0"/>
    <n v="2"/>
    <n v="2"/>
    <n v="1"/>
    <n v="2"/>
    <s v="ITS366034"/>
    <d v="2012-12-14T00:00:00"/>
    <n v="2"/>
    <n v="3"/>
    <n v="2"/>
    <s v="-"/>
    <n v="2"/>
    <s v="Stayed the Same"/>
  </r>
  <r>
    <s v="Ofsted Webpage"/>
    <n v="54563"/>
    <n v="10006175"/>
    <s v="St Helens Metropolitan Borough Council"/>
    <x v="2"/>
    <s v="Community learning and skills providers"/>
    <s v="St Helens"/>
    <s v="North West"/>
    <s v="North West"/>
    <s v="NULL"/>
    <s v="NULL"/>
    <n v="10005010"/>
    <s v="Community Learning and Skills - Local authority - Full"/>
    <d v="2016-01-25T00:00:00"/>
    <d v="2016-01-28T00:00:00"/>
    <d v="2016-02-24T00:00:00"/>
    <x v="2"/>
    <n v="3"/>
    <n v="3"/>
    <n v="3"/>
    <n v="3"/>
    <s v="ITS345781"/>
    <d v="2010-03-05T00:00:00"/>
    <n v="2"/>
    <n v="2"/>
    <n v="2"/>
    <s v="-"/>
    <n v="2"/>
    <s v="Declined"/>
  </r>
  <r>
    <s v="Ofsted Webpage"/>
    <n v="54584"/>
    <n v="10006296"/>
    <s v="Staffordshire County Council"/>
    <x v="2"/>
    <s v="Community learning and skills providers"/>
    <s v="Staffordshire"/>
    <s v="West Midlands"/>
    <s v="West Midlands"/>
    <d v="2017-02-28T00:00:00"/>
    <n v="1"/>
    <s v="ITS399146"/>
    <s v="Adult and Community - full (regional) Historic"/>
    <d v="2012-11-19T00:00:00"/>
    <d v="2012-11-23T00:00:00"/>
    <d v="2013-01-02T00:00:00"/>
    <x v="0"/>
    <n v="2"/>
    <n v="2"/>
    <s v="-"/>
    <n v="1"/>
    <s v="ITS331437"/>
    <d v="2009-02-27T00:00:00"/>
    <n v="3"/>
    <n v="3"/>
    <n v="3"/>
    <s v="-"/>
    <n v="3"/>
    <s v="Improved"/>
  </r>
  <r>
    <s v="Ofsted Webpage"/>
    <n v="54611"/>
    <n v="10047049"/>
    <s v="Stella Mann College"/>
    <x v="0"/>
    <s v="Dance and drama colleges"/>
    <s v="Bedford"/>
    <s v="East of England"/>
    <s v="East of England"/>
    <s v="NULL"/>
    <s v="NULL"/>
    <s v="ITS364502"/>
    <s v="Dance and drama - Full"/>
    <d v="2010-12-07T00:00:00"/>
    <d v="2010-12-08T00:00:00"/>
    <d v="2011-01-19T00:00:00"/>
    <x v="3"/>
    <s v="-"/>
    <s v="-"/>
    <s v="-"/>
    <s v="-"/>
    <s v="NULL"/>
    <s v="NULL"/>
    <s v="NULL"/>
    <s v="NULL"/>
    <s v="NULL"/>
    <s v="NULL"/>
    <s v="NULL"/>
    <s v="Not Applicable"/>
  </r>
  <r>
    <s v="Ofsted Webpage"/>
    <n v="54624"/>
    <n v="10006332"/>
    <s v="Stockport Engineering Training Association Limited(The)"/>
    <x v="3"/>
    <s v="Community learning and skills providers"/>
    <s v="Stockport"/>
    <s v="North West"/>
    <s v="North West"/>
    <d v="2016-06-23T00:00:00"/>
    <n v="1"/>
    <s v="ITS408543"/>
    <s v="WBL (national) - Full"/>
    <d v="2013-02-19T00:00:00"/>
    <d v="2013-02-22T00:00:00"/>
    <d v="2013-03-25T00:00:00"/>
    <x v="0"/>
    <n v="2"/>
    <n v="2"/>
    <s v="-"/>
    <n v="2"/>
    <s v="ITS363207"/>
    <d v="2011-02-17T00:00:00"/>
    <n v="3"/>
    <n v="3"/>
    <n v="3"/>
    <s v="-"/>
    <n v="3"/>
    <s v="Improved"/>
  </r>
  <r>
    <s v="Ofsted Webpage"/>
    <n v="54630"/>
    <n v="10006337"/>
    <s v="Tees Achieve"/>
    <x v="2"/>
    <s v="Community learning and skills providers"/>
    <s v="Stockton-on-Tees"/>
    <s v="North East"/>
    <s v="North East, Yorkshire and the Humber"/>
    <s v="NULL"/>
    <s v="NULL"/>
    <s v="ITS434072"/>
    <s v="ACL - Full"/>
    <d v="2014-06-02T00:00:00"/>
    <d v="2014-06-06T00:00:00"/>
    <d v="2014-07-09T00:00:00"/>
    <x v="0"/>
    <n v="2"/>
    <n v="2"/>
    <s v="-"/>
    <n v="2"/>
    <s v="ITS387983"/>
    <d v="2012-05-04T00:00:00"/>
    <n v="3"/>
    <n v="3"/>
    <n v="3"/>
    <s v="-"/>
    <n v="3"/>
    <s v="Improved"/>
  </r>
  <r>
    <s v="Ofsted Webpage"/>
    <n v="54636"/>
    <n v="10001473"/>
    <s v="STOKE-ON-TRENT UNITARY AUTHORITY"/>
    <x v="2"/>
    <s v="Community learning and skills providers"/>
    <s v="Stoke-on-Trent"/>
    <s v="West Midlands"/>
    <s v="West Midlands"/>
    <s v="NULL"/>
    <s v="NULL"/>
    <n v="10037417"/>
    <s v="Community Learning and Skills - Local authority - Requires Improvement"/>
    <d v="2017-10-17T00:00:00"/>
    <d v="2017-10-20T00:00:00"/>
    <d v="2017-11-15T00:00:00"/>
    <x v="2"/>
    <n v="3"/>
    <n v="3"/>
    <n v="3"/>
    <n v="3"/>
    <n v="10011511"/>
    <d v="2016-04-29T00:00:00"/>
    <n v="3"/>
    <n v="3"/>
    <n v="3"/>
    <n v="3"/>
    <n v="3"/>
    <s v="Stayed the Same"/>
  </r>
  <r>
    <s v="Ofsted Webpage"/>
    <n v="54640"/>
    <n v="10006365"/>
    <s v="Straight A Training Limited"/>
    <x v="1"/>
    <s v="Independent learning providers (including employer providers)"/>
    <s v="Surrey"/>
    <s v="South East"/>
    <s v="South East"/>
    <s v="NULL"/>
    <s v="NULL"/>
    <n v="10005012"/>
    <s v="Independent Learning Provider (Regional) - Requires Improvement"/>
    <d v="2016-10-25T00:00:00"/>
    <d v="2016-10-28T00:00:00"/>
    <d v="2016-12-02T00:00:00"/>
    <x v="0"/>
    <n v="2"/>
    <n v="2"/>
    <n v="2"/>
    <n v="2"/>
    <s v="ITS452981"/>
    <d v="2015-02-06T00:00:00"/>
    <n v="3"/>
    <n v="2"/>
    <n v="3"/>
    <s v="-"/>
    <n v="3"/>
    <s v="Improved"/>
  </r>
  <r>
    <s v="Ofsted Webpage"/>
    <n v="54649"/>
    <n v="10006387"/>
    <s v="Stubbing Court Training Limited"/>
    <x v="1"/>
    <s v="Independent learning providers (including employer providers)"/>
    <s v="Derbyshire"/>
    <s v="East Midlands"/>
    <s v="East Midlands"/>
    <s v="NULL"/>
    <s v="NULL"/>
    <s v="ITS348867"/>
    <s v="Work based Learning - full inspection Historic"/>
    <d v="2010-06-15T00:00:00"/>
    <d v="2010-06-18T00:00:00"/>
    <d v="2010-07-23T00:00:00"/>
    <x v="1"/>
    <n v="1"/>
    <n v="2"/>
    <s v="-"/>
    <n v="1"/>
    <s v="NULL"/>
    <s v="NULL"/>
    <s v="NULL"/>
    <s v="NULL"/>
    <s v="NULL"/>
    <s v="NULL"/>
    <s v="NULL"/>
    <s v="Not Applicable"/>
  </r>
  <r>
    <s v="Ofsted Webpage"/>
    <n v="54657"/>
    <n v="10006399"/>
    <s v="Suffolk County Council"/>
    <x v="2"/>
    <s v="Community learning and skills providers"/>
    <s v="Suffolk"/>
    <s v="East of England"/>
    <s v="East of England"/>
    <s v="NULL"/>
    <s v="NULL"/>
    <s v="ITS429298"/>
    <s v="ACL - Requires improvement"/>
    <d v="2014-03-24T00:00:00"/>
    <d v="2014-03-28T00:00:00"/>
    <d v="2014-05-07T00:00:00"/>
    <x v="0"/>
    <n v="2"/>
    <n v="2"/>
    <s v="-"/>
    <n v="2"/>
    <s v="ITS408510"/>
    <d v="2013-01-18T00:00:00"/>
    <n v="3"/>
    <n v="3"/>
    <n v="3"/>
    <s v="-"/>
    <n v="3"/>
    <s v="Improved"/>
  </r>
  <r>
    <s v="Ofsted Webpage"/>
    <n v="54664"/>
    <n v="10043685"/>
    <s v="Summerhouse Equestrian and Training Centre LLP"/>
    <x v="1"/>
    <s v="Independent learning providers (including employer providers)"/>
    <s v="Gloucestershire"/>
    <s v="South West"/>
    <s v="South West"/>
    <s v="NULL"/>
    <s v="NULL"/>
    <s v="ITS342627"/>
    <s v="Work based Learning - full inspection Historic"/>
    <d v="2009-09-22T00:00:00"/>
    <d v="2009-09-25T00:00:00"/>
    <d v="2009-11-26T00:00:00"/>
    <x v="1"/>
    <n v="1"/>
    <n v="2"/>
    <s v="-"/>
    <n v="1"/>
    <s v="ITS306596"/>
    <d v="2005-09-13T00:00:00"/>
    <n v="1"/>
    <s v="-"/>
    <s v="-"/>
    <s v="-"/>
    <n v="1"/>
    <s v="Stayed the Same"/>
  </r>
  <r>
    <s v="Ofsted Webpage"/>
    <n v="54666"/>
    <n v="10006407"/>
    <s v="Sunderland City Metropolitan Borough Council"/>
    <x v="2"/>
    <s v="Community learning and skills providers"/>
    <s v="Sunderland"/>
    <s v="North East"/>
    <s v="North East, Yorkshire and the Humber"/>
    <s v="NULL"/>
    <s v="NULL"/>
    <s v="ITS446667"/>
    <s v="Adult and Community - full (regional) Historic"/>
    <d v="2014-11-24T00:00:00"/>
    <d v="2014-11-28T00:00:00"/>
    <d v="2014-12-24T00:00:00"/>
    <x v="0"/>
    <n v="2"/>
    <n v="2"/>
    <s v="-"/>
    <n v="2"/>
    <s v="ITS320960"/>
    <d v="2008-11-28T00:00:00"/>
    <n v="2"/>
    <n v="2"/>
    <n v="3"/>
    <s v="-"/>
    <n v="2"/>
    <s v="Stayed the Same"/>
  </r>
  <r>
    <s v="Ofsted Webpage"/>
    <n v="54668"/>
    <n v="10006408"/>
    <s v="Sunderland Engineering Training Association Limited"/>
    <x v="1"/>
    <s v="Independent learning providers (including employer providers)"/>
    <s v="Sunderland"/>
    <s v="North East"/>
    <s v="North East, Yorkshire and the Humber"/>
    <d v="2017-03-22T00:00:00"/>
    <n v="1"/>
    <s v="ITS408522"/>
    <s v="Employer - Full"/>
    <d v="2013-01-29T00:00:00"/>
    <d v="2013-02-01T00:00:00"/>
    <d v="2013-03-06T00:00:00"/>
    <x v="0"/>
    <n v="2"/>
    <n v="2"/>
    <s v="-"/>
    <n v="2"/>
    <s v="ITS366038"/>
    <d v="2011-06-24T00:00:00"/>
    <n v="3"/>
    <n v="3"/>
    <n v="3"/>
    <s v="-"/>
    <n v="3"/>
    <s v="Improved"/>
  </r>
  <r>
    <s v="Ofsted Webpage"/>
    <n v="54684"/>
    <n v="10006426"/>
    <s v="Surrey County Council"/>
    <x v="2"/>
    <s v="Community learning and skills providers"/>
    <s v="Surrey"/>
    <s v="South East"/>
    <s v="South East"/>
    <d v="2016-05-11T00:00:00"/>
    <n v="1"/>
    <s v="ITS354473"/>
    <s v="Adult and Community - full (regional) Historic"/>
    <d v="2010-11-29T00:00:00"/>
    <d v="2010-12-03T00:00:00"/>
    <d v="2011-01-13T00:00:00"/>
    <x v="0"/>
    <n v="2"/>
    <n v="2"/>
    <s v="-"/>
    <n v="2"/>
    <s v="ITS317570"/>
    <d v="2007-01-26T00:00:00"/>
    <n v="3"/>
    <s v="-"/>
    <s v="-"/>
    <s v="-"/>
    <n v="3"/>
    <s v="Improved"/>
  </r>
  <r>
    <s v="Ofsted Webpage"/>
    <n v="54698"/>
    <n v="10006438"/>
    <s v="Sutton and District Training Limited"/>
    <x v="1"/>
    <s v="Independent learning providers (including employer providers)"/>
    <s v="Sutton"/>
    <s v="London"/>
    <s v="London"/>
    <s v="NULL"/>
    <s v="NULL"/>
    <n v="10022547"/>
    <s v="Independent Learning Provider (Regional) - Full"/>
    <d v="2017-02-21T00:00:00"/>
    <d v="2017-02-24T00:00:00"/>
    <d v="2017-03-27T00:00:00"/>
    <x v="0"/>
    <n v="2"/>
    <n v="2"/>
    <n v="2"/>
    <n v="2"/>
    <s v="ITS429120"/>
    <d v="2014-03-28T00:00:00"/>
    <n v="2"/>
    <n v="3"/>
    <n v="2"/>
    <s v="-"/>
    <n v="2"/>
    <s v="Stayed the Same"/>
  </r>
  <r>
    <s v="Ofsted Webpage"/>
    <n v="54714"/>
    <n v="10006458"/>
    <s v="Swarthmore Education Centre"/>
    <x v="3"/>
    <s v="Community learning and skills providers"/>
    <s v="Leeds"/>
    <s v="Yorkshire and The Humber"/>
    <s v="North East, Yorkshire and the Humber"/>
    <d v="2017-10-03T00:00:00"/>
    <n v="1"/>
    <s v="ITS429151"/>
    <s v="Adult and Community - full (regional) Historic"/>
    <d v="2014-01-22T00:00:00"/>
    <d v="2014-01-24T00:00:00"/>
    <d v="2014-02-26T00:00:00"/>
    <x v="0"/>
    <n v="2"/>
    <n v="2"/>
    <s v="-"/>
    <n v="2"/>
    <s v="ITS318827"/>
    <d v="2008-01-31T00:00:00"/>
    <n v="2"/>
    <n v="2"/>
    <n v="3"/>
    <s v="-"/>
    <n v="2"/>
    <s v="Stayed the Same"/>
  </r>
  <r>
    <s v="Ofsted Webpage"/>
    <n v="54719"/>
    <n v="10006462"/>
    <s v="SWINDON UNITARY AUTHORITY"/>
    <x v="2"/>
    <s v="Community learning and skills providers"/>
    <s v="Swindon"/>
    <s v="South West"/>
    <s v="South West"/>
    <s v="NULL"/>
    <s v="NULL"/>
    <n v="10039739"/>
    <s v="Community Learning and Skills - Local authority - Full"/>
    <d v="2017-09-26T00:00:00"/>
    <d v="2017-10-11T00:00:00"/>
    <d v="2017-11-01T00:00:00"/>
    <x v="2"/>
    <n v="3"/>
    <n v="3"/>
    <n v="2"/>
    <n v="3"/>
    <s v="ITS423429"/>
    <d v="2013-10-04T00:00:00"/>
    <n v="2"/>
    <n v="2"/>
    <n v="2"/>
    <s v="-"/>
    <n v="2"/>
    <s v="Declined"/>
  </r>
  <r>
    <s v="Ofsted Webpage"/>
    <n v="54725"/>
    <n v="10037945"/>
    <s v="Brighter Futures Merseyside Limited"/>
    <x v="1"/>
    <s v="Independent learning providers (including employer providers)"/>
    <s v="Liverpool"/>
    <s v="North West"/>
    <s v="North West"/>
    <s v="NULL"/>
    <s v="NULL"/>
    <n v="10030767"/>
    <s v="Independent Learning Provider (Regional) - Full"/>
    <d v="2017-06-20T00:00:00"/>
    <d v="2017-06-23T00:00:00"/>
    <d v="2017-07-31T00:00:00"/>
    <x v="2"/>
    <n v="3"/>
    <n v="3"/>
    <n v="3"/>
    <n v="3"/>
    <s v="ITS424462"/>
    <d v="2014-03-14T00:00:00"/>
    <n v="2"/>
    <n v="2"/>
    <n v="2"/>
    <s v="-"/>
    <n v="2"/>
    <s v="Declined"/>
  </r>
  <r>
    <s v="Ofsted Webpage"/>
    <n v="54726"/>
    <n v="10006472"/>
    <s v="System Group Limited"/>
    <x v="1"/>
    <s v="Independent learning providers (including employer providers)"/>
    <s v="Liverpool"/>
    <s v="North West"/>
    <s v="North West"/>
    <s v="NULL"/>
    <s v="NULL"/>
    <n v="10022629"/>
    <s v="Independent Learning Provider (National) - Requires improvement"/>
    <d v="2017-02-20T00:00:00"/>
    <d v="2017-02-23T00:00:00"/>
    <d v="2017-03-24T00:00:00"/>
    <x v="0"/>
    <n v="2"/>
    <n v="2"/>
    <n v="2"/>
    <n v="2"/>
    <s v="ITS455589"/>
    <d v="2015-06-19T00:00:00"/>
    <n v="3"/>
    <n v="3"/>
    <n v="3"/>
    <s v="-"/>
    <n v="3"/>
    <s v="Improved"/>
  </r>
  <r>
    <s v="Ofsted Webpage"/>
    <n v="54739"/>
    <n v="10006495"/>
    <s v="Tameside Metropolitan Borough Council"/>
    <x v="2"/>
    <s v="Community learning and skills providers"/>
    <s v="Tameside"/>
    <s v="North West"/>
    <s v="North West"/>
    <s v="NULL"/>
    <s v="NULL"/>
    <n v="10017751"/>
    <s v="Community Learning and Skills - Local authority - Full"/>
    <d v="2016-04-18T00:00:00"/>
    <d v="2016-04-21T00:00:00"/>
    <d v="2016-05-19T00:00:00"/>
    <x v="2"/>
    <n v="3"/>
    <n v="3"/>
    <n v="3"/>
    <n v="3"/>
    <s v="ITS365409"/>
    <d v="2011-05-13T00:00:00"/>
    <n v="2"/>
    <n v="2"/>
    <n v="2"/>
    <s v="-"/>
    <n v="2"/>
    <s v="Declined"/>
  </r>
  <r>
    <s v="Ofsted Webpage"/>
    <n v="54755"/>
    <n v="10006517"/>
    <s v="TDR Training Limited"/>
    <x v="1"/>
    <s v="Independent learning providers (including employer providers)"/>
    <s v="North Tyneside"/>
    <s v="North East"/>
    <s v="North East, Yorkshire and the Humber"/>
    <s v="NULL"/>
    <s v="NULL"/>
    <n v="10005017"/>
    <s v="Independent Learning Provider (National) - Full"/>
    <d v="2015-12-01T00:00:00"/>
    <d v="2015-12-04T00:00:00"/>
    <d v="2015-12-31T00:00:00"/>
    <x v="0"/>
    <n v="2"/>
    <n v="2"/>
    <n v="2"/>
    <n v="2"/>
    <s v="ITS410694"/>
    <d v="2013-06-07T00:00:00"/>
    <n v="2"/>
    <n v="2"/>
    <n v="2"/>
    <s v="-"/>
    <n v="2"/>
    <s v="Stayed the Same"/>
  </r>
  <r>
    <s v="Ofsted Webpage"/>
    <n v="54758"/>
    <n v="10006521"/>
    <s v="Team Wearside Limited"/>
    <x v="3"/>
    <s v="Community learning and skills providers"/>
    <s v="Sunderland"/>
    <s v="North East"/>
    <s v="North East, Yorkshire and the Humber"/>
    <s v="NULL"/>
    <s v="NULL"/>
    <n v="10005132"/>
    <s v="Independent Learning Provider (Regional) - Full"/>
    <d v="2016-07-05T00:00:00"/>
    <d v="2016-07-08T00:00:00"/>
    <d v="2016-08-03T00:00:00"/>
    <x v="2"/>
    <n v="3"/>
    <n v="3"/>
    <n v="3"/>
    <n v="3"/>
    <s v="ITS363214"/>
    <d v="2011-03-18T00:00:00"/>
    <n v="2"/>
    <n v="2"/>
    <n v="2"/>
    <s v="-"/>
    <n v="2"/>
    <s v="Declined"/>
  </r>
  <r>
    <s v="Ofsted Webpage"/>
    <n v="54774"/>
    <n v="10006547"/>
    <s v="TELFORD AND WREKIN BOROUGH COUNCIL"/>
    <x v="2"/>
    <s v="Community learning and skills providers"/>
    <s v="Telford and Wrekin"/>
    <s v="West Midlands"/>
    <s v="West Midlands"/>
    <s v="NULL"/>
    <s v="NULL"/>
    <n v="10005018"/>
    <s v="Community Learning and Skills - Local authority - Full"/>
    <d v="2016-03-15T00:00:00"/>
    <d v="2016-03-18T00:00:00"/>
    <d v="2016-04-18T00:00:00"/>
    <x v="0"/>
    <n v="2"/>
    <n v="2"/>
    <n v="2"/>
    <n v="2"/>
    <s v="ITS354465"/>
    <d v="2010-11-19T00:00:00"/>
    <n v="2"/>
    <n v="2"/>
    <n v="2"/>
    <s v="-"/>
    <n v="2"/>
    <s v="Stayed the Same"/>
  </r>
  <r>
    <s v="Ofsted Webpage"/>
    <n v="54780"/>
    <n v="10011159"/>
    <s v="Tempus Training Limited"/>
    <x v="1"/>
    <s v="Independent learning providers (including employer providers)"/>
    <s v="Brighton and Hove"/>
    <s v="South East"/>
    <s v="South East"/>
    <s v="NULL"/>
    <s v="NULL"/>
    <s v="NULL"/>
    <s v="NULL"/>
    <s v="NULL"/>
    <s v="NULL"/>
    <s v="NULL"/>
    <x v="5"/>
    <s v="NULL"/>
    <s v="NULL"/>
    <s v="NULL"/>
    <s v="NULL"/>
    <s v="NULL"/>
    <s v="NULL"/>
    <s v="NULL"/>
    <s v="NULL"/>
    <s v="NULL"/>
    <s v="NULL"/>
    <s v="NULL"/>
    <s v="NULL"/>
  </r>
  <r>
    <s v="Ofsted Webpage"/>
    <n v="54785"/>
    <n v="10006559"/>
    <s v="Tesco Stores Limited"/>
    <x v="4"/>
    <s v="Independent learning providers (including employer providers)"/>
    <s v="Hertfordshire"/>
    <s v="East of England"/>
    <s v="East of England"/>
    <s v="NULL"/>
    <s v="NULL"/>
    <s v="ITS423718"/>
    <s v="WBL (national) - Full"/>
    <d v="2014-01-27T00:00:00"/>
    <d v="2014-01-31T00:00:00"/>
    <d v="2014-03-03T00:00:00"/>
    <x v="0"/>
    <n v="2"/>
    <n v="2"/>
    <s v="-"/>
    <n v="2"/>
    <s v="ITS316780"/>
    <d v="2007-11-23T00:00:00"/>
    <n v="2"/>
    <n v="2"/>
    <n v="3"/>
    <s v="-"/>
    <n v="2"/>
    <s v="Stayed the Same"/>
  </r>
  <r>
    <s v="Ofsted Webpage"/>
    <n v="54803"/>
    <n v="10006574"/>
    <s v="The Academy Hair &amp; Beauty Ltd"/>
    <x v="1"/>
    <s v="Independent learning providers (including employer providers)"/>
    <s v="North Yorkshire"/>
    <s v="Yorkshire and The Humber"/>
    <s v="North East, Yorkshire and the Humber"/>
    <s v="NULL"/>
    <s v="NULL"/>
    <s v="ITS452617"/>
    <s v="Employer - Full"/>
    <d v="2014-12-09T00:00:00"/>
    <d v="2014-12-11T00:00:00"/>
    <d v="2015-01-16T00:00:00"/>
    <x v="1"/>
    <n v="1"/>
    <n v="1"/>
    <s v="-"/>
    <n v="1"/>
    <s v="ITS318271"/>
    <d v="2008-01-16T00:00:00"/>
    <n v="1"/>
    <n v="1"/>
    <n v="1"/>
    <s v="-"/>
    <n v="1"/>
    <s v="Stayed the Same"/>
  </r>
  <r>
    <s v="Ofsted Webpage"/>
    <n v="54805"/>
    <n v="10033440"/>
    <s v="Ministry of Defence (Army)"/>
    <x v="4"/>
    <s v="Independent learning providers (including employer providers)"/>
    <s v="Hampshire"/>
    <s v="South East"/>
    <s v="South East"/>
    <d v="2017-07-27T00:00:00"/>
    <n v="1"/>
    <s v="ITS408533"/>
    <s v="WBL (national) - Full"/>
    <d v="2013-02-25T00:00:00"/>
    <d v="2013-03-01T00:00:00"/>
    <d v="2013-04-09T00:00:00"/>
    <x v="0"/>
    <n v="2"/>
    <n v="2"/>
    <s v="-"/>
    <n v="2"/>
    <s v="ITS330257"/>
    <d v="2009-03-20T00:00:00"/>
    <n v="3"/>
    <n v="2"/>
    <n v="3"/>
    <s v="-"/>
    <n v="3"/>
    <s v="Improved"/>
  </r>
  <r>
    <s v="Ofsted Webpage"/>
    <n v="54810"/>
    <n v="10000565"/>
    <s v="The Bassetlaw Training Agency Limited"/>
    <x v="1"/>
    <s v="Independent learning providers (including employer providers)"/>
    <s v="Nottinghamshire"/>
    <s v="East Midlands"/>
    <s v="East Midlands"/>
    <d v="2017-04-24T00:00:00"/>
    <n v="1"/>
    <s v="ITS408407"/>
    <s v="Employer - Full"/>
    <d v="2012-12-11T00:00:00"/>
    <d v="2012-12-13T00:00:00"/>
    <d v="2013-01-22T00:00:00"/>
    <x v="0"/>
    <n v="2"/>
    <n v="2"/>
    <s v="-"/>
    <n v="2"/>
    <s v="ITS343979"/>
    <d v="2010-07-30T00:00:00"/>
    <n v="3"/>
    <n v="3"/>
    <n v="3"/>
    <s v="-"/>
    <n v="3"/>
    <s v="Improved"/>
  </r>
  <r>
    <s v="Ofsted Webpage"/>
    <n v="54838"/>
    <n v="10000446"/>
    <s v="Kaplan Financial Limited"/>
    <x v="1"/>
    <s v="Independent learning providers (including employer providers)"/>
    <s v="Manchester"/>
    <s v="North West"/>
    <s v="North West"/>
    <d v="2015-12-10T00:00:00"/>
    <n v="1"/>
    <s v="ITS345912"/>
    <s v="WBL (national) - Full"/>
    <d v="2010-05-17T00:00:00"/>
    <d v="2010-05-21T00:00:00"/>
    <d v="2010-06-28T00:00:00"/>
    <x v="0"/>
    <n v="2"/>
    <n v="2"/>
    <s v="-"/>
    <n v="2"/>
    <s v="ITS306474"/>
    <d v="2005-09-22T00:00:00"/>
    <n v="2"/>
    <s v="-"/>
    <s v="-"/>
    <s v="-"/>
    <n v="2"/>
    <s v="Stayed the Same"/>
  </r>
  <r>
    <s v="Ofsted Webpage"/>
    <n v="54842"/>
    <n v="10002527"/>
    <s v="The Football Association Premier League Limited"/>
    <x v="4"/>
    <s v="Independent learning providers (including employer providers)"/>
    <s v="Westminster"/>
    <s v="London"/>
    <s v="London"/>
    <s v="NULL"/>
    <s v="NULL"/>
    <n v="10034207"/>
    <s v="Independent Learning Provider (National) - Full"/>
    <d v="2017-03-28T00:00:00"/>
    <d v="2017-03-31T00:00:00"/>
    <d v="2017-06-14T00:00:00"/>
    <x v="1"/>
    <n v="1"/>
    <n v="1"/>
    <n v="1"/>
    <n v="1"/>
    <s v="ITS345741"/>
    <d v="2010-09-24T00:00:00"/>
    <n v="1"/>
    <n v="1"/>
    <n v="1"/>
    <s v="-"/>
    <n v="1"/>
    <s v="Stayed the Same"/>
  </r>
  <r>
    <s v="Ofsted Webpage"/>
    <n v="54859"/>
    <n v="10002869"/>
    <s v="THE HAMMOND"/>
    <x v="0"/>
    <s v="Dance and drama colleges"/>
    <s v="Cheshire West and Chester"/>
    <s v="North West"/>
    <s v="North West"/>
    <s v="NULL"/>
    <s v="NULL"/>
    <n v="10005020"/>
    <s v="Dance and drama - Full"/>
    <d v="2015-11-25T00:00:00"/>
    <d v="2015-11-26T00:00:00"/>
    <d v="2015-12-30T00:00:00"/>
    <x v="1"/>
    <n v="1"/>
    <n v="1"/>
    <n v="1"/>
    <n v="1"/>
    <s v="ITS385314"/>
    <d v="2011-10-19T00:00:00"/>
    <s v="-"/>
    <s v="-"/>
    <s v="-"/>
    <s v="-"/>
    <s v="-"/>
    <s v="Not Applicable"/>
  </r>
  <r>
    <s v="Ofsted Webpage"/>
    <n v="54860"/>
    <n v="10002896"/>
    <s v="Harington Scheme Limited(The)"/>
    <x v="3"/>
    <s v="Community learning and skills providers"/>
    <s v="Haringey"/>
    <s v="London"/>
    <s v="London"/>
    <s v="NULL"/>
    <s v="NULL"/>
    <n v="10030700"/>
    <s v="Community Learning and Skills - Not for profit organisation - Requires Improvement"/>
    <d v="2017-06-06T00:00:00"/>
    <d v="2017-06-08T00:00:00"/>
    <d v="2017-07-10T00:00:00"/>
    <x v="0"/>
    <n v="2"/>
    <n v="2"/>
    <n v="2"/>
    <n v="2"/>
    <n v="10005021"/>
    <d v="2015-11-05T00:00:00"/>
    <n v="3"/>
    <n v="3"/>
    <n v="3"/>
    <n v="2"/>
    <n v="3"/>
    <s v="Improved"/>
  </r>
  <r>
    <s v="Ofsted Webpage"/>
    <n v="54873"/>
    <n v="10003748"/>
    <s v="Maritime + Engineering College North West"/>
    <x v="1"/>
    <s v="Independent learning providers (including employer providers)"/>
    <s v="Wirral"/>
    <s v="North West"/>
    <s v="North West"/>
    <d v="2017-06-15T00:00:00"/>
    <n v="1"/>
    <s v="ITS445776"/>
    <s v="Employer - Full"/>
    <d v="2014-06-23T00:00:00"/>
    <d v="2014-06-27T00:00:00"/>
    <d v="2014-08-16T00:00:00"/>
    <x v="0"/>
    <n v="2"/>
    <n v="2"/>
    <s v="-"/>
    <n v="2"/>
    <s v="ITS385749"/>
    <d v="2012-01-13T00:00:00"/>
    <n v="2"/>
    <n v="2"/>
    <n v="2"/>
    <s v="-"/>
    <n v="2"/>
    <s v="Stayed the Same"/>
  </r>
  <r>
    <s v="Ofsted Webpage"/>
    <n v="54877"/>
    <n v="10006734"/>
    <s v="The Learning Curve"/>
    <x v="3"/>
    <s v="Community learning and skills providers"/>
    <s v="Wiltshire"/>
    <s v="South West"/>
    <s v="South West"/>
    <d v="2016-06-09T00:00:00"/>
    <n v="1"/>
    <s v="ITS404220"/>
    <s v="Adult and Community - full (regional) Historic"/>
    <d v="2012-10-16T00:00:00"/>
    <d v="2012-10-18T00:00:00"/>
    <d v="2012-11-22T00:00:00"/>
    <x v="0"/>
    <n v="2"/>
    <n v="2"/>
    <s v="-"/>
    <n v="2"/>
    <s v="ITS343088"/>
    <d v="2009-11-13T00:00:00"/>
    <n v="3"/>
    <n v="2"/>
    <n v="3"/>
    <s v="-"/>
    <n v="3"/>
    <s v="Improved"/>
  </r>
  <r>
    <s v="Ofsted Webpage"/>
    <n v="54895"/>
    <n v="10006571"/>
    <s v="The Motor Insurance Repair Research Centre"/>
    <x v="1"/>
    <s v="Independent learning providers (including employer providers)"/>
    <s v="West Berkshire"/>
    <s v="South East"/>
    <s v="South East"/>
    <d v="2017-01-12T00:00:00"/>
    <n v="1"/>
    <s v="ITS408545"/>
    <s v="WBL (national) - Full"/>
    <d v="2013-03-18T00:00:00"/>
    <d v="2013-03-21T00:00:00"/>
    <d v="2013-04-29T00:00:00"/>
    <x v="0"/>
    <n v="1"/>
    <n v="2"/>
    <s v="-"/>
    <n v="2"/>
    <s v="ITS318329"/>
    <d v="2008-04-04T00:00:00"/>
    <n v="2"/>
    <n v="2"/>
    <n v="2"/>
    <s v="-"/>
    <n v="2"/>
    <s v="Stayed the Same"/>
  </r>
  <r>
    <s v="Ofsted Webpage"/>
    <n v="54916"/>
    <n v="10006797"/>
    <s v="The Reynolds Group Limited"/>
    <x v="1"/>
    <s v="Independent learning providers (including employer providers)"/>
    <s v="Kent"/>
    <s v="South East"/>
    <s v="South East"/>
    <s v="NULL"/>
    <s v="NULL"/>
    <n v="10020096"/>
    <s v="Independent Learning Provider (National) - Full"/>
    <d v="2016-10-11T00:00:00"/>
    <d v="2016-10-14T00:00:00"/>
    <d v="2016-11-23T00:00:00"/>
    <x v="0"/>
    <n v="2"/>
    <n v="2"/>
    <n v="2"/>
    <n v="2"/>
    <s v="ITS423768"/>
    <d v="2013-10-18T00:00:00"/>
    <n v="2"/>
    <n v="2"/>
    <n v="2"/>
    <s v="-"/>
    <n v="2"/>
    <s v="Stayed the Same"/>
  </r>
  <r>
    <s v="Ofsted Webpage"/>
    <n v="54946"/>
    <n v="10006845"/>
    <s v="The Virtual College"/>
    <x v="1"/>
    <s v="Independent learning providers (including employer providers)"/>
    <s v="Bradford"/>
    <s v="Yorkshire and The Humber"/>
    <s v="North East, Yorkshire and the Humber"/>
    <s v="NULL"/>
    <s v="NULL"/>
    <n v="10005023"/>
    <s v="Independent Learning Provider (National) - Requires improvement"/>
    <d v="2016-12-06T00:00:00"/>
    <d v="2016-12-09T00:00:00"/>
    <d v="2017-01-19T00:00:00"/>
    <x v="2"/>
    <n v="3"/>
    <n v="3"/>
    <n v="3"/>
    <n v="3"/>
    <s v="ITS446608"/>
    <d v="2015-01-23T00:00:00"/>
    <n v="3"/>
    <n v="2"/>
    <n v="2"/>
    <s v="-"/>
    <n v="3"/>
    <s v="Stayed the Same"/>
  </r>
  <r>
    <s v="Ofsted Webpage"/>
    <n v="54947"/>
    <n v="10006847"/>
    <s v="The Vocational College Limited"/>
    <x v="1"/>
    <s v="Independent learning providers (including employer providers)"/>
    <s v="Liverpool"/>
    <s v="North West"/>
    <s v="North West"/>
    <s v="NULL"/>
    <s v="NULL"/>
    <s v="ITS452204"/>
    <s v="WBL (national) - Full"/>
    <d v="2015-06-08T00:00:00"/>
    <d v="2015-06-12T00:00:00"/>
    <d v="2015-07-15T00:00:00"/>
    <x v="0"/>
    <n v="2"/>
    <n v="2"/>
    <s v="-"/>
    <n v="2"/>
    <s v="ITS345907"/>
    <d v="2010-07-09T00:00:00"/>
    <n v="2"/>
    <n v="2"/>
    <n v="2"/>
    <s v="-"/>
    <n v="2"/>
    <s v="Stayed the Same"/>
  </r>
  <r>
    <s v="Ofsted Webpage"/>
    <n v="54956"/>
    <n v="10008699"/>
    <s v="Yorkshire College of Beauty Limited"/>
    <x v="1"/>
    <s v="Independent learning providers (including employer providers)"/>
    <s v="Leeds"/>
    <s v="Yorkshire and The Humber"/>
    <s v="North East, Yorkshire and the Humber"/>
    <d v="2016-06-16T00:00:00"/>
    <n v="1"/>
    <s v="ITS385752"/>
    <s v="Work based Learning - full inspection Historic"/>
    <d v="2012-01-10T00:00:00"/>
    <d v="2012-01-13T00:00:00"/>
    <d v="2012-02-16T00:00:00"/>
    <x v="0"/>
    <n v="2"/>
    <n v="2"/>
    <s v="-"/>
    <n v="2"/>
    <s v="ITS307058"/>
    <d v="2006-09-29T00:00:00"/>
    <n v="2"/>
    <s v="-"/>
    <s v="-"/>
    <s v="-"/>
    <n v="2"/>
    <s v="Stayed the Same"/>
  </r>
  <r>
    <s v="Ofsted Webpage"/>
    <n v="54969"/>
    <n v="10019155"/>
    <s v="ADVANCED PERSONNEL MANAGEMENT GROUP (UK) LIMITED"/>
    <x v="1"/>
    <s v="Independent learning providers (including employer providers)"/>
    <s v="Birmingham"/>
    <s v="West Midlands"/>
    <s v="West Midlands"/>
    <s v="NULL"/>
    <s v="NULL"/>
    <n v="10030727"/>
    <s v="Independent Learning Provider (National) - Full"/>
    <d v="2017-06-13T00:00:00"/>
    <d v="2017-06-16T00:00:00"/>
    <d v="2017-07-10T00:00:00"/>
    <x v="2"/>
    <n v="3"/>
    <n v="3"/>
    <n v="3"/>
    <n v="3"/>
    <s v="ITS424468"/>
    <d v="2013-11-22T00:00:00"/>
    <n v="2"/>
    <n v="2"/>
    <n v="2"/>
    <s v="-"/>
    <n v="2"/>
    <s v="Declined"/>
  </r>
  <r>
    <s v="Ofsted Webpage"/>
    <n v="54975"/>
    <n v="10006907"/>
    <s v="Thurrock Adult Community College"/>
    <x v="2"/>
    <s v="Community learning and skills providers"/>
    <s v="Thurrock"/>
    <s v="East of England"/>
    <s v="East of England"/>
    <d v="2017-06-08T00:00:00"/>
    <n v="1"/>
    <s v="ITS408463"/>
    <s v="Adult and Community - full (regional) Historic"/>
    <d v="2013-02-12T00:00:00"/>
    <d v="2013-02-15T00:00:00"/>
    <d v="2013-03-22T00:00:00"/>
    <x v="0"/>
    <n v="2"/>
    <n v="2"/>
    <s v="-"/>
    <n v="2"/>
    <s v="ITS333368"/>
    <d v="2009-05-01T00:00:00"/>
    <n v="3"/>
    <n v="3"/>
    <n v="3"/>
    <s v="-"/>
    <n v="3"/>
    <s v="Improved"/>
  </r>
  <r>
    <s v="Ofsted Webpage"/>
    <n v="55015"/>
    <n v="10006942"/>
    <s v="Aspire Training Team Limited - Tops Day Nursery"/>
    <x v="1"/>
    <s v="Independent learning providers (including employer providers)"/>
    <s v="Bournemouth"/>
    <s v="South West"/>
    <s v="South West"/>
    <s v="NULL"/>
    <s v="NULL"/>
    <s v="ITS342630"/>
    <s v="Work based Learning - full inspection Historic"/>
    <d v="2009-12-08T00:00:00"/>
    <d v="2009-12-11T00:00:00"/>
    <d v="2010-01-18T00:00:00"/>
    <x v="1"/>
    <n v="1"/>
    <n v="2"/>
    <s v="-"/>
    <n v="1"/>
    <s v="NULL"/>
    <s v="NULL"/>
    <s v="NULL"/>
    <s v="NULL"/>
    <s v="NULL"/>
    <s v="NULL"/>
    <s v="NULL"/>
    <s v="Not Applicable"/>
  </r>
  <r>
    <s v="Ofsted Webpage"/>
    <n v="55022"/>
    <n v="10021755"/>
    <s v="Total People Limited"/>
    <x v="3"/>
    <s v="Community learning and skills providers"/>
    <s v="Cheshire East"/>
    <s v="North West"/>
    <s v="North West"/>
    <s v="NULL"/>
    <s v="NULL"/>
    <n v="10030735"/>
    <s v="Community Learning and Skills - Not for profit organisation - Full"/>
    <d v="2017-05-08T00:00:00"/>
    <d v="2017-05-11T00:00:00"/>
    <d v="2017-06-08T00:00:00"/>
    <x v="0"/>
    <n v="2"/>
    <n v="2"/>
    <n v="2"/>
    <n v="2"/>
    <s v="ITS385754"/>
    <d v="2012-12-14T00:00:00"/>
    <n v="2"/>
    <n v="2"/>
    <n v="2"/>
    <s v="-"/>
    <n v="2"/>
    <s v="Stayed the Same"/>
  </r>
  <r>
    <s v="Ofsted Webpage"/>
    <n v="55045"/>
    <n v="10006987"/>
    <s v="Training 2000 Limited"/>
    <x v="3"/>
    <s v="Community learning and skills providers"/>
    <s v="Blackburn with Darwen"/>
    <s v="North West"/>
    <s v="North West"/>
    <s v="NULL"/>
    <s v="NULL"/>
    <s v="ITS452982"/>
    <s v="Employer - Full"/>
    <d v="2015-02-02T00:00:00"/>
    <d v="2015-02-06T00:00:00"/>
    <d v="2015-03-12T00:00:00"/>
    <x v="0"/>
    <n v="2"/>
    <n v="2"/>
    <s v="-"/>
    <n v="1"/>
    <s v="ITS363206"/>
    <d v="2011-03-25T00:00:00"/>
    <n v="2"/>
    <n v="2"/>
    <n v="2"/>
    <s v="-"/>
    <n v="1"/>
    <s v="Stayed the Same"/>
  </r>
  <r>
    <s v="Ofsted Webpage"/>
    <n v="55051"/>
    <n v="10022627"/>
    <s v="The Training &amp; Learning Company"/>
    <x v="3"/>
    <s v="Community learning and skills providers"/>
    <s v="Swansea"/>
    <s v="Wales"/>
    <s v="West Midlands"/>
    <s v="NULL"/>
    <s v="NULL"/>
    <s v="ITS410657"/>
    <s v="WBL (national) - Full"/>
    <d v="2013-07-08T00:00:00"/>
    <d v="2013-07-12T00:00:00"/>
    <d v="2013-08-16T00:00:00"/>
    <x v="1"/>
    <n v="1"/>
    <n v="1"/>
    <s v="-"/>
    <n v="1"/>
    <s v="ITS321522"/>
    <d v="2008-06-20T00:00:00"/>
    <n v="2"/>
    <n v="2"/>
    <n v="2"/>
    <s v="-"/>
    <n v="2"/>
    <s v="Improved"/>
  </r>
  <r>
    <s v="Ofsted Webpage"/>
    <n v="55053"/>
    <n v="10006986"/>
    <s v="The Training &amp; Recruitment Partnership Limited"/>
    <x v="1"/>
    <s v="Independent learning providers (including employer providers)"/>
    <s v="Merton"/>
    <s v="London"/>
    <s v="London"/>
    <s v="NULL"/>
    <s v="NULL"/>
    <n v="10020097"/>
    <s v="Independent Learning Provider (National) - Requires improvement"/>
    <d v="2016-11-01T00:00:00"/>
    <d v="2016-11-04T00:00:00"/>
    <d v="2016-12-12T00:00:00"/>
    <x v="0"/>
    <n v="2"/>
    <n v="2"/>
    <n v="2"/>
    <n v="2"/>
    <s v="ITS452983"/>
    <d v="2015-02-27T00:00:00"/>
    <n v="3"/>
    <n v="3"/>
    <n v="3"/>
    <s v="-"/>
    <n v="3"/>
    <s v="Improved"/>
  </r>
  <r>
    <s v="Ofsted Webpage"/>
    <n v="55072"/>
    <n v="10007015"/>
    <s v="Training Services 2000 Ltd"/>
    <x v="1"/>
    <s v="Independent learning providers (including employer providers)"/>
    <s v="Derby"/>
    <s v="East Midlands"/>
    <s v="East Midlands"/>
    <s v="NULL"/>
    <s v="NULL"/>
    <s v="ITS342772"/>
    <s v="Work based Learning - full inspection Historic"/>
    <d v="2009-11-17T00:00:00"/>
    <d v="2009-11-20T00:00:00"/>
    <d v="2010-01-07T00:00:00"/>
    <x v="1"/>
    <n v="1"/>
    <n v="1"/>
    <s v="-"/>
    <n v="1"/>
    <s v="NULL"/>
    <s v="NULL"/>
    <s v="NULL"/>
    <s v="NULL"/>
    <s v="NULL"/>
    <s v="NULL"/>
    <s v="NULL"/>
    <s v="Not Applicable"/>
  </r>
  <r>
    <s v="Ofsted Webpage"/>
    <n v="55074"/>
    <n v="10007320"/>
    <s v="Waltham Forest Chamber of Commerce Training Trust Limited"/>
    <x v="3"/>
    <s v="Community learning and skills providers"/>
    <s v="Redbridge"/>
    <s v="London"/>
    <s v="London"/>
    <s v="NULL"/>
    <s v="NULL"/>
    <n v="10011555"/>
    <s v="Independent Learning Provider (Regional) - Full"/>
    <d v="2016-04-12T00:00:00"/>
    <d v="2016-04-15T00:00:00"/>
    <d v="2016-05-12T00:00:00"/>
    <x v="0"/>
    <n v="2"/>
    <n v="2"/>
    <n v="2"/>
    <n v="2"/>
    <s v="ITS399088"/>
    <d v="2012-10-05T00:00:00"/>
    <n v="2"/>
    <n v="2"/>
    <n v="2"/>
    <s v="-"/>
    <n v="2"/>
    <s v="Stayed the Same"/>
  </r>
  <r>
    <s v="Ofsted Webpage"/>
    <n v="55112"/>
    <n v="10007070"/>
    <s v="The TTE Technical Training Group"/>
    <x v="3"/>
    <s v="Community learning and skills providers"/>
    <s v="Redcar and Cleveland"/>
    <s v="North East"/>
    <s v="North East, Yorkshire and the Humber"/>
    <s v="NULL"/>
    <s v="NULL"/>
    <s v="ITS410658"/>
    <s v="WBL (national) - Full"/>
    <d v="2013-08-12T00:00:00"/>
    <d v="2013-08-16T00:00:00"/>
    <d v="2013-09-20T00:00:00"/>
    <x v="0"/>
    <n v="2"/>
    <n v="2"/>
    <s v="-"/>
    <n v="2"/>
    <s v="ITS316804"/>
    <d v="2007-09-21T00:00:00"/>
    <n v="2"/>
    <n v="2"/>
    <n v="2"/>
    <s v="-"/>
    <n v="2"/>
    <s v="Stayed the Same"/>
  </r>
  <r>
    <s v="Ofsted Webpage"/>
    <n v="55113"/>
    <n v="10004589"/>
    <s v="TTE Training Limited"/>
    <x v="1"/>
    <s v="Independent learning providers (including employer providers)"/>
    <s v="Cheshire West and Chester"/>
    <s v="North West"/>
    <s v="North West"/>
    <s v="NULL"/>
    <s v="NULL"/>
    <n v="10030738"/>
    <s v="Independent Learning Provider (Regional) - Full"/>
    <d v="2017-07-12T00:00:00"/>
    <d v="2017-07-14T00:00:00"/>
    <d v="2017-08-22T00:00:00"/>
    <x v="1"/>
    <n v="1"/>
    <n v="1"/>
    <n v="1"/>
    <n v="1"/>
    <s v="ITS428258"/>
    <d v="2013-10-24T00:00:00"/>
    <n v="2"/>
    <n v="2"/>
    <n v="2"/>
    <s v="-"/>
    <n v="2"/>
    <s v="Improved"/>
  </r>
  <r>
    <s v="Ofsted Webpage"/>
    <n v="55115"/>
    <n v="10004123"/>
    <s v="Tui UK Limited"/>
    <x v="4"/>
    <s v="Independent learning providers (including employer providers)"/>
    <s v="Luton"/>
    <s v="East of England"/>
    <s v="East of England"/>
    <s v="NULL"/>
    <s v="NULL"/>
    <n v="10008491"/>
    <s v="Independent Learning Provider (National) - Full"/>
    <d v="2016-03-01T00:00:00"/>
    <d v="2016-03-04T00:00:00"/>
    <d v="2016-03-24T00:00:00"/>
    <x v="0"/>
    <n v="2"/>
    <n v="2"/>
    <n v="2"/>
    <n v="2"/>
    <s v="ITS362677"/>
    <d v="2011-03-18T00:00:00"/>
    <n v="2"/>
    <n v="2"/>
    <n v="2"/>
    <s v="-"/>
    <n v="2"/>
    <s v="Stayed the Same"/>
  </r>
  <r>
    <s v="Ofsted Webpage"/>
    <n v="55131"/>
    <n v="10007100"/>
    <s v="Tyne North Training Limited"/>
    <x v="3"/>
    <s v="Community learning and skills providers"/>
    <s v="North Tyneside"/>
    <s v="North East"/>
    <s v="North East, Yorkshire and the Humber"/>
    <d v="2016-01-14T00:00:00"/>
    <n v="1"/>
    <s v="ITS388108"/>
    <s v="Work based Learning - full inspection Historic"/>
    <d v="2012-08-21T00:00:00"/>
    <d v="2012-08-24T00:00:00"/>
    <d v="2012-09-26T00:00:00"/>
    <x v="0"/>
    <n v="2"/>
    <n v="2"/>
    <s v="-"/>
    <n v="2"/>
    <s v="ITS318241"/>
    <d v="2008-02-29T00:00:00"/>
    <n v="2"/>
    <n v="2"/>
    <n v="2"/>
    <s v="-"/>
    <n v="2"/>
    <s v="Stayed the Same"/>
  </r>
  <r>
    <s v="Ofsted Webpage"/>
    <n v="55149"/>
    <n v="10007123"/>
    <s v="UK Training &amp; Development Limited"/>
    <x v="1"/>
    <s v="Independent learning providers (including employer providers)"/>
    <s v="Hertfordshire"/>
    <s v="East of England"/>
    <s v="East of England"/>
    <s v="NULL"/>
    <s v="NULL"/>
    <s v="ITS399105"/>
    <s v="WBL (national) - Full"/>
    <d v="2012-09-24T00:00:00"/>
    <d v="2012-09-28T00:00:00"/>
    <d v="2012-11-02T00:00:00"/>
    <x v="0"/>
    <n v="2"/>
    <n v="2"/>
    <s v="-"/>
    <n v="2"/>
    <s v="ITS342716"/>
    <d v="2009-10-15T00:00:00"/>
    <n v="3"/>
    <n v="3"/>
    <n v="3"/>
    <s v="-"/>
    <n v="3"/>
    <s v="Improved"/>
  </r>
  <r>
    <s v="Ofsted Webpage"/>
    <n v="55230"/>
    <n v="10009450"/>
    <s v="VOCATIONAL TRAINING SERVICES CARE SECTOR LIMITED"/>
    <x v="1"/>
    <s v="Independent learning providers (including employer providers)"/>
    <s v="Southend on Sea"/>
    <s v="East of England"/>
    <s v="East of England"/>
    <s v="NULL"/>
    <s v="NULL"/>
    <n v="10011517"/>
    <s v="Independent Learning Provider (Regional) - Full"/>
    <d v="2016-11-01T00:00:00"/>
    <d v="2016-11-04T00:00:00"/>
    <d v="2016-12-09T00:00:00"/>
    <x v="0"/>
    <n v="2"/>
    <n v="2"/>
    <n v="2"/>
    <n v="2"/>
    <s v="NULL"/>
    <s v="NULL"/>
    <s v="NULL"/>
    <s v="NULL"/>
    <s v="NULL"/>
    <s v="NULL"/>
    <s v="NULL"/>
    <s v="Not Applicable"/>
  </r>
  <r>
    <s v="Ofsted Webpage"/>
    <n v="55241"/>
    <n v="10003161"/>
    <s v="Babcock Training Limited"/>
    <x v="1"/>
    <s v="Independent learning providers (including employer providers)"/>
    <s v="South Gloucestershire"/>
    <s v="South West"/>
    <s v="South West"/>
    <s v="NULL"/>
    <s v="NULL"/>
    <n v="10005441"/>
    <s v="Independent Learning Provider (National) - Full"/>
    <d v="2016-03-08T00:00:00"/>
    <d v="2016-03-11T00:00:00"/>
    <d v="2016-04-05T00:00:00"/>
    <x v="0"/>
    <n v="2"/>
    <n v="2"/>
    <n v="2"/>
    <n v="2"/>
    <s v="ITS334913"/>
    <d v="2009-07-31T00:00:00"/>
    <n v="2"/>
    <n v="3"/>
    <n v="2"/>
    <s v="-"/>
    <n v="2"/>
    <s v="Stayed the Same"/>
  </r>
  <r>
    <s v="Ofsted Webpage"/>
    <n v="55247"/>
    <n v="10007291"/>
    <s v="Wakefield Metropolitan District Council"/>
    <x v="2"/>
    <s v="Community learning and skills providers"/>
    <s v="Wakefield"/>
    <s v="Yorkshire and The Humber"/>
    <s v="North East, Yorkshire and the Humber"/>
    <s v="NULL"/>
    <s v="NULL"/>
    <n v="10030673"/>
    <s v="Community Learning and Skills - Local authority - Reinspection"/>
    <d v="2017-03-21T00:00:00"/>
    <d v="2017-03-24T00:00:00"/>
    <d v="2017-06-21T00:00:00"/>
    <x v="2"/>
    <n v="3"/>
    <n v="3"/>
    <n v="3"/>
    <n v="3"/>
    <n v="10005028"/>
    <d v="2015-11-06T00:00:00"/>
    <n v="4"/>
    <n v="3"/>
    <n v="3"/>
    <n v="3"/>
    <n v="4"/>
    <s v="Improved"/>
  </r>
  <r>
    <s v="Ofsted Webpage"/>
    <n v="55255"/>
    <n v="10010616"/>
    <s v="Walsall NHS Trust"/>
    <x v="4"/>
    <s v="Independent learning providers (including employer providers)"/>
    <s v="Walsall"/>
    <s v="West Midlands"/>
    <s v="West Midlands"/>
    <s v="NULL"/>
    <s v="NULL"/>
    <n v="10022593"/>
    <s v="Independent Learning Provider (Regional) - Full"/>
    <d v="2017-03-07T00:00:00"/>
    <d v="2017-03-09T00:00:00"/>
    <d v="2017-04-06T00:00:00"/>
    <x v="2"/>
    <n v="3"/>
    <n v="3"/>
    <n v="3"/>
    <n v="3"/>
    <s v="NULL"/>
    <s v="NULL"/>
    <s v="NULL"/>
    <s v="NULL"/>
    <s v="NULL"/>
    <s v="NULL"/>
    <s v="NULL"/>
    <s v="Not Applicable"/>
  </r>
  <r>
    <s v="Ofsted Webpage"/>
    <n v="55258"/>
    <n v="10007318"/>
    <s v="Walsall Adult And Community College"/>
    <x v="2"/>
    <s v="Community learning and skills providers"/>
    <s v="Walsall"/>
    <s v="West Midlands"/>
    <s v="West Midlands"/>
    <s v="NULL"/>
    <s v="NULL"/>
    <n v="10022060"/>
    <s v="Community Learning and Skills - Local authority - Full"/>
    <d v="2016-10-17T00:00:00"/>
    <d v="2016-10-20T00:00:00"/>
    <d v="2016-11-30T00:00:00"/>
    <x v="0"/>
    <n v="2"/>
    <n v="2"/>
    <n v="2"/>
    <n v="2"/>
    <s v="ITS407195"/>
    <d v="2012-12-07T00:00:00"/>
    <n v="1"/>
    <n v="1"/>
    <n v="1"/>
    <s v="-"/>
    <n v="1"/>
    <s v="Declined"/>
  </r>
  <r>
    <s v="Ofsted Webpage"/>
    <n v="55276"/>
    <n v="10007348"/>
    <s v="Warwickshire County Council"/>
    <x v="2"/>
    <s v="Community learning and skills providers"/>
    <s v="Warwickshire"/>
    <s v="West Midlands"/>
    <s v="West Midlands"/>
    <d v="2016-03-10T00:00:00"/>
    <n v="1"/>
    <s v="ITS366697"/>
    <s v="Adult and Community - full (regional) Historic"/>
    <d v="2011-05-23T00:00:00"/>
    <d v="2011-05-27T00:00:00"/>
    <d v="2011-07-04T00:00:00"/>
    <x v="0"/>
    <n v="2"/>
    <n v="2"/>
    <s v="-"/>
    <n v="3"/>
    <s v="ITS316650"/>
    <d v="2007-10-12T00:00:00"/>
    <n v="3"/>
    <n v="3"/>
    <n v="3"/>
    <s v="-"/>
    <n v="3"/>
    <s v="Improved"/>
  </r>
  <r>
    <s v="Ofsted Webpage"/>
    <n v="55287"/>
    <n v="10008986"/>
    <s v="Waverley Training Services"/>
    <x v="2"/>
    <s v="Community learning and skills providers"/>
    <s v="Surrey"/>
    <s v="South East"/>
    <s v="South East"/>
    <s v="NULL"/>
    <s v="NULL"/>
    <n v="10005155"/>
    <s v="Community Learning and Skills - Local authority - Requires Improvement - second inspection"/>
    <d v="2016-10-18T00:00:00"/>
    <d v="2016-10-21T00:00:00"/>
    <d v="2016-11-17T00:00:00"/>
    <x v="2"/>
    <n v="3"/>
    <n v="3"/>
    <n v="2"/>
    <n v="3"/>
    <s v="ITS430262"/>
    <d v="2014-10-10T00:00:00"/>
    <n v="3"/>
    <n v="3"/>
    <n v="3"/>
    <s v="-"/>
    <n v="3"/>
    <s v="Stayed the Same"/>
  </r>
  <r>
    <s v="Ofsted Webpage"/>
    <n v="55294"/>
    <n v="10007375"/>
    <s v="Webs Training Limited"/>
    <x v="1"/>
    <s v="Independent learning providers (including employer providers)"/>
    <s v="Nottinghamshire"/>
    <s v="East Midlands"/>
    <s v="East Midlands"/>
    <s v="NULL"/>
    <s v="NULL"/>
    <n v="10026233"/>
    <s v="Independent Learning Provider (Regional) - Full"/>
    <d v="2017-03-07T00:00:00"/>
    <d v="2017-03-10T00:00:00"/>
    <d v="2017-04-04T00:00:00"/>
    <x v="0"/>
    <n v="2"/>
    <n v="2"/>
    <n v="2"/>
    <n v="2"/>
    <s v="ITS452618"/>
    <d v="2015-03-06T00:00:00"/>
    <n v="2"/>
    <n v="2"/>
    <n v="2"/>
    <s v="-"/>
    <n v="2"/>
    <s v="Stayed the Same"/>
  </r>
  <r>
    <s v="Ofsted Webpage"/>
    <n v="55295"/>
    <n v="10007377"/>
    <s v="Weir Training Limited"/>
    <x v="1"/>
    <s v="Independent learning providers (including employer providers)"/>
    <s v="Surrey"/>
    <s v="South East"/>
    <s v="South East"/>
    <s v="NULL"/>
    <s v="NULL"/>
    <s v="ITS452984"/>
    <s v="Employer - Full"/>
    <d v="2015-03-16T00:00:00"/>
    <d v="2015-03-20T00:00:00"/>
    <d v="2015-04-23T00:00:00"/>
    <x v="0"/>
    <n v="2"/>
    <n v="2"/>
    <s v="-"/>
    <n v="2"/>
    <s v="ITS333250"/>
    <d v="2009-07-23T00:00:00"/>
    <n v="2"/>
    <n v="2"/>
    <n v="2"/>
    <s v="-"/>
    <n v="2"/>
    <s v="Stayed the Same"/>
  </r>
  <r>
    <s v="Ofsted Webpage"/>
    <n v="55306"/>
    <n v="10007396"/>
    <s v="West Anglia Training Association Limited"/>
    <x v="1"/>
    <s v="Independent learning providers (including employer providers)"/>
    <s v="Cambridgeshire"/>
    <s v="East of England"/>
    <s v="East of England"/>
    <s v="NULL"/>
    <s v="NULL"/>
    <n v="10021354"/>
    <s v="Independent Learning Provider (Regional) - Full"/>
    <d v="2016-09-13T00:00:00"/>
    <d v="2016-09-16T00:00:00"/>
    <d v="2016-10-06T00:00:00"/>
    <x v="2"/>
    <n v="3"/>
    <n v="3"/>
    <n v="3"/>
    <n v="3"/>
    <s v="ITS429092"/>
    <d v="2014-03-28T00:00:00"/>
    <n v="2"/>
    <n v="2"/>
    <n v="2"/>
    <s v="-"/>
    <n v="2"/>
    <s v="Declined"/>
  </r>
  <r>
    <s v="Ofsted Webpage"/>
    <n v="55307"/>
    <n v="10007398"/>
    <s v="West Berkshire Council"/>
    <x v="2"/>
    <s v="Community learning and skills providers"/>
    <s v="West Berkshire"/>
    <s v="South East"/>
    <s v="South East"/>
    <d v="2015-11-26T00:00:00"/>
    <n v="1"/>
    <s v="ITS408471"/>
    <s v="Adult and Community - full (regional) Historic"/>
    <d v="2012-12-04T00:00:00"/>
    <d v="2012-12-06T00:00:00"/>
    <d v="2013-01-11T00:00:00"/>
    <x v="0"/>
    <n v="2"/>
    <n v="2"/>
    <s v="-"/>
    <n v="2"/>
    <s v="ITS317525"/>
    <d v="2007-01-26T00:00:00"/>
    <n v="2"/>
    <s v="-"/>
    <s v="-"/>
    <s v="-"/>
    <n v="2"/>
    <s v="Stayed the Same"/>
  </r>
  <r>
    <s v="Ofsted Webpage"/>
    <n v="55308"/>
    <n v="10007402"/>
    <s v="West Berkshire Training Consortium"/>
    <x v="3"/>
    <s v="Community learning and skills providers"/>
    <s v="West Berkshire"/>
    <s v="South East"/>
    <s v="South East"/>
    <d v="2017-04-28T00:00:00"/>
    <n v="1"/>
    <s v="ITS410698"/>
    <s v="Employer - Full"/>
    <d v="2013-05-13T00:00:00"/>
    <d v="2013-05-17T00:00:00"/>
    <d v="2013-06-24T00:00:00"/>
    <x v="0"/>
    <n v="2"/>
    <n v="2"/>
    <s v="-"/>
    <n v="2"/>
    <s v="ITS321524"/>
    <d v="2008-05-09T00:00:00"/>
    <n v="2"/>
    <n v="2"/>
    <n v="2"/>
    <s v="-"/>
    <n v="2"/>
    <s v="Stayed the Same"/>
  </r>
  <r>
    <s v="Ofsted Webpage"/>
    <n v="55353"/>
    <n v="10001464"/>
    <s v="Westminster City Council"/>
    <x v="2"/>
    <s v="Community learning and skills providers"/>
    <s v="Westminster"/>
    <s v="London"/>
    <s v="London"/>
    <s v="NULL"/>
    <s v="NULL"/>
    <n v="10005032"/>
    <s v="Community Learning and Skills - Local authority - Full"/>
    <d v="2016-03-15T00:00:00"/>
    <d v="2016-03-18T00:00:00"/>
    <d v="2016-04-26T00:00:00"/>
    <x v="0"/>
    <n v="2"/>
    <n v="2"/>
    <n v="2"/>
    <n v="2"/>
    <s v="ITS375508"/>
    <d v="2011-10-07T00:00:00"/>
    <n v="2"/>
    <n v="3"/>
    <n v="2"/>
    <s v="-"/>
    <n v="2"/>
    <s v="Stayed the Same"/>
  </r>
  <r>
    <s v="Ofsted Webpage"/>
    <n v="55363"/>
    <n v="10008023"/>
    <s v="Whitbread PLC"/>
    <x v="4"/>
    <s v="Independent learning providers (including employer providers)"/>
    <s v="Central Bedfordshire"/>
    <s v="East of England"/>
    <s v="East of England"/>
    <s v="NULL"/>
    <s v="NULL"/>
    <s v="ITS446607"/>
    <s v="Employer - Requires improvement"/>
    <d v="2015-06-30T00:00:00"/>
    <d v="2015-07-03T00:00:00"/>
    <d v="2015-07-22T00:00:00"/>
    <x v="0"/>
    <n v="2"/>
    <n v="2"/>
    <s v="-"/>
    <n v="2"/>
    <s v="ITS385766"/>
    <d v="2012-03-02T00:00:00"/>
    <n v="3"/>
    <n v="3"/>
    <n v="3"/>
    <s v="-"/>
    <n v="3"/>
    <s v="Improved"/>
  </r>
  <r>
    <s v="Ofsted Webpage"/>
    <n v="55378"/>
    <n v="10007502"/>
    <s v="Wigan Metropolitan Borough Council"/>
    <x v="2"/>
    <s v="Community learning and skills providers"/>
    <s v="Wigan"/>
    <s v="North West"/>
    <s v="North West"/>
    <s v="NULL"/>
    <s v="NULL"/>
    <n v="10011570"/>
    <s v="Community Learning and Skills - Local authority - Full"/>
    <d v="2016-06-14T00:00:00"/>
    <d v="2016-06-17T00:00:00"/>
    <d v="2016-07-19T00:00:00"/>
    <x v="0"/>
    <n v="2"/>
    <n v="2"/>
    <n v="2"/>
    <n v="2"/>
    <s v="ITS408468"/>
    <d v="2013-01-18T00:00:00"/>
    <n v="2"/>
    <n v="2"/>
    <n v="2"/>
    <s v="-"/>
    <n v="2"/>
    <s v="Stayed the Same"/>
  </r>
  <r>
    <s v="Ofsted Webpage"/>
    <n v="55402"/>
    <n v="10004327"/>
    <s v="Wirral Metropolitan Borough Council"/>
    <x v="2"/>
    <s v="Community learning and skills providers"/>
    <s v="Wirral"/>
    <s v="North West"/>
    <s v="North West"/>
    <s v="NULL"/>
    <s v="NULL"/>
    <n v="10011518"/>
    <s v="Community Learning and Skills - Local authority - Full"/>
    <d v="2016-05-17T00:00:00"/>
    <d v="2016-05-20T00:00:00"/>
    <d v="2016-06-21T00:00:00"/>
    <x v="2"/>
    <n v="3"/>
    <n v="3"/>
    <n v="3"/>
    <n v="3"/>
    <s v="ITS343858"/>
    <d v="2010-01-29T00:00:00"/>
    <n v="2"/>
    <n v="2"/>
    <n v="2"/>
    <s v="-"/>
    <n v="2"/>
    <s v="Declined"/>
  </r>
  <r>
    <s v="Ofsted Webpage"/>
    <n v="55413"/>
    <n v="10007576"/>
    <s v="Wolverhampton Adult Education Service"/>
    <x v="2"/>
    <s v="Community learning and skills providers"/>
    <s v="Wolverhampton"/>
    <s v="West Midlands"/>
    <s v="West Midlands"/>
    <s v="NULL"/>
    <s v="NULL"/>
    <s v="ITS446669"/>
    <s v="Adult and Community - full (regional) Historic"/>
    <d v="2014-12-08T00:00:00"/>
    <d v="2014-12-12T00:00:00"/>
    <d v="2015-01-15T00:00:00"/>
    <x v="1"/>
    <n v="1"/>
    <n v="1"/>
    <s v="-"/>
    <n v="1"/>
    <s v="ITS331468"/>
    <d v="2009-01-23T00:00:00"/>
    <n v="2"/>
    <n v="2"/>
    <n v="2"/>
    <s v="-"/>
    <n v="2"/>
    <s v="Improved"/>
  </r>
  <r>
    <s v="Ofsted Webpage"/>
    <n v="55416"/>
    <n v="10007594"/>
    <s v="Women's Technology Training Limited"/>
    <x v="3"/>
    <s v="Community learning and skills providers"/>
    <s v="Liverpool"/>
    <s v="North West"/>
    <s v="North West"/>
    <s v="NULL"/>
    <s v="NULL"/>
    <n v="10008496"/>
    <s v="Community Learning and Skills - Not for profit organisation - Full"/>
    <d v="2016-03-14T00:00:00"/>
    <d v="2016-03-17T00:00:00"/>
    <d v="2016-04-06T00:00:00"/>
    <x v="1"/>
    <n v="1"/>
    <n v="1"/>
    <n v="1"/>
    <n v="1"/>
    <s v="ITS423426"/>
    <d v="2013-11-29T00:00:00"/>
    <n v="2"/>
    <n v="2"/>
    <n v="2"/>
    <s v="-"/>
    <n v="1"/>
    <s v="Improved"/>
  </r>
  <r>
    <s v="Ofsted Webpage"/>
    <n v="55422"/>
    <n v="10007623"/>
    <s v="Worcestershire County Council"/>
    <x v="2"/>
    <s v="Community learning and skills providers"/>
    <s v="Worcestershire"/>
    <s v="West Midlands"/>
    <s v="West Midlands"/>
    <s v="NULL"/>
    <s v="NULL"/>
    <n v="10011519"/>
    <s v="Community Learning and Skills - Local authority - Requires Improvement"/>
    <d v="2016-06-07T00:00:00"/>
    <d v="2016-06-10T00:00:00"/>
    <d v="2016-07-15T00:00:00"/>
    <x v="0"/>
    <n v="2"/>
    <n v="2"/>
    <n v="2"/>
    <n v="2"/>
    <s v="ITS451949"/>
    <d v="2014-12-05T00:00:00"/>
    <n v="3"/>
    <n v="3"/>
    <n v="3"/>
    <s v="-"/>
    <n v="3"/>
    <s v="Improved"/>
  </r>
  <r>
    <s v="Ofsted Webpage"/>
    <n v="55448"/>
    <n v="10007659"/>
    <s v="WS Training Ltd"/>
    <x v="1"/>
    <s v="Independent learning providers (including employer providers)"/>
    <s v="Suffolk"/>
    <s v="East of England"/>
    <s v="East of England"/>
    <s v="NULL"/>
    <s v="NULL"/>
    <n v="10022609"/>
    <s v="Independent Learning Provider (Regional) - Full"/>
    <d v="2017-01-31T00:00:00"/>
    <d v="2017-02-03T00:00:00"/>
    <d v="2017-09-28T00:00:00"/>
    <x v="2"/>
    <n v="3"/>
    <n v="3"/>
    <n v="3"/>
    <n v="3"/>
    <s v="ITS408547"/>
    <d v="2013-02-08T00:00:00"/>
    <n v="2"/>
    <n v="2"/>
    <n v="2"/>
    <s v="-"/>
    <n v="2"/>
    <s v="Declined"/>
  </r>
  <r>
    <s v="Ofsted Webpage"/>
    <n v="55451"/>
    <n v="10008024"/>
    <s v="Wiltshire Transport Training &amp; Development Limited"/>
    <x v="1"/>
    <s v="Independent learning providers (including employer providers)"/>
    <s v="Wiltshire"/>
    <s v="South West"/>
    <s v="South West"/>
    <d v="2017-06-21T00:00:00"/>
    <n v="1"/>
    <s v="ITS429014"/>
    <s v="WBL (national) - Full"/>
    <d v="2013-12-10T00:00:00"/>
    <d v="2013-12-13T00:00:00"/>
    <d v="2014-01-22T00:00:00"/>
    <x v="0"/>
    <n v="2"/>
    <n v="2"/>
    <s v="-"/>
    <n v="2"/>
    <s v="ITS330018"/>
    <d v="2009-01-23T00:00:00"/>
    <n v="2"/>
    <n v="2"/>
    <n v="2"/>
    <s v="-"/>
    <n v="3"/>
    <s v="Stayed the Same"/>
  </r>
  <r>
    <s v="Ofsted Webpage"/>
    <n v="55466"/>
    <n v="10007697"/>
    <s v="YH Training Services Limited"/>
    <x v="1"/>
    <s v="Independent learning providers (including employer providers)"/>
    <s v="North Yorkshire"/>
    <s v="Yorkshire and The Humber"/>
    <s v="North East, Yorkshire and the Humber"/>
    <s v="NULL"/>
    <s v="NULL"/>
    <n v="10030669"/>
    <s v="Independent Learning Provider (Regional) - Full"/>
    <d v="2017-02-22T00:00:00"/>
    <d v="2017-02-24T00:00:00"/>
    <d v="2017-04-11T00:00:00"/>
    <x v="2"/>
    <n v="3"/>
    <n v="3"/>
    <n v="3"/>
    <n v="3"/>
    <s v="ITS408548"/>
    <d v="2013-03-22T00:00:00"/>
    <n v="2"/>
    <n v="2"/>
    <n v="2"/>
    <s v="-"/>
    <n v="2"/>
    <s v="Declined"/>
  </r>
  <r>
    <s v="Ofsted Webpage"/>
    <n v="55476"/>
    <n v="10001477"/>
    <s v="City of York Council"/>
    <x v="2"/>
    <s v="Community learning and skills providers"/>
    <s v="York"/>
    <s v="Yorkshire and The Humber"/>
    <s v="North East, Yorkshire and the Humber"/>
    <d v="2016-02-03T00:00:00"/>
    <n v="1"/>
    <s v="ITS365876"/>
    <s v="Adult and Community - full (regional) Historic"/>
    <d v="2011-06-06T00:00:00"/>
    <d v="2011-06-10T00:00:00"/>
    <d v="2011-07-15T00:00:00"/>
    <x v="0"/>
    <n v="2"/>
    <n v="2"/>
    <s v="-"/>
    <n v="2"/>
    <s v="ITS307138"/>
    <d v="2006-11-17T00:00:00"/>
    <n v="2"/>
    <s v="-"/>
    <s v="-"/>
    <s v="-"/>
    <n v="2"/>
    <s v="Stayed the Same"/>
  </r>
  <r>
    <s v="Ofsted Webpage"/>
    <n v="55491"/>
    <n v="10007755"/>
    <s v="Ingeus Training Limited"/>
    <x v="1"/>
    <s v="Independent learning providers (including employer providers)"/>
    <s v="Gateshead"/>
    <s v="North East"/>
    <s v="North East, Yorkshire and the Humber"/>
    <s v="NULL"/>
    <s v="NULL"/>
    <n v="10011520"/>
    <s v="Independent Learning Provider (National) - Full"/>
    <d v="2016-09-20T00:00:00"/>
    <d v="2016-09-23T00:00:00"/>
    <d v="2016-10-19T00:00:00"/>
    <x v="2"/>
    <n v="3"/>
    <n v="3"/>
    <n v="3"/>
    <n v="3"/>
    <s v="ITS345911"/>
    <d v="2010-08-13T00:00:00"/>
    <n v="2"/>
    <n v="2"/>
    <n v="2"/>
    <s v="-"/>
    <n v="2"/>
    <s v="Declined"/>
  </r>
  <r>
    <s v="Ofsted Webpage"/>
    <n v="55614"/>
    <n v="10000524"/>
    <s v="Barchester Healthcare Limited"/>
    <x v="4"/>
    <s v="Independent learning providers (including employer providers)"/>
    <s v="Hammersmith and Fulham"/>
    <s v="London"/>
    <s v="London"/>
    <d v="2016-08-11T00:00:00"/>
    <n v="1"/>
    <s v="ITS366024"/>
    <s v="WBL (national) - Full"/>
    <d v="2012-06-25T00:00:00"/>
    <d v="2012-06-28T00:00:00"/>
    <d v="2012-08-02T00:00:00"/>
    <x v="0"/>
    <n v="2"/>
    <n v="2"/>
    <s v="-"/>
    <n v="2"/>
    <s v="ITS329317"/>
    <d v="2008-07-04T00:00:00"/>
    <n v="3"/>
    <n v="3"/>
    <n v="3"/>
    <s v="-"/>
    <n v="3"/>
    <s v="Improved"/>
  </r>
  <r>
    <s v="Ofsted Webpage"/>
    <n v="56201"/>
    <n v="10036333"/>
    <s v="Hoople Ltd"/>
    <x v="1"/>
    <s v="Independent learning providers (including employer providers)"/>
    <s v="Herefordshire"/>
    <s v="West Midlands"/>
    <s v="West Midlands"/>
    <s v="NULL"/>
    <s v="NULL"/>
    <s v="ITS363194"/>
    <s v="Work based Learning - full inspection Historic"/>
    <d v="2011-01-24T00:00:00"/>
    <d v="2011-01-28T00:00:00"/>
    <d v="2011-03-04T00:00:00"/>
    <x v="1"/>
    <n v="1"/>
    <n v="1"/>
    <s v="-"/>
    <n v="1"/>
    <s v="ITS306454"/>
    <d v="2006-05-11T00:00:00"/>
    <n v="2"/>
    <s v="-"/>
    <s v="-"/>
    <s v="-"/>
    <n v="1"/>
    <s v="Improved"/>
  </r>
  <r>
    <s v="Ofsted Webpage"/>
    <n v="56562"/>
    <n v="10004339"/>
    <s v="Mid Cheshire College"/>
    <x v="1"/>
    <s v="Independent learning providers (including employer providers)"/>
    <s v="Cheshire West and Chester"/>
    <s v="North West"/>
    <s v="North West"/>
    <s v="NULL"/>
    <s v="NULL"/>
    <s v="NULL"/>
    <s v="NULL"/>
    <s v="NULL"/>
    <s v="NULL"/>
    <s v="NULL"/>
    <x v="5"/>
    <s v="NULL"/>
    <s v="NULL"/>
    <s v="NULL"/>
    <s v="NULL"/>
    <s v="NULL"/>
    <s v="NULL"/>
    <s v="NULL"/>
    <s v="NULL"/>
    <s v="NULL"/>
    <s v="NULL"/>
    <s v="NULL"/>
    <s v="NULL"/>
  </r>
  <r>
    <s v="Ofsted Webpage"/>
    <n v="56776"/>
    <n v="10019311"/>
    <s v="Platinum Employment Advice &amp; Training Limited"/>
    <x v="1"/>
    <s v="Independent learning providers (including employer providers)"/>
    <s v="Birmingham"/>
    <s v="West Midlands"/>
    <s v="West Midlands"/>
    <s v="NULL"/>
    <s v="NULL"/>
    <n v="10022587"/>
    <s v="Independent Learning Provider (Regional) - Full"/>
    <d v="2017-01-17T00:00:00"/>
    <d v="2017-01-20T00:00:00"/>
    <d v="2017-02-15T00:00:00"/>
    <x v="4"/>
    <n v="4"/>
    <n v="4"/>
    <n v="4"/>
    <n v="4"/>
    <s v="ITS408486"/>
    <d v="2013-05-03T00:00:00"/>
    <n v="2"/>
    <n v="2"/>
    <n v="2"/>
    <s v="-"/>
    <n v="2"/>
    <s v="Declined"/>
  </r>
  <r>
    <s v="Ofsted Webpage"/>
    <n v="57165"/>
    <n v="10027655"/>
    <s v="Starting Off (Northampton) Limited"/>
    <x v="1"/>
    <s v="Independent learning providers (including employer providers)"/>
    <s v="Northamptonshire"/>
    <s v="East Midlands"/>
    <s v="East Midlands"/>
    <d v="2016-03-24T00:00:00"/>
    <n v="1"/>
    <s v="ITS364606"/>
    <s v="Work based Learning - full inspection Historic"/>
    <d v="2010-10-12T00:00:00"/>
    <d v="2010-10-15T00:00:00"/>
    <d v="2010-11-19T00:00:00"/>
    <x v="0"/>
    <n v="1"/>
    <n v="2"/>
    <s v="-"/>
    <n v="2"/>
    <s v="NULL"/>
    <s v="NULL"/>
    <s v="NULL"/>
    <s v="NULL"/>
    <s v="NULL"/>
    <s v="NULL"/>
    <s v="NULL"/>
    <s v="Not Applicable"/>
  </r>
  <r>
    <s v="Ofsted Webpage"/>
    <n v="57598"/>
    <n v="10007405"/>
    <s v="YMCA Training"/>
    <x v="3"/>
    <s v="Community learning and skills providers"/>
    <s v="Doncaster"/>
    <s v="Yorkshire and The Humber"/>
    <s v="North East, Yorkshire and the Humber"/>
    <s v="NULL"/>
    <s v="NULL"/>
    <n v="10022623"/>
    <s v="Community Learning and Skills - Not for profit organisation - Requires Improvement"/>
    <d v="2017-01-17T00:00:00"/>
    <d v="2017-01-20T00:00:00"/>
    <d v="2017-02-17T00:00:00"/>
    <x v="0"/>
    <n v="2"/>
    <n v="2"/>
    <n v="2"/>
    <n v="2"/>
    <s v="ITS452735"/>
    <d v="2015-03-27T00:00:00"/>
    <n v="3"/>
    <n v="3"/>
    <n v="3"/>
    <s v="-"/>
    <n v="3"/>
    <s v="Improved"/>
  </r>
  <r>
    <s v="Ofsted Webpage"/>
    <n v="57680"/>
    <n v="10000421"/>
    <s v="Aspiration Training Limited"/>
    <x v="1"/>
    <s v="Independent learning providers (including employer providers)"/>
    <s v="Worcestershire"/>
    <s v="West Midlands"/>
    <s v="West Midlands"/>
    <s v="NULL"/>
    <s v="NULL"/>
    <n v="10005040"/>
    <s v="Independent Learning Provider (Regional) - Requires Improvement - second inspection"/>
    <d v="2016-11-29T00:00:00"/>
    <d v="2016-12-02T00:00:00"/>
    <d v="2017-01-13T00:00:00"/>
    <x v="0"/>
    <n v="2"/>
    <n v="2"/>
    <n v="2"/>
    <n v="2"/>
    <s v="ITS429796"/>
    <d v="2015-01-23T00:00:00"/>
    <n v="3"/>
    <n v="3"/>
    <n v="3"/>
    <s v="-"/>
    <n v="3"/>
    <s v="Improved"/>
  </r>
  <r>
    <s v="Ofsted Webpage"/>
    <n v="57752"/>
    <n v="10027662"/>
    <s v="British Telecommunications PLC"/>
    <x v="4"/>
    <s v="Independent learning providers (including employer providers)"/>
    <s v="City of London"/>
    <s v="London"/>
    <s v="London"/>
    <s v="NULL"/>
    <s v="NULL"/>
    <n v="10020117"/>
    <s v="Independent Learning Provider (National) - Full"/>
    <d v="2016-12-06T00:00:00"/>
    <d v="2016-12-09T00:00:00"/>
    <d v="2017-01-19T00:00:00"/>
    <x v="0"/>
    <n v="2"/>
    <n v="2"/>
    <n v="1"/>
    <n v="2"/>
    <s v="ITS387963"/>
    <d v="2012-05-18T00:00:00"/>
    <n v="1"/>
    <n v="1"/>
    <n v="2"/>
    <s v="-"/>
    <n v="1"/>
    <s v="Declined"/>
  </r>
  <r>
    <s v="Ofsted Webpage"/>
    <n v="57838"/>
    <n v="10018344"/>
    <s v="Bestland Solutions Limited"/>
    <x v="1"/>
    <s v="Independent learning providers (including employer providers)"/>
    <s v="Westminster"/>
    <s v="London"/>
    <s v="London"/>
    <s v="NULL"/>
    <s v="NULL"/>
    <n v="10011521"/>
    <s v="Independent Learning Provider (Regional) - Requires Improvement"/>
    <d v="2016-07-26T00:00:00"/>
    <d v="2016-07-29T00:00:00"/>
    <d v="2016-08-17T00:00:00"/>
    <x v="0"/>
    <n v="2"/>
    <n v="2"/>
    <n v="2"/>
    <n v="2"/>
    <s v="ITS452620"/>
    <d v="2014-11-07T00:00:00"/>
    <n v="3"/>
    <n v="3"/>
    <n v="3"/>
    <s v="-"/>
    <n v="3"/>
    <s v="Improved"/>
  </r>
  <r>
    <s v="Ofsted Webpage"/>
    <n v="57839"/>
    <n v="10009213"/>
    <s v="Fashion Retail Academy"/>
    <x v="1"/>
    <s v="Independent learning providers (including employer providers)"/>
    <s v="Westminster"/>
    <s v="London"/>
    <s v="London"/>
    <s v="NULL"/>
    <s v="NULL"/>
    <n v="10011522"/>
    <s v="Independent Learning Provider (Regional) - Full"/>
    <d v="2016-09-20T00:00:00"/>
    <d v="2016-09-23T00:00:00"/>
    <d v="2016-11-07T00:00:00"/>
    <x v="1"/>
    <n v="1"/>
    <n v="1"/>
    <n v="1"/>
    <n v="1"/>
    <s v="ITS342929"/>
    <d v="2009-12-11T00:00:00"/>
    <n v="2"/>
    <n v="2"/>
    <n v="2"/>
    <s v="-"/>
    <n v="3"/>
    <s v="Improved"/>
  </r>
  <r>
    <s v="Ofsted Webpage"/>
    <n v="57860"/>
    <n v="10012467"/>
    <s v="HIT Training Ltd"/>
    <x v="1"/>
    <s v="Independent learning providers (including employer providers)"/>
    <s v="West Sussex"/>
    <s v="South East"/>
    <s v="South East"/>
    <s v="NULL"/>
    <s v="NULL"/>
    <n v="10022514"/>
    <s v="Independent Learning Provider (National) - Full"/>
    <d v="2017-03-07T00:00:00"/>
    <d v="2017-03-10T00:00:00"/>
    <d v="2017-04-13T00:00:00"/>
    <x v="0"/>
    <n v="2"/>
    <n v="2"/>
    <n v="2"/>
    <n v="2"/>
    <s v="ITS455591"/>
    <d v="2015-06-26T00:00:00"/>
    <n v="2"/>
    <n v="2"/>
    <n v="2"/>
    <s v="-"/>
    <n v="2"/>
    <s v="Stayed the Same"/>
  </r>
  <r>
    <s v="Ofsted Webpage"/>
    <n v="57881"/>
    <n v="10008935"/>
    <s v="Learning Curve (JAA) Limited"/>
    <x v="1"/>
    <s v="Independent learning providers (including employer providers)"/>
    <s v="Durham"/>
    <s v="North East"/>
    <s v="North East, Yorkshire and the Humber"/>
    <d v="2017-07-13T00:00:00"/>
    <n v="1"/>
    <s v="ITS429801"/>
    <s v="WBL (national) - Full"/>
    <d v="2014-03-24T00:00:00"/>
    <d v="2014-03-28T00:00:00"/>
    <d v="2014-04-30T00:00:00"/>
    <x v="0"/>
    <n v="1"/>
    <n v="2"/>
    <s v="-"/>
    <n v="2"/>
    <s v="ITS330919"/>
    <d v="2009-01-23T00:00:00"/>
    <n v="2"/>
    <n v="2"/>
    <n v="3"/>
    <s v="-"/>
    <n v="3"/>
    <s v="Stayed the Same"/>
  </r>
  <r>
    <s v="Ofsted Webpage"/>
    <n v="57907"/>
    <n v="10003981"/>
    <s v="Lomax Training Services Limited"/>
    <x v="1"/>
    <s v="Independent learning providers (including employer providers)"/>
    <s v="North Tyneside"/>
    <s v="North East"/>
    <s v="North East, Yorkshire and the Humber"/>
    <s v="NULL"/>
    <s v="NULL"/>
    <s v="ITS333621"/>
    <s v="Train to Gain - full inspection Historic"/>
    <d v="2009-08-04T00:00:00"/>
    <d v="2009-08-07T00:00:00"/>
    <d v="2009-09-21T00:00:00"/>
    <x v="2"/>
    <n v="2"/>
    <n v="3"/>
    <s v="-"/>
    <n v="3"/>
    <s v="NULL"/>
    <s v="NULL"/>
    <s v="NULL"/>
    <s v="NULL"/>
    <s v="NULL"/>
    <s v="NULL"/>
    <s v="NULL"/>
    <s v="Not Applicable"/>
  </r>
  <r>
    <s v="Ofsted Webpage"/>
    <n v="57942"/>
    <n v="10013515"/>
    <s v="Northern Care Training Limited"/>
    <x v="1"/>
    <s v="Independent learning providers (including employer providers)"/>
    <s v="Durham"/>
    <s v="North East"/>
    <s v="North East, Yorkshire and the Humber"/>
    <s v="NULL"/>
    <s v="NULL"/>
    <n v="10022491"/>
    <s v="Independent Learning Provider (National) - Full"/>
    <d v="2017-03-21T00:00:00"/>
    <d v="2017-03-24T00:00:00"/>
    <d v="2017-05-04T00:00:00"/>
    <x v="1"/>
    <n v="1"/>
    <n v="1"/>
    <n v="1"/>
    <n v="1"/>
    <s v="ITS429006"/>
    <d v="2013-10-11T00:00:00"/>
    <n v="2"/>
    <n v="2"/>
    <n v="2"/>
    <s v="-"/>
    <n v="2"/>
    <s v="Improved"/>
  </r>
  <r>
    <s v="Ofsted Webpage"/>
    <n v="57951"/>
    <n v="10011881"/>
    <s v="Pearson PLC"/>
    <x v="4"/>
    <s v="Independent learning providers (including employer providers)"/>
    <s v="Essex"/>
    <s v="East of England"/>
    <s v="East of England"/>
    <s v="NULL"/>
    <s v="NULL"/>
    <n v="10020885"/>
    <s v="Independent Learning Provider (National) - Reinspection"/>
    <d v="2016-10-12T00:00:00"/>
    <d v="2016-10-13T00:00:00"/>
    <d v="2016-11-23T00:00:00"/>
    <x v="0"/>
    <n v="2"/>
    <n v="2"/>
    <n v="2"/>
    <n v="2"/>
    <n v="10005044"/>
    <d v="2015-12-10T00:00:00"/>
    <n v="4"/>
    <n v="4"/>
    <n v="4"/>
    <n v="4"/>
    <n v="4"/>
    <s v="Improved"/>
  </r>
  <r>
    <s v="Ofsted Webpage"/>
    <n v="57991"/>
    <n v="10013658"/>
    <s v="Prospect Training (Yorkshire) Limited"/>
    <x v="1"/>
    <s v="Independent learning providers (including employer providers)"/>
    <s v="Doncaster"/>
    <s v="Yorkshire and The Humber"/>
    <s v="North East, Yorkshire and the Humber"/>
    <s v="NULL"/>
    <s v="NULL"/>
    <s v="NULL"/>
    <s v="NULL"/>
    <s v="NULL"/>
    <s v="NULL"/>
    <s v="NULL"/>
    <x v="5"/>
    <s v="NULL"/>
    <s v="NULL"/>
    <s v="NULL"/>
    <s v="NULL"/>
    <s v="NULL"/>
    <s v="NULL"/>
    <s v="NULL"/>
    <s v="NULL"/>
    <s v="NULL"/>
    <s v="NULL"/>
    <s v="NULL"/>
    <s v="NULL"/>
  </r>
  <r>
    <s v="Ofsted Webpage"/>
    <n v="58047"/>
    <n v="10013042"/>
    <s v="Sheffield Independent Film and Television Limited"/>
    <x v="1"/>
    <s v="Independent learning providers (including employer providers)"/>
    <s v="Sheffield"/>
    <s v="Yorkshire and The Humber"/>
    <s v="North East, Yorkshire and the Humber"/>
    <s v="NULL"/>
    <s v="NULL"/>
    <n v="10005045"/>
    <s v="Independent Learning Provider (Regional) - Full"/>
    <d v="2016-03-15T00:00:00"/>
    <d v="2016-03-17T00:00:00"/>
    <d v="2016-04-13T00:00:00"/>
    <x v="0"/>
    <n v="2"/>
    <n v="2"/>
    <n v="2"/>
    <n v="2"/>
    <s v="ITS410131"/>
    <d v="2013-05-23T00:00:00"/>
    <n v="2"/>
    <n v="2"/>
    <n v="2"/>
    <s v="-"/>
    <n v="2"/>
    <s v="Stayed the Same"/>
  </r>
  <r>
    <s v="Ofsted Webpage"/>
    <n v="58054"/>
    <n v="10005113"/>
    <s v="Slough Pit Stop Project Limited"/>
    <x v="3"/>
    <s v="Community learning and skills providers"/>
    <s v="Slough"/>
    <s v="South East"/>
    <s v="South East"/>
    <s v="NULL"/>
    <s v="NULL"/>
    <n v="10011560"/>
    <s v="Independent Learning Provider (Regional) - Full"/>
    <d v="2016-05-10T00:00:00"/>
    <d v="2016-05-13T00:00:00"/>
    <d v="2016-06-08T00:00:00"/>
    <x v="2"/>
    <n v="3"/>
    <n v="3"/>
    <n v="3"/>
    <n v="3"/>
    <s v="ITS407163"/>
    <d v="2012-10-26T00:00:00"/>
    <n v="2"/>
    <n v="2"/>
    <n v="2"/>
    <s v="-"/>
    <n v="2"/>
    <s v="Declined"/>
  </r>
  <r>
    <s v="Ofsted Webpage"/>
    <n v="58118"/>
    <n v="10008591"/>
    <s v="West Yorkshire Learning Providers Ltd"/>
    <x v="3"/>
    <s v="Community learning and skills providers"/>
    <s v="Bradford"/>
    <s v="Yorkshire and The Humber"/>
    <s v="North East, Yorkshire and the Humber"/>
    <d v="2017-10-12T00:00:00"/>
    <n v="1"/>
    <s v="ITS429233"/>
    <s v="Employer - Requires improvement"/>
    <d v="2014-04-28T00:00:00"/>
    <d v="2014-05-02T00:00:00"/>
    <d v="2014-06-07T00:00:00"/>
    <x v="0"/>
    <n v="2"/>
    <n v="2"/>
    <s v="-"/>
    <n v="2"/>
    <s v="ITS399117"/>
    <d v="2012-12-07T00:00:00"/>
    <n v="3"/>
    <n v="3"/>
    <n v="3"/>
    <s v="-"/>
    <n v="3"/>
    <s v="Improved"/>
  </r>
  <r>
    <s v="Ofsted Webpage"/>
    <n v="58132"/>
    <n v="10007722"/>
    <s v="Yorkshire Training Partnership Limited"/>
    <x v="1"/>
    <s v="Independent learning providers (including employer providers)"/>
    <s v="Rotherham"/>
    <s v="Yorkshire and The Humber"/>
    <s v="North East, Yorkshire and the Humber"/>
    <s v="NULL"/>
    <s v="NULL"/>
    <s v="ITS443134"/>
    <s v="Employer - Requires improvement"/>
    <d v="2015-06-01T00:00:00"/>
    <d v="2015-06-05T00:00:00"/>
    <d v="2015-07-08T00:00:00"/>
    <x v="0"/>
    <n v="2"/>
    <n v="2"/>
    <s v="-"/>
    <n v="2"/>
    <s v="ITS420897"/>
    <d v="2013-12-13T00:00:00"/>
    <n v="3"/>
    <n v="3"/>
    <n v="3"/>
    <s v="-"/>
    <n v="3"/>
    <s v="Improved"/>
  </r>
  <r>
    <s v="Ofsted Webpage"/>
    <n v="58137"/>
    <n v="10010586"/>
    <s v="Easton Learning Centre"/>
    <x v="1"/>
    <s v="Independent learning providers (including employer providers)"/>
    <s v="Bristol"/>
    <s v="South West"/>
    <s v="South West"/>
    <s v="NULL"/>
    <s v="NULL"/>
    <s v="NULL"/>
    <s v="NULL"/>
    <s v="NULL"/>
    <s v="NULL"/>
    <s v="NULL"/>
    <x v="5"/>
    <s v="NULL"/>
    <s v="NULL"/>
    <s v="NULL"/>
    <s v="NULL"/>
    <s v="NULL"/>
    <s v="NULL"/>
    <s v="NULL"/>
    <s v="NULL"/>
    <s v="NULL"/>
    <s v="NULL"/>
    <s v="NULL"/>
    <s v="NULL"/>
  </r>
  <r>
    <s v="Ofsted Webpage"/>
    <n v="58159"/>
    <n v="10006651"/>
    <s v="The Derbyshire Network"/>
    <x v="1"/>
    <s v="Independent learning providers (including employer providers)"/>
    <s v="Derbyshire"/>
    <s v="East Midlands"/>
    <s v="East Midlands"/>
    <s v="NULL"/>
    <s v="NULL"/>
    <n v="10005046"/>
    <s v="Independent Learning Provider (National) - Requires improvement"/>
    <d v="2015-11-10T00:00:00"/>
    <d v="2015-11-13T00:00:00"/>
    <d v="2015-12-02T00:00:00"/>
    <x v="0"/>
    <n v="2"/>
    <n v="2"/>
    <n v="2"/>
    <n v="2"/>
    <s v="ITS429003"/>
    <d v="2013-11-08T00:00:00"/>
    <n v="3"/>
    <n v="3"/>
    <n v="3"/>
    <s v="-"/>
    <n v="3"/>
    <s v="Improved"/>
  </r>
  <r>
    <s v="Ofsted Webpage"/>
    <n v="58160"/>
    <n v="10003231"/>
    <s v="EXG LIMITED"/>
    <x v="1"/>
    <s v="Independent learning providers (including employer providers)"/>
    <s v="Hounslow"/>
    <s v="London"/>
    <s v="London"/>
    <s v="NULL"/>
    <s v="NULL"/>
    <s v="ITS385779"/>
    <s v="WBL (national) - Full"/>
    <d v="2012-03-20T00:00:00"/>
    <d v="2012-03-23T00:00:00"/>
    <d v="2012-05-01T00:00:00"/>
    <x v="0"/>
    <n v="2"/>
    <n v="3"/>
    <s v="-"/>
    <n v="2"/>
    <s v="ITS329383"/>
    <d v="2008-12-11T00:00:00"/>
    <n v="2"/>
    <n v="2"/>
    <n v="3"/>
    <s v="-"/>
    <n v="2"/>
    <s v="Stayed the Same"/>
  </r>
  <r>
    <s v="Ofsted Webpage"/>
    <n v="58161"/>
    <n v="10004807"/>
    <s v="Nottinghamshire Training Network"/>
    <x v="1"/>
    <s v="Independent learning providers (including employer providers)"/>
    <s v="Nottinghamshire"/>
    <s v="East Midlands"/>
    <s v="East Midlands"/>
    <s v="NULL"/>
    <s v="NULL"/>
    <n v="10030709"/>
    <s v="Independent Learning Provider (National) - Requires improvement"/>
    <d v="2017-05-09T00:00:00"/>
    <d v="2017-05-12T00:00:00"/>
    <d v="2017-05-31T00:00:00"/>
    <x v="2"/>
    <n v="3"/>
    <n v="3"/>
    <n v="3"/>
    <n v="3"/>
    <n v="10005048"/>
    <d v="2015-10-09T00:00:00"/>
    <n v="3"/>
    <n v="3"/>
    <n v="3"/>
    <n v="3"/>
    <n v="3"/>
    <s v="Stayed the Same"/>
  </r>
  <r>
    <s v="Ofsted Webpage"/>
    <n v="58163"/>
    <n v="10008135"/>
    <s v="Buzz Learning Limited"/>
    <x v="1"/>
    <s v="Independent learning providers (including employer providers)"/>
    <s v="Northumberland"/>
    <s v="North East"/>
    <s v="North East, Yorkshire and the Humber"/>
    <d v="2017-07-06T00:00:00"/>
    <n v="1"/>
    <s v="ITS434038"/>
    <s v="Employer - Full"/>
    <d v="2014-06-02T00:00:00"/>
    <d v="2014-06-05T00:00:00"/>
    <d v="2014-07-08T00:00:00"/>
    <x v="0"/>
    <n v="2"/>
    <n v="2"/>
    <s v="-"/>
    <n v="2"/>
    <s v="ITS388109"/>
    <d v="2012-07-19T00:00:00"/>
    <n v="3"/>
    <n v="3"/>
    <n v="3"/>
    <s v="-"/>
    <n v="3"/>
    <s v="Improved"/>
  </r>
  <r>
    <s v="Ofsted Webpage"/>
    <n v="58166"/>
    <n v="10010672"/>
    <s v="Train'd Up Railway Resourcing Limited"/>
    <x v="1"/>
    <s v="Independent learning providers (including employer providers)"/>
    <s v="Clackmannanshire"/>
    <s v="Scotland"/>
    <s v="London"/>
    <s v="NULL"/>
    <s v="NULL"/>
    <n v="10011524"/>
    <s v="Independent Learning Provider (National) - Full"/>
    <d v="2016-04-05T00:00:00"/>
    <d v="2016-04-08T00:00:00"/>
    <d v="2016-05-11T00:00:00"/>
    <x v="0"/>
    <n v="2"/>
    <n v="2"/>
    <n v="2"/>
    <n v="2"/>
    <s v="ITS399115"/>
    <d v="2012-11-30T00:00:00"/>
    <n v="2"/>
    <n v="2"/>
    <n v="2"/>
    <s v="-"/>
    <n v="3"/>
    <s v="Stayed the Same"/>
  </r>
  <r>
    <s v="Ofsted Webpage"/>
    <n v="58168"/>
    <n v="10010939"/>
    <s v="TQ Workforce Development Limited"/>
    <x v="1"/>
    <s v="Independent learning providers (including employer providers)"/>
    <s v="Northamptonshire"/>
    <s v="East Midlands"/>
    <s v="East Midlands"/>
    <s v="NULL"/>
    <s v="NULL"/>
    <n v="10030705"/>
    <s v="Independent Learning Provider (National) - Full"/>
    <d v="2017-06-13T00:00:00"/>
    <d v="2017-06-16T00:00:00"/>
    <d v="2017-07-19T00:00:00"/>
    <x v="2"/>
    <n v="3"/>
    <n v="3"/>
    <n v="3"/>
    <n v="3"/>
    <s v="ITS430261"/>
    <d v="2014-10-03T00:00:00"/>
    <n v="2"/>
    <n v="2"/>
    <n v="2"/>
    <s v="-"/>
    <n v="2"/>
    <s v="Declined"/>
  </r>
  <r>
    <s v="Ofsted Webpage"/>
    <n v="58176"/>
    <n v="10011240"/>
    <s v="HSBC Bank PLC"/>
    <x v="4"/>
    <s v="Independent learning providers (including employer providers)"/>
    <s v="Tower Hamlets"/>
    <s v="London"/>
    <s v="London"/>
    <s v="NULL"/>
    <s v="NULL"/>
    <s v="ITS424337"/>
    <s v="WBL (national) - Full"/>
    <d v="2013-08-05T00:00:00"/>
    <d v="2013-08-09T00:00:00"/>
    <d v="2013-09-06T00:00:00"/>
    <x v="0"/>
    <n v="2"/>
    <n v="2"/>
    <s v="-"/>
    <n v="2"/>
    <s v="ITS321615"/>
    <d v="2008-08-29T00:00:00"/>
    <n v="2"/>
    <n v="2"/>
    <n v="2"/>
    <s v="-"/>
    <n v="2"/>
    <s v="Stayed the Same"/>
  </r>
  <r>
    <s v="Ofsted Webpage"/>
    <n v="58177"/>
    <n v="10001149"/>
    <s v="Capita PLC"/>
    <x v="4"/>
    <s v="Independent learning providers (including employer providers)"/>
    <s v="City of London"/>
    <s v="London"/>
    <s v="London"/>
    <s v="NULL"/>
    <s v="NULL"/>
    <n v="10022581"/>
    <s v="Independent Learning Provider (National) - Full"/>
    <d v="2017-09-12T00:00:00"/>
    <d v="2017-09-15T00:00:00"/>
    <d v="2017-10-20T00:00:00"/>
    <x v="0"/>
    <n v="2"/>
    <n v="2"/>
    <n v="1"/>
    <n v="2"/>
    <s v="ITS404579"/>
    <d v="2012-10-26T00:00:00"/>
    <n v="2"/>
    <n v="2"/>
    <n v="2"/>
    <s v="-"/>
    <n v="2"/>
    <s v="Stayed the Same"/>
  </r>
  <r>
    <s v="Ofsted Webpage"/>
    <n v="58178"/>
    <n v="10013548"/>
    <s v="England and Wales Cricket Board Limited"/>
    <x v="1"/>
    <s v="Independent learning providers (including employer providers)"/>
    <s v="Westminster"/>
    <s v="London"/>
    <s v="London"/>
    <d v="2016-02-25T00:00:00"/>
    <n v="1"/>
    <s v="ITS365561"/>
    <s v="WBL (national) - Full"/>
    <d v="2010-11-23T00:00:00"/>
    <d v="2010-11-26T00:00:00"/>
    <d v="2011-01-04T00:00:00"/>
    <x v="0"/>
    <n v="2"/>
    <n v="3"/>
    <s v="-"/>
    <n v="2"/>
    <s v="ITS320830"/>
    <d v="2008-04-18T00:00:00"/>
    <n v="3"/>
    <n v="3"/>
    <n v="3"/>
    <s v="-"/>
    <n v="3"/>
    <s v="Improved"/>
  </r>
  <r>
    <s v="Ofsted Webpage"/>
    <n v="58179"/>
    <n v="10014199"/>
    <s v="Veolia Environment Development Centre Limited"/>
    <x v="4"/>
    <s v="Independent learning providers (including employer providers)"/>
    <s v="Islington"/>
    <s v="London"/>
    <s v="London"/>
    <s v="NULL"/>
    <s v="NULL"/>
    <n v="10022560"/>
    <s v="Independent Learning Provider (National) - Requires improvement - second inspection"/>
    <d v="2017-03-20T00:00:00"/>
    <d v="2017-03-23T00:00:00"/>
    <d v="2017-04-21T00:00:00"/>
    <x v="0"/>
    <n v="2"/>
    <n v="2"/>
    <n v="2"/>
    <n v="2"/>
    <s v="ITS440392"/>
    <d v="2015-04-24T00:00:00"/>
    <n v="3"/>
    <n v="3"/>
    <n v="3"/>
    <s v="-"/>
    <n v="3"/>
    <s v="Improved"/>
  </r>
  <r>
    <s v="Ofsted Webpage"/>
    <n v="58182"/>
    <n v="10022654"/>
    <s v="Lawn Tennis Association Limited"/>
    <x v="1"/>
    <s v="Independent learning providers (including employer providers)"/>
    <s v="Wandsworth"/>
    <s v="London"/>
    <s v="London"/>
    <s v="NULL"/>
    <s v="NULL"/>
    <s v="ITS446609"/>
    <s v="WBL (national) - Full"/>
    <d v="2014-10-06T00:00:00"/>
    <d v="2014-10-10T00:00:00"/>
    <d v="2014-11-17T00:00:00"/>
    <x v="1"/>
    <n v="1"/>
    <n v="1"/>
    <s v="-"/>
    <n v="1"/>
    <s v="ITS321537"/>
    <d v="2008-11-13T00:00:00"/>
    <n v="2"/>
    <n v="2"/>
    <n v="2"/>
    <s v="-"/>
    <n v="2"/>
    <s v="Improved"/>
  </r>
  <r>
    <s v="Ofsted Webpage"/>
    <n v="58184"/>
    <n v="10032145"/>
    <s v="Thomas Cook Group UK Limited"/>
    <x v="4"/>
    <s v="Independent learning providers (including employer providers)"/>
    <s v="Peterborough"/>
    <s v="East of England"/>
    <s v="East of England"/>
    <s v="NULL"/>
    <s v="NULL"/>
    <s v="ITS452987"/>
    <s v="WBL (national) - Full"/>
    <d v="2015-03-23T00:00:00"/>
    <d v="2015-03-27T00:00:00"/>
    <d v="2015-04-30T00:00:00"/>
    <x v="1"/>
    <n v="1"/>
    <n v="1"/>
    <s v="-"/>
    <n v="1"/>
    <s v="ITS332129"/>
    <d v="2009-06-19T00:00:00"/>
    <n v="2"/>
    <n v="3"/>
    <n v="2"/>
    <s v="-"/>
    <n v="2"/>
    <s v="Improved"/>
  </r>
  <r>
    <s v="Ofsted Webpage"/>
    <n v="58186"/>
    <n v="10020022"/>
    <s v="Finmeccanica UK Limited"/>
    <x v="4"/>
    <s v="Independent learning providers (including employer providers)"/>
    <s v="Somerset"/>
    <s v="South West"/>
    <s v="South West"/>
    <s v="NULL"/>
    <s v="NULL"/>
    <s v="ITS333554"/>
    <s v="WBL (national) - Full"/>
    <d v="2009-07-06T00:00:00"/>
    <d v="2009-07-09T00:00:00"/>
    <d v="2009-08-04T00:00:00"/>
    <x v="1"/>
    <n v="1"/>
    <n v="2"/>
    <s v="-"/>
    <n v="2"/>
    <s v="NULL"/>
    <s v="NULL"/>
    <s v="NULL"/>
    <s v="NULL"/>
    <s v="NULL"/>
    <s v="NULL"/>
    <s v="NULL"/>
    <s v="Not Applicable"/>
  </r>
  <r>
    <s v="Ofsted Webpage"/>
    <n v="58187"/>
    <n v="10019839"/>
    <s v="Start Training Ltd"/>
    <x v="1"/>
    <s v="Independent learning providers (including employer providers)"/>
    <s v="Salford"/>
    <s v="North West"/>
    <s v="North West"/>
    <s v="NULL"/>
    <s v="NULL"/>
    <s v="ITS410654"/>
    <s v="WBL (national) - Full"/>
    <d v="2013-07-22T00:00:00"/>
    <d v="2013-07-26T00:00:00"/>
    <d v="2013-08-21T00:00:00"/>
    <x v="0"/>
    <n v="2"/>
    <n v="2"/>
    <s v="-"/>
    <n v="2"/>
    <s v="ITS321577"/>
    <d v="2008-06-19T00:00:00"/>
    <n v="2"/>
    <n v="2"/>
    <n v="2"/>
    <s v="-"/>
    <n v="2"/>
    <s v="Stayed the Same"/>
  </r>
  <r>
    <s v="Ofsted Webpage"/>
    <n v="58192"/>
    <n v="10030462"/>
    <s v="Voyage Group Limited"/>
    <x v="4"/>
    <s v="Independent learning providers (including employer providers)"/>
    <s v="Staffordshire"/>
    <s v="West Midlands"/>
    <s v="West Midlands"/>
    <d v="2017-04-27T00:00:00"/>
    <n v="1"/>
    <s v="ITS429236"/>
    <s v="Employer - Requires improvement"/>
    <d v="2014-02-04T00:00:00"/>
    <d v="2014-02-07T00:00:00"/>
    <d v="2014-03-19T00:00:00"/>
    <x v="0"/>
    <n v="2"/>
    <n v="2"/>
    <s v="-"/>
    <n v="2"/>
    <s v="ITS399087"/>
    <d v="2012-10-26T00:00:00"/>
    <n v="3"/>
    <n v="3"/>
    <n v="3"/>
    <s v="-"/>
    <n v="3"/>
    <s v="Improved"/>
  </r>
  <r>
    <s v="Ofsted Webpage"/>
    <n v="58194"/>
    <n v="10019380"/>
    <s v="Paddington Development Trust"/>
    <x v="1"/>
    <s v="Independent learning providers (including employer providers)"/>
    <s v="Westminster"/>
    <s v="London"/>
    <s v="London"/>
    <s v="NULL"/>
    <s v="NULL"/>
    <s v="NULL"/>
    <s v="NULL"/>
    <s v="NULL"/>
    <s v="NULL"/>
    <s v="NULL"/>
    <x v="5"/>
    <s v="NULL"/>
    <s v="NULL"/>
    <s v="NULL"/>
    <s v="NULL"/>
    <s v="NULL"/>
    <s v="NULL"/>
    <s v="NULL"/>
    <s v="NULL"/>
    <s v="NULL"/>
    <s v="NULL"/>
    <s v="NULL"/>
    <s v="NULL"/>
  </r>
  <r>
    <s v="Ofsted Webpage"/>
    <n v="58199"/>
    <n v="10020811"/>
    <s v="Superdrug Stores PLC"/>
    <x v="4"/>
    <s v="Independent learning providers (including employer providers)"/>
    <s v="Wakefield"/>
    <s v="Yorkshire and The Humber"/>
    <s v="North East, Yorkshire and the Humber"/>
    <s v="NULL"/>
    <s v="NULL"/>
    <s v="ITS411372"/>
    <s v="WBL (national) - Reinspection"/>
    <d v="2013-11-26T00:00:00"/>
    <d v="2013-11-29T00:00:00"/>
    <d v="2014-01-08T00:00:00"/>
    <x v="0"/>
    <n v="2"/>
    <n v="2"/>
    <s v="-"/>
    <n v="2"/>
    <s v="ITS399083"/>
    <d v="2012-10-19T00:00:00"/>
    <n v="4"/>
    <n v="4"/>
    <n v="3"/>
    <s v="-"/>
    <n v="4"/>
    <s v="Improved"/>
  </r>
  <r>
    <s v="Ofsted Webpage"/>
    <n v="58219"/>
    <n v="10021665"/>
    <s v="Health &amp; Safety Training Limited"/>
    <x v="1"/>
    <s v="Independent learning providers (including employer providers)"/>
    <s v="North Tyneside"/>
    <s v="North East"/>
    <s v="North East, Yorkshire and the Humber"/>
    <d v="2017-06-22T00:00:00"/>
    <n v="1"/>
    <s v="ITS408497"/>
    <s v="Employer - Full"/>
    <d v="2013-06-25T00:00:00"/>
    <d v="2013-06-28T00:00:00"/>
    <d v="2013-07-23T00:00:00"/>
    <x v="0"/>
    <n v="2"/>
    <n v="2"/>
    <s v="-"/>
    <n v="2"/>
    <s v="ITS332893"/>
    <d v="2009-02-27T00:00:00"/>
    <n v="3"/>
    <n v="2"/>
    <n v="2"/>
    <s v="-"/>
    <n v="3"/>
    <s v="Improved"/>
  </r>
  <r>
    <s v="Ofsted Webpage"/>
    <n v="58229"/>
    <n v="10019026"/>
    <s v="Baltic Training Services Limited"/>
    <x v="1"/>
    <s v="Independent learning providers (including employer providers)"/>
    <s v="Durham"/>
    <s v="North East"/>
    <s v="North East, Yorkshire and the Humber"/>
    <d v="2017-11-09T00:00:00"/>
    <n v="1"/>
    <s v="ITS452988"/>
    <s v="WBL (national) - Full"/>
    <d v="2015-01-19T00:00:00"/>
    <d v="2015-01-23T00:00:00"/>
    <d v="2015-03-02T00:00:00"/>
    <x v="0"/>
    <n v="2"/>
    <n v="2"/>
    <s v="-"/>
    <n v="2"/>
    <s v="ITS333485"/>
    <d v="2009-08-21T00:00:00"/>
    <n v="2"/>
    <n v="1"/>
    <n v="2"/>
    <s v="-"/>
    <n v="2"/>
    <s v="Stayed the Same"/>
  </r>
  <r>
    <s v="Ofsted Webpage"/>
    <n v="58237"/>
    <n v="10007698"/>
    <s v="YMCA Derbyshire"/>
    <x v="3"/>
    <s v="Community learning and skills providers"/>
    <s v="Derby"/>
    <s v="East Midlands"/>
    <s v="East Midlands"/>
    <s v="NULL"/>
    <s v="NULL"/>
    <n v="10022567"/>
    <s v="Community Learning and Skills - Not for profit organisation - Full"/>
    <d v="2017-01-16T00:00:00"/>
    <d v="2017-01-19T00:00:00"/>
    <d v="2017-02-16T00:00:00"/>
    <x v="0"/>
    <n v="2"/>
    <n v="2"/>
    <n v="2"/>
    <n v="2"/>
    <s v="ITS429123"/>
    <d v="2014-03-27T00:00:00"/>
    <n v="2"/>
    <n v="3"/>
    <n v="2"/>
    <s v="-"/>
    <n v="2"/>
    <s v="Stayed the Same"/>
  </r>
  <r>
    <s v="Ofsted Webpage"/>
    <n v="58248"/>
    <n v="10000267"/>
    <s v="AmacSports Limited"/>
    <x v="1"/>
    <s v="Independent learning providers (including employer providers)"/>
    <s v="Kent"/>
    <s v="South East"/>
    <s v="South East"/>
    <s v="NULL"/>
    <s v="NULL"/>
    <s v="ITS330200"/>
    <s v="Train to Gain - full inspection Historic"/>
    <d v="2008-10-28T00:00:00"/>
    <d v="2008-10-31T00:00:00"/>
    <d v="2008-11-25T00:00:00"/>
    <x v="2"/>
    <n v="2"/>
    <n v="3"/>
    <s v="-"/>
    <n v="3"/>
    <s v="NULL"/>
    <s v="NULL"/>
    <s v="NULL"/>
    <s v="NULL"/>
    <s v="NULL"/>
    <s v="NULL"/>
    <s v="NULL"/>
    <s v="Not Applicable"/>
  </r>
  <r>
    <s v="Ofsted Webpage"/>
    <n v="58250"/>
    <n v="10000452"/>
    <s v="Aurelia Training Limited"/>
    <x v="1"/>
    <s v="Independent learning providers (including employer providers)"/>
    <s v="Coventry"/>
    <s v="West Midlands"/>
    <s v="West Midlands"/>
    <d v="2016-03-23T00:00:00"/>
    <n v="1"/>
    <s v="ITS388462"/>
    <s v="WBL (national) - Full"/>
    <d v="2012-07-23T00:00:00"/>
    <d v="2012-07-27T00:00:00"/>
    <d v="2012-09-03T00:00:00"/>
    <x v="0"/>
    <n v="2"/>
    <n v="2"/>
    <s v="-"/>
    <n v="2"/>
    <s v="ITS329976"/>
    <d v="2008-10-31T00:00:00"/>
    <n v="2"/>
    <n v="2"/>
    <n v="2"/>
    <s v="-"/>
    <n v="2"/>
    <s v="Stayed the Same"/>
  </r>
  <r>
    <s v="Ofsted Webpage"/>
    <n v="58260"/>
    <n v="10004823"/>
    <s v="Progress to Excellence Ltd"/>
    <x v="1"/>
    <s v="Independent learning providers (including employer providers)"/>
    <s v="Wirral"/>
    <s v="North West"/>
    <s v="North West"/>
    <s v="NULL"/>
    <s v="NULL"/>
    <n v="10005055"/>
    <s v="Independent Learning Provider (National) - Requires improvement"/>
    <d v="2015-11-10T00:00:00"/>
    <d v="2015-11-13T00:00:00"/>
    <d v="2015-11-30T00:00:00"/>
    <x v="0"/>
    <n v="2"/>
    <n v="2"/>
    <n v="2"/>
    <n v="2"/>
    <s v="ITS410648"/>
    <d v="2013-11-15T00:00:00"/>
    <n v="3"/>
    <n v="3"/>
    <n v="3"/>
    <s v="-"/>
    <n v="3"/>
    <s v="Improved"/>
  </r>
  <r>
    <s v="Ofsted Webpage"/>
    <n v="58262"/>
    <n v="10011880"/>
    <s v="Performance Through People"/>
    <x v="1"/>
    <s v="Independent learning providers (including employer providers)"/>
    <s v="Staffordshire"/>
    <s v="West Midlands"/>
    <s v="West Midlands"/>
    <d v="2016-06-09T00:00:00"/>
    <n v="1"/>
    <s v="ITS388130"/>
    <s v="WBL (national) - Full"/>
    <d v="2012-04-30T00:00:00"/>
    <d v="2012-05-04T00:00:00"/>
    <d v="2012-06-13T00:00:00"/>
    <x v="0"/>
    <n v="2"/>
    <n v="2"/>
    <s v="-"/>
    <n v="2"/>
    <s v="NULL"/>
    <s v="NULL"/>
    <s v="NULL"/>
    <s v="NULL"/>
    <s v="NULL"/>
    <s v="NULL"/>
    <s v="NULL"/>
    <s v="Not Applicable"/>
  </r>
  <r>
    <s v="Ofsted Webpage"/>
    <n v="58273"/>
    <n v="10005150"/>
    <s v="XTP International Limited"/>
    <x v="1"/>
    <s v="Independent learning providers (including employer providers)"/>
    <s v="Stockport"/>
    <s v="North West"/>
    <s v="North West"/>
    <s v="NULL"/>
    <s v="NULL"/>
    <n v="10023008"/>
    <s v="Independent Learning Provider (National) - Full"/>
    <d v="2017-01-10T00:00:00"/>
    <d v="2017-01-12T00:00:00"/>
    <d v="2017-02-09T00:00:00"/>
    <x v="2"/>
    <n v="3"/>
    <n v="3"/>
    <n v="3"/>
    <n v="3"/>
    <s v="ITS429238"/>
    <d v="2014-01-24T00:00:00"/>
    <n v="2"/>
    <n v="2"/>
    <n v="2"/>
    <s v="-"/>
    <n v="2"/>
    <s v="Declined"/>
  </r>
  <r>
    <s v="Ofsted Webpage"/>
    <n v="58277"/>
    <n v="10018942"/>
    <s v="Steadfast Training Ltd"/>
    <x v="1"/>
    <s v="Independent learning providers (including employer providers)"/>
    <s v="Lincolnshire"/>
    <s v="East Midlands"/>
    <s v="East Midlands"/>
    <d v="2017-09-28T00:00:00"/>
    <n v="1"/>
    <s v="ITS434054"/>
    <s v="WBL (national) - Full"/>
    <d v="2014-06-30T00:00:00"/>
    <d v="2014-07-04T00:00:00"/>
    <d v="2014-08-05T00:00:00"/>
    <x v="0"/>
    <n v="2"/>
    <n v="2"/>
    <s v="-"/>
    <n v="2"/>
    <s v="ITS388131"/>
    <d v="2012-08-24T00:00:00"/>
    <n v="3"/>
    <n v="2"/>
    <n v="3"/>
    <s v="-"/>
    <n v="3"/>
    <s v="Improved"/>
  </r>
  <r>
    <s v="Ofsted Webpage"/>
    <n v="58290"/>
    <n v="10003840"/>
    <s v="The Learning Partnership - Bedfordshire and Luton Limited"/>
    <x v="3"/>
    <s v="Community learning and skills providers"/>
    <s v="Bedford"/>
    <s v="East of England"/>
    <s v="East of England"/>
    <d v="2017-02-23T00:00:00"/>
    <n v="1"/>
    <s v="ITS385042"/>
    <s v="Adult and Community - full (regional) Historic"/>
    <d v="2012-01-17T00:00:00"/>
    <d v="2012-01-20T00:00:00"/>
    <d v="2012-02-24T00:00:00"/>
    <x v="0"/>
    <n v="2"/>
    <n v="2"/>
    <s v="-"/>
    <n v="1"/>
    <s v="NULL"/>
    <s v="NULL"/>
    <s v="NULL"/>
    <s v="NULL"/>
    <s v="NULL"/>
    <s v="NULL"/>
    <s v="NULL"/>
    <s v="Not Applicable"/>
  </r>
  <r>
    <s v="Ofsted Webpage"/>
    <n v="58315"/>
    <n v="10019300"/>
    <s v="Integer Training Limited"/>
    <x v="1"/>
    <s v="Independent learning providers (including employer providers)"/>
    <s v="Cornwall"/>
    <s v="South West"/>
    <s v="South West"/>
    <s v="NULL"/>
    <s v="NULL"/>
    <s v="ITS363180"/>
    <s v="Train to Gain - full inspection Historic"/>
    <d v="2011-01-18T00:00:00"/>
    <d v="2011-01-21T00:00:00"/>
    <d v="2011-02-25T00:00:00"/>
    <x v="1"/>
    <n v="1"/>
    <n v="1"/>
    <s v="-"/>
    <n v="2"/>
    <s v="NULL"/>
    <s v="NULL"/>
    <s v="NULL"/>
    <s v="NULL"/>
    <s v="NULL"/>
    <s v="NULL"/>
    <s v="NULL"/>
    <s v="Not Applicable"/>
  </r>
  <r>
    <s v="Ofsted Webpage"/>
    <n v="58318"/>
    <n v="10004464"/>
    <s v="Muath Trust"/>
    <x v="2"/>
    <s v="Community learning and skills providers"/>
    <s v="Birmingham"/>
    <s v="West Midlands"/>
    <s v="West Midlands"/>
    <s v="NULL"/>
    <s v="NULL"/>
    <s v="NULL"/>
    <s v="NULL"/>
    <s v="NULL"/>
    <s v="NULL"/>
    <s v="NULL"/>
    <x v="5"/>
    <s v="NULL"/>
    <s v="NULL"/>
    <s v="NULL"/>
    <s v="NULL"/>
    <s v="NULL"/>
    <s v="NULL"/>
    <s v="NULL"/>
    <s v="NULL"/>
    <s v="NULL"/>
    <s v="NULL"/>
    <s v="NULL"/>
    <s v="NULL"/>
  </r>
  <r>
    <s v="Ofsted Webpage"/>
    <n v="58340"/>
    <n v="10012834"/>
    <s v="Skills Team Ltd"/>
    <x v="1"/>
    <s v="Independent learning providers (including employer providers)"/>
    <s v="City of London"/>
    <s v="London"/>
    <s v="London"/>
    <s v="NULL"/>
    <s v="NULL"/>
    <n v="10005058"/>
    <s v="Independent Learning Provider (Regional) - Requires Improvement - second inspection"/>
    <d v="2016-09-27T00:00:00"/>
    <d v="2016-09-29T00:00:00"/>
    <d v="2016-10-20T00:00:00"/>
    <x v="0"/>
    <n v="2"/>
    <n v="2"/>
    <n v="2"/>
    <n v="2"/>
    <s v="ITS430259"/>
    <d v="2014-10-17T00:00:00"/>
    <n v="3"/>
    <n v="3"/>
    <n v="3"/>
    <s v="-"/>
    <n v="3"/>
    <s v="Improved"/>
  </r>
  <r>
    <s v="Ofsted Webpage"/>
    <n v="58362"/>
    <n v="10009491"/>
    <s v="Mainstream Training Limited"/>
    <x v="1"/>
    <s v="Independent learning providers (including employer providers)"/>
    <s v="Kent"/>
    <s v="South East"/>
    <s v="South East"/>
    <d v="2017-09-20T00:00:00"/>
    <n v="1"/>
    <s v="ITS446612"/>
    <s v="WBL (national) - Full"/>
    <d v="2014-12-01T00:00:00"/>
    <d v="2014-12-05T00:00:00"/>
    <d v="2015-01-15T00:00:00"/>
    <x v="0"/>
    <n v="2"/>
    <n v="2"/>
    <s v="-"/>
    <n v="2"/>
    <s v="ITS330084"/>
    <d v="2008-12-11T00:00:00"/>
    <n v="2"/>
    <n v="2"/>
    <n v="2"/>
    <s v="-"/>
    <n v="2"/>
    <s v="Stayed the Same"/>
  </r>
  <r>
    <s v="Ofsted Webpage"/>
    <n v="58367"/>
    <n v="10020123"/>
    <s v="Beckett Corporation Limited"/>
    <x v="1"/>
    <s v="Independent learning providers (including employer providers)"/>
    <s v="Merton"/>
    <s v="London"/>
    <s v="London"/>
    <d v="2016-04-07T00:00:00"/>
    <n v="1"/>
    <s v="ITS393644"/>
    <s v="Work based Learning - full inspection Historic"/>
    <d v="2012-05-22T00:00:00"/>
    <d v="2012-05-24T00:00:00"/>
    <d v="2012-07-02T00:00:00"/>
    <x v="0"/>
    <n v="2"/>
    <n v="3"/>
    <s v="-"/>
    <n v="2"/>
    <s v="ITS331016"/>
    <d v="2008-10-31T00:00:00"/>
    <n v="2"/>
    <n v="2"/>
    <n v="2"/>
    <s v="-"/>
    <n v="2"/>
    <s v="Stayed the Same"/>
  </r>
  <r>
    <s v="Ofsted Webpage"/>
    <n v="58370"/>
    <n v="10018328"/>
    <s v="MI ComputSolutions Incorporated"/>
    <x v="1"/>
    <s v="Independent learning providers (including employer providers)"/>
    <s v="Lambeth"/>
    <s v="London"/>
    <s v="London"/>
    <s v="NULL"/>
    <s v="NULL"/>
    <s v="ITS451598"/>
    <s v="Employer - Full"/>
    <d v="2014-10-27T00:00:00"/>
    <d v="2014-10-31T00:00:00"/>
    <d v="2014-12-05T00:00:00"/>
    <x v="0"/>
    <n v="2"/>
    <n v="2"/>
    <s v="-"/>
    <n v="2"/>
    <s v="ITS333284"/>
    <d v="2009-08-14T00:00:00"/>
    <n v="2"/>
    <n v="2"/>
    <n v="2"/>
    <s v="-"/>
    <n v="2"/>
    <s v="Stayed the Same"/>
  </r>
  <r>
    <s v="Ofsted Webpage"/>
    <n v="58380"/>
    <n v="10004788"/>
    <s v="The Voluntary and Community Sector Learning and Skills Consortium"/>
    <x v="3"/>
    <s v="Community learning and skills providers"/>
    <s v="Nottingham"/>
    <s v="East Midlands"/>
    <s v="East Midlands"/>
    <s v="NULL"/>
    <s v="NULL"/>
    <n v="10020099"/>
    <s v="Community Learning and Skills - Not for profit organisation - Full"/>
    <d v="2016-11-15T00:00:00"/>
    <d v="2016-11-18T00:00:00"/>
    <d v="2017-01-05T00:00:00"/>
    <x v="2"/>
    <n v="3"/>
    <n v="3"/>
    <n v="2"/>
    <n v="3"/>
    <s v="ITS410628"/>
    <d v="2013-12-13T00:00:00"/>
    <n v="2"/>
    <n v="2"/>
    <n v="2"/>
    <s v="-"/>
    <n v="2"/>
    <s v="Declined"/>
  </r>
  <r>
    <s v="Ofsted Webpage"/>
    <n v="58383"/>
    <n v="10005521"/>
    <s v="Romney Resource 2000 Ltd"/>
    <x v="3"/>
    <s v="Community learning and skills providers"/>
    <s v="Kent"/>
    <s v="South East"/>
    <s v="South East"/>
    <s v="NULL"/>
    <s v="NULL"/>
    <n v="10022015"/>
    <s v="Community Learning and Skills - Not for profit organisation - Requires Improvement - second inspection"/>
    <d v="2016-10-11T00:00:00"/>
    <d v="2016-10-13T00:00:00"/>
    <d v="2016-11-23T00:00:00"/>
    <x v="0"/>
    <n v="2"/>
    <n v="2"/>
    <n v="2"/>
    <n v="2"/>
    <s v="ITS434392"/>
    <d v="2015-03-06T00:00:00"/>
    <n v="3"/>
    <n v="3"/>
    <n v="3"/>
    <s v="-"/>
    <n v="3"/>
    <s v="Improved"/>
  </r>
  <r>
    <s v="Ofsted Webpage"/>
    <n v="58385"/>
    <n v="10019293"/>
    <s v="Asphaleia Limited"/>
    <x v="1"/>
    <s v="Independent learning providers (including employer providers)"/>
    <s v="West Sussex"/>
    <s v="South East"/>
    <s v="South East"/>
    <s v="NULL"/>
    <s v="NULL"/>
    <n v="10030690"/>
    <s v="Independent Learning Provider (Regional) - Requires Improvement"/>
    <d v="2017-11-21T00:00:00"/>
    <d v="2017-11-23T00:00:00"/>
    <d v="2017-12-21T00:00:00"/>
    <x v="0"/>
    <n v="2"/>
    <n v="2"/>
    <n v="2"/>
    <n v="2"/>
    <n v="10005060"/>
    <d v="2015-12-11T00:00:00"/>
    <n v="3"/>
    <n v="3"/>
    <n v="3"/>
    <n v="3"/>
    <n v="3"/>
    <s v="Improved"/>
  </r>
  <r>
    <s v="Ofsted Webpage"/>
    <n v="58397"/>
    <n v="10021018"/>
    <s v="QDOS Training Limited"/>
    <x v="1"/>
    <s v="Independent learning providers (including employer providers)"/>
    <s v="Leicester"/>
    <s v="East Midlands"/>
    <s v="East Midlands"/>
    <s v="NULL"/>
    <s v="NULL"/>
    <s v="ITS465164"/>
    <s v="WBL (national) - Reinspection"/>
    <d v="2015-07-28T00:00:00"/>
    <d v="2015-07-31T00:00:00"/>
    <d v="2015-08-26T00:00:00"/>
    <x v="0"/>
    <n v="2"/>
    <n v="2"/>
    <s v="-"/>
    <n v="2"/>
    <s v="ITS452989"/>
    <d v="2015-02-13T00:00:00"/>
    <n v="4"/>
    <n v="2"/>
    <n v="3"/>
    <s v="-"/>
    <n v="4"/>
    <s v="Improved"/>
  </r>
  <r>
    <s v="Ofsted Webpage"/>
    <n v="58403"/>
    <n v="10033438"/>
    <s v="Ministry of Defence (Navy)"/>
    <x v="4"/>
    <s v="Independent learning providers (including employer providers)"/>
    <s v="Hampshire"/>
    <s v="South East"/>
    <s v="South East"/>
    <s v="NULL"/>
    <s v="NULL"/>
    <s v="ITS452622"/>
    <s v="Employer - Full"/>
    <d v="2015-03-09T00:00:00"/>
    <d v="2015-03-13T00:00:00"/>
    <d v="2015-04-21T00:00:00"/>
    <x v="0"/>
    <n v="2"/>
    <n v="2"/>
    <s v="-"/>
    <n v="2"/>
    <s v="ITS330255"/>
    <d v="2009-02-06T00:00:00"/>
    <n v="2"/>
    <n v="2"/>
    <n v="2"/>
    <s v="-"/>
    <n v="2"/>
    <s v="Stayed the Same"/>
  </r>
  <r>
    <s v="Ofsted Webpage"/>
    <n v="58413"/>
    <n v="10019646"/>
    <s v="Abis Resources Limited"/>
    <x v="1"/>
    <s v="Independent learning providers (including employer providers)"/>
    <s v="Tower Hamlets"/>
    <s v="London"/>
    <s v="London"/>
    <s v="NULL"/>
    <s v="NULL"/>
    <s v="ITS354677"/>
    <s v="Train to Gain - full inspection Historic"/>
    <d v="2010-09-21T00:00:00"/>
    <d v="2010-09-24T00:00:00"/>
    <d v="2010-10-29T00:00:00"/>
    <x v="0"/>
    <n v="2"/>
    <n v="3"/>
    <s v="-"/>
    <n v="2"/>
    <s v="NULL"/>
    <s v="NULL"/>
    <s v="NULL"/>
    <s v="NULL"/>
    <s v="NULL"/>
    <s v="NULL"/>
    <s v="NULL"/>
    <s v="Not Applicable"/>
  </r>
  <r>
    <s v="Ofsted Webpage"/>
    <n v="58437"/>
    <n v="10038112"/>
    <s v="The Workforce Development Trust Limited"/>
    <x v="3"/>
    <s v="Community learning and skills providers"/>
    <s v="Bristol"/>
    <s v="South West"/>
    <s v="South West"/>
    <s v="NULL"/>
    <s v="NULL"/>
    <n v="10022500"/>
    <s v="Community Learning and Skills - Not for profit organisation - Full"/>
    <d v="2017-01-17T00:00:00"/>
    <d v="2017-01-20T00:00:00"/>
    <d v="2017-02-24T00:00:00"/>
    <x v="2"/>
    <n v="3"/>
    <n v="3"/>
    <n v="2"/>
    <n v="3"/>
    <s v="ITS430257"/>
    <d v="2014-10-24T00:00:00"/>
    <n v="2"/>
    <n v="2"/>
    <n v="2"/>
    <s v="-"/>
    <n v="2"/>
    <s v="Declined"/>
  </r>
  <r>
    <s v="Ofsted Webpage"/>
    <n v="58444"/>
    <n v="10022237"/>
    <s v="Softmist Limited"/>
    <x v="1"/>
    <s v="Independent learning providers (including employer providers)"/>
    <s v="Leicestershire"/>
    <s v="East Midlands"/>
    <s v="East Midlands"/>
    <s v="NULL"/>
    <s v="NULL"/>
    <n v="10020084"/>
    <s v="Independent Learning Provider (National) - Full"/>
    <d v="2016-11-29T00:00:00"/>
    <d v="2016-12-02T00:00:00"/>
    <d v="2017-01-13T00:00:00"/>
    <x v="2"/>
    <n v="4"/>
    <n v="3"/>
    <n v="3"/>
    <n v="3"/>
    <s v="ITS429004"/>
    <d v="2013-12-06T00:00:00"/>
    <n v="2"/>
    <n v="2"/>
    <n v="2"/>
    <s v="-"/>
    <n v="2"/>
    <s v="Declined"/>
  </r>
  <r>
    <s v="Ofsted Webpage"/>
    <n v="58456"/>
    <n v="10022856"/>
    <s v="Mercedes-Benz UK Limited"/>
    <x v="4"/>
    <s v="Independent learning providers (including employer providers)"/>
    <s v="Milton Keynes"/>
    <s v="South East"/>
    <s v="South East"/>
    <d v="2017-04-27T00:00:00"/>
    <n v="1"/>
    <s v="ITS404571"/>
    <s v="WBL (national) - Full"/>
    <d v="2012-11-13T00:00:00"/>
    <d v="2012-11-16T00:00:00"/>
    <d v="2012-12-21T00:00:00"/>
    <x v="0"/>
    <n v="1"/>
    <n v="2"/>
    <s v="-"/>
    <n v="2"/>
    <s v="ITS362080"/>
    <d v="2010-07-09T00:00:00"/>
    <n v="3"/>
    <n v="2"/>
    <n v="3"/>
    <s v="-"/>
    <n v="3"/>
    <s v="Improved"/>
  </r>
  <r>
    <s v="Ofsted Webpage"/>
    <n v="58464"/>
    <n v="10022358"/>
    <s v="Profound Services Limited"/>
    <x v="1"/>
    <s v="Independent learning providers (including employer providers)"/>
    <s v="Durham"/>
    <s v="North East"/>
    <s v="North East, Yorkshire and the Humber"/>
    <d v="2016-04-07T00:00:00"/>
    <n v="1"/>
    <s v="ITS345909"/>
    <s v="Train to Gain - full inspection Historic"/>
    <d v="2010-04-19T00:00:00"/>
    <d v="2010-04-23T00:00:00"/>
    <d v="2010-05-29T00:00:00"/>
    <x v="0"/>
    <n v="2"/>
    <n v="2"/>
    <s v="-"/>
    <n v="2"/>
    <s v="NULL"/>
    <s v="NULL"/>
    <s v="NULL"/>
    <s v="NULL"/>
    <s v="NULL"/>
    <s v="NULL"/>
    <s v="NULL"/>
    <s v="Not Applicable"/>
  </r>
  <r>
    <s v="Ofsted Webpage"/>
    <n v="58467"/>
    <n v="10022788"/>
    <s v="The Child Care Company (Old Windsor) Limited"/>
    <x v="1"/>
    <s v="Independent learning providers (including employer providers)"/>
    <s v="Slough"/>
    <s v="South East"/>
    <s v="South East"/>
    <s v="NULL"/>
    <s v="NULL"/>
    <s v="ITS446611"/>
    <s v="Employer - Full"/>
    <d v="2015-01-19T00:00:00"/>
    <d v="2015-01-22T00:00:00"/>
    <d v="2015-02-26T00:00:00"/>
    <x v="0"/>
    <n v="2"/>
    <n v="2"/>
    <s v="-"/>
    <n v="2"/>
    <s v="NULL"/>
    <s v="NULL"/>
    <s v="NULL"/>
    <s v="NULL"/>
    <s v="NULL"/>
    <s v="NULL"/>
    <s v="NULL"/>
    <s v="Not Applicable"/>
  </r>
  <r>
    <s v="Ofsted Webpage"/>
    <n v="58472"/>
    <n v="10010940"/>
    <s v="Inspire 2 Independence (I2I) Ltd"/>
    <x v="1"/>
    <s v="Independent learning providers (including employer providers)"/>
    <s v="York"/>
    <s v="Yorkshire and The Humber"/>
    <s v="North East, Yorkshire and the Humber"/>
    <s v="NULL"/>
    <s v="NULL"/>
    <n v="10037380"/>
    <s v="Independent Learning Provider (National) - Full"/>
    <d v="2017-09-12T00:00:00"/>
    <d v="2017-09-15T00:00:00"/>
    <d v="2017-10-23T00:00:00"/>
    <x v="2"/>
    <n v="3"/>
    <n v="3"/>
    <n v="2"/>
    <n v="3"/>
    <s v="ITS429265"/>
    <d v="2014-07-04T00:00:00"/>
    <n v="2"/>
    <n v="3"/>
    <n v="2"/>
    <s v="-"/>
    <n v="2"/>
    <s v="Declined"/>
  </r>
  <r>
    <s v="Ofsted Webpage"/>
    <n v="58505"/>
    <n v="10001041"/>
    <s v="Glocestershire Enterprise Limited"/>
    <x v="3"/>
    <s v="Community learning and skills providers"/>
    <s v="Gloucestershire"/>
    <s v="South West"/>
    <s v="South West"/>
    <s v="NULL"/>
    <s v="NULL"/>
    <s v="ITS354685"/>
    <s v="Train to Gain - full inspection Historic"/>
    <d v="2010-10-05T00:00:00"/>
    <d v="2010-10-08T00:00:00"/>
    <d v="2010-11-12T00:00:00"/>
    <x v="0"/>
    <n v="2"/>
    <n v="2"/>
    <s v="-"/>
    <n v="2"/>
    <s v="NULL"/>
    <s v="NULL"/>
    <s v="NULL"/>
    <s v="NULL"/>
    <s v="NULL"/>
    <s v="NULL"/>
    <s v="NULL"/>
    <s v="Not Applicable"/>
  </r>
  <r>
    <s v="Ofsted Webpage"/>
    <n v="58507"/>
    <n v="10004665"/>
    <s v="Norman Mackie &amp; Associates Limited"/>
    <x v="1"/>
    <s v="Independent learning providers (including employer providers)"/>
    <s v="Tameside"/>
    <s v="North West"/>
    <s v="North West"/>
    <s v="NULL"/>
    <s v="NULL"/>
    <n v="10022614"/>
    <s v="Independent Learning Provider (Regional) - Full"/>
    <d v="2016-09-20T00:00:00"/>
    <d v="2016-09-22T00:00:00"/>
    <d v="2016-11-01T00:00:00"/>
    <x v="4"/>
    <n v="4"/>
    <n v="4"/>
    <n v="4"/>
    <n v="4"/>
    <s v="ITS451204"/>
    <d v="2014-11-12T00:00:00"/>
    <n v="2"/>
    <n v="2"/>
    <n v="2"/>
    <s v="-"/>
    <n v="2"/>
    <s v="Declined"/>
  </r>
  <r>
    <s v="Ofsted Webpage"/>
    <n v="58513"/>
    <n v="10005204"/>
    <s v="Prevista Ltd"/>
    <x v="1"/>
    <s v="Independent learning providers (including employer providers)"/>
    <s v="Islington"/>
    <s v="London"/>
    <s v="London"/>
    <s v="NULL"/>
    <s v="NULL"/>
    <s v="ITS429041"/>
    <s v="WBL (national) - Reinspection"/>
    <d v="2014-08-04T00:00:00"/>
    <d v="2014-08-08T00:00:00"/>
    <d v="2014-09-17T00:00:00"/>
    <x v="0"/>
    <n v="2"/>
    <n v="2"/>
    <s v="-"/>
    <n v="2"/>
    <s v="ITS410647"/>
    <d v="2013-06-21T00:00:00"/>
    <n v="4"/>
    <n v="4"/>
    <n v="4"/>
    <s v="-"/>
    <n v="4"/>
    <s v="Improved"/>
  </r>
  <r>
    <s v="Ofsted Webpage"/>
    <n v="58515"/>
    <n v="10006519"/>
    <s v="Team Enterprises Limited"/>
    <x v="1"/>
    <s v="Independent learning providers (including employer providers)"/>
    <s v="St Helens"/>
    <s v="North West"/>
    <s v="North West"/>
    <s v="NULL"/>
    <s v="NULL"/>
    <n v="10005065"/>
    <s v="Independent Learning Provider (Regional) - Requires Improvement"/>
    <d v="2016-03-01T00:00:00"/>
    <d v="2016-03-04T00:00:00"/>
    <d v="2016-04-04T00:00:00"/>
    <x v="2"/>
    <n v="3"/>
    <n v="3"/>
    <n v="3"/>
    <n v="3"/>
    <s v="ITS445777"/>
    <d v="2014-10-31T00:00:00"/>
    <n v="3"/>
    <n v="3"/>
    <n v="3"/>
    <s v="-"/>
    <n v="3"/>
    <s v="Stayed the Same"/>
  </r>
  <r>
    <s v="Ofsted Webpage"/>
    <n v="58518"/>
    <n v="10030252"/>
    <s v="Liverpool Chamber Training Ltd"/>
    <x v="1"/>
    <s v="Independent learning providers (including employer providers)"/>
    <s v="Liverpool"/>
    <s v="North West"/>
    <s v="North West"/>
    <s v="NULL"/>
    <s v="NULL"/>
    <s v="ITS429112"/>
    <s v="Employer - Full"/>
    <d v="2014-03-25T00:00:00"/>
    <d v="2014-03-28T00:00:00"/>
    <d v="2014-04-30T00:00:00"/>
    <x v="0"/>
    <n v="2"/>
    <n v="2"/>
    <s v="-"/>
    <n v="2"/>
    <s v="ITS376229"/>
    <d v="2011-12-16T00:00:00"/>
    <n v="3"/>
    <n v="3"/>
    <n v="2"/>
    <s v="-"/>
    <n v="3"/>
    <s v="Improved"/>
  </r>
  <r>
    <s v="Ofsted Webpage"/>
    <n v="58520"/>
    <n v="10010134"/>
    <s v="Standguide Limited"/>
    <x v="1"/>
    <s v="Independent learning providers (including employer providers)"/>
    <s v="Manchester"/>
    <s v="North West"/>
    <s v="North West"/>
    <s v="NULL"/>
    <s v="NULL"/>
    <s v="ITS365451"/>
    <s v="Work based Learning - full inspection Historic"/>
    <d v="2011-03-08T00:00:00"/>
    <d v="2011-03-11T00:00:00"/>
    <d v="2011-04-15T00:00:00"/>
    <x v="4"/>
    <n v="4"/>
    <n v="4"/>
    <s v="-"/>
    <n v="4"/>
    <s v="NULL"/>
    <s v="NULL"/>
    <s v="NULL"/>
    <s v="NULL"/>
    <s v="NULL"/>
    <s v="NULL"/>
    <s v="NULL"/>
    <s v="Not Applicable"/>
  </r>
  <r>
    <s v="Ofsted Webpage"/>
    <n v="58521"/>
    <n v="10033758"/>
    <s v="IXION Holdings (Contracts) Limited"/>
    <x v="1"/>
    <s v="Independent learning providers (including employer providers)"/>
    <s v="Essex"/>
    <s v="East of England"/>
    <s v="East of England"/>
    <s v="NULL"/>
    <s v="NULL"/>
    <n v="10005066"/>
    <s v="Independent Learning Provider (National) - Full"/>
    <d v="2015-10-13T00:00:00"/>
    <d v="2015-10-16T00:00:00"/>
    <d v="2015-11-13T00:00:00"/>
    <x v="0"/>
    <n v="2"/>
    <n v="2"/>
    <n v="2"/>
    <n v="2"/>
    <s v="ITS363167"/>
    <d v="2011-01-27T00:00:00"/>
    <n v="2"/>
    <n v="2"/>
    <n v="2"/>
    <s v="-"/>
    <n v="2"/>
    <s v="Stayed the Same"/>
  </r>
  <r>
    <s v="Ofsted Webpage"/>
    <n v="58534"/>
    <n v="10022117"/>
    <s v="DH Associates"/>
    <x v="1"/>
    <s v="Independent learning providers (including employer providers)"/>
    <s v="Cheshire West and Chester"/>
    <s v="North West"/>
    <s v="North West"/>
    <s v="NULL"/>
    <s v="NULL"/>
    <n v="10011563"/>
    <s v="Independent Learning Provider (Regional) - Full"/>
    <d v="2016-02-22T00:00:00"/>
    <d v="2016-02-25T00:00:00"/>
    <d v="2016-03-18T00:00:00"/>
    <x v="1"/>
    <n v="1"/>
    <n v="1"/>
    <n v="1"/>
    <n v="1"/>
    <s v="ITS354662"/>
    <d v="2010-10-29T00:00:00"/>
    <n v="1"/>
    <n v="1"/>
    <n v="1"/>
    <s v="-"/>
    <n v="1"/>
    <s v="Stayed the Same"/>
  </r>
  <r>
    <s v="Ofsted Webpage"/>
    <n v="58538"/>
    <n v="10022070"/>
    <s v="Alpha Care Agency Limited"/>
    <x v="1"/>
    <s v="Independent learning providers (including employer providers)"/>
    <s v="Waltham Forest"/>
    <s v="London"/>
    <s v="London"/>
    <s v="NULL"/>
    <s v="NULL"/>
    <s v="ITS354691"/>
    <s v="Train to Gain - full inspection Historic"/>
    <d v="2010-09-21T00:00:00"/>
    <d v="2010-09-24T00:00:00"/>
    <d v="2010-10-29T00:00:00"/>
    <x v="4"/>
    <n v="3"/>
    <n v="3"/>
    <s v="-"/>
    <n v="4"/>
    <s v="NULL"/>
    <s v="NULL"/>
    <s v="NULL"/>
    <s v="NULL"/>
    <s v="NULL"/>
    <s v="NULL"/>
    <s v="NULL"/>
    <s v="Not Applicable"/>
  </r>
  <r>
    <s v="Ofsted Webpage"/>
    <n v="58539"/>
    <n v="10010549"/>
    <s v="C &amp; G Assessments and Training Limited"/>
    <x v="1"/>
    <s v="Independent learning providers (including employer providers)"/>
    <s v="Sheffield"/>
    <s v="Yorkshire and The Humber"/>
    <s v="North East, Yorkshire and the Humber"/>
    <s v="NULL"/>
    <s v="NULL"/>
    <s v="ITS354692"/>
    <s v="Train to Gain - full inspection Historic"/>
    <d v="2010-11-23T00:00:00"/>
    <d v="2010-11-26T00:00:00"/>
    <d v="2011-01-04T00:00:00"/>
    <x v="2"/>
    <n v="2"/>
    <n v="3"/>
    <s v="-"/>
    <n v="3"/>
    <s v="NULL"/>
    <s v="NULL"/>
    <s v="NULL"/>
    <s v="NULL"/>
    <s v="NULL"/>
    <s v="NULL"/>
    <s v="NULL"/>
    <s v="Not Applicable"/>
  </r>
  <r>
    <s v="Ofsted Webpage"/>
    <n v="58550"/>
    <n v="10022513"/>
    <s v="Avant Partnership Limited"/>
    <x v="1"/>
    <s v="Independent learning providers (including employer providers)"/>
    <s v="East Riding of Yorkshire"/>
    <s v="Yorkshire and The Humber"/>
    <s v="North East, Yorkshire and the Humber"/>
    <d v="2016-04-27T00:00:00"/>
    <n v="1"/>
    <s v="ITS388124"/>
    <s v="WBL (national) - Full"/>
    <d v="2012-07-30T00:00:00"/>
    <d v="2012-08-03T00:00:00"/>
    <d v="2012-09-03T00:00:00"/>
    <x v="0"/>
    <n v="2"/>
    <n v="2"/>
    <s v="-"/>
    <n v="2"/>
    <s v="ITS330145"/>
    <d v="2008-09-18T00:00:00"/>
    <n v="2"/>
    <n v="2"/>
    <n v="2"/>
    <s v="-"/>
    <n v="2"/>
    <s v="Stayed the Same"/>
  </r>
  <r>
    <s v="Ofsted Webpage"/>
    <n v="58551"/>
    <n v="10020867"/>
    <s v="GK Training Services Limited"/>
    <x v="1"/>
    <s v="Independent learning providers (including employer providers)"/>
    <s v="Wigan"/>
    <s v="North West"/>
    <s v="North West"/>
    <s v="NULL"/>
    <s v="NULL"/>
    <n v="10005068"/>
    <s v="Independent Learning Provider (Regional) - Full"/>
    <d v="2015-11-17T00:00:00"/>
    <d v="2015-11-19T00:00:00"/>
    <d v="2016-02-02T00:00:00"/>
    <x v="0"/>
    <n v="2"/>
    <n v="2"/>
    <n v="2"/>
    <n v="2"/>
    <s v="ITS362387"/>
    <d v="2010-07-29T00:00:00"/>
    <n v="2"/>
    <n v="2"/>
    <n v="2"/>
    <s v="-"/>
    <n v="2"/>
    <s v="Stayed the Same"/>
  </r>
  <r>
    <s v="Ofsted Webpage"/>
    <n v="58560"/>
    <n v="10022439"/>
    <s v="Outsource Vocational Learning Limited"/>
    <x v="1"/>
    <s v="Independent learning providers (including employer providers)"/>
    <s v="Hammersmith and Fulham"/>
    <s v="London"/>
    <s v="London"/>
    <d v="2017-01-25T00:00:00"/>
    <n v="1"/>
    <s v="ITS408535"/>
    <s v="WBL (national) - Full"/>
    <d v="2012-11-26T00:00:00"/>
    <d v="2012-11-30T00:00:00"/>
    <d v="2013-01-09T00:00:00"/>
    <x v="0"/>
    <n v="2"/>
    <n v="2"/>
    <s v="-"/>
    <n v="2"/>
    <s v="ITS346484"/>
    <d v="2010-07-02T00:00:00"/>
    <n v="3"/>
    <n v="3"/>
    <n v="3"/>
    <s v="-"/>
    <n v="2"/>
    <s v="Improved"/>
  </r>
  <r>
    <s v="Ofsted Webpage"/>
    <n v="58562"/>
    <n v="10021391"/>
    <s v="Professional Training Solutions Limited"/>
    <x v="1"/>
    <s v="Independent learning providers (including employer providers)"/>
    <s v="Surrey"/>
    <s v="South East"/>
    <s v="South East"/>
    <s v="NULL"/>
    <s v="NULL"/>
    <s v="NULL"/>
    <s v="NULL"/>
    <s v="NULL"/>
    <s v="NULL"/>
    <s v="NULL"/>
    <x v="5"/>
    <s v="NULL"/>
    <s v="NULL"/>
    <s v="NULL"/>
    <s v="NULL"/>
    <s v="NULL"/>
    <s v="NULL"/>
    <s v="NULL"/>
    <s v="NULL"/>
    <s v="NULL"/>
    <s v="NULL"/>
    <s v="NULL"/>
    <s v="NULL"/>
  </r>
  <r>
    <s v="Ofsted Webpage"/>
    <n v="58563"/>
    <n v="10020395"/>
    <s v="People and Business Development Ltd"/>
    <x v="1"/>
    <s v="Independent learning providers (including employer providers)"/>
    <s v="Essex"/>
    <s v="East of England"/>
    <s v="East of England"/>
    <s v="NULL"/>
    <s v="NULL"/>
    <n v="10020186"/>
    <s v="Independent Learning Provider (National) - Full"/>
    <d v="2016-10-31T00:00:00"/>
    <d v="2016-11-03T00:00:00"/>
    <d v="2017-01-25T00:00:00"/>
    <x v="2"/>
    <n v="3"/>
    <n v="3"/>
    <n v="2"/>
    <n v="3"/>
    <s v="ITS429012"/>
    <d v="2013-11-22T00:00:00"/>
    <n v="2"/>
    <n v="2"/>
    <n v="2"/>
    <s v="-"/>
    <n v="2"/>
    <s v="Declined"/>
  </r>
  <r>
    <s v="Ofsted Webpage"/>
    <n v="58570"/>
    <n v="10022405"/>
    <s v="VQ Solutions Ltd"/>
    <x v="1"/>
    <s v="Independent learning providers (including employer providers)"/>
    <s v="North Yorkshire"/>
    <s v="Yorkshire and The Humber"/>
    <s v="North East, Yorkshire and the Humber"/>
    <s v="NULL"/>
    <s v="NULL"/>
    <s v="ITS455597"/>
    <s v="Employer - Full"/>
    <d v="2015-06-23T00:00:00"/>
    <d v="2015-06-26T00:00:00"/>
    <d v="2015-07-31T00:00:00"/>
    <x v="0"/>
    <n v="2"/>
    <n v="2"/>
    <s v="-"/>
    <n v="2"/>
    <s v="NULL"/>
    <s v="NULL"/>
    <s v="NULL"/>
    <s v="NULL"/>
    <s v="NULL"/>
    <s v="NULL"/>
    <s v="NULL"/>
    <s v="Not Applicable"/>
  </r>
  <r>
    <s v="Ofsted Webpage"/>
    <n v="58581"/>
    <n v="10019431"/>
    <s v="Achieve Through Learning Limited"/>
    <x v="1"/>
    <s v="Independent learning providers (including employer providers)"/>
    <s v="Rotherham"/>
    <s v="Yorkshire and The Humber"/>
    <s v="North East, Yorkshire and the Humber"/>
    <d v="2016-01-20T00:00:00"/>
    <n v="1"/>
    <s v="ITS354304"/>
    <s v="Train to Gain - full inspection Historic"/>
    <d v="2011-02-07T00:00:00"/>
    <d v="2011-02-11T00:00:00"/>
    <d v="2011-03-19T00:00:00"/>
    <x v="0"/>
    <n v="1"/>
    <n v="2"/>
    <s v="-"/>
    <n v="2"/>
    <s v="NULL"/>
    <s v="NULL"/>
    <s v="NULL"/>
    <s v="NULL"/>
    <s v="NULL"/>
    <s v="NULL"/>
    <s v="NULL"/>
    <s v="Not Applicable"/>
  </r>
  <r>
    <s v="Ofsted Webpage"/>
    <n v="58587"/>
    <n v="10022461"/>
    <s v="Capital Engineering Group Holdings Ltd"/>
    <x v="1"/>
    <s v="Independent learning providers (including employer providers)"/>
    <s v="Lambeth"/>
    <s v="London"/>
    <s v="London"/>
    <s v="NULL"/>
    <s v="NULL"/>
    <n v="10022543"/>
    <s v="Independent Learning Provider (National) - Full"/>
    <d v="2017-01-10T00:00:00"/>
    <d v="2017-01-13T00:00:00"/>
    <d v="2017-03-24T00:00:00"/>
    <x v="2"/>
    <n v="3"/>
    <n v="3"/>
    <n v="3"/>
    <n v="3"/>
    <s v="ITS429239"/>
    <d v="2014-05-30T00:00:00"/>
    <n v="2"/>
    <n v="2"/>
    <n v="2"/>
    <s v="-"/>
    <n v="2"/>
    <s v="Declined"/>
  </r>
  <r>
    <s v="Ofsted Webpage"/>
    <n v="58588"/>
    <n v="10019780"/>
    <s v="Wincanton Group Limited"/>
    <x v="4"/>
    <s v="Independent learning providers (including employer providers)"/>
    <s v="Wiltshire"/>
    <s v="South West"/>
    <s v="South West"/>
    <s v="NULL"/>
    <s v="NULL"/>
    <n v="10011532"/>
    <s v="Independent Learning Provider (National) - Full"/>
    <d v="2016-06-28T00:00:00"/>
    <d v="2016-07-01T00:00:00"/>
    <d v="2016-08-15T00:00:00"/>
    <x v="0"/>
    <n v="2"/>
    <n v="2"/>
    <n v="2"/>
    <n v="2"/>
    <s v="ITS376250"/>
    <d v="2011-09-23T00:00:00"/>
    <n v="2"/>
    <n v="2"/>
    <n v="2"/>
    <s v="-"/>
    <n v="2"/>
    <s v="Stayed the Same"/>
  </r>
  <r>
    <s v="Ofsted Webpage"/>
    <n v="58590"/>
    <n v="10023368"/>
    <s v="SSE Services PLC"/>
    <x v="4"/>
    <s v="Independent learning providers (including employer providers)"/>
    <s v="Rhondda, Cynon, Taff"/>
    <s v="Wales"/>
    <s v="South East"/>
    <d v="2015-11-13T00:00:00"/>
    <n v="1"/>
    <s v="ITS404582"/>
    <s v="WBL (national) - Full"/>
    <d v="2012-09-18T00:00:00"/>
    <d v="2012-09-21T00:00:00"/>
    <d v="2012-10-26T00:00:00"/>
    <x v="0"/>
    <n v="1"/>
    <n v="2"/>
    <s v="-"/>
    <n v="2"/>
    <s v="ITS354699"/>
    <d v="2010-11-19T00:00:00"/>
    <n v="3"/>
    <n v="3"/>
    <n v="3"/>
    <s v="-"/>
    <n v="3"/>
    <s v="Improved"/>
  </r>
  <r>
    <s v="Ofsted Webpage"/>
    <n v="58591"/>
    <n v="10023415"/>
    <s v="Toni &amp; Guy UK Training Limited"/>
    <x v="4"/>
    <s v="Independent learning providers (including employer providers)"/>
    <s v="Manchester"/>
    <s v="North West"/>
    <s v="North West"/>
    <s v="NULL"/>
    <s v="NULL"/>
    <n v="10011533"/>
    <s v="Independent Learning Provider (National) - Full"/>
    <d v="2016-05-10T00:00:00"/>
    <d v="2016-05-13T00:00:00"/>
    <d v="2016-06-03T00:00:00"/>
    <x v="0"/>
    <n v="2"/>
    <n v="2"/>
    <n v="2"/>
    <n v="2"/>
    <s v="ITS366045"/>
    <d v="2011-07-08T00:00:00"/>
    <n v="2"/>
    <n v="2"/>
    <n v="2"/>
    <s v="-"/>
    <n v="2"/>
    <s v="Stayed the Same"/>
  </r>
  <r>
    <s v="Ofsted Webpage"/>
    <n v="58595"/>
    <n v="10021292"/>
    <s v="Quality Transport Training"/>
    <x v="1"/>
    <s v="Independent learning providers (including employer providers)"/>
    <s v="Staffordshire"/>
    <s v="West Midlands"/>
    <s v="West Midlands"/>
    <s v="NULL"/>
    <s v="NULL"/>
    <s v="NULL"/>
    <s v="NULL"/>
    <s v="NULL"/>
    <s v="NULL"/>
    <s v="NULL"/>
    <x v="5"/>
    <s v="NULL"/>
    <s v="NULL"/>
    <s v="NULL"/>
    <s v="NULL"/>
    <s v="NULL"/>
    <s v="NULL"/>
    <s v="NULL"/>
    <s v="NULL"/>
    <s v="NULL"/>
    <s v="NULL"/>
    <s v="NULL"/>
    <s v="NULL"/>
  </r>
  <r>
    <s v="Ofsted Webpage"/>
    <n v="58611"/>
    <n v="10021684"/>
    <s v="London Learning Consortium Community Interest Company"/>
    <x v="3"/>
    <s v="Community learning and skills providers"/>
    <s v="Croydon"/>
    <s v="London"/>
    <s v="London"/>
    <d v="2017-11-01T00:00:00"/>
    <n v="1"/>
    <s v="ITS430254"/>
    <s v="Employer - Requires improvement"/>
    <d v="2014-11-24T00:00:00"/>
    <d v="2014-11-28T00:00:00"/>
    <d v="2015-01-13T00:00:00"/>
    <x v="0"/>
    <n v="2"/>
    <n v="2"/>
    <s v="-"/>
    <n v="2"/>
    <s v="ITS399131"/>
    <d v="2013-06-28T00:00:00"/>
    <n v="3"/>
    <n v="3"/>
    <n v="3"/>
    <s v="-"/>
    <n v="3"/>
    <s v="Improved"/>
  </r>
  <r>
    <s v="Ofsted Webpage"/>
    <n v="58614"/>
    <n v="10023047"/>
    <s v="Remit Group Limited"/>
    <x v="1"/>
    <s v="Independent learning providers (including employer providers)"/>
    <s v="Nottingham"/>
    <s v="East Midlands"/>
    <s v="East Midlands"/>
    <s v="NULL"/>
    <s v="NULL"/>
    <s v="ITS429794"/>
    <s v="Employer - Requires improvement"/>
    <d v="2014-11-17T00:00:00"/>
    <d v="2014-11-21T00:00:00"/>
    <d v="2014-12-23T00:00:00"/>
    <x v="0"/>
    <n v="2"/>
    <n v="2"/>
    <s v="-"/>
    <n v="1"/>
    <s v="ITS410650"/>
    <d v="2013-07-19T00:00:00"/>
    <n v="3"/>
    <n v="3"/>
    <n v="2"/>
    <s v="-"/>
    <n v="2"/>
    <s v="Improved"/>
  </r>
  <r>
    <s v="Ofsted Webpage"/>
    <n v="58615"/>
    <n v="10022763"/>
    <s v="The InTraining Group Limited"/>
    <x v="1"/>
    <s v="Independent learning providers (including employer providers)"/>
    <s v="Newcastle upon Tyne"/>
    <s v="North East"/>
    <s v="North East, Yorkshire and the Humber"/>
    <s v="NULL"/>
    <s v="NULL"/>
    <n v="10011534"/>
    <s v="Independent Learning Provider (National) - Full"/>
    <d v="2016-05-09T00:00:00"/>
    <d v="2016-05-12T00:00:00"/>
    <d v="2016-06-06T00:00:00"/>
    <x v="0"/>
    <n v="2"/>
    <n v="2"/>
    <n v="2"/>
    <n v="2"/>
    <s v="ITS334045"/>
    <d v="2009-07-03T00:00:00"/>
    <n v="1"/>
    <n v="1"/>
    <n v="1"/>
    <s v="-"/>
    <n v="1"/>
    <s v="Declined"/>
  </r>
  <r>
    <s v="Ofsted Webpage"/>
    <n v="58700"/>
    <n v="10003207"/>
    <s v="Humber Learning Consortium"/>
    <x v="3"/>
    <s v="Community learning and skills providers"/>
    <s v="Kingston upon Hull"/>
    <s v="Yorkshire and The Humber"/>
    <s v="North East, Yorkshire and the Humber"/>
    <s v="NULL"/>
    <s v="NULL"/>
    <n v="10005434"/>
    <s v="Community Learning and Skills - Not for profit organisation - Full"/>
    <d v="2015-10-13T00:00:00"/>
    <d v="2015-10-16T00:00:00"/>
    <d v="2015-11-09T00:00:00"/>
    <x v="0"/>
    <n v="2"/>
    <n v="2"/>
    <n v="2"/>
    <n v="2"/>
    <s v="ITS387965"/>
    <d v="2012-05-18T00:00:00"/>
    <n v="2"/>
    <n v="2"/>
    <n v="2"/>
    <s v="-"/>
    <n v="2"/>
    <s v="Stayed the Same"/>
  </r>
  <r>
    <s v="Ofsted Webpage"/>
    <n v="58719"/>
    <n v="10010571"/>
    <s v="First City Training Limited"/>
    <x v="1"/>
    <s v="Independent learning providers (including employer providers)"/>
    <s v="Swindon"/>
    <s v="South West"/>
    <s v="South West"/>
    <s v="NULL"/>
    <s v="NULL"/>
    <n v="10030750"/>
    <s v="Independent Learning Provider (Regional) - Requires Improvement"/>
    <d v="2017-09-12T00:00:00"/>
    <d v="2017-09-14T00:00:00"/>
    <d v="2017-10-12T00:00:00"/>
    <x v="4"/>
    <n v="4"/>
    <n v="4"/>
    <n v="3"/>
    <n v="4"/>
    <n v="10005075"/>
    <d v="2016-01-22T00:00:00"/>
    <n v="3"/>
    <n v="3"/>
    <n v="3"/>
    <n v="3"/>
    <n v="3"/>
    <s v="Declined"/>
  </r>
  <r>
    <s v="Ofsted Webpage"/>
    <n v="58725"/>
    <n v="10020256"/>
    <s v="Skills UK Ltd"/>
    <x v="1"/>
    <s v="Independent learning providers (including employer providers)"/>
    <s v="Nottinghamshire"/>
    <s v="East Midlands"/>
    <s v="East Midlands"/>
    <s v="NULL"/>
    <s v="NULL"/>
    <s v="ITS423813"/>
    <s v="Employer - Full"/>
    <d v="2014-02-26T00:00:00"/>
    <d v="2014-02-28T00:00:00"/>
    <d v="2014-04-03T00:00:00"/>
    <x v="0"/>
    <n v="2"/>
    <n v="2"/>
    <s v="-"/>
    <n v="2"/>
    <s v="NULL"/>
    <s v="NULL"/>
    <s v="NULL"/>
    <s v="NULL"/>
    <s v="NULL"/>
    <s v="NULL"/>
    <s v="NULL"/>
    <s v="Not Applicable"/>
  </r>
  <r>
    <s v="Ofsted Webpage"/>
    <n v="58729"/>
    <n v="10022507"/>
    <s v="London Skills &amp; Development Network Limited"/>
    <x v="1"/>
    <s v="Independent learning providers (including employer providers)"/>
    <s v="Croydon"/>
    <s v="London"/>
    <s v="London"/>
    <s v="NULL"/>
    <s v="NULL"/>
    <n v="10039581"/>
    <s v="Independent Learning Provider (Regional) - Full"/>
    <d v="2017-10-17T00:00:00"/>
    <d v="2017-11-02T00:00:00"/>
    <d v="2017-12-06T00:00:00"/>
    <x v="2"/>
    <n v="3"/>
    <n v="3"/>
    <n v="3"/>
    <n v="3"/>
    <s v="ITS429137"/>
    <d v="2014-01-31T00:00:00"/>
    <n v="2"/>
    <n v="2"/>
    <n v="2"/>
    <s v="-"/>
    <n v="2"/>
    <s v="Declined"/>
  </r>
  <r>
    <s v="Ofsted Webpage"/>
    <n v="58735"/>
    <n v="10019914"/>
    <s v="Eden College of Human Resource Development and Management Studies Limited"/>
    <x v="1"/>
    <s v="Independent learning providers (including employer providers)"/>
    <s v="Havering"/>
    <s v="London"/>
    <s v="London"/>
    <s v="NULL"/>
    <s v="NULL"/>
    <s v="NULL"/>
    <s v="NULL"/>
    <s v="NULL"/>
    <s v="NULL"/>
    <s v="NULL"/>
    <x v="5"/>
    <s v="NULL"/>
    <s v="NULL"/>
    <s v="NULL"/>
    <s v="NULL"/>
    <s v="NULL"/>
    <s v="NULL"/>
    <s v="NULL"/>
    <s v="NULL"/>
    <s v="NULL"/>
    <s v="NULL"/>
    <s v="NULL"/>
    <s v="NULL"/>
  </r>
  <r>
    <s v="Ofsted Webpage"/>
    <n v="58736"/>
    <n v="10013362"/>
    <s v="Siemens Public Limited Company"/>
    <x v="4"/>
    <s v="Independent learning providers (including employer providers)"/>
    <s v="Newcastle upon Tyne"/>
    <s v="North East"/>
    <s v="North East, Yorkshire and the Humber"/>
    <s v="NULL"/>
    <s v="NULL"/>
    <n v="10011536"/>
    <s v="Independent Learning Provider (National) - Full"/>
    <d v="2016-08-16T00:00:00"/>
    <d v="2016-08-19T00:00:00"/>
    <d v="2016-09-08T00:00:00"/>
    <x v="1"/>
    <n v="1"/>
    <n v="1"/>
    <n v="1"/>
    <n v="1"/>
    <s v="ITS346074"/>
    <d v="2009-12-11T00:00:00"/>
    <n v="2"/>
    <n v="2"/>
    <n v="2"/>
    <s v="-"/>
    <n v="2"/>
    <s v="Improved"/>
  </r>
  <r>
    <s v="Ofsted Webpage"/>
    <n v="58782"/>
    <n v="10024714"/>
    <s v="DHL International (UK) Limited"/>
    <x v="4"/>
    <s v="Independent learning providers (including employer providers)"/>
    <s v="Leicestershire"/>
    <s v="East Midlands"/>
    <s v="East Midlands"/>
    <s v="NULL"/>
    <s v="NULL"/>
    <n v="10020136"/>
    <s v="Independent Learning Provider (National) - Full"/>
    <d v="2016-11-02T00:00:00"/>
    <d v="2016-11-04T00:00:00"/>
    <d v="2016-12-08T00:00:00"/>
    <x v="2"/>
    <n v="2"/>
    <n v="2"/>
    <n v="2"/>
    <n v="3"/>
    <s v="ITS385773"/>
    <d v="2012-11-23T00:00:00"/>
    <n v="2"/>
    <n v="2"/>
    <n v="2"/>
    <s v="-"/>
    <n v="2"/>
    <s v="Declined"/>
  </r>
  <r>
    <s v="Ofsted Webpage"/>
    <n v="58791"/>
    <n v="10024426"/>
    <s v="Vector Aerospace International Limited"/>
    <x v="1"/>
    <s v="Independent learning providers (including employer providers)"/>
    <s v="Hampshire"/>
    <s v="South East"/>
    <s v="South East"/>
    <d v="2017-09-27T00:00:00"/>
    <n v="1"/>
    <s v="ITS434061"/>
    <s v="Employer - Full"/>
    <d v="2014-07-09T00:00:00"/>
    <d v="2014-07-11T00:00:00"/>
    <d v="2014-08-15T00:00:00"/>
    <x v="0"/>
    <n v="2"/>
    <n v="2"/>
    <s v="-"/>
    <n v="2"/>
    <s v="ITS387975"/>
    <d v="2012-07-06T00:00:00"/>
    <n v="3"/>
    <n v="2"/>
    <n v="3"/>
    <s v="-"/>
    <n v="3"/>
    <s v="Improved"/>
  </r>
  <r>
    <s v="Ofsted Webpage"/>
    <n v="58798"/>
    <n v="10023999"/>
    <s v="MITIE Group PLC"/>
    <x v="4"/>
    <s v="Independent learning providers (including employer providers)"/>
    <s v="Southwark"/>
    <s v="London"/>
    <s v="London"/>
    <s v="NULL"/>
    <s v="NULL"/>
    <n v="10011537"/>
    <s v="Independent Learning Provider (National) - Full"/>
    <d v="2016-05-17T00:00:00"/>
    <d v="2016-05-20T00:00:00"/>
    <d v="2016-06-21T00:00:00"/>
    <x v="0"/>
    <n v="2"/>
    <n v="2"/>
    <n v="2"/>
    <n v="2"/>
    <s v="ITS376252"/>
    <d v="2012-02-09T00:00:00"/>
    <n v="2"/>
    <n v="2"/>
    <n v="2"/>
    <s v="-"/>
    <n v="2"/>
    <s v="Stayed the Same"/>
  </r>
  <r>
    <s v="Ofsted Webpage"/>
    <n v="58800"/>
    <n v="10024686"/>
    <s v="Resources (N E) Limited"/>
    <x v="1"/>
    <s v="Independent learning providers (including employer providers)"/>
    <s v="Sunderland"/>
    <s v="North East"/>
    <s v="North East, Yorkshire and the Humber"/>
    <s v="NULL"/>
    <s v="NULL"/>
    <n v="10006560"/>
    <s v="Independent Learning Provider (Regional) - Full"/>
    <d v="2015-11-03T00:00:00"/>
    <d v="2015-11-06T00:00:00"/>
    <d v="2015-12-03T00:00:00"/>
    <x v="0"/>
    <n v="2"/>
    <n v="2"/>
    <n v="2"/>
    <n v="2"/>
    <s v="ITS388113"/>
    <d v="2012-04-26T00:00:00"/>
    <n v="3"/>
    <n v="3"/>
    <n v="3"/>
    <s v="-"/>
    <n v="3"/>
    <s v="Improved"/>
  </r>
  <r>
    <s v="Ofsted Webpage"/>
    <n v="58805"/>
    <n v="10024317"/>
    <s v="Compass Group UK &amp; Ireland"/>
    <x v="4"/>
    <s v="Independent learning providers (including employer providers)"/>
    <s v="Birmingham"/>
    <s v="West Midlands"/>
    <s v="West Midlands"/>
    <s v="NULL"/>
    <s v="NULL"/>
    <n v="10030714"/>
    <s v="Independent Learning Provider (National) - Full"/>
    <d v="2017-06-13T00:00:00"/>
    <d v="2017-06-16T00:00:00"/>
    <d v="2017-07-20T00:00:00"/>
    <x v="4"/>
    <n v="4"/>
    <n v="4"/>
    <n v="4"/>
    <n v="4"/>
    <s v="ITS430252"/>
    <d v="2014-11-14T00:00:00"/>
    <n v="2"/>
    <n v="3"/>
    <n v="2"/>
    <s v="-"/>
    <n v="2"/>
    <s v="Declined"/>
  </r>
  <r>
    <s v="Ofsted Webpage"/>
    <n v="58806"/>
    <n v="10000311"/>
    <s v="The Military Preparation College"/>
    <x v="1"/>
    <s v="Independent learning providers (including employer providers)"/>
    <s v="Cardiff"/>
    <s v="Wales"/>
    <s v="South East"/>
    <s v="NULL"/>
    <s v="NULL"/>
    <s v="ITS434058"/>
    <s v="Employer - Full"/>
    <d v="2014-07-28T00:00:00"/>
    <d v="2014-08-01T00:00:00"/>
    <d v="2014-09-08T00:00:00"/>
    <x v="1"/>
    <n v="1"/>
    <n v="1"/>
    <s v="-"/>
    <n v="1"/>
    <s v="ITS366072"/>
    <d v="2011-07-15T00:00:00"/>
    <n v="2"/>
    <n v="2"/>
    <n v="2"/>
    <s v="-"/>
    <n v="2"/>
    <s v="Improved"/>
  </r>
  <r>
    <s v="Ofsted Webpage"/>
    <n v="58810"/>
    <n v="10023925"/>
    <s v="Virgin Media Limited"/>
    <x v="1"/>
    <s v="Independent learning providers (including employer providers)"/>
    <s v="Hampshire"/>
    <s v="South East"/>
    <s v="South East"/>
    <d v="2016-03-08T00:00:00"/>
    <n v="1"/>
    <s v="ITS387970"/>
    <s v="Work based Learning - full inspection Historic"/>
    <d v="2012-08-28T00:00:00"/>
    <d v="2012-08-31T00:00:00"/>
    <d v="2012-10-05T00:00:00"/>
    <x v="0"/>
    <n v="2"/>
    <n v="2"/>
    <s v="-"/>
    <n v="2"/>
    <s v="NULL"/>
    <s v="NULL"/>
    <s v="NULL"/>
    <s v="NULL"/>
    <s v="NULL"/>
    <s v="NULL"/>
    <s v="NULL"/>
    <s v="Not Applicable"/>
  </r>
  <r>
    <s v="Ofsted Webpage"/>
    <n v="58814"/>
    <n v="10019798"/>
    <s v="Manley Summers Housing Personnel Limited"/>
    <x v="1"/>
    <s v="Independent learning providers (including employer providers)"/>
    <s v="Southwark"/>
    <s v="London"/>
    <s v="London"/>
    <s v="NULL"/>
    <s v="NULL"/>
    <s v="NULL"/>
    <s v="NULL"/>
    <s v="NULL"/>
    <s v="NULL"/>
    <s v="NULL"/>
    <x v="5"/>
    <s v="NULL"/>
    <s v="NULL"/>
    <s v="NULL"/>
    <s v="NULL"/>
    <s v="NULL"/>
    <s v="NULL"/>
    <s v="NULL"/>
    <s v="NULL"/>
    <s v="NULL"/>
    <s v="NULL"/>
    <s v="NULL"/>
    <s v="NULL"/>
  </r>
  <r>
    <s v="Ofsted Webpage"/>
    <n v="58818"/>
    <n v="10020561"/>
    <s v="Greater Merseyside Learning Providers' Federation Limited"/>
    <x v="1"/>
    <s v="Independent learning providers (including employer providers)"/>
    <s v="Liverpool"/>
    <s v="North West"/>
    <s v="North West"/>
    <s v="NULL"/>
    <s v="NULL"/>
    <n v="10011538"/>
    <s v="Independent Learning Provider (Regional) - Full"/>
    <d v="2016-07-19T00:00:00"/>
    <d v="2016-07-21T00:00:00"/>
    <d v="2016-08-25T00:00:00"/>
    <x v="4"/>
    <n v="4"/>
    <n v="4"/>
    <n v="4"/>
    <n v="4"/>
    <s v="ITS410683"/>
    <d v="2013-04-12T00:00:00"/>
    <n v="2"/>
    <n v="2"/>
    <n v="2"/>
    <s v="-"/>
    <n v="2"/>
    <s v="Declined"/>
  </r>
  <r>
    <s v="Ofsted Webpage"/>
    <n v="58820"/>
    <n v="10024124"/>
    <s v="t2 business solutions"/>
    <x v="1"/>
    <s v="Independent learning providers (including employer providers)"/>
    <s v="Cardiff"/>
    <s v="Wales"/>
    <s v="South West"/>
    <s v="NULL"/>
    <s v="NULL"/>
    <n v="10022510"/>
    <s v="Independent Learning Provider (National) - Requires improvement"/>
    <d v="2017-06-06T00:00:00"/>
    <d v="2017-06-09T00:00:00"/>
    <d v="2017-07-05T00:00:00"/>
    <x v="0"/>
    <n v="2"/>
    <n v="2"/>
    <n v="2"/>
    <n v="2"/>
    <s v="ITS455599"/>
    <d v="2015-06-26T00:00:00"/>
    <n v="3"/>
    <n v="2"/>
    <n v="2"/>
    <s v="-"/>
    <n v="3"/>
    <s v="Improved"/>
  </r>
  <r>
    <s v="Ofsted Webpage"/>
    <n v="58830"/>
    <n v="10031984"/>
    <s v="Dynamic Training UK Ltd"/>
    <x v="1"/>
    <s v="Independent learning providers (including employer providers)"/>
    <s v="Hounslow"/>
    <s v="London"/>
    <s v="London"/>
    <d v="2016-04-08T00:00:00"/>
    <n v="1"/>
    <s v="ITS376254"/>
    <s v="WBL (national) - Full"/>
    <d v="2011-11-07T00:00:00"/>
    <d v="2011-11-11T00:00:00"/>
    <d v="2011-12-16T00:00:00"/>
    <x v="0"/>
    <n v="2"/>
    <n v="2"/>
    <s v="-"/>
    <n v="2"/>
    <s v="NULL"/>
    <s v="NULL"/>
    <s v="NULL"/>
    <s v="NULL"/>
    <s v="NULL"/>
    <s v="NULL"/>
    <s v="NULL"/>
    <s v="Not Applicable"/>
  </r>
  <r>
    <s v="Ofsted Webpage"/>
    <n v="58840"/>
    <n v="10019041"/>
    <s v="Engage Training and Development Ltd"/>
    <x v="1"/>
    <s v="Independent learning providers (including employer providers)"/>
    <s v="Doncaster"/>
    <s v="Yorkshire and The Humber"/>
    <s v="North East, Yorkshire and the Humber"/>
    <s v="NULL"/>
    <s v="NULL"/>
    <s v="NULL"/>
    <s v="NULL"/>
    <s v="NULL"/>
    <s v="NULL"/>
    <s v="NULL"/>
    <x v="5"/>
    <s v="NULL"/>
    <s v="NULL"/>
    <s v="NULL"/>
    <s v="NULL"/>
    <s v="NULL"/>
    <s v="NULL"/>
    <s v="NULL"/>
    <s v="NULL"/>
    <s v="NULL"/>
    <s v="NULL"/>
    <s v="NULL"/>
    <s v="NULL"/>
  </r>
  <r>
    <s v="Ofsted Webpage"/>
    <n v="58841"/>
    <n v="10019383"/>
    <s v="City Gateway"/>
    <x v="3"/>
    <s v="Community learning and skills providers"/>
    <s v="Tower Hamlets"/>
    <s v="London"/>
    <s v="London"/>
    <s v="NULL"/>
    <s v="NULL"/>
    <n v="10030696"/>
    <s v="Community Learning and Skills - Not for profit organisation - Full"/>
    <d v="2017-10-03T00:00:00"/>
    <d v="2017-10-06T00:00:00"/>
    <d v="2017-11-07T00:00:00"/>
    <x v="2"/>
    <n v="3"/>
    <n v="3"/>
    <n v="3"/>
    <n v="3"/>
    <s v="ITS452623"/>
    <d v="2015-03-19T00:00:00"/>
    <n v="2"/>
    <n v="2"/>
    <n v="2"/>
    <s v="-"/>
    <n v="2"/>
    <s v="Declined"/>
  </r>
  <r>
    <s v="Ofsted Webpage"/>
    <n v="58852"/>
    <n v="10013110"/>
    <s v="Care First Training Limited"/>
    <x v="1"/>
    <s v="Independent learning providers (including employer providers)"/>
    <s v="Redbridge"/>
    <s v="London"/>
    <s v="London"/>
    <s v="NULL"/>
    <s v="NULL"/>
    <s v="NULL"/>
    <s v="NULL"/>
    <s v="NULL"/>
    <s v="NULL"/>
    <s v="NULL"/>
    <x v="5"/>
    <s v="NULL"/>
    <s v="NULL"/>
    <s v="NULL"/>
    <s v="NULL"/>
    <s v="NULL"/>
    <s v="NULL"/>
    <s v="NULL"/>
    <s v="NULL"/>
    <s v="NULL"/>
    <s v="NULL"/>
    <s v="NULL"/>
    <s v="NULL"/>
  </r>
  <r>
    <s v="Ofsted Webpage"/>
    <n v="58866"/>
    <n v="10001639"/>
    <s v="Careers South West"/>
    <x v="5"/>
    <s v="National Careers Service contractors"/>
    <s v="Cornwall"/>
    <s v="South West"/>
    <s v="South West"/>
    <s v="NULL"/>
    <s v="NULL"/>
    <s v="ITS422633"/>
    <s v="Nextstep - inspection Historic"/>
    <d v="2013-07-08T00:00:00"/>
    <d v="2013-07-12T00:00:00"/>
    <d v="2013-08-16T00:00:00"/>
    <x v="0"/>
    <n v="2"/>
    <n v="2"/>
    <s v="-"/>
    <n v="2"/>
    <s v="ITS343625"/>
    <d v="2010-01-29T00:00:00"/>
    <n v="3"/>
    <n v="3"/>
    <n v="3"/>
    <s v="-"/>
    <n v="3"/>
    <s v="Improved"/>
  </r>
  <r>
    <s v="Ofsted Webpage"/>
    <n v="58913"/>
    <n v="10001777"/>
    <s v="Alt Valley Community Trust"/>
    <x v="3"/>
    <s v="Community learning and skills providers"/>
    <s v="Liverpool"/>
    <s v="North West"/>
    <s v="North West"/>
    <s v="NULL"/>
    <s v="NULL"/>
    <n v="10022612"/>
    <s v="Community Learning and Skills - Not for profit organisation - Requires Improvement"/>
    <d v="2016-11-01T00:00:00"/>
    <d v="2016-11-03T00:00:00"/>
    <d v="2016-12-08T00:00:00"/>
    <x v="0"/>
    <n v="2"/>
    <n v="2"/>
    <n v="2"/>
    <n v="2"/>
    <s v="ITS455664"/>
    <d v="2015-03-12T00:00:00"/>
    <n v="3"/>
    <n v="3"/>
    <n v="3"/>
    <s v="-"/>
    <n v="3"/>
    <s v="Improved"/>
  </r>
  <r>
    <s v="Ofsted Webpage"/>
    <n v="58929"/>
    <n v="10026072"/>
    <s v="Nestor Primecare Services Limited"/>
    <x v="4"/>
    <s v="Independent learning providers (including employer providers)"/>
    <s v="Staffordshire"/>
    <s v="West Midlands"/>
    <s v="West Midlands"/>
    <s v="NULL"/>
    <s v="NULL"/>
    <n v="10037418"/>
    <s v="Independent Learning Provider (National) - Requires improvement"/>
    <d v="2017-09-19T00:00:00"/>
    <d v="2017-09-22T00:00:00"/>
    <d v="2017-11-02T00:00:00"/>
    <x v="4"/>
    <n v="4"/>
    <n v="4"/>
    <n v="4"/>
    <n v="4"/>
    <n v="10005082"/>
    <d v="2016-02-19T00:00:00"/>
    <n v="3"/>
    <n v="3"/>
    <n v="3"/>
    <n v="3"/>
    <n v="3"/>
    <s v="Declined"/>
  </r>
  <r>
    <s v="Ofsted Webpage"/>
    <n v="58930"/>
    <n v="10024294"/>
    <s v="Cheshire West and Chester Council"/>
    <x v="2"/>
    <s v="Community learning and skills providers"/>
    <s v="Cheshire West and Chester"/>
    <s v="North West"/>
    <s v="North West"/>
    <s v="NULL"/>
    <s v="NULL"/>
    <s v="ITS452624"/>
    <s v="ACL - Full"/>
    <d v="2015-03-17T00:00:00"/>
    <d v="2015-03-20T00:00:00"/>
    <d v="2015-04-22T00:00:00"/>
    <x v="0"/>
    <n v="2"/>
    <n v="2"/>
    <s v="-"/>
    <n v="2"/>
    <s v="ITS363137"/>
    <d v="2011-01-21T00:00:00"/>
    <n v="2"/>
    <n v="2"/>
    <n v="2"/>
    <s v="-"/>
    <n v="2"/>
    <s v="Stayed the Same"/>
  </r>
  <r>
    <s v="Ofsted Webpage"/>
    <n v="58936"/>
    <n v="10024704"/>
    <s v="Raytheon Professional Services"/>
    <x v="1"/>
    <s v="Independent learning providers (including employer providers)"/>
    <s v="Nottinghamshire"/>
    <s v="East Midlands"/>
    <s v="East Midlands"/>
    <s v="NULL"/>
    <s v="NULL"/>
    <n v="10011540"/>
    <s v="Independent Learning Provider (National) - Full"/>
    <d v="2016-04-19T00:00:00"/>
    <d v="2016-04-22T00:00:00"/>
    <d v="2016-05-23T00:00:00"/>
    <x v="0"/>
    <n v="2"/>
    <n v="2"/>
    <n v="2"/>
    <n v="2"/>
    <s v="ITS388132"/>
    <d v="2012-06-15T00:00:00"/>
    <n v="2"/>
    <n v="2"/>
    <n v="2"/>
    <s v="-"/>
    <n v="2"/>
    <s v="Stayed the Same"/>
  </r>
  <r>
    <s v="Ofsted Webpage"/>
    <n v="58966"/>
    <n v="10027498"/>
    <s v="Travis Perkins PLC"/>
    <x v="4"/>
    <s v="Independent learning providers (including employer providers)"/>
    <s v="Northamptonshire"/>
    <s v="East Midlands"/>
    <s v="East Midlands"/>
    <s v="NULL"/>
    <s v="NULL"/>
    <n v="10011542"/>
    <s v="Independent Learning Provider (National) - Requires improvement"/>
    <d v="2016-04-26T00:00:00"/>
    <d v="2016-04-29T00:00:00"/>
    <d v="2016-05-23T00:00:00"/>
    <x v="0"/>
    <n v="2"/>
    <n v="2"/>
    <n v="2"/>
    <n v="2"/>
    <s v="ITS393392"/>
    <d v="2012-11-16T00:00:00"/>
    <n v="3"/>
    <n v="3"/>
    <n v="3"/>
    <s v="-"/>
    <n v="3"/>
    <s v="Improved"/>
  </r>
  <r>
    <s v="Ofsted Webpage"/>
    <n v="59017"/>
    <n v="10024293"/>
    <s v="Cheshire East Council"/>
    <x v="2"/>
    <s v="Community learning and skills providers"/>
    <s v="Cheshire East"/>
    <s v="North West"/>
    <s v="North West"/>
    <d v="2017-06-15T00:00:00"/>
    <n v="1"/>
    <s v="ITS434067"/>
    <s v="ACL - Full"/>
    <d v="2014-05-20T00:00:00"/>
    <d v="2014-05-23T00:00:00"/>
    <d v="2014-06-26T00:00:00"/>
    <x v="0"/>
    <n v="2"/>
    <n v="2"/>
    <s v="-"/>
    <n v="2"/>
    <s v="ITS363136"/>
    <d v="2011-01-28T00:00:00"/>
    <n v="2"/>
    <n v="2"/>
    <n v="2"/>
    <s v="-"/>
    <n v="2"/>
    <s v="Stayed the Same"/>
  </r>
  <r>
    <s v="Ofsted Webpage"/>
    <n v="59021"/>
    <n v="10024292"/>
    <s v="Bedfordshire Adult Skills &amp; Community Learning"/>
    <x v="2"/>
    <s v="Community learning and skills providers"/>
    <s v="Central Bedfordshire"/>
    <s v="East of England"/>
    <s v="East of England"/>
    <d v="2016-03-15T00:00:00"/>
    <n v="1"/>
    <s v="ITS363133"/>
    <s v="Adult and Community - full (regional) Historic"/>
    <d v="2011-06-13T00:00:00"/>
    <d v="2011-06-17T00:00:00"/>
    <d v="2011-07-22T00:00:00"/>
    <x v="0"/>
    <n v="2"/>
    <n v="2"/>
    <s v="-"/>
    <n v="2"/>
    <s v="NULL"/>
    <s v="NULL"/>
    <s v="NULL"/>
    <s v="NULL"/>
    <s v="NULL"/>
    <s v="NULL"/>
    <s v="NULL"/>
    <s v="Not Applicable"/>
  </r>
  <r>
    <s v="Ofsted Webpage"/>
    <n v="59042"/>
    <n v="10030520"/>
    <s v="Select Service Partner UK Limited"/>
    <x v="4"/>
    <s v="Independent learning providers (including employer providers)"/>
    <s v="Camden"/>
    <s v="London"/>
    <s v="London"/>
    <s v="NULL"/>
    <s v="NULL"/>
    <n v="10030691"/>
    <s v="Independent Learning Provider (National) - Full"/>
    <d v="2017-08-08T00:00:00"/>
    <d v="2017-08-11T00:00:00"/>
    <d v="2017-09-13T00:00:00"/>
    <x v="2"/>
    <n v="3"/>
    <n v="3"/>
    <n v="3"/>
    <n v="3"/>
    <s v="ITS451098"/>
    <d v="2015-06-25T00:00:00"/>
    <n v="2"/>
    <n v="3"/>
    <n v="2"/>
    <s v="-"/>
    <n v="2"/>
    <s v="Declined"/>
  </r>
  <r>
    <s v="Ofsted Webpage"/>
    <n v="59066"/>
    <n v="10030120"/>
    <s v="Hays Travel Limited"/>
    <x v="1"/>
    <s v="Independent learning providers (including employer providers)"/>
    <s v="Sunderland"/>
    <s v="North East"/>
    <s v="North East, Yorkshire and the Humber"/>
    <d v="2016-09-14T00:00:00"/>
    <n v="1"/>
    <s v="ITS399128"/>
    <s v="Employer - Full"/>
    <d v="2012-09-25T00:00:00"/>
    <d v="2012-09-28T00:00:00"/>
    <d v="2012-11-02T00:00:00"/>
    <x v="0"/>
    <n v="1"/>
    <n v="2"/>
    <s v="-"/>
    <n v="2"/>
    <s v="NULL"/>
    <s v="NULL"/>
    <s v="NULL"/>
    <s v="NULL"/>
    <s v="NULL"/>
    <s v="NULL"/>
    <s v="NULL"/>
    <s v="Not Applicable"/>
  </r>
  <r>
    <s v="Ofsted Webpage"/>
    <n v="59079"/>
    <n v="10033547"/>
    <s v="Consortium of Vocational and Educational Trainers Limited"/>
    <x v="1"/>
    <s v="Independent learning providers (including employer providers)"/>
    <s v="Oxfordshire"/>
    <s v="South East"/>
    <s v="South East"/>
    <s v="NULL"/>
    <s v="NULL"/>
    <s v="ITS423822"/>
    <s v="Employer - Full"/>
    <d v="2013-09-17T00:00:00"/>
    <d v="2013-09-20T00:00:00"/>
    <d v="2013-10-25T00:00:00"/>
    <x v="0"/>
    <n v="2"/>
    <n v="2"/>
    <s v="-"/>
    <n v="3"/>
    <s v="NULL"/>
    <s v="NULL"/>
    <s v="NULL"/>
    <s v="NULL"/>
    <s v="NULL"/>
    <s v="NULL"/>
    <s v="NULL"/>
    <s v="Not Applicable"/>
  </r>
  <r>
    <s v="Ofsted Webpage"/>
    <n v="59082"/>
    <n v="10032404"/>
    <s v="Apprenticeships &amp; Training Services Consortium Limited"/>
    <x v="1"/>
    <s v="Independent learning providers (including employer providers)"/>
    <s v="Barnet"/>
    <s v="London"/>
    <s v="London"/>
    <s v="NULL"/>
    <s v="NULL"/>
    <s v="ITS423829"/>
    <s v="Employer - Full"/>
    <d v="2013-10-29T00:00:00"/>
    <d v="2013-11-01T00:00:00"/>
    <d v="2013-12-06T00:00:00"/>
    <x v="0"/>
    <n v="2"/>
    <n v="2"/>
    <s v="-"/>
    <n v="2"/>
    <s v="NULL"/>
    <s v="NULL"/>
    <s v="NULL"/>
    <s v="NULL"/>
    <s v="NULL"/>
    <s v="NULL"/>
    <s v="NULL"/>
    <s v="Not Applicable"/>
  </r>
  <r>
    <s v="Ofsted Webpage"/>
    <n v="59083"/>
    <n v="10033482"/>
    <s v="Consortia Training Limited"/>
    <x v="1"/>
    <s v="Independent learning providers (including employer providers)"/>
    <s v="Nottinghamshire"/>
    <s v="East Midlands"/>
    <s v="East Midlands"/>
    <d v="2017-03-31T00:00:00"/>
    <n v="1"/>
    <s v="ITS423838"/>
    <s v="Employer - Full"/>
    <d v="2013-11-12T00:00:00"/>
    <d v="2013-11-15T00:00:00"/>
    <d v="2013-12-17T00:00:00"/>
    <x v="0"/>
    <n v="2"/>
    <n v="2"/>
    <s v="-"/>
    <n v="2"/>
    <s v="NULL"/>
    <s v="NULL"/>
    <s v="NULL"/>
    <s v="NULL"/>
    <s v="NULL"/>
    <s v="NULL"/>
    <s v="NULL"/>
    <s v="Not Applicable"/>
  </r>
  <r>
    <s v="Ofsted Webpage"/>
    <n v="59093"/>
    <n v="10032119"/>
    <s v="South West Association of Training Providers Limited"/>
    <x v="1"/>
    <s v="Independent learning providers (including employer providers)"/>
    <s v="Devon"/>
    <s v="South West"/>
    <s v="South West"/>
    <s v="NULL"/>
    <s v="NULL"/>
    <n v="10011543"/>
    <s v="Independent Learning Provider (Regional) - Full"/>
    <d v="2016-05-10T00:00:00"/>
    <d v="2016-05-13T00:00:00"/>
    <d v="2016-06-21T00:00:00"/>
    <x v="0"/>
    <n v="1"/>
    <n v="2"/>
    <n v="1"/>
    <n v="2"/>
    <s v="ITS408541"/>
    <d v="2013-03-01T00:00:00"/>
    <n v="2"/>
    <n v="1"/>
    <n v="2"/>
    <s v="-"/>
    <n v="2"/>
    <s v="Stayed the Same"/>
  </r>
  <r>
    <s v="Ofsted Webpage"/>
    <n v="59094"/>
    <n v="10034309"/>
    <s v="INTERSERVE LEARNING &amp; EMPLOYMENT (SERVICES) LIMITED"/>
    <x v="1"/>
    <s v="Independent learning providers (including employer providers)"/>
    <s v="Sheffield"/>
    <s v="Yorkshire and The Humber"/>
    <s v="North East, Yorkshire and the Humber"/>
    <d v="2017-09-27T00:00:00"/>
    <n v="1"/>
    <s v="ITS423830"/>
    <s v="Employer - Full"/>
    <d v="2013-12-09T00:00:00"/>
    <d v="2013-12-13T00:00:00"/>
    <d v="2014-01-20T00:00:00"/>
    <x v="0"/>
    <n v="3"/>
    <n v="2"/>
    <s v="-"/>
    <n v="2"/>
    <s v="NULL"/>
    <s v="NULL"/>
    <s v="NULL"/>
    <s v="NULL"/>
    <s v="NULL"/>
    <s v="NULL"/>
    <s v="NULL"/>
    <s v="Not Applicable"/>
  </r>
  <r>
    <s v="Ofsted Webpage"/>
    <n v="59109"/>
    <n v="10034055"/>
    <s v="ACE Training and Consultancy Limited"/>
    <x v="1"/>
    <s v="Independent learning providers (including employer providers)"/>
    <s v="Oxfordshire"/>
    <s v="South East"/>
    <s v="South East"/>
    <s v="NULL"/>
    <s v="NULL"/>
    <n v="10020116"/>
    <s v="Independent Learning Provider (Regional) - Full"/>
    <d v="2016-11-08T00:00:00"/>
    <d v="2016-11-11T00:00:00"/>
    <d v="2016-12-19T00:00:00"/>
    <x v="0"/>
    <n v="2"/>
    <n v="2"/>
    <n v="2"/>
    <n v="2"/>
    <s v="ITS429230"/>
    <d v="2014-06-13T00:00:00"/>
    <n v="2"/>
    <n v="3"/>
    <n v="2"/>
    <s v="-"/>
    <n v="2"/>
    <s v="Stayed the Same"/>
  </r>
  <r>
    <s v="Ofsted Webpage"/>
    <n v="59113"/>
    <n v="10006735"/>
    <s v="The Learning Partnership for Cornwall and The Isles of Scilly Limited"/>
    <x v="1"/>
    <s v="Independent learning providers (including employer providers)"/>
    <s v="Cornwall"/>
    <s v="South West"/>
    <s v="South West"/>
    <s v="NULL"/>
    <s v="NULL"/>
    <n v="10008494"/>
    <s v="Independent Learning Provider (Regional) - Requires Improvement"/>
    <d v="2016-01-12T00:00:00"/>
    <d v="2016-01-15T00:00:00"/>
    <d v="2016-02-15T00:00:00"/>
    <x v="0"/>
    <n v="2"/>
    <n v="2"/>
    <n v="2"/>
    <n v="2"/>
    <s v="ITS434062"/>
    <d v="2014-09-19T00:00:00"/>
    <n v="3"/>
    <n v="3"/>
    <n v="3"/>
    <s v="-"/>
    <n v="3"/>
    <s v="Improved"/>
  </r>
  <r>
    <s v="Ofsted Webpage"/>
    <n v="59122"/>
    <n v="10019227"/>
    <s v="Be Totally You"/>
    <x v="1"/>
    <s v="Independent learning providers (including employer providers)"/>
    <s v="Lewisham"/>
    <s v="London"/>
    <s v="London"/>
    <s v="NULL"/>
    <s v="NULL"/>
    <n v="10022536"/>
    <s v="Independent Learning Provider (Regional) - Requires Improvement - second inspection"/>
    <d v="2017-05-02T00:00:00"/>
    <d v="2017-05-05T00:00:00"/>
    <d v="2017-06-16T00:00:00"/>
    <x v="4"/>
    <n v="4"/>
    <n v="4"/>
    <n v="4"/>
    <n v="4"/>
    <s v="ITS452784"/>
    <d v="2015-05-08T00:00:00"/>
    <n v="3"/>
    <n v="3"/>
    <n v="3"/>
    <s v="-"/>
    <n v="3"/>
    <s v="Declined"/>
  </r>
  <r>
    <s v="Ofsted Webpage"/>
    <n v="59124"/>
    <n v="10027693"/>
    <s v="All Trades Training Limited"/>
    <x v="1"/>
    <s v="Independent learning providers (including employer providers)"/>
    <s v="Hertfordshire"/>
    <s v="East of England"/>
    <s v="East of England"/>
    <s v="NULL"/>
    <s v="NULL"/>
    <n v="10030717"/>
    <s v="Independent Learning Provider (Regional) - Full"/>
    <d v="2017-07-04T00:00:00"/>
    <d v="2017-07-07T00:00:00"/>
    <d v="2017-08-17T00:00:00"/>
    <x v="2"/>
    <n v="3"/>
    <n v="3"/>
    <n v="2"/>
    <n v="3"/>
    <s v="ITS440400"/>
    <d v="2015-04-17T00:00:00"/>
    <n v="2"/>
    <n v="2"/>
    <n v="2"/>
    <s v="-"/>
    <n v="2"/>
    <s v="Declined"/>
  </r>
  <r>
    <s v="Ofsted Webpage"/>
    <n v="59126"/>
    <n v="10025330"/>
    <s v="Release Potential Ltd"/>
    <x v="1"/>
    <s v="Independent learning providers (including employer providers)"/>
    <s v="Northumberland"/>
    <s v="North East"/>
    <s v="North East, Yorkshire and the Humber"/>
    <s v="NULL"/>
    <s v="NULL"/>
    <n v="10005093"/>
    <s v="Independent Learning Provider (Regional) - Full"/>
    <d v="2015-11-03T00:00:00"/>
    <d v="2015-11-06T00:00:00"/>
    <d v="2015-12-07T00:00:00"/>
    <x v="0"/>
    <n v="2"/>
    <n v="2"/>
    <n v="2"/>
    <n v="2"/>
    <s v="ITS429007"/>
    <d v="2013-11-22T00:00:00"/>
    <n v="2"/>
    <n v="2"/>
    <n v="2"/>
    <s v="-"/>
    <n v="2"/>
    <s v="Stayed the Same"/>
  </r>
  <r>
    <s v="Ofsted Webpage"/>
    <n v="59129"/>
    <n v="10027873"/>
    <s v="Training Strategies Ltd."/>
    <x v="1"/>
    <s v="Independent learning providers (including employer providers)"/>
    <s v="Liverpool"/>
    <s v="North West"/>
    <s v="North West"/>
    <s v="NULL"/>
    <s v="NULL"/>
    <s v="ITS433767"/>
    <s v="Employer - Requires improvement"/>
    <d v="2015-03-10T00:00:00"/>
    <d v="2015-03-13T00:00:00"/>
    <d v="2015-04-17T00:00:00"/>
    <x v="0"/>
    <n v="2"/>
    <n v="2"/>
    <s v="-"/>
    <n v="2"/>
    <s v="ITS423817"/>
    <d v="2013-09-27T00:00:00"/>
    <n v="3"/>
    <n v="3"/>
    <n v="3"/>
    <s v="-"/>
    <n v="3"/>
    <s v="Improved"/>
  </r>
  <r>
    <s v="Ofsted Webpage"/>
    <n v="59131"/>
    <n v="10033736"/>
    <s v="Academies Enterprise Trust"/>
    <x v="4"/>
    <s v="Independent learning providers (including employer providers)"/>
    <s v="Camden"/>
    <s v="London"/>
    <s v="London"/>
    <s v="NULL"/>
    <s v="NULL"/>
    <n v="10005094"/>
    <s v="Independent Learning Provider (National) - Full"/>
    <d v="2015-11-17T00:00:00"/>
    <d v="2015-11-19T00:00:00"/>
    <d v="2015-12-16T00:00:00"/>
    <x v="2"/>
    <n v="2"/>
    <n v="3"/>
    <n v="2"/>
    <n v="3"/>
    <s v="NULL"/>
    <s v="NULL"/>
    <s v="NULL"/>
    <s v="NULL"/>
    <s v="NULL"/>
    <s v="NULL"/>
    <s v="NULL"/>
    <s v="Not Applicable"/>
  </r>
  <r>
    <s v="Ofsted Webpage"/>
    <n v="59144"/>
    <n v="10019237"/>
    <s v="Activate Community and Education Services"/>
    <x v="6"/>
    <s v="Independent specialist colleges"/>
    <s v="Knowsley"/>
    <s v="North West"/>
    <s v="North West"/>
    <s v="NULL"/>
    <s v="NULL"/>
    <n v="10037420"/>
    <s v="ISC - Requires improvement"/>
    <d v="2017-10-16T00:00:00"/>
    <d v="2017-10-18T00:00:00"/>
    <d v="2017-11-15T00:00:00"/>
    <x v="0"/>
    <n v="2"/>
    <n v="2"/>
    <n v="2"/>
    <n v="2"/>
    <n v="10005971"/>
    <d v="2015-11-30T00:00:00"/>
    <n v="3"/>
    <n v="3"/>
    <n v="3"/>
    <n v="3"/>
    <n v="3"/>
    <s v="Improved"/>
  </r>
  <r>
    <s v="Ofsted Webpage"/>
    <n v="59147"/>
    <n v="10030249"/>
    <s v="Skills Edge Training Ltd"/>
    <x v="1"/>
    <s v="Independent learning providers (including employer providers)"/>
    <s v="Norfolk"/>
    <s v="East of England"/>
    <s v="East of England"/>
    <s v="NULL"/>
    <s v="NULL"/>
    <s v="ITS455602"/>
    <s v="WBL (national) - Full"/>
    <d v="2015-06-15T00:00:00"/>
    <d v="2015-06-19T00:00:00"/>
    <d v="2015-07-14T00:00:00"/>
    <x v="0"/>
    <n v="2"/>
    <n v="2"/>
    <s v="-"/>
    <n v="2"/>
    <s v="NULL"/>
    <s v="NULL"/>
    <s v="NULL"/>
    <s v="NULL"/>
    <s v="NULL"/>
    <s v="NULL"/>
    <s v="NULL"/>
    <s v="Not Applicable"/>
  </r>
  <r>
    <s v="Ofsted Webpage"/>
    <n v="59153"/>
    <n v="10019314"/>
    <s v="JBC Skills Training Limited"/>
    <x v="1"/>
    <s v="Independent learning providers (including employer providers)"/>
    <s v="Coventry"/>
    <s v="West Midlands"/>
    <s v="West Midlands"/>
    <s v="NULL"/>
    <s v="NULL"/>
    <s v="ITS446618"/>
    <s v="Employer - Full"/>
    <d v="2014-09-17T00:00:00"/>
    <d v="2014-09-19T00:00:00"/>
    <d v="2014-10-23T00:00:00"/>
    <x v="0"/>
    <n v="2"/>
    <n v="2"/>
    <s v="-"/>
    <n v="2"/>
    <s v="NULL"/>
    <s v="NULL"/>
    <s v="NULL"/>
    <s v="NULL"/>
    <s v="NULL"/>
    <s v="NULL"/>
    <s v="NULL"/>
    <s v="Not Applicable"/>
  </r>
  <r>
    <s v="Ofsted Webpage"/>
    <n v="59154"/>
    <n v="10032740"/>
    <s v="Learning Skills Partnership Ltd"/>
    <x v="1"/>
    <s v="Independent learning providers (including employer providers)"/>
    <s v="East Riding of Yorkshire"/>
    <s v="Yorkshire and The Humber"/>
    <s v="North East, Yorkshire and the Humber"/>
    <s v="NULL"/>
    <s v="NULL"/>
    <n v="10030667"/>
    <s v="Independent Learning Provider (National) - Requires improvement"/>
    <d v="2017-06-19T00:00:00"/>
    <d v="2017-06-22T00:00:00"/>
    <d v="2017-07-19T00:00:00"/>
    <x v="0"/>
    <n v="2"/>
    <n v="2"/>
    <n v="2"/>
    <n v="2"/>
    <n v="10005403"/>
    <d v="2015-09-25T00:00:00"/>
    <n v="3"/>
    <n v="3"/>
    <n v="3"/>
    <n v="3"/>
    <n v="3"/>
    <s v="Improved"/>
  </r>
  <r>
    <s v="Ofsted Webpage"/>
    <n v="59155"/>
    <n v="10034315"/>
    <s v="LIGA (UK) LTD"/>
    <x v="1"/>
    <s v="Independent learning providers (including employer providers)"/>
    <s v="Oxfordshire"/>
    <s v="South East"/>
    <s v="South East"/>
    <s v="NULL"/>
    <s v="NULL"/>
    <n v="10005096"/>
    <s v="Independent Learning Provider (National) - Requires improvement"/>
    <d v="2016-12-13T00:00:00"/>
    <d v="2016-12-16T00:00:00"/>
    <d v="2017-01-23T00:00:00"/>
    <x v="0"/>
    <n v="2"/>
    <n v="2"/>
    <n v="2"/>
    <n v="2"/>
    <s v="ITS452628"/>
    <d v="2015-02-13T00:00:00"/>
    <n v="3"/>
    <n v="3"/>
    <n v="3"/>
    <s v="-"/>
    <n v="3"/>
    <s v="Improved"/>
  </r>
  <r>
    <s v="Ofsted Webpage"/>
    <n v="59157"/>
    <n v="10024404"/>
    <s v="London Vesta College Limited"/>
    <x v="1"/>
    <s v="Independent learning providers (including employer providers)"/>
    <s v="Tower Hamlets"/>
    <s v="London"/>
    <s v="London"/>
    <s v="NULL"/>
    <s v="NULL"/>
    <n v="10021941"/>
    <s v="Independent Learning Provider (Regional) - Requires Improvement"/>
    <d v="2016-10-25T00:00:00"/>
    <d v="2016-10-27T00:00:00"/>
    <d v="2016-11-21T00:00:00"/>
    <x v="0"/>
    <n v="2"/>
    <n v="2"/>
    <n v="2"/>
    <n v="2"/>
    <s v="ITS455606"/>
    <d v="2015-03-06T00:00:00"/>
    <n v="3"/>
    <n v="2"/>
    <n v="3"/>
    <s v="-"/>
    <n v="3"/>
    <s v="Improved"/>
  </r>
  <r>
    <s v="Ofsted Webpage"/>
    <n v="59161"/>
    <n v="10036578"/>
    <s v="The Apprentice Academy Limited"/>
    <x v="1"/>
    <s v="Independent learning providers (including employer providers)"/>
    <s v="Manchester"/>
    <s v="North West"/>
    <s v="North West"/>
    <s v="NULL"/>
    <s v="NULL"/>
    <n v="10022619"/>
    <s v="Independent Learning Provider (Regional) - Requires Improvement"/>
    <d v="2017-01-10T00:00:00"/>
    <d v="2017-01-13T00:00:00"/>
    <d v="2017-02-14T00:00:00"/>
    <x v="0"/>
    <n v="2"/>
    <n v="2"/>
    <n v="2"/>
    <n v="2"/>
    <s v="ITS455607"/>
    <d v="2015-03-13T00:00:00"/>
    <n v="3"/>
    <n v="3"/>
    <n v="3"/>
    <s v="-"/>
    <n v="3"/>
    <s v="Improved"/>
  </r>
  <r>
    <s v="Ofsted Webpage"/>
    <n v="59162"/>
    <n v="10030670"/>
    <s v="The Real Apprenticeship Company Limited"/>
    <x v="1"/>
    <s v="Independent learning providers (including employer providers)"/>
    <s v="Warwickshire"/>
    <s v="West Midlands"/>
    <s v="West Midlands"/>
    <s v="NULL"/>
    <s v="NULL"/>
    <n v="10030713"/>
    <s v="Independent Learning Provider (National) - Full"/>
    <d v="2017-07-26T00:00:00"/>
    <d v="2017-08-02T00:00:00"/>
    <d v="2017-08-29T00:00:00"/>
    <x v="2"/>
    <n v="3"/>
    <n v="3"/>
    <n v="3"/>
    <n v="3"/>
    <s v="ITS455608"/>
    <d v="2015-02-20T00:00:00"/>
    <n v="2"/>
    <n v="2"/>
    <n v="2"/>
    <s v="-"/>
    <n v="2"/>
    <s v="Declined"/>
  </r>
  <r>
    <s v="Ofsted Webpage"/>
    <n v="59163"/>
    <n v="10035270"/>
    <s v="Training Synergy Limited"/>
    <x v="1"/>
    <s v="Independent learning providers (including employer providers)"/>
    <s v="Hackney"/>
    <s v="London"/>
    <s v="London"/>
    <s v="NULL"/>
    <s v="NULL"/>
    <n v="10022557"/>
    <s v="Independent Learning Provider (Regional) - Requires Improvement"/>
    <d v="2017-05-09T00:00:00"/>
    <d v="2017-05-12T00:00:00"/>
    <d v="2017-06-07T00:00:00"/>
    <x v="0"/>
    <n v="2"/>
    <n v="2"/>
    <n v="1"/>
    <n v="2"/>
    <s v="ITS455609"/>
    <d v="2015-06-12T00:00:00"/>
    <n v="3"/>
    <n v="3"/>
    <n v="3"/>
    <s v="-"/>
    <n v="3"/>
    <s v="Improved"/>
  </r>
  <r>
    <s v="Ofsted Webpage"/>
    <n v="59166"/>
    <n v="10021021"/>
    <s v="Urban Futures London Limited"/>
    <x v="3"/>
    <s v="Community learning and skills providers"/>
    <s v="Haringey"/>
    <s v="London"/>
    <s v="London"/>
    <s v="NULL"/>
    <s v="NULL"/>
    <n v="10022559"/>
    <s v="Community Learning and Skills - Not for profit organisation - Requires Improvement"/>
    <d v="2017-05-09T00:00:00"/>
    <d v="2017-05-11T00:00:00"/>
    <d v="2017-06-08T00:00:00"/>
    <x v="0"/>
    <n v="2"/>
    <n v="2"/>
    <n v="2"/>
    <n v="2"/>
    <s v="ITS455610"/>
    <d v="2015-06-03T00:00:00"/>
    <n v="3"/>
    <n v="3"/>
    <n v="3"/>
    <s v="-"/>
    <n v="3"/>
    <s v="Improved"/>
  </r>
  <r>
    <s v="Ofsted Webpage"/>
    <n v="59167"/>
    <n v="10005109"/>
    <s v="DBC Training"/>
    <x v="1"/>
    <s v="Independent learning providers (including employer providers)"/>
    <s v="Derby"/>
    <s v="East Midlands"/>
    <s v="East Midlands"/>
    <s v="NULL"/>
    <s v="NULL"/>
    <n v="10011546"/>
    <s v="Independent Learning Provider (Regional) - Requires Improvement"/>
    <d v="2016-06-06T00:00:00"/>
    <d v="2016-06-08T00:00:00"/>
    <d v="2016-07-15T00:00:00"/>
    <x v="0"/>
    <n v="2"/>
    <n v="2"/>
    <n v="2"/>
    <n v="2"/>
    <s v="ITS456390"/>
    <d v="2015-01-29T00:00:00"/>
    <n v="3"/>
    <n v="3"/>
    <n v="3"/>
    <s v="-"/>
    <n v="2"/>
    <s v="Improved"/>
  </r>
  <r>
    <s v="Ofsted Webpage"/>
    <n v="59168"/>
    <n v="10020307"/>
    <s v="Astute Minds Ltd"/>
    <x v="1"/>
    <s v="Independent learning providers (including employer providers)"/>
    <s v="Bexley"/>
    <s v="London"/>
    <s v="London"/>
    <d v="2017-07-13T00:00:00"/>
    <n v="1"/>
    <s v="ITS455611"/>
    <s v="Employer - Full"/>
    <d v="2015-03-24T00:00:00"/>
    <d v="2015-03-27T00:00:00"/>
    <d v="2015-04-27T00:00:00"/>
    <x v="0"/>
    <n v="3"/>
    <n v="2"/>
    <s v="-"/>
    <n v="2"/>
    <s v="NULL"/>
    <s v="NULL"/>
    <s v="NULL"/>
    <s v="NULL"/>
    <s v="NULL"/>
    <s v="NULL"/>
    <s v="NULL"/>
    <s v="Not Applicable"/>
  </r>
  <r>
    <s v="Ofsted Webpage"/>
    <n v="59172"/>
    <n v="10013122"/>
    <s v="SYSCO BUSINESS SKILLS ACADEMY LIMITED"/>
    <x v="1"/>
    <s v="Independent learning providers (including employer providers)"/>
    <s v="Liverpool"/>
    <s v="North West"/>
    <s v="North West"/>
    <d v="2017-09-12T00:00:00"/>
    <n v="1"/>
    <s v="ITS433553"/>
    <s v="Employer - Full"/>
    <d v="2013-11-11T00:00:00"/>
    <d v="2013-11-15T00:00:00"/>
    <d v="2013-12-18T00:00:00"/>
    <x v="0"/>
    <n v="2"/>
    <n v="2"/>
    <s v="-"/>
    <n v="2"/>
    <s v="NULL"/>
    <s v="NULL"/>
    <s v="NULL"/>
    <s v="NULL"/>
    <s v="NULL"/>
    <s v="NULL"/>
    <s v="NULL"/>
    <s v="Not Applicable"/>
  </r>
  <r>
    <s v="Ofsted Webpage"/>
    <n v="59173"/>
    <n v="10036431"/>
    <s v="PeoplePlus Group Limited"/>
    <x v="1"/>
    <s v="Independent learning providers (including employer providers)"/>
    <s v="Solihull"/>
    <s v="West Midlands"/>
    <s v="West Midlands"/>
    <s v="NULL"/>
    <s v="NULL"/>
    <n v="10030697"/>
    <s v="Independent Learning Provider (National) - Full"/>
    <d v="2017-06-27T00:00:00"/>
    <d v="2017-06-30T00:00:00"/>
    <d v="2017-08-01T00:00:00"/>
    <x v="0"/>
    <n v="2"/>
    <n v="2"/>
    <n v="2"/>
    <n v="2"/>
    <s v="ITS452630"/>
    <d v="2015-02-06T00:00:00"/>
    <n v="2"/>
    <n v="2"/>
    <n v="2"/>
    <s v="-"/>
    <n v="2"/>
    <s v="Stayed the Same"/>
  </r>
  <r>
    <s v="Ofsted Webpage"/>
    <n v="59174"/>
    <n v="10006901"/>
    <s v="APM Learning and Education Alliance Limited"/>
    <x v="1"/>
    <s v="Independent learning providers (including employer providers)"/>
    <s v="Birmingham"/>
    <s v="West Midlands"/>
    <s v="West Midlands"/>
    <s v="NULL"/>
    <s v="NULL"/>
    <n v="10020187"/>
    <s v="Independent Learning Provider (Regional) - Full"/>
    <d v="2016-11-08T00:00:00"/>
    <d v="2016-11-11T00:00:00"/>
    <d v="2016-12-19T00:00:00"/>
    <x v="2"/>
    <n v="3"/>
    <n v="3"/>
    <n v="3"/>
    <n v="3"/>
    <s v="NULL"/>
    <s v="NULL"/>
    <s v="NULL"/>
    <s v="NULL"/>
    <s v="NULL"/>
    <s v="NULL"/>
    <s v="NULL"/>
    <s v="Not Applicable"/>
  </r>
  <r>
    <s v="Ofsted Webpage"/>
    <n v="59176"/>
    <n v="10021793"/>
    <s v="Pathway First Limited"/>
    <x v="1"/>
    <s v="Independent learning providers (including employer providers)"/>
    <s v="Birmingham"/>
    <s v="West Midlands"/>
    <s v="West Midlands"/>
    <s v="NULL"/>
    <s v="NULL"/>
    <n v="10021015"/>
    <s v="Independent Learning Provider (Regional) - Requires Improvement"/>
    <d v="2016-10-04T00:00:00"/>
    <d v="2016-10-07T00:00:00"/>
    <d v="2016-11-02T00:00:00"/>
    <x v="0"/>
    <n v="2"/>
    <n v="2"/>
    <n v="2"/>
    <n v="2"/>
    <s v="ITS455612"/>
    <d v="2015-06-05T00:00:00"/>
    <n v="3"/>
    <n v="3"/>
    <n v="3"/>
    <s v="-"/>
    <n v="3"/>
    <s v="Improved"/>
  </r>
  <r>
    <s v="Ofsted Webpage"/>
    <n v="59179"/>
    <n v="10022503"/>
    <s v="ProVQ Limited"/>
    <x v="1"/>
    <s v="Independent learning providers (including employer providers)"/>
    <s v="Shropshire"/>
    <s v="West Midlands"/>
    <s v="West Midlands"/>
    <s v="NULL"/>
    <s v="NULL"/>
    <s v="ITS461246"/>
    <s v="Employer - Full"/>
    <d v="2015-06-02T00:00:00"/>
    <d v="2015-06-05T00:00:00"/>
    <d v="2015-06-29T00:00:00"/>
    <x v="0"/>
    <n v="2"/>
    <n v="2"/>
    <s v="-"/>
    <n v="2"/>
    <s v="NULL"/>
    <s v="NULL"/>
    <s v="NULL"/>
    <s v="NULL"/>
    <s v="NULL"/>
    <s v="NULL"/>
    <s v="NULL"/>
    <s v="Not Applicable"/>
  </r>
  <r>
    <s v="Ofsted Webpage"/>
    <n v="59181"/>
    <n v="10024603"/>
    <s v="Chapman Bennett Associates Limited"/>
    <x v="1"/>
    <s v="Independent learning providers (including employer providers)"/>
    <s v="Peterborough"/>
    <s v="East of England"/>
    <s v="East of England"/>
    <s v="NULL"/>
    <s v="NULL"/>
    <s v="ITS461247"/>
    <s v="Employer - Full"/>
    <d v="2015-05-18T00:00:00"/>
    <d v="2015-05-22T00:00:00"/>
    <d v="2015-06-25T00:00:00"/>
    <x v="0"/>
    <n v="2"/>
    <n v="2"/>
    <s v="-"/>
    <n v="2"/>
    <s v="NULL"/>
    <s v="NULL"/>
    <s v="NULL"/>
    <s v="NULL"/>
    <s v="NULL"/>
    <s v="NULL"/>
    <s v="NULL"/>
    <s v="Not Applicable"/>
  </r>
  <r>
    <s v="Ofsted Webpage"/>
    <n v="59182"/>
    <n v="10027766"/>
    <s v="Eden Training Solutions Limited"/>
    <x v="1"/>
    <s v="Independent learning providers (including employer providers)"/>
    <s v="Barnsley"/>
    <s v="Yorkshire and The Humber"/>
    <s v="North East, Yorkshire and the Humber"/>
    <s v="NULL"/>
    <s v="NULL"/>
    <s v="ITS455616"/>
    <s v="Employer - Full"/>
    <d v="2015-06-02T00:00:00"/>
    <d v="2015-06-05T00:00:00"/>
    <d v="2015-07-08T00:00:00"/>
    <x v="0"/>
    <n v="2"/>
    <n v="2"/>
    <s v="-"/>
    <n v="2"/>
    <s v="NULL"/>
    <s v="NULL"/>
    <s v="NULL"/>
    <s v="NULL"/>
    <s v="NULL"/>
    <s v="NULL"/>
    <s v="NULL"/>
    <s v="Not Applicable"/>
  </r>
  <r>
    <s v="Ofsted Webpage"/>
    <n v="59184"/>
    <n v="10031146"/>
    <s v="SR Education"/>
    <x v="1"/>
    <s v="Independent learning providers (including employer providers)"/>
    <s v="Nottinghamshire"/>
    <s v="East Midlands"/>
    <s v="East Midlands"/>
    <s v="NULL"/>
    <s v="NULL"/>
    <n v="10022572"/>
    <s v="Independent Learning Provider (Regional) - Requires Improvement"/>
    <d v="2017-03-21T00:00:00"/>
    <d v="2017-03-24T00:00:00"/>
    <d v="2017-04-20T00:00:00"/>
    <x v="0"/>
    <n v="2"/>
    <n v="2"/>
    <n v="2"/>
    <n v="2"/>
    <s v="ITS455617"/>
    <d v="2015-06-05T00:00:00"/>
    <n v="3"/>
    <n v="3"/>
    <n v="3"/>
    <s v="-"/>
    <n v="3"/>
    <s v="Improved"/>
  </r>
  <r>
    <s v="Ofsted Webpage"/>
    <n v="59185"/>
    <n v="10031241"/>
    <s v="Aspire Achieve Advance Limited"/>
    <x v="1"/>
    <s v="Independent learning providers (including employer providers)"/>
    <s v="Derby"/>
    <s v="East Midlands"/>
    <s v="East Midlands"/>
    <s v="NULL"/>
    <s v="NULL"/>
    <s v="ITS451933"/>
    <s v="Employer - Full"/>
    <d v="2014-10-20T00:00:00"/>
    <d v="2014-10-24T00:00:00"/>
    <d v="2014-11-19T00:00:00"/>
    <x v="1"/>
    <n v="1"/>
    <n v="1"/>
    <s v="-"/>
    <n v="1"/>
    <s v="NULL"/>
    <s v="NULL"/>
    <s v="NULL"/>
    <s v="NULL"/>
    <s v="NULL"/>
    <s v="NULL"/>
    <s v="NULL"/>
    <s v="Not Applicable"/>
  </r>
  <r>
    <s v="Ofsted Webpage"/>
    <n v="59186"/>
    <n v="10031408"/>
    <s v="Training Futures (UK) Limited"/>
    <x v="1"/>
    <s v="Independent learning providers (including employer providers)"/>
    <s v="Derbyshire"/>
    <s v="East Midlands"/>
    <s v="East Midlands"/>
    <s v="NULL"/>
    <s v="NULL"/>
    <s v="ITS461248"/>
    <s v="Employer - Full"/>
    <d v="2015-05-12T00:00:00"/>
    <d v="2015-05-15T00:00:00"/>
    <d v="2015-06-15T00:00:00"/>
    <x v="0"/>
    <n v="2"/>
    <n v="2"/>
    <s v="-"/>
    <n v="2"/>
    <s v="NULL"/>
    <s v="NULL"/>
    <s v="NULL"/>
    <s v="NULL"/>
    <s v="NULL"/>
    <s v="NULL"/>
    <s v="NULL"/>
    <s v="Not Applicable"/>
  </r>
  <r>
    <s v="Ofsted Webpage"/>
    <n v="59187"/>
    <n v="10023896"/>
    <s v="MPower Training Solutions Ltd"/>
    <x v="1"/>
    <s v="Independent learning providers (including employer providers)"/>
    <s v="Essex"/>
    <s v="East of England"/>
    <s v="East of England"/>
    <s v="NULL"/>
    <s v="NULL"/>
    <s v="ITS461249"/>
    <s v="Employer - Full"/>
    <d v="2015-06-16T00:00:00"/>
    <d v="2015-06-19T00:00:00"/>
    <d v="2015-07-10T00:00:00"/>
    <x v="2"/>
    <n v="3"/>
    <n v="3"/>
    <s v="-"/>
    <n v="3"/>
    <s v="NULL"/>
    <s v="NULL"/>
    <s v="NULL"/>
    <s v="NULL"/>
    <s v="NULL"/>
    <s v="NULL"/>
    <s v="NULL"/>
    <s v="Not Applicable"/>
  </r>
  <r>
    <s v="Ofsted Webpage"/>
    <n v="59189"/>
    <n v="10019581"/>
    <s v="The Consultancy Home Counties Limited"/>
    <x v="1"/>
    <s v="Independent learning providers (including employer providers)"/>
    <s v="Hertfordshire"/>
    <s v="East of England"/>
    <s v="East of England"/>
    <s v="NULL"/>
    <s v="NULL"/>
    <n v="10030721"/>
    <s v="Independent Learning Provider (Regional) - Requires Improvement"/>
    <d v="2017-04-25T00:00:00"/>
    <d v="2017-04-27T00:00:00"/>
    <d v="2017-06-22T00:00:00"/>
    <x v="0"/>
    <n v="2"/>
    <n v="2"/>
    <n v="2"/>
    <n v="2"/>
    <s v="ITS461250"/>
    <d v="2015-05-07T00:00:00"/>
    <n v="3"/>
    <n v="3"/>
    <n v="3"/>
    <s v="-"/>
    <n v="3"/>
    <s v="Improved"/>
  </r>
  <r>
    <s v="Ofsted Webpage"/>
    <n v="59190"/>
    <n v="10039882"/>
    <s v="GI Group"/>
    <x v="4"/>
    <s v="Independent learning providers (including employer providers)"/>
    <s v="Derbyshire"/>
    <s v="East Midlands"/>
    <s v="East Midlands"/>
    <s v="NULL"/>
    <s v="NULL"/>
    <n v="10011547"/>
    <s v="Independent Learning Provider (Regional) - Requires Improvement"/>
    <d v="2016-07-05T00:00:00"/>
    <d v="2016-07-08T00:00:00"/>
    <d v="2016-08-17T00:00:00"/>
    <x v="0"/>
    <n v="2"/>
    <n v="2"/>
    <n v="2"/>
    <n v="2"/>
    <s v="ITS452631"/>
    <d v="2015-01-16T00:00:00"/>
    <n v="3"/>
    <n v="3"/>
    <n v="3"/>
    <s v="-"/>
    <n v="3"/>
    <s v="Improved"/>
  </r>
  <r>
    <s v="Ofsted Webpage"/>
    <n v="59191"/>
    <n v="10029823"/>
    <s v="DV8 TRAINING (BRIGHTON) LIMITED"/>
    <x v="1"/>
    <s v="Independent learning providers (including employer providers)"/>
    <s v="Brighton and Hove"/>
    <s v="South East"/>
    <s v="South East"/>
    <s v="NULL"/>
    <s v="NULL"/>
    <n v="10022517"/>
    <s v="Independent Learning Provider (Regional) - Requires Improvement"/>
    <d v="2017-02-22T00:00:00"/>
    <d v="2017-02-24T00:00:00"/>
    <d v="2017-04-20T00:00:00"/>
    <x v="2"/>
    <n v="3"/>
    <n v="3"/>
    <n v="3"/>
    <n v="3"/>
    <s v="ITS455621"/>
    <d v="2015-04-24T00:00:00"/>
    <n v="3"/>
    <n v="3"/>
    <n v="3"/>
    <s v="-"/>
    <n v="3"/>
    <s v="Stayed the Same"/>
  </r>
  <r>
    <s v="Ofsted Webpage"/>
    <n v="59195"/>
    <n v="10041332"/>
    <s v="Health Education England"/>
    <x v="1"/>
    <s v="Independent learning providers (including employer providers)"/>
    <s v="Newcastle upon Tyne"/>
    <s v="North East"/>
    <s v="North East, Yorkshire and the Humber"/>
    <s v="NULL"/>
    <s v="NULL"/>
    <s v="ITS452633"/>
    <s v="Employer - Full"/>
    <d v="2015-03-16T00:00:00"/>
    <d v="2015-03-19T00:00:00"/>
    <d v="2015-04-23T00:00:00"/>
    <x v="0"/>
    <n v="2"/>
    <n v="2"/>
    <s v="-"/>
    <n v="2"/>
    <s v="NULL"/>
    <s v="NULL"/>
    <s v="NULL"/>
    <s v="NULL"/>
    <s v="NULL"/>
    <s v="NULL"/>
    <s v="NULL"/>
    <s v="Not Applicable"/>
  </r>
  <r>
    <s v="Ofsted Webpage"/>
    <n v="59200"/>
    <n v="10039859"/>
    <s v="Academy Transformation Trust"/>
    <x v="1"/>
    <s v="Independent learning providers (including employer providers)"/>
    <s v="Nottinghamshire"/>
    <s v="East Midlands"/>
    <s v="East Midlands"/>
    <s v="NULL"/>
    <s v="NULL"/>
    <n v="10030702"/>
    <s v="Independent Learning Provider (Regional) - Requires Improvement"/>
    <d v="2017-06-06T00:00:00"/>
    <d v="2017-06-09T00:00:00"/>
    <d v="2017-07-03T00:00:00"/>
    <x v="0"/>
    <n v="2"/>
    <n v="2"/>
    <n v="2"/>
    <n v="2"/>
    <n v="10005104"/>
    <d v="2015-11-27T00:00:00"/>
    <n v="3"/>
    <n v="3"/>
    <n v="3"/>
    <n v="2"/>
    <n v="3"/>
    <s v="Improved"/>
  </r>
  <r>
    <s v="Ofsted Webpage"/>
    <n v="59201"/>
    <n v="10010631"/>
    <s v="ALM TRAINING SERVICES LIMITED"/>
    <x v="1"/>
    <s v="Independent learning providers (including employer providers)"/>
    <s v="Thurrock"/>
    <s v="East of England"/>
    <s v="East of England"/>
    <s v="NULL"/>
    <s v="NULL"/>
    <n v="10011548"/>
    <s v="Independent Learning Provider (Regional) - Full"/>
    <d v="2016-04-19T00:00:00"/>
    <d v="2016-04-21T00:00:00"/>
    <d v="2016-05-18T00:00:00"/>
    <x v="2"/>
    <n v="3"/>
    <n v="3"/>
    <n v="2"/>
    <n v="3"/>
    <s v="NULL"/>
    <s v="NULL"/>
    <s v="NULL"/>
    <s v="NULL"/>
    <s v="NULL"/>
    <s v="NULL"/>
    <s v="NULL"/>
    <s v="Not Applicable"/>
  </r>
  <r>
    <s v="Ofsted Webpage"/>
    <n v="59202"/>
    <n v="10042884"/>
    <s v="BOSCH AUTOMOTIVE SERVICE SOLUTIONS LTD"/>
    <x v="1"/>
    <s v="Independent learning providers (including employer providers)"/>
    <s v="Nottingham"/>
    <s v="East Midlands"/>
    <s v="East Midlands"/>
    <d v="2016-07-06T00:00:00"/>
    <n v="1"/>
    <s v="ITS410661"/>
    <s v="WBL (national) - Full"/>
    <d v="2013-06-24T00:00:00"/>
    <d v="2013-06-28T00:00:00"/>
    <d v="2013-08-02T00:00:00"/>
    <x v="0"/>
    <n v="2"/>
    <n v="2"/>
    <s v="-"/>
    <n v="2"/>
    <s v="ITS330958"/>
    <d v="2009-03-13T00:00:00"/>
    <n v="3"/>
    <n v="3"/>
    <n v="3"/>
    <s v="-"/>
    <n v="3"/>
    <s v="Improved"/>
  </r>
  <r>
    <s v="Ofsted Webpage"/>
    <n v="59204"/>
    <n v="10010792"/>
    <s v="Hackney London Borough Council"/>
    <x v="2"/>
    <s v="Community learning and skills providers"/>
    <s v="Hackney"/>
    <s v="London"/>
    <s v="London"/>
    <s v="NULL"/>
    <s v="NULL"/>
    <n v="10005106"/>
    <s v="Community Learning and Skills - Local authority - Full"/>
    <d v="2016-06-21T00:00:00"/>
    <d v="2016-06-24T00:00:00"/>
    <d v="2016-07-20T00:00:00"/>
    <x v="2"/>
    <n v="3"/>
    <n v="3"/>
    <n v="2"/>
    <n v="3"/>
    <s v="NULL"/>
    <s v="NULL"/>
    <s v="NULL"/>
    <s v="NULL"/>
    <s v="NULL"/>
    <s v="NULL"/>
    <s v="NULL"/>
    <s v="Not Applicable"/>
  </r>
  <r>
    <s v="Ofsted Webpage"/>
    <n v="59216"/>
    <n v="10010905"/>
    <s v="Meadowhall Training Limited"/>
    <x v="1"/>
    <s v="Independent learning providers (including employer providers)"/>
    <s v="Sheffield"/>
    <s v="Yorkshire and The Humber"/>
    <s v="North East, Yorkshire and the Humber"/>
    <s v="NULL"/>
    <s v="NULL"/>
    <n v="10022489"/>
    <s v="Independent Learning Provider (National) - Requires improvement"/>
    <d v="2017-05-09T00:00:00"/>
    <d v="2017-05-12T00:00:00"/>
    <d v="2017-06-08T00:00:00"/>
    <x v="0"/>
    <n v="2"/>
    <n v="2"/>
    <n v="2"/>
    <n v="2"/>
    <s v="ITS463248"/>
    <d v="2015-07-03T00:00:00"/>
    <n v="3"/>
    <n v="3"/>
    <n v="3"/>
    <s v="-"/>
    <n v="3"/>
    <s v="Improved"/>
  </r>
  <r>
    <s v="Ofsted Webpage"/>
    <n v="59217"/>
    <n v="10025390"/>
    <s v="Clarkson Evans Training Limited"/>
    <x v="1"/>
    <s v="Independent learning providers (including employer providers)"/>
    <s v="Gloucestershire"/>
    <s v="South West"/>
    <s v="South West"/>
    <d v="2017-04-12T00:00:00"/>
    <n v="1"/>
    <s v="ITS423751"/>
    <s v="Employer - Full"/>
    <d v="2013-11-19T00:00:00"/>
    <d v="2013-11-22T00:00:00"/>
    <d v="2013-12-28T00:00:00"/>
    <x v="0"/>
    <n v="2"/>
    <n v="2"/>
    <s v="-"/>
    <n v="3"/>
    <s v="ITS342620"/>
    <d v="2009-12-11T00:00:00"/>
    <n v="2"/>
    <n v="1"/>
    <n v="2"/>
    <s v="-"/>
    <n v="2"/>
    <s v="Stayed the Same"/>
  </r>
  <r>
    <s v="Ofsted Webpage"/>
    <n v="59218"/>
    <n v="10042126"/>
    <s v="Vision Express"/>
    <x v="4"/>
    <s v="Independent learning providers (including employer providers)"/>
    <s v="Nottinghamshire"/>
    <s v="East Midlands"/>
    <s v="East Midlands"/>
    <s v="NULL"/>
    <s v="NULL"/>
    <n v="10030710"/>
    <s v="Independent Learning Provider (Regional) - Requires Improvement"/>
    <d v="2017-07-25T00:00:00"/>
    <d v="2017-07-27T00:00:00"/>
    <d v="2017-08-23T00:00:00"/>
    <x v="0"/>
    <n v="2"/>
    <n v="2"/>
    <n v="2"/>
    <n v="2"/>
    <n v="10005107"/>
    <d v="2015-11-20T00:00:00"/>
    <n v="3"/>
    <n v="3"/>
    <n v="3"/>
    <n v="2"/>
    <n v="3"/>
    <s v="Improved"/>
  </r>
  <r>
    <s v="Ofsted Webpage"/>
    <n v="59220"/>
    <n v="10001648"/>
    <s v="CXK LIMITED"/>
    <x v="3"/>
    <s v="Community learning and skills providers"/>
    <s v="Kent"/>
    <s v="South East"/>
    <s v="South East"/>
    <s v="NULL"/>
    <s v="NULL"/>
    <n v="10005109"/>
    <s v="Community Learning and Skills - Not for profit organisation - Full"/>
    <d v="2016-05-18T00:00:00"/>
    <d v="2016-05-20T00:00:00"/>
    <d v="2016-06-23T00:00:00"/>
    <x v="2"/>
    <n v="3"/>
    <n v="3"/>
    <n v="3"/>
    <n v="3"/>
    <s v="NULL"/>
    <s v="NULL"/>
    <s v="NULL"/>
    <s v="NULL"/>
    <s v="NULL"/>
    <s v="NULL"/>
    <s v="NULL"/>
    <s v="Not Applicable"/>
  </r>
  <r>
    <s v="Ofsted Webpage"/>
    <n v="59221"/>
    <n v="10035656"/>
    <s v="LEO Training"/>
    <x v="1"/>
    <s v="Independent learning providers (including employer providers)"/>
    <s v="Bournemouth"/>
    <s v="South West"/>
    <s v="South West"/>
    <s v="NULL"/>
    <s v="NULL"/>
    <n v="10030751"/>
    <s v="Independent Learning Provider (Regional) - Requires Improvement"/>
    <d v="2017-06-20T00:00:00"/>
    <d v="2017-06-22T00:00:00"/>
    <d v="2017-07-27T00:00:00"/>
    <x v="2"/>
    <n v="3"/>
    <n v="3"/>
    <n v="2"/>
    <n v="3"/>
    <n v="10005110"/>
    <d v="2016-02-11T00:00:00"/>
    <n v="3"/>
    <n v="3"/>
    <n v="3"/>
    <n v="2"/>
    <n v="3"/>
    <s v="Stayed the Same"/>
  </r>
  <r>
    <s v="Ofsted Webpage"/>
    <n v="59222"/>
    <n v="10038020"/>
    <s v="Green Labyrinth"/>
    <x v="1"/>
    <s v="Independent learning providers (including employer providers)"/>
    <s v="Wiltshire"/>
    <s v="South West"/>
    <s v="South West"/>
    <s v="NULL"/>
    <s v="NULL"/>
    <n v="10005111"/>
    <s v="Independent Learning Provider (Regional) - Full"/>
    <d v="2016-03-15T00:00:00"/>
    <d v="2016-03-17T00:00:00"/>
    <d v="2016-04-13T00:00:00"/>
    <x v="0"/>
    <n v="2"/>
    <n v="2"/>
    <n v="2"/>
    <n v="2"/>
    <s v="NULL"/>
    <s v="NULL"/>
    <s v="NULL"/>
    <s v="NULL"/>
    <s v="NULL"/>
    <s v="NULL"/>
    <s v="NULL"/>
    <s v="Not Applicable"/>
  </r>
  <r>
    <s v="Ofsted Webpage"/>
    <n v="59223"/>
    <n v="10036176"/>
    <s v="MiddletonMurray Limited"/>
    <x v="1"/>
    <s v="Independent learning providers (including employer providers)"/>
    <s v="Westminster"/>
    <s v="London"/>
    <s v="London"/>
    <s v="NULL"/>
    <s v="NULL"/>
    <n v="10005112"/>
    <s v="Independent Learning Provider (Regional) - Full"/>
    <d v="2016-07-26T00:00:00"/>
    <d v="2016-07-29T00:00:00"/>
    <d v="2016-08-16T00:00:00"/>
    <x v="0"/>
    <n v="2"/>
    <n v="2"/>
    <n v="2"/>
    <n v="2"/>
    <s v="NULL"/>
    <s v="NULL"/>
    <s v="NULL"/>
    <s v="NULL"/>
    <s v="NULL"/>
    <s v="NULL"/>
    <s v="NULL"/>
    <s v="Not Applicable"/>
  </r>
  <r>
    <s v="Ofsted Webpage"/>
    <n v="59227"/>
    <n v="10043571"/>
    <s v="Gordon Franks Training Limited"/>
    <x v="1"/>
    <s v="Independent learning providers (including employer providers)"/>
    <s v="Birmingham"/>
    <s v="West Midlands"/>
    <s v="West Midlands"/>
    <s v="NULL"/>
    <s v="NULL"/>
    <n v="10030966"/>
    <s v="Independent Learning Provider (Regional) - Full"/>
    <d v="2017-08-16T00:00:00"/>
    <d v="2017-09-13T00:00:00"/>
    <d v="2017-10-02T00:00:00"/>
    <x v="0"/>
    <n v="2"/>
    <n v="2"/>
    <n v="2"/>
    <n v="2"/>
    <s v="ITS429130"/>
    <d v="2014-03-14T00:00:00"/>
    <n v="2"/>
    <n v="2"/>
    <n v="2"/>
    <s v="-"/>
    <n v="2"/>
    <s v="Stayed the Same"/>
  </r>
  <r>
    <s v="Ofsted Webpage"/>
    <n v="59229"/>
    <n v="10018331"/>
    <s v="STREETVIBES YOUTH LIMITED"/>
    <x v="1"/>
    <s v="Independent learning providers (including employer providers)"/>
    <s v="Greenwich"/>
    <s v="London"/>
    <s v="London"/>
    <s v="NULL"/>
    <s v="NULL"/>
    <s v="NULL"/>
    <s v="NULL"/>
    <s v="NULL"/>
    <s v="NULL"/>
    <s v="NULL"/>
    <x v="5"/>
    <s v="NULL"/>
    <s v="NULL"/>
    <s v="NULL"/>
    <s v="NULL"/>
    <s v="NULL"/>
    <s v="NULL"/>
    <s v="NULL"/>
    <s v="NULL"/>
    <s v="NULL"/>
    <s v="NULL"/>
    <s v="NULL"/>
    <s v="NULL"/>
  </r>
  <r>
    <s v="Ofsted Webpage"/>
    <n v="59231"/>
    <n v="10045359"/>
    <s v="Be Wiser Insurance Services"/>
    <x v="4"/>
    <s v="Independent learning providers (including employer providers)"/>
    <s v="Hampshire"/>
    <s v="South East"/>
    <s v="South East"/>
    <s v="NULL"/>
    <s v="NULL"/>
    <n v="10005113"/>
    <s v="Independent Learning Provider (Regional) - Full"/>
    <d v="2016-09-20T00:00:00"/>
    <d v="2016-09-23T00:00:00"/>
    <d v="2016-10-25T00:00:00"/>
    <x v="2"/>
    <n v="3"/>
    <n v="3"/>
    <n v="3"/>
    <n v="3"/>
    <s v="NULL"/>
    <s v="NULL"/>
    <s v="NULL"/>
    <s v="NULL"/>
    <s v="NULL"/>
    <s v="NULL"/>
    <s v="NULL"/>
    <s v="Not Applicable"/>
  </r>
  <r>
    <s v="Ofsted Webpage"/>
    <n v="59232"/>
    <n v="10046552"/>
    <s v="Halfords"/>
    <x v="4"/>
    <s v="Independent learning providers (including employer providers)"/>
    <s v="Worcestershire"/>
    <s v="West Midlands"/>
    <s v="West Midlands"/>
    <s v="NULL"/>
    <s v="NULL"/>
    <n v="10035628"/>
    <s v="Independent Learning Provider (National) - Full"/>
    <d v="2017-08-08T00:00:00"/>
    <d v="2017-08-11T00:00:00"/>
    <d v="2017-09-13T00:00:00"/>
    <x v="2"/>
    <n v="3"/>
    <n v="3"/>
    <n v="3"/>
    <n v="3"/>
    <n v="10011549"/>
    <d v="2016-04-08T00:00:00"/>
    <n v="3"/>
    <n v="3"/>
    <n v="3"/>
    <n v="3"/>
    <n v="3"/>
    <s v="Stayed the Same"/>
  </r>
  <r>
    <s v="Ofsted Webpage"/>
    <n v="59233"/>
    <n v="10044778"/>
    <s v="Hob Salons"/>
    <x v="4"/>
    <s v="Independent learning providers (including employer providers)"/>
    <s v="Camden"/>
    <s v="London"/>
    <s v="London"/>
    <s v="NULL"/>
    <s v="NULL"/>
    <n v="10041031"/>
    <s v="Independent Learning Provider (National) - Full"/>
    <d v="2017-10-31T00:00:00"/>
    <d v="2017-11-03T00:00:00"/>
    <d v="2017-11-30T00:00:00"/>
    <x v="2"/>
    <n v="3"/>
    <n v="3"/>
    <n v="3"/>
    <n v="3"/>
    <s v="NULL"/>
    <s v="NULL"/>
    <s v="NULL"/>
    <s v="NULL"/>
    <s v="NULL"/>
    <s v="NULL"/>
    <s v="NULL"/>
    <s v="Not Applicable"/>
  </r>
  <r>
    <s v="Ofsted Webpage"/>
    <n v="59234"/>
    <n v="10044729"/>
    <s v="Momentum Training and Consultancy"/>
    <x v="4"/>
    <s v="Independent learning providers (including employer providers)"/>
    <s v="Dorset"/>
    <s v="South West"/>
    <s v="South West"/>
    <s v="NULL"/>
    <s v="NULL"/>
    <n v="10005116"/>
    <s v="Independent Learning Provider (Regional) - Full"/>
    <d v="2016-10-11T00:00:00"/>
    <d v="2016-10-14T00:00:00"/>
    <d v="2016-11-09T00:00:00"/>
    <x v="0"/>
    <n v="2"/>
    <n v="2"/>
    <n v="2"/>
    <n v="2"/>
    <s v="NULL"/>
    <s v="NULL"/>
    <s v="NULL"/>
    <s v="NULL"/>
    <s v="NULL"/>
    <s v="NULL"/>
    <s v="NULL"/>
    <s v="Not Applicable"/>
  </r>
  <r>
    <s v="Ofsted Webpage"/>
    <n v="59235"/>
    <n v="10043575"/>
    <s v="Pizza Hut"/>
    <x v="4"/>
    <s v="Independent learning providers (including employer providers)"/>
    <s v="Hertfordshire"/>
    <s v="East of England"/>
    <s v="East of England"/>
    <s v="NULL"/>
    <s v="NULL"/>
    <n v="10005117"/>
    <s v="Independent Learning Provider (National) - Full"/>
    <d v="2017-06-06T00:00:00"/>
    <d v="2017-06-09T00:00:00"/>
    <d v="2017-08-08T00:00:00"/>
    <x v="2"/>
    <n v="3"/>
    <n v="3"/>
    <n v="3"/>
    <n v="3"/>
    <s v="NULL"/>
    <s v="NULL"/>
    <s v="NULL"/>
    <s v="NULL"/>
    <s v="NULL"/>
    <s v="NULL"/>
    <s v="NULL"/>
    <s v="Not Applicable"/>
  </r>
  <r>
    <s v="Ofsted Webpage"/>
    <n v="59236"/>
    <n v="10027893"/>
    <s v="PARTNERSHIP DEVELOPMENT SOLUTIONS LTD"/>
    <x v="1"/>
    <s v="Independent learning providers (including employer providers)"/>
    <s v="Wiltshire"/>
    <s v="South West"/>
    <s v="South West"/>
    <s v="NULL"/>
    <s v="NULL"/>
    <n v="10005118"/>
    <s v="Independent Learning Provider (Regional) - Full"/>
    <d v="2017-06-06T00:00:00"/>
    <d v="2017-06-09T00:00:00"/>
    <d v="2017-07-03T00:00:00"/>
    <x v="0"/>
    <n v="2"/>
    <n v="2"/>
    <n v="2"/>
    <n v="2"/>
    <s v="NULL"/>
    <s v="NULL"/>
    <s v="NULL"/>
    <s v="NULL"/>
    <s v="NULL"/>
    <s v="NULL"/>
    <s v="NULL"/>
    <s v="Not Applicable"/>
  </r>
  <r>
    <s v="Ofsted Webpage"/>
    <n v="59237"/>
    <n v="10003280"/>
    <s v="IN-COMM TRAINING AND BUSINESS SERVICES LIMITED"/>
    <x v="1"/>
    <s v="Independent learning providers (including employer providers)"/>
    <s v="Walsall"/>
    <s v="West Midlands"/>
    <s v="West Midlands"/>
    <s v="NULL"/>
    <s v="NULL"/>
    <n v="10022594"/>
    <s v="Independent Learning Provider (Regional) - Full"/>
    <d v="2017-03-07T00:00:00"/>
    <d v="2017-03-10T00:00:00"/>
    <d v="2017-04-11T00:00:00"/>
    <x v="1"/>
    <n v="1"/>
    <n v="1"/>
    <n v="1"/>
    <n v="1"/>
    <s v="ITS455575"/>
    <d v="2015-05-14T00:00:00"/>
    <n v="2"/>
    <n v="2"/>
    <n v="2"/>
    <s v="-"/>
    <n v="2"/>
    <s v="Improved"/>
  </r>
  <r>
    <s v="Ofsted Webpage"/>
    <n v="121777"/>
    <n v="10012814"/>
    <s v="Henshaws College"/>
    <x v="6"/>
    <s v="Independent specialist colleges"/>
    <s v="North Yorkshire"/>
    <s v="Yorkshire and The Humber"/>
    <s v="North East, Yorkshire and the Humber"/>
    <s v="NULL"/>
    <s v="NULL"/>
    <n v="10022483"/>
    <s v="ISC - Requires improvement"/>
    <d v="2017-04-26T00:00:00"/>
    <d v="2017-04-27T00:00:00"/>
    <d v="2017-05-25T00:00:00"/>
    <x v="2"/>
    <n v="3"/>
    <n v="3"/>
    <n v="2"/>
    <n v="3"/>
    <s v="ITS455466"/>
    <d v="2015-05-14T00:00:00"/>
    <n v="3"/>
    <n v="3"/>
    <n v="3"/>
    <s v="-"/>
    <n v="3"/>
    <s v="Stayed the Same"/>
  </r>
  <r>
    <s v="Ofsted Webpage"/>
    <n v="130401"/>
    <n v="10001463"/>
    <s v="City Lit"/>
    <x v="7"/>
    <s v="Community learning and skills providers"/>
    <s v="Camden"/>
    <s v="London"/>
    <s v="London"/>
    <s v="NULL"/>
    <s v="NULL"/>
    <n v="10020132"/>
    <s v="Community Learning and Skills - Specialist designated institution - Full"/>
    <d v="2016-12-06T00:00:00"/>
    <d v="2016-12-09T00:00:00"/>
    <d v="2017-01-19T00:00:00"/>
    <x v="0"/>
    <n v="2"/>
    <n v="2"/>
    <n v="1"/>
    <n v="2"/>
    <s v="ITS365880"/>
    <d v="2011-06-10T00:00:00"/>
    <n v="1"/>
    <n v="2"/>
    <n v="2"/>
    <s v="-"/>
    <n v="1"/>
    <s v="Declined"/>
  </r>
  <r>
    <s v="Ofsted Webpage"/>
    <n v="130403"/>
    <n v="10007636"/>
    <s v="The Working Men's College"/>
    <x v="7"/>
    <s v="Community learning and skills providers"/>
    <s v="Camden"/>
    <s v="London"/>
    <s v="London"/>
    <s v="NULL"/>
    <s v="NULL"/>
    <s v="ITS408472"/>
    <s v="Adult and Community - full (regional) Historic"/>
    <d v="2013-03-18T00:00:00"/>
    <d v="2013-03-22T00:00:00"/>
    <d v="2013-04-30T00:00:00"/>
    <x v="1"/>
    <n v="1"/>
    <n v="1"/>
    <s v="-"/>
    <n v="1"/>
    <s v="ITS320896"/>
    <d v="2008-06-13T00:00:00"/>
    <n v="2"/>
    <n v="2"/>
    <n v="2"/>
    <s v="-"/>
    <n v="1"/>
    <s v="Improved"/>
  </r>
  <r>
    <s v="Ofsted Webpage"/>
    <n v="130404"/>
    <n v="10007875"/>
    <s v="The Mary Ward Centre (AE Centre)"/>
    <x v="7"/>
    <s v="Community learning and skills providers"/>
    <s v="Camden"/>
    <s v="London"/>
    <s v="London"/>
    <s v="NULL"/>
    <s v="NULL"/>
    <s v="ITS452634"/>
    <s v="Adult and Community - full (regional) Historic"/>
    <d v="2015-01-19T00:00:00"/>
    <d v="2015-01-23T00:00:00"/>
    <d v="2015-02-27T00:00:00"/>
    <x v="0"/>
    <n v="2"/>
    <n v="2"/>
    <s v="-"/>
    <n v="2"/>
    <s v="ITS330812"/>
    <d v="2009-02-27T00:00:00"/>
    <n v="2"/>
    <n v="2"/>
    <n v="2"/>
    <s v="-"/>
    <n v="2"/>
    <s v="Stayed the Same"/>
  </r>
  <r>
    <s v="Ofsted Webpage"/>
    <n v="130408"/>
    <n v="10002094"/>
    <s v="Ealing, Hammersmith and West London College"/>
    <x v="8"/>
    <s v="Colleges"/>
    <s v="Hammersmith and Fulham"/>
    <s v="London"/>
    <s v="London"/>
    <s v="NULL"/>
    <s v="NULL"/>
    <n v="10022544"/>
    <s v="FE College - Reinspection"/>
    <d v="2017-03-07T00:00:00"/>
    <d v="2017-03-10T00:00:00"/>
    <d v="2017-05-02T00:00:00"/>
    <x v="0"/>
    <n v="2"/>
    <n v="2"/>
    <n v="2"/>
    <n v="2"/>
    <n v="10004663"/>
    <d v="2015-10-16T00:00:00"/>
    <n v="4"/>
    <n v="4"/>
    <n v="3"/>
    <n v="3"/>
    <n v="3"/>
    <s v="Improved"/>
  </r>
  <r>
    <s v="Ofsted Webpage"/>
    <n v="130410"/>
    <n v="10003564"/>
    <s v="Kensington and Chelsea College"/>
    <x v="8"/>
    <s v="Colleges"/>
    <s v="Kensington and Chelsea"/>
    <s v="London"/>
    <s v="London"/>
    <s v="NULL"/>
    <s v="NULL"/>
    <n v="10022561"/>
    <s v="FE College - Requires improvement - second inspection"/>
    <d v="2017-01-31T00:00:00"/>
    <d v="2017-02-03T00:00:00"/>
    <d v="2017-03-13T00:00:00"/>
    <x v="2"/>
    <n v="3"/>
    <n v="3"/>
    <n v="2"/>
    <n v="3"/>
    <s v="ITS440397"/>
    <d v="2015-06-05T00:00:00"/>
    <n v="3"/>
    <n v="3"/>
    <n v="3"/>
    <s v="-"/>
    <n v="3"/>
    <s v="Stayed the Same"/>
  </r>
  <r>
    <s v="Ofsted Webpage"/>
    <n v="130411"/>
    <n v="10006135"/>
    <s v="St Charles Catholic Sixth Form College"/>
    <x v="9"/>
    <s v="Colleges"/>
    <s v="Kensington and Chelsea"/>
    <s v="London"/>
    <s v="London"/>
    <s v="NULL"/>
    <s v="NULL"/>
    <s v="ITS316625"/>
    <s v="College Inspection SFC - Good Historic"/>
    <d v="2007-10-09T00:00:00"/>
    <d v="2007-10-10T00:00:00"/>
    <d v="2007-11-30T00:00:00"/>
    <x v="1"/>
    <n v="2"/>
    <n v="2"/>
    <s v="-"/>
    <n v="1"/>
    <s v="NULL"/>
    <s v="NULL"/>
    <s v="NULL"/>
    <s v="NULL"/>
    <s v="NULL"/>
    <s v="NULL"/>
    <s v="NULL"/>
    <s v="Not Applicable"/>
  </r>
  <r>
    <s v="Ofsted Webpage"/>
    <n v="130412"/>
    <n v="10004432"/>
    <s v="Morley College"/>
    <x v="7"/>
    <s v="Community learning and skills providers"/>
    <s v="Lambeth"/>
    <s v="London"/>
    <s v="London"/>
    <d v="2016-04-21T00:00:00"/>
    <n v="1"/>
    <s v="ITS363141"/>
    <s v="Adult and Community - full (regional) Historic"/>
    <d v="2011-01-24T00:00:00"/>
    <d v="2011-01-28T00:00:00"/>
    <d v="2011-03-02T00:00:00"/>
    <x v="0"/>
    <n v="2"/>
    <n v="3"/>
    <s v="-"/>
    <n v="2"/>
    <s v="ITS320897"/>
    <d v="2008-11-28T00:00:00"/>
    <n v="3"/>
    <n v="3"/>
    <n v="2"/>
    <s v="-"/>
    <n v="3"/>
    <s v="Improved"/>
  </r>
  <r>
    <s v="Ofsted Webpage"/>
    <n v="130413"/>
    <n v="10003755"/>
    <s v="Lambeth College"/>
    <x v="8"/>
    <s v="Colleges"/>
    <s v="Lambeth"/>
    <s v="London"/>
    <s v="London"/>
    <s v="NULL"/>
    <s v="NULL"/>
    <n v="10020164"/>
    <s v="FE College - Requires improvement - second inspection"/>
    <d v="2016-11-08T00:00:00"/>
    <d v="2016-11-11T00:00:00"/>
    <d v="2016-12-19T00:00:00"/>
    <x v="2"/>
    <n v="3"/>
    <n v="3"/>
    <n v="3"/>
    <n v="3"/>
    <s v="ITS429287"/>
    <d v="2014-12-12T00:00:00"/>
    <n v="3"/>
    <n v="4"/>
    <n v="3"/>
    <s v="-"/>
    <n v="3"/>
    <s v="Stayed the Same"/>
  </r>
  <r>
    <s v="Ofsted Webpage"/>
    <n v="130414"/>
    <n v="10004204"/>
    <s v="The Marine Society College of the Sea"/>
    <x v="7"/>
    <s v="Community learning and skills providers"/>
    <s v="Lambeth"/>
    <s v="London"/>
    <s v="London"/>
    <s v="NULL"/>
    <s v="NULL"/>
    <n v="10037396"/>
    <s v="Community Learning and Skills - Specialist designated institution - Requires Improvement"/>
    <d v="2017-09-28T00:00:00"/>
    <d v="2017-09-29T00:00:00"/>
    <d v="2017-10-19T00:00:00"/>
    <x v="0"/>
    <n v="2"/>
    <n v="2"/>
    <n v="2"/>
    <n v="2"/>
    <n v="10004667"/>
    <d v="2016-01-22T00:00:00"/>
    <n v="3"/>
    <n v="3"/>
    <n v="3"/>
    <n v="3"/>
    <n v="3"/>
    <s v="Improved"/>
  </r>
  <r>
    <s v="Ofsted Webpage"/>
    <n v="130415"/>
    <n v="10003894"/>
    <s v="LeSoCo"/>
    <x v="8"/>
    <s v="Colleges"/>
    <s v="Lewisham"/>
    <s v="London"/>
    <s v="London"/>
    <s v="NULL"/>
    <s v="NULL"/>
    <n v="10011416"/>
    <s v="FE College - Reinspection"/>
    <d v="2016-05-10T00:00:00"/>
    <d v="2016-05-13T00:00:00"/>
    <d v="2016-06-17T00:00:00"/>
    <x v="2"/>
    <n v="3"/>
    <n v="3"/>
    <n v="3"/>
    <n v="3"/>
    <s v="ITS440233"/>
    <d v="2015-02-06T00:00:00"/>
    <n v="4"/>
    <n v="4"/>
    <n v="4"/>
    <s v="-"/>
    <n v="4"/>
    <s v="Improved"/>
  </r>
  <r>
    <s v="Ofsted Webpage"/>
    <n v="130416"/>
    <n v="10001416"/>
    <s v="Christ The King Sixth Form College"/>
    <x v="9"/>
    <s v="Colleges"/>
    <s v="Lewisham"/>
    <s v="London"/>
    <s v="London"/>
    <s v="NULL"/>
    <s v="NULL"/>
    <n v="10022556"/>
    <s v="SFC - Full"/>
    <d v="2017-03-07T00:00:00"/>
    <d v="2017-03-10T00:00:00"/>
    <d v="2017-04-26T00:00:00"/>
    <x v="0"/>
    <n v="2"/>
    <n v="2"/>
    <n v="2"/>
    <n v="2"/>
    <s v="ITS345837"/>
    <d v="2010-05-14T00:00:00"/>
    <n v="2"/>
    <n v="2"/>
    <n v="2"/>
    <s v="-"/>
    <n v="1"/>
    <s v="Stayed the Same"/>
  </r>
  <r>
    <s v="Ofsted Webpage"/>
    <n v="130418"/>
    <n v="10006963"/>
    <s v="New City College"/>
    <x v="8"/>
    <s v="Colleges"/>
    <s v="Tower Hamlets"/>
    <s v="London"/>
    <s v="London"/>
    <s v="NULL"/>
    <s v="NULL"/>
    <s v="ITS423349"/>
    <s v="FE College - Full"/>
    <d v="2013-12-09T00:00:00"/>
    <d v="2013-12-13T00:00:00"/>
    <d v="2014-01-22T00:00:00"/>
    <x v="0"/>
    <n v="2"/>
    <n v="2"/>
    <s v="-"/>
    <n v="2"/>
    <s v="ITS388019"/>
    <d v="2012-05-04T00:00:00"/>
    <n v="3"/>
    <n v="3"/>
    <n v="3"/>
    <s v="-"/>
    <n v="2"/>
    <s v="Improved"/>
  </r>
  <r>
    <s v="Ofsted Webpage"/>
    <n v="130419"/>
    <n v="10007364"/>
    <s v="Workers' Educational Association"/>
    <x v="7"/>
    <s v="Community learning and skills providers"/>
    <s v="Hackney"/>
    <s v="London"/>
    <s v="London"/>
    <s v="NULL"/>
    <s v="NULL"/>
    <s v="ITS423428"/>
    <s v="Adult and Community - full (regional) Historic"/>
    <d v="2013-12-09T00:00:00"/>
    <d v="2013-12-13T00:00:00"/>
    <d v="2014-01-22T00:00:00"/>
    <x v="0"/>
    <n v="2"/>
    <n v="2"/>
    <s v="-"/>
    <n v="2"/>
    <s v="ITS318287"/>
    <d v="2008-03-14T00:00:00"/>
    <n v="2"/>
    <n v="2"/>
    <n v="2"/>
    <s v="-"/>
    <n v="2"/>
    <s v="Stayed the Same"/>
  </r>
  <r>
    <s v="Ofsted Webpage"/>
    <n v="130421"/>
    <n v="10007455"/>
    <s v="Capital City College Group"/>
    <x v="8"/>
    <s v="Colleges"/>
    <s v="Camden"/>
    <s v="London"/>
    <s v="London"/>
    <d v="2016-03-09T00:00:00"/>
    <n v="1"/>
    <s v="ITS363300"/>
    <s v="College Inspection FE - Good Historic"/>
    <d v="2011-03-28T00:00:00"/>
    <d v="2011-04-01T00:00:00"/>
    <d v="2011-05-10T00:00:00"/>
    <x v="0"/>
    <n v="3"/>
    <n v="3"/>
    <s v="-"/>
    <n v="2"/>
    <s v="ITS320192"/>
    <d v="2008-02-01T00:00:00"/>
    <n v="2"/>
    <n v="2"/>
    <n v="3"/>
    <s v="-"/>
    <n v="2"/>
    <s v="Stayed the Same"/>
  </r>
  <r>
    <s v="Ofsted Webpage"/>
    <n v="130422"/>
    <n v="10008007"/>
    <s v="St Francis Xavier Sixth Form College"/>
    <x v="9"/>
    <s v="Colleges"/>
    <s v="Wandsworth"/>
    <s v="London"/>
    <s v="London"/>
    <s v="NULL"/>
    <s v="NULL"/>
    <n v="10004672"/>
    <s v="SFC - Full"/>
    <d v="2016-01-19T00:00:00"/>
    <d v="2016-01-22T00:00:00"/>
    <d v="2016-03-16T00:00:00"/>
    <x v="2"/>
    <n v="3"/>
    <n v="3"/>
    <n v="2"/>
    <n v="3"/>
    <s v="ITS423374"/>
    <d v="2013-09-20T00:00:00"/>
    <n v="2"/>
    <n v="2"/>
    <n v="2"/>
    <s v="-"/>
    <n v="2"/>
    <s v="Declined"/>
  </r>
  <r>
    <s v="Ofsted Webpage"/>
    <n v="130423"/>
    <n v="10001476"/>
    <s v="United Colleges Group"/>
    <x v="8"/>
    <s v="Colleges"/>
    <s v="Westminster"/>
    <s v="London"/>
    <s v="London"/>
    <s v="NULL"/>
    <s v="NULL"/>
    <s v="ITS410609"/>
    <s v="FE College - Full"/>
    <d v="2013-06-03T00:00:00"/>
    <d v="2013-06-07T00:00:00"/>
    <d v="2013-07-12T00:00:00"/>
    <x v="0"/>
    <n v="3"/>
    <n v="2"/>
    <s v="-"/>
    <n v="2"/>
    <s v="ITS343683"/>
    <d v="2010-02-12T00:00:00"/>
    <n v="3"/>
    <n v="3"/>
    <n v="3"/>
    <s v="-"/>
    <n v="3"/>
    <s v="Improved"/>
  </r>
  <r>
    <s v="Ofsted Webpage"/>
    <n v="130424"/>
    <n v="10000528"/>
    <s v="Barking and Dagenham College"/>
    <x v="8"/>
    <s v="Colleges"/>
    <s v="Barking and Dagenham"/>
    <s v="London"/>
    <s v="London"/>
    <d v="2017-05-24T00:00:00"/>
    <n v="1"/>
    <s v="ITS408436"/>
    <s v="FE College - Full"/>
    <d v="2013-04-22T00:00:00"/>
    <d v="2013-04-26T00:00:00"/>
    <d v="2013-06-04T00:00:00"/>
    <x v="0"/>
    <n v="2"/>
    <n v="2"/>
    <s v="-"/>
    <n v="1"/>
    <s v="ITS300878"/>
    <d v="2007-05-04T00:00:00"/>
    <n v="2"/>
    <n v="2"/>
    <n v="2"/>
    <s v="-"/>
    <n v="2"/>
    <s v="Stayed the Same"/>
  </r>
  <r>
    <s v="Ofsted Webpage"/>
    <n v="130425"/>
    <n v="10000533"/>
    <s v="Barnet and Southgate College"/>
    <x v="8"/>
    <s v="Colleges"/>
    <s v="Barnet"/>
    <s v="London"/>
    <s v="London"/>
    <d v="2015-11-04T00:00:00"/>
    <n v="1"/>
    <s v="ITS342311"/>
    <s v="College Inspection FE - Good Historic"/>
    <d v="2009-11-30T00:00:00"/>
    <d v="2009-12-04T00:00:00"/>
    <d v="2010-01-13T00:00:00"/>
    <x v="0"/>
    <n v="2"/>
    <n v="2"/>
    <s v="-"/>
    <n v="2"/>
    <s v="ITS284882"/>
    <d v="2006-05-12T00:00:00"/>
    <n v="2"/>
    <n v="2"/>
    <n v="2"/>
    <s v="-"/>
    <n v="2"/>
    <s v="Stayed the Same"/>
  </r>
  <r>
    <s v="Ofsted Webpage"/>
    <n v="130427"/>
    <n v="10007609"/>
    <s v="Woodhouse College"/>
    <x v="9"/>
    <s v="Colleges"/>
    <s v="Barnet"/>
    <s v="London"/>
    <s v="London"/>
    <s v="NULL"/>
    <s v="NULL"/>
    <s v="ITS298343"/>
    <s v="College category 1 visit Historic"/>
    <d v="2007-01-24T00:00:00"/>
    <d v="2007-01-24T00:00:00"/>
    <d v="2007-03-02T00:00:00"/>
    <x v="1"/>
    <n v="1"/>
    <n v="1"/>
    <s v="-"/>
    <n v="1"/>
    <s v="NULL"/>
    <s v="NULL"/>
    <s v="NULL"/>
    <s v="NULL"/>
    <s v="NULL"/>
    <s v="NULL"/>
    <s v="NULL"/>
    <s v="Not Applicable"/>
  </r>
  <r>
    <s v="Ofsted Webpage"/>
    <n v="130430"/>
    <n v="10000948"/>
    <s v="London South East Colleges"/>
    <x v="8"/>
    <s v="Colleges"/>
    <s v="Bromley"/>
    <s v="London"/>
    <s v="London"/>
    <s v="NULL"/>
    <s v="NULL"/>
    <s v="ITS408438"/>
    <s v="FE College - Full"/>
    <d v="2013-01-14T00:00:00"/>
    <d v="2013-01-18T00:00:00"/>
    <d v="2013-02-22T00:00:00"/>
    <x v="0"/>
    <n v="2"/>
    <n v="2"/>
    <s v="-"/>
    <n v="2"/>
    <s v="ITS329233"/>
    <d v="2008-11-28T00:00:00"/>
    <n v="3"/>
    <n v="3"/>
    <n v="3"/>
    <s v="-"/>
    <n v="3"/>
    <s v="Improved"/>
  </r>
  <r>
    <s v="Ofsted Webpage"/>
    <n v="130432"/>
    <n v="10001778"/>
    <s v="Croydon College"/>
    <x v="8"/>
    <s v="Colleges"/>
    <s v="Croydon"/>
    <s v="London"/>
    <s v="London"/>
    <s v="NULL"/>
    <s v="NULL"/>
    <s v="ITS429245"/>
    <s v="FE College - Requires improvement"/>
    <d v="2014-04-28T00:00:00"/>
    <d v="2014-05-02T00:00:00"/>
    <d v="2014-06-10T00:00:00"/>
    <x v="0"/>
    <n v="3"/>
    <n v="2"/>
    <s v="-"/>
    <n v="2"/>
    <s v="ITS404130"/>
    <d v="2012-12-14T00:00:00"/>
    <n v="3"/>
    <n v="4"/>
    <n v="3"/>
    <s v="-"/>
    <n v="3"/>
    <s v="Improved"/>
  </r>
  <r>
    <s v="Ofsted Webpage"/>
    <n v="130433"/>
    <n v="10001705"/>
    <s v="Coulsdon Sixth Form College"/>
    <x v="9"/>
    <s v="Colleges"/>
    <s v="Croydon"/>
    <s v="London"/>
    <s v="London"/>
    <s v="NULL"/>
    <s v="NULL"/>
    <s v="ITS421038"/>
    <s v="SFC - Reinspection"/>
    <d v="2014-02-25T00:00:00"/>
    <d v="2014-02-28T00:00:00"/>
    <d v="2014-04-04T00:00:00"/>
    <x v="0"/>
    <n v="3"/>
    <n v="2"/>
    <s v="-"/>
    <n v="2"/>
    <s v="ITS408456"/>
    <d v="2013-01-18T00:00:00"/>
    <n v="4"/>
    <n v="4"/>
    <n v="3"/>
    <s v="-"/>
    <n v="3"/>
    <s v="Improved"/>
  </r>
  <r>
    <s v="Ofsted Webpage"/>
    <n v="130434"/>
    <n v="10003500"/>
    <s v="John Ruskin College"/>
    <x v="9"/>
    <s v="Colleges"/>
    <s v="Croydon"/>
    <s v="London"/>
    <s v="London"/>
    <s v="NULL"/>
    <s v="NULL"/>
    <n v="10030887"/>
    <s v="SFC - Full"/>
    <d v="2017-10-03T00:00:00"/>
    <d v="2017-10-06T00:00:00"/>
    <d v="2017-11-08T00:00:00"/>
    <x v="2"/>
    <n v="3"/>
    <n v="3"/>
    <n v="2"/>
    <n v="3"/>
    <s v="ITS423375"/>
    <d v="2013-10-04T00:00:00"/>
    <n v="1"/>
    <n v="2"/>
    <n v="1"/>
    <s v="-"/>
    <n v="1"/>
    <s v="Declined"/>
  </r>
  <r>
    <s v="Ofsted Webpage"/>
    <n v="130438"/>
    <n v="10001148"/>
    <s v="Capel Manor College"/>
    <x v="10"/>
    <s v="Colleges"/>
    <s v="Enfield"/>
    <s v="London"/>
    <s v="London"/>
    <d v="2016-11-30T00:00:00"/>
    <n v="1"/>
    <s v="ITS408424"/>
    <s v="FE College - Full"/>
    <d v="2013-01-29T00:00:00"/>
    <d v="2013-02-01T00:00:00"/>
    <d v="2013-03-08T00:00:00"/>
    <x v="0"/>
    <n v="3"/>
    <n v="2"/>
    <s v="-"/>
    <n v="2"/>
    <s v="ITS318862"/>
    <d v="2008-03-27T00:00:00"/>
    <n v="2"/>
    <n v="2"/>
    <n v="2"/>
    <s v="-"/>
    <n v="2"/>
    <s v="Stayed the Same"/>
  </r>
  <r>
    <s v="Ofsted Webpage"/>
    <n v="130440"/>
    <n v="10009439"/>
    <s v="Stanmore College"/>
    <x v="8"/>
    <s v="Colleges"/>
    <s v="Harrow"/>
    <s v="London"/>
    <s v="London"/>
    <s v="NULL"/>
    <s v="NULL"/>
    <n v="10022554"/>
    <s v="FE College - Reinspection"/>
    <d v="2017-01-31T00:00:00"/>
    <d v="2017-02-03T00:00:00"/>
    <d v="2017-03-06T00:00:00"/>
    <x v="0"/>
    <n v="2"/>
    <n v="2"/>
    <n v="2"/>
    <n v="2"/>
    <n v="10004676"/>
    <d v="2015-09-25T00:00:00"/>
    <n v="4"/>
    <n v="4"/>
    <n v="4"/>
    <n v="4"/>
    <n v="4"/>
    <s v="Improved"/>
  </r>
  <r>
    <s v="Ofsted Webpage"/>
    <n v="130443"/>
    <n v="10006148"/>
    <s v="St Dominic's Sixth Form College"/>
    <x v="9"/>
    <s v="Colleges"/>
    <s v="Harrow"/>
    <s v="London"/>
    <s v="London"/>
    <s v="NULL"/>
    <s v="NULL"/>
    <s v="ITS318860"/>
    <s v="College Inspection SFC - Good Historic"/>
    <d v="2008-04-01T00:00:00"/>
    <d v="2008-04-02T00:00:00"/>
    <d v="2008-05-16T00:00:00"/>
    <x v="1"/>
    <n v="1"/>
    <n v="1"/>
    <s v="-"/>
    <n v="1"/>
    <s v="NULL"/>
    <s v="NULL"/>
    <s v="NULL"/>
    <s v="NULL"/>
    <s v="NULL"/>
    <s v="NULL"/>
    <s v="NULL"/>
    <s v="Not Applicable"/>
  </r>
  <r>
    <s v="Ofsted Webpage"/>
    <n v="130444"/>
    <n v="10002935"/>
    <s v="Havering College of Further and Higher Education"/>
    <x v="8"/>
    <s v="Colleges"/>
    <s v="Havering"/>
    <s v="London"/>
    <s v="London"/>
    <d v="2016-01-14T00:00:00"/>
    <n v="1"/>
    <s v="ITS363307"/>
    <s v="College Inspection FE - Good Historic"/>
    <d v="2011-02-07T00:00:00"/>
    <d v="2011-02-11T00:00:00"/>
    <d v="2011-03-18T00:00:00"/>
    <x v="0"/>
    <n v="3"/>
    <n v="2"/>
    <s v="-"/>
    <n v="2"/>
    <s v="ITS300880"/>
    <d v="2007-04-27T00:00:00"/>
    <n v="2"/>
    <n v="2"/>
    <n v="2"/>
    <s v="-"/>
    <n v="2"/>
    <s v="Stayed the Same"/>
  </r>
  <r>
    <s v="Ofsted Webpage"/>
    <n v="130445"/>
    <n v="10002937"/>
    <s v="Havering Sixth Form College"/>
    <x v="9"/>
    <s v="Colleges"/>
    <s v="Havering"/>
    <s v="London"/>
    <s v="London"/>
    <s v="NULL"/>
    <s v="NULL"/>
    <n v="10022546"/>
    <s v="SFC - Full"/>
    <d v="2017-01-17T00:00:00"/>
    <d v="2017-01-20T00:00:00"/>
    <d v="2017-02-28T00:00:00"/>
    <x v="2"/>
    <n v="3"/>
    <n v="3"/>
    <n v="2"/>
    <n v="3"/>
    <s v="ITS429290"/>
    <d v="2014-04-04T00:00:00"/>
    <n v="2"/>
    <n v="3"/>
    <n v="2"/>
    <s v="-"/>
    <n v="2"/>
    <s v="Declined"/>
  </r>
  <r>
    <s v="Ofsted Webpage"/>
    <n v="130446"/>
    <n v="10007193"/>
    <s v="HCUC"/>
    <x v="8"/>
    <s v="Colleges"/>
    <s v="Hillingdon"/>
    <s v="London"/>
    <s v="London"/>
    <s v="NULL"/>
    <s v="NULL"/>
    <s v="ITS318895"/>
    <s v="College Inspection FE - Satisfactory Historic"/>
    <d v="2008-05-12T00:00:00"/>
    <d v="2008-05-16T00:00:00"/>
    <d v="2008-07-04T00:00:00"/>
    <x v="1"/>
    <n v="1"/>
    <n v="2"/>
    <s v="-"/>
    <n v="1"/>
    <s v="NULL"/>
    <s v="NULL"/>
    <s v="NULL"/>
    <s v="NULL"/>
    <s v="NULL"/>
    <s v="NULL"/>
    <s v="NULL"/>
    <s v="Not Applicable"/>
  </r>
  <r>
    <s v="Ofsted Webpage"/>
    <n v="130447"/>
    <n v="10007434"/>
    <s v="West Thames College"/>
    <x v="8"/>
    <s v="Colleges"/>
    <s v="Hounslow"/>
    <s v="London"/>
    <s v="London"/>
    <s v="NULL"/>
    <s v="NULL"/>
    <s v="ITS429174"/>
    <s v="FE College - Full"/>
    <d v="2014-03-10T00:00:00"/>
    <d v="2014-03-14T00:00:00"/>
    <d v="2014-04-18T00:00:00"/>
    <x v="0"/>
    <n v="2"/>
    <n v="2"/>
    <s v="-"/>
    <n v="1"/>
    <s v="ITS362139"/>
    <d v="2010-11-26T00:00:00"/>
    <n v="3"/>
    <n v="3"/>
    <n v="3"/>
    <s v="-"/>
    <n v="3"/>
    <s v="Improved"/>
  </r>
  <r>
    <s v="Ofsted Webpage"/>
    <n v="130448"/>
    <n v="10003674"/>
    <s v="South Thames Colleges Group"/>
    <x v="8"/>
    <s v="Colleges"/>
    <s v="Kingston upon Thames"/>
    <s v="London"/>
    <s v="London"/>
    <s v="NULL"/>
    <s v="NULL"/>
    <n v="10011418"/>
    <s v="FE College - Full"/>
    <d v="2016-06-07T00:00:00"/>
    <d v="2016-06-10T00:00:00"/>
    <d v="2016-08-04T00:00:00"/>
    <x v="0"/>
    <n v="2"/>
    <n v="2"/>
    <n v="2"/>
    <n v="2"/>
    <s v="ITS409319"/>
    <d v="2013-02-15T00:00:00"/>
    <n v="2"/>
    <n v="2"/>
    <n v="2"/>
    <s v="-"/>
    <n v="2"/>
    <s v="Stayed the Same"/>
  </r>
  <r>
    <s v="Ofsted Webpage"/>
    <n v="130451"/>
    <n v="10004607"/>
    <s v="Newham College of Further Education"/>
    <x v="8"/>
    <s v="Colleges"/>
    <s v="Newham"/>
    <s v="London"/>
    <s v="London"/>
    <s v="NULL"/>
    <s v="NULL"/>
    <n v="10011419"/>
    <s v="FE College - Full"/>
    <d v="2016-04-26T00:00:00"/>
    <d v="2016-04-29T00:00:00"/>
    <d v="2016-05-23T00:00:00"/>
    <x v="0"/>
    <n v="2"/>
    <n v="2"/>
    <n v="2"/>
    <n v="2"/>
    <s v="ITS408441"/>
    <d v="2013-02-01T00:00:00"/>
    <n v="2"/>
    <n v="2"/>
    <n v="2"/>
    <s v="-"/>
    <n v="2"/>
    <s v="Stayed the Same"/>
  </r>
  <r>
    <s v="Ofsted Webpage"/>
    <n v="130452"/>
    <n v="10004608"/>
    <s v="Newham Sixth Form College"/>
    <x v="9"/>
    <s v="Colleges"/>
    <s v="Newham"/>
    <s v="London"/>
    <s v="London"/>
    <s v="NULL"/>
    <s v="NULL"/>
    <n v="10004680"/>
    <s v="SFC - Requires improvement"/>
    <d v="2015-10-20T00:00:00"/>
    <d v="2015-10-23T00:00:00"/>
    <d v="2015-11-24T00:00:00"/>
    <x v="0"/>
    <n v="2"/>
    <n v="2"/>
    <n v="2"/>
    <n v="2"/>
    <s v="ITS452156"/>
    <d v="2014-09-19T00:00:00"/>
    <n v="3"/>
    <n v="3"/>
    <n v="3"/>
    <s v="-"/>
    <n v="3"/>
    <s v="Improved"/>
  </r>
  <r>
    <s v="Ofsted Webpage"/>
    <n v="130454"/>
    <n v="10005469"/>
    <s v="Richmond-upon-Thames College"/>
    <x v="8"/>
    <s v="Colleges"/>
    <s v="Richmond upon Thames"/>
    <s v="London"/>
    <s v="London"/>
    <s v="NULL"/>
    <s v="NULL"/>
    <n v="10037397"/>
    <s v="FE College - Requires improvement"/>
    <d v="2017-10-10T00:00:00"/>
    <d v="2017-10-13T00:00:00"/>
    <d v="2017-11-17T00:00:00"/>
    <x v="0"/>
    <n v="2"/>
    <n v="2"/>
    <n v="2"/>
    <n v="2"/>
    <n v="10004682"/>
    <d v="2015-11-13T00:00:00"/>
    <n v="3"/>
    <n v="3"/>
    <n v="3"/>
    <n v="3"/>
    <n v="3"/>
    <s v="Improved"/>
  </r>
  <r>
    <s v="Ofsted Webpage"/>
    <n v="130456"/>
    <n v="10007321"/>
    <s v="Waltham Forest College"/>
    <x v="8"/>
    <s v="Colleges"/>
    <s v="Waltham Forest"/>
    <s v="London"/>
    <s v="London"/>
    <s v="NULL"/>
    <s v="NULL"/>
    <n v="10004683"/>
    <s v="FE College - Requires improvement - second inspection"/>
    <d v="2016-11-08T00:00:00"/>
    <d v="2016-11-11T00:00:00"/>
    <d v="2017-01-04T00:00:00"/>
    <x v="2"/>
    <n v="3"/>
    <n v="3"/>
    <n v="2"/>
    <n v="2"/>
    <s v="ITS430281"/>
    <d v="2014-10-17T00:00:00"/>
    <n v="3"/>
    <n v="3"/>
    <n v="3"/>
    <s v="-"/>
    <n v="3"/>
    <s v="Stayed the Same"/>
  </r>
  <r>
    <s v="Ofsted Webpage"/>
    <n v="130457"/>
    <n v="10003899"/>
    <s v="Leyton Sixth Form College"/>
    <x v="9"/>
    <s v="Colleges"/>
    <s v="Waltham Forest"/>
    <s v="London"/>
    <s v="London"/>
    <s v="NULL"/>
    <s v="NULL"/>
    <n v="10004684"/>
    <s v="SFC - Full"/>
    <d v="2016-02-23T00:00:00"/>
    <d v="2016-02-26T00:00:00"/>
    <d v="2016-03-23T00:00:00"/>
    <x v="0"/>
    <n v="2"/>
    <n v="2"/>
    <n v="2"/>
    <n v="2"/>
    <s v="ITS409401"/>
    <d v="2013-01-17T00:00:00"/>
    <n v="2"/>
    <n v="2"/>
    <n v="2"/>
    <s v="-"/>
    <n v="2"/>
    <s v="Stayed the Same"/>
  </r>
  <r>
    <s v="Ofsted Webpage"/>
    <n v="130458"/>
    <n v="10005859"/>
    <s v="Sir George Monoux College"/>
    <x v="9"/>
    <s v="Colleges"/>
    <s v="Waltham Forest"/>
    <s v="London"/>
    <s v="London"/>
    <s v="NULL"/>
    <s v="NULL"/>
    <n v="10011408"/>
    <s v="SFC - Full"/>
    <d v="2016-02-02T00:00:00"/>
    <d v="2016-02-05T00:00:00"/>
    <d v="2016-03-22T00:00:00"/>
    <x v="2"/>
    <n v="3"/>
    <n v="3"/>
    <n v="3"/>
    <n v="3"/>
    <s v="ITS404168"/>
    <d v="2012-10-05T00:00:00"/>
    <n v="2"/>
    <n v="2"/>
    <n v="2"/>
    <s v="-"/>
    <n v="2"/>
    <s v="Declined"/>
  </r>
  <r>
    <s v="Ofsted Webpage"/>
    <n v="130461"/>
    <n v="10005967"/>
    <s v="South and City College Birmingham"/>
    <x v="8"/>
    <s v="Colleges"/>
    <s v="Birmingham"/>
    <s v="West Midlands"/>
    <s v="West Midlands"/>
    <s v="NULL"/>
    <s v="NULL"/>
    <n v="10005436"/>
    <s v="FE College - Full"/>
    <d v="2015-11-17T00:00:00"/>
    <d v="2015-11-20T00:00:00"/>
    <d v="2015-12-14T00:00:00"/>
    <x v="0"/>
    <n v="2"/>
    <n v="2"/>
    <n v="2"/>
    <n v="2"/>
    <s v="ITS343696"/>
    <d v="2010-02-12T00:00:00"/>
    <n v="2"/>
    <n v="2"/>
    <n v="2"/>
    <s v="-"/>
    <n v="1"/>
    <s v="Stayed the Same"/>
  </r>
  <r>
    <s v="Ofsted Webpage"/>
    <n v="130466"/>
    <n v="10006442"/>
    <s v="Birmingham Metropolitan College"/>
    <x v="8"/>
    <s v="Colleges"/>
    <s v="Birmingham"/>
    <s v="West Midlands"/>
    <s v="West Midlands"/>
    <s v="NULL"/>
    <s v="NULL"/>
    <n v="10022579"/>
    <s v="FE College - Requires improvement"/>
    <d v="2017-02-14T00:00:00"/>
    <d v="2017-02-17T00:00:00"/>
    <d v="2017-03-16T00:00:00"/>
    <x v="2"/>
    <n v="3"/>
    <n v="3"/>
    <n v="3"/>
    <n v="3"/>
    <s v="ITS455456"/>
    <d v="2015-05-22T00:00:00"/>
    <n v="3"/>
    <n v="3"/>
    <n v="3"/>
    <s v="-"/>
    <n v="3"/>
    <s v="Stayed the Same"/>
  </r>
  <r>
    <s v="Ofsted Webpage"/>
    <n v="130467"/>
    <n v="10008641"/>
    <s v="Fircroft College of Adult Education"/>
    <x v="7"/>
    <s v="Community learning and skills providers"/>
    <s v="Birmingham"/>
    <s v="West Midlands"/>
    <s v="West Midlands"/>
    <d v="2017-10-11T00:00:00"/>
    <n v="1"/>
    <s v="ITS434066"/>
    <s v="Adult and Community - full (regional) Historic"/>
    <d v="2014-04-28T00:00:00"/>
    <d v="2014-05-01T00:00:00"/>
    <d v="2014-06-06T00:00:00"/>
    <x v="0"/>
    <n v="2"/>
    <n v="2"/>
    <s v="-"/>
    <n v="2"/>
    <s v="ITS316692"/>
    <d v="2007-11-22T00:00:00"/>
    <n v="1"/>
    <n v="1"/>
    <n v="1"/>
    <s v="-"/>
    <n v="1"/>
    <s v="Declined"/>
  </r>
  <r>
    <s v="Ofsted Webpage"/>
    <n v="130468"/>
    <n v="10003511"/>
    <s v="Joseph Chamberlain Sixth Form College"/>
    <x v="9"/>
    <s v="Colleges"/>
    <s v="Birmingham"/>
    <s v="West Midlands"/>
    <s v="West Midlands"/>
    <s v="NULL"/>
    <s v="NULL"/>
    <n v="10037331"/>
    <s v="SFC - Full"/>
    <d v="2017-11-07T00:00:00"/>
    <d v="2017-11-10T00:00:00"/>
    <d v="2017-12-21T00:00:00"/>
    <x v="1"/>
    <n v="1"/>
    <n v="1"/>
    <n v="1"/>
    <n v="1"/>
    <s v="ITS430285"/>
    <d v="2014-09-19T00:00:00"/>
    <n v="2"/>
    <n v="2"/>
    <n v="2"/>
    <s v="-"/>
    <n v="1"/>
    <s v="Improved"/>
  </r>
  <r>
    <s v="Ofsted Webpage"/>
    <n v="130469"/>
    <n v="10001082"/>
    <s v="Cadbury Sixth Form College"/>
    <x v="9"/>
    <s v="Colleges"/>
    <s v="Birmingham"/>
    <s v="West Midlands"/>
    <s v="West Midlands"/>
    <s v="NULL"/>
    <s v="NULL"/>
    <n v="10020121"/>
    <s v="SFC - Full"/>
    <d v="2016-10-04T00:00:00"/>
    <d v="2016-10-06T00:00:00"/>
    <d v="2016-11-09T00:00:00"/>
    <x v="2"/>
    <n v="3"/>
    <n v="3"/>
    <n v="3"/>
    <n v="3"/>
    <s v="ITS429251"/>
    <d v="2014-03-07T00:00:00"/>
    <n v="2"/>
    <n v="3"/>
    <n v="2"/>
    <s v="-"/>
    <n v="2"/>
    <s v="Declined"/>
  </r>
  <r>
    <s v="Ofsted Webpage"/>
    <n v="130472"/>
    <n v="10003010"/>
    <s v="Coventry College"/>
    <x v="8"/>
    <s v="Colleges"/>
    <s v="Coventry"/>
    <s v="West Midlands"/>
    <s v="West Midlands"/>
    <s v="NULL"/>
    <s v="NULL"/>
    <n v="10020156"/>
    <s v="FE College - Full"/>
    <d v="2016-11-08T00:00:00"/>
    <d v="2016-11-11T00:00:00"/>
    <d v="2016-12-19T00:00:00"/>
    <x v="2"/>
    <n v="3"/>
    <n v="3"/>
    <n v="3"/>
    <n v="3"/>
    <s v="ITS429165"/>
    <d v="2014-01-24T00:00:00"/>
    <n v="2"/>
    <n v="2"/>
    <n v="2"/>
    <s v="-"/>
    <n v="2"/>
    <s v="Declined"/>
  </r>
  <r>
    <s v="Ofsted Webpage"/>
    <n v="130474"/>
    <n v="10003029"/>
    <s v="Hereward College of Further Education"/>
    <x v="8"/>
    <s v="Colleges"/>
    <s v="Coventry"/>
    <s v="West Midlands"/>
    <s v="West Midlands"/>
    <s v="NULL"/>
    <s v="NULL"/>
    <n v="10037387"/>
    <s v="FE College - Reinspection"/>
    <d v="2017-11-21T00:00:00"/>
    <d v="2017-11-24T00:00:00"/>
    <d v="2017-12-20T00:00:00"/>
    <x v="0"/>
    <n v="2"/>
    <n v="2"/>
    <n v="2"/>
    <n v="2"/>
    <n v="10021962"/>
    <d v="2016-10-07T00:00:00"/>
    <n v="4"/>
    <n v="3"/>
    <n v="3"/>
    <n v="4"/>
    <n v="4"/>
    <s v="Improved"/>
  </r>
  <r>
    <s v="Ofsted Webpage"/>
    <n v="130475"/>
    <n v="10007924"/>
    <s v="Dudley College of Technology"/>
    <x v="8"/>
    <s v="Colleges"/>
    <s v="Dudley"/>
    <s v="West Midlands"/>
    <s v="West Midlands"/>
    <s v="NULL"/>
    <s v="NULL"/>
    <n v="10022583"/>
    <s v="FE College - Full"/>
    <d v="2017-01-25T00:00:00"/>
    <d v="2017-05-19T00:00:00"/>
    <d v="2017-06-15T00:00:00"/>
    <x v="1"/>
    <n v="1"/>
    <n v="1"/>
    <n v="1"/>
    <n v="1"/>
    <s v="ITS409299"/>
    <d v="2013-03-01T00:00:00"/>
    <n v="2"/>
    <n v="2"/>
    <n v="2"/>
    <s v="-"/>
    <n v="2"/>
    <s v="Improved"/>
  </r>
  <r>
    <s v="Ofsted Webpage"/>
    <n v="130476"/>
    <n v="10002852"/>
    <s v="Halesowen College"/>
    <x v="8"/>
    <s v="Colleges"/>
    <s v="Dudley"/>
    <s v="West Midlands"/>
    <s v="West Midlands"/>
    <s v="NULL"/>
    <s v="NULL"/>
    <n v="10022584"/>
    <s v="FE College - Full"/>
    <d v="2017-09-18T00:00:00"/>
    <d v="2017-09-21T00:00:00"/>
    <d v="2017-10-26T00:00:00"/>
    <x v="0"/>
    <n v="2"/>
    <n v="2"/>
    <n v="2"/>
    <n v="2"/>
    <s v="ITS409317"/>
    <d v="2013-06-07T00:00:00"/>
    <n v="2"/>
    <n v="2"/>
    <n v="2"/>
    <s v="-"/>
    <n v="2"/>
    <s v="Stayed the Same"/>
  </r>
  <r>
    <s v="Ofsted Webpage"/>
    <n v="130478"/>
    <n v="10003625"/>
    <s v="King Edward VI College Stourbridge"/>
    <x v="9"/>
    <s v="Colleges"/>
    <s v="Dudley"/>
    <s v="West Midlands"/>
    <s v="West Midlands"/>
    <s v="NULL"/>
    <s v="NULL"/>
    <n v="10037333"/>
    <s v="SFC - Full"/>
    <d v="2017-10-03T00:00:00"/>
    <d v="2017-10-06T00:00:00"/>
    <d v="2017-11-07T00:00:00"/>
    <x v="0"/>
    <n v="2"/>
    <n v="2"/>
    <n v="2"/>
    <n v="2"/>
    <s v="ITS318902"/>
    <d v="2008-02-06T00:00:00"/>
    <n v="1"/>
    <n v="1"/>
    <n v="1"/>
    <s v="-"/>
    <n v="1"/>
    <s v="Declined"/>
  </r>
  <r>
    <s v="Ofsted Webpage"/>
    <n v="130479"/>
    <n v="10005669"/>
    <s v="Sandwell College"/>
    <x v="8"/>
    <s v="Colleges"/>
    <s v="Sandwell"/>
    <s v="West Midlands"/>
    <s v="West Midlands"/>
    <d v="2017-11-16T00:00:00"/>
    <n v="1"/>
    <s v="ITS434083"/>
    <s v="FE College - Full"/>
    <d v="2014-05-12T00:00:00"/>
    <d v="2014-05-16T00:00:00"/>
    <d v="2014-06-19T00:00:00"/>
    <x v="0"/>
    <n v="2"/>
    <n v="2"/>
    <s v="-"/>
    <n v="2"/>
    <s v="ITS363283"/>
    <d v="2011-04-01T00:00:00"/>
    <n v="3"/>
    <n v="3"/>
    <n v="3"/>
    <s v="-"/>
    <n v="3"/>
    <s v="Improved"/>
  </r>
  <r>
    <s v="Ofsted Webpage"/>
    <n v="130481"/>
    <n v="10005946"/>
    <s v="Solihull College"/>
    <x v="8"/>
    <s v="Colleges"/>
    <s v="Solihull"/>
    <s v="West Midlands"/>
    <s v="West Midlands"/>
    <s v="NULL"/>
    <s v="NULL"/>
    <n v="10020085"/>
    <s v="FE College - Requires improvement"/>
    <d v="2016-11-08T00:00:00"/>
    <d v="2016-11-11T00:00:00"/>
    <d v="2016-12-19T00:00:00"/>
    <x v="0"/>
    <n v="2"/>
    <n v="2"/>
    <n v="2"/>
    <n v="2"/>
    <s v="ITS452547"/>
    <d v="2015-03-13T00:00:00"/>
    <n v="3"/>
    <n v="3"/>
    <n v="3"/>
    <s v="-"/>
    <n v="3"/>
    <s v="Improved"/>
  </r>
  <r>
    <s v="Ofsted Webpage"/>
    <n v="130483"/>
    <n v="10007315"/>
    <s v="Walsall College"/>
    <x v="8"/>
    <s v="Colleges"/>
    <s v="Walsall"/>
    <s v="West Midlands"/>
    <s v="West Midlands"/>
    <s v="NULL"/>
    <s v="NULL"/>
    <s v="ITS408430"/>
    <s v="FE College - Full"/>
    <d v="2013-02-11T00:00:00"/>
    <d v="2013-02-15T00:00:00"/>
    <d v="2013-03-22T00:00:00"/>
    <x v="1"/>
    <n v="1"/>
    <n v="1"/>
    <s v="-"/>
    <n v="1"/>
    <s v="ITS322945"/>
    <d v="2008-04-18T00:00:00"/>
    <n v="2"/>
    <n v="2"/>
    <n v="2"/>
    <s v="-"/>
    <n v="2"/>
    <s v="Improved"/>
  </r>
  <r>
    <s v="Ofsted Webpage"/>
    <n v="130484"/>
    <n v="10007578"/>
    <s v="City of Wolverhampton College"/>
    <x v="8"/>
    <s v="Colleges"/>
    <s v="Wolverhampton"/>
    <s v="West Midlands"/>
    <s v="West Midlands"/>
    <s v="NULL"/>
    <s v="NULL"/>
    <n v="10037362"/>
    <s v="FE College - Full"/>
    <d v="2017-11-14T00:00:00"/>
    <d v="2017-11-17T00:00:00"/>
    <d v="2017-12-21T00:00:00"/>
    <x v="0"/>
    <n v="2"/>
    <n v="2"/>
    <n v="2"/>
    <n v="2"/>
    <s v="ITS430270"/>
    <d v="2014-10-24T00:00:00"/>
    <n v="2"/>
    <n v="3"/>
    <n v="2"/>
    <s v="-"/>
    <n v="2"/>
    <s v="Stayed the Same"/>
  </r>
  <r>
    <s v="Ofsted Webpage"/>
    <n v="130486"/>
    <n v="10003708"/>
    <s v="Knowsley Community College"/>
    <x v="8"/>
    <s v="Colleges"/>
    <s v="Knowsley"/>
    <s v="North West"/>
    <s v="North West"/>
    <s v="NULL"/>
    <s v="NULL"/>
    <n v="10004688"/>
    <s v="FE College - Full"/>
    <d v="2016-03-01T00:00:00"/>
    <d v="2016-03-04T00:00:00"/>
    <d v="2016-03-31T00:00:00"/>
    <x v="2"/>
    <n v="3"/>
    <n v="3"/>
    <n v="3"/>
    <n v="3"/>
    <s v="ITS395074"/>
    <d v="2013-04-19T00:00:00"/>
    <n v="2"/>
    <n v="2"/>
    <n v="2"/>
    <s v="-"/>
    <n v="2"/>
    <s v="Declined"/>
  </r>
  <r>
    <s v="Ofsted Webpage"/>
    <n v="130487"/>
    <n v="10003955"/>
    <s v="The City of Liverpool College"/>
    <x v="8"/>
    <s v="Colleges"/>
    <s v="Liverpool"/>
    <s v="North West"/>
    <s v="North West"/>
    <s v="NULL"/>
    <s v="NULL"/>
    <n v="10037398"/>
    <s v="FE College - Requires improvement"/>
    <d v="2017-10-02T00:00:00"/>
    <d v="2017-10-05T00:00:00"/>
    <d v="2017-11-21T00:00:00"/>
    <x v="0"/>
    <n v="2"/>
    <n v="2"/>
    <n v="2"/>
    <n v="2"/>
    <n v="10004689"/>
    <d v="2015-11-13T00:00:00"/>
    <n v="3"/>
    <n v="3"/>
    <n v="3"/>
    <n v="3"/>
    <n v="3"/>
    <s v="Improved"/>
  </r>
  <r>
    <s v="Ofsted Webpage"/>
    <n v="130488"/>
    <n v="10006174"/>
    <s v="St Helens College"/>
    <x v="8"/>
    <s v="Colleges"/>
    <s v="St Helens"/>
    <s v="North West"/>
    <s v="North West"/>
    <s v="NULL"/>
    <s v="NULL"/>
    <n v="10030764"/>
    <s v="FE College - Full"/>
    <d v="2017-04-24T00:00:00"/>
    <d v="2017-04-27T00:00:00"/>
    <d v="2017-06-16T00:00:00"/>
    <x v="2"/>
    <n v="3"/>
    <n v="3"/>
    <n v="3"/>
    <n v="3"/>
    <s v="ITS429169"/>
    <d v="2014-02-14T00:00:00"/>
    <n v="2"/>
    <n v="2"/>
    <n v="2"/>
    <s v="-"/>
    <n v="2"/>
    <s v="Declined"/>
  </r>
  <r>
    <s v="Ofsted Webpage"/>
    <n v="130489"/>
    <n v="10001201"/>
    <s v="Carmel College"/>
    <x v="9"/>
    <s v="Colleges"/>
    <s v="St Helens"/>
    <s v="North West"/>
    <s v="North West"/>
    <s v="NULL"/>
    <s v="NULL"/>
    <s v="ITS318567"/>
    <s v="College category 1 visit Historic"/>
    <d v="2007-07-03T00:00:00"/>
    <d v="2007-07-04T00:00:00"/>
    <d v="2007-08-10T00:00:00"/>
    <x v="1"/>
    <n v="1"/>
    <n v="1"/>
    <s v="-"/>
    <n v="1"/>
    <s v="NULL"/>
    <s v="NULL"/>
    <s v="NULL"/>
    <s v="NULL"/>
    <s v="NULL"/>
    <s v="NULL"/>
    <s v="NULL"/>
    <s v="Not Applicable"/>
  </r>
  <r>
    <s v="Ofsted Webpage"/>
    <n v="130490"/>
    <n v="10003193"/>
    <s v="Hugh Baird College"/>
    <x v="8"/>
    <s v="Colleges"/>
    <s v="Sefton"/>
    <s v="North West"/>
    <s v="North West"/>
    <s v="NULL"/>
    <s v="NULL"/>
    <s v="ITS452484"/>
    <s v="FE College - Full"/>
    <d v="2015-02-02T00:00:00"/>
    <d v="2015-02-06T00:00:00"/>
    <d v="2015-03-09T00:00:00"/>
    <x v="0"/>
    <n v="2"/>
    <n v="2"/>
    <s v="-"/>
    <n v="2"/>
    <s v="ITS343958"/>
    <d v="2010-02-12T00:00:00"/>
    <n v="2"/>
    <n v="2"/>
    <n v="2"/>
    <s v="-"/>
    <n v="2"/>
    <s v="Stayed the Same"/>
  </r>
  <r>
    <s v="Ofsted Webpage"/>
    <n v="130491"/>
    <n v="10006038"/>
    <s v="Southport College"/>
    <x v="8"/>
    <s v="Colleges"/>
    <s v="Sefton"/>
    <s v="North West"/>
    <s v="North West"/>
    <d v="2016-04-28T00:00:00"/>
    <n v="1"/>
    <s v="ITS408435"/>
    <s v="FE College - Full"/>
    <d v="2013-03-11T00:00:00"/>
    <d v="2013-03-15T00:00:00"/>
    <d v="2013-04-17T00:00:00"/>
    <x v="0"/>
    <n v="3"/>
    <n v="2"/>
    <s v="-"/>
    <n v="2"/>
    <s v="ITS317352"/>
    <d v="2007-11-23T00:00:00"/>
    <n v="2"/>
    <n v="2"/>
    <n v="2"/>
    <s v="-"/>
    <n v="2"/>
    <s v="Stayed the Same"/>
  </r>
  <r>
    <s v="Ofsted Webpage"/>
    <n v="130492"/>
    <n v="10003640"/>
    <s v="King George V College"/>
    <x v="9"/>
    <s v="Colleges"/>
    <s v="Sefton"/>
    <s v="North West"/>
    <s v="North West"/>
    <s v="NULL"/>
    <s v="NULL"/>
    <n v="10037399"/>
    <s v="SFC - Requires improvement"/>
    <d v="2017-09-20T00:00:00"/>
    <d v="2017-09-22T00:00:00"/>
    <d v="2017-10-12T00:00:00"/>
    <x v="0"/>
    <n v="2"/>
    <n v="2"/>
    <n v="2"/>
    <n v="2"/>
    <n v="10004690"/>
    <d v="2015-12-03T00:00:00"/>
    <n v="3"/>
    <n v="3"/>
    <n v="3"/>
    <n v="2"/>
    <n v="3"/>
    <s v="Improved"/>
  </r>
  <r>
    <s v="Ofsted Webpage"/>
    <n v="130493"/>
    <n v="10007553"/>
    <s v="Wirral Metropolitan College"/>
    <x v="8"/>
    <s v="Colleges"/>
    <s v="Wirral"/>
    <s v="North West"/>
    <s v="North West"/>
    <s v="NULL"/>
    <s v="NULL"/>
    <n v="10037400"/>
    <s v="FE College - Requires improvement"/>
    <d v="2017-10-03T00:00:00"/>
    <d v="2017-10-06T00:00:00"/>
    <d v="2017-11-07T00:00:00"/>
    <x v="0"/>
    <n v="2"/>
    <n v="2"/>
    <n v="2"/>
    <n v="2"/>
    <n v="10004692"/>
    <d v="2015-12-09T00:00:00"/>
    <n v="3"/>
    <n v="3"/>
    <n v="3"/>
    <n v="3"/>
    <n v="3"/>
    <s v="Improved"/>
  </r>
  <r>
    <s v="Ofsted Webpage"/>
    <n v="130495"/>
    <n v="10000794"/>
    <s v="Bolton College"/>
    <x v="8"/>
    <s v="Colleges"/>
    <s v="Bolton"/>
    <s v="North West"/>
    <s v="North West"/>
    <s v="NULL"/>
    <s v="NULL"/>
    <n v="10022613"/>
    <s v="FE College - Requires improvement"/>
    <d v="2017-02-07T00:00:00"/>
    <d v="2017-02-10T00:00:00"/>
    <d v="2017-03-15T00:00:00"/>
    <x v="0"/>
    <n v="2"/>
    <n v="2"/>
    <n v="2"/>
    <n v="2"/>
    <s v="ITS455663"/>
    <d v="2015-03-20T00:00:00"/>
    <n v="3"/>
    <n v="3"/>
    <n v="2"/>
    <s v="-"/>
    <n v="3"/>
    <s v="Improved"/>
  </r>
  <r>
    <s v="Ofsted Webpage"/>
    <n v="130498"/>
    <n v="10001005"/>
    <s v="Bury College"/>
    <x v="8"/>
    <s v="Colleges"/>
    <s v="Bury"/>
    <s v="North West"/>
    <s v="North West"/>
    <s v="NULL"/>
    <s v="NULL"/>
    <n v="10025502"/>
    <s v="FE College - Full"/>
    <d v="2017-01-16T00:00:00"/>
    <d v="2017-01-20T00:00:00"/>
    <d v="2017-02-27T00:00:00"/>
    <x v="2"/>
    <n v="3"/>
    <n v="3"/>
    <n v="3"/>
    <n v="3"/>
    <s v="ITS298681"/>
    <d v="2007-02-09T00:00:00"/>
    <n v="1"/>
    <n v="1"/>
    <n v="2"/>
    <s v="-"/>
    <n v="1"/>
    <s v="Declined"/>
  </r>
  <r>
    <s v="Ofsted Webpage"/>
    <n v="130499"/>
    <n v="10003128"/>
    <s v="Holy Cross College"/>
    <x v="9"/>
    <s v="Colleges"/>
    <s v="Bury"/>
    <s v="North West"/>
    <s v="North West"/>
    <s v="NULL"/>
    <s v="NULL"/>
    <n v="10020157"/>
    <s v="SFC - Full"/>
    <d v="2017-01-31T00:00:00"/>
    <d v="2017-02-03T00:00:00"/>
    <d v="2017-03-15T00:00:00"/>
    <x v="2"/>
    <n v="3"/>
    <n v="3"/>
    <n v="2"/>
    <n v="3"/>
    <s v="ITS298683"/>
    <d v="2007-03-02T00:00:00"/>
    <n v="1"/>
    <n v="1"/>
    <n v="1"/>
    <s v="-"/>
    <n v="1"/>
    <s v="Declined"/>
  </r>
  <r>
    <s v="Ofsted Webpage"/>
    <n v="130503"/>
    <n v="10004108"/>
    <s v="Loreto College"/>
    <x v="9"/>
    <s v="Colleges"/>
    <s v="Manchester"/>
    <s v="North West"/>
    <s v="North West"/>
    <s v="NULL"/>
    <s v="NULL"/>
    <s v="ITS342775"/>
    <s v="College Inspection SFC - Good Historic"/>
    <d v="2009-11-10T00:00:00"/>
    <d v="2009-11-13T00:00:00"/>
    <d v="2010-01-05T00:00:00"/>
    <x v="1"/>
    <n v="1"/>
    <n v="1"/>
    <s v="-"/>
    <n v="1"/>
    <s v="ITS283492"/>
    <d v="2006-03-17T00:00:00"/>
    <n v="1"/>
    <n v="1"/>
    <n v="1"/>
    <s v="-"/>
    <n v="1"/>
    <s v="Stayed the Same"/>
  </r>
  <r>
    <s v="Ofsted Webpage"/>
    <n v="130504"/>
    <n v="10007682"/>
    <s v="Xaverian College"/>
    <x v="9"/>
    <s v="Colleges"/>
    <s v="Manchester"/>
    <s v="North West"/>
    <s v="North West"/>
    <s v="NULL"/>
    <s v="NULL"/>
    <s v="ITS318912"/>
    <s v="College Inspection SFC - Good Historic"/>
    <d v="2008-01-28T00:00:00"/>
    <d v="2008-02-01T00:00:00"/>
    <d v="2008-03-20T00:00:00"/>
    <x v="1"/>
    <n v="1"/>
    <n v="2"/>
    <s v="-"/>
    <n v="1"/>
    <s v="NULL"/>
    <s v="NULL"/>
    <s v="NULL"/>
    <s v="NULL"/>
    <s v="NULL"/>
    <s v="NULL"/>
    <s v="NULL"/>
    <s v="Not Applicable"/>
  </r>
  <r>
    <s v="Ofsted Webpage"/>
    <n v="130505"/>
    <n v="10006770"/>
    <s v="The Oldham College"/>
    <x v="8"/>
    <s v="Colleges"/>
    <s v="Oldham"/>
    <s v="North West"/>
    <s v="North West"/>
    <s v="NULL"/>
    <s v="NULL"/>
    <n v="10022620"/>
    <s v="FE College - Requires improvement"/>
    <d v="2017-01-16T00:00:00"/>
    <d v="2017-01-19T00:00:00"/>
    <d v="2017-02-24T00:00:00"/>
    <x v="2"/>
    <n v="3"/>
    <n v="3"/>
    <n v="3"/>
    <n v="3"/>
    <s v="ITS463125"/>
    <d v="2015-05-15T00:00:00"/>
    <n v="3"/>
    <n v="3"/>
    <n v="3"/>
    <s v="-"/>
    <n v="3"/>
    <s v="Stayed the Same"/>
  </r>
  <r>
    <s v="Ofsted Webpage"/>
    <n v="130507"/>
    <n v="10003146"/>
    <s v="Hopwood Hall College"/>
    <x v="8"/>
    <s v="Colleges"/>
    <s v="Rochdale"/>
    <s v="North West"/>
    <s v="North West"/>
    <d v="2016-11-17T00:00:00"/>
    <n v="1"/>
    <s v="ITS365902"/>
    <s v="College Inspection FE - Satisfactory Historic"/>
    <d v="2011-05-23T00:00:00"/>
    <d v="2011-05-27T00:00:00"/>
    <d v="2011-07-01T00:00:00"/>
    <x v="0"/>
    <n v="2"/>
    <n v="2"/>
    <s v="-"/>
    <n v="2"/>
    <s v="ITS302073"/>
    <d v="2007-05-04T00:00:00"/>
    <n v="3"/>
    <n v="3"/>
    <n v="3"/>
    <s v="-"/>
    <n v="3"/>
    <s v="Improved"/>
  </r>
  <r>
    <s v="Ofsted Webpage"/>
    <n v="130509"/>
    <n v="10005032"/>
    <s v="Salford City College"/>
    <x v="8"/>
    <s v="Colleges"/>
    <s v="Salford"/>
    <s v="North West"/>
    <s v="North West"/>
    <d v="2015-11-26T00:00:00"/>
    <n v="1"/>
    <s v="ITS346185"/>
    <s v="College Inspection FE - Good Historic"/>
    <d v="2010-05-10T00:00:00"/>
    <d v="2010-05-14T00:00:00"/>
    <d v="2010-06-21T00:00:00"/>
    <x v="0"/>
    <n v="2"/>
    <n v="2"/>
    <s v="-"/>
    <n v="2"/>
    <s v="NULL"/>
    <s v="NULL"/>
    <s v="NULL"/>
    <s v="NULL"/>
    <s v="NULL"/>
    <s v="NULL"/>
    <s v="NULL"/>
    <s v="Not Applicable"/>
  </r>
  <r>
    <s v="Ofsted Webpage"/>
    <n v="130512"/>
    <n v="10006331"/>
    <s v="Stockport College"/>
    <x v="8"/>
    <s v="Colleges"/>
    <s v="Stockport"/>
    <s v="North West"/>
    <s v="North West"/>
    <s v="NULL"/>
    <s v="NULL"/>
    <n v="10004695"/>
    <s v="FE College - Requires improvement"/>
    <d v="2016-10-11T00:00:00"/>
    <d v="2016-10-14T00:00:00"/>
    <d v="2016-11-24T00:00:00"/>
    <x v="4"/>
    <n v="4"/>
    <n v="4"/>
    <n v="4"/>
    <n v="4"/>
    <s v="ITS433764"/>
    <d v="2014-12-12T00:00:00"/>
    <n v="3"/>
    <n v="3"/>
    <n v="3"/>
    <s v="-"/>
    <n v="3"/>
    <s v="Declined"/>
  </r>
  <r>
    <s v="Ofsted Webpage"/>
    <n v="130514"/>
    <n v="10000330"/>
    <s v="Aquinas College"/>
    <x v="9"/>
    <s v="Colleges"/>
    <s v="Stockport"/>
    <s v="North West"/>
    <s v="North West"/>
    <d v="2017-01-11T00:00:00"/>
    <n v="1"/>
    <s v="ITS408453"/>
    <s v="SFC - Full"/>
    <d v="2013-09-24T00:00:00"/>
    <d v="2013-09-27T00:00:00"/>
    <d v="2013-11-01T00:00:00"/>
    <x v="0"/>
    <n v="2"/>
    <n v="2"/>
    <s v="-"/>
    <n v="2"/>
    <s v="ITS329313"/>
    <d v="2008-10-08T00:00:00"/>
    <n v="1"/>
    <n v="2"/>
    <n v="2"/>
    <s v="-"/>
    <n v="1"/>
    <s v="Declined"/>
  </r>
  <r>
    <s v="Ofsted Webpage"/>
    <n v="130515"/>
    <n v="10001346"/>
    <s v="Cheadle and Marple Sixth Form College"/>
    <x v="9"/>
    <s v="Colleges"/>
    <s v="Stockport"/>
    <s v="North West"/>
    <s v="North West"/>
    <s v="NULL"/>
    <s v="NULL"/>
    <n v="10020129"/>
    <s v="SFC - Full"/>
    <d v="2016-09-27T00:00:00"/>
    <d v="2016-09-30T00:00:00"/>
    <d v="2016-10-21T00:00:00"/>
    <x v="0"/>
    <n v="2"/>
    <n v="2"/>
    <n v="2"/>
    <n v="2"/>
    <s v="ITS429253"/>
    <d v="2014-03-14T00:00:00"/>
    <n v="2"/>
    <n v="3"/>
    <n v="2"/>
    <s v="-"/>
    <n v="2"/>
    <s v="Stayed the Same"/>
  </r>
  <r>
    <s v="Ofsted Webpage"/>
    <n v="130516"/>
    <n v="10006494"/>
    <s v="Tameside College"/>
    <x v="8"/>
    <s v="Colleges"/>
    <s v="Tameside"/>
    <s v="North West"/>
    <s v="North West"/>
    <s v="NULL"/>
    <s v="NULL"/>
    <n v="10022618"/>
    <s v="FE College - Requires improvement"/>
    <d v="2017-02-14T00:00:00"/>
    <d v="2017-02-17T00:00:00"/>
    <d v="2017-03-21T00:00:00"/>
    <x v="2"/>
    <n v="3"/>
    <n v="3"/>
    <n v="3"/>
    <n v="3"/>
    <s v="ITS452546"/>
    <d v="2015-03-06T00:00:00"/>
    <n v="3"/>
    <n v="3"/>
    <n v="3"/>
    <s v="-"/>
    <n v="3"/>
    <s v="Stayed the Same"/>
  </r>
  <r>
    <s v="Ofsted Webpage"/>
    <n v="130518"/>
    <n v="10000409"/>
    <s v="Ashton Sixth Form College"/>
    <x v="9"/>
    <s v="Colleges"/>
    <s v="Tameside"/>
    <s v="North West"/>
    <s v="North West"/>
    <s v="NULL"/>
    <s v="NULL"/>
    <n v="10004696"/>
    <s v="SFC - Full"/>
    <d v="2016-03-15T00:00:00"/>
    <d v="2016-03-18T00:00:00"/>
    <d v="2016-04-15T00:00:00"/>
    <x v="0"/>
    <n v="2"/>
    <n v="2"/>
    <n v="2"/>
    <n v="2"/>
    <s v="ITS376179"/>
    <d v="2011-09-30T00:00:00"/>
    <n v="2"/>
    <n v="2"/>
    <n v="2"/>
    <s v="-"/>
    <n v="2"/>
    <s v="Stayed the Same"/>
  </r>
  <r>
    <s v="Ofsted Webpage"/>
    <n v="130519"/>
    <n v="10005998"/>
    <s v="Trafford College"/>
    <x v="8"/>
    <s v="Colleges"/>
    <s v="Trafford"/>
    <s v="North West"/>
    <s v="North West"/>
    <d v="2017-09-20T00:00:00"/>
    <n v="1"/>
    <s v="ITS452485"/>
    <s v="FE College - Full"/>
    <d v="2015-01-19T00:00:00"/>
    <d v="2015-01-23T00:00:00"/>
    <d v="2015-03-02T00:00:00"/>
    <x v="0"/>
    <n v="2"/>
    <n v="2"/>
    <s v="-"/>
    <n v="2"/>
    <s v="ITS332998"/>
    <d v="2009-05-01T00:00:00"/>
    <n v="1"/>
    <n v="2"/>
    <n v="1"/>
    <s v="-"/>
    <n v="1"/>
    <s v="Declined"/>
  </r>
  <r>
    <s v="Ofsted Webpage"/>
    <n v="130521"/>
    <n v="10007500"/>
    <s v="Wigan and Leigh College"/>
    <x v="8"/>
    <s v="Colleges"/>
    <s v="Wigan"/>
    <s v="North West"/>
    <s v="North West"/>
    <s v="NULL"/>
    <s v="NULL"/>
    <n v="10022096"/>
    <s v="FE College - Requires improvement"/>
    <d v="2016-11-08T00:00:00"/>
    <d v="2016-11-11T00:00:00"/>
    <d v="2016-12-19T00:00:00"/>
    <x v="0"/>
    <n v="2"/>
    <n v="2"/>
    <n v="2"/>
    <n v="2"/>
    <s v="ITS446536"/>
    <d v="2015-03-13T00:00:00"/>
    <n v="3"/>
    <n v="3"/>
    <n v="3"/>
    <s v="-"/>
    <n v="3"/>
    <s v="Improved"/>
  </r>
  <r>
    <s v="Ofsted Webpage"/>
    <n v="130522"/>
    <n v="10007546"/>
    <s v="Winstanley College"/>
    <x v="9"/>
    <s v="Colleges"/>
    <s v="Wigan"/>
    <s v="North West"/>
    <s v="North West"/>
    <s v="NULL"/>
    <s v="NULL"/>
    <s v="ITS316657"/>
    <s v="College Inspection SFC - Good Historic"/>
    <d v="2007-10-23T00:00:00"/>
    <d v="2007-10-24T00:00:00"/>
    <d v="2007-12-07T00:00:00"/>
    <x v="1"/>
    <n v="1"/>
    <n v="1"/>
    <s v="-"/>
    <n v="1"/>
    <s v="NULL"/>
    <s v="NULL"/>
    <s v="NULL"/>
    <s v="NULL"/>
    <s v="NULL"/>
    <s v="NULL"/>
    <s v="NULL"/>
    <s v="Not Applicable"/>
  </r>
  <r>
    <s v="Ofsted Webpage"/>
    <n v="130523"/>
    <n v="10006195"/>
    <s v="St John Rigby RC Sixth Form College"/>
    <x v="9"/>
    <s v="Colleges"/>
    <s v="Wigan"/>
    <s v="North West"/>
    <s v="North West"/>
    <s v="NULL"/>
    <s v="NULL"/>
    <n v="10020087"/>
    <s v="SFC - Full"/>
    <d v="2017-02-14T00:00:00"/>
    <d v="2017-02-17T00:00:00"/>
    <d v="2017-03-21T00:00:00"/>
    <x v="1"/>
    <n v="1"/>
    <n v="1"/>
    <n v="1"/>
    <n v="1"/>
    <s v="ITS408455"/>
    <d v="2012-11-09T00:00:00"/>
    <n v="2"/>
    <n v="2"/>
    <n v="2"/>
    <s v="-"/>
    <n v="2"/>
    <s v="Improved"/>
  </r>
  <r>
    <s v="Ofsted Webpage"/>
    <n v="130524"/>
    <n v="10000536"/>
    <s v="Barnsley College"/>
    <x v="8"/>
    <s v="Colleges"/>
    <s v="Barnsley"/>
    <s v="Yorkshire and The Humber"/>
    <s v="North East, Yorkshire and the Humber"/>
    <s v="NULL"/>
    <s v="NULL"/>
    <s v="ITS354445"/>
    <s v="College Inspection FE - Satisfactory Historic"/>
    <d v="2010-11-01T00:00:00"/>
    <d v="2010-11-05T00:00:00"/>
    <d v="2010-12-10T00:00:00"/>
    <x v="1"/>
    <n v="1"/>
    <n v="2"/>
    <s v="-"/>
    <n v="1"/>
    <s v="ITS298678"/>
    <d v="2007-02-02T00:00:00"/>
    <n v="3"/>
    <n v="3"/>
    <n v="2"/>
    <s v="-"/>
    <n v="2"/>
    <s v="Improved"/>
  </r>
  <r>
    <s v="Ofsted Webpage"/>
    <n v="130525"/>
    <n v="10004739"/>
    <s v="Northern College for Residential Adult Education Limited"/>
    <x v="7"/>
    <s v="Community learning and skills providers"/>
    <s v="Barnsley"/>
    <s v="Yorkshire and The Humber"/>
    <s v="North East, Yorkshire and the Humber"/>
    <s v="NULL"/>
    <s v="NULL"/>
    <s v="ITS411064"/>
    <s v="Adult and Community - full (regional) Historic"/>
    <d v="2014-06-17T00:00:00"/>
    <d v="2014-06-20T00:00:00"/>
    <d v="2014-07-23T00:00:00"/>
    <x v="1"/>
    <n v="1"/>
    <n v="1"/>
    <s v="-"/>
    <n v="1"/>
    <s v="ITS307140"/>
    <d v="2006-11-17T00:00:00"/>
    <n v="1"/>
    <s v="-"/>
    <s v="-"/>
    <s v="-"/>
    <n v="1"/>
    <s v="Stayed the Same"/>
  </r>
  <r>
    <s v="Ofsted Webpage"/>
    <n v="130527"/>
    <n v="10005534"/>
    <s v="RNN Group"/>
    <x v="8"/>
    <s v="Colleges"/>
    <s v="Rotherham"/>
    <s v="Yorkshire and The Humber"/>
    <s v="North East, Yorkshire and the Humber"/>
    <s v="NULL"/>
    <s v="NULL"/>
    <s v="ITS410616"/>
    <s v="FE College - Full"/>
    <d v="2013-05-20T00:00:00"/>
    <d v="2013-05-24T00:00:00"/>
    <d v="2013-06-27T00:00:00"/>
    <x v="0"/>
    <n v="2"/>
    <n v="2"/>
    <s v="-"/>
    <n v="2"/>
    <s v="ITS354446"/>
    <d v="2010-11-26T00:00:00"/>
    <n v="3"/>
    <n v="3"/>
    <n v="3"/>
    <s v="-"/>
    <n v="3"/>
    <s v="Improved"/>
  </r>
  <r>
    <s v="Ofsted Webpage"/>
    <n v="130531"/>
    <n v="10005788"/>
    <s v="The Sheffield College"/>
    <x v="8"/>
    <s v="Colleges"/>
    <s v="Sheffield"/>
    <s v="Yorkshire and The Humber"/>
    <s v="North East, Yorkshire and the Humber"/>
    <s v="NULL"/>
    <s v="NULL"/>
    <n v="10005437"/>
    <s v="FE College - Full"/>
    <d v="2016-01-26T00:00:00"/>
    <d v="2016-01-29T00:00:00"/>
    <d v="2016-02-24T00:00:00"/>
    <x v="2"/>
    <n v="3"/>
    <n v="3"/>
    <n v="3"/>
    <n v="3"/>
    <s v="ITS410620"/>
    <d v="2013-05-03T00:00:00"/>
    <n v="2"/>
    <n v="3"/>
    <n v="2"/>
    <s v="-"/>
    <n v="2"/>
    <s v="Declined"/>
  </r>
  <r>
    <s v="Ofsted Webpage"/>
    <n v="130532"/>
    <n v="10000840"/>
    <s v="Bradford College"/>
    <x v="8"/>
    <s v="Colleges"/>
    <s v="Bradford"/>
    <s v="Yorkshire and The Humber"/>
    <s v="North East, Yorkshire and the Humber"/>
    <s v="NULL"/>
    <s v="NULL"/>
    <n v="10037383"/>
    <s v="FE College - Full"/>
    <d v="2017-10-10T00:00:00"/>
    <d v="2017-10-13T00:00:00"/>
    <d v="2017-11-14T00:00:00"/>
    <x v="2"/>
    <n v="3"/>
    <n v="3"/>
    <n v="3"/>
    <n v="3"/>
    <s v="ITS446537"/>
    <d v="2014-09-26T00:00:00"/>
    <n v="2"/>
    <n v="2"/>
    <n v="2"/>
    <s v="-"/>
    <n v="2"/>
    <s v="Declined"/>
  </r>
  <r>
    <s v="Ofsted Webpage"/>
    <n v="130534"/>
    <n v="10005810"/>
    <s v="Shipley College"/>
    <x v="8"/>
    <s v="Colleges"/>
    <s v="Bradford"/>
    <s v="Yorkshire and The Humber"/>
    <s v="North East, Yorkshire and the Humber"/>
    <d v="2016-11-03T00:00:00"/>
    <n v="1"/>
    <s v="ITS409325"/>
    <s v="FE College - Full"/>
    <d v="2013-02-12T00:00:00"/>
    <d v="2013-02-15T00:00:00"/>
    <d v="2013-03-20T00:00:00"/>
    <x v="0"/>
    <n v="2"/>
    <n v="2"/>
    <s v="-"/>
    <n v="2"/>
    <s v="ITS354439"/>
    <d v="2010-10-01T00:00:00"/>
    <n v="3"/>
    <n v="3"/>
    <n v="3"/>
    <s v="-"/>
    <n v="3"/>
    <s v="Improved"/>
  </r>
  <r>
    <s v="Ofsted Webpage"/>
    <n v="130535"/>
    <n v="10001093"/>
    <s v="Calderdale College"/>
    <x v="8"/>
    <s v="Colleges"/>
    <s v="Calderdale"/>
    <s v="Yorkshire and The Humber"/>
    <s v="North East, Yorkshire and the Humber"/>
    <s v="NULL"/>
    <s v="NULL"/>
    <s v="ITS429155"/>
    <s v="FE College - Full"/>
    <d v="2014-03-10T00:00:00"/>
    <d v="2014-03-14T00:00:00"/>
    <d v="2014-04-16T00:00:00"/>
    <x v="0"/>
    <n v="2"/>
    <n v="2"/>
    <s v="-"/>
    <n v="2"/>
    <s v="ITS363295"/>
    <d v="2011-02-18T00:00:00"/>
    <n v="2"/>
    <n v="2"/>
    <n v="2"/>
    <s v="-"/>
    <n v="2"/>
    <s v="Stayed the Same"/>
  </r>
  <r>
    <s v="Ofsted Webpage"/>
    <n v="130537"/>
    <n v="10003189"/>
    <s v="Kirklees College"/>
    <x v="8"/>
    <s v="Colleges"/>
    <s v="Kirklees"/>
    <s v="Yorkshire and The Humber"/>
    <s v="North East, Yorkshire and the Humber"/>
    <s v="NULL"/>
    <s v="NULL"/>
    <s v="ITS385831"/>
    <s v="FE College - Reinspection"/>
    <d v="2012-11-05T00:00:00"/>
    <d v="2012-11-09T00:00:00"/>
    <d v="2012-12-14T00:00:00"/>
    <x v="0"/>
    <n v="2"/>
    <n v="2"/>
    <s v="-"/>
    <n v="1"/>
    <s v="ITS363294"/>
    <d v="2011-04-08T00:00:00"/>
    <n v="4"/>
    <n v="4"/>
    <n v="3"/>
    <s v="-"/>
    <n v="4"/>
    <s v="Improved"/>
  </r>
  <r>
    <s v="Ofsted Webpage"/>
    <n v="130538"/>
    <n v="10002770"/>
    <s v="Greenhead College"/>
    <x v="9"/>
    <s v="Colleges"/>
    <s v="Kirklees"/>
    <s v="Yorkshire and The Humber"/>
    <s v="North East, Yorkshire and the Humber"/>
    <s v="NULL"/>
    <s v="NULL"/>
    <s v="ITS316660"/>
    <s v="College Inspection SFC - Good Historic"/>
    <d v="2007-11-21T00:00:00"/>
    <d v="2007-11-22T00:00:00"/>
    <d v="2008-01-18T00:00:00"/>
    <x v="1"/>
    <n v="1"/>
    <n v="1"/>
    <s v="-"/>
    <n v="1"/>
    <s v="NULL"/>
    <s v="NULL"/>
    <s v="NULL"/>
    <s v="NULL"/>
    <s v="NULL"/>
    <s v="NULL"/>
    <s v="NULL"/>
    <s v="Not Applicable"/>
  </r>
  <r>
    <s v="Ofsted Webpage"/>
    <n v="130539"/>
    <n v="10003188"/>
    <s v="Huddersfield New College"/>
    <x v="9"/>
    <s v="Colleges"/>
    <s v="Kirklees"/>
    <s v="Yorkshire and The Humber"/>
    <s v="North East, Yorkshire and the Humber"/>
    <s v="NULL"/>
    <s v="NULL"/>
    <n v="10011422"/>
    <s v="SFC - Full"/>
    <d v="2016-04-12T00:00:00"/>
    <d v="2016-04-15T00:00:00"/>
    <d v="2016-05-16T00:00:00"/>
    <x v="1"/>
    <n v="1"/>
    <n v="1"/>
    <n v="1"/>
    <n v="1"/>
    <s v="ITS376180"/>
    <d v="2011-10-14T00:00:00"/>
    <n v="2"/>
    <n v="2"/>
    <n v="2"/>
    <s v="-"/>
    <n v="2"/>
    <s v="Improved"/>
  </r>
  <r>
    <s v="Ofsted Webpage"/>
    <n v="130542"/>
    <n v="10003855"/>
    <s v="Leeds College of Building"/>
    <x v="8"/>
    <s v="Colleges"/>
    <s v="Leeds"/>
    <s v="Yorkshire and The Humber"/>
    <s v="North East, Yorkshire and the Humber"/>
    <s v="NULL"/>
    <s v="NULL"/>
    <s v="ITS429281"/>
    <s v="FE College - Requires improvement"/>
    <d v="2014-06-02T00:00:00"/>
    <d v="2014-06-06T00:00:00"/>
    <d v="2014-07-07T00:00:00"/>
    <x v="0"/>
    <n v="2"/>
    <n v="2"/>
    <s v="-"/>
    <n v="2"/>
    <s v="ITS408432"/>
    <d v="2013-02-01T00:00:00"/>
    <n v="3"/>
    <n v="3"/>
    <n v="2"/>
    <s v="-"/>
    <n v="3"/>
    <s v="Improved"/>
  </r>
  <r>
    <s v="Ofsted Webpage"/>
    <n v="130547"/>
    <n v="10003854"/>
    <s v="Leeds College of Art"/>
    <x v="11"/>
    <s v="Higher education institutions"/>
    <s v="Leeds"/>
    <s v="Yorkshire and The Humber"/>
    <s v="North East, Yorkshire and the Humber"/>
    <d v="2016-03-03T00:00:00"/>
    <n v="1"/>
    <s v="ITS363297"/>
    <s v="College Inspection FE - Good Historic"/>
    <d v="2011-03-07T00:00:00"/>
    <d v="2011-03-11T00:00:00"/>
    <d v="2011-04-15T00:00:00"/>
    <x v="0"/>
    <n v="2"/>
    <n v="2"/>
    <s v="-"/>
    <n v="3"/>
    <s v="ITS284872"/>
    <d v="2006-05-19T00:00:00"/>
    <n v="2"/>
    <n v="2"/>
    <n v="2"/>
    <s v="-"/>
    <n v="2"/>
    <s v="Stayed the Same"/>
  </r>
  <r>
    <s v="Ofsted Webpage"/>
    <n v="130548"/>
    <n v="10004785"/>
    <s v="Notre Dame Catholic Sixth Form College"/>
    <x v="9"/>
    <s v="Colleges"/>
    <s v="Leeds"/>
    <s v="Yorkshire and The Humber"/>
    <s v="North East, Yorkshire and the Humber"/>
    <s v="NULL"/>
    <s v="NULL"/>
    <s v="ITS322398"/>
    <s v="College Inspection SFC - Good Historic"/>
    <d v="2008-04-16T00:00:00"/>
    <d v="2008-04-17T00:00:00"/>
    <d v="2008-06-06T00:00:00"/>
    <x v="1"/>
    <n v="2"/>
    <n v="2"/>
    <s v="-"/>
    <n v="1"/>
    <s v="NULL"/>
    <s v="NULL"/>
    <s v="NULL"/>
    <s v="NULL"/>
    <s v="NULL"/>
    <s v="NULL"/>
    <s v="NULL"/>
    <s v="Not Applicable"/>
  </r>
  <r>
    <s v="Ofsted Webpage"/>
    <n v="130549"/>
    <n v="10007289"/>
    <s v="Wakefield College"/>
    <x v="8"/>
    <s v="Colleges"/>
    <s v="Wakefield"/>
    <s v="Yorkshire and The Humber"/>
    <s v="North East, Yorkshire and the Humber"/>
    <s v="NULL"/>
    <s v="NULL"/>
    <n v="10022485"/>
    <s v="FE College - Full"/>
    <d v="2017-03-27T00:00:00"/>
    <d v="2017-03-30T00:00:00"/>
    <d v="2017-05-09T00:00:00"/>
    <x v="2"/>
    <n v="3"/>
    <n v="3"/>
    <n v="3"/>
    <n v="3"/>
    <s v="ITS429172"/>
    <d v="2014-02-07T00:00:00"/>
    <n v="2"/>
    <n v="3"/>
    <n v="2"/>
    <s v="-"/>
    <n v="2"/>
    <s v="Declined"/>
  </r>
  <r>
    <s v="Ofsted Webpage"/>
    <n v="130551"/>
    <n v="10002638"/>
    <s v="Gateshead College"/>
    <x v="8"/>
    <s v="Colleges"/>
    <s v="Gateshead"/>
    <s v="North East"/>
    <s v="North East, Yorkshire and the Humber"/>
    <s v="NULL"/>
    <s v="NULL"/>
    <s v="ITS446027"/>
    <s v="FE College - Requires improvement"/>
    <d v="2015-06-08T00:00:00"/>
    <d v="2015-06-12T00:00:00"/>
    <d v="2015-07-17T00:00:00"/>
    <x v="1"/>
    <n v="1"/>
    <n v="1"/>
    <s v="-"/>
    <n v="1"/>
    <s v="ITS429163"/>
    <d v="2014-02-07T00:00:00"/>
    <n v="3"/>
    <n v="3"/>
    <n v="3"/>
    <s v="-"/>
    <n v="3"/>
    <s v="Improved"/>
  </r>
  <r>
    <s v="Ofsted Webpage"/>
    <n v="130552"/>
    <n v="10004599"/>
    <s v="NCG"/>
    <x v="8"/>
    <s v="Colleges"/>
    <s v="Newcastle upon Tyne"/>
    <s v="North East"/>
    <s v="North East, Yorkshire and the Humber"/>
    <s v="NULL"/>
    <s v="NULL"/>
    <n v="10011423"/>
    <s v="FE College - Full"/>
    <d v="2016-05-09T00:00:00"/>
    <d v="2016-05-13T00:00:00"/>
    <d v="2016-09-23T00:00:00"/>
    <x v="0"/>
    <n v="2"/>
    <n v="2"/>
    <n v="2"/>
    <n v="2"/>
    <s v="ITS388010"/>
    <d v="2012-06-01T00:00:00"/>
    <n v="2"/>
    <n v="2"/>
    <n v="2"/>
    <s v="-"/>
    <n v="2"/>
    <s v="Stayed the Same"/>
  </r>
  <r>
    <s v="Ofsted Webpage"/>
    <n v="130555"/>
    <n v="10005999"/>
    <s v="Tyne Coast College"/>
    <x v="8"/>
    <s v="Colleges"/>
    <s v="South Tyneside"/>
    <s v="North East"/>
    <s v="North East, Yorkshire and the Humber"/>
    <d v="2015-12-16T00:00:00"/>
    <n v="1"/>
    <s v="ITS404161"/>
    <s v="FE College - Full"/>
    <d v="2012-10-15T00:00:00"/>
    <d v="2012-10-19T00:00:00"/>
    <d v="2012-11-23T00:00:00"/>
    <x v="0"/>
    <n v="3"/>
    <n v="2"/>
    <s v="-"/>
    <n v="2"/>
    <s v="ITS342294"/>
    <d v="2009-10-09T00:00:00"/>
    <n v="3"/>
    <n v="3"/>
    <n v="3"/>
    <s v="-"/>
    <n v="3"/>
    <s v="Improved"/>
  </r>
  <r>
    <s v="Ofsted Webpage"/>
    <n v="130558"/>
    <n v="10001465"/>
    <s v="Bath College"/>
    <x v="8"/>
    <s v="Colleges"/>
    <s v="Bath and North East Somerset"/>
    <s v="South West"/>
    <s v="South West"/>
    <s v="NULL"/>
    <s v="NULL"/>
    <s v="ITS408439"/>
    <s v="FE College - Full"/>
    <d v="2013-01-28T00:00:00"/>
    <d v="2013-02-01T00:00:00"/>
    <d v="2013-03-08T00:00:00"/>
    <x v="0"/>
    <n v="2"/>
    <n v="2"/>
    <s v="-"/>
    <n v="2"/>
    <s v="ITS343639"/>
    <d v="2010-01-29T00:00:00"/>
    <n v="3"/>
    <n v="3"/>
    <n v="3"/>
    <s v="-"/>
    <n v="2"/>
    <s v="Improved"/>
  </r>
  <r>
    <s v="Ofsted Webpage"/>
    <n v="130563"/>
    <n v="10006130"/>
    <s v="St Brendan's Sixth Form College"/>
    <x v="9"/>
    <s v="Colleges"/>
    <s v="Bristol"/>
    <s v="South West"/>
    <s v="South West"/>
    <d v="2017-01-18T00:00:00"/>
    <n v="1"/>
    <s v="ITS399021"/>
    <s v="SFC - Full"/>
    <d v="2012-10-16T00:00:00"/>
    <d v="2012-10-19T00:00:00"/>
    <d v="2012-11-23T00:00:00"/>
    <x v="0"/>
    <n v="2"/>
    <n v="2"/>
    <s v="-"/>
    <n v="2"/>
    <s v="ITS343645"/>
    <d v="2010-03-12T00:00:00"/>
    <n v="2"/>
    <n v="2"/>
    <n v="2"/>
    <s v="-"/>
    <n v="2"/>
    <s v="Stayed the Same"/>
  </r>
  <r>
    <s v="Ofsted Webpage"/>
    <n v="130564"/>
    <n v="10007459"/>
    <s v="Weston College"/>
    <x v="8"/>
    <s v="Colleges"/>
    <s v="North Somerset"/>
    <s v="South West"/>
    <s v="South West"/>
    <s v="NULL"/>
    <s v="NULL"/>
    <s v="ITS423351"/>
    <s v="FE College - Full"/>
    <d v="2013-12-09T00:00:00"/>
    <d v="2013-12-13T00:00:00"/>
    <d v="2014-01-22T00:00:00"/>
    <x v="1"/>
    <n v="1"/>
    <n v="1"/>
    <s v="-"/>
    <n v="1"/>
    <s v="ITS319828"/>
    <d v="2008-02-01T00:00:00"/>
    <n v="2"/>
    <n v="2"/>
    <n v="2"/>
    <s v="-"/>
    <n v="2"/>
    <s v="Improved"/>
  </r>
  <r>
    <s v="Ofsted Webpage"/>
    <n v="130567"/>
    <n v="10002917"/>
    <s v="Hartlepool College of Further Education"/>
    <x v="8"/>
    <s v="Colleges"/>
    <s v="Hartlepool"/>
    <s v="North East"/>
    <s v="North East, Yorkshire and the Humber"/>
    <s v="NULL"/>
    <s v="NULL"/>
    <n v="10022482"/>
    <s v="FE College - Full"/>
    <d v="2017-03-07T00:00:00"/>
    <d v="2017-03-10T00:00:00"/>
    <d v="2017-04-07T00:00:00"/>
    <x v="0"/>
    <n v="2"/>
    <n v="2"/>
    <n v="1"/>
    <n v="2"/>
    <s v="ITS429289"/>
    <d v="2014-05-02T00:00:00"/>
    <n v="2"/>
    <n v="3"/>
    <n v="2"/>
    <s v="-"/>
    <n v="2"/>
    <s v="Stayed the Same"/>
  </r>
  <r>
    <s v="Ofsted Webpage"/>
    <n v="130570"/>
    <n v="10004344"/>
    <s v="Middlesbrough College"/>
    <x v="8"/>
    <s v="Colleges"/>
    <s v="Middlesbrough"/>
    <s v="North East"/>
    <s v="North East, Yorkshire and the Humber"/>
    <s v="NULL"/>
    <s v="NULL"/>
    <n v="10011424"/>
    <s v="FE College - Full"/>
    <d v="2016-09-20T00:00:00"/>
    <d v="2016-09-23T00:00:00"/>
    <d v="2016-11-09T00:00:00"/>
    <x v="2"/>
    <n v="3"/>
    <n v="3"/>
    <n v="2"/>
    <n v="3"/>
    <s v="ITS363293"/>
    <d v="2011-03-04T00:00:00"/>
    <n v="2"/>
    <n v="2"/>
    <n v="2"/>
    <s v="-"/>
    <n v="2"/>
    <s v="Declined"/>
  </r>
  <r>
    <s v="Ofsted Webpage"/>
    <n v="130571"/>
    <n v="10001503"/>
    <s v="Cleveland College of Art and Design"/>
    <x v="10"/>
    <s v="Colleges"/>
    <s v="Middlesbrough"/>
    <s v="North East"/>
    <s v="North East, Yorkshire and the Humber"/>
    <s v="NULL"/>
    <s v="NULL"/>
    <s v="ITS333003"/>
    <s v="College category 1 visit Historic"/>
    <d v="2009-06-02T00:00:00"/>
    <d v="2009-06-03T00:00:00"/>
    <d v="2009-07-17T00:00:00"/>
    <x v="1"/>
    <n v="1"/>
    <n v="1"/>
    <s v="-"/>
    <n v="2"/>
    <s v="NULL"/>
    <s v="NULL"/>
    <s v="NULL"/>
    <s v="NULL"/>
    <s v="NULL"/>
    <s v="NULL"/>
    <s v="NULL"/>
    <s v="Not Applicable"/>
  </r>
  <r>
    <s v="Ofsted Webpage"/>
    <n v="130573"/>
    <n v="10005414"/>
    <s v="Redcar &amp; Cleveland College"/>
    <x v="8"/>
    <s v="Colleges"/>
    <s v="Redcar and Cleveland"/>
    <s v="North East"/>
    <s v="North East, Yorkshire and the Humber"/>
    <s v="NULL"/>
    <s v="NULL"/>
    <n v="10030672"/>
    <s v="FE College - Requires improvement"/>
    <d v="2017-10-10T00:00:00"/>
    <d v="2017-10-13T00:00:00"/>
    <d v="2017-11-16T00:00:00"/>
    <x v="4"/>
    <n v="4"/>
    <n v="3"/>
    <n v="3"/>
    <n v="4"/>
    <n v="10004706"/>
    <d v="2015-10-16T00:00:00"/>
    <n v="3"/>
    <n v="3"/>
    <n v="3"/>
    <n v="2"/>
    <n v="3"/>
    <s v="Declined"/>
  </r>
  <r>
    <s v="Ofsted Webpage"/>
    <n v="130576"/>
    <n v="10006341"/>
    <s v="Stockton Riverside College"/>
    <x v="8"/>
    <s v="Colleges"/>
    <s v="Stockton-on-Tees"/>
    <s v="North East"/>
    <s v="North East, Yorkshire and the Humber"/>
    <s v="NULL"/>
    <s v="NULL"/>
    <s v="ITS429247"/>
    <s v="FE College - Requires improvement"/>
    <d v="2014-04-28T00:00:00"/>
    <d v="2014-05-02T00:00:00"/>
    <d v="2014-06-06T00:00:00"/>
    <x v="0"/>
    <n v="2"/>
    <n v="2"/>
    <s v="-"/>
    <n v="2"/>
    <s v="ITS404163"/>
    <d v="2012-11-16T00:00:00"/>
    <n v="3"/>
    <n v="3"/>
    <n v="3"/>
    <s v="-"/>
    <n v="3"/>
    <s v="Improved"/>
  </r>
  <r>
    <s v="Ofsted Webpage"/>
    <n v="130579"/>
    <n v="10003200"/>
    <s v="Hull College"/>
    <x v="8"/>
    <s v="Colleges"/>
    <s v="Kingston upon Hull"/>
    <s v="Yorkshire and The Humber"/>
    <s v="North East, Yorkshire and the Humber"/>
    <s v="NULL"/>
    <s v="NULL"/>
    <n v="10007218"/>
    <s v="FE College - Full"/>
    <d v="2015-11-17T00:00:00"/>
    <d v="2015-11-20T00:00:00"/>
    <d v="2015-12-18T00:00:00"/>
    <x v="0"/>
    <n v="2"/>
    <n v="2"/>
    <n v="2"/>
    <n v="2"/>
    <s v="ITS330740"/>
    <d v="2008-06-18T00:00:00"/>
    <n v="3"/>
    <n v="3"/>
    <n v="3"/>
    <s v="-"/>
    <n v="3"/>
    <s v="Improved"/>
  </r>
  <r>
    <s v="Ofsted Webpage"/>
    <n v="130580"/>
    <n v="10007503"/>
    <s v="Wilberforce College"/>
    <x v="9"/>
    <s v="Colleges"/>
    <s v="Kingston upon Hull"/>
    <s v="Yorkshire and The Humber"/>
    <s v="North East, Yorkshire and the Humber"/>
    <s v="NULL"/>
    <s v="NULL"/>
    <s v="ITS434399"/>
    <s v="SFC - Requires improvement"/>
    <d v="2015-04-28T00:00:00"/>
    <d v="2015-05-01T00:00:00"/>
    <d v="2015-06-03T00:00:00"/>
    <x v="0"/>
    <n v="2"/>
    <n v="2"/>
    <s v="-"/>
    <n v="2"/>
    <s v="ITS423379"/>
    <d v="2013-10-11T00:00:00"/>
    <n v="3"/>
    <n v="3"/>
    <n v="3"/>
    <s v="-"/>
    <n v="3"/>
    <s v="Improved"/>
  </r>
  <r>
    <s v="Ofsted Webpage"/>
    <n v="130581"/>
    <n v="10007673"/>
    <s v="Wyke Sixth Form College"/>
    <x v="9"/>
    <s v="Colleges"/>
    <s v="Kingston upon Hull"/>
    <s v="Yorkshire and The Humber"/>
    <s v="North East, Yorkshire and the Humber"/>
    <d v="2017-11-16T00:00:00"/>
    <n v="1"/>
    <s v="ITS423380"/>
    <s v="SFC - Full"/>
    <d v="2013-10-01T00:00:00"/>
    <d v="2013-10-04T00:00:00"/>
    <d v="2013-11-06T00:00:00"/>
    <x v="0"/>
    <n v="2"/>
    <n v="2"/>
    <s v="-"/>
    <n v="2"/>
    <s v="ITS318929"/>
    <d v="2008-02-29T00:00:00"/>
    <n v="2"/>
    <n v="2"/>
    <n v="2"/>
    <s v="-"/>
    <n v="2"/>
    <s v="Stayed the Same"/>
  </r>
  <r>
    <s v="Ofsted Webpage"/>
    <n v="130582"/>
    <n v="10002126"/>
    <s v="East Riding College"/>
    <x v="8"/>
    <s v="Colleges"/>
    <s v="East Riding of Yorkshire"/>
    <s v="Yorkshire and The Humber"/>
    <s v="North East, Yorkshire and the Humber"/>
    <s v="NULL"/>
    <s v="NULL"/>
    <n v="10004707"/>
    <s v="FE College - Full"/>
    <d v="2016-02-23T00:00:00"/>
    <d v="2016-02-26T00:00:00"/>
    <d v="2016-03-23T00:00:00"/>
    <x v="0"/>
    <n v="2"/>
    <n v="2"/>
    <n v="1"/>
    <n v="2"/>
    <s v="ITS363298"/>
    <d v="2011-02-18T00:00:00"/>
    <n v="2"/>
    <n v="2"/>
    <n v="2"/>
    <s v="-"/>
    <n v="1"/>
    <s v="Stayed the Same"/>
  </r>
  <r>
    <s v="Ofsted Webpage"/>
    <n v="130584"/>
    <n v="10000721"/>
    <s v="Bishop Burton College"/>
    <x v="10"/>
    <s v="Colleges"/>
    <s v="East Riding of Yorkshire"/>
    <s v="Yorkshire and The Humber"/>
    <s v="North East, Yorkshire and the Humber"/>
    <s v="NULL"/>
    <s v="NULL"/>
    <n v="10022488"/>
    <s v="FE College - Full"/>
    <d v="2017-01-17T00:00:00"/>
    <d v="2017-01-20T00:00:00"/>
    <d v="2017-02-22T00:00:00"/>
    <x v="0"/>
    <n v="2"/>
    <n v="2"/>
    <n v="2"/>
    <n v="2"/>
    <s v="ITS423370"/>
    <d v="2013-11-22T00:00:00"/>
    <n v="2"/>
    <n v="1"/>
    <n v="2"/>
    <s v="-"/>
    <n v="1"/>
    <s v="Stayed the Same"/>
  </r>
  <r>
    <s v="Ofsted Webpage"/>
    <n v="130585"/>
    <n v="10007938"/>
    <s v="Grimsby Institute of Further and Higher Education"/>
    <x v="8"/>
    <s v="Colleges"/>
    <s v="North East Lincolnshire"/>
    <s v="Yorkshire and The Humber"/>
    <s v="North East, Yorkshire and the Humber"/>
    <s v="NULL"/>
    <s v="NULL"/>
    <n v="10033784"/>
    <s v="FE College - Full"/>
    <d v="2017-05-04T00:00:00"/>
    <d v="2017-05-18T00:00:00"/>
    <d v="2017-07-03T00:00:00"/>
    <x v="1"/>
    <n v="1"/>
    <n v="1"/>
    <n v="1"/>
    <n v="1"/>
    <s v="ITS423352"/>
    <d v="2013-11-22T00:00:00"/>
    <n v="2"/>
    <n v="2"/>
    <n v="2"/>
    <s v="-"/>
    <n v="2"/>
    <s v="Improved"/>
  </r>
  <r>
    <s v="Ofsted Webpage"/>
    <n v="130586"/>
    <n v="10002570"/>
    <s v="Franklin College"/>
    <x v="9"/>
    <s v="Colleges"/>
    <s v="North East Lincolnshire"/>
    <s v="Yorkshire and The Humber"/>
    <s v="North East, Yorkshire and the Humber"/>
    <s v="NULL"/>
    <s v="NULL"/>
    <n v="10020149"/>
    <s v="SFC - Full"/>
    <d v="2016-10-11T00:00:00"/>
    <d v="2016-10-14T00:00:00"/>
    <d v="2016-11-25T00:00:00"/>
    <x v="2"/>
    <n v="3"/>
    <n v="3"/>
    <n v="3"/>
    <n v="3"/>
    <s v="ITS397440"/>
    <d v="2013-04-26T00:00:00"/>
    <n v="2"/>
    <n v="2"/>
    <n v="2"/>
    <s v="-"/>
    <n v="2"/>
    <s v="Declined"/>
  </r>
  <r>
    <s v="Ofsted Webpage"/>
    <n v="130587"/>
    <n v="10004695"/>
    <s v="North Lindsey College"/>
    <x v="8"/>
    <s v="Colleges"/>
    <s v="North Lincolnshire"/>
    <s v="Yorkshire and The Humber"/>
    <s v="North East, Yorkshire and the Humber"/>
    <s v="NULL"/>
    <s v="NULL"/>
    <s v="ITS434081"/>
    <s v="FE College - Full"/>
    <d v="2014-05-12T00:00:00"/>
    <d v="2014-05-16T00:00:00"/>
    <d v="2014-06-20T00:00:00"/>
    <x v="0"/>
    <n v="2"/>
    <n v="2"/>
    <s v="-"/>
    <n v="1"/>
    <s v="ITS354441"/>
    <d v="2010-10-01T00:00:00"/>
    <n v="1"/>
    <n v="2"/>
    <n v="2"/>
    <s v="-"/>
    <n v="1"/>
    <s v="Declined"/>
  </r>
  <r>
    <s v="Ofsted Webpage"/>
    <n v="130588"/>
    <n v="10003491"/>
    <s v="John Leggott Sixth Form College"/>
    <x v="9"/>
    <s v="Colleges"/>
    <s v="North Lincolnshire"/>
    <s v="Yorkshire and The Humber"/>
    <s v="North East, Yorkshire and the Humber"/>
    <s v="NULL"/>
    <s v="NULL"/>
    <s v="ITS429291"/>
    <s v="SFC - Requires improvement"/>
    <d v="2014-03-25T00:00:00"/>
    <d v="2014-03-28T00:00:00"/>
    <d v="2014-05-02T00:00:00"/>
    <x v="0"/>
    <n v="2"/>
    <n v="2"/>
    <s v="-"/>
    <n v="2"/>
    <s v="ITS388326"/>
    <d v="2013-02-15T00:00:00"/>
    <n v="3"/>
    <n v="3"/>
    <n v="3"/>
    <s v="-"/>
    <n v="2"/>
    <s v="Improved"/>
  </r>
  <r>
    <s v="Ofsted Webpage"/>
    <n v="130591"/>
    <n v="10001743"/>
    <s v="Craven College"/>
    <x v="8"/>
    <s v="Colleges"/>
    <s v="North Yorkshire"/>
    <s v="Yorkshire and The Humber"/>
    <s v="North East, Yorkshire and the Humber"/>
    <s v="NULL"/>
    <s v="NULL"/>
    <n v="10004709"/>
    <s v="FE College - Full"/>
    <d v="2016-02-02T00:00:00"/>
    <d v="2016-02-05T00:00:00"/>
    <d v="2016-03-18T00:00:00"/>
    <x v="2"/>
    <n v="3"/>
    <n v="3"/>
    <n v="3"/>
    <n v="3"/>
    <s v="ITS354443"/>
    <d v="2010-10-15T00:00:00"/>
    <n v="2"/>
    <n v="2"/>
    <n v="2"/>
    <s v="-"/>
    <n v="2"/>
    <s v="Declined"/>
  </r>
  <r>
    <s v="Ofsted Webpage"/>
    <n v="130592"/>
    <n v="10005741"/>
    <s v="Selby College"/>
    <x v="8"/>
    <s v="Colleges"/>
    <s v="North Yorkshire"/>
    <s v="Yorkshire and The Humber"/>
    <s v="North East, Yorkshire and the Humber"/>
    <s v="NULL"/>
    <s v="NULL"/>
    <s v="ITS316656"/>
    <s v="College Inspection FE - Good Historic"/>
    <d v="2007-10-01T00:00:00"/>
    <d v="2007-10-05T00:00:00"/>
    <d v="2007-11-23T00:00:00"/>
    <x v="1"/>
    <n v="1"/>
    <n v="1"/>
    <s v="-"/>
    <n v="1"/>
    <s v="NULL"/>
    <s v="NULL"/>
    <s v="NULL"/>
    <s v="NULL"/>
    <s v="NULL"/>
    <s v="NULL"/>
    <s v="NULL"/>
    <s v="Not Applicable"/>
  </r>
  <r>
    <s v="Ofsted Webpage"/>
    <n v="130593"/>
    <n v="10005687"/>
    <s v="Scarborough Sixth Form College"/>
    <x v="9"/>
    <s v="Colleges"/>
    <s v="North Yorkshire"/>
    <s v="Yorkshire and The Humber"/>
    <s v="North East, Yorkshire and the Humber"/>
    <d v="2016-09-21T00:00:00"/>
    <n v="1"/>
    <s v="ITS365908"/>
    <s v="College Inspection SFC - Good Historic"/>
    <d v="2011-05-03T00:00:00"/>
    <d v="2011-05-06T00:00:00"/>
    <d v="2011-06-10T00:00:00"/>
    <x v="0"/>
    <n v="2"/>
    <n v="3"/>
    <s v="-"/>
    <n v="3"/>
    <s v="ITS283490"/>
    <d v="2006-01-20T00:00:00"/>
    <n v="2"/>
    <n v="2"/>
    <n v="2"/>
    <s v="-"/>
    <n v="3"/>
    <s v="Stayed the Same"/>
  </r>
  <r>
    <s v="Ofsted Webpage"/>
    <n v="130594"/>
    <n v="10007709"/>
    <s v="York College"/>
    <x v="8"/>
    <s v="Colleges"/>
    <s v="York"/>
    <s v="Yorkshire and The Humber"/>
    <s v="North East, Yorkshire and the Humber"/>
    <s v="NULL"/>
    <s v="NULL"/>
    <s v="ITS423353"/>
    <s v="FE College - Full"/>
    <d v="2013-12-09T00:00:00"/>
    <d v="2013-12-13T00:00:00"/>
    <d v="2014-01-20T00:00:00"/>
    <x v="1"/>
    <n v="1"/>
    <n v="1"/>
    <s v="-"/>
    <n v="1"/>
    <s v="ITS318915"/>
    <d v="2008-02-01T00:00:00"/>
    <n v="2"/>
    <n v="3"/>
    <n v="2"/>
    <s v="-"/>
    <n v="2"/>
    <s v="Improved"/>
  </r>
  <r>
    <s v="Ofsted Webpage"/>
    <n v="130595"/>
    <n v="10000415"/>
    <s v="Askham Bryan College"/>
    <x v="10"/>
    <s v="Colleges"/>
    <s v="York"/>
    <s v="Yorkshire and The Humber"/>
    <s v="North East, Yorkshire and the Humber"/>
    <d v="2017-03-16T00:00:00"/>
    <n v="1"/>
    <s v="ITS376133"/>
    <s v="College Inspection FE - Satisfactory Historic"/>
    <d v="2011-12-05T00:00:00"/>
    <d v="2011-12-09T00:00:00"/>
    <d v="2012-01-18T00:00:00"/>
    <x v="0"/>
    <n v="2"/>
    <n v="2"/>
    <s v="-"/>
    <n v="2"/>
    <s v="ITS316672"/>
    <d v="2007-10-05T00:00:00"/>
    <n v="3"/>
    <n v="3"/>
    <n v="3"/>
    <s v="-"/>
    <n v="3"/>
    <s v="Improved"/>
  </r>
  <r>
    <s v="Ofsted Webpage"/>
    <n v="130597"/>
    <n v="10000610"/>
    <s v="Bedford College"/>
    <x v="8"/>
    <s v="Colleges"/>
    <s v="Bedford"/>
    <s v="East of England"/>
    <s v="East of England"/>
    <s v="NULL"/>
    <s v="NULL"/>
    <s v="ITS429153"/>
    <s v="FE College - Full"/>
    <d v="2014-03-17T00:00:00"/>
    <d v="2014-03-21T00:00:00"/>
    <d v="2014-04-29T00:00:00"/>
    <x v="0"/>
    <n v="2"/>
    <n v="2"/>
    <s v="-"/>
    <n v="2"/>
    <s v="ITS329377"/>
    <d v="2008-11-28T00:00:00"/>
    <n v="1"/>
    <n v="2"/>
    <n v="2"/>
    <s v="-"/>
    <n v="1"/>
    <s v="Declined"/>
  </r>
  <r>
    <s v="Ofsted Webpage"/>
    <n v="130598"/>
    <n v="10002061"/>
    <s v="Central Bedfordshire College"/>
    <x v="8"/>
    <s v="Colleges"/>
    <s v="Central Bedfordshire"/>
    <s v="East of England"/>
    <s v="East of England"/>
    <s v="NULL"/>
    <s v="NULL"/>
    <n v="10004711"/>
    <s v="FE College - Full"/>
    <d v="2016-03-01T00:00:00"/>
    <d v="2016-03-04T00:00:00"/>
    <d v="2016-03-24T00:00:00"/>
    <x v="0"/>
    <n v="2"/>
    <n v="2"/>
    <n v="2"/>
    <n v="2"/>
    <s v="ITS423354"/>
    <d v="2013-10-18T00:00:00"/>
    <n v="2"/>
    <n v="3"/>
    <n v="2"/>
    <s v="-"/>
    <n v="2"/>
    <s v="Stayed the Same"/>
  </r>
  <r>
    <s v="Ofsted Webpage"/>
    <n v="130599"/>
    <n v="10000534"/>
    <s v="Barnfield College"/>
    <x v="8"/>
    <s v="Colleges"/>
    <s v="Luton"/>
    <s v="East of England"/>
    <s v="East of England"/>
    <s v="NULL"/>
    <s v="NULL"/>
    <n v="10004712"/>
    <s v="FE College - Reinspection"/>
    <d v="2016-03-15T00:00:00"/>
    <d v="2016-03-18T00:00:00"/>
    <d v="2016-04-15T00:00:00"/>
    <x v="2"/>
    <n v="3"/>
    <n v="3"/>
    <n v="3"/>
    <n v="3"/>
    <s v="ITS447145"/>
    <d v="2014-11-21T00:00:00"/>
    <n v="4"/>
    <n v="4"/>
    <n v="4"/>
    <s v="-"/>
    <n v="4"/>
    <s v="Improved"/>
  </r>
  <r>
    <s v="Ofsted Webpage"/>
    <n v="130600"/>
    <n v="10004125"/>
    <s v="Luton Sixth Form College"/>
    <x v="9"/>
    <s v="Colleges"/>
    <s v="Luton"/>
    <s v="East of England"/>
    <s v="East of England"/>
    <s v="NULL"/>
    <s v="NULL"/>
    <s v="ITS329375"/>
    <s v="College category 1 visit Historic"/>
    <d v="2008-10-21T00:00:00"/>
    <d v="2008-10-22T00:00:00"/>
    <d v="2008-12-12T00:00:00"/>
    <x v="1"/>
    <n v="2"/>
    <n v="1"/>
    <s v="-"/>
    <n v="1"/>
    <s v="NULL"/>
    <s v="NULL"/>
    <s v="NULL"/>
    <s v="NULL"/>
    <s v="NULL"/>
    <s v="NULL"/>
    <s v="NULL"/>
    <s v="Not Applicable"/>
  </r>
  <r>
    <s v="Ofsted Webpage"/>
    <n v="130602"/>
    <n v="10004596"/>
    <s v="Newbury College"/>
    <x v="8"/>
    <s v="Colleges"/>
    <s v="West Berkshire"/>
    <s v="South East"/>
    <s v="South East"/>
    <d v="2017-05-24T00:00:00"/>
    <n v="1"/>
    <s v="ITS452486"/>
    <s v="FE College - Full"/>
    <d v="2015-01-27T00:00:00"/>
    <d v="2015-01-30T00:00:00"/>
    <d v="2015-03-10T00:00:00"/>
    <x v="0"/>
    <n v="2"/>
    <n v="2"/>
    <s v="-"/>
    <n v="2"/>
    <s v="ITS342293"/>
    <d v="2009-11-13T00:00:00"/>
    <n v="2"/>
    <n v="3"/>
    <n v="3"/>
    <s v="-"/>
    <n v="2"/>
    <s v="Stayed the Same"/>
  </r>
  <r>
    <s v="Ofsted Webpage"/>
    <n v="130603"/>
    <n v="10000833"/>
    <s v="Bracknell and Wokingham College"/>
    <x v="8"/>
    <s v="Colleges"/>
    <s v="Bracknell Forest"/>
    <s v="South East"/>
    <s v="South East"/>
    <s v="NULL"/>
    <s v="NULL"/>
    <s v="ITS423355"/>
    <s v="FE College - Full"/>
    <d v="2013-11-26T00:00:00"/>
    <d v="2013-11-29T00:00:00"/>
    <d v="2014-01-08T00:00:00"/>
    <x v="0"/>
    <n v="3"/>
    <n v="2"/>
    <s v="-"/>
    <n v="2"/>
    <s v="ITS398994"/>
    <d v="2012-06-15T00:00:00"/>
    <n v="3"/>
    <n v="3"/>
    <n v="3"/>
    <s v="-"/>
    <n v="3"/>
    <s v="Improved"/>
  </r>
  <r>
    <s v="Ofsted Webpage"/>
    <n v="130604"/>
    <n v="10002107"/>
    <s v="Windsor Forest Colleges Group"/>
    <x v="8"/>
    <s v="Colleges"/>
    <s v="Slough"/>
    <s v="South East"/>
    <s v="South East"/>
    <s v="NULL"/>
    <s v="NULL"/>
    <n v="10004714"/>
    <s v="FE College - Full"/>
    <d v="2016-11-22T00:00:00"/>
    <d v="2016-11-25T00:00:00"/>
    <d v="2017-01-13T00:00:00"/>
    <x v="2"/>
    <n v="3"/>
    <n v="3"/>
    <n v="3"/>
    <n v="3"/>
    <s v="ITS409315"/>
    <d v="2013-03-01T00:00:00"/>
    <n v="2"/>
    <n v="2"/>
    <n v="2"/>
    <s v="-"/>
    <n v="2"/>
    <s v="Declined"/>
  </r>
  <r>
    <s v="Ofsted Webpage"/>
    <n v="130606"/>
    <n v="10000654"/>
    <s v="Berkshire College of Agriculture"/>
    <x v="10"/>
    <s v="Colleges"/>
    <s v="Windsor and Maidenhead"/>
    <s v="South East"/>
    <s v="South East"/>
    <s v="NULL"/>
    <s v="NULL"/>
    <n v="10022515"/>
    <s v="FE College - Full"/>
    <d v="2017-03-07T00:00:00"/>
    <d v="2017-03-10T00:00:00"/>
    <d v="2017-04-20T00:00:00"/>
    <x v="0"/>
    <n v="2"/>
    <n v="2"/>
    <n v="2"/>
    <n v="2"/>
    <s v="ITS447345"/>
    <d v="2015-06-12T00:00:00"/>
    <n v="2"/>
    <n v="2"/>
    <n v="2"/>
    <s v="-"/>
    <n v="2"/>
    <s v="Stayed the Same"/>
  </r>
  <r>
    <s v="Ofsted Webpage"/>
    <n v="130607"/>
    <n v="10000473"/>
    <s v="Buckinghamshire College Group"/>
    <x v="8"/>
    <s v="Colleges"/>
    <s v="Buckinghamshire"/>
    <s v="South East"/>
    <s v="South East"/>
    <s v="NULL"/>
    <s v="NULL"/>
    <s v="ITS410606"/>
    <s v="FE College - Full"/>
    <d v="2013-05-13T00:00:00"/>
    <d v="2013-05-17T00:00:00"/>
    <d v="2013-06-24T00:00:00"/>
    <x v="0"/>
    <n v="3"/>
    <n v="2"/>
    <s v="-"/>
    <n v="2"/>
    <s v="ITS343637"/>
    <d v="2010-03-05T00:00:00"/>
    <n v="3"/>
    <n v="3"/>
    <n v="3"/>
    <s v="-"/>
    <n v="2"/>
    <s v="Improved"/>
  </r>
  <r>
    <s v="Ofsted Webpage"/>
    <n v="130609"/>
    <n v="10004375"/>
    <s v="Milton Keynes College"/>
    <x v="8"/>
    <s v="Colleges"/>
    <s v="Milton Keynes"/>
    <s v="South East"/>
    <s v="South East"/>
    <s v="NULL"/>
    <s v="NULL"/>
    <n v="10030686"/>
    <s v="FE College - Requires improvement - second inspection"/>
    <d v="2017-05-23T00:00:00"/>
    <d v="2017-05-26T00:00:00"/>
    <d v="2017-06-22T00:00:00"/>
    <x v="0"/>
    <n v="2"/>
    <n v="2"/>
    <n v="2"/>
    <n v="2"/>
    <s v="ITS447346"/>
    <d v="2015-06-12T00:00:00"/>
    <n v="3"/>
    <n v="3"/>
    <n v="3"/>
    <s v="-"/>
    <n v="3"/>
    <s v="Improved"/>
  </r>
  <r>
    <s v="Ofsted Webpage"/>
    <n v="130610"/>
    <n v="10001116"/>
    <s v="Cambridge Regional College"/>
    <x v="8"/>
    <s v="Colleges"/>
    <s v="Cambridgeshire"/>
    <s v="East of England"/>
    <s v="East of England"/>
    <d v="2016-10-14T00:00:00"/>
    <n v="1"/>
    <s v="ITS398995"/>
    <s v="FE College - Full"/>
    <d v="2012-10-22T00:00:00"/>
    <d v="2012-10-26T00:00:00"/>
    <d v="2012-11-30T00:00:00"/>
    <x v="0"/>
    <n v="2"/>
    <n v="2"/>
    <s v="-"/>
    <n v="2"/>
    <s v="ITS318896"/>
    <d v="2008-03-14T00:00:00"/>
    <n v="2"/>
    <n v="2"/>
    <n v="2"/>
    <s v="-"/>
    <n v="2"/>
    <s v="Stayed the Same"/>
  </r>
  <r>
    <s v="Ofsted Webpage"/>
    <n v="130613"/>
    <n v="10005077"/>
    <s v="Peterborough Regional College"/>
    <x v="8"/>
    <s v="Colleges"/>
    <s v="Peterborough"/>
    <s v="East of England"/>
    <s v="East of England"/>
    <s v="NULL"/>
    <s v="NULL"/>
    <n v="10030720"/>
    <s v="FE College - Full"/>
    <d v="2017-05-23T00:00:00"/>
    <d v="2017-05-26T00:00:00"/>
    <d v="2017-07-04T00:00:00"/>
    <x v="2"/>
    <n v="3"/>
    <n v="3"/>
    <n v="3"/>
    <n v="3"/>
    <s v="ITS376139"/>
    <d v="2011-12-16T00:00:00"/>
    <n v="2"/>
    <n v="2"/>
    <n v="2"/>
    <s v="-"/>
    <n v="2"/>
    <s v="Declined"/>
  </r>
  <r>
    <s v="Ofsted Webpage"/>
    <n v="130615"/>
    <n v="10003094"/>
    <s v="Hills Road Sixth Form College"/>
    <x v="9"/>
    <s v="Colleges"/>
    <s v="Cambridgeshire"/>
    <s v="East of England"/>
    <s v="East of England"/>
    <s v="NULL"/>
    <s v="NULL"/>
    <s v="ITS295010"/>
    <s v="College category 1 visit Historic"/>
    <d v="2006-11-03T00:00:00"/>
    <d v="2006-11-03T00:00:00"/>
    <d v="2007-01-12T00:00:00"/>
    <x v="1"/>
    <n v="1"/>
    <n v="1"/>
    <s v="-"/>
    <n v="1"/>
    <s v="NULL"/>
    <s v="NULL"/>
    <s v="NULL"/>
    <s v="NULL"/>
    <s v="NULL"/>
    <s v="NULL"/>
    <s v="NULL"/>
    <s v="Not Applicable"/>
  </r>
  <r>
    <s v="Ofsted Webpage"/>
    <n v="130616"/>
    <n v="10004088"/>
    <s v="Long Road Sixth Form College"/>
    <x v="9"/>
    <s v="Colleges"/>
    <s v="Cambridgeshire"/>
    <s v="East of England"/>
    <s v="East of England"/>
    <s v="NULL"/>
    <s v="NULL"/>
    <n v="10022599"/>
    <s v="SFC - Full"/>
    <d v="2017-01-24T00:00:00"/>
    <d v="2017-01-27T00:00:00"/>
    <d v="2017-03-31T00:00:00"/>
    <x v="0"/>
    <n v="2"/>
    <n v="2"/>
    <n v="2"/>
    <n v="2"/>
    <s v="ITS429175"/>
    <d v="2014-02-07T00:00:00"/>
    <n v="2"/>
    <n v="2"/>
    <n v="2"/>
    <s v="-"/>
    <n v="2"/>
    <s v="Stayed the Same"/>
  </r>
  <r>
    <s v="Ofsted Webpage"/>
    <n v="130617"/>
    <n v="10007339"/>
    <s v="Warrington and Vale Royal College"/>
    <x v="8"/>
    <s v="Colleges"/>
    <s v="Warrington"/>
    <s v="North West"/>
    <s v="North West"/>
    <s v="NULL"/>
    <s v="NULL"/>
    <n v="10004717"/>
    <s v="FE College - Requires improvement"/>
    <d v="2016-01-19T00:00:00"/>
    <d v="2016-01-22T00:00:00"/>
    <d v="2016-02-22T00:00:00"/>
    <x v="2"/>
    <n v="3"/>
    <n v="3"/>
    <n v="3"/>
    <n v="3"/>
    <s v="ITS447146"/>
    <d v="2014-10-24T00:00:00"/>
    <n v="3"/>
    <n v="3"/>
    <n v="3"/>
    <s v="-"/>
    <n v="3"/>
    <s v="Stayed the Same"/>
  </r>
  <r>
    <s v="Ofsted Webpage"/>
    <n v="130619"/>
    <n v="10005972"/>
    <s v="South Cheshire College"/>
    <x v="8"/>
    <s v="Colleges"/>
    <s v="Cheshire East"/>
    <s v="North West"/>
    <s v="North West"/>
    <d v="2016-02-11T00:00:00"/>
    <n v="1"/>
    <s v="ITS388025"/>
    <s v="College Inspection FE - Good Historic"/>
    <d v="2012-04-30T00:00:00"/>
    <d v="2012-05-04T00:00:00"/>
    <d v="2012-06-08T00:00:00"/>
    <x v="0"/>
    <n v="2"/>
    <n v="2"/>
    <s v="-"/>
    <n v="2"/>
    <s v="ITS318909"/>
    <d v="2008-03-04T00:00:00"/>
    <n v="1"/>
    <n v="1"/>
    <n v="1"/>
    <s v="-"/>
    <n v="1"/>
    <s v="Declined"/>
  </r>
  <r>
    <s v="Ofsted Webpage"/>
    <n v="130621"/>
    <n v="10004144"/>
    <s v="Macclesfield College"/>
    <x v="8"/>
    <s v="Colleges"/>
    <s v="Cheshire East"/>
    <s v="North West"/>
    <s v="North West"/>
    <s v="NULL"/>
    <s v="NULL"/>
    <n v="10039831"/>
    <s v="FE College - Requires improvement"/>
    <d v="2017-11-20T00:00:00"/>
    <d v="2017-11-23T00:00:00"/>
    <d v="2017-12-21T00:00:00"/>
    <x v="0"/>
    <n v="2"/>
    <n v="2"/>
    <n v="2"/>
    <n v="2"/>
    <n v="10011427"/>
    <d v="2016-05-27T00:00:00"/>
    <n v="3"/>
    <n v="3"/>
    <n v="3"/>
    <n v="3"/>
    <n v="3"/>
    <s v="Improved"/>
  </r>
  <r>
    <s v="Ofsted Webpage"/>
    <n v="130622"/>
    <n v="10002863"/>
    <s v="Riverside College Halton "/>
    <x v="8"/>
    <s v="Colleges"/>
    <s v="Halton"/>
    <s v="North West"/>
    <s v="North West"/>
    <d v="2015-09-24T00:00:00"/>
    <n v="1"/>
    <s v="ITS343721"/>
    <s v="College Inspection FE - Inadequate Historic"/>
    <d v="2010-02-01T00:00:00"/>
    <d v="2010-02-05T00:00:00"/>
    <d v="2010-03-12T00:00:00"/>
    <x v="0"/>
    <n v="2"/>
    <n v="2"/>
    <s v="-"/>
    <n v="2"/>
    <s v="ITS329308"/>
    <d v="2008-11-28T00:00:00"/>
    <n v="4"/>
    <n v="4"/>
    <n v="3"/>
    <s v="-"/>
    <n v="4"/>
    <s v="Improved"/>
  </r>
  <r>
    <s v="Ofsted Webpage"/>
    <n v="130623"/>
    <n v="10005404"/>
    <s v="Reaseheath College"/>
    <x v="10"/>
    <s v="Colleges"/>
    <s v="Cheshire East"/>
    <s v="North West"/>
    <s v="North West"/>
    <d v="2015-11-05T00:00:00"/>
    <n v="1"/>
    <s v="ITS343830"/>
    <s v="College Inspection FE - Good Historic"/>
    <d v="2010-02-08T00:00:00"/>
    <d v="2010-02-12T00:00:00"/>
    <d v="2010-03-20T00:00:00"/>
    <x v="0"/>
    <n v="2"/>
    <n v="2"/>
    <s v="-"/>
    <n v="2"/>
    <s v="ITS295740"/>
    <d v="2006-09-29T00:00:00"/>
    <n v="1"/>
    <n v="1"/>
    <n v="2"/>
    <s v="-"/>
    <n v="1"/>
    <s v="Declined"/>
  </r>
  <r>
    <s v="Ofsted Webpage"/>
    <n v="130626"/>
    <n v="10005864"/>
    <s v="Sir John Deane's College"/>
    <x v="9"/>
    <s v="Colleges"/>
    <s v="Cheshire West and Chester"/>
    <s v="North West"/>
    <s v="North West"/>
    <s v="NULL"/>
    <s v="NULL"/>
    <s v="ITS318908"/>
    <s v="College Inspection SFC - Good Historic"/>
    <d v="2008-02-27T00:00:00"/>
    <d v="2008-02-28T00:00:00"/>
    <d v="2008-04-25T00:00:00"/>
    <x v="1"/>
    <n v="1"/>
    <n v="1"/>
    <s v="-"/>
    <n v="1"/>
    <s v="NULL"/>
    <s v="NULL"/>
    <s v="NULL"/>
    <s v="NULL"/>
    <s v="NULL"/>
    <s v="NULL"/>
    <s v="NULL"/>
    <s v="Not Applicable"/>
  </r>
  <r>
    <s v="Ofsted Webpage"/>
    <n v="130627"/>
    <n v="10001696"/>
    <s v="Cornwall College"/>
    <x v="8"/>
    <s v="Colleges"/>
    <s v="Cornwall"/>
    <s v="South West"/>
    <s v="South West"/>
    <s v="NULL"/>
    <s v="NULL"/>
    <n v="10004723"/>
    <s v="FE College - Full"/>
    <d v="2015-12-01T00:00:00"/>
    <d v="2015-12-04T00:00:00"/>
    <d v="2016-01-14T00:00:00"/>
    <x v="0"/>
    <n v="2"/>
    <n v="2"/>
    <n v="2"/>
    <n v="2"/>
    <s v="ITS345757"/>
    <d v="2010-05-14T00:00:00"/>
    <n v="2"/>
    <n v="2"/>
    <n v="2"/>
    <s v="-"/>
    <n v="2"/>
    <s v="Stayed the Same"/>
  </r>
  <r>
    <s v="Ofsted Webpage"/>
    <n v="130629"/>
    <n v="10007063"/>
    <s v="Truro and Penwith College"/>
    <x v="8"/>
    <s v="Colleges"/>
    <s v="Cornwall"/>
    <s v="South West"/>
    <s v="South West"/>
    <s v="NULL"/>
    <s v="NULL"/>
    <n v="10004724"/>
    <s v="FE College - Full"/>
    <d v="2016-02-23T00:00:00"/>
    <d v="2016-02-26T00:00:00"/>
    <d v="2016-04-13T00:00:00"/>
    <x v="1"/>
    <n v="1"/>
    <n v="1"/>
    <n v="1"/>
    <n v="1"/>
    <s v="ITS295065"/>
    <d v="2006-11-07T00:00:00"/>
    <n v="1"/>
    <n v="1"/>
    <n v="1"/>
    <s v="-"/>
    <n v="1"/>
    <s v="Stayed the Same"/>
  </r>
  <r>
    <s v="Ofsted Webpage"/>
    <n v="130631"/>
    <n v="10003558"/>
    <s v="Kendal College"/>
    <x v="8"/>
    <s v="Colleges"/>
    <s v="Cumbria"/>
    <s v="North West"/>
    <s v="North West"/>
    <s v="NULL"/>
    <s v="NULL"/>
    <n v="10030788"/>
    <s v="FE College - Full"/>
    <d v="2017-06-06T00:00:00"/>
    <d v="2017-06-09T00:00:00"/>
    <d v="2017-07-11T00:00:00"/>
    <x v="0"/>
    <n v="2"/>
    <n v="2"/>
    <n v="1"/>
    <n v="2"/>
    <s v="ITS354447"/>
    <d v="2010-12-03T00:00:00"/>
    <n v="1"/>
    <n v="1"/>
    <n v="2"/>
    <s v="-"/>
    <n v="1"/>
    <s v="Declined"/>
  </r>
  <r>
    <s v="Ofsted Webpage"/>
    <n v="130632"/>
    <n v="10003753"/>
    <s v="Lakes College - West Cumbria"/>
    <x v="8"/>
    <s v="Colleges"/>
    <s v="Cumbria"/>
    <s v="North West"/>
    <s v="North West"/>
    <s v="NULL"/>
    <s v="NULL"/>
    <n v="10005438"/>
    <s v="FE College - Full"/>
    <d v="2015-10-06T00:00:00"/>
    <d v="2015-10-09T00:00:00"/>
    <d v="2015-11-03T00:00:00"/>
    <x v="2"/>
    <n v="3"/>
    <n v="3"/>
    <n v="3"/>
    <n v="3"/>
    <s v="ITS362660"/>
    <d v="2010-12-10T00:00:00"/>
    <n v="2"/>
    <n v="2"/>
    <n v="2"/>
    <s v="-"/>
    <n v="1"/>
    <s v="Declined"/>
  </r>
  <r>
    <s v="Ofsted Webpage"/>
    <n v="130633"/>
    <n v="10002599"/>
    <s v="Furness College"/>
    <x v="8"/>
    <s v="Colleges"/>
    <s v="Cumbria"/>
    <s v="North West"/>
    <s v="North West"/>
    <s v="NULL"/>
    <s v="NULL"/>
    <s v="ITS452487"/>
    <s v="FE College - Full"/>
    <d v="2015-03-24T00:00:00"/>
    <d v="2015-03-27T00:00:00"/>
    <d v="2015-05-01T00:00:00"/>
    <x v="0"/>
    <n v="2"/>
    <n v="2"/>
    <s v="-"/>
    <n v="2"/>
    <s v="ITS362659"/>
    <d v="2010-12-10T00:00:00"/>
    <n v="2"/>
    <n v="2"/>
    <n v="3"/>
    <s v="-"/>
    <n v="2"/>
    <s v="Stayed the Same"/>
  </r>
  <r>
    <s v="Ofsted Webpage"/>
    <n v="130634"/>
    <n v="10001196"/>
    <s v="Carlisle College"/>
    <x v="8"/>
    <s v="Colleges"/>
    <s v="Cumbria"/>
    <s v="North West"/>
    <s v="North West"/>
    <d v="2016-11-03T00:00:00"/>
    <n v="1"/>
    <s v="ITS342297"/>
    <s v="College Inspection FE - Satisfactory Historic"/>
    <d v="2009-12-07T00:00:00"/>
    <d v="2009-12-11T00:00:00"/>
    <d v="2010-01-16T00:00:00"/>
    <x v="0"/>
    <n v="2"/>
    <n v="2"/>
    <s v="-"/>
    <n v="2"/>
    <s v="ITS283382"/>
    <d v="2006-03-31T00:00:00"/>
    <n v="3"/>
    <n v="3"/>
    <n v="3"/>
    <s v="-"/>
    <n v="3"/>
    <s v="Improved"/>
  </r>
  <r>
    <s v="Ofsted Webpage"/>
    <n v="130638"/>
    <n v="10001378"/>
    <s v="Chesterfield College"/>
    <x v="8"/>
    <s v="Colleges"/>
    <s v="Derbyshire"/>
    <s v="East Midlands"/>
    <s v="East Midlands"/>
    <s v="NULL"/>
    <s v="NULL"/>
    <s v="ITS423356"/>
    <s v="FE College - Full"/>
    <d v="2013-10-07T00:00:00"/>
    <d v="2013-10-11T00:00:00"/>
    <d v="2013-11-11T00:00:00"/>
    <x v="0"/>
    <n v="2"/>
    <n v="2"/>
    <s v="-"/>
    <n v="2"/>
    <s v="ITS320852"/>
    <d v="2008-05-02T00:00:00"/>
    <n v="2"/>
    <n v="2"/>
    <n v="2"/>
    <s v="-"/>
    <n v="2"/>
    <s v="Stayed the Same"/>
  </r>
  <r>
    <s v="Ofsted Webpage"/>
    <n v="130645"/>
    <n v="10002370"/>
    <s v="Exeter College"/>
    <x v="8"/>
    <s v="Colleges"/>
    <s v="Devon"/>
    <s v="South West"/>
    <s v="South West"/>
    <s v="NULL"/>
    <s v="NULL"/>
    <s v="ITS429162"/>
    <s v="FE College - Full"/>
    <d v="2014-01-20T00:00:00"/>
    <d v="2014-01-24T00:00:00"/>
    <d v="2014-02-28T00:00:00"/>
    <x v="1"/>
    <n v="1"/>
    <n v="1"/>
    <s v="-"/>
    <n v="1"/>
    <s v="ITS318871"/>
    <d v="2008-03-14T00:00:00"/>
    <n v="2"/>
    <n v="2"/>
    <n v="2"/>
    <s v="-"/>
    <n v="2"/>
    <s v="Improved"/>
  </r>
  <r>
    <s v="Ofsted Webpage"/>
    <n v="130646"/>
    <n v="10004676"/>
    <s v="Petroc"/>
    <x v="8"/>
    <s v="Colleges"/>
    <s v="Devon"/>
    <s v="South West"/>
    <s v="South West"/>
    <d v="2015-11-05T00:00:00"/>
    <n v="1"/>
    <s v="ITS385350"/>
    <s v="College Inspection FE - Good Historic"/>
    <d v="2012-03-19T00:00:00"/>
    <d v="2012-03-23T00:00:00"/>
    <d v="2012-05-01T00:00:00"/>
    <x v="0"/>
    <n v="2"/>
    <n v="2"/>
    <s v="-"/>
    <n v="2"/>
    <s v="ITS295858"/>
    <d v="2006-10-13T00:00:00"/>
    <n v="1"/>
    <n v="1"/>
    <n v="2"/>
    <s v="-"/>
    <n v="1"/>
    <s v="Declined"/>
  </r>
  <r>
    <s v="Ofsted Webpage"/>
    <n v="130648"/>
    <n v="10005977"/>
    <s v="South Devon College"/>
    <x v="8"/>
    <s v="Colleges"/>
    <s v="Torbay"/>
    <s v="South West"/>
    <s v="South West"/>
    <s v="NULL"/>
    <s v="NULL"/>
    <n v="10037375"/>
    <s v="FE College - Full"/>
    <d v="2017-10-31T00:00:00"/>
    <d v="2017-11-03T00:00:00"/>
    <d v="2017-12-07T00:00:00"/>
    <x v="0"/>
    <n v="2"/>
    <n v="2"/>
    <n v="2"/>
    <n v="2"/>
    <s v="ITS329155"/>
    <d v="2008-11-07T00:00:00"/>
    <n v="1"/>
    <n v="1"/>
    <n v="2"/>
    <s v="-"/>
    <n v="1"/>
    <s v="Declined"/>
  </r>
  <r>
    <s v="Ofsted Webpage"/>
    <n v="130649"/>
    <n v="10005128"/>
    <s v="City College Plymouth"/>
    <x v="8"/>
    <s v="Colleges"/>
    <s v="Plymouth"/>
    <s v="South West"/>
    <s v="South West"/>
    <d v="2016-03-09T00:00:00"/>
    <n v="1"/>
    <s v="ITS398997"/>
    <s v="FE College - Full"/>
    <d v="2012-10-01T00:00:00"/>
    <d v="2012-10-05T00:00:00"/>
    <d v="2012-11-09T00:00:00"/>
    <x v="0"/>
    <n v="2"/>
    <n v="2"/>
    <s v="-"/>
    <n v="2"/>
    <s v="ITS329201"/>
    <d v="2008-10-03T00:00:00"/>
    <n v="3"/>
    <n v="3"/>
    <n v="3"/>
    <s v="-"/>
    <n v="3"/>
    <s v="Improved"/>
  </r>
  <r>
    <s v="Ofsted Webpage"/>
    <n v="130650"/>
    <n v="10005127"/>
    <s v="Plymouth College of Art"/>
    <x v="11"/>
    <s v="Higher education institutions"/>
    <s v="Plymouth"/>
    <s v="South West"/>
    <s v="South West"/>
    <d v="2017-05-24T00:00:00"/>
    <n v="1"/>
    <s v="ITS410605"/>
    <s v="FE College - Full"/>
    <d v="2013-04-30T00:00:00"/>
    <d v="2013-05-03T00:00:00"/>
    <d v="2013-06-11T00:00:00"/>
    <x v="0"/>
    <n v="2"/>
    <n v="2"/>
    <s v="-"/>
    <n v="2"/>
    <s v="ITS316628"/>
    <d v="2007-11-09T00:00:00"/>
    <n v="2"/>
    <n v="2"/>
    <n v="2"/>
    <s v="-"/>
    <n v="2"/>
    <s v="Stayed the Same"/>
  </r>
  <r>
    <s v="Ofsted Webpage"/>
    <n v="130652"/>
    <n v="10000820"/>
    <s v="The Bournemouth and Poole College"/>
    <x v="8"/>
    <s v="Colleges"/>
    <s v="Poole"/>
    <s v="South West"/>
    <s v="South West"/>
    <d v="2016-02-11T00:00:00"/>
    <n v="1"/>
    <s v="ITS363302"/>
    <s v="College Inspection FE - Good Historic"/>
    <d v="2011-02-28T00:00:00"/>
    <d v="2011-03-04T00:00:00"/>
    <d v="2011-04-08T00:00:00"/>
    <x v="0"/>
    <n v="3"/>
    <n v="2"/>
    <s v="-"/>
    <n v="2"/>
    <s v="ITS298650"/>
    <d v="2007-01-19T00:00:00"/>
    <n v="2"/>
    <n v="3"/>
    <n v="3"/>
    <s v="-"/>
    <n v="2"/>
    <s v="Stayed the Same"/>
  </r>
  <r>
    <s v="Ofsted Webpage"/>
    <n v="130653"/>
    <n v="10007469"/>
    <s v="Weymouth College"/>
    <x v="8"/>
    <s v="Colleges"/>
    <s v="Dorset"/>
    <s v="South West"/>
    <s v="South West"/>
    <s v="NULL"/>
    <s v="NULL"/>
    <n v="10004729"/>
    <s v="FE College - Reinspection"/>
    <d v="2015-11-10T00:00:00"/>
    <d v="2015-11-13T00:00:00"/>
    <d v="2015-12-15T00:00:00"/>
    <x v="0"/>
    <n v="2"/>
    <n v="2"/>
    <n v="2"/>
    <n v="2"/>
    <s v="ITS430282"/>
    <d v="2015-01-16T00:00:00"/>
    <n v="4"/>
    <n v="2"/>
    <n v="2"/>
    <s v="-"/>
    <n v="4"/>
    <s v="Improved"/>
  </r>
  <r>
    <s v="Ofsted Webpage"/>
    <n v="130655"/>
    <n v="10003676"/>
    <s v="Kingston Maurward College"/>
    <x v="10"/>
    <s v="Colleges"/>
    <s v="Dorset"/>
    <s v="South West"/>
    <s v="South West"/>
    <d v="2017-10-11T00:00:00"/>
    <n v="1"/>
    <s v="ITS430267"/>
    <s v="FE College - Requires improvement"/>
    <d v="2014-09-30T00:00:00"/>
    <d v="2014-10-03T00:00:00"/>
    <d v="2014-11-07T00:00:00"/>
    <x v="0"/>
    <n v="2"/>
    <n v="2"/>
    <s v="-"/>
    <n v="3"/>
    <s v="ITS410603"/>
    <d v="2013-05-03T00:00:00"/>
    <n v="3"/>
    <n v="3"/>
    <n v="3"/>
    <s v="-"/>
    <n v="3"/>
    <s v="Improved"/>
  </r>
  <r>
    <s v="Ofsted Webpage"/>
    <n v="130656"/>
    <n v="10001850"/>
    <s v="Darlington College"/>
    <x v="8"/>
    <s v="Colleges"/>
    <s v="Darlington"/>
    <s v="North East"/>
    <s v="North East, Yorkshire and the Humber"/>
    <s v="NULL"/>
    <s v="NULL"/>
    <n v="10011428"/>
    <s v="FE College - Reinspection"/>
    <d v="2016-05-17T00:00:00"/>
    <d v="2016-05-20T00:00:00"/>
    <d v="2016-06-23T00:00:00"/>
    <x v="0"/>
    <n v="2"/>
    <n v="2"/>
    <n v="2"/>
    <n v="2"/>
    <s v="ITS452549"/>
    <d v="2015-02-13T00:00:00"/>
    <n v="4"/>
    <n v="4"/>
    <n v="4"/>
    <s v="-"/>
    <n v="4"/>
    <s v="Improved"/>
  </r>
  <r>
    <s v="Ofsted Webpage"/>
    <n v="130657"/>
    <n v="10000720"/>
    <s v="Bishop Auckland College"/>
    <x v="8"/>
    <s v="Colleges"/>
    <s v="Durham"/>
    <s v="North East"/>
    <s v="North East, Yorkshire and the Humber"/>
    <d v="2016-04-20T00:00:00"/>
    <n v="1"/>
    <s v="ITS376145"/>
    <s v="College Inspection FE - Good Historic"/>
    <d v="2011-11-21T00:00:00"/>
    <d v="2011-11-25T00:00:00"/>
    <d v="2012-01-06T00:00:00"/>
    <x v="0"/>
    <n v="2"/>
    <n v="2"/>
    <s v="-"/>
    <n v="2"/>
    <s v="ITS316661"/>
    <d v="2007-11-30T00:00:00"/>
    <n v="2"/>
    <n v="3"/>
    <n v="2"/>
    <s v="-"/>
    <n v="2"/>
    <s v="Stayed the Same"/>
  </r>
  <r>
    <s v="Ofsted Webpage"/>
    <n v="130658"/>
    <n v="10001934"/>
    <s v="Derwentside College"/>
    <x v="8"/>
    <s v="Colleges"/>
    <s v="Durham"/>
    <s v="North East"/>
    <s v="North East, Yorkshire and the Humber"/>
    <s v="NULL"/>
    <s v="NULL"/>
    <n v="10011431"/>
    <s v="FE College - Full"/>
    <d v="2016-04-26T00:00:00"/>
    <d v="2016-04-29T00:00:00"/>
    <d v="2016-06-07T00:00:00"/>
    <x v="0"/>
    <n v="2"/>
    <n v="2"/>
    <n v="2"/>
    <n v="2"/>
    <s v="ITS385338"/>
    <d v="2012-03-23T00:00:00"/>
    <n v="2"/>
    <n v="2"/>
    <n v="2"/>
    <s v="-"/>
    <n v="2"/>
    <s v="Stayed the Same"/>
  </r>
  <r>
    <s v="Ofsted Webpage"/>
    <n v="130659"/>
    <n v="10004576"/>
    <s v="New College Durham"/>
    <x v="8"/>
    <s v="Colleges"/>
    <s v="Durham"/>
    <s v="North East"/>
    <s v="North East, Yorkshire and the Humber"/>
    <s v="NULL"/>
    <s v="NULL"/>
    <s v="ITS332999"/>
    <s v="College Inspection FE - Good Historic"/>
    <d v="2009-06-08T00:00:00"/>
    <d v="2009-06-12T00:00:00"/>
    <d v="2009-07-24T00:00:00"/>
    <x v="1"/>
    <n v="1"/>
    <n v="2"/>
    <s v="-"/>
    <n v="1"/>
    <s v="NULL"/>
    <s v="NULL"/>
    <s v="NULL"/>
    <s v="NULL"/>
    <s v="NULL"/>
    <s v="NULL"/>
    <s v="NULL"/>
    <s v="Not Applicable"/>
  </r>
  <r>
    <s v="Ofsted Webpage"/>
    <n v="130662"/>
    <n v="10005325"/>
    <s v="Queen Elizabeth Sixth Form College"/>
    <x v="9"/>
    <s v="Colleges"/>
    <s v="Darlington"/>
    <s v="North East"/>
    <s v="North East, Yorkshire and the Humber"/>
    <d v="2016-03-04T00:00:00"/>
    <n v="1"/>
    <s v="ITS385367"/>
    <s v="College Inspection SFC - Good Historic"/>
    <d v="2012-01-31T00:00:00"/>
    <d v="2012-02-03T00:00:00"/>
    <d v="2012-03-09T00:00:00"/>
    <x v="0"/>
    <n v="2"/>
    <n v="2"/>
    <s v="-"/>
    <n v="2"/>
    <s v="ITS317044"/>
    <d v="2007-10-04T00:00:00"/>
    <n v="1"/>
    <n v="1"/>
    <n v="1"/>
    <s v="-"/>
    <n v="1"/>
    <s v="Declined"/>
  </r>
  <r>
    <s v="Ofsted Webpage"/>
    <n v="130665"/>
    <n v="10002923"/>
    <s v="Sussex Coast College Hastings"/>
    <x v="8"/>
    <s v="Colleges"/>
    <s v="East Sussex"/>
    <s v="South East"/>
    <s v="South East"/>
    <s v="NULL"/>
    <s v="NULL"/>
    <s v="ITS429284"/>
    <s v="FE College - Requires improvement"/>
    <d v="2014-01-27T00:00:00"/>
    <d v="2014-01-31T00:00:00"/>
    <d v="2014-03-07T00:00:00"/>
    <x v="0"/>
    <n v="2"/>
    <n v="2"/>
    <s v="-"/>
    <n v="1"/>
    <s v="ITS388328"/>
    <d v="2013-01-25T00:00:00"/>
    <n v="3"/>
    <n v="3"/>
    <n v="2"/>
    <s v="-"/>
    <n v="2"/>
    <s v="Improved"/>
  </r>
  <r>
    <s v="Ofsted Webpage"/>
    <n v="130667"/>
    <n v="10005124"/>
    <s v="Plumpton College"/>
    <x v="10"/>
    <s v="Colleges"/>
    <s v="East Sussex"/>
    <s v="South East"/>
    <s v="South East"/>
    <s v="NULL"/>
    <s v="NULL"/>
    <n v="10011433"/>
    <s v="FE College - Full"/>
    <d v="2016-05-10T00:00:00"/>
    <d v="2016-05-13T00:00:00"/>
    <d v="2016-06-22T00:00:00"/>
    <x v="2"/>
    <n v="3"/>
    <n v="3"/>
    <n v="2"/>
    <n v="2"/>
    <s v="ITS376134"/>
    <d v="2011-11-25T00:00:00"/>
    <n v="2"/>
    <n v="2"/>
    <n v="2"/>
    <s v="-"/>
    <n v="2"/>
    <s v="Declined"/>
  </r>
  <r>
    <s v="Ofsted Webpage"/>
    <n v="130668"/>
    <n v="10007212"/>
    <s v="Varndean College"/>
    <x v="9"/>
    <s v="Colleges"/>
    <s v="Brighton and Hove"/>
    <s v="South East"/>
    <s v="South East"/>
    <d v="2016-09-21T00:00:00"/>
    <n v="1"/>
    <s v="ITS399024"/>
    <s v="SFC - Full"/>
    <d v="2012-09-25T00:00:00"/>
    <d v="2012-09-28T00:00:00"/>
    <d v="2012-11-02T00:00:00"/>
    <x v="0"/>
    <n v="2"/>
    <n v="2"/>
    <s v="-"/>
    <n v="2"/>
    <s v="ITS316623"/>
    <d v="2007-11-07T00:00:00"/>
    <n v="2"/>
    <n v="2"/>
    <n v="2"/>
    <s v="-"/>
    <n v="2"/>
    <s v="Stayed the Same"/>
  </r>
  <r>
    <s v="Ofsted Webpage"/>
    <n v="130669"/>
    <n v="10000887"/>
    <s v="Brighton Hove and Sussex Sixth Form College"/>
    <x v="9"/>
    <s v="Colleges"/>
    <s v="Brighton and Hove"/>
    <s v="South East"/>
    <s v="South East"/>
    <s v="NULL"/>
    <s v="NULL"/>
    <s v="ITS399015"/>
    <s v="SFC - Full"/>
    <d v="2012-10-09T00:00:00"/>
    <d v="2012-10-12T00:00:00"/>
    <d v="2012-11-16T00:00:00"/>
    <x v="1"/>
    <n v="1"/>
    <n v="1"/>
    <s v="-"/>
    <n v="1"/>
    <s v="ITS316626"/>
    <d v="2007-11-02T00:00:00"/>
    <n v="2"/>
    <n v="1"/>
    <n v="2"/>
    <s v="-"/>
    <n v="1"/>
    <s v="Improved"/>
  </r>
  <r>
    <s v="Ofsted Webpage"/>
    <n v="130670"/>
    <n v="10000670"/>
    <s v="Bexhill College"/>
    <x v="9"/>
    <s v="Colleges"/>
    <s v="East Sussex"/>
    <s v="South East"/>
    <s v="South East"/>
    <d v="2015-10-15T00:00:00"/>
    <n v="1"/>
    <s v="ITS354453"/>
    <s v="College Inspection SFC - Satisfactory Historic"/>
    <d v="2010-11-02T00:00:00"/>
    <d v="2010-11-05T00:00:00"/>
    <d v="2010-12-10T00:00:00"/>
    <x v="0"/>
    <n v="2"/>
    <n v="2"/>
    <s v="-"/>
    <n v="2"/>
    <s v="ITS298673"/>
    <d v="2007-03-16T00:00:00"/>
    <n v="3"/>
    <n v="3"/>
    <n v="3"/>
    <s v="-"/>
    <n v="3"/>
    <s v="Improved"/>
  </r>
  <r>
    <s v="Ofsted Webpage"/>
    <n v="130672"/>
    <n v="10005981"/>
    <s v="South Essex College of Further and  Higher Education"/>
    <x v="8"/>
    <s v="Colleges"/>
    <s v="Southend on Sea"/>
    <s v="East of England"/>
    <s v="East of England"/>
    <s v="NULL"/>
    <s v="NULL"/>
    <n v="10030724"/>
    <s v="FE College - Requires improvement - second inspection"/>
    <d v="2017-05-09T00:00:00"/>
    <d v="2017-05-12T00:00:00"/>
    <d v="2017-08-07T00:00:00"/>
    <x v="0"/>
    <n v="2"/>
    <n v="2"/>
    <n v="2"/>
    <n v="2"/>
    <s v="ITS440398"/>
    <d v="2015-05-15T00:00:00"/>
    <n v="3"/>
    <n v="3"/>
    <n v="3"/>
    <s v="-"/>
    <n v="2"/>
    <s v="Improved"/>
  </r>
  <r>
    <s v="Ofsted Webpage"/>
    <n v="130674"/>
    <n v="10001535"/>
    <s v="Colchester Institute"/>
    <x v="8"/>
    <s v="Colleges"/>
    <s v="Essex"/>
    <s v="East of England"/>
    <s v="East of England"/>
    <s v="NULL"/>
    <s v="NULL"/>
    <n v="10008470"/>
    <s v="FE College - Requires improvement"/>
    <d v="2016-02-09T00:00:00"/>
    <d v="2016-02-12T00:00:00"/>
    <d v="2016-03-22T00:00:00"/>
    <x v="0"/>
    <n v="2"/>
    <n v="2"/>
    <n v="2"/>
    <n v="2"/>
    <s v="ITS429158"/>
    <d v="2014-03-28T00:00:00"/>
    <n v="3"/>
    <n v="3"/>
    <n v="3"/>
    <s v="-"/>
    <n v="3"/>
    <s v="Improved"/>
  </r>
  <r>
    <s v="Ofsted Webpage"/>
    <n v="130676"/>
    <n v="10002899"/>
    <s v="Harlow College"/>
    <x v="8"/>
    <s v="Colleges"/>
    <s v="Essex"/>
    <s v="East of England"/>
    <s v="East of England"/>
    <s v="NULL"/>
    <s v="NULL"/>
    <n v="10004739"/>
    <s v="FE College - Full"/>
    <d v="2016-01-13T00:00:00"/>
    <d v="2016-01-28T00:00:00"/>
    <d v="2016-02-19T00:00:00"/>
    <x v="0"/>
    <n v="2"/>
    <n v="2"/>
    <n v="2"/>
    <n v="2"/>
    <s v="ITS354437"/>
    <d v="2010-11-26T00:00:00"/>
    <n v="2"/>
    <n v="1"/>
    <n v="2"/>
    <s v="-"/>
    <n v="2"/>
    <s v="Stayed the Same"/>
  </r>
  <r>
    <s v="Ofsted Webpage"/>
    <n v="130677"/>
    <n v="10002297"/>
    <s v="Epping Forest College"/>
    <x v="8"/>
    <s v="Colleges"/>
    <s v="Essex"/>
    <s v="East of England"/>
    <s v="East of England"/>
    <s v="NULL"/>
    <s v="NULL"/>
    <n v="10004740"/>
    <s v="FE College - Requires improvement - second inspection"/>
    <d v="2016-11-15T00:00:00"/>
    <d v="2016-11-18T00:00:00"/>
    <d v="2017-01-06T00:00:00"/>
    <x v="4"/>
    <n v="4"/>
    <n v="4"/>
    <n v="4"/>
    <n v="4"/>
    <s v="ITS430271"/>
    <d v="2014-10-24T00:00:00"/>
    <n v="3"/>
    <n v="3"/>
    <n v="3"/>
    <s v="-"/>
    <n v="2"/>
    <s v="Declined"/>
  </r>
  <r>
    <s v="Ofsted Webpage"/>
    <n v="130679"/>
    <n v="10001353"/>
    <s v="Chelmsford College"/>
    <x v="8"/>
    <s v="Colleges"/>
    <s v="Essex"/>
    <s v="East of England"/>
    <s v="East of England"/>
    <s v="NULL"/>
    <s v="NULL"/>
    <n v="10004741"/>
    <s v="FE College - Requires improvement"/>
    <d v="2015-11-17T00:00:00"/>
    <d v="2015-11-20T00:00:00"/>
    <d v="2015-12-16T00:00:00"/>
    <x v="2"/>
    <n v="3"/>
    <n v="3"/>
    <n v="3"/>
    <n v="3"/>
    <s v="ITS429156"/>
    <d v="2014-05-23T00:00:00"/>
    <n v="3"/>
    <n v="3"/>
    <n v="3"/>
    <s v="-"/>
    <n v="3"/>
    <s v="Stayed the Same"/>
  </r>
  <r>
    <s v="Ofsted Webpage"/>
    <n v="130680"/>
    <n v="10005881"/>
    <s v="The Sixth Form College Colchester"/>
    <x v="9"/>
    <s v="Colleges"/>
    <s v="Essex"/>
    <s v="East of England"/>
    <s v="East of England"/>
    <s v="NULL"/>
    <s v="NULL"/>
    <s v="ITS408452"/>
    <s v="SFC - Full"/>
    <d v="2013-02-05T00:00:00"/>
    <d v="2013-02-08T00:00:00"/>
    <d v="2013-03-15T00:00:00"/>
    <x v="0"/>
    <n v="2"/>
    <n v="2"/>
    <s v="-"/>
    <n v="2"/>
    <s v="ITS316639"/>
    <d v="2007-10-04T00:00:00"/>
    <n v="1"/>
    <n v="1"/>
    <n v="1"/>
    <s v="-"/>
    <n v="1"/>
    <s v="Declined"/>
  </r>
  <r>
    <s v="Ofsted Webpage"/>
    <n v="130681"/>
    <n v="10005736"/>
    <s v="SEEVIC College"/>
    <x v="8"/>
    <s v="Colleges"/>
    <s v="Essex"/>
    <s v="East of England"/>
    <s v="East of England"/>
    <s v="NULL"/>
    <s v="NULL"/>
    <n v="10004742"/>
    <s v="FE College - Requires improvement - second inspection"/>
    <d v="2016-12-06T00:00:00"/>
    <d v="2016-12-09T00:00:00"/>
    <d v="2017-02-09T00:00:00"/>
    <x v="2"/>
    <n v="3"/>
    <n v="3"/>
    <n v="2"/>
    <n v="3"/>
    <s v="ITS430276"/>
    <d v="2014-10-03T00:00:00"/>
    <n v="3"/>
    <n v="3"/>
    <n v="3"/>
    <s v="-"/>
    <n v="3"/>
    <s v="Stayed the Same"/>
  </r>
  <r>
    <s v="Ofsted Webpage"/>
    <n v="130683"/>
    <n v="10002696"/>
    <s v="Gloucestershire College"/>
    <x v="8"/>
    <s v="Colleges"/>
    <s v="Gloucestershire"/>
    <s v="South West"/>
    <s v="South West"/>
    <s v="NULL"/>
    <s v="NULL"/>
    <n v="10011564"/>
    <s v="FE College - Full"/>
    <d v="2016-09-20T00:00:00"/>
    <d v="2016-10-06T00:00:00"/>
    <d v="2016-11-08T00:00:00"/>
    <x v="0"/>
    <n v="2"/>
    <n v="2"/>
    <n v="2"/>
    <n v="2"/>
    <s v="ITS409316"/>
    <d v="2013-03-22T00:00:00"/>
    <n v="2"/>
    <n v="2"/>
    <n v="2"/>
    <s v="-"/>
    <n v="2"/>
    <s v="Stayed the Same"/>
  </r>
  <r>
    <s v="Ofsted Webpage"/>
    <n v="130686"/>
    <n v="10001446"/>
    <s v="Cirencester College"/>
    <x v="9"/>
    <s v="Colleges"/>
    <s v="Gloucestershire"/>
    <s v="South West"/>
    <s v="South West"/>
    <s v="NULL"/>
    <s v="NULL"/>
    <s v="ITS295867"/>
    <s v="College Inspection FE - Good Historic"/>
    <d v="2006-12-04T00:00:00"/>
    <d v="2006-12-08T00:00:00"/>
    <d v="2007-02-02T00:00:00"/>
    <x v="1"/>
    <n v="1"/>
    <n v="2"/>
    <s v="-"/>
    <n v="1"/>
    <s v="NULL"/>
    <s v="NULL"/>
    <s v="NULL"/>
    <s v="NULL"/>
    <s v="NULL"/>
    <s v="NULL"/>
    <s v="NULL"/>
    <s v="Not Applicable"/>
  </r>
  <r>
    <s v="Ofsted Webpage"/>
    <n v="130687"/>
    <n v="10002919"/>
    <s v="Hartpury College"/>
    <x v="10"/>
    <s v="Colleges"/>
    <s v="Gloucestershire"/>
    <s v="South West"/>
    <s v="South West"/>
    <s v="NULL"/>
    <s v="NULL"/>
    <s v="ITS452550"/>
    <s v="FE College - Full"/>
    <d v="2015-03-17T00:00:00"/>
    <d v="2015-03-20T00:00:00"/>
    <d v="2015-04-29T00:00:00"/>
    <x v="0"/>
    <n v="2"/>
    <n v="2"/>
    <s v="-"/>
    <n v="2"/>
    <s v="ITS345455"/>
    <d v="2009-11-27T00:00:00"/>
    <n v="1"/>
    <n v="1"/>
    <n v="2"/>
    <s v="-"/>
    <n v="1"/>
    <s v="Declined"/>
  </r>
  <r>
    <s v="Ofsted Webpage"/>
    <n v="130688"/>
    <n v="10000560"/>
    <s v="Basingstoke College of Technology"/>
    <x v="8"/>
    <s v="Colleges"/>
    <s v="Hampshire"/>
    <s v="South East"/>
    <s v="South East"/>
    <s v="NULL"/>
    <s v="NULL"/>
    <n v="10004744"/>
    <s v="FE College - Full"/>
    <d v="2016-05-03T00:00:00"/>
    <d v="2016-05-06T00:00:00"/>
    <d v="2016-06-07T00:00:00"/>
    <x v="0"/>
    <n v="2"/>
    <n v="2"/>
    <n v="2"/>
    <n v="2"/>
    <s v="ITS410608"/>
    <d v="2013-05-24T00:00:00"/>
    <n v="2"/>
    <n v="2"/>
    <n v="2"/>
    <s v="-"/>
    <n v="1"/>
    <s v="Stayed the Same"/>
  </r>
  <r>
    <s v="Ofsted Webpage"/>
    <n v="130689"/>
    <n v="10002412"/>
    <s v="Farnborough College of Technology"/>
    <x v="8"/>
    <s v="Colleges"/>
    <s v="Hampshire"/>
    <s v="South East"/>
    <s v="South East"/>
    <s v="NULL"/>
    <s v="NULL"/>
    <s v="ITS376150"/>
    <s v="College Inspection FE - Satisfactory Historic"/>
    <d v="2011-11-14T00:00:00"/>
    <d v="2011-11-18T00:00:00"/>
    <d v="2011-12-23T00:00:00"/>
    <x v="1"/>
    <n v="1"/>
    <n v="2"/>
    <s v="-"/>
    <n v="1"/>
    <s v="ITS316632"/>
    <d v="2007-11-30T00:00:00"/>
    <n v="3"/>
    <n v="3"/>
    <n v="3"/>
    <s v="-"/>
    <n v="2"/>
    <s v="Improved"/>
  </r>
  <r>
    <s v="Ofsted Webpage"/>
    <n v="130690"/>
    <n v="10000944"/>
    <s v="Brockenhurst College"/>
    <x v="8"/>
    <s v="Colleges"/>
    <s v="Hampshire"/>
    <s v="South East"/>
    <s v="South East"/>
    <s v="NULL"/>
    <s v="NULL"/>
    <n v="10022532"/>
    <s v="FE College - Full"/>
    <d v="2017-01-31T00:00:00"/>
    <d v="2017-02-03T00:00:00"/>
    <d v="2017-03-06T00:00:00"/>
    <x v="0"/>
    <n v="2"/>
    <n v="2"/>
    <n v="2"/>
    <n v="2"/>
    <s v="ITS322401"/>
    <d v="2008-05-08T00:00:00"/>
    <n v="1"/>
    <n v="1"/>
    <n v="1"/>
    <s v="-"/>
    <n v="1"/>
    <s v="Declined"/>
  </r>
  <r>
    <s v="Ofsted Webpage"/>
    <n v="130691"/>
    <n v="10000256"/>
    <s v="Alton College"/>
    <x v="9"/>
    <s v="Colleges"/>
    <s v="Hampshire"/>
    <s v="South East"/>
    <s v="South East"/>
    <s v="NULL"/>
    <s v="NULL"/>
    <s v="ITS342292"/>
    <s v="College Inspection SFC - Good Historic"/>
    <d v="2009-09-29T00:00:00"/>
    <d v="2009-10-02T00:00:00"/>
    <d v="2009-11-17T00:00:00"/>
    <x v="1"/>
    <n v="1"/>
    <n v="2"/>
    <s v="-"/>
    <n v="1"/>
    <s v="ITS284886"/>
    <d v="2006-05-19T00:00:00"/>
    <n v="1"/>
    <n v="1"/>
    <n v="2"/>
    <s v="-"/>
    <n v="1"/>
    <s v="Stayed the Same"/>
  </r>
  <r>
    <s v="Ofsted Webpage"/>
    <n v="130692"/>
    <n v="10002143"/>
    <s v="Eastleigh College"/>
    <x v="8"/>
    <s v="Colleges"/>
    <s v="Hampshire"/>
    <s v="South East"/>
    <s v="South East"/>
    <s v="NULL"/>
    <s v="NULL"/>
    <s v="ITS388022"/>
    <s v="College Inspection FE - Good Historic"/>
    <d v="2012-05-21T00:00:00"/>
    <d v="2012-05-25T00:00:00"/>
    <d v="2012-07-09T00:00:00"/>
    <x v="1"/>
    <n v="1"/>
    <n v="2"/>
    <s v="-"/>
    <n v="1"/>
    <s v="ITS284885"/>
    <d v="2006-05-19T00:00:00"/>
    <n v="2"/>
    <n v="2"/>
    <n v="2"/>
    <s v="-"/>
    <n v="2"/>
    <s v="Improved"/>
  </r>
  <r>
    <s v="Ofsted Webpage"/>
    <n v="130693"/>
    <n v="10007928"/>
    <s v="Fareham College"/>
    <x v="8"/>
    <s v="Colleges"/>
    <s v="Hampshire"/>
    <s v="South East"/>
    <s v="South East"/>
    <s v="NULL"/>
    <s v="NULL"/>
    <n v="10030681"/>
    <s v="FE College - Full"/>
    <d v="2017-10-03T00:00:00"/>
    <d v="2017-10-06T00:00:00"/>
    <d v="2017-11-10T00:00:00"/>
    <x v="1"/>
    <n v="1"/>
    <n v="1"/>
    <n v="1"/>
    <n v="1"/>
    <s v="ITS409445"/>
    <d v="2013-05-03T00:00:00"/>
    <n v="2"/>
    <n v="2"/>
    <n v="2"/>
    <s v="-"/>
    <n v="2"/>
    <s v="Improved"/>
  </r>
  <r>
    <s v="Ofsted Webpage"/>
    <n v="130695"/>
    <n v="10005979"/>
    <s v="Havant &amp; South Downs College"/>
    <x v="8"/>
    <s v="Colleges"/>
    <s v="Hampshire"/>
    <s v="South East"/>
    <s v="South East"/>
    <s v="NULL"/>
    <s v="NULL"/>
    <s v="ITS316618"/>
    <s v="College Inspection FE - Good Historic"/>
    <d v="2007-10-02T00:00:00"/>
    <d v="2007-10-03T00:00:00"/>
    <d v="2007-11-23T00:00:00"/>
    <x v="1"/>
    <n v="1"/>
    <n v="1"/>
    <s v="-"/>
    <n v="1"/>
    <s v="NULL"/>
    <s v="NULL"/>
    <s v="NULL"/>
    <s v="NULL"/>
    <s v="NULL"/>
    <s v="NULL"/>
    <s v="NULL"/>
    <s v="Not Applicable"/>
  </r>
  <r>
    <s v="Ofsted Webpage"/>
    <n v="130696"/>
    <n v="10006020"/>
    <s v="Southampton City College"/>
    <x v="8"/>
    <s v="Colleges"/>
    <s v="Southampton"/>
    <s v="South East"/>
    <s v="South East"/>
    <s v="NULL"/>
    <s v="NULL"/>
    <n v="10022530"/>
    <s v="FE College - Full"/>
    <d v="2017-03-28T00:00:00"/>
    <d v="2017-03-31T00:00:00"/>
    <d v="2017-05-09T00:00:00"/>
    <x v="2"/>
    <n v="3"/>
    <n v="3"/>
    <n v="3"/>
    <n v="3"/>
    <s v="ITS363303"/>
    <d v="2011-03-11T00:00:00"/>
    <n v="2"/>
    <n v="2"/>
    <n v="2"/>
    <s v="-"/>
    <n v="2"/>
    <s v="Declined"/>
  </r>
  <r>
    <s v="Ofsted Webpage"/>
    <n v="130697"/>
    <n v="10007945"/>
    <s v="Highbury College"/>
    <x v="8"/>
    <s v="Colleges"/>
    <s v="Portsmouth"/>
    <s v="South East"/>
    <s v="South East"/>
    <s v="NULL"/>
    <s v="NULL"/>
    <s v="ITS375471"/>
    <s v="College Inspection FE - Good Historic"/>
    <d v="2011-05-09T00:00:00"/>
    <d v="2011-05-13T00:00:00"/>
    <d v="2011-06-20T00:00:00"/>
    <x v="1"/>
    <n v="1"/>
    <n v="2"/>
    <s v="-"/>
    <n v="1"/>
    <s v="ITS300881"/>
    <d v="2007-05-04T00:00:00"/>
    <n v="2"/>
    <n v="2"/>
    <n v="3"/>
    <s v="-"/>
    <n v="2"/>
    <s v="Improved"/>
  </r>
  <r>
    <s v="Ofsted Webpage"/>
    <n v="130698"/>
    <n v="10006050"/>
    <s v="Sparsholt College Hampshire"/>
    <x v="10"/>
    <s v="Colleges"/>
    <s v="Hampshire"/>
    <s v="South East"/>
    <s v="South East"/>
    <s v="NULL"/>
    <s v="NULL"/>
    <s v="ITS429182"/>
    <s v="FE College - Full"/>
    <d v="2014-02-10T00:00:00"/>
    <d v="2014-02-14T00:00:00"/>
    <d v="2014-03-21T00:00:00"/>
    <x v="0"/>
    <n v="2"/>
    <n v="2"/>
    <s v="-"/>
    <n v="2"/>
    <s v="ITS320948"/>
    <d v="2008-05-02T00:00:00"/>
    <n v="2"/>
    <n v="3"/>
    <n v="2"/>
    <s v="-"/>
    <n v="2"/>
    <s v="Stayed the Same"/>
  </r>
  <r>
    <s v="Ofsted Webpage"/>
    <n v="130699"/>
    <n v="10006958"/>
    <s v="Totton College (Part of Nacro)"/>
    <x v="8"/>
    <s v="Colleges"/>
    <s v="Hampshire"/>
    <s v="South East"/>
    <s v="South East"/>
    <s v="NULL"/>
    <s v="NULL"/>
    <n v="10030775"/>
    <s v="Independent Learning Provider (Regional) - Full"/>
    <d v="2017-06-06T00:00:00"/>
    <d v="2017-06-09T00:00:00"/>
    <d v="2017-07-18T00:00:00"/>
    <x v="2"/>
    <n v="3"/>
    <n v="3"/>
    <n v="3"/>
    <n v="3"/>
    <s v="ITS446036"/>
    <d v="2015-05-01T00:00:00"/>
    <n v="4"/>
    <n v="4"/>
    <n v="4"/>
    <s v="-"/>
    <n v="4"/>
    <s v="Improved"/>
  </r>
  <r>
    <s v="Ofsted Webpage"/>
    <n v="130701"/>
    <n v="10000552"/>
    <s v="Barton Peveril Sixth Form College"/>
    <x v="9"/>
    <s v="Colleges"/>
    <s v="Hampshire"/>
    <s v="South East"/>
    <s v="South East"/>
    <d v="2016-04-28T00:00:00"/>
    <n v="1"/>
    <s v="ITS343646"/>
    <s v="College Inspection SFC - Good Historic"/>
    <d v="2010-02-02T00:00:00"/>
    <d v="2010-02-05T00:00:00"/>
    <d v="2010-03-12T00:00:00"/>
    <x v="0"/>
    <n v="2"/>
    <n v="2"/>
    <s v="-"/>
    <n v="1"/>
    <s v="ITS283496"/>
    <d v="2006-03-03T00:00:00"/>
    <n v="2"/>
    <n v="1"/>
    <n v="2"/>
    <s v="-"/>
    <n v="2"/>
    <s v="Stayed the Same"/>
  </r>
  <r>
    <s v="Ofsted Webpage"/>
    <n v="130704"/>
    <n v="10003427"/>
    <s v="Itchen College"/>
    <x v="9"/>
    <s v="Colleges"/>
    <s v="Southampton"/>
    <s v="South East"/>
    <s v="South East"/>
    <s v="NULL"/>
    <s v="NULL"/>
    <n v="10022526"/>
    <s v="SFC - Full"/>
    <d v="2017-01-31T00:00:00"/>
    <d v="2017-02-02T00:00:00"/>
    <d v="2017-03-02T00:00:00"/>
    <x v="2"/>
    <n v="3"/>
    <n v="3"/>
    <n v="3"/>
    <n v="3"/>
    <s v="ITS423383"/>
    <d v="2013-10-04T00:00:00"/>
    <n v="2"/>
    <n v="2"/>
    <n v="2"/>
    <s v="-"/>
    <n v="2"/>
    <s v="Declined"/>
  </r>
  <r>
    <s v="Ofsted Webpage"/>
    <n v="130706"/>
    <n v="10005158"/>
    <s v="Portsmouth College"/>
    <x v="9"/>
    <s v="Colleges"/>
    <s v="Portsmouth"/>
    <s v="South East"/>
    <s v="South East"/>
    <d v="2017-03-31T00:00:00"/>
    <n v="1"/>
    <s v="ITS408458"/>
    <s v="SFC - Full"/>
    <d v="2013-03-12T00:00:00"/>
    <d v="2013-03-15T00:00:00"/>
    <d v="2013-04-23T00:00:00"/>
    <x v="0"/>
    <n v="2"/>
    <n v="2"/>
    <s v="-"/>
    <n v="2"/>
    <s v="ITS345836"/>
    <d v="2010-05-28T00:00:00"/>
    <n v="3"/>
    <n v="3"/>
    <n v="2"/>
    <s v="-"/>
    <n v="2"/>
    <s v="Improved"/>
  </r>
  <r>
    <s v="Ofsted Webpage"/>
    <n v="130708"/>
    <n v="10005072"/>
    <s v="Peter Symonds College"/>
    <x v="9"/>
    <s v="Colleges"/>
    <s v="Hampshire"/>
    <s v="South East"/>
    <s v="South East"/>
    <s v="NULL"/>
    <s v="NULL"/>
    <s v="ITS318857"/>
    <s v="College Inspection SFC - Good Historic"/>
    <d v="2008-03-26T00:00:00"/>
    <d v="2008-03-27T00:00:00"/>
    <d v="2008-05-16T00:00:00"/>
    <x v="1"/>
    <n v="1"/>
    <n v="1"/>
    <s v="-"/>
    <n v="1"/>
    <s v="NULL"/>
    <s v="NULL"/>
    <s v="NULL"/>
    <s v="NULL"/>
    <s v="NULL"/>
    <s v="NULL"/>
    <s v="NULL"/>
    <s v="Not Applicable"/>
  </r>
  <r>
    <s v="Ofsted Webpage"/>
    <n v="130710"/>
    <n v="10003023"/>
    <s v="Herefordshire &amp; Ludlow College"/>
    <x v="8"/>
    <s v="Colleges"/>
    <s v="Herefordshire"/>
    <s v="West Midlands"/>
    <s v="West Midlands"/>
    <d v="2016-02-25T00:00:00"/>
    <n v="1"/>
    <s v="ITS345806"/>
    <s v="College Inspection FE - Good Historic"/>
    <d v="2010-05-17T00:00:00"/>
    <d v="2010-05-21T00:00:00"/>
    <d v="2010-06-28T00:00:00"/>
    <x v="0"/>
    <n v="2"/>
    <n v="2"/>
    <s v="-"/>
    <n v="2"/>
    <s v="ITS284864"/>
    <d v="2006-05-19T00:00:00"/>
    <n v="2"/>
    <n v="2"/>
    <n v="3"/>
    <s v="-"/>
    <n v="2"/>
    <s v="Stayed the Same"/>
  </r>
  <r>
    <s v="Ofsted Webpage"/>
    <n v="130713"/>
    <n v="10007977"/>
    <s v="Heart of Worcestershire College"/>
    <x v="8"/>
    <s v="Colleges"/>
    <s v="Worcestershire"/>
    <s v="West Midlands"/>
    <s v="West Midlands"/>
    <s v="NULL"/>
    <s v="NULL"/>
    <n v="10005120"/>
    <s v="FE College - Full"/>
    <d v="2016-03-08T00:00:00"/>
    <d v="2016-03-11T00:00:00"/>
    <d v="2016-04-20T00:00:00"/>
    <x v="2"/>
    <n v="3"/>
    <n v="3"/>
    <n v="3"/>
    <n v="3"/>
    <s v="ITS408427"/>
    <d v="2013-06-14T00:00:00"/>
    <n v="3"/>
    <n v="3"/>
    <n v="3"/>
    <s v="-"/>
    <n v="3"/>
    <s v="Stayed the Same"/>
  </r>
  <r>
    <s v="Ofsted Webpage"/>
    <n v="130714"/>
    <n v="10003022"/>
    <s v="Hereford College of Arts "/>
    <x v="10"/>
    <s v="Colleges"/>
    <s v="Herefordshire"/>
    <s v="West Midlands"/>
    <s v="West Midlands"/>
    <d v="2017-10-12T00:00:00"/>
    <n v="1"/>
    <s v="ITS423372"/>
    <s v="FE College - Full"/>
    <d v="2013-10-01T00:00:00"/>
    <d v="2013-10-04T00:00:00"/>
    <d v="2013-11-18T00:00:00"/>
    <x v="0"/>
    <n v="2"/>
    <n v="2"/>
    <s v="-"/>
    <n v="1"/>
    <s v="ITS387994"/>
    <d v="2012-05-18T00:00:00"/>
    <n v="3"/>
    <n v="3"/>
    <n v="3"/>
    <s v="-"/>
    <n v="3"/>
    <s v="Improved"/>
  </r>
  <r>
    <s v="Ofsted Webpage"/>
    <n v="130719"/>
    <n v="10008025"/>
    <s v="Worcester Sixth Form College"/>
    <x v="9"/>
    <s v="Colleges"/>
    <s v="Worcestershire"/>
    <s v="West Midlands"/>
    <s v="West Midlands"/>
    <d v="2016-02-04T00:00:00"/>
    <n v="1"/>
    <s v="ITS406868"/>
    <s v="SFC - Full"/>
    <d v="2012-10-09T00:00:00"/>
    <d v="2012-10-12T00:00:00"/>
    <d v="2012-11-16T00:00:00"/>
    <x v="0"/>
    <n v="2"/>
    <n v="2"/>
    <s v="-"/>
    <n v="2"/>
    <s v="ITS331237"/>
    <d v="2009-01-28T00:00:00"/>
    <n v="2"/>
    <n v="2"/>
    <n v="2"/>
    <s v="-"/>
    <n v="2"/>
    <s v="Stayed the Same"/>
  </r>
  <r>
    <s v="Ofsted Webpage"/>
    <n v="130720"/>
    <n v="10007417"/>
    <s v="West Herts College"/>
    <x v="8"/>
    <s v="Colleges"/>
    <s v="Hertfordshire"/>
    <s v="East of England"/>
    <s v="East of England"/>
    <s v="NULL"/>
    <s v="NULL"/>
    <n v="10030784"/>
    <s v="FE College - Full"/>
    <d v="2017-04-25T00:00:00"/>
    <d v="2017-04-28T00:00:00"/>
    <d v="2017-06-15T00:00:00"/>
    <x v="0"/>
    <n v="2"/>
    <n v="2"/>
    <n v="2"/>
    <n v="2"/>
    <s v="ITS343695"/>
    <d v="2010-03-19T00:00:00"/>
    <n v="1"/>
    <n v="2"/>
    <n v="2"/>
    <s v="-"/>
    <n v="1"/>
    <s v="Declined"/>
  </r>
  <r>
    <s v="Ofsted Webpage"/>
    <n v="130721"/>
    <n v="10004690"/>
    <s v="North Hertfordshire College"/>
    <x v="8"/>
    <s v="Colleges"/>
    <s v="Hertfordshire"/>
    <s v="East of England"/>
    <s v="East of England"/>
    <s v="NULL"/>
    <s v="NULL"/>
    <n v="10037405"/>
    <s v="FE College - Requires improvement"/>
    <d v="2017-10-31T00:00:00"/>
    <d v="2017-11-03T00:00:00"/>
    <d v="2017-11-23T00:00:00"/>
    <x v="0"/>
    <n v="2"/>
    <n v="2"/>
    <n v="2"/>
    <n v="2"/>
    <n v="10011438"/>
    <d v="2016-06-10T00:00:00"/>
    <n v="3"/>
    <n v="3"/>
    <n v="3"/>
    <n v="3"/>
    <n v="2"/>
    <s v="Improved"/>
  </r>
  <r>
    <s v="Ofsted Webpage"/>
    <n v="130722"/>
    <n v="10003035"/>
    <s v="Hertford Regional College"/>
    <x v="8"/>
    <s v="Colleges"/>
    <s v="Hertfordshire"/>
    <s v="East of England"/>
    <s v="East of England"/>
    <s v="NULL"/>
    <s v="NULL"/>
    <n v="10011439"/>
    <s v="FE College - Full"/>
    <d v="2016-05-24T00:00:00"/>
    <d v="2016-05-27T00:00:00"/>
    <d v="2016-07-04T00:00:00"/>
    <x v="2"/>
    <n v="3"/>
    <n v="3"/>
    <n v="3"/>
    <n v="3"/>
    <s v="ITS410614"/>
    <d v="2013-05-03T00:00:00"/>
    <n v="2"/>
    <n v="3"/>
    <n v="2"/>
    <s v="-"/>
    <n v="2"/>
    <s v="Declined"/>
  </r>
  <r>
    <s v="Ofsted Webpage"/>
    <n v="130723"/>
    <n v="10004835"/>
    <s v="Oaklands College"/>
    <x v="8"/>
    <s v="Colleges"/>
    <s v="Hertfordshire"/>
    <s v="East of England"/>
    <s v="East of England"/>
    <d v="2015-11-11T00:00:00"/>
    <n v="1"/>
    <s v="ITS342264"/>
    <s v="College Inspection FE - Satisfactory Historic"/>
    <d v="2009-11-23T00:00:00"/>
    <d v="2009-11-27T00:00:00"/>
    <d v="2010-01-14T00:00:00"/>
    <x v="0"/>
    <n v="2"/>
    <n v="2"/>
    <s v="-"/>
    <n v="2"/>
    <s v="ITS282827"/>
    <d v="2005-10-21T00:00:00"/>
    <n v="3"/>
    <n v="3"/>
    <n v="3"/>
    <s v="-"/>
    <n v="3"/>
    <s v="Improved"/>
  </r>
  <r>
    <s v="Ofsted Webpage"/>
    <n v="130724"/>
    <n v="10003406"/>
    <s v="The Isle of Wight College"/>
    <x v="8"/>
    <s v="Colleges"/>
    <s v="Isle of Wight"/>
    <s v="South East"/>
    <s v="South East"/>
    <s v="NULL"/>
    <s v="NULL"/>
    <n v="10030828"/>
    <s v="FE College - Full"/>
    <d v="2017-05-23T00:00:00"/>
    <d v="2017-05-26T00:00:00"/>
    <d v="2017-06-30T00:00:00"/>
    <x v="0"/>
    <n v="2"/>
    <n v="2"/>
    <n v="2"/>
    <n v="2"/>
    <s v="ITS302820"/>
    <d v="2007-05-04T00:00:00"/>
    <n v="1"/>
    <n v="1"/>
    <n v="2"/>
    <s v="-"/>
    <n v="1"/>
    <s v="Declined"/>
  </r>
  <r>
    <s v="Ofsted Webpage"/>
    <n v="130725"/>
    <n v="10004721"/>
    <s v="North Kent College"/>
    <x v="8"/>
    <s v="Colleges"/>
    <s v="Kent"/>
    <s v="South East"/>
    <s v="South East"/>
    <s v="NULL"/>
    <s v="NULL"/>
    <s v="ITS429167"/>
    <s v="FE College - Full"/>
    <d v="2014-02-10T00:00:00"/>
    <d v="2014-02-14T00:00:00"/>
    <d v="2014-03-21T00:00:00"/>
    <x v="0"/>
    <n v="2"/>
    <n v="2"/>
    <s v="-"/>
    <n v="2"/>
    <s v="ITS362138"/>
    <d v="2010-11-26T00:00:00"/>
    <n v="3"/>
    <n v="3"/>
    <n v="3"/>
    <s v="-"/>
    <n v="3"/>
    <s v="Improved"/>
  </r>
  <r>
    <s v="Ofsted Webpage"/>
    <n v="130726"/>
    <n v="10004340"/>
    <s v="MidKent College"/>
    <x v="8"/>
    <s v="Colleges"/>
    <s v="Medway"/>
    <s v="South East"/>
    <s v="South East"/>
    <s v="NULL"/>
    <s v="NULL"/>
    <n v="10022524"/>
    <s v="FE College - Requires improvement"/>
    <d v="2017-01-31T00:00:00"/>
    <d v="2017-02-03T00:00:00"/>
    <d v="2017-03-03T00:00:00"/>
    <x v="2"/>
    <n v="3"/>
    <n v="3"/>
    <n v="3"/>
    <n v="3"/>
    <s v="ITS452489"/>
    <d v="2015-03-06T00:00:00"/>
    <n v="3"/>
    <n v="3"/>
    <n v="3"/>
    <s v="-"/>
    <n v="3"/>
    <s v="Stayed the Same"/>
  </r>
  <r>
    <s v="Ofsted Webpage"/>
    <n v="130727"/>
    <n v="10007419"/>
    <s v="West Kent and Ashford College"/>
    <x v="8"/>
    <s v="Colleges"/>
    <s v="Kent"/>
    <s v="South East"/>
    <s v="South East"/>
    <s v="NULL"/>
    <s v="NULL"/>
    <n v="10004755"/>
    <s v="FE College - Full"/>
    <d v="2017-02-28T00:00:00"/>
    <d v="2017-03-03T00:00:00"/>
    <d v="2017-03-31T00:00:00"/>
    <x v="2"/>
    <n v="3"/>
    <n v="3"/>
    <n v="3"/>
    <n v="3"/>
    <s v="ITS428116"/>
    <d v="2013-11-08T00:00:00"/>
    <n v="4"/>
    <n v="4"/>
    <n v="4"/>
    <s v="-"/>
    <n v="4"/>
    <s v="Improved"/>
  </r>
  <r>
    <s v="Ofsted Webpage"/>
    <n v="130728"/>
    <n v="10006570"/>
    <s v="East Kent College"/>
    <x v="8"/>
    <s v="Colleges"/>
    <s v="Kent"/>
    <s v="South East"/>
    <s v="South East"/>
    <s v="NULL"/>
    <s v="NULL"/>
    <n v="10022518"/>
    <s v="FE College - Full"/>
    <d v="2017-01-24T00:00:00"/>
    <d v="2017-01-27T00:00:00"/>
    <d v="2017-03-06T00:00:00"/>
    <x v="0"/>
    <n v="2"/>
    <n v="2"/>
    <n v="1"/>
    <n v="1"/>
    <s v="ITS409326"/>
    <d v="2013-03-08T00:00:00"/>
    <n v="2"/>
    <n v="2"/>
    <n v="2"/>
    <s v="-"/>
    <n v="1"/>
    <s v="Stayed the Same"/>
  </r>
  <r>
    <s v="Ofsted Webpage"/>
    <n v="130730"/>
    <n v="10001144"/>
    <s v="Canterbury College"/>
    <x v="8"/>
    <s v="Colleges"/>
    <s v="Kent"/>
    <s v="South East"/>
    <s v="South East"/>
    <s v="NULL"/>
    <s v="NULL"/>
    <n v="10022516"/>
    <s v="FE College - Requires improvement - second inspection"/>
    <d v="2017-02-28T00:00:00"/>
    <d v="2017-03-03T00:00:00"/>
    <d v="2017-03-28T00:00:00"/>
    <x v="0"/>
    <n v="2"/>
    <n v="2"/>
    <n v="2"/>
    <n v="2"/>
    <s v="ITS440396"/>
    <d v="2015-05-15T00:00:00"/>
    <n v="3"/>
    <n v="3"/>
    <n v="3"/>
    <s v="-"/>
    <n v="3"/>
    <s v="Improved"/>
  </r>
  <r>
    <s v="Ofsted Webpage"/>
    <n v="130733"/>
    <n v="10002843"/>
    <s v="Hadlow College"/>
    <x v="10"/>
    <s v="Colleges"/>
    <s v="Kent"/>
    <s v="South East"/>
    <s v="South East"/>
    <s v="NULL"/>
    <s v="NULL"/>
    <s v="ITS345814"/>
    <s v="College Inspection FE - Good Historic"/>
    <d v="2010-06-07T00:00:00"/>
    <d v="2010-06-11T00:00:00"/>
    <d v="2010-07-16T00:00:00"/>
    <x v="1"/>
    <n v="1"/>
    <n v="2"/>
    <s v="-"/>
    <n v="1"/>
    <s v="ITS282828"/>
    <d v="2005-12-09T00:00:00"/>
    <n v="2"/>
    <n v="2"/>
    <n v="3"/>
    <s v="-"/>
    <n v="2"/>
    <s v="Improved"/>
  </r>
  <r>
    <s v="Ofsted Webpage"/>
    <n v="130734"/>
    <n v="10000093"/>
    <s v="Accrington and Rossendale College"/>
    <x v="8"/>
    <s v="Colleges"/>
    <s v="Lancashire"/>
    <s v="North West"/>
    <s v="North West"/>
    <s v="NULL"/>
    <s v="NULL"/>
    <n v="10011562"/>
    <s v="FE College - Full"/>
    <d v="2016-05-10T00:00:00"/>
    <d v="2016-05-13T00:00:00"/>
    <d v="2016-06-14T00:00:00"/>
    <x v="2"/>
    <n v="3"/>
    <n v="3"/>
    <n v="3"/>
    <n v="3"/>
    <s v="ITS331030"/>
    <d v="2009-03-13T00:00:00"/>
    <n v="1"/>
    <n v="1"/>
    <n v="1"/>
    <s v="-"/>
    <n v="1"/>
    <s v="Declined"/>
  </r>
  <r>
    <s v="Ofsted Webpage"/>
    <n v="130735"/>
    <n v="10001000"/>
    <s v="Burnley College"/>
    <x v="8"/>
    <s v="Colleges"/>
    <s v="Lancashire"/>
    <s v="North West"/>
    <s v="North West"/>
    <s v="NULL"/>
    <s v="NULL"/>
    <s v="ITS331024"/>
    <s v="College Inspection FE - Good Historic"/>
    <d v="2009-03-16T00:00:00"/>
    <d v="2009-03-20T00:00:00"/>
    <d v="2009-05-15T00:00:00"/>
    <x v="1"/>
    <n v="1"/>
    <n v="1"/>
    <s v="-"/>
    <n v="1"/>
    <s v="NULL"/>
    <s v="NULL"/>
    <s v="NULL"/>
    <s v="NULL"/>
    <s v="NULL"/>
    <s v="NULL"/>
    <s v="NULL"/>
    <s v="Not Applicable"/>
  </r>
  <r>
    <s v="Ofsted Webpage"/>
    <n v="130736"/>
    <n v="10000747"/>
    <s v="Blackburn College"/>
    <x v="8"/>
    <s v="Colleges"/>
    <s v="Blackburn with Darwen"/>
    <s v="North West"/>
    <s v="North West"/>
    <s v="NULL"/>
    <s v="NULL"/>
    <n v="10020109"/>
    <s v="FE College - Full"/>
    <d v="2017-03-14T00:00:00"/>
    <d v="2017-03-17T00:00:00"/>
    <d v="2017-05-04T00:00:00"/>
    <x v="2"/>
    <n v="3"/>
    <n v="3"/>
    <n v="3"/>
    <n v="3"/>
    <s v="ITS316663"/>
    <d v="2007-11-16T00:00:00"/>
    <n v="1"/>
    <n v="1"/>
    <n v="1"/>
    <s v="-"/>
    <n v="1"/>
    <s v="Declined"/>
  </r>
  <r>
    <s v="Ofsted Webpage"/>
    <n v="130737"/>
    <n v="10003768"/>
    <s v="Lancaster and Morecambe College"/>
    <x v="8"/>
    <s v="Colleges"/>
    <s v="Lancashire"/>
    <s v="North West"/>
    <s v="North West"/>
    <s v="NULL"/>
    <s v="NULL"/>
    <n v="10017527"/>
    <s v="FE College - Full"/>
    <d v="2016-05-17T00:00:00"/>
    <d v="2016-05-20T00:00:00"/>
    <d v="2016-06-17T00:00:00"/>
    <x v="2"/>
    <n v="3"/>
    <n v="3"/>
    <n v="3"/>
    <n v="3"/>
    <s v="ITS399135"/>
    <d v="2012-12-14T00:00:00"/>
    <n v="2"/>
    <n v="2"/>
    <n v="2"/>
    <s v="-"/>
    <n v="2"/>
    <s v="Declined"/>
  </r>
  <r>
    <s v="Ofsted Webpage"/>
    <n v="130738"/>
    <n v="10004552"/>
    <s v="Nelson and Colne College"/>
    <x v="8"/>
    <s v="Colleges"/>
    <s v="Lancashire"/>
    <s v="North West"/>
    <s v="North West"/>
    <s v="NULL"/>
    <s v="NULL"/>
    <s v="ITS322402"/>
    <s v="College Inspection FE - Good Historic"/>
    <d v="2008-04-29T00:00:00"/>
    <d v="2008-04-30T00:00:00"/>
    <d v="2008-06-20T00:00:00"/>
    <x v="1"/>
    <n v="2"/>
    <n v="1"/>
    <s v="-"/>
    <n v="1"/>
    <s v="NULL"/>
    <s v="NULL"/>
    <s v="NULL"/>
    <s v="NULL"/>
    <s v="NULL"/>
    <s v="NULL"/>
    <s v="NULL"/>
    <s v="Not Applicable"/>
  </r>
  <r>
    <s v="Ofsted Webpage"/>
    <n v="130739"/>
    <n v="10000754"/>
    <s v="Blackpool and the Fylde College"/>
    <x v="8"/>
    <s v="Colleges"/>
    <s v="Blackpool"/>
    <s v="North West"/>
    <s v="North West"/>
    <s v="NULL"/>
    <s v="NULL"/>
    <s v="ITS423360"/>
    <s v="FE College - Full"/>
    <d v="2013-10-07T00:00:00"/>
    <d v="2013-10-11T00:00:00"/>
    <d v="2013-11-15T00:00:00"/>
    <x v="1"/>
    <n v="1"/>
    <n v="1"/>
    <s v="-"/>
    <n v="1"/>
    <s v="ITS316665"/>
    <d v="2007-11-29T00:00:00"/>
    <n v="2"/>
    <n v="2"/>
    <n v="2"/>
    <s v="-"/>
    <n v="2"/>
    <s v="Improved"/>
  </r>
  <r>
    <s v="Ofsted Webpage"/>
    <n v="130740"/>
    <n v="10005200"/>
    <s v="Preston College"/>
    <x v="8"/>
    <s v="Colleges"/>
    <s v="Lancashire"/>
    <s v="North West"/>
    <s v="North West"/>
    <s v="NULL"/>
    <s v="NULL"/>
    <n v="10020189"/>
    <s v="FE College - Full"/>
    <d v="2016-11-29T00:00:00"/>
    <d v="2016-12-02T00:00:00"/>
    <d v="2017-01-12T00:00:00"/>
    <x v="2"/>
    <n v="3"/>
    <n v="3"/>
    <n v="3"/>
    <n v="3"/>
    <s v="ITS423361"/>
    <d v="2013-11-15T00:00:00"/>
    <n v="2"/>
    <n v="2"/>
    <n v="2"/>
    <s v="-"/>
    <n v="2"/>
    <s v="Declined"/>
  </r>
  <r>
    <s v="Ofsted Webpage"/>
    <n v="130741"/>
    <n v="10005575"/>
    <s v="Runshaw College"/>
    <x v="8"/>
    <s v="Colleges"/>
    <s v="Lancashire"/>
    <s v="North West"/>
    <s v="North West"/>
    <s v="NULL"/>
    <s v="NULL"/>
    <s v="ITS322406"/>
    <s v="College Inspection FE - Good Historic"/>
    <d v="2008-05-21T00:00:00"/>
    <d v="2008-05-22T00:00:00"/>
    <d v="2008-07-11T00:00:00"/>
    <x v="1"/>
    <n v="1"/>
    <n v="1"/>
    <s v="-"/>
    <n v="1"/>
    <s v="NULL"/>
    <s v="NULL"/>
    <s v="NULL"/>
    <s v="NULL"/>
    <s v="NULL"/>
    <s v="NULL"/>
    <s v="NULL"/>
    <s v="Not Applicable"/>
  </r>
  <r>
    <s v="Ofsted Webpage"/>
    <n v="130743"/>
    <n v="10004478"/>
    <s v="Myerscough College"/>
    <x v="10"/>
    <s v="Colleges"/>
    <s v="Lancashire"/>
    <s v="North West"/>
    <s v="North West"/>
    <d v="2017-03-02T00:00:00"/>
    <n v="1"/>
    <s v="ITS410604"/>
    <s v="FE College - Full"/>
    <d v="2013-06-03T00:00:00"/>
    <d v="2013-06-07T00:00:00"/>
    <d v="2013-07-10T00:00:00"/>
    <x v="0"/>
    <n v="2"/>
    <n v="2"/>
    <s v="-"/>
    <n v="2"/>
    <s v="ITS345811"/>
    <d v="2010-05-28T00:00:00"/>
    <n v="3"/>
    <n v="3"/>
    <n v="3"/>
    <s v="-"/>
    <n v="3"/>
    <s v="Improved"/>
  </r>
  <r>
    <s v="Ofsted Webpage"/>
    <n v="130744"/>
    <n v="10000756"/>
    <s v="The Blackpool Sixth Form College"/>
    <x v="9"/>
    <s v="Colleges"/>
    <s v="Blackpool"/>
    <s v="North West"/>
    <s v="North West"/>
    <s v="NULL"/>
    <s v="NULL"/>
    <s v="ITS333004"/>
    <s v="College Inspection SFC - Satisfactory Historic"/>
    <d v="2009-05-11T00:00:00"/>
    <d v="2009-05-15T00:00:00"/>
    <d v="2009-06-19T00:00:00"/>
    <x v="1"/>
    <n v="2"/>
    <n v="1"/>
    <s v="-"/>
    <n v="1"/>
    <s v="NULL"/>
    <s v="NULL"/>
    <s v="NULL"/>
    <s v="NULL"/>
    <s v="NULL"/>
    <s v="NULL"/>
    <s v="NULL"/>
    <s v="Not Applicable"/>
  </r>
  <r>
    <s v="Ofsted Webpage"/>
    <n v="130745"/>
    <n v="10001165"/>
    <s v="Cardinal Newman College"/>
    <x v="9"/>
    <s v="Colleges"/>
    <s v="Lancashire"/>
    <s v="North West"/>
    <s v="North West"/>
    <s v="NULL"/>
    <s v="NULL"/>
    <s v="ITS333000"/>
    <s v="College Inspection SFC - Good Historic"/>
    <d v="2009-05-19T00:00:00"/>
    <d v="2009-05-20T00:00:00"/>
    <d v="2009-06-26T00:00:00"/>
    <x v="1"/>
    <n v="1"/>
    <n v="1"/>
    <s v="-"/>
    <n v="1"/>
    <s v="NULL"/>
    <s v="NULL"/>
    <s v="NULL"/>
    <s v="NULL"/>
    <s v="NULL"/>
    <s v="NULL"/>
    <s v="NULL"/>
    <s v="Not Applicable"/>
  </r>
  <r>
    <s v="Ofsted Webpage"/>
    <n v="130746"/>
    <n v="10006226"/>
    <s v="St Mary's College"/>
    <x v="9"/>
    <s v="Colleges"/>
    <s v="Blackburn with Darwen"/>
    <s v="North West"/>
    <s v="North West"/>
    <s v="NULL"/>
    <s v="NULL"/>
    <n v="10023043"/>
    <s v="SFC - Full"/>
    <d v="2017-03-15T00:00:00"/>
    <d v="2017-03-17T00:00:00"/>
    <d v="2017-05-05T00:00:00"/>
    <x v="2"/>
    <n v="3"/>
    <n v="3"/>
    <n v="2"/>
    <n v="3"/>
    <s v="ITS423385"/>
    <d v="2013-09-20T00:00:00"/>
    <n v="2"/>
    <n v="2"/>
    <n v="2"/>
    <s v="-"/>
    <n v="3"/>
    <s v="Declined"/>
  </r>
  <r>
    <s v="Ofsted Webpage"/>
    <n v="130747"/>
    <n v="10006322"/>
    <s v="Stephenson College"/>
    <x v="8"/>
    <s v="Colleges"/>
    <s v="Leicestershire"/>
    <s v="East Midlands"/>
    <s v="East Midlands"/>
    <s v="NULL"/>
    <s v="NULL"/>
    <n v="10034351"/>
    <s v="FE College - Full"/>
    <d v="2017-05-09T00:00:00"/>
    <d v="2017-05-12T00:00:00"/>
    <d v="2017-06-14T00:00:00"/>
    <x v="0"/>
    <n v="2"/>
    <n v="2"/>
    <n v="2"/>
    <n v="2"/>
    <s v="ITS423362"/>
    <d v="2013-11-29T00:00:00"/>
    <n v="2"/>
    <n v="3"/>
    <n v="2"/>
    <s v="-"/>
    <n v="2"/>
    <s v="Stayed the Same"/>
  </r>
  <r>
    <s v="Ofsted Webpage"/>
    <n v="130748"/>
    <n v="10004112"/>
    <s v="Loughborough College"/>
    <x v="8"/>
    <s v="Colleges"/>
    <s v="Leicestershire"/>
    <s v="East Midlands"/>
    <s v="East Midlands"/>
    <s v="NULL"/>
    <s v="NULL"/>
    <n v="10022571"/>
    <s v="FE College - Full"/>
    <d v="2017-05-23T00:00:00"/>
    <d v="2017-05-26T00:00:00"/>
    <d v="2017-06-28T00:00:00"/>
    <x v="0"/>
    <n v="2"/>
    <n v="2"/>
    <n v="2"/>
    <n v="2"/>
    <s v="ITS409320"/>
    <d v="2013-03-01T00:00:00"/>
    <n v="2"/>
    <n v="3"/>
    <n v="2"/>
    <s v="-"/>
    <n v="2"/>
    <s v="Stayed the Same"/>
  </r>
  <r>
    <s v="Ofsted Webpage"/>
    <n v="130754"/>
    <n v="10000952"/>
    <s v="Brooksby Melton College"/>
    <x v="10"/>
    <s v="Colleges"/>
    <s v="Leicestershire"/>
    <s v="East Midlands"/>
    <s v="East Midlands"/>
    <d v="2016-11-02T00:00:00"/>
    <n v="1"/>
    <s v="ITS404159"/>
    <s v="FE College - Full"/>
    <d v="2012-11-13T00:00:00"/>
    <d v="2012-11-16T00:00:00"/>
    <d v="2012-12-21T00:00:00"/>
    <x v="0"/>
    <n v="2"/>
    <n v="2"/>
    <s v="-"/>
    <n v="2"/>
    <s v="ITS343693"/>
    <d v="2010-02-05T00:00:00"/>
    <n v="3"/>
    <n v="3"/>
    <n v="3"/>
    <s v="-"/>
    <n v="3"/>
    <s v="Improved"/>
  </r>
  <r>
    <s v="Ofsted Webpage"/>
    <n v="130755"/>
    <n v="10002642"/>
    <s v="Gateway Sixth Form College"/>
    <x v="9"/>
    <s v="Colleges"/>
    <s v="Leicester"/>
    <s v="East Midlands"/>
    <s v="East Midlands"/>
    <s v="NULL"/>
    <s v="NULL"/>
    <n v="10020150"/>
    <s v="SFC - Full"/>
    <d v="2016-10-11T00:00:00"/>
    <d v="2016-10-14T00:00:00"/>
    <d v="2016-11-17T00:00:00"/>
    <x v="4"/>
    <n v="4"/>
    <n v="4"/>
    <n v="4"/>
    <n v="4"/>
    <s v="ITS429098"/>
    <d v="2014-01-31T00:00:00"/>
    <n v="2"/>
    <n v="2"/>
    <n v="2"/>
    <s v="-"/>
    <n v="2"/>
    <s v="Declined"/>
  </r>
  <r>
    <s v="Ofsted Webpage"/>
    <n v="130756"/>
    <n v="10007671"/>
    <s v="Wyggeston and Queen Elizabeth I College"/>
    <x v="9"/>
    <s v="Colleges"/>
    <s v="Leicester"/>
    <s v="East Midlands"/>
    <s v="East Midlands"/>
    <s v="NULL"/>
    <s v="NULL"/>
    <n v="10040627"/>
    <s v="SFC - Requires improvement"/>
    <d v="2017-10-31T00:00:00"/>
    <d v="2017-11-03T00:00:00"/>
    <d v="2017-11-27T00:00:00"/>
    <x v="0"/>
    <n v="2"/>
    <n v="2"/>
    <n v="2"/>
    <n v="2"/>
    <n v="10004757"/>
    <d v="2016-03-11T00:00:00"/>
    <n v="3"/>
    <n v="3"/>
    <n v="3"/>
    <n v="2"/>
    <n v="3"/>
    <s v="Improved"/>
  </r>
  <r>
    <s v="Ofsted Webpage"/>
    <n v="130757"/>
    <n v="10005429"/>
    <s v="Regent College"/>
    <x v="9"/>
    <s v="Colleges"/>
    <s v="Leicester"/>
    <s v="East Midlands"/>
    <s v="East Midlands"/>
    <s v="NULL"/>
    <s v="NULL"/>
    <n v="10040628"/>
    <s v="SFC - Requires improvement"/>
    <d v="2017-09-19T00:00:00"/>
    <d v="2017-09-22T00:00:00"/>
    <d v="2017-10-24T00:00:00"/>
    <x v="0"/>
    <n v="2"/>
    <n v="2"/>
    <n v="2"/>
    <n v="2"/>
    <n v="10004758"/>
    <d v="2016-03-24T00:00:00"/>
    <n v="3"/>
    <n v="3"/>
    <n v="3"/>
    <n v="3"/>
    <n v="3"/>
    <s v="Improved"/>
  </r>
  <r>
    <s v="Ofsted Webpage"/>
    <n v="130759"/>
    <n v="10002743"/>
    <s v="Grantham College"/>
    <x v="8"/>
    <s v="Colleges"/>
    <s v="Lincolnshire"/>
    <s v="East Midlands"/>
    <s v="East Midlands"/>
    <s v="NULL"/>
    <s v="NULL"/>
    <n v="10030741"/>
    <s v="FE College - Requires improvement"/>
    <d v="2017-09-19T00:00:00"/>
    <d v="2017-09-22T00:00:00"/>
    <d v="2017-10-31T00:00:00"/>
    <x v="0"/>
    <n v="2"/>
    <n v="2"/>
    <n v="2"/>
    <n v="2"/>
    <n v="10004759"/>
    <d v="2015-12-18T00:00:00"/>
    <n v="3"/>
    <n v="3"/>
    <n v="3"/>
    <n v="3"/>
    <n v="3"/>
    <s v="Improved"/>
  </r>
  <r>
    <s v="Ofsted Webpage"/>
    <n v="130760"/>
    <n v="10006303"/>
    <s v="New College Stamford "/>
    <x v="8"/>
    <s v="Colleges"/>
    <s v="Lincolnshire"/>
    <s v="East Midlands"/>
    <s v="East Midlands"/>
    <s v="NULL"/>
    <s v="NULL"/>
    <n v="10022569"/>
    <s v="FE College - Requires improvement"/>
    <d v="2017-02-28T00:00:00"/>
    <d v="2017-03-03T00:00:00"/>
    <d v="2017-03-27T00:00:00"/>
    <x v="0"/>
    <n v="2"/>
    <n v="2"/>
    <n v="2"/>
    <n v="2"/>
    <s v="ITS452490"/>
    <d v="2015-03-27T00:00:00"/>
    <n v="3"/>
    <n v="3"/>
    <n v="3"/>
    <s v="-"/>
    <n v="3"/>
    <s v="Improved"/>
  </r>
  <r>
    <s v="Ofsted Webpage"/>
    <n v="130761"/>
    <n v="10000812"/>
    <s v="Boston College"/>
    <x v="8"/>
    <s v="Colleges"/>
    <s v="Lincolnshire"/>
    <s v="East Midlands"/>
    <s v="East Midlands"/>
    <d v="2017-11-16T00:00:00"/>
    <n v="1"/>
    <s v="ITS429285"/>
    <s v="FE College - Requires improvement"/>
    <d v="2014-06-02T00:00:00"/>
    <d v="2014-06-06T00:00:00"/>
    <d v="2014-07-07T00:00:00"/>
    <x v="0"/>
    <n v="2"/>
    <n v="2"/>
    <s v="-"/>
    <n v="2"/>
    <s v="ITS409297"/>
    <d v="2013-02-01T00:00:00"/>
    <n v="3"/>
    <n v="3"/>
    <n v="3"/>
    <s v="-"/>
    <n v="3"/>
    <s v="Improved"/>
  </r>
  <r>
    <s v="Ofsted Webpage"/>
    <n v="130762"/>
    <n v="10003928"/>
    <s v="Lincoln College"/>
    <x v="8"/>
    <s v="Colleges"/>
    <s v="Lincolnshire"/>
    <s v="East Midlands"/>
    <s v="East Midlands"/>
    <s v="NULL"/>
    <s v="NULL"/>
    <n v="10019027"/>
    <s v="FE College - Full"/>
    <d v="2016-05-17T00:00:00"/>
    <d v="2016-05-20T00:00:00"/>
    <d v="2016-07-07T00:00:00"/>
    <x v="2"/>
    <n v="3"/>
    <n v="3"/>
    <n v="3"/>
    <n v="3"/>
    <s v="ITS363289"/>
    <d v="2011-02-18T00:00:00"/>
    <n v="1"/>
    <n v="1"/>
    <n v="2"/>
    <s v="-"/>
    <n v="1"/>
    <s v="Declined"/>
  </r>
  <r>
    <s v="Ofsted Webpage"/>
    <n v="130763"/>
    <n v="10007916"/>
    <s v="The College of West Anglia"/>
    <x v="8"/>
    <s v="Colleges"/>
    <s v="Norfolk"/>
    <s v="East of England"/>
    <s v="East of England"/>
    <s v="NULL"/>
    <s v="NULL"/>
    <n v="10022608"/>
    <s v="FE College - Full"/>
    <d v="2017-01-11T00:00:00"/>
    <d v="2017-01-17T00:00:00"/>
    <d v="2017-03-14T00:00:00"/>
    <x v="2"/>
    <n v="3"/>
    <n v="3"/>
    <n v="3"/>
    <n v="3"/>
    <s v="ITS408429"/>
    <d v="2013-01-18T00:00:00"/>
    <n v="2"/>
    <n v="2"/>
    <n v="2"/>
    <s v="-"/>
    <n v="2"/>
    <s v="Declined"/>
  </r>
  <r>
    <s v="Ofsted Webpage"/>
    <n v="130764"/>
    <n v="10004772"/>
    <s v="Norwich City College of Further and Higher Education"/>
    <x v="8"/>
    <s v="Colleges"/>
    <s v="Norfolk"/>
    <s v="East of England"/>
    <s v="East of England"/>
    <s v="NULL"/>
    <s v="NULL"/>
    <n v="10022603"/>
    <s v="FE College - Full"/>
    <d v="2017-02-07T00:00:00"/>
    <d v="2017-02-10T00:00:00"/>
    <d v="2017-03-31T00:00:00"/>
    <x v="0"/>
    <n v="2"/>
    <n v="2"/>
    <n v="2"/>
    <n v="2"/>
    <s v="ITS410615"/>
    <d v="2013-03-22T00:00:00"/>
    <n v="2"/>
    <n v="3"/>
    <n v="2"/>
    <s v="-"/>
    <n v="2"/>
    <s v="Stayed the Same"/>
  </r>
  <r>
    <s v="Ofsted Webpage"/>
    <n v="130767"/>
    <n v="10002122"/>
    <s v="East Norfolk Sixth Form College"/>
    <x v="9"/>
    <s v="Colleges"/>
    <s v="Norfolk"/>
    <s v="East of England"/>
    <s v="East of England"/>
    <s v="NULL"/>
    <s v="NULL"/>
    <n v="10020140"/>
    <s v="SFC - Full"/>
    <d v="2016-10-18T00:00:00"/>
    <d v="2016-11-04T00:00:00"/>
    <d v="2017-01-16T00:00:00"/>
    <x v="0"/>
    <n v="2"/>
    <n v="2"/>
    <n v="2"/>
    <n v="2"/>
    <s v="ITS423386"/>
    <d v="2013-09-20T00:00:00"/>
    <n v="2"/>
    <n v="3"/>
    <n v="2"/>
    <s v="-"/>
    <n v="2"/>
    <s v="Stayed the Same"/>
  </r>
  <r>
    <s v="Ofsted Webpage"/>
    <n v="130768"/>
    <n v="10005001"/>
    <s v="Paston College"/>
    <x v="9"/>
    <s v="Colleges"/>
    <s v="Norfolk"/>
    <s v="East of England"/>
    <s v="East of England"/>
    <s v="NULL"/>
    <s v="NULL"/>
    <n v="10004760"/>
    <s v="SFC - Full"/>
    <d v="2015-12-09T00:00:00"/>
    <d v="2015-12-11T00:00:00"/>
    <d v="2016-01-15T00:00:00"/>
    <x v="0"/>
    <n v="2"/>
    <n v="2"/>
    <n v="2"/>
    <n v="2"/>
    <s v="ITS363316"/>
    <d v="2011-03-18T00:00:00"/>
    <n v="2"/>
    <n v="2"/>
    <n v="2"/>
    <s v="-"/>
    <n v="2"/>
    <s v="Stayed the Same"/>
  </r>
  <r>
    <s v="Ofsted Webpage"/>
    <n v="130769"/>
    <n v="10007011"/>
    <s v="Northampton College"/>
    <x v="8"/>
    <s v="Colleges"/>
    <s v="Northamptonshire"/>
    <s v="East Midlands"/>
    <s v="East Midlands"/>
    <s v="NULL"/>
    <s v="NULL"/>
    <n v="10022574"/>
    <s v="FE College - Full"/>
    <d v="2017-04-24T00:00:00"/>
    <d v="2017-04-27T00:00:00"/>
    <d v="2017-05-23T00:00:00"/>
    <x v="2"/>
    <n v="3"/>
    <n v="3"/>
    <n v="3"/>
    <n v="3"/>
    <s v="ITS408428"/>
    <d v="2013-02-08T00:00:00"/>
    <n v="2"/>
    <n v="2"/>
    <n v="2"/>
    <s v="-"/>
    <n v="2"/>
    <s v="Declined"/>
  </r>
  <r>
    <s v="Ofsted Webpage"/>
    <n v="130772"/>
    <n v="10004442"/>
    <s v="Moulton College"/>
    <x v="10"/>
    <s v="Colleges"/>
    <s v="Northamptonshire"/>
    <s v="East Midlands"/>
    <s v="East Midlands"/>
    <s v="NULL"/>
    <s v="NULL"/>
    <n v="10011441"/>
    <s v="FE College - Full"/>
    <d v="2016-04-26T00:00:00"/>
    <d v="2016-04-29T00:00:00"/>
    <d v="2016-06-09T00:00:00"/>
    <x v="2"/>
    <n v="3"/>
    <n v="3"/>
    <n v="3"/>
    <n v="3"/>
    <s v="ITS320855"/>
    <d v="2008-05-08T00:00:00"/>
    <n v="1"/>
    <n v="1"/>
    <n v="1"/>
    <s v="-"/>
    <n v="1"/>
    <s v="Declined"/>
  </r>
  <r>
    <s v="Ofsted Webpage"/>
    <n v="130773"/>
    <n v="10004760"/>
    <s v="Northumberland College"/>
    <x v="8"/>
    <s v="Colleges"/>
    <s v="Northumberland"/>
    <s v="North East"/>
    <s v="North East, Yorkshire and the Humber"/>
    <d v="2017-05-05T00:00:00"/>
    <n v="1"/>
    <s v="ITS408434"/>
    <s v="FE College - Full"/>
    <d v="2013-01-28T00:00:00"/>
    <d v="2013-02-01T00:00:00"/>
    <d v="2013-03-08T00:00:00"/>
    <x v="0"/>
    <n v="2"/>
    <n v="2"/>
    <s v="-"/>
    <n v="2"/>
    <s v="ITS342296"/>
    <d v="2009-10-09T00:00:00"/>
    <n v="3"/>
    <n v="3"/>
    <n v="3"/>
    <s v="-"/>
    <n v="3"/>
    <s v="Improved"/>
  </r>
  <r>
    <s v="Ofsted Webpage"/>
    <n v="130776"/>
    <n v="10004577"/>
    <s v="Nottingham College"/>
    <x v="8"/>
    <s v="Colleges"/>
    <s v="Nottingham"/>
    <s v="East Midlands"/>
    <s v="East Midlands"/>
    <s v="NULL"/>
    <s v="NULL"/>
    <n v="10004763"/>
    <s v="FE College - Requires improvement - second inspection"/>
    <d v="2015-12-01T00:00:00"/>
    <d v="2015-12-04T00:00:00"/>
    <d v="2016-01-06T00:00:00"/>
    <x v="0"/>
    <n v="2"/>
    <n v="2"/>
    <n v="2"/>
    <n v="2"/>
    <s v="ITS429286"/>
    <d v="2014-05-16T00:00:00"/>
    <n v="3"/>
    <n v="3"/>
    <n v="3"/>
    <s v="-"/>
    <n v="3"/>
    <s v="Improved"/>
  </r>
  <r>
    <s v="Ofsted Webpage"/>
    <n v="130777"/>
    <n v="10007427"/>
    <s v="West Nottinghamshire College"/>
    <x v="8"/>
    <s v="Colleges"/>
    <s v="Nottinghamshire"/>
    <s v="East Midlands"/>
    <s v="East Midlands"/>
    <s v="NULL"/>
    <s v="NULL"/>
    <n v="10011442"/>
    <s v="FE College - Full"/>
    <d v="2017-02-07T00:00:00"/>
    <d v="2017-02-10T00:00:00"/>
    <d v="2017-03-21T00:00:00"/>
    <x v="0"/>
    <n v="2"/>
    <n v="2"/>
    <n v="2"/>
    <n v="2"/>
    <s v="ITS388004"/>
    <d v="2012-06-01T00:00:00"/>
    <n v="2"/>
    <n v="2"/>
    <n v="3"/>
    <s v="-"/>
    <n v="2"/>
    <s v="Stayed the Same"/>
  </r>
  <r>
    <s v="Ofsted Webpage"/>
    <n v="130787"/>
    <n v="10000695"/>
    <s v="Bilborough College"/>
    <x v="9"/>
    <s v="Colleges"/>
    <s v="Nottingham"/>
    <s v="East Midlands"/>
    <s v="East Midlands"/>
    <s v="NULL"/>
    <s v="NULL"/>
    <n v="10008473"/>
    <s v="SFC - Requires improvement"/>
    <d v="2016-09-27T00:00:00"/>
    <d v="2016-09-30T00:00:00"/>
    <d v="2016-11-02T00:00:00"/>
    <x v="0"/>
    <n v="2"/>
    <n v="2"/>
    <n v="2"/>
    <n v="2"/>
    <s v="ITS452491"/>
    <d v="2015-01-23T00:00:00"/>
    <n v="3"/>
    <n v="3"/>
    <n v="3"/>
    <s v="-"/>
    <n v="3"/>
    <s v="Improved"/>
  </r>
  <r>
    <s v="Ofsted Webpage"/>
    <n v="130789"/>
    <n v="10003011"/>
    <s v="The Henley College"/>
    <x v="9"/>
    <s v="Colleges"/>
    <s v="Oxfordshire"/>
    <s v="South East"/>
    <s v="South East"/>
    <d v="2016-05-12T00:00:00"/>
    <n v="1"/>
    <s v="ITS362140"/>
    <s v="College Inspection FE - Good Historic"/>
    <d v="2010-11-08T00:00:00"/>
    <d v="2010-11-12T00:00:00"/>
    <d v="2010-12-17T00:00:00"/>
    <x v="0"/>
    <n v="2"/>
    <n v="2"/>
    <s v="-"/>
    <n v="2"/>
    <s v="ITS295865"/>
    <d v="2006-12-01T00:00:00"/>
    <n v="2"/>
    <n v="2"/>
    <n v="2"/>
    <s v="-"/>
    <n v="2"/>
    <s v="Stayed the Same"/>
  </r>
  <r>
    <s v="Ofsted Webpage"/>
    <n v="130793"/>
    <n v="10000055"/>
    <s v="Abingdon and Witney College"/>
    <x v="8"/>
    <s v="Colleges"/>
    <s v="Oxfordshire"/>
    <s v="South East"/>
    <s v="South East"/>
    <s v="NULL"/>
    <s v="NULL"/>
    <n v="10020080"/>
    <s v="FE College - Full"/>
    <d v="2017-03-28T00:00:00"/>
    <d v="2017-03-31T00:00:00"/>
    <d v="2017-05-08T00:00:00"/>
    <x v="0"/>
    <n v="2"/>
    <n v="2"/>
    <n v="2"/>
    <n v="2"/>
    <s v="ITS429152"/>
    <d v="2014-01-31T00:00:00"/>
    <n v="2"/>
    <n v="2"/>
    <n v="2"/>
    <s v="-"/>
    <n v="1"/>
    <s v="Stayed the Same"/>
  </r>
  <r>
    <s v="Ofsted Webpage"/>
    <n v="130794"/>
    <n v="10005583"/>
    <s v="Ruskin College"/>
    <x v="7"/>
    <s v="Community learning and skills providers"/>
    <s v="Oxfordshire"/>
    <s v="South East"/>
    <s v="South East"/>
    <d v="2016-09-28T00:00:00"/>
    <n v="1"/>
    <s v="ITS399150"/>
    <s v="Adult and Community - full (regional) Historic"/>
    <d v="2012-11-20T00:00:00"/>
    <d v="2012-11-23T00:00:00"/>
    <d v="2013-01-01T00:00:00"/>
    <x v="0"/>
    <n v="2"/>
    <n v="2"/>
    <s v="-"/>
    <n v="2"/>
    <s v="ITS316693"/>
    <d v="2007-10-12T00:00:00"/>
    <n v="2"/>
    <n v="2"/>
    <n v="2"/>
    <s v="-"/>
    <n v="2"/>
    <s v="Stayed the Same"/>
  </r>
  <r>
    <s v="Ofsted Webpage"/>
    <n v="130796"/>
    <n v="10006549"/>
    <s v="Telford College of Arts and Technology"/>
    <x v="8"/>
    <s v="Colleges"/>
    <s v="Telford and Wrekin"/>
    <s v="West Midlands"/>
    <s v="West Midlands"/>
    <s v="NULL"/>
    <s v="NULL"/>
    <n v="10030742"/>
    <s v="FE College - Reinspection"/>
    <d v="2017-06-06T00:00:00"/>
    <d v="2017-06-09T00:00:00"/>
    <d v="2017-06-29T00:00:00"/>
    <x v="2"/>
    <n v="3"/>
    <n v="3"/>
    <n v="3"/>
    <n v="3"/>
    <n v="10012691"/>
    <d v="2016-05-06T00:00:00"/>
    <n v="4"/>
    <n v="4"/>
    <n v="4"/>
    <n v="4"/>
    <n v="4"/>
    <s v="Improved"/>
  </r>
  <r>
    <s v="Ofsted Webpage"/>
    <n v="130797"/>
    <n v="10007299"/>
    <s v="North Shropshire College"/>
    <x v="8"/>
    <s v="Colleges"/>
    <s v="Shropshire"/>
    <s v="West Midlands"/>
    <s v="West Midlands"/>
    <s v="NULL"/>
    <s v="NULL"/>
    <n v="10030716"/>
    <s v="FE College - Reinspection"/>
    <d v="2017-05-09T00:00:00"/>
    <d v="2017-05-12T00:00:00"/>
    <d v="2017-06-05T00:00:00"/>
    <x v="2"/>
    <n v="3"/>
    <n v="3"/>
    <n v="2"/>
    <n v="3"/>
    <n v="10004771"/>
    <d v="2016-01-29T00:00:00"/>
    <n v="4"/>
    <n v="3"/>
    <n v="3"/>
    <n v="3"/>
    <n v="4"/>
    <s v="Improved"/>
  </r>
  <r>
    <s v="Ofsted Webpage"/>
    <n v="130800"/>
    <n v="10005822"/>
    <s v="Shrewsbury Colleges Group"/>
    <x v="9"/>
    <s v="Colleges"/>
    <s v="Shropshire"/>
    <s v="West Midlands"/>
    <s v="West Midlands"/>
    <s v="NULL"/>
    <s v="NULL"/>
    <s v="ITS423388"/>
    <s v="SFC - Full"/>
    <d v="2013-10-15T00:00:00"/>
    <d v="2013-10-18T00:00:00"/>
    <d v="2013-11-12T00:00:00"/>
    <x v="0"/>
    <n v="2"/>
    <n v="2"/>
    <s v="-"/>
    <n v="2"/>
    <s v="ITS318899"/>
    <d v="2008-03-14T00:00:00"/>
    <n v="2"/>
    <n v="2"/>
    <n v="2"/>
    <s v="-"/>
    <n v="2"/>
    <s v="Stayed the Same"/>
  </r>
  <r>
    <s v="Ofsted Webpage"/>
    <n v="130801"/>
    <n v="10004580"/>
    <s v="New College Telford"/>
    <x v="9"/>
    <s v="Colleges"/>
    <s v="Telford and Wrekin"/>
    <s v="West Midlands"/>
    <s v="West Midlands"/>
    <s v="NULL"/>
    <s v="NULL"/>
    <n v="10004772"/>
    <s v="SFC - Requires improvement"/>
    <d v="2016-12-06T00:00:00"/>
    <d v="2016-12-08T00:00:00"/>
    <d v="2017-01-18T00:00:00"/>
    <x v="2"/>
    <n v="3"/>
    <n v="3"/>
    <n v="2"/>
    <n v="3"/>
    <s v="ITS452492"/>
    <d v="2015-02-13T00:00:00"/>
    <n v="3"/>
    <n v="3"/>
    <n v="3"/>
    <s v="-"/>
    <n v="3"/>
    <s v="Stayed the Same"/>
  </r>
  <r>
    <s v="Ofsted Webpage"/>
    <n v="130803"/>
    <n v="10000878"/>
    <s v="Bridgwater and Taunton College"/>
    <x v="8"/>
    <s v="Colleges"/>
    <s v="Somerset"/>
    <s v="South West"/>
    <s v="South West"/>
    <s v="NULL"/>
    <s v="NULL"/>
    <s v="ITS295068"/>
    <s v="College category 1 visit Historic"/>
    <d v="2006-11-17T00:00:00"/>
    <d v="2006-11-17T00:00:00"/>
    <d v="2007-01-12T00:00:00"/>
    <x v="1"/>
    <n v="1"/>
    <n v="1"/>
    <s v="-"/>
    <n v="1"/>
    <s v="NULL"/>
    <s v="NULL"/>
    <s v="NULL"/>
    <s v="NULL"/>
    <s v="NULL"/>
    <s v="NULL"/>
    <s v="NULL"/>
    <s v="Not Applicable"/>
  </r>
  <r>
    <s v="Ofsted Webpage"/>
    <n v="130805"/>
    <n v="10007696"/>
    <s v="Yeovil College"/>
    <x v="8"/>
    <s v="Colleges"/>
    <s v="Somerset"/>
    <s v="South West"/>
    <s v="South West"/>
    <s v="NULL"/>
    <s v="NULL"/>
    <n v="10020108"/>
    <s v="FE College - Full"/>
    <d v="2016-10-04T00:00:00"/>
    <d v="2016-10-07T00:00:00"/>
    <d v="2016-11-16T00:00:00"/>
    <x v="0"/>
    <n v="2"/>
    <n v="2"/>
    <n v="2"/>
    <n v="2"/>
    <s v="ITS386116"/>
    <d v="2012-04-20T00:00:00"/>
    <n v="2"/>
    <n v="3"/>
    <n v="2"/>
    <s v="-"/>
    <n v="2"/>
    <s v="Stayed the Same"/>
  </r>
  <r>
    <s v="Ofsted Webpage"/>
    <n v="130806"/>
    <n v="10006378"/>
    <s v="Strode College"/>
    <x v="8"/>
    <s v="Colleges"/>
    <s v="Somerset"/>
    <s v="South West"/>
    <s v="South West"/>
    <s v="NULL"/>
    <s v="NULL"/>
    <s v="ITS446539"/>
    <s v="FE College - Full"/>
    <d v="2014-09-23T00:00:00"/>
    <d v="2014-09-26T00:00:00"/>
    <d v="2014-10-31T00:00:00"/>
    <x v="1"/>
    <n v="1"/>
    <n v="1"/>
    <s v="-"/>
    <n v="1"/>
    <s v="ITS330974"/>
    <d v="2008-10-02T00:00:00"/>
    <n v="2"/>
    <n v="2"/>
    <n v="2"/>
    <s v="-"/>
    <n v="2"/>
    <s v="Improved"/>
  </r>
  <r>
    <s v="Ofsted Webpage"/>
    <n v="130808"/>
    <n v="10005465"/>
    <s v="Richard Huish College"/>
    <x v="9"/>
    <s v="Colleges"/>
    <s v="Somerset"/>
    <s v="South West"/>
    <s v="South West"/>
    <s v="NULL"/>
    <s v="NULL"/>
    <s v="ITS316619"/>
    <s v="College Inspection SFC - Good Historic"/>
    <d v="2007-10-02T00:00:00"/>
    <d v="2007-10-03T00:00:00"/>
    <d v="2007-11-23T00:00:00"/>
    <x v="1"/>
    <n v="1"/>
    <n v="1"/>
    <s v="-"/>
    <n v="1"/>
    <s v="NULL"/>
    <s v="NULL"/>
    <s v="NULL"/>
    <s v="NULL"/>
    <s v="NULL"/>
    <s v="NULL"/>
    <s v="NULL"/>
    <s v="Not Applicable"/>
  </r>
  <r>
    <s v="Ofsted Webpage"/>
    <n v="130809"/>
    <n v="10001004"/>
    <s v="Burton and South Derbyshire College"/>
    <x v="8"/>
    <s v="Colleges"/>
    <s v="Staffordshire"/>
    <s v="West Midlands"/>
    <s v="West Midlands"/>
    <s v="NULL"/>
    <s v="NULL"/>
    <n v="10037406"/>
    <s v="FE College - Requires improvement"/>
    <d v="2017-09-26T00:00:00"/>
    <d v="2017-09-29T00:00:00"/>
    <d v="2017-10-20T00:00:00"/>
    <x v="0"/>
    <n v="2"/>
    <n v="2"/>
    <n v="2"/>
    <n v="2"/>
    <n v="10008495"/>
    <d v="2016-03-04T00:00:00"/>
    <n v="3"/>
    <n v="3"/>
    <n v="3"/>
    <n v="2"/>
    <n v="3"/>
    <s v="Improved"/>
  </r>
  <r>
    <s v="Ofsted Webpage"/>
    <n v="130812"/>
    <n v="10004603"/>
    <s v="Newcastle and Stafford Colleges Group"/>
    <x v="8"/>
    <s v="Colleges"/>
    <s v="Staffordshire"/>
    <s v="West Midlands"/>
    <s v="West Midlands"/>
    <s v="NULL"/>
    <s v="NULL"/>
    <s v="ITS423364"/>
    <s v="FE College - Full"/>
    <d v="2013-11-25T00:00:00"/>
    <d v="2013-11-29T00:00:00"/>
    <d v="2014-01-08T00:00:00"/>
    <x v="0"/>
    <n v="2"/>
    <n v="2"/>
    <s v="-"/>
    <n v="2"/>
    <s v="ITS316638"/>
    <d v="2007-11-02T00:00:00"/>
    <n v="2"/>
    <n v="2"/>
    <n v="2"/>
    <s v="-"/>
    <n v="2"/>
    <s v="Stayed the Same"/>
  </r>
  <r>
    <s v="Ofsted Webpage"/>
    <n v="130815"/>
    <n v="10006349"/>
    <s v="Stoke-on-Trent College"/>
    <x v="8"/>
    <s v="Colleges"/>
    <s v="Stoke-on-Trent"/>
    <s v="West Midlands"/>
    <s v="West Midlands"/>
    <s v="NULL"/>
    <s v="NULL"/>
    <n v="10020091"/>
    <s v="FE College - Full"/>
    <d v="2016-09-20T00:00:00"/>
    <d v="2016-09-23T00:00:00"/>
    <d v="2016-11-16T00:00:00"/>
    <x v="2"/>
    <n v="3"/>
    <n v="3"/>
    <n v="3"/>
    <n v="3"/>
    <s v="ITS423365"/>
    <d v="2013-12-06T00:00:00"/>
    <n v="2"/>
    <n v="2"/>
    <n v="2"/>
    <s v="-"/>
    <n v="2"/>
    <s v="Declined"/>
  </r>
  <r>
    <s v="Ofsted Webpage"/>
    <n v="130818"/>
    <n v="10007431"/>
    <s v="West Suffolk College"/>
    <x v="8"/>
    <s v="Colleges"/>
    <s v="Suffolk"/>
    <s v="East of England"/>
    <s v="East of England"/>
    <d v="2016-05-11T00:00:00"/>
    <n v="1"/>
    <s v="ITS345803"/>
    <s v="College Inspection FE - Good Historic"/>
    <d v="2010-05-24T00:00:00"/>
    <d v="2010-05-28T00:00:00"/>
    <d v="2010-07-05T00:00:00"/>
    <x v="0"/>
    <n v="2"/>
    <n v="2"/>
    <s v="-"/>
    <n v="2"/>
    <s v="ITS284866"/>
    <d v="2006-05-26T00:00:00"/>
    <n v="1"/>
    <n v="1"/>
    <n v="2"/>
    <s v="-"/>
    <n v="1"/>
    <s v="Declined"/>
  </r>
  <r>
    <s v="Ofsted Webpage"/>
    <n v="130819"/>
    <n v="10004116"/>
    <s v="East Coast College"/>
    <x v="8"/>
    <s v="Colleges"/>
    <s v="Suffolk"/>
    <s v="East of England"/>
    <s v="East of England"/>
    <s v="NULL"/>
    <s v="NULL"/>
    <n v="10011445"/>
    <s v="FE College - Requires improvement - second inspection"/>
    <d v="2016-04-26T00:00:00"/>
    <d v="2016-04-29T00:00:00"/>
    <d v="2016-05-25T00:00:00"/>
    <x v="2"/>
    <n v="3"/>
    <n v="3"/>
    <n v="3"/>
    <n v="3"/>
    <s v="ITS430274"/>
    <d v="2014-12-05T00:00:00"/>
    <n v="3"/>
    <n v="3"/>
    <n v="3"/>
    <s v="-"/>
    <n v="3"/>
    <s v="Stayed the Same"/>
  </r>
  <r>
    <s v="Ofsted Webpage"/>
    <n v="130820"/>
    <n v="10006398"/>
    <s v="Suffolk New College"/>
    <x v="8"/>
    <s v="Colleges"/>
    <s v="Suffolk"/>
    <s v="East of England"/>
    <s v="East of England"/>
    <s v="NULL"/>
    <s v="NULL"/>
    <n v="10037407"/>
    <s v="FE College - Requires improvement"/>
    <d v="2017-10-17T00:00:00"/>
    <d v="2017-10-20T00:00:00"/>
    <d v="2017-11-30T00:00:00"/>
    <x v="0"/>
    <n v="2"/>
    <n v="2"/>
    <n v="2"/>
    <n v="2"/>
    <n v="10004779"/>
    <d v="2015-11-13T00:00:00"/>
    <n v="3"/>
    <n v="3"/>
    <n v="3"/>
    <n v="2"/>
    <n v="3"/>
    <s v="Improved"/>
  </r>
  <r>
    <s v="Ofsted Webpage"/>
    <n v="130822"/>
    <n v="10004686"/>
    <s v="North East Surrey College of Technology"/>
    <x v="8"/>
    <s v="Colleges"/>
    <s v="Surrey"/>
    <s v="South East"/>
    <s v="South East"/>
    <d v="2016-01-14T00:00:00"/>
    <n v="1"/>
    <s v="ITS354456"/>
    <s v="College Inspection FE - Satisfactory Historic"/>
    <d v="2010-09-27T00:00:00"/>
    <d v="2010-10-01T00:00:00"/>
    <d v="2010-11-04T00:00:00"/>
    <x v="0"/>
    <n v="2"/>
    <n v="2"/>
    <s v="-"/>
    <n v="1"/>
    <s v="ITS295868"/>
    <d v="2006-12-08T00:00:00"/>
    <n v="3"/>
    <n v="3"/>
    <n v="3"/>
    <s v="-"/>
    <n v="2"/>
    <s v="Improved"/>
  </r>
  <r>
    <s v="Ofsted Webpage"/>
    <n v="130823"/>
    <n v="10002815"/>
    <s v="Guildford College of Further and Higher Education"/>
    <x v="8"/>
    <s v="Colleges"/>
    <s v="Surrey"/>
    <s v="South East"/>
    <s v="South East"/>
    <s v="NULL"/>
    <s v="NULL"/>
    <n v="10030682"/>
    <s v="FE College - Requires improvement"/>
    <d v="2017-05-09T00:00:00"/>
    <d v="2017-05-12T00:00:00"/>
    <d v="2017-06-20T00:00:00"/>
    <x v="2"/>
    <n v="3"/>
    <n v="3"/>
    <n v="3"/>
    <n v="3"/>
    <s v="ITS455460"/>
    <d v="2015-06-05T00:00:00"/>
    <n v="3"/>
    <n v="3"/>
    <n v="3"/>
    <s v="-"/>
    <n v="3"/>
    <s v="Stayed the Same"/>
  </r>
  <r>
    <s v="Ofsted Webpage"/>
    <n v="130824"/>
    <n v="10002130"/>
    <s v="East Surrey College"/>
    <x v="8"/>
    <s v="Colleges"/>
    <s v="Surrey"/>
    <s v="South East"/>
    <s v="South East"/>
    <d v="2017-10-12T00:00:00"/>
    <n v="1"/>
    <s v="ITS446540"/>
    <s v="FE College - Full"/>
    <d v="2014-12-09T00:00:00"/>
    <d v="2014-12-12T00:00:00"/>
    <d v="2015-01-21T00:00:00"/>
    <x v="0"/>
    <n v="2"/>
    <n v="2"/>
    <s v="-"/>
    <n v="2"/>
    <s v="ITS329158"/>
    <d v="2009-01-16T00:00:00"/>
    <n v="2"/>
    <n v="2"/>
    <n v="2"/>
    <s v="-"/>
    <n v="2"/>
    <s v="Stayed the Same"/>
  </r>
  <r>
    <s v="Ofsted Webpage"/>
    <n v="130825"/>
    <n v="10000950"/>
    <s v="Brooklands College"/>
    <x v="8"/>
    <s v="Colleges"/>
    <s v="Surrey"/>
    <s v="South East"/>
    <s v="South East"/>
    <d v="2017-11-02T00:00:00"/>
    <n v="1"/>
    <s v="ITS423366"/>
    <s v="FE College - Full"/>
    <d v="2013-12-02T00:00:00"/>
    <d v="2013-12-06T00:00:00"/>
    <d v="2014-01-15T00:00:00"/>
    <x v="0"/>
    <n v="3"/>
    <n v="2"/>
    <s v="-"/>
    <n v="2"/>
    <s v="ITS385347"/>
    <d v="2012-02-10T00:00:00"/>
    <n v="3"/>
    <n v="3"/>
    <n v="3"/>
    <s v="-"/>
    <n v="3"/>
    <s v="Improved"/>
  </r>
  <r>
    <s v="Ofsted Webpage"/>
    <n v="130828"/>
    <n v="10002710"/>
    <s v="Godalming College"/>
    <x v="9"/>
    <s v="Colleges"/>
    <s v="Surrey"/>
    <s v="South East"/>
    <s v="South East"/>
    <s v="NULL"/>
    <s v="NULL"/>
    <s v="ITS322405"/>
    <s v="College Inspection FE - Good Historic"/>
    <d v="2008-05-21T00:00:00"/>
    <d v="2008-05-22T00:00:00"/>
    <d v="2008-07-11T00:00:00"/>
    <x v="1"/>
    <n v="1"/>
    <n v="1"/>
    <s v="-"/>
    <n v="1"/>
    <s v="NULL"/>
    <s v="NULL"/>
    <s v="NULL"/>
    <s v="NULL"/>
    <s v="NULL"/>
    <s v="NULL"/>
    <s v="NULL"/>
    <s v="Not Applicable"/>
  </r>
  <r>
    <s v="Ofsted Webpage"/>
    <n v="130830"/>
    <n v="10002314"/>
    <s v="Esher College"/>
    <x v="9"/>
    <s v="Colleges"/>
    <s v="Surrey"/>
    <s v="South East"/>
    <s v="South East"/>
    <s v="NULL"/>
    <s v="NULL"/>
    <s v="ITS322404"/>
    <s v="College Inspection FE - Good Historic"/>
    <d v="2008-05-07T00:00:00"/>
    <d v="2008-05-08T00:00:00"/>
    <d v="2008-06-27T00:00:00"/>
    <x v="1"/>
    <n v="1"/>
    <n v="1"/>
    <s v="-"/>
    <n v="1"/>
    <s v="NULL"/>
    <s v="NULL"/>
    <s v="NULL"/>
    <s v="NULL"/>
    <s v="NULL"/>
    <s v="NULL"/>
    <s v="NULL"/>
    <s v="Not Applicable"/>
  </r>
  <r>
    <s v="Ofsted Webpage"/>
    <n v="130835"/>
    <n v="10007859"/>
    <s v="Warwickshire College Group"/>
    <x v="8"/>
    <s v="Colleges"/>
    <s v="Warwickshire"/>
    <s v="West Midlands"/>
    <s v="West Midlands"/>
    <s v="NULL"/>
    <s v="NULL"/>
    <s v="ITS461394"/>
    <s v="FE College - Full"/>
    <d v="2015-03-09T00:00:00"/>
    <d v="2015-03-13T00:00:00"/>
    <d v="2015-04-02T00:00:00"/>
    <x v="0"/>
    <n v="3"/>
    <n v="2"/>
    <s v="-"/>
    <n v="2"/>
    <s v="ITS318900"/>
    <d v="2008-01-25T00:00:00"/>
    <n v="1"/>
    <n v="2"/>
    <n v="2"/>
    <s v="-"/>
    <n v="1"/>
    <s v="Declined"/>
  </r>
  <r>
    <s v="Ofsted Webpage"/>
    <n v="130836"/>
    <n v="10004718"/>
    <s v="North Warwickshire and South Leicestershire College"/>
    <x v="8"/>
    <s v="Colleges"/>
    <s v="Warwickshire"/>
    <s v="West Midlands"/>
    <s v="West Midlands"/>
    <s v="NULL"/>
    <s v="NULL"/>
    <s v="ITS385329"/>
    <s v="College Inspection FE - Good Historic"/>
    <d v="2012-03-12T00:00:00"/>
    <d v="2012-03-16T00:00:00"/>
    <d v="2012-04-24T00:00:00"/>
    <x v="0"/>
    <n v="3"/>
    <n v="2"/>
    <s v="-"/>
    <n v="2"/>
    <s v="ITS317043"/>
    <d v="2007-11-02T00:00:00"/>
    <n v="1"/>
    <n v="2"/>
    <n v="2"/>
    <s v="-"/>
    <n v="1"/>
    <s v="Declined"/>
  </r>
  <r>
    <s v="Ofsted Webpage"/>
    <n v="130837"/>
    <n v="10006002"/>
    <s v="Stratford-upon-Avon College"/>
    <x v="8"/>
    <s v="Colleges"/>
    <s v="Warwickshire"/>
    <s v="West Midlands"/>
    <s v="West Midlands"/>
    <s v="NULL"/>
    <s v="NULL"/>
    <n v="10037376"/>
    <s v="FE College - Full"/>
    <d v="2017-09-19T00:00:00"/>
    <d v="2017-09-22T00:00:00"/>
    <d v="2017-10-30T00:00:00"/>
    <x v="2"/>
    <n v="3"/>
    <n v="3"/>
    <n v="2"/>
    <n v="3"/>
    <s v="ITS433769"/>
    <d v="2015-03-20T00:00:00"/>
    <n v="2"/>
    <n v="3"/>
    <n v="2"/>
    <s v="-"/>
    <n v="2"/>
    <s v="Declined"/>
  </r>
  <r>
    <s v="Ofsted Webpage"/>
    <n v="130840"/>
    <n v="10003624"/>
    <s v="King Edward VI College Nuneaton"/>
    <x v="9"/>
    <s v="Colleges"/>
    <s v="Warwickshire"/>
    <s v="West Midlands"/>
    <s v="West Midlands"/>
    <s v="NULL"/>
    <s v="NULL"/>
    <s v="ITS443135"/>
    <s v="SFC - Requires improvement"/>
    <d v="2015-04-28T00:00:00"/>
    <d v="2015-05-01T00:00:00"/>
    <d v="2015-06-03T00:00:00"/>
    <x v="0"/>
    <n v="2"/>
    <n v="2"/>
    <s v="-"/>
    <n v="2"/>
    <s v="ITS423390"/>
    <d v="2013-12-13T00:00:00"/>
    <n v="3"/>
    <n v="3"/>
    <n v="3"/>
    <s v="-"/>
    <n v="3"/>
    <s v="Improved"/>
  </r>
  <r>
    <s v="Ofsted Webpage"/>
    <n v="130842"/>
    <n v="10004736"/>
    <s v="Greater Brighton Metropolitan College"/>
    <x v="8"/>
    <s v="Colleges"/>
    <s v="West Sussex"/>
    <s v="South East"/>
    <s v="South East"/>
    <s v="NULL"/>
    <s v="NULL"/>
    <s v="ITS423368"/>
    <s v="FE College - Full"/>
    <d v="2013-10-14T00:00:00"/>
    <d v="2013-10-18T00:00:00"/>
    <d v="2013-11-22T00:00:00"/>
    <x v="0"/>
    <n v="2"/>
    <n v="2"/>
    <s v="-"/>
    <n v="1"/>
    <s v="ITS388021"/>
    <d v="2012-06-01T00:00:00"/>
    <n v="3"/>
    <n v="3"/>
    <n v="2"/>
    <s v="-"/>
    <n v="2"/>
    <s v="Improved"/>
  </r>
  <r>
    <s v="Ofsted Webpage"/>
    <n v="130843"/>
    <n v="10007817"/>
    <s v="Chichester College"/>
    <x v="8"/>
    <s v="Colleges"/>
    <s v="West Sussex"/>
    <s v="South East"/>
    <s v="South East"/>
    <s v="NULL"/>
    <s v="NULL"/>
    <s v="ITS429157"/>
    <s v="FE College - Full"/>
    <d v="2014-03-03T00:00:00"/>
    <d v="2014-03-07T00:00:00"/>
    <d v="2014-04-02T00:00:00"/>
    <x v="1"/>
    <n v="1"/>
    <n v="1"/>
    <s v="-"/>
    <n v="1"/>
    <s v="ITS319829"/>
    <d v="2008-02-29T00:00:00"/>
    <n v="2"/>
    <n v="3"/>
    <n v="2"/>
    <s v="-"/>
    <n v="2"/>
    <s v="Improved"/>
  </r>
  <r>
    <s v="Ofsted Webpage"/>
    <n v="130845"/>
    <n v="10007643"/>
    <s v="Worthing College"/>
    <x v="8"/>
    <s v="Colleges"/>
    <s v="West Sussex"/>
    <s v="South East"/>
    <s v="South East"/>
    <s v="NULL"/>
    <s v="NULL"/>
    <n v="10004783"/>
    <s v="FE College - Requires improvement - second inspection"/>
    <d v="2016-02-22T00:00:00"/>
    <d v="2016-02-25T00:00:00"/>
    <d v="2016-04-13T00:00:00"/>
    <x v="0"/>
    <n v="2"/>
    <n v="2"/>
    <n v="2"/>
    <n v="2"/>
    <s v="ITS430283"/>
    <d v="2014-10-10T00:00:00"/>
    <n v="3"/>
    <n v="3"/>
    <n v="3"/>
    <s v="-"/>
    <n v="3"/>
    <s v="Improved"/>
  </r>
  <r>
    <s v="Ofsted Webpage"/>
    <n v="130847"/>
    <n v="10001550"/>
    <s v="The College of Richard Collyer In Horsham"/>
    <x v="9"/>
    <s v="Colleges"/>
    <s v="West Sussex"/>
    <s v="South East"/>
    <s v="South East"/>
    <s v="NULL"/>
    <s v="NULL"/>
    <s v="ITS318874"/>
    <s v="College Inspection SFC - Good Historic"/>
    <d v="2008-03-26T00:00:00"/>
    <d v="2008-03-27T00:00:00"/>
    <d v="2008-05-16T00:00:00"/>
    <x v="1"/>
    <n v="2"/>
    <n v="1"/>
    <s v="-"/>
    <n v="1"/>
    <s v="NULL"/>
    <s v="NULL"/>
    <s v="NULL"/>
    <s v="NULL"/>
    <s v="NULL"/>
    <s v="NULL"/>
    <s v="NULL"/>
    <s v="Not Applicable"/>
  </r>
  <r>
    <s v="Ofsted Webpage"/>
    <n v="130849"/>
    <n v="10006463"/>
    <s v="Swindon College"/>
    <x v="8"/>
    <s v="Colleges"/>
    <s v="Swindon"/>
    <s v="South West"/>
    <s v="South West"/>
    <s v="NULL"/>
    <s v="NULL"/>
    <s v="ITS408443"/>
    <s v="FE College - Full"/>
    <d v="2013-02-25T00:00:00"/>
    <d v="2013-03-01T00:00:00"/>
    <d v="2013-04-09T00:00:00"/>
    <x v="1"/>
    <n v="1"/>
    <n v="1"/>
    <s v="-"/>
    <n v="1"/>
    <s v="ITS330820"/>
    <d v="2009-03-13T00:00:00"/>
    <n v="3"/>
    <n v="3"/>
    <n v="3"/>
    <s v="-"/>
    <n v="3"/>
    <s v="Improved"/>
  </r>
  <r>
    <s v="Ofsted Webpage"/>
    <n v="130851"/>
    <n v="10004579"/>
    <s v="New College Swindon"/>
    <x v="8"/>
    <s v="Colleges"/>
    <s v="Swindon"/>
    <s v="South West"/>
    <s v="South West"/>
    <d v="2017-11-03T00:00:00"/>
    <n v="1"/>
    <s v="ITS446541"/>
    <s v="FE College - Full"/>
    <d v="2014-12-01T00:00:00"/>
    <d v="2014-12-05T00:00:00"/>
    <d v="2015-01-14T00:00:00"/>
    <x v="0"/>
    <n v="2"/>
    <n v="2"/>
    <s v="-"/>
    <n v="2"/>
    <s v="ITS332873"/>
    <d v="2009-01-23T00:00:00"/>
    <n v="2"/>
    <n v="2"/>
    <n v="2"/>
    <s v="-"/>
    <n v="2"/>
    <s v="Stayed the Same"/>
  </r>
  <r>
    <s v="Ofsted Webpage"/>
    <n v="131094"/>
    <n v="10001467"/>
    <s v="City of Bristol College  "/>
    <x v="8"/>
    <s v="Colleges"/>
    <s v="Bristol"/>
    <s v="South West"/>
    <s v="South West"/>
    <s v="NULL"/>
    <s v="NULL"/>
    <n v="10034053"/>
    <s v="FE College - Reinspection"/>
    <d v="2017-05-16T00:00:00"/>
    <d v="2017-05-19T00:00:00"/>
    <d v="2017-06-05T00:00:00"/>
    <x v="2"/>
    <n v="3"/>
    <n v="3"/>
    <n v="3"/>
    <n v="3"/>
    <n v="10004784"/>
    <d v="2016-01-29T00:00:00"/>
    <n v="4"/>
    <n v="4"/>
    <n v="3"/>
    <n v="4"/>
    <n v="4"/>
    <s v="Improved"/>
  </r>
  <r>
    <s v="Ofsted Webpage"/>
    <n v="131347"/>
    <n v="10001475"/>
    <s v="City of Sunderland College"/>
    <x v="8"/>
    <s v="Colleges"/>
    <s v="Sunderland"/>
    <s v="North East"/>
    <s v="North East, Yorkshire and the Humber"/>
    <s v="NULL"/>
    <s v="NULL"/>
    <n v="10007753"/>
    <s v="FE College - Full"/>
    <d v="2016-06-07T00:00:00"/>
    <d v="2016-06-10T00:00:00"/>
    <d v="2016-07-06T00:00:00"/>
    <x v="0"/>
    <n v="2"/>
    <n v="2"/>
    <n v="2"/>
    <n v="2"/>
    <s v="ITS343826"/>
    <d v="2010-01-29T00:00:00"/>
    <n v="2"/>
    <n v="2"/>
    <n v="2"/>
    <s v="-"/>
    <n v="1"/>
    <s v="Stayed the Same"/>
  </r>
  <r>
    <s v="Ofsted Webpage"/>
    <n v="131840"/>
    <n v="10000599"/>
    <s v="Beaumont College - A Scope College"/>
    <x v="6"/>
    <s v="Independent specialist colleges"/>
    <s v="Lancashire"/>
    <s v="North West"/>
    <s v="North West"/>
    <s v="NULL"/>
    <s v="NULL"/>
    <n v="10011446"/>
    <s v="ISC - Full"/>
    <d v="2016-05-04T00:00:00"/>
    <d v="2016-05-06T00:00:00"/>
    <d v="2016-06-01T00:00:00"/>
    <x v="0"/>
    <n v="2"/>
    <n v="2"/>
    <n v="1"/>
    <n v="2"/>
    <s v="ITS342594"/>
    <d v="2009-12-10T00:00:00"/>
    <n v="1"/>
    <n v="1"/>
    <n v="1"/>
    <s v="-"/>
    <n v="1"/>
    <s v="Declined"/>
  </r>
  <r>
    <s v="Ofsted Webpage"/>
    <n v="131857"/>
    <n v="10009120"/>
    <s v="Condover College Limited"/>
    <x v="6"/>
    <s v="Independent specialist colleges"/>
    <s v="Shropshire"/>
    <s v="West Midlands"/>
    <s v="West Midlands"/>
    <s v="NULL"/>
    <s v="NULL"/>
    <s v="ITS429252"/>
    <s v="ISC - Requires improvement"/>
    <d v="2014-03-19T00:00:00"/>
    <d v="2014-03-21T00:00:00"/>
    <d v="2014-04-30T00:00:00"/>
    <x v="0"/>
    <n v="2"/>
    <n v="2"/>
    <s v="-"/>
    <n v="2"/>
    <s v="ITS399010"/>
    <d v="2012-10-18T00:00:00"/>
    <n v="3"/>
    <n v="3"/>
    <n v="3"/>
    <s v="-"/>
    <n v="3"/>
    <s v="Improved"/>
  </r>
  <r>
    <s v="Ofsted Webpage"/>
    <n v="131859"/>
    <n v="10002111"/>
    <s v="East Durham College"/>
    <x v="8"/>
    <s v="Colleges"/>
    <s v="Durham"/>
    <s v="North East"/>
    <s v="North East, Yorkshire and the Humber"/>
    <s v="NULL"/>
    <s v="NULL"/>
    <s v="ITS429161"/>
    <s v="FE College - Full"/>
    <d v="2014-02-24T00:00:00"/>
    <d v="2014-02-28T00:00:00"/>
    <d v="2014-04-02T00:00:00"/>
    <x v="0"/>
    <n v="2"/>
    <n v="2"/>
    <s v="-"/>
    <n v="2"/>
    <s v="ITS322089"/>
    <d v="2008-06-06T00:00:00"/>
    <n v="2"/>
    <n v="1"/>
    <n v="2"/>
    <s v="-"/>
    <n v="2"/>
    <s v="Stayed the Same"/>
  </r>
  <r>
    <s v="Ofsted Webpage"/>
    <n v="131860"/>
    <n v="10001867"/>
    <s v="The David Lewis Centre"/>
    <x v="6"/>
    <s v="Independent specialist colleges"/>
    <s v="Cheshire East"/>
    <s v="North West"/>
    <s v="North West"/>
    <s v="NULL"/>
    <s v="NULL"/>
    <n v="10022625"/>
    <s v="ISC - Full"/>
    <d v="2017-05-16T00:00:00"/>
    <d v="2017-05-18T00:00:00"/>
    <d v="2017-06-22T00:00:00"/>
    <x v="1"/>
    <n v="1"/>
    <n v="1"/>
    <n v="1"/>
    <n v="1"/>
    <s v="ITS399011"/>
    <d v="2013-03-22T00:00:00"/>
    <n v="1"/>
    <n v="1"/>
    <n v="1"/>
    <s v="-"/>
    <n v="1"/>
    <s v="Stayed the Same"/>
  </r>
  <r>
    <s v="Ofsted Webpage"/>
    <n v="131863"/>
    <n v="10003867"/>
    <s v="Leicester College co Freemen's Park Campus"/>
    <x v="8"/>
    <s v="Colleges"/>
    <s v="Leicester"/>
    <s v="East Midlands"/>
    <s v="East Midlands"/>
    <s v="NULL"/>
    <s v="NULL"/>
    <n v="10004787"/>
    <s v="FE College - Full"/>
    <d v="2016-02-10T00:00:00"/>
    <d v="2016-02-23T00:00:00"/>
    <d v="2016-04-05T00:00:00"/>
    <x v="2"/>
    <n v="3"/>
    <n v="3"/>
    <n v="3"/>
    <n v="3"/>
    <s v="ITS363285"/>
    <d v="2011-01-28T00:00:00"/>
    <n v="2"/>
    <n v="2"/>
    <n v="2"/>
    <s v="-"/>
    <n v="1"/>
    <s v="Declined"/>
  </r>
  <r>
    <s v="Ofsted Webpage"/>
    <n v="131867"/>
    <n v="10000796"/>
    <s v="Bolton Sixth Form College"/>
    <x v="9"/>
    <s v="Colleges"/>
    <s v="Bolton"/>
    <s v="North West"/>
    <s v="North West"/>
    <d v="2017-05-23T00:00:00"/>
    <n v="1"/>
    <s v="ITS423391"/>
    <s v="SFC - Full"/>
    <d v="2014-01-14T00:00:00"/>
    <d v="2014-01-17T00:00:00"/>
    <d v="2014-02-18T00:00:00"/>
    <x v="0"/>
    <n v="2"/>
    <n v="2"/>
    <s v="-"/>
    <n v="2"/>
    <s v="ITS376184"/>
    <d v="2011-11-18T00:00:00"/>
    <n v="3"/>
    <n v="3"/>
    <n v="2"/>
    <s v="-"/>
    <n v="3"/>
    <s v="Improved"/>
  </r>
  <r>
    <s v="Ofsted Webpage"/>
    <n v="131868"/>
    <n v="10012822"/>
    <s v="Cambian Dilston College"/>
    <x v="6"/>
    <s v="Independent specialist colleges"/>
    <s v="Northumberland"/>
    <s v="North East"/>
    <s v="North East, Yorkshire and the Humber"/>
    <d v="2017-11-09T00:00:00"/>
    <n v="1"/>
    <s v="ITS408447"/>
    <s v="ISC - Full"/>
    <d v="2013-01-16T00:00:00"/>
    <d v="2013-01-18T00:00:00"/>
    <d v="2013-02-20T00:00:00"/>
    <x v="0"/>
    <n v="2"/>
    <n v="2"/>
    <s v="-"/>
    <n v="2"/>
    <s v="ITS298688"/>
    <d v="2007-02-02T00:00:00"/>
    <n v="2"/>
    <n v="2"/>
    <n v="2"/>
    <s v="-"/>
    <n v="2"/>
    <s v="Stayed the Same"/>
  </r>
  <r>
    <s v="Ofsted Webpage"/>
    <n v="131869"/>
    <n v="10002006"/>
    <s v="Communication Specialist College -  Doncaster"/>
    <x v="6"/>
    <s v="Independent specialist colleges"/>
    <s v="Doncaster"/>
    <s v="Yorkshire and The Humber"/>
    <s v="North East, Yorkshire and the Humber"/>
    <s v="NULL"/>
    <s v="NULL"/>
    <s v="ITS429190"/>
    <s v="ISC - Full"/>
    <d v="2014-11-11T00:00:00"/>
    <d v="2014-11-13T00:00:00"/>
    <d v="2014-12-16T00:00:00"/>
    <x v="0"/>
    <n v="2"/>
    <n v="2"/>
    <s v="-"/>
    <n v="2"/>
    <s v="ITS316974"/>
    <d v="2007-10-05T00:00:00"/>
    <n v="2"/>
    <n v="2"/>
    <n v="2"/>
    <s v="-"/>
    <n v="2"/>
    <s v="Stayed the Same"/>
  </r>
  <r>
    <s v="Ofsted Webpage"/>
    <n v="131872"/>
    <n v="10002345"/>
    <s v="Education and Services for People with Autism"/>
    <x v="6"/>
    <s v="Independent specialist colleges"/>
    <s v="Sunderland"/>
    <s v="North East"/>
    <s v="North East, Yorkshire and the Humber"/>
    <s v="NULL"/>
    <s v="NULL"/>
    <n v="10011448"/>
    <s v="ISC - Full"/>
    <d v="2016-11-09T00:00:00"/>
    <d v="2016-11-11T00:00:00"/>
    <d v="2016-12-19T00:00:00"/>
    <x v="0"/>
    <n v="2"/>
    <n v="2"/>
    <n v="2"/>
    <n v="2"/>
    <s v="ITS344000"/>
    <d v="2010-01-22T00:00:00"/>
    <n v="2"/>
    <n v="2"/>
    <n v="2"/>
    <s v="-"/>
    <n v="2"/>
    <s v="Stayed the Same"/>
  </r>
  <r>
    <s v="Ofsted Webpage"/>
    <n v="131875"/>
    <n v="10002396"/>
    <s v="Fairfield Farm College (Fairfield Farm Trust)"/>
    <x v="6"/>
    <s v="Independent specialist colleges"/>
    <s v="Wiltshire"/>
    <s v="South West"/>
    <s v="South West"/>
    <s v="NULL"/>
    <s v="NULL"/>
    <n v="10004790"/>
    <s v="ISC - Full"/>
    <d v="2015-10-21T00:00:00"/>
    <d v="2015-10-23T00:00:00"/>
    <d v="2015-12-03T00:00:00"/>
    <x v="0"/>
    <n v="2"/>
    <n v="2"/>
    <n v="2"/>
    <n v="2"/>
    <s v="ITS360956"/>
    <d v="2010-12-02T00:00:00"/>
    <n v="2"/>
    <n v="2"/>
    <n v="2"/>
    <s v="-"/>
    <n v="2"/>
    <s v="Stayed the Same"/>
  </r>
  <r>
    <s v="Ofsted Webpage"/>
    <n v="131878"/>
    <n v="10002409"/>
    <s v="Farleigh Further Education College - Frome"/>
    <x v="6"/>
    <s v="Independent specialist colleges"/>
    <s v="Somerset"/>
    <s v="South West"/>
    <s v="South West"/>
    <d v="2015-11-12T00:00:00"/>
    <n v="1"/>
    <s v="ITS408449"/>
    <s v="ISC - Full"/>
    <d v="2013-03-12T00:00:00"/>
    <d v="2013-03-14T00:00:00"/>
    <d v="2013-04-19T00:00:00"/>
    <x v="0"/>
    <n v="2"/>
    <n v="2"/>
    <s v="-"/>
    <n v="3"/>
    <s v="ITS301121"/>
    <d v="2007-06-14T00:00:00"/>
    <n v="2"/>
    <n v="2"/>
    <n v="3"/>
    <s v="-"/>
    <n v="2"/>
    <s v="Stayed the Same"/>
  </r>
  <r>
    <s v="Ofsted Webpage"/>
    <n v="131888"/>
    <n v="10007929"/>
    <s v="Priory College Swindon"/>
    <x v="6"/>
    <s v="Independent specialist colleges"/>
    <s v="Swindon"/>
    <s v="South West"/>
    <s v="South West"/>
    <s v="NULL"/>
    <s v="NULL"/>
    <n v="10020190"/>
    <s v="ISC - Full"/>
    <d v="2016-11-15T00:00:00"/>
    <d v="2016-11-17T00:00:00"/>
    <d v="2017-01-05T00:00:00"/>
    <x v="0"/>
    <n v="2"/>
    <n v="2"/>
    <n v="2"/>
    <n v="2"/>
    <s v="ITS429191"/>
    <d v="2014-05-02T00:00:00"/>
    <n v="2"/>
    <n v="2"/>
    <n v="2"/>
    <s v="-"/>
    <n v="2"/>
    <s v="Stayed the Same"/>
  </r>
  <r>
    <s v="Ofsted Webpage"/>
    <n v="131891"/>
    <n v="10002546"/>
    <s v="The Fortune Centre of Riding Therapy"/>
    <x v="6"/>
    <s v="Independent specialist colleges"/>
    <s v="Hampshire"/>
    <s v="South East"/>
    <s v="South West"/>
    <d v="2016-05-19T00:00:00"/>
    <n v="1"/>
    <s v="ITS388037"/>
    <s v="ISC - Satisfactory Historic"/>
    <d v="2012-05-28T00:00:00"/>
    <d v="2012-05-30T00:00:00"/>
    <d v="2012-07-06T00:00:00"/>
    <x v="0"/>
    <n v="2"/>
    <n v="2"/>
    <s v="-"/>
    <n v="2"/>
    <s v="ITS316864"/>
    <d v="2008-01-24T00:00:00"/>
    <n v="3"/>
    <n v="3"/>
    <n v="2"/>
    <s v="-"/>
    <n v="3"/>
    <s v="Improved"/>
  </r>
  <r>
    <s v="Ofsted Webpage"/>
    <n v="131892"/>
    <n v="10002560"/>
    <s v="Foxes Academy "/>
    <x v="6"/>
    <s v="Independent specialist colleges"/>
    <s v="Somerset"/>
    <s v="South West"/>
    <s v="South West"/>
    <s v="NULL"/>
    <s v="NULL"/>
    <s v="ITS410623"/>
    <s v="ISC - Full"/>
    <d v="2013-05-14T00:00:00"/>
    <d v="2013-05-16T00:00:00"/>
    <d v="2013-06-21T00:00:00"/>
    <x v="1"/>
    <n v="1"/>
    <n v="1"/>
    <s v="-"/>
    <n v="1"/>
    <s v="ITS295869"/>
    <d v="2006-10-05T00:00:00"/>
    <n v="1"/>
    <n v="1"/>
    <n v="1"/>
    <s v="-"/>
    <n v="1"/>
    <s v="Stayed the Same"/>
  </r>
  <r>
    <s v="Ofsted Webpage"/>
    <n v="131893"/>
    <n v="10003136"/>
    <s v="Homefield College "/>
    <x v="6"/>
    <s v="Independent specialist colleges"/>
    <s v="Leicestershire"/>
    <s v="East Midlands"/>
    <s v="East Midlands"/>
    <d v="2017-06-30T00:00:00"/>
    <n v="1"/>
    <s v="ITS423398"/>
    <s v="ISC - Full"/>
    <d v="2013-11-26T00:00:00"/>
    <d v="2013-11-28T00:00:00"/>
    <d v="2014-01-07T00:00:00"/>
    <x v="0"/>
    <n v="2"/>
    <n v="2"/>
    <s v="-"/>
    <n v="2"/>
    <s v="ITS332155"/>
    <d v="2008-10-16T00:00:00"/>
    <n v="2"/>
    <n v="2"/>
    <n v="2"/>
    <s v="-"/>
    <n v="2"/>
    <s v="Stayed the Same"/>
  </r>
  <r>
    <s v="Ofsted Webpage"/>
    <n v="131900"/>
    <n v="10003774"/>
    <s v="Landmarks"/>
    <x v="6"/>
    <s v="Independent specialist colleges"/>
    <s v="Derbyshire"/>
    <s v="East Midlands"/>
    <s v="East Midlands"/>
    <s v="NULL"/>
    <s v="NULL"/>
    <s v="ITS429279"/>
    <s v="ISC - Requires improvement"/>
    <d v="2014-05-21T00:00:00"/>
    <d v="2014-05-23T00:00:00"/>
    <d v="2014-06-17T00:00:00"/>
    <x v="0"/>
    <n v="2"/>
    <n v="2"/>
    <s v="-"/>
    <n v="2"/>
    <s v="ITS409296"/>
    <d v="2013-02-07T00:00:00"/>
    <n v="3"/>
    <n v="3"/>
    <n v="3"/>
    <s v="-"/>
    <n v="3"/>
    <s v="Improved"/>
  </r>
  <r>
    <s v="Ofsted Webpage"/>
    <n v="131910"/>
    <n v="10003775"/>
    <s v="Langdon College"/>
    <x v="6"/>
    <s v="Independent specialist colleges"/>
    <s v="Salford"/>
    <s v="North West"/>
    <s v="North West"/>
    <s v="NULL"/>
    <s v="NULL"/>
    <n v="10012473"/>
    <s v="ISC - Full"/>
    <d v="2016-01-27T00:00:00"/>
    <d v="2016-01-29T00:00:00"/>
    <d v="2016-03-21T00:00:00"/>
    <x v="2"/>
    <n v="3"/>
    <n v="3"/>
    <n v="2"/>
    <n v="3"/>
    <s v="ITS410624"/>
    <d v="2013-06-13T00:00:00"/>
    <n v="2"/>
    <n v="2"/>
    <n v="2"/>
    <s v="-"/>
    <n v="2"/>
    <s v="Declined"/>
  </r>
  <r>
    <s v="Ofsted Webpage"/>
    <n v="131913"/>
    <n v="10003940"/>
    <s v="Linkage Community Trust"/>
    <x v="6"/>
    <s v="Independent specialist colleges"/>
    <s v="Lincolnshire"/>
    <s v="East Midlands"/>
    <s v="North East, Yorkshire and the Humber"/>
    <d v="2016-11-16T00:00:00"/>
    <n v="1"/>
    <s v="ITS408446"/>
    <s v="ISC - Full"/>
    <d v="2013-02-06T00:00:00"/>
    <d v="2013-02-08T00:00:00"/>
    <d v="2013-03-13T00:00:00"/>
    <x v="0"/>
    <n v="1"/>
    <n v="2"/>
    <s v="-"/>
    <n v="2"/>
    <s v="ITS316973"/>
    <d v="2007-12-06T00:00:00"/>
    <n v="1"/>
    <n v="1"/>
    <n v="1"/>
    <s v="-"/>
    <n v="2"/>
    <s v="Declined"/>
  </r>
  <r>
    <s v="Ofsted Webpage"/>
    <n v="131921"/>
    <n v="10012804"/>
    <s v="Cambian Lufton College"/>
    <x v="6"/>
    <s v="Independent specialist colleges"/>
    <s v="Somerset"/>
    <s v="South West"/>
    <s v="South West"/>
    <s v="NULL"/>
    <s v="NULL"/>
    <n v="10004794"/>
    <s v="ISC - Full"/>
    <d v="2016-07-05T00:00:00"/>
    <d v="2016-07-07T00:00:00"/>
    <d v="2016-07-29T00:00:00"/>
    <x v="0"/>
    <n v="1"/>
    <n v="2"/>
    <n v="2"/>
    <n v="2"/>
    <s v="ITS410626"/>
    <d v="2013-09-18T00:00:00"/>
    <n v="2"/>
    <n v="2"/>
    <n v="2"/>
    <s v="-"/>
    <n v="2"/>
    <s v="Stayed the Same"/>
  </r>
  <r>
    <s v="Ofsted Webpage"/>
    <n v="131923"/>
    <n v="10004444"/>
    <s v="Mount Camphill Community"/>
    <x v="6"/>
    <s v="Independent specialist colleges"/>
    <s v="East Sussex"/>
    <s v="South East"/>
    <s v="South East"/>
    <s v="NULL"/>
    <s v="NULL"/>
    <s v="ITS429193"/>
    <s v="ISC - Full"/>
    <d v="2014-07-09T00:00:00"/>
    <d v="2014-07-11T00:00:00"/>
    <d v="2014-08-15T00:00:00"/>
    <x v="0"/>
    <n v="2"/>
    <n v="2"/>
    <s v="-"/>
    <n v="2"/>
    <s v="ITS363315"/>
    <d v="2011-01-20T00:00:00"/>
    <n v="3"/>
    <n v="3"/>
    <n v="2"/>
    <s v="-"/>
    <n v="3"/>
    <s v="Improved"/>
  </r>
  <r>
    <s v="Ofsted Webpage"/>
    <n v="131924"/>
    <n v="10012810"/>
    <s v="Nash College"/>
    <x v="6"/>
    <s v="Independent specialist colleges"/>
    <s v="Bromley"/>
    <s v="London"/>
    <s v="London"/>
    <s v="NULL"/>
    <s v="NULL"/>
    <n v="10011451"/>
    <s v="ISC - Full"/>
    <d v="2016-07-05T00:00:00"/>
    <d v="2016-07-07T00:00:00"/>
    <d v="2016-08-31T00:00:00"/>
    <x v="0"/>
    <n v="2"/>
    <n v="2"/>
    <n v="2"/>
    <n v="2"/>
    <s v="ITS404165"/>
    <d v="2013-03-07T00:00:00"/>
    <n v="2"/>
    <n v="2"/>
    <n v="2"/>
    <s v="-"/>
    <n v="2"/>
    <s v="Stayed the Same"/>
  </r>
  <r>
    <s v="Ofsted Webpage"/>
    <n v="131935"/>
    <n v="10000350"/>
    <s v="Arden College"/>
    <x v="6"/>
    <s v="Independent specialist colleges"/>
    <s v="Sefton"/>
    <s v="North West"/>
    <s v="North West"/>
    <d v="2017-06-22T00:00:00"/>
    <n v="1"/>
    <s v="ITS430266"/>
    <s v="ISC - Requires improvement"/>
    <d v="2014-06-03T00:00:00"/>
    <d v="2014-06-05T00:00:00"/>
    <d v="2014-07-08T00:00:00"/>
    <x v="0"/>
    <n v="2"/>
    <n v="2"/>
    <s v="-"/>
    <n v="2"/>
    <s v="ITS419900"/>
    <d v="2013-05-10T00:00:00"/>
    <n v="3"/>
    <n v="2"/>
    <n v="3"/>
    <s v="-"/>
    <n v="3"/>
    <s v="Improved"/>
  </r>
  <r>
    <s v="Ofsted Webpage"/>
    <n v="131944"/>
    <n v="10004527"/>
    <s v="National Star College"/>
    <x v="6"/>
    <s v="Independent specialist colleges"/>
    <s v="Gloucestershire"/>
    <s v="South West"/>
    <s v="South West"/>
    <s v="NULL"/>
    <s v="NULL"/>
    <s v="ITS388039"/>
    <s v="ISC - Good Historic"/>
    <d v="2012-06-12T00:00:00"/>
    <d v="2012-06-15T00:00:00"/>
    <d v="2012-07-20T00:00:00"/>
    <x v="1"/>
    <n v="1"/>
    <n v="2"/>
    <s v="-"/>
    <n v="1"/>
    <s v="ITS282841"/>
    <d v="2005-11-25T00:00:00"/>
    <n v="2"/>
    <n v="2"/>
    <n v="2"/>
    <s v="-"/>
    <n v="2"/>
    <s v="Improved"/>
  </r>
  <r>
    <s v="Ofsted Webpage"/>
    <n v="131947"/>
    <n v="10004841"/>
    <s v="Oakwood Court College (Phoenix Learning Care Ltd)"/>
    <x v="6"/>
    <s v="Independent specialist colleges"/>
    <s v="Devon"/>
    <s v="South West"/>
    <s v="South West"/>
    <s v="NULL"/>
    <s v="NULL"/>
    <n v="10004796"/>
    <s v="ISC - Full"/>
    <d v="2015-11-11T00:00:00"/>
    <d v="2015-11-13T00:00:00"/>
    <d v="2015-12-01T00:00:00"/>
    <x v="0"/>
    <n v="2"/>
    <n v="2"/>
    <n v="2"/>
    <n v="2"/>
    <s v="ITS399012"/>
    <d v="2012-11-16T00:00:00"/>
    <n v="2"/>
    <n v="2"/>
    <n v="2"/>
    <s v="-"/>
    <n v="2"/>
    <s v="Stayed the Same"/>
  </r>
  <r>
    <s v="Ofsted Webpage"/>
    <n v="131948"/>
    <n v="10054747"/>
    <s v="Orchard Hill College of Further Education"/>
    <x v="7"/>
    <s v="Community learning and skills providers"/>
    <s v="Sutton"/>
    <s v="London"/>
    <s v="London"/>
    <s v="NULL"/>
    <s v="NULL"/>
    <s v="ITS423399"/>
    <s v="ISC - Full"/>
    <d v="2013-11-20T00:00:00"/>
    <d v="2013-11-22T00:00:00"/>
    <d v="2013-12-24T00:00:00"/>
    <x v="1"/>
    <n v="1"/>
    <n v="1"/>
    <s v="-"/>
    <n v="1"/>
    <s v="ITS319868"/>
    <d v="2008-06-19T00:00:00"/>
    <n v="2"/>
    <n v="2"/>
    <n v="2"/>
    <s v="-"/>
    <n v="2"/>
    <s v="Improved"/>
  </r>
  <r>
    <s v="Ofsted Webpage"/>
    <n v="131950"/>
    <n v="10009111"/>
    <s v="Orpheus Centre"/>
    <x v="6"/>
    <s v="Independent specialist colleges"/>
    <s v="Surrey"/>
    <s v="South East"/>
    <s v="South East"/>
    <s v="NULL"/>
    <s v="NULL"/>
    <n v="10008474"/>
    <s v="ISC - Requires improvement"/>
    <d v="2016-03-01T00:00:00"/>
    <d v="2016-03-03T00:00:00"/>
    <d v="2016-04-13T00:00:00"/>
    <x v="2"/>
    <n v="3"/>
    <n v="3"/>
    <n v="3"/>
    <n v="3"/>
    <s v="ITS446687"/>
    <d v="2014-10-22T00:00:00"/>
    <n v="3"/>
    <n v="3"/>
    <n v="3"/>
    <s v="-"/>
    <n v="3"/>
    <s v="Stayed the Same"/>
  </r>
  <r>
    <s v="Ofsted Webpage"/>
    <n v="131958"/>
    <n v="10005036"/>
    <s v="Pennine Camphill Community"/>
    <x v="6"/>
    <s v="Independent specialist colleges"/>
    <s v="Wakefield"/>
    <s v="Yorkshire and The Humber"/>
    <s v="North East, Yorkshire and the Humber"/>
    <s v="NULL"/>
    <s v="NULL"/>
    <s v="ITS434076"/>
    <s v="ISC - Full"/>
    <d v="2014-05-20T00:00:00"/>
    <d v="2014-05-22T00:00:00"/>
    <d v="2014-06-24T00:00:00"/>
    <x v="0"/>
    <n v="2"/>
    <n v="2"/>
    <s v="-"/>
    <n v="2"/>
    <s v="ITS363313"/>
    <d v="2011-03-17T00:00:00"/>
    <n v="3"/>
    <n v="2"/>
    <n v="3"/>
    <s v="-"/>
    <n v="3"/>
    <s v="Improved"/>
  </r>
  <r>
    <s v="Ofsted Webpage"/>
    <n v="131959"/>
    <n v="10005151"/>
    <s v="Portland College"/>
    <x v="6"/>
    <s v="Independent specialist colleges"/>
    <s v="Nottinghamshire"/>
    <s v="East Midlands"/>
    <s v="East Midlands"/>
    <d v="2017-10-18T00:00:00"/>
    <n v="1"/>
    <s v="ITS429097"/>
    <s v="ISC - Requires improvement"/>
    <d v="2014-03-19T00:00:00"/>
    <d v="2014-03-21T00:00:00"/>
    <d v="2014-04-25T00:00:00"/>
    <x v="0"/>
    <n v="2"/>
    <n v="2"/>
    <s v="-"/>
    <n v="2"/>
    <s v="ITS399013"/>
    <d v="2012-09-27T00:00:00"/>
    <n v="3"/>
    <n v="2"/>
    <n v="3"/>
    <s v="-"/>
    <n v="3"/>
    <s v="Improved"/>
  </r>
  <r>
    <s v="Ofsted Webpage"/>
    <n v="131963"/>
    <n v="10005320"/>
    <s v="Queen Alexandra College"/>
    <x v="6"/>
    <s v="Independent specialist colleges"/>
    <s v="Birmingham"/>
    <s v="West Midlands"/>
    <s v="West Midlands"/>
    <d v="2016-06-09T00:00:00"/>
    <n v="1"/>
    <s v="ITS365906"/>
    <s v="ISC - Satisfactory Historic"/>
    <d v="2011-06-14T00:00:00"/>
    <d v="2011-06-17T00:00:00"/>
    <d v="2011-07-22T00:00:00"/>
    <x v="0"/>
    <n v="2"/>
    <n v="2"/>
    <s v="-"/>
    <n v="2"/>
    <s v="ITS316866"/>
    <d v="2007-11-16T00:00:00"/>
    <n v="3"/>
    <n v="2"/>
    <n v="3"/>
    <s v="-"/>
    <n v="3"/>
    <s v="Improved"/>
  </r>
  <r>
    <s v="Ofsted Webpage"/>
    <n v="131968"/>
    <n v="10008456"/>
    <s v="Regent College"/>
    <x v="6"/>
    <s v="Independent specialist colleges"/>
    <s v="Stoke-on-Trent"/>
    <s v="West Midlands"/>
    <s v="West Midlands"/>
    <s v="NULL"/>
    <s v="NULL"/>
    <s v="ITS429194"/>
    <s v="ISC - Full"/>
    <d v="2014-02-05T00:00:00"/>
    <d v="2014-02-07T00:00:00"/>
    <d v="2014-03-12T00:00:00"/>
    <x v="0"/>
    <n v="2"/>
    <n v="2"/>
    <s v="-"/>
    <n v="2"/>
    <s v="ITS363312"/>
    <d v="2011-03-10T00:00:00"/>
    <n v="3"/>
    <n v="3"/>
    <n v="3"/>
    <s v="-"/>
    <n v="3"/>
    <s v="Improved"/>
  </r>
  <r>
    <s v="Ofsted Webpage"/>
    <n v="131990"/>
    <n v="10027384"/>
    <s v="RNIB College Loughborough"/>
    <x v="6"/>
    <s v="Independent specialist colleges"/>
    <s v="Leicestershire"/>
    <s v="East Midlands"/>
    <s v="East Midlands"/>
    <d v="2017-03-16T00:00:00"/>
    <n v="1"/>
    <s v="ITS423402"/>
    <s v="ISC - Full"/>
    <d v="2013-11-19T00:00:00"/>
    <d v="2013-11-21T00:00:00"/>
    <d v="2013-12-18T00:00:00"/>
    <x v="0"/>
    <n v="2"/>
    <n v="2"/>
    <s v="-"/>
    <n v="2"/>
    <s v="ITS320298"/>
    <d v="2008-02-28T00:00:00"/>
    <n v="2"/>
    <n v="2"/>
    <n v="3"/>
    <s v="-"/>
    <n v="2"/>
    <s v="Stayed the Same"/>
  </r>
  <r>
    <s v="Ofsted Webpage"/>
    <n v="132001"/>
    <n v="10024771"/>
    <s v="Exeter Royal Academy for Deaf Education"/>
    <x v="6"/>
    <s v="Independent specialist colleges"/>
    <s v="Devon"/>
    <s v="South West"/>
    <s v="South West"/>
    <s v="NULL"/>
    <s v="NULL"/>
    <s v="ITS434075"/>
    <s v="ISC - Full"/>
    <d v="2014-05-14T00:00:00"/>
    <d v="2014-05-16T00:00:00"/>
    <d v="2014-06-25T00:00:00"/>
    <x v="0"/>
    <n v="2"/>
    <n v="2"/>
    <s v="-"/>
    <n v="2"/>
    <s v="ITS376169"/>
    <d v="2012-03-15T00:00:00"/>
    <n v="3"/>
    <n v="3"/>
    <n v="3"/>
    <s v="-"/>
    <n v="3"/>
    <s v="Improved"/>
  </r>
  <r>
    <s v="Ofsted Webpage"/>
    <n v="132002"/>
    <n v="10025915"/>
    <s v="Freeman College"/>
    <x v="6"/>
    <s v="Independent specialist colleges"/>
    <s v="Sheffield"/>
    <s v="Yorkshire and The Humber"/>
    <s v="North East, Yorkshire and the Humber"/>
    <s v="NULL"/>
    <s v="NULL"/>
    <n v="10011453"/>
    <s v="ISC - Full"/>
    <d v="2016-06-22T00:00:00"/>
    <d v="2016-06-24T00:00:00"/>
    <d v="2016-07-21T00:00:00"/>
    <x v="0"/>
    <n v="2"/>
    <n v="2"/>
    <n v="2"/>
    <n v="2"/>
    <s v="ITS345826"/>
    <d v="2010-05-20T00:00:00"/>
    <n v="2"/>
    <n v="2"/>
    <n v="3"/>
    <s v="-"/>
    <n v="2"/>
    <s v="Stayed the Same"/>
  </r>
  <r>
    <s v="Ofsted Webpage"/>
    <n v="132004"/>
    <n v="10025914"/>
    <s v="Glasshouse College"/>
    <x v="6"/>
    <s v="Independent specialist colleges"/>
    <s v="Dudley"/>
    <s v="West Midlands"/>
    <s v="West Midlands"/>
    <s v="NULL"/>
    <s v="NULL"/>
    <n v="10011454"/>
    <s v="ISC - Full"/>
    <d v="2016-05-17T00:00:00"/>
    <d v="2016-05-19T00:00:00"/>
    <d v="2016-07-04T00:00:00"/>
    <x v="0"/>
    <n v="2"/>
    <n v="2"/>
    <n v="2"/>
    <n v="2"/>
    <s v="ITS342385"/>
    <d v="2009-11-27T00:00:00"/>
    <n v="2"/>
    <n v="2"/>
    <n v="2"/>
    <s v="-"/>
    <n v="2"/>
    <s v="Stayed the Same"/>
  </r>
  <r>
    <s v="Ofsted Webpage"/>
    <n v="132011"/>
    <n v="10005748"/>
    <s v="Sense College"/>
    <x v="6"/>
    <s v="Independent specialist colleges"/>
    <s v="Peterborough"/>
    <s v="East of England"/>
    <s v="East of England"/>
    <s v="NULL"/>
    <s v="NULL"/>
    <n v="10022598"/>
    <s v="ISC - Full"/>
    <d v="2017-02-07T00:00:00"/>
    <d v="2017-02-09T00:00:00"/>
    <d v="2017-03-27T00:00:00"/>
    <x v="0"/>
    <n v="2"/>
    <n v="2"/>
    <n v="2"/>
    <n v="2"/>
    <s v="ITS427886"/>
    <d v="2014-06-18T00:00:00"/>
    <n v="2"/>
    <n v="2"/>
    <n v="2"/>
    <s v="-"/>
    <n v="3"/>
    <s v="Stayed the Same"/>
  </r>
  <r>
    <s v="Ofsted Webpage"/>
    <n v="132015"/>
    <n v="10006159"/>
    <s v="St Elizabeth's College (The Congregation of the Daughters of the Cross of the Liege)"/>
    <x v="6"/>
    <s v="Independent specialist colleges"/>
    <s v="Hertfordshire"/>
    <s v="East of England"/>
    <s v="East of England"/>
    <s v="NULL"/>
    <s v="NULL"/>
    <n v="10004801"/>
    <s v="ISC - Requires improvement"/>
    <d v="2015-11-24T00:00:00"/>
    <d v="2015-11-26T00:00:00"/>
    <d v="2016-01-07T00:00:00"/>
    <x v="2"/>
    <n v="3"/>
    <n v="3"/>
    <n v="2"/>
    <n v="3"/>
    <s v="ITS434077"/>
    <d v="2014-06-06T00:00:00"/>
    <n v="3"/>
    <n v="3"/>
    <n v="3"/>
    <s v="-"/>
    <n v="3"/>
    <s v="Stayed the Same"/>
  </r>
  <r>
    <s v="Ofsted Webpage"/>
    <n v="132016"/>
    <n v="10006199"/>
    <s v="St John's School and College"/>
    <x v="6"/>
    <s v="Independent specialist colleges"/>
    <s v="Brighton and Hove"/>
    <s v="South East"/>
    <s v="South East"/>
    <s v="NULL"/>
    <s v="NULL"/>
    <n v="10022528"/>
    <s v="ISC - Full"/>
    <d v="2017-01-24T00:00:00"/>
    <d v="2017-01-26T00:00:00"/>
    <d v="2017-03-01T00:00:00"/>
    <x v="2"/>
    <n v="2"/>
    <n v="3"/>
    <n v="2"/>
    <n v="3"/>
    <s v="ITS408450"/>
    <d v="2012-10-26T00:00:00"/>
    <n v="2"/>
    <n v="2"/>
    <n v="2"/>
    <s v="-"/>
    <n v="2"/>
    <s v="Declined"/>
  </r>
  <r>
    <s v="Ofsted Webpage"/>
    <n v="132021"/>
    <n v="10006374"/>
    <s v="Strathmore College"/>
    <x v="6"/>
    <s v="Independent specialist colleges"/>
    <s v="Stoke-on-Trent"/>
    <s v="West Midlands"/>
    <s v="West Midlands"/>
    <s v="NULL"/>
    <s v="NULL"/>
    <s v="ITS446033"/>
    <s v="ISC - Requires improvement"/>
    <d v="2015-03-25T00:00:00"/>
    <d v="2015-03-27T00:00:00"/>
    <d v="2015-04-29T00:00:00"/>
    <x v="0"/>
    <n v="2"/>
    <n v="2"/>
    <s v="-"/>
    <n v="2"/>
    <s v="ITS429195"/>
    <d v="2014-02-27T00:00:00"/>
    <n v="3"/>
    <n v="2"/>
    <n v="3"/>
    <s v="-"/>
    <n v="3"/>
    <s v="Improved"/>
  </r>
  <r>
    <s v="Ofsted Webpage"/>
    <n v="132030"/>
    <n v="10009777"/>
    <s v="Thornbeck College - North East Autism Society"/>
    <x v="6"/>
    <s v="Independent specialist colleges"/>
    <s v="Durham"/>
    <s v="North East"/>
    <s v="North East, Yorkshire and the Humber"/>
    <s v="NULL"/>
    <s v="NULL"/>
    <n v="10011568"/>
    <s v="ISC - Full"/>
    <d v="2016-06-14T00:00:00"/>
    <d v="2016-06-16T00:00:00"/>
    <d v="2016-07-13T00:00:00"/>
    <x v="0"/>
    <n v="2"/>
    <n v="2"/>
    <n v="1"/>
    <n v="2"/>
    <s v="ITS342595"/>
    <d v="2009-09-24T00:00:00"/>
    <n v="1"/>
    <n v="1"/>
    <n v="1"/>
    <s v="-"/>
    <n v="1"/>
    <s v="Declined"/>
  </r>
  <r>
    <s v="Ofsted Webpage"/>
    <n v="132042"/>
    <n v="10012825"/>
    <s v="Wesc Foundation College"/>
    <x v="6"/>
    <s v="Independent specialist colleges"/>
    <s v="Devon"/>
    <s v="South West"/>
    <s v="South West"/>
    <s v="NULL"/>
    <s v="NULL"/>
    <n v="10004803"/>
    <s v="ISC - Requires improvement"/>
    <d v="2015-09-23T00:00:00"/>
    <d v="2015-09-25T00:00:00"/>
    <d v="2015-11-09T00:00:00"/>
    <x v="0"/>
    <n v="2"/>
    <n v="2"/>
    <n v="2"/>
    <n v="2"/>
    <s v="ITS423403"/>
    <d v="2014-05-22T00:00:00"/>
    <n v="3"/>
    <n v="3"/>
    <n v="3"/>
    <s v="-"/>
    <n v="3"/>
    <s v="Improved"/>
  </r>
  <r>
    <s v="Ofsted Webpage"/>
    <n v="132067"/>
    <n v="10007514"/>
    <s v="William Morris Camphill Community"/>
    <x v="6"/>
    <s v="Independent specialist colleges"/>
    <s v="Gloucestershire"/>
    <s v="South West"/>
    <s v="South West"/>
    <d v="2016-06-16T00:00:00"/>
    <n v="1"/>
    <s v="ITS385364"/>
    <s v="ISC - Good Historic"/>
    <d v="2012-03-13T00:00:00"/>
    <d v="2012-03-15T00:00:00"/>
    <d v="2012-04-23T00:00:00"/>
    <x v="0"/>
    <n v="2"/>
    <n v="2"/>
    <s v="-"/>
    <n v="2"/>
    <s v="ITS284895"/>
    <d v="2006-04-26T00:00:00"/>
    <n v="2"/>
    <n v="2"/>
    <n v="2"/>
    <s v="-"/>
    <n v="2"/>
    <s v="Stayed the Same"/>
  </r>
  <r>
    <s v="Ofsted Webpage"/>
    <n v="132082"/>
    <n v="10027379"/>
    <s v="Cambian Wing College"/>
    <x v="6"/>
    <s v="Independent specialist colleges"/>
    <s v="Bournemouth"/>
    <s v="South West"/>
    <s v="South West"/>
    <s v="NULL"/>
    <s v="NULL"/>
    <n v="10011456"/>
    <s v="ISC - Full"/>
    <d v="2016-11-15T00:00:00"/>
    <d v="2016-11-17T00:00:00"/>
    <d v="2016-12-23T00:00:00"/>
    <x v="0"/>
    <n v="2"/>
    <n v="2"/>
    <n v="2"/>
    <n v="2"/>
    <s v="NULL"/>
    <s v="NULL"/>
    <s v="NULL"/>
    <s v="NULL"/>
    <s v="NULL"/>
    <s v="NULL"/>
    <s v="NULL"/>
    <s v="Not Applicable"/>
  </r>
  <r>
    <s v="Ofsted Webpage"/>
    <n v="132779"/>
    <n v="10007527"/>
    <s v="Wiltshire College"/>
    <x v="8"/>
    <s v="Colleges"/>
    <s v="Wiltshire"/>
    <s v="South West"/>
    <s v="South West"/>
    <s v="NULL"/>
    <s v="NULL"/>
    <s v="ITS447349"/>
    <s v="FE College - Requires improvement"/>
    <d v="2015-06-08T00:00:00"/>
    <d v="2015-06-12T00:00:00"/>
    <d v="2015-07-17T00:00:00"/>
    <x v="0"/>
    <n v="3"/>
    <n v="2"/>
    <s v="-"/>
    <n v="2"/>
    <s v="ITS423369"/>
    <d v="2014-03-07T00:00:00"/>
    <n v="3"/>
    <n v="3"/>
    <n v="3"/>
    <s v="-"/>
    <n v="3"/>
    <s v="Improved"/>
  </r>
  <r>
    <s v="Ofsted Webpage"/>
    <n v="132980"/>
    <n v="10007031"/>
    <s v="Treloar College"/>
    <x v="6"/>
    <s v="Independent specialist colleges"/>
    <s v="Hampshire"/>
    <s v="South East"/>
    <s v="South East"/>
    <s v="NULL"/>
    <s v="NULL"/>
    <n v="10021343"/>
    <s v="ISC - Full"/>
    <d v="2016-12-06T00:00:00"/>
    <d v="2016-12-08T00:00:00"/>
    <d v="2017-01-20T00:00:00"/>
    <x v="1"/>
    <n v="1"/>
    <n v="1"/>
    <n v="1"/>
    <n v="1"/>
    <s v="ITS388140"/>
    <d v="2013-02-15T00:00:00"/>
    <n v="2"/>
    <n v="2"/>
    <n v="2"/>
    <s v="-"/>
    <n v="2"/>
    <s v="Improved"/>
  </r>
  <r>
    <s v="Ofsted Webpage"/>
    <n v="133001"/>
    <n v="10009069"/>
    <s v="Dorton College"/>
    <x v="6"/>
    <s v="Independent specialist colleges"/>
    <s v="Kent"/>
    <s v="South East"/>
    <s v="South East"/>
    <s v="NULL"/>
    <s v="NULL"/>
    <n v="10005119"/>
    <s v="ISC - Full"/>
    <d v="2015-12-15T00:00:00"/>
    <d v="2015-12-17T00:00:00"/>
    <d v="2016-02-02T00:00:00"/>
    <x v="0"/>
    <n v="2"/>
    <n v="2"/>
    <n v="2"/>
    <n v="2"/>
    <s v="ITS366413"/>
    <d v="2012-01-19T00:00:00"/>
    <n v="3"/>
    <n v="3"/>
    <n v="3"/>
    <s v="-"/>
    <n v="3"/>
    <s v="Improved"/>
  </r>
  <r>
    <s v="Ofsted Webpage"/>
    <n v="133036"/>
    <n v="10009031"/>
    <s v="Ruskin Mill College"/>
    <x v="6"/>
    <s v="Independent specialist colleges"/>
    <s v="Gloucestershire"/>
    <s v="South West"/>
    <s v="South West"/>
    <s v="NULL"/>
    <s v="NULL"/>
    <s v="ITS447351"/>
    <s v="ISC - Reinspection"/>
    <d v="2015-05-18T00:00:00"/>
    <d v="2015-05-20T00:00:00"/>
    <d v="2015-06-18T00:00:00"/>
    <x v="0"/>
    <n v="2"/>
    <n v="2"/>
    <s v="-"/>
    <n v="2"/>
    <s v="ITS443549"/>
    <d v="2014-03-21T00:00:00"/>
    <n v="4"/>
    <n v="2"/>
    <n v="2"/>
    <s v="-"/>
    <n v="4"/>
    <s v="Improved"/>
  </r>
  <r>
    <s v="Ofsted Webpage"/>
    <n v="133053"/>
    <n v="10003088"/>
    <s v="Hillcroft College"/>
    <x v="7"/>
    <s v="Community learning and skills providers"/>
    <s v="Kingston upon Thames"/>
    <s v="London"/>
    <s v="London"/>
    <s v="NULL"/>
    <s v="NULL"/>
    <s v="ITS420901"/>
    <s v="Adult and Community - reinspection Historic"/>
    <d v="2014-01-28T00:00:00"/>
    <d v="2014-01-31T00:00:00"/>
    <d v="2014-03-07T00:00:00"/>
    <x v="0"/>
    <n v="2"/>
    <n v="2"/>
    <s v="-"/>
    <n v="2"/>
    <s v="ITS399157"/>
    <d v="2012-12-17T00:00:00"/>
    <n v="4"/>
    <n v="4"/>
    <n v="3"/>
    <s v="-"/>
    <n v="3"/>
    <s v="Improved"/>
  </r>
  <r>
    <s v="Ofsted Webpage"/>
    <n v="133108"/>
    <n v="10005558"/>
    <s v="Royal National College for the Blind"/>
    <x v="6"/>
    <s v="Independent specialist colleges"/>
    <s v="Herefordshire"/>
    <s v="West Midlands"/>
    <s v="West Midlands"/>
    <s v="NULL"/>
    <s v="NULL"/>
    <n v="10022586"/>
    <s v="ISC - Full"/>
    <d v="2017-03-14T00:00:00"/>
    <d v="2017-03-16T00:00:00"/>
    <d v="2017-05-04T00:00:00"/>
    <x v="0"/>
    <n v="2"/>
    <n v="2"/>
    <n v="2"/>
    <n v="2"/>
    <s v="ITS423404"/>
    <d v="2013-10-11T00:00:00"/>
    <n v="2"/>
    <n v="2"/>
    <n v="2"/>
    <s v="-"/>
    <n v="2"/>
    <s v="Stayed the Same"/>
  </r>
  <r>
    <s v="Ofsted Webpage"/>
    <n v="133173"/>
    <n v="10001929"/>
    <s v="Derwen College"/>
    <x v="6"/>
    <s v="Independent specialist colleges"/>
    <s v="Shropshire"/>
    <s v="West Midlands"/>
    <s v="West Midlands"/>
    <s v="NULL"/>
    <s v="NULL"/>
    <n v="10011457"/>
    <s v="ISC - Full"/>
    <d v="2016-04-20T00:00:00"/>
    <d v="2016-04-22T00:00:00"/>
    <d v="2016-05-23T00:00:00"/>
    <x v="1"/>
    <n v="1"/>
    <n v="1"/>
    <n v="1"/>
    <n v="1"/>
    <s v="ITS385461"/>
    <d v="2012-03-02T00:00:00"/>
    <n v="1"/>
    <n v="1"/>
    <n v="2"/>
    <s v="-"/>
    <n v="1"/>
    <s v="Stayed the Same"/>
  </r>
  <r>
    <s v="Ofsted Webpage"/>
    <n v="133435"/>
    <n v="10006432"/>
    <s v="Sussex Downs College"/>
    <x v="8"/>
    <s v="Colleges"/>
    <s v="East Sussex"/>
    <s v="South East"/>
    <s v="South East"/>
    <s v="NULL"/>
    <s v="NULL"/>
    <n v="10037409"/>
    <s v="FE College - Requires improvement"/>
    <d v="2017-10-31T00:00:00"/>
    <d v="2017-11-03T00:00:00"/>
    <d v="2017-12-08T00:00:00"/>
    <x v="2"/>
    <n v="3"/>
    <n v="3"/>
    <n v="2"/>
    <n v="3"/>
    <n v="10004809"/>
    <d v="2015-11-06T00:00:00"/>
    <n v="3"/>
    <n v="3"/>
    <n v="3"/>
    <n v="2"/>
    <n v="3"/>
    <s v="Stayed the Same"/>
  </r>
  <r>
    <s v="Ofsted Webpage"/>
    <n v="133585"/>
    <n v="10001919"/>
    <s v="Derby College"/>
    <x v="8"/>
    <s v="Colleges"/>
    <s v="Derby"/>
    <s v="East Midlands"/>
    <s v="East Midlands"/>
    <s v="NULL"/>
    <s v="NULL"/>
    <n v="10004810"/>
    <s v="FE College - Requires improvement"/>
    <d v="2016-03-01T00:00:00"/>
    <d v="2016-03-04T00:00:00"/>
    <d v="2016-04-05T00:00:00"/>
    <x v="0"/>
    <n v="2"/>
    <n v="2"/>
    <n v="2"/>
    <n v="2"/>
    <s v="ITS434080"/>
    <d v="2014-05-16T00:00:00"/>
    <n v="3"/>
    <n v="3"/>
    <n v="3"/>
    <s v="-"/>
    <n v="3"/>
    <s v="Improved"/>
  </r>
  <r>
    <s v="Ofsted Webpage"/>
    <n v="133608"/>
    <n v="10006813"/>
    <s v="The Brooke House Sixth Form College"/>
    <x v="9"/>
    <s v="Colleges"/>
    <s v="Hackney"/>
    <s v="London"/>
    <s v="London"/>
    <s v="NULL"/>
    <s v="NULL"/>
    <n v="10011458"/>
    <s v="SFC - Full"/>
    <d v="2016-04-26T00:00:00"/>
    <d v="2016-04-29T00:00:00"/>
    <d v="2016-06-08T00:00:00"/>
    <x v="2"/>
    <n v="3"/>
    <n v="3"/>
    <n v="3"/>
    <n v="3"/>
    <s v="ITS408459"/>
    <d v="2013-03-22T00:00:00"/>
    <n v="2"/>
    <n v="3"/>
    <n v="2"/>
    <s v="-"/>
    <n v="2"/>
    <s v="Declined"/>
  </r>
  <r>
    <s v="Ofsted Webpage"/>
    <n v="133783"/>
    <n v="10007147"/>
    <s v="University of Hertfordshire"/>
    <x v="11"/>
    <s v="Higher education institutions"/>
    <s v="Hertfordshire"/>
    <s v="East of England"/>
    <s v="East of England"/>
    <s v="NULL"/>
    <s v="NULL"/>
    <s v="NULL"/>
    <s v="NULL"/>
    <s v="NULL"/>
    <s v="NULL"/>
    <s v="NULL"/>
    <x v="5"/>
    <s v="NULL"/>
    <s v="NULL"/>
    <s v="NULL"/>
    <s v="NULL"/>
    <s v="NULL"/>
    <s v="NULL"/>
    <s v="NULL"/>
    <s v="NULL"/>
    <s v="NULL"/>
    <s v="NULL"/>
    <s v="NULL"/>
    <s v="NULL"/>
  </r>
  <r>
    <s v="Ofsted Webpage"/>
    <n v="133785"/>
    <n v="10000712"/>
    <s v="University College Birmingham"/>
    <x v="11"/>
    <s v="Higher education institutions"/>
    <s v="Birmingham"/>
    <s v="West Midlands"/>
    <s v="West Midlands"/>
    <s v="NULL"/>
    <s v="NULL"/>
    <n v="10037421"/>
    <s v="FE in HE - Full"/>
    <d v="2017-10-03T00:00:00"/>
    <d v="2017-10-06T00:00:00"/>
    <d v="2017-10-30T00:00:00"/>
    <x v="0"/>
    <n v="2"/>
    <n v="2"/>
    <n v="1"/>
    <n v="2"/>
    <s v="ITS385352"/>
    <d v="2012-02-10T00:00:00"/>
    <n v="1"/>
    <n v="1"/>
    <n v="1"/>
    <s v="-"/>
    <n v="1"/>
    <s v="Declined"/>
  </r>
  <r>
    <s v="Ofsted Webpage"/>
    <n v="133787"/>
    <n v="10007759"/>
    <s v="Aston University"/>
    <x v="11"/>
    <s v="Higher education institutions"/>
    <s v="Birmingham"/>
    <s v="West Midlands"/>
    <s v="West Midlands"/>
    <s v="NULL"/>
    <s v="NULL"/>
    <s v="NULL"/>
    <s v="NULL"/>
    <s v="NULL"/>
    <s v="NULL"/>
    <s v="NULL"/>
    <x v="5"/>
    <s v="NULL"/>
    <s v="NULL"/>
    <s v="NULL"/>
    <s v="NULL"/>
    <s v="NULL"/>
    <s v="NULL"/>
    <s v="NULL"/>
    <s v="NULL"/>
    <s v="NULL"/>
    <s v="NULL"/>
    <s v="NULL"/>
    <s v="NULL"/>
  </r>
  <r>
    <s v="Ofsted Webpage"/>
    <n v="133788"/>
    <n v="10007140"/>
    <s v="Birmingham City University"/>
    <x v="11"/>
    <s v="Higher education institutions"/>
    <s v="Birmingham"/>
    <s v="West Midlands"/>
    <s v="West Midlands"/>
    <s v="NULL"/>
    <s v="NULL"/>
    <s v="ITS388028"/>
    <s v="FE in HE - Good Historic"/>
    <d v="2012-05-14T00:00:00"/>
    <d v="2012-05-18T00:00:00"/>
    <d v="2012-06-26T00:00:00"/>
    <x v="0"/>
    <n v="2"/>
    <n v="2"/>
    <s v="-"/>
    <n v="3"/>
    <s v="NULL"/>
    <s v="NULL"/>
    <s v="NULL"/>
    <s v="NULL"/>
    <s v="NULL"/>
    <s v="NULL"/>
    <s v="NULL"/>
    <s v="Not Applicable"/>
  </r>
  <r>
    <s v="Ofsted Webpage"/>
    <n v="133791"/>
    <n v="10007785"/>
    <s v="University of Bradford"/>
    <x v="11"/>
    <s v="Higher education institutions"/>
    <s v="Bradford"/>
    <s v="Yorkshire and The Humber"/>
    <s v="North East, Yorkshire and the Humber"/>
    <s v="NULL"/>
    <s v="NULL"/>
    <s v="NULL"/>
    <s v="NULL"/>
    <s v="NULL"/>
    <s v="NULL"/>
    <s v="NULL"/>
    <x v="5"/>
    <s v="NULL"/>
    <s v="NULL"/>
    <s v="NULL"/>
    <s v="NULL"/>
    <s v="NULL"/>
    <s v="NULL"/>
    <s v="NULL"/>
    <s v="NULL"/>
    <s v="NULL"/>
    <s v="NULL"/>
    <s v="NULL"/>
    <s v="NULL"/>
  </r>
  <r>
    <s v="Ofsted Webpage"/>
    <n v="133793"/>
    <n v="10000385"/>
    <s v="The Arts University College At Bournemouth"/>
    <x v="11"/>
    <s v="Higher education institutions"/>
    <s v="Poole"/>
    <s v="South West"/>
    <s v="South West"/>
    <s v="NULL"/>
    <s v="NULL"/>
    <s v="ITS385356"/>
    <s v="FE in HE - Good Historic"/>
    <d v="2012-04-23T00:00:00"/>
    <d v="2012-04-27T00:00:00"/>
    <d v="2012-06-04T00:00:00"/>
    <x v="1"/>
    <n v="1"/>
    <n v="1"/>
    <s v="-"/>
    <n v="2"/>
    <s v="NULL"/>
    <s v="NULL"/>
    <s v="NULL"/>
    <s v="NULL"/>
    <s v="NULL"/>
    <s v="NULL"/>
    <s v="NULL"/>
    <s v="Not Applicable"/>
  </r>
  <r>
    <s v="Ofsted Webpage"/>
    <n v="133794"/>
    <n v="10006841"/>
    <s v="University of Bolton"/>
    <x v="11"/>
    <s v="Higher education institutions"/>
    <s v="Bolton"/>
    <s v="North West"/>
    <s v="North West"/>
    <d v="2017-03-29T00:00:00"/>
    <n v="1"/>
    <s v="ITS429185"/>
    <s v="FE in HE - Full"/>
    <d v="2014-02-25T00:00:00"/>
    <d v="2014-02-28T00:00:00"/>
    <d v="2014-04-02T00:00:00"/>
    <x v="0"/>
    <n v="3"/>
    <n v="2"/>
    <s v="-"/>
    <n v="2"/>
    <s v="NULL"/>
    <s v="NULL"/>
    <s v="NULL"/>
    <s v="NULL"/>
    <s v="NULL"/>
    <s v="NULL"/>
    <s v="NULL"/>
    <s v="Not Applicable"/>
  </r>
  <r>
    <s v="Ofsted Webpage"/>
    <n v="133796"/>
    <n v="10000886"/>
    <s v="University of Brighton"/>
    <x v="11"/>
    <s v="Higher education institutions"/>
    <s v="Brighton and Hove"/>
    <s v="South East"/>
    <s v="South East"/>
    <s v="NULL"/>
    <s v="NULL"/>
    <s v="NULL"/>
    <s v="NULL"/>
    <s v="NULL"/>
    <s v="NULL"/>
    <s v="NULL"/>
    <x v="5"/>
    <s v="NULL"/>
    <s v="NULL"/>
    <s v="NULL"/>
    <s v="NULL"/>
    <s v="NULL"/>
    <s v="NULL"/>
    <s v="NULL"/>
    <s v="NULL"/>
    <s v="NULL"/>
    <s v="NULL"/>
    <s v="NULL"/>
    <s v="NULL"/>
  </r>
  <r>
    <s v="Ofsted Webpage"/>
    <n v="133797"/>
    <n v="10005389"/>
    <s v="Ravensbourne"/>
    <x v="11"/>
    <s v="Higher education institutions"/>
    <s v="Greenwich"/>
    <s v="London"/>
    <s v="London"/>
    <s v="NULL"/>
    <s v="NULL"/>
    <s v="ITS399006"/>
    <s v="FE in HE - Full"/>
    <d v="2012-12-04T00:00:00"/>
    <d v="2012-12-07T00:00:00"/>
    <d v="2013-01-16T00:00:00"/>
    <x v="0"/>
    <n v="2"/>
    <n v="2"/>
    <s v="-"/>
    <n v="2"/>
    <s v="NULL"/>
    <s v="NULL"/>
    <s v="NULL"/>
    <s v="NULL"/>
    <s v="NULL"/>
    <s v="NULL"/>
    <s v="NULL"/>
    <s v="Not Applicable"/>
  </r>
  <r>
    <s v="Ofsted Webpage"/>
    <n v="133802"/>
    <n v="10007848"/>
    <s v="University of Chester"/>
    <x v="11"/>
    <s v="Higher education institutions"/>
    <s v="Cheshire West and Chester"/>
    <s v="North West"/>
    <s v="North West"/>
    <s v="NULL"/>
    <s v="NULL"/>
    <s v="NULL"/>
    <s v="NULL"/>
    <s v="NULL"/>
    <s v="NULL"/>
    <s v="NULL"/>
    <x v="5"/>
    <s v="NULL"/>
    <s v="NULL"/>
    <s v="NULL"/>
    <s v="NULL"/>
    <s v="NULL"/>
    <s v="NULL"/>
    <s v="NULL"/>
    <s v="NULL"/>
    <s v="NULL"/>
    <s v="NULL"/>
    <s v="NULL"/>
    <s v="NULL"/>
  </r>
  <r>
    <s v="Ofsted Webpage"/>
    <n v="133803"/>
    <n v="10000291"/>
    <s v="Anglia Ruskin University"/>
    <x v="11"/>
    <s v="Higher education institutions"/>
    <s v="Essex"/>
    <s v="East of England"/>
    <s v="East of England"/>
    <s v="NULL"/>
    <s v="NULL"/>
    <s v="NULL"/>
    <s v="NULL"/>
    <s v="NULL"/>
    <s v="NULL"/>
    <s v="NULL"/>
    <x v="5"/>
    <s v="NULL"/>
    <s v="NULL"/>
    <s v="NULL"/>
    <s v="NULL"/>
    <s v="NULL"/>
    <s v="NULL"/>
    <s v="NULL"/>
    <s v="NULL"/>
    <s v="NULL"/>
    <s v="NULL"/>
    <s v="NULL"/>
    <s v="NULL"/>
  </r>
  <r>
    <s v="Ofsted Webpage"/>
    <n v="133804"/>
    <n v="10007657"/>
    <s v="Writtle University College"/>
    <x v="11"/>
    <s v="Higher education institutions"/>
    <s v="Essex"/>
    <s v="East of England"/>
    <s v="East of England"/>
    <s v="NULL"/>
    <s v="NULL"/>
    <s v="ITS429189"/>
    <s v="FE in HE - Full"/>
    <d v="2014-01-14T00:00:00"/>
    <d v="2014-01-17T00:00:00"/>
    <d v="2014-02-17T00:00:00"/>
    <x v="0"/>
    <n v="2"/>
    <n v="2"/>
    <s v="-"/>
    <n v="2"/>
    <s v="ITS376152"/>
    <d v="2011-12-09T00:00:00"/>
    <n v="3"/>
    <n v="3"/>
    <n v="3"/>
    <s v="-"/>
    <n v="2"/>
    <s v="Improved"/>
  </r>
  <r>
    <s v="Ofsted Webpage"/>
    <n v="133805"/>
    <n v="10007791"/>
    <s v="University of Essex"/>
    <x v="11"/>
    <s v="Higher education institutions"/>
    <s v="Essex"/>
    <s v="East of England"/>
    <s v="East of England"/>
    <s v="NULL"/>
    <s v="NULL"/>
    <s v="NULL"/>
    <s v="NULL"/>
    <s v="NULL"/>
    <s v="NULL"/>
    <s v="NULL"/>
    <x v="5"/>
    <s v="NULL"/>
    <s v="NULL"/>
    <s v="NULL"/>
    <s v="NULL"/>
    <s v="NULL"/>
    <s v="NULL"/>
    <s v="NULL"/>
    <s v="NULL"/>
    <s v="NULL"/>
    <s v="NULL"/>
    <s v="NULL"/>
    <s v="NULL"/>
  </r>
  <r>
    <s v="Ofsted Webpage"/>
    <n v="133807"/>
    <n v="10007150"/>
    <s v="University of Kent"/>
    <x v="11"/>
    <s v="Higher education institutions"/>
    <s v="Kent"/>
    <s v="South East"/>
    <s v="South East"/>
    <s v="NULL"/>
    <s v="NULL"/>
    <s v="NULL"/>
    <s v="NULL"/>
    <s v="NULL"/>
    <s v="NULL"/>
    <s v="NULL"/>
    <x v="5"/>
    <s v="NULL"/>
    <s v="NULL"/>
    <s v="NULL"/>
    <s v="NULL"/>
    <s v="NULL"/>
    <s v="NULL"/>
    <s v="NULL"/>
    <s v="NULL"/>
    <s v="NULL"/>
    <s v="NULL"/>
    <s v="NULL"/>
    <s v="NULL"/>
  </r>
  <r>
    <s v="Ofsted Webpage"/>
    <n v="133808"/>
    <n v="10001726"/>
    <s v="Coventry University"/>
    <x v="11"/>
    <s v="Higher education institutions"/>
    <s v="Coventry"/>
    <s v="West Midlands"/>
    <s v="West Midlands"/>
    <s v="NULL"/>
    <s v="NULL"/>
    <n v="10041328"/>
    <s v="FE in HE - Full"/>
    <d v="2017-11-07T00:00:00"/>
    <d v="2017-11-10T00:00:00"/>
    <d v="2017-12-05T00:00:00"/>
    <x v="2"/>
    <n v="3"/>
    <n v="3"/>
    <n v="3"/>
    <n v="3"/>
    <s v="ITS429183"/>
    <d v="2014-03-28T00:00:00"/>
    <n v="2"/>
    <n v="2"/>
    <n v="2"/>
    <s v="-"/>
    <n v="2"/>
    <s v="Declined"/>
  </r>
  <r>
    <s v="Ofsted Webpage"/>
    <n v="133809"/>
    <n v="10007163"/>
    <s v="University of Warwick"/>
    <x v="11"/>
    <s v="Higher education institutions"/>
    <s v="Coventry"/>
    <s v="West Midlands"/>
    <s v="West Midlands"/>
    <s v="NULL"/>
    <s v="NULL"/>
    <s v="NULL"/>
    <s v="NULL"/>
    <s v="NULL"/>
    <s v="NULL"/>
    <s v="NULL"/>
    <x v="5"/>
    <s v="NULL"/>
    <s v="NULL"/>
    <s v="NULL"/>
    <s v="NULL"/>
    <s v="NULL"/>
    <s v="NULL"/>
    <s v="NULL"/>
    <s v="NULL"/>
    <s v="NULL"/>
    <s v="NULL"/>
    <s v="NULL"/>
    <s v="NULL"/>
  </r>
  <r>
    <s v="Ofsted Webpage"/>
    <n v="133811"/>
    <n v="10007851"/>
    <s v="University of Derby"/>
    <x v="11"/>
    <s v="Higher education institutions"/>
    <s v="Derby"/>
    <s v="East Midlands"/>
    <s v="East Midlands"/>
    <s v="NULL"/>
    <s v="NULL"/>
    <n v="10020101"/>
    <s v="FE in HE - Full"/>
    <d v="2016-09-27T00:00:00"/>
    <d v="2016-09-30T00:00:00"/>
    <d v="2016-11-02T00:00:00"/>
    <x v="2"/>
    <n v="3"/>
    <n v="3"/>
    <n v="3"/>
    <n v="3"/>
    <s v="ITS429186"/>
    <d v="2014-02-14T00:00:00"/>
    <n v="2"/>
    <n v="2"/>
    <n v="2"/>
    <s v="-"/>
    <n v="2"/>
    <s v="Declined"/>
  </r>
  <r>
    <s v="Ofsted Webpage"/>
    <n v="133812"/>
    <n v="10007143"/>
    <s v="University of Durham"/>
    <x v="11"/>
    <s v="Higher education institutions"/>
    <s v="Durham"/>
    <s v="North East"/>
    <s v="North East, Yorkshire and the Humber"/>
    <d v="2015-11-04T00:00:00"/>
    <n v="1"/>
    <s v="ITS321568"/>
    <s v="Work based Learning - full inspection Historic"/>
    <d v="2008-07-02T00:00:00"/>
    <d v="2008-07-04T00:00:00"/>
    <d v="2008-08-15T00:00:00"/>
    <x v="0"/>
    <n v="2"/>
    <n v="2"/>
    <s v="-"/>
    <n v="3"/>
    <s v="NULL"/>
    <s v="NULL"/>
    <s v="NULL"/>
    <s v="NULL"/>
    <s v="NULL"/>
    <s v="NULL"/>
    <s v="NULL"/>
    <s v="Not Applicable"/>
  </r>
  <r>
    <s v="Ofsted Webpage"/>
    <n v="133813"/>
    <n v="10007775"/>
    <s v="Queen Mary and Westfield College"/>
    <x v="11"/>
    <s v="Higher education institutions"/>
    <s v="Tower Hamlets"/>
    <s v="London"/>
    <s v="London"/>
    <s v="NULL"/>
    <s v="NULL"/>
    <s v="NULL"/>
    <s v="NULL"/>
    <s v="NULL"/>
    <s v="NULL"/>
    <s v="NULL"/>
    <x v="5"/>
    <s v="NULL"/>
    <s v="NULL"/>
    <s v="NULL"/>
    <s v="NULL"/>
    <s v="NULL"/>
    <s v="NULL"/>
    <s v="NULL"/>
    <s v="NULL"/>
    <s v="NULL"/>
    <s v="NULL"/>
    <s v="NULL"/>
    <s v="NULL"/>
  </r>
  <r>
    <s v="Ofsted Webpage"/>
    <n v="133814"/>
    <n v="10007144"/>
    <s v="University of East London"/>
    <x v="11"/>
    <s v="Higher education institutions"/>
    <s v="Newham"/>
    <s v="London"/>
    <s v="London"/>
    <s v="NULL"/>
    <s v="NULL"/>
    <s v="NULL"/>
    <s v="NULL"/>
    <s v="NULL"/>
    <s v="NULL"/>
    <s v="NULL"/>
    <x v="5"/>
    <s v="NULL"/>
    <s v="NULL"/>
    <s v="NULL"/>
    <s v="NULL"/>
    <s v="NULL"/>
    <s v="NULL"/>
    <s v="NULL"/>
    <s v="NULL"/>
    <s v="NULL"/>
    <s v="NULL"/>
    <s v="NULL"/>
    <s v="NULL"/>
  </r>
  <r>
    <s v="Ofsted Webpage"/>
    <n v="133815"/>
    <n v="10001478"/>
    <s v="City University"/>
    <x v="11"/>
    <s v="Higher education institutions"/>
    <s v="Islington"/>
    <s v="London"/>
    <s v="London"/>
    <s v="NULL"/>
    <s v="NULL"/>
    <s v="NULL"/>
    <s v="NULL"/>
    <s v="NULL"/>
    <s v="NULL"/>
    <s v="NULL"/>
    <x v="5"/>
    <s v="NULL"/>
    <s v="NULL"/>
    <s v="NULL"/>
    <s v="NULL"/>
    <s v="NULL"/>
    <s v="NULL"/>
    <s v="NULL"/>
    <s v="NULL"/>
    <s v="NULL"/>
    <s v="NULL"/>
    <s v="NULL"/>
    <s v="NULL"/>
  </r>
  <r>
    <s v="Ofsted Webpage"/>
    <n v="133817"/>
    <n v="10007792"/>
    <s v="University of Exeter"/>
    <x v="11"/>
    <s v="Higher education institutions"/>
    <s v="Devon"/>
    <s v="South West"/>
    <s v="South West"/>
    <s v="NULL"/>
    <s v="NULL"/>
    <s v="NULL"/>
    <s v="NULL"/>
    <s v="NULL"/>
    <s v="NULL"/>
    <s v="NULL"/>
    <x v="5"/>
    <s v="NULL"/>
    <s v="NULL"/>
    <s v="NULL"/>
    <s v="NULL"/>
    <s v="NULL"/>
    <s v="NULL"/>
    <s v="NULL"/>
    <s v="NULL"/>
    <s v="NULL"/>
    <s v="NULL"/>
    <s v="NULL"/>
    <s v="NULL"/>
  </r>
  <r>
    <s v="Ofsted Webpage"/>
    <n v="133818"/>
    <n v="10007145"/>
    <s v="University of Gloucestershire"/>
    <x v="11"/>
    <s v="Higher education institutions"/>
    <s v="Gloucestershire"/>
    <s v="South West"/>
    <s v="South West"/>
    <s v="NULL"/>
    <s v="NULL"/>
    <s v="NULL"/>
    <s v="NULL"/>
    <s v="NULL"/>
    <s v="NULL"/>
    <s v="NULL"/>
    <x v="5"/>
    <s v="NULL"/>
    <s v="NULL"/>
    <s v="NULL"/>
    <s v="NULL"/>
    <s v="NULL"/>
    <s v="NULL"/>
    <s v="NULL"/>
    <s v="NULL"/>
    <s v="NULL"/>
    <s v="NULL"/>
    <s v="NULL"/>
    <s v="NULL"/>
  </r>
  <r>
    <s v="Ofsted Webpage"/>
    <n v="133819"/>
    <n v="10005545"/>
    <s v="Royal Agricultural University"/>
    <x v="11"/>
    <s v="Higher education institutions"/>
    <s v="Gloucestershire"/>
    <s v="South West"/>
    <s v="South West"/>
    <s v="NULL"/>
    <s v="NULL"/>
    <s v="NULL"/>
    <s v="NULL"/>
    <s v="NULL"/>
    <s v="NULL"/>
    <s v="NULL"/>
    <x v="5"/>
    <s v="NULL"/>
    <s v="NULL"/>
    <s v="NULL"/>
    <s v="NULL"/>
    <s v="NULL"/>
    <s v="NULL"/>
    <s v="NULL"/>
    <s v="NULL"/>
    <s v="NULL"/>
    <s v="NULL"/>
    <s v="NULL"/>
    <s v="NULL"/>
  </r>
  <r>
    <s v="Ofsted Webpage"/>
    <n v="133821"/>
    <n v="10006427"/>
    <s v="University College for the Creative Arts"/>
    <x v="11"/>
    <s v="Higher education institutions"/>
    <s v="Surrey"/>
    <s v="South East"/>
    <s v="South East"/>
    <d v="2016-01-14T00:00:00"/>
    <n v="1"/>
    <s v="ITS376156"/>
    <s v="FE in HE - New Historic"/>
    <d v="2011-11-14T00:00:00"/>
    <d v="2011-11-18T00:00:00"/>
    <d v="2011-12-23T00:00:00"/>
    <x v="0"/>
    <n v="2"/>
    <n v="2"/>
    <s v="-"/>
    <n v="2"/>
    <s v="NULL"/>
    <s v="NULL"/>
    <s v="NULL"/>
    <s v="NULL"/>
    <s v="NULL"/>
    <s v="NULL"/>
    <s v="NULL"/>
    <s v="Not Applicable"/>
  </r>
  <r>
    <s v="Ofsted Webpage"/>
    <n v="133823"/>
    <n v="10000975"/>
    <s v="Buckinghamshire New University"/>
    <x v="11"/>
    <s v="Higher education institutions"/>
    <s v="Buckinghamshire"/>
    <s v="South East"/>
    <s v="South East"/>
    <d v="2017-10-18T00:00:00"/>
    <n v="1"/>
    <s v="ITS410058"/>
    <s v="FE in HE - Full"/>
    <d v="2012-10-23T00:00:00"/>
    <d v="2012-10-26T00:00:00"/>
    <d v="2012-11-30T00:00:00"/>
    <x v="0"/>
    <n v="2"/>
    <n v="2"/>
    <s v="-"/>
    <n v="3"/>
    <s v="NULL"/>
    <s v="NULL"/>
    <s v="NULL"/>
    <s v="NULL"/>
    <s v="NULL"/>
    <s v="NULL"/>
    <s v="NULL"/>
    <s v="Not Applicable"/>
  </r>
  <r>
    <s v="Ofsted Webpage"/>
    <n v="133824"/>
    <n v="10007149"/>
    <s v="University of Hull"/>
    <x v="11"/>
    <s v="Higher education institutions"/>
    <s v="Kingston upon Hull"/>
    <s v="Yorkshire and The Humber"/>
    <s v="North East, Yorkshire and the Humber"/>
    <s v="NULL"/>
    <s v="NULL"/>
    <s v="NULL"/>
    <s v="NULL"/>
    <s v="NULL"/>
    <s v="NULL"/>
    <s v="NULL"/>
    <x v="5"/>
    <s v="NULL"/>
    <s v="NULL"/>
    <s v="NULL"/>
    <s v="NULL"/>
    <s v="NULL"/>
    <s v="NULL"/>
    <s v="NULL"/>
    <s v="NULL"/>
    <s v="NULL"/>
    <s v="NULL"/>
    <s v="NULL"/>
    <s v="NULL"/>
  </r>
  <r>
    <s v="Ofsted Webpage"/>
    <n v="133825"/>
    <n v="10003678"/>
    <s v="Kingston University"/>
    <x v="11"/>
    <s v="Higher education institutions"/>
    <s v="Kingston upon Thames"/>
    <s v="London"/>
    <s v="London"/>
    <s v="NULL"/>
    <s v="NULL"/>
    <s v="ITS446542"/>
    <s v="FE in HE - Full"/>
    <d v="2015-01-20T00:00:00"/>
    <d v="2015-01-23T00:00:00"/>
    <d v="2015-03-02T00:00:00"/>
    <x v="1"/>
    <n v="1"/>
    <n v="1"/>
    <s v="-"/>
    <n v="1"/>
    <s v="NULL"/>
    <s v="NULL"/>
    <s v="NULL"/>
    <s v="NULL"/>
    <s v="NULL"/>
    <s v="NULL"/>
    <s v="NULL"/>
    <s v="Not Applicable"/>
  </r>
  <r>
    <s v="Ofsted Webpage"/>
    <n v="133827"/>
    <n v="10003957"/>
    <s v="Liverpool John Moores University"/>
    <x v="11"/>
    <s v="Higher education institutions"/>
    <s v="Liverpool"/>
    <s v="North West"/>
    <s v="North West"/>
    <s v="NULL"/>
    <s v="NULL"/>
    <s v="NULL"/>
    <s v="NULL"/>
    <s v="NULL"/>
    <s v="NULL"/>
    <s v="NULL"/>
    <x v="5"/>
    <s v="NULL"/>
    <s v="NULL"/>
    <s v="NULL"/>
    <s v="NULL"/>
    <s v="NULL"/>
    <s v="NULL"/>
    <s v="NULL"/>
    <s v="NULL"/>
    <s v="NULL"/>
    <s v="NULL"/>
    <s v="NULL"/>
    <s v="NULL"/>
  </r>
  <r>
    <s v="Ofsted Webpage"/>
    <n v="133833"/>
    <n v="10001883"/>
    <s v="De Montfort University"/>
    <x v="11"/>
    <s v="Higher education institutions"/>
    <s v="Leicester"/>
    <s v="East Midlands"/>
    <s v="East Midlands"/>
    <s v="NULL"/>
    <s v="NULL"/>
    <s v="ITS408444"/>
    <s v="FE in HE - Full"/>
    <d v="2013-11-11T00:00:00"/>
    <d v="2013-11-14T00:00:00"/>
    <d v="2013-12-16T00:00:00"/>
    <x v="0"/>
    <n v="2"/>
    <n v="2"/>
    <s v="-"/>
    <n v="3"/>
    <s v="NULL"/>
    <s v="NULL"/>
    <s v="NULL"/>
    <s v="NULL"/>
    <s v="NULL"/>
    <s v="NULL"/>
    <s v="NULL"/>
    <s v="Not Applicable"/>
  </r>
  <r>
    <s v="Ofsted Webpage"/>
    <n v="133834"/>
    <n v="10004113"/>
    <s v="Loughborough University"/>
    <x v="11"/>
    <s v="Higher education institutions"/>
    <s v="Leicestershire"/>
    <s v="East Midlands"/>
    <s v="East Midlands"/>
    <s v="NULL"/>
    <s v="NULL"/>
    <s v="ITS399138"/>
    <s v="FE in HE - Full"/>
    <d v="2012-11-13T00:00:00"/>
    <d v="2012-11-16T00:00:00"/>
    <d v="2012-12-21T00:00:00"/>
    <x v="0"/>
    <n v="1"/>
    <n v="2"/>
    <s v="-"/>
    <n v="3"/>
    <s v="NULL"/>
    <s v="NULL"/>
    <s v="NULL"/>
    <s v="NULL"/>
    <s v="NULL"/>
    <s v="NULL"/>
    <s v="NULL"/>
    <s v="Not Applicable"/>
  </r>
  <r>
    <s v="Ofsted Webpage"/>
    <n v="133836"/>
    <n v="10007151"/>
    <s v="University of Lincoln"/>
    <x v="11"/>
    <s v="Higher education institutions"/>
    <s v="Lincolnshire"/>
    <s v="East Midlands"/>
    <s v="East Midlands"/>
    <s v="NULL"/>
    <s v="NULL"/>
    <s v="ITS429187"/>
    <s v="FE in HE - Full"/>
    <d v="2014-02-04T00:00:00"/>
    <d v="2014-02-07T00:00:00"/>
    <d v="2014-03-13T00:00:00"/>
    <x v="0"/>
    <n v="2"/>
    <n v="2"/>
    <s v="-"/>
    <n v="2"/>
    <s v="ITS331245"/>
    <d v="2009-03-20T00:00:00"/>
    <n v="3"/>
    <n v="3"/>
    <n v="3"/>
    <s v="-"/>
    <n v="4"/>
    <s v="Improved"/>
  </r>
  <r>
    <s v="Ofsted Webpage"/>
    <n v="133840"/>
    <n v="10008816"/>
    <s v="Northern School of Contemporary Dance"/>
    <x v="11"/>
    <s v="Higher education institutions"/>
    <s v="Leeds"/>
    <s v="Yorkshire and The Humber"/>
    <s v="North East, Yorkshire and the Humber"/>
    <s v="NULL"/>
    <s v="NULL"/>
    <s v="ITS444690"/>
    <s v="FE in HE - Full"/>
    <d v="2014-11-11T00:00:00"/>
    <d v="2014-11-14T00:00:00"/>
    <d v="2014-12-17T00:00:00"/>
    <x v="1"/>
    <n v="1"/>
    <n v="1"/>
    <s v="-"/>
    <n v="1"/>
    <s v="NULL"/>
    <s v="NULL"/>
    <s v="NULL"/>
    <s v="NULL"/>
    <s v="NULL"/>
    <s v="NULL"/>
    <s v="NULL"/>
    <s v="Not Applicable"/>
  </r>
  <r>
    <s v="Ofsted Webpage"/>
    <n v="133844"/>
    <n v="10004180"/>
    <s v="The Manchester Metropolitan University"/>
    <x v="11"/>
    <s v="Higher education institutions"/>
    <s v="Manchester"/>
    <s v="North West"/>
    <s v="North West"/>
    <s v="NULL"/>
    <s v="NULL"/>
    <s v="ITS399007"/>
    <s v="FE in HE - Full"/>
    <d v="2012-12-04T00:00:00"/>
    <d v="2012-12-07T00:00:00"/>
    <d v="2013-01-10T00:00:00"/>
    <x v="1"/>
    <n v="1"/>
    <n v="1"/>
    <s v="-"/>
    <n v="2"/>
    <s v="NULL"/>
    <s v="NULL"/>
    <s v="NULL"/>
    <s v="NULL"/>
    <s v="NULL"/>
    <s v="NULL"/>
    <s v="NULL"/>
    <s v="Not Applicable"/>
  </r>
  <r>
    <s v="Ofsted Webpage"/>
    <n v="133845"/>
    <n v="10007156"/>
    <s v="University of Salford"/>
    <x v="11"/>
    <s v="Higher education institutions"/>
    <s v="Salford"/>
    <s v="North West"/>
    <s v="North West"/>
    <s v="NULL"/>
    <s v="NULL"/>
    <s v="NULL"/>
    <s v="NULL"/>
    <s v="NULL"/>
    <s v="NULL"/>
    <s v="NULL"/>
    <x v="5"/>
    <s v="NULL"/>
    <s v="NULL"/>
    <s v="NULL"/>
    <s v="NULL"/>
    <s v="NULL"/>
    <s v="NULL"/>
    <s v="NULL"/>
    <s v="NULL"/>
    <s v="NULL"/>
    <s v="NULL"/>
    <s v="NULL"/>
    <s v="NULL"/>
  </r>
  <r>
    <s v="Ofsted Webpage"/>
    <n v="133849"/>
    <n v="10007773"/>
    <s v="The Open University"/>
    <x v="11"/>
    <s v="Higher education institutions"/>
    <s v="Milton Keynes"/>
    <s v="South East"/>
    <s v="South East"/>
    <s v="NULL"/>
    <s v="NULL"/>
    <s v="NULL"/>
    <s v="NULL"/>
    <s v="NULL"/>
    <s v="NULL"/>
    <s v="NULL"/>
    <x v="5"/>
    <s v="NULL"/>
    <s v="NULL"/>
    <s v="NULL"/>
    <s v="NULL"/>
    <s v="NULL"/>
    <s v="NULL"/>
    <s v="NULL"/>
    <s v="NULL"/>
    <s v="NULL"/>
    <s v="NULL"/>
    <s v="NULL"/>
    <s v="NULL"/>
  </r>
  <r>
    <s v="Ofsted Webpage"/>
    <n v="133850"/>
    <n v="10004351"/>
    <s v="Middlesex University"/>
    <x v="11"/>
    <s v="Higher education institutions"/>
    <s v="Enfield"/>
    <s v="London"/>
    <s v="London"/>
    <s v="NULL"/>
    <s v="NULL"/>
    <s v="NULL"/>
    <s v="NULL"/>
    <s v="NULL"/>
    <s v="NULL"/>
    <s v="NULL"/>
    <x v="5"/>
    <s v="NULL"/>
    <s v="NULL"/>
    <s v="NULL"/>
    <s v="NULL"/>
    <s v="NULL"/>
    <s v="NULL"/>
    <s v="NULL"/>
    <s v="NULL"/>
    <s v="NULL"/>
    <s v="NULL"/>
    <s v="NULL"/>
    <s v="NULL"/>
  </r>
  <r>
    <s v="Ofsted Webpage"/>
    <n v="133854"/>
    <n v="10001282"/>
    <s v="University of Northumbria At Newcastle"/>
    <x v="11"/>
    <s v="Higher education institutions"/>
    <s v="Newcastle upon Tyne"/>
    <s v="North East"/>
    <s v="North East, Yorkshire and the Humber"/>
    <s v="NULL"/>
    <s v="NULL"/>
    <s v="NULL"/>
    <s v="NULL"/>
    <s v="NULL"/>
    <s v="NULL"/>
    <s v="NULL"/>
    <x v="5"/>
    <s v="NULL"/>
    <s v="NULL"/>
    <s v="NULL"/>
    <s v="NULL"/>
    <s v="NULL"/>
    <s v="NULL"/>
    <s v="NULL"/>
    <s v="NULL"/>
    <s v="NULL"/>
    <s v="NULL"/>
    <s v="NULL"/>
    <s v="NULL"/>
  </r>
  <r>
    <s v="Ofsted Webpage"/>
    <n v="133855"/>
    <n v="10004797"/>
    <s v="The Nottingham Trent University"/>
    <x v="11"/>
    <s v="Higher education institutions"/>
    <s v="Nottingham"/>
    <s v="East Midlands"/>
    <s v="East Midlands"/>
    <s v="NULL"/>
    <s v="NULL"/>
    <s v="ITS429250"/>
    <s v="FE in HE - Requires improvement"/>
    <d v="2014-03-18T00:00:00"/>
    <d v="2014-03-21T00:00:00"/>
    <d v="2014-04-25T00:00:00"/>
    <x v="0"/>
    <n v="2"/>
    <n v="2"/>
    <s v="-"/>
    <n v="2"/>
    <s v="ITS409295"/>
    <d v="2012-11-23T00:00:00"/>
    <n v="3"/>
    <n v="3"/>
    <n v="3"/>
    <s v="-"/>
    <n v="3"/>
    <s v="Improved"/>
  </r>
  <r>
    <s v="Ofsted Webpage"/>
    <n v="133864"/>
    <n v="10004930"/>
    <s v="Oxford Brookes University"/>
    <x v="11"/>
    <s v="Higher education institutions"/>
    <s v="Oxfordshire"/>
    <s v="South East"/>
    <s v="South East"/>
    <s v="NULL"/>
    <s v="NULL"/>
    <s v="ITS399161"/>
    <s v="FE in HE - Full"/>
    <d v="2013-11-26T00:00:00"/>
    <d v="2013-11-29T00:00:00"/>
    <d v="2014-01-08T00:00:00"/>
    <x v="0"/>
    <n v="1"/>
    <n v="2"/>
    <s v="-"/>
    <n v="2"/>
    <s v="NULL"/>
    <s v="NULL"/>
    <s v="NULL"/>
    <s v="NULL"/>
    <s v="NULL"/>
    <s v="NULL"/>
    <s v="NULL"/>
    <s v="Not Applicable"/>
  </r>
  <r>
    <s v="Ofsted Webpage"/>
    <n v="133865"/>
    <n v="10007801"/>
    <s v="University of Plymouth"/>
    <x v="11"/>
    <s v="Higher education institutions"/>
    <s v="Plymouth"/>
    <s v="South West"/>
    <s v="South West"/>
    <s v="NULL"/>
    <s v="NULL"/>
    <s v="NULL"/>
    <s v="NULL"/>
    <s v="NULL"/>
    <s v="NULL"/>
    <s v="NULL"/>
    <x v="5"/>
    <s v="NULL"/>
    <s v="NULL"/>
    <s v="NULL"/>
    <s v="NULL"/>
    <s v="NULL"/>
    <s v="NULL"/>
    <s v="NULL"/>
    <s v="NULL"/>
    <s v="NULL"/>
    <s v="NULL"/>
    <s v="NULL"/>
    <s v="NULL"/>
  </r>
  <r>
    <s v="Ofsted Webpage"/>
    <n v="133867"/>
    <n v="10007155"/>
    <s v="University of Portsmouth"/>
    <x v="11"/>
    <s v="Higher education institutions"/>
    <s v="Portsmouth"/>
    <s v="South East"/>
    <s v="South East"/>
    <s v="NULL"/>
    <s v="NULL"/>
    <s v="NULL"/>
    <s v="NULL"/>
    <s v="NULL"/>
    <s v="NULL"/>
    <s v="NULL"/>
    <x v="5"/>
    <s v="NULL"/>
    <s v="NULL"/>
    <s v="NULL"/>
    <s v="NULL"/>
    <s v="NULL"/>
    <s v="NULL"/>
    <s v="NULL"/>
    <s v="NULL"/>
    <s v="NULL"/>
    <s v="NULL"/>
    <s v="NULL"/>
    <s v="NULL"/>
  </r>
  <r>
    <s v="Ofsted Webpage"/>
    <n v="133868"/>
    <n v="10007137"/>
    <s v="University of Chichester"/>
    <x v="11"/>
    <s v="Higher education institutions"/>
    <s v="West Sussex"/>
    <s v="South East"/>
    <s v="South East"/>
    <s v="NULL"/>
    <s v="NULL"/>
    <s v="NULL"/>
    <s v="NULL"/>
    <s v="NULL"/>
    <s v="NULL"/>
    <s v="NULL"/>
    <x v="5"/>
    <s v="NULL"/>
    <s v="NULL"/>
    <s v="NULL"/>
    <s v="NULL"/>
    <s v="NULL"/>
    <s v="NULL"/>
    <s v="NULL"/>
    <s v="NULL"/>
    <s v="NULL"/>
    <s v="NULL"/>
    <s v="NULL"/>
    <s v="NULL"/>
  </r>
  <r>
    <s v="Ofsted Webpage"/>
    <n v="133869"/>
    <n v="10007141"/>
    <s v="University of Central Lancashire"/>
    <x v="11"/>
    <s v="Higher education institutions"/>
    <s v="Lancashire"/>
    <s v="North West"/>
    <s v="North West"/>
    <s v="NULL"/>
    <s v="NULL"/>
    <s v="NULL"/>
    <s v="NULL"/>
    <s v="NULL"/>
    <s v="NULL"/>
    <s v="NULL"/>
    <x v="5"/>
    <s v="NULL"/>
    <s v="NULL"/>
    <s v="NULL"/>
    <s v="NULL"/>
    <s v="NULL"/>
    <s v="NULL"/>
    <s v="NULL"/>
    <s v="NULL"/>
    <s v="NULL"/>
    <s v="NULL"/>
    <s v="NULL"/>
    <s v="NULL"/>
  </r>
  <r>
    <s v="Ofsted Webpage"/>
    <n v="133871"/>
    <n v="10005790"/>
    <s v="Sheffield Hallam University"/>
    <x v="11"/>
    <s v="Higher education institutions"/>
    <s v="Sheffield"/>
    <s v="Yorkshire and The Humber"/>
    <s v="North East, Yorkshire and the Humber"/>
    <s v="NULL"/>
    <s v="NULL"/>
    <s v="NULL"/>
    <s v="NULL"/>
    <s v="NULL"/>
    <s v="NULL"/>
    <s v="NULL"/>
    <x v="5"/>
    <s v="NULL"/>
    <s v="NULL"/>
    <s v="NULL"/>
    <s v="NULL"/>
    <s v="NULL"/>
    <s v="NULL"/>
    <s v="NULL"/>
    <s v="NULL"/>
    <s v="NULL"/>
    <s v="NULL"/>
    <s v="NULL"/>
    <s v="NULL"/>
  </r>
  <r>
    <s v="Ofsted Webpage"/>
    <n v="133872"/>
    <n v="10007157"/>
    <s v="University of Sheffield"/>
    <x v="11"/>
    <s v="Higher education institutions"/>
    <s v="Sheffield"/>
    <s v="Yorkshire and The Humber"/>
    <s v="North East, Yorkshire and the Humber"/>
    <s v="NULL"/>
    <s v="NULL"/>
    <n v="10004814"/>
    <s v="FE in HE - Full"/>
    <d v="2017-05-16T00:00:00"/>
    <d v="2017-05-19T00:00:00"/>
    <d v="2017-06-29T00:00:00"/>
    <x v="2"/>
    <n v="3"/>
    <n v="3"/>
    <n v="2"/>
    <n v="3"/>
    <s v="NULL"/>
    <s v="NULL"/>
    <s v="NULL"/>
    <s v="NULL"/>
    <s v="NULL"/>
    <s v="NULL"/>
    <s v="NULL"/>
    <s v="Not Applicable"/>
  </r>
  <r>
    <s v="Ofsted Webpage"/>
    <n v="133873"/>
    <n v="10004078"/>
    <s v="London South Bank University"/>
    <x v="11"/>
    <s v="Higher education institutions"/>
    <s v="Southwark"/>
    <s v="London"/>
    <s v="London"/>
    <s v="NULL"/>
    <s v="NULL"/>
    <s v="NULL"/>
    <s v="NULL"/>
    <s v="NULL"/>
    <s v="NULL"/>
    <s v="NULL"/>
    <x v="5"/>
    <s v="NULL"/>
    <s v="NULL"/>
    <s v="NULL"/>
    <s v="NULL"/>
    <s v="NULL"/>
    <s v="NULL"/>
    <s v="NULL"/>
    <s v="NULL"/>
    <s v="NULL"/>
    <s v="NULL"/>
    <s v="NULL"/>
    <s v="NULL"/>
  </r>
  <r>
    <s v="Ofsted Webpage"/>
    <n v="133876"/>
    <n v="10007146"/>
    <s v="University of Greenwich"/>
    <x v="11"/>
    <s v="Higher education institutions"/>
    <s v="Greenwich"/>
    <s v="London"/>
    <s v="London"/>
    <s v="NULL"/>
    <s v="NULL"/>
    <s v="NULL"/>
    <s v="NULL"/>
    <s v="NULL"/>
    <s v="NULL"/>
    <s v="NULL"/>
    <x v="5"/>
    <s v="NULL"/>
    <s v="NULL"/>
    <s v="NULL"/>
    <s v="NULL"/>
    <s v="NULL"/>
    <s v="NULL"/>
    <s v="NULL"/>
    <s v="NULL"/>
    <s v="NULL"/>
    <s v="NULL"/>
    <s v="NULL"/>
    <s v="NULL"/>
  </r>
  <r>
    <s v="Ofsted Webpage"/>
    <n v="133878"/>
    <n v="10006022"/>
    <s v="Southampton Solent University"/>
    <x v="11"/>
    <s v="Higher education institutions"/>
    <s v="Southampton"/>
    <s v="South East"/>
    <s v="South East"/>
    <s v="NULL"/>
    <s v="NULL"/>
    <s v="ITS376157"/>
    <s v="FE in HE - New Historic"/>
    <d v="2011-12-05T00:00:00"/>
    <d v="2011-12-09T00:00:00"/>
    <d v="2012-01-18T00:00:00"/>
    <x v="1"/>
    <n v="1"/>
    <n v="2"/>
    <s v="-"/>
    <n v="2"/>
    <s v="NULL"/>
    <s v="NULL"/>
    <s v="NULL"/>
    <s v="NULL"/>
    <s v="NULL"/>
    <s v="NULL"/>
    <s v="NULL"/>
    <s v="Not Applicable"/>
  </r>
  <r>
    <s v="Ofsted Webpage"/>
    <n v="133880"/>
    <n v="10003614"/>
    <s v="University of Winchester"/>
    <x v="11"/>
    <s v="Higher education institutions"/>
    <s v="Hampshire"/>
    <s v="South East"/>
    <s v="South East"/>
    <s v="NULL"/>
    <s v="NULL"/>
    <s v="NULL"/>
    <s v="NULL"/>
    <s v="NULL"/>
    <s v="NULL"/>
    <s v="NULL"/>
    <x v="5"/>
    <s v="NULL"/>
    <s v="NULL"/>
    <s v="NULL"/>
    <s v="NULL"/>
    <s v="NULL"/>
    <s v="NULL"/>
    <s v="NULL"/>
    <s v="NULL"/>
    <s v="NULL"/>
    <s v="NULL"/>
    <s v="NULL"/>
    <s v="NULL"/>
  </r>
  <r>
    <s v="Ofsted Webpage"/>
    <n v="133881"/>
    <n v="10007159"/>
    <s v="University of Sunderland"/>
    <x v="11"/>
    <s v="Higher education institutions"/>
    <s v="Sunderland"/>
    <s v="North East"/>
    <s v="North East, Yorkshire and the Humber"/>
    <s v="NULL"/>
    <s v="NULL"/>
    <s v="ITS429188"/>
    <s v="FE in HE - Full"/>
    <d v="2014-03-04T00:00:00"/>
    <d v="2014-03-07T00:00:00"/>
    <d v="2014-04-09T00:00:00"/>
    <x v="1"/>
    <n v="1"/>
    <n v="1"/>
    <s v="-"/>
    <n v="1"/>
    <s v="NULL"/>
    <s v="NULL"/>
    <s v="NULL"/>
    <s v="NULL"/>
    <s v="NULL"/>
    <s v="NULL"/>
    <s v="NULL"/>
    <s v="Not Applicable"/>
  </r>
  <r>
    <s v="Ofsted Webpage"/>
    <n v="133882"/>
    <n v="10006299"/>
    <s v="Staffordshire University"/>
    <x v="11"/>
    <s v="Higher education institutions"/>
    <s v="Staffordshire"/>
    <s v="West Midlands"/>
    <s v="West Midlands"/>
    <s v="NULL"/>
    <s v="NULL"/>
    <s v="NULL"/>
    <s v="NULL"/>
    <s v="NULL"/>
    <s v="NULL"/>
    <s v="NULL"/>
    <x v="5"/>
    <s v="NULL"/>
    <s v="NULL"/>
    <s v="NULL"/>
    <s v="NULL"/>
    <s v="NULL"/>
    <s v="NULL"/>
    <s v="NULL"/>
    <s v="NULL"/>
    <s v="NULL"/>
    <s v="NULL"/>
    <s v="NULL"/>
    <s v="NULL"/>
  </r>
  <r>
    <s v="Ofsted Webpage"/>
    <n v="133891"/>
    <n v="10040812"/>
    <s v="Harper Adams University"/>
    <x v="11"/>
    <s v="Higher education institutions"/>
    <s v="Telford and Wrekin"/>
    <s v="West Midlands"/>
    <s v="West Midlands"/>
    <s v="NULL"/>
    <s v="NULL"/>
    <s v="NULL"/>
    <s v="NULL"/>
    <s v="NULL"/>
    <s v="NULL"/>
    <s v="NULL"/>
    <x v="5"/>
    <s v="NULL"/>
    <s v="NULL"/>
    <s v="NULL"/>
    <s v="NULL"/>
    <s v="NULL"/>
    <s v="NULL"/>
    <s v="NULL"/>
    <s v="NULL"/>
    <s v="NULL"/>
    <s v="NULL"/>
    <s v="NULL"/>
    <s v="NULL"/>
  </r>
  <r>
    <s v="Ofsted Webpage"/>
    <n v="133894"/>
    <n v="10007161"/>
    <s v="Teesside University"/>
    <x v="11"/>
    <s v="Higher education institutions"/>
    <s v="Middlesbrough"/>
    <s v="North East"/>
    <s v="North East, Yorkshire and the Humber"/>
    <s v="NULL"/>
    <s v="NULL"/>
    <s v="NULL"/>
    <s v="NULL"/>
    <s v="NULL"/>
    <s v="NULL"/>
    <s v="NULL"/>
    <x v="5"/>
    <s v="NULL"/>
    <s v="NULL"/>
    <s v="NULL"/>
    <s v="NULL"/>
    <s v="NULL"/>
    <s v="NULL"/>
    <s v="NULL"/>
    <s v="NULL"/>
    <s v="NULL"/>
    <s v="NULL"/>
    <s v="NULL"/>
    <s v="NULL"/>
  </r>
  <r>
    <s v="Ofsted Webpage"/>
    <n v="133900"/>
    <n v="10007162"/>
    <s v="University of the Arts London"/>
    <x v="11"/>
    <s v="Higher education institutions"/>
    <s v="Camden"/>
    <s v="London"/>
    <s v="London"/>
    <s v="NULL"/>
    <s v="NULL"/>
    <n v="10022558"/>
    <s v="FE in HE - Full"/>
    <d v="2017-02-01T00:00:00"/>
    <d v="2017-02-28T00:00:00"/>
    <d v="2017-03-29T00:00:00"/>
    <x v="1"/>
    <n v="1"/>
    <n v="1"/>
    <n v="1"/>
    <n v="1"/>
    <s v="ITS386024"/>
    <d v="2012-01-27T00:00:00"/>
    <n v="2"/>
    <n v="2"/>
    <n v="2"/>
    <s v="-"/>
    <n v="2"/>
    <s v="Improved"/>
  </r>
  <r>
    <s v="Ofsted Webpage"/>
    <n v="133901"/>
    <n v="10006566"/>
    <s v="University of West London"/>
    <x v="11"/>
    <s v="Higher education institutions"/>
    <s v="Ealing"/>
    <s v="London"/>
    <s v="London"/>
    <s v="NULL"/>
    <s v="NULL"/>
    <s v="ITS420015"/>
    <s v="FE in HE - Full"/>
    <d v="2013-12-10T00:00:00"/>
    <d v="2013-12-13T00:00:00"/>
    <d v="2014-01-20T00:00:00"/>
    <x v="1"/>
    <n v="1"/>
    <n v="1"/>
    <s v="-"/>
    <n v="1"/>
    <s v="ITS343641"/>
    <d v="2010-02-05T00:00:00"/>
    <n v="3"/>
    <n v="3"/>
    <n v="3"/>
    <s v="-"/>
    <n v="3"/>
    <s v="Improved"/>
  </r>
  <r>
    <s v="Ofsted Webpage"/>
    <n v="133911"/>
    <n v="10007139"/>
    <s v="University of Worcester"/>
    <x v="11"/>
    <s v="Higher education institutions"/>
    <s v="Worcestershire"/>
    <s v="West Midlands"/>
    <s v="West Midlands"/>
    <s v="NULL"/>
    <s v="NULL"/>
    <s v="NULL"/>
    <s v="NULL"/>
    <s v="NULL"/>
    <s v="NULL"/>
    <s v="NULL"/>
    <x v="5"/>
    <s v="NULL"/>
    <s v="NULL"/>
    <s v="NULL"/>
    <s v="NULL"/>
    <s v="NULL"/>
    <s v="NULL"/>
    <s v="NULL"/>
    <s v="NULL"/>
    <s v="NULL"/>
    <s v="NULL"/>
    <s v="NULL"/>
    <s v="NULL"/>
  </r>
  <r>
    <s v="Ofsted Webpage"/>
    <n v="133912"/>
    <n v="10007166"/>
    <s v="University of Wolverhampton"/>
    <x v="11"/>
    <s v="Higher education institutions"/>
    <s v="Wolverhampton"/>
    <s v="West Midlands"/>
    <s v="West Midlands"/>
    <s v="NULL"/>
    <s v="NULL"/>
    <s v="NULL"/>
    <s v="NULL"/>
    <s v="NULL"/>
    <s v="NULL"/>
    <s v="NULL"/>
    <x v="5"/>
    <s v="NULL"/>
    <s v="NULL"/>
    <s v="NULL"/>
    <s v="NULL"/>
    <s v="NULL"/>
    <s v="NULL"/>
    <s v="NULL"/>
    <s v="NULL"/>
    <s v="NULL"/>
    <s v="NULL"/>
    <s v="NULL"/>
    <s v="NULL"/>
  </r>
  <r>
    <s v="Ofsted Webpage"/>
    <n v="134143"/>
    <n v="10000872"/>
    <s v="Bridge College"/>
    <x v="6"/>
    <s v="Independent specialist colleges"/>
    <s v="Manchester"/>
    <s v="North West"/>
    <s v="North West"/>
    <d v="2017-03-02T00:00:00"/>
    <n v="1"/>
    <s v="ITS423405"/>
    <s v="ISC - Full"/>
    <d v="2013-09-18T00:00:00"/>
    <d v="2013-09-20T00:00:00"/>
    <d v="2013-10-22T00:00:00"/>
    <x v="0"/>
    <n v="2"/>
    <n v="2"/>
    <s v="-"/>
    <n v="2"/>
    <s v="ITS321920"/>
    <d v="2008-01-17T00:00:00"/>
    <n v="2"/>
    <n v="2"/>
    <n v="2"/>
    <s v="-"/>
    <n v="2"/>
    <s v="Stayed the Same"/>
  </r>
  <r>
    <s v="Ofsted Webpage"/>
    <n v="134153"/>
    <n v="10004927"/>
    <s v="Activate Learning"/>
    <x v="8"/>
    <s v="Colleges"/>
    <s v="Oxfordshire"/>
    <s v="South East"/>
    <s v="South East"/>
    <s v="NULL"/>
    <s v="NULL"/>
    <s v="ITS424324"/>
    <s v="FE College - Full"/>
    <d v="2013-12-09T00:00:00"/>
    <d v="2013-12-13T00:00:00"/>
    <d v="2014-01-22T00:00:00"/>
    <x v="0"/>
    <n v="3"/>
    <n v="2"/>
    <s v="-"/>
    <n v="2"/>
    <s v="ITS329160"/>
    <d v="2008-10-17T00:00:00"/>
    <n v="2"/>
    <n v="2"/>
    <n v="2"/>
    <s v="-"/>
    <n v="2"/>
    <s v="Stayed the Same"/>
  </r>
  <r>
    <s v="Ofsted Webpage"/>
    <n v="135398"/>
    <n v="10007842"/>
    <s v="University of Cumbria"/>
    <x v="11"/>
    <s v="Higher education institutions"/>
    <s v="Cumbria"/>
    <s v="North West"/>
    <s v="North West"/>
    <s v="NULL"/>
    <s v="NULL"/>
    <s v="ITS345751"/>
    <s v="FE in HE - Inadequate Historic"/>
    <d v="2010-04-19T00:00:00"/>
    <d v="2010-04-23T00:00:00"/>
    <d v="2010-06-10T00:00:00"/>
    <x v="2"/>
    <n v="3"/>
    <n v="3"/>
    <s v="-"/>
    <n v="3"/>
    <s v="ITS331151"/>
    <d v="2009-02-06T00:00:00"/>
    <n v="4"/>
    <n v="4"/>
    <n v="4"/>
    <s v="-"/>
    <n v="4"/>
    <s v="Improved"/>
  </r>
  <r>
    <s v="Ofsted Webpage"/>
    <n v="135524"/>
    <n v="10023139"/>
    <s v="LTE Group"/>
    <x v="8"/>
    <s v="Colleges"/>
    <s v="Manchester"/>
    <s v="North West"/>
    <s v="North West"/>
    <s v="NULL"/>
    <s v="NULL"/>
    <n v="10022615"/>
    <s v="FE College - Full"/>
    <d v="2017-03-07T00:00:00"/>
    <d v="2017-03-10T00:00:00"/>
    <d v="2017-04-21T00:00:00"/>
    <x v="2"/>
    <n v="3"/>
    <n v="3"/>
    <n v="3"/>
    <n v="3"/>
    <s v="ITS409444"/>
    <d v="2014-05-16T00:00:00"/>
    <n v="2"/>
    <n v="2"/>
    <n v="2"/>
    <s v="-"/>
    <n v="2"/>
    <s v="Declined"/>
  </r>
  <r>
    <s v="Ofsted Webpage"/>
    <n v="135658"/>
    <n v="10023526"/>
    <s v="South Staffordshire College"/>
    <x v="8"/>
    <s v="Colleges"/>
    <s v="Staffordshire"/>
    <s v="West Midlands"/>
    <s v="West Midlands"/>
    <s v="NULL"/>
    <s v="NULL"/>
    <n v="10020086"/>
    <s v="FE College - Full"/>
    <d v="2016-11-22T00:00:00"/>
    <d v="2016-11-25T00:00:00"/>
    <d v="2017-01-09T00:00:00"/>
    <x v="2"/>
    <n v="3"/>
    <n v="3"/>
    <n v="3"/>
    <n v="3"/>
    <s v="ITS410619"/>
    <d v="2013-04-19T00:00:00"/>
    <n v="2"/>
    <n v="3"/>
    <n v="2"/>
    <s v="-"/>
    <n v="2"/>
    <s v="Declined"/>
  </r>
  <r>
    <s v="Ofsted Webpage"/>
    <n v="135771"/>
    <n v="10024962"/>
    <s v="Leeds City College"/>
    <x v="8"/>
    <s v="Colleges"/>
    <s v="Leeds"/>
    <s v="Yorkshire and The Humber"/>
    <s v="North East, Yorkshire and the Humber"/>
    <s v="NULL"/>
    <s v="NULL"/>
    <n v="10011459"/>
    <s v="FE College - Full"/>
    <d v="2016-02-09T00:00:00"/>
    <d v="2016-02-12T00:00:00"/>
    <d v="2016-03-09T00:00:00"/>
    <x v="2"/>
    <n v="3"/>
    <n v="3"/>
    <n v="3"/>
    <n v="3"/>
    <s v="ITS388014"/>
    <d v="2012-05-18T00:00:00"/>
    <n v="2"/>
    <n v="3"/>
    <n v="2"/>
    <s v="-"/>
    <n v="2"/>
    <s v="Declined"/>
  </r>
  <r>
    <s v="Ofsted Webpage"/>
    <n v="136255"/>
    <n v="10029916"/>
    <s v="Lowestoft Sixth Form College"/>
    <x v="9"/>
    <s v="Colleges"/>
    <s v="Suffolk"/>
    <s v="East of England"/>
    <s v="East of England"/>
    <s v="NULL"/>
    <s v="NULL"/>
    <s v="ITS444483"/>
    <s v="SFC - Requires improvement"/>
    <d v="2015-04-28T00:00:00"/>
    <d v="2015-05-01T00:00:00"/>
    <d v="2015-06-03T00:00:00"/>
    <x v="0"/>
    <n v="2"/>
    <n v="2"/>
    <s v="-"/>
    <n v="2"/>
    <s v="ITS429176"/>
    <d v="2014-01-31T00:00:00"/>
    <n v="3"/>
    <n v="3"/>
    <n v="3"/>
    <s v="-"/>
    <n v="3"/>
    <s v="Improved"/>
  </r>
  <r>
    <s v="Ofsted Webpage"/>
    <n v="138262"/>
    <n v="10037669"/>
    <s v="City Gateway 14-19 Provision"/>
    <x v="12"/>
    <s v="16-19 academies"/>
    <s v="Tower Hamlets"/>
    <s v="London"/>
    <s v="London"/>
    <s v="NULL"/>
    <s v="NULL"/>
    <s v="ITS443325"/>
    <s v="16-19 academy - Full"/>
    <d v="2014-05-06T00:00:00"/>
    <d v="2014-05-09T00:00:00"/>
    <d v="2014-06-16T00:00:00"/>
    <x v="1"/>
    <n v="1"/>
    <n v="1"/>
    <s v="-"/>
    <n v="1"/>
    <s v="NULL"/>
    <s v="NULL"/>
    <s v="NULL"/>
    <s v="NULL"/>
    <s v="NULL"/>
    <s v="NULL"/>
    <s v="NULL"/>
    <s v="Not Applicable"/>
  </r>
  <r>
    <s v="Ofsted Webpage"/>
    <n v="138403"/>
    <n v="10037983"/>
    <s v="London Academy of Excellence"/>
    <x v="12"/>
    <s v="16-19 academies"/>
    <s v="Newham"/>
    <s v="London"/>
    <s v="London"/>
    <s v="NULL"/>
    <s v="NULL"/>
    <n v="10022552"/>
    <s v="16-19 academy - Full"/>
    <d v="2017-10-04T00:00:00"/>
    <d v="2017-10-11T00:00:00"/>
    <d v="2017-11-22T00:00:00"/>
    <x v="1"/>
    <n v="1"/>
    <n v="1"/>
    <n v="1"/>
    <n v="1"/>
    <s v="ITS430419"/>
    <d v="2014-03-21T00:00:00"/>
    <n v="2"/>
    <n v="2"/>
    <n v="2"/>
    <s v="-"/>
    <n v="2"/>
    <s v="Improved"/>
  </r>
  <r>
    <s v="Ofsted Webpage"/>
    <n v="138670"/>
    <n v="10037344"/>
    <s v="Easton &amp; Otley College"/>
    <x v="10"/>
    <s v="Colleges"/>
    <s v="Norfolk"/>
    <s v="East of England"/>
    <s v="East of England"/>
    <s v="NULL"/>
    <s v="NULL"/>
    <n v="10022607"/>
    <s v="FE College - Full"/>
    <d v="2017-05-15T00:00:00"/>
    <d v="2017-05-18T00:00:00"/>
    <d v="2017-07-20T00:00:00"/>
    <x v="4"/>
    <n v="4"/>
    <n v="4"/>
    <n v="4"/>
    <n v="3"/>
    <s v="ITS423373"/>
    <d v="2013-11-29T00:00:00"/>
    <n v="2"/>
    <n v="2"/>
    <n v="2"/>
    <s v="-"/>
    <n v="2"/>
    <s v="Declined"/>
  </r>
  <r>
    <s v="Ofsted Webpage"/>
    <n v="138966"/>
    <n v="10039420"/>
    <s v="Shooters Hill Sixth Form College"/>
    <x v="13"/>
    <s v="16-19 academies"/>
    <s v="Greenwich"/>
    <s v="London"/>
    <s v="London"/>
    <s v="NULL"/>
    <s v="NULL"/>
    <n v="10037410"/>
    <s v="16-19 academy - Requires Improvement"/>
    <d v="2017-09-18T00:00:00"/>
    <d v="2017-09-21T00:00:00"/>
    <d v="2017-10-23T00:00:00"/>
    <x v="2"/>
    <n v="3"/>
    <n v="3"/>
    <n v="3"/>
    <n v="3"/>
    <n v="10004818"/>
    <d v="2015-10-22T00:00:00"/>
    <n v="3"/>
    <n v="3"/>
    <n v="3"/>
    <n v="3"/>
    <n v="3"/>
    <s v="Stayed the Same"/>
  </r>
  <r>
    <s v="Ofsted Webpage"/>
    <n v="139218"/>
    <n v="10024772"/>
    <s v="Royal College Manchester (Seashell Trust)"/>
    <x v="6"/>
    <s v="Independent specialist colleges"/>
    <s v="Stockport"/>
    <s v="North West"/>
    <s v="North West"/>
    <s v="NULL"/>
    <s v="NULL"/>
    <n v="10030787"/>
    <s v="ISC - Full"/>
    <d v="2017-10-18T00:00:00"/>
    <d v="2017-10-20T00:00:00"/>
    <d v="2017-11-23T00:00:00"/>
    <x v="0"/>
    <n v="2"/>
    <n v="2"/>
    <n v="1"/>
    <n v="2"/>
    <s v="ITS408448"/>
    <d v="2013-07-05T00:00:00"/>
    <n v="1"/>
    <n v="1"/>
    <n v="1"/>
    <s v="-"/>
    <n v="1"/>
    <s v="Declined"/>
  </r>
  <r>
    <s v="Ofsted Webpage"/>
    <n v="139238"/>
    <n v="10036143"/>
    <s v="South Gloucestershire and Stroud College"/>
    <x v="8"/>
    <s v="Colleges"/>
    <s v="South Gloucestershire"/>
    <s v="South West"/>
    <s v="South West"/>
    <d v="2017-10-18T00:00:00"/>
    <n v="1"/>
    <s v="ITS452493"/>
    <s v="FE College - Full"/>
    <d v="2014-11-17T00:00:00"/>
    <d v="2014-11-21T00:00:00"/>
    <d v="2014-12-23T00:00:00"/>
    <x v="0"/>
    <n v="2"/>
    <n v="2"/>
    <s v="-"/>
    <n v="1"/>
    <s v="NULL"/>
    <s v="NULL"/>
    <s v="NULL"/>
    <s v="NULL"/>
    <s v="NULL"/>
    <s v="NULL"/>
    <s v="NULL"/>
    <s v="Not Applicable"/>
  </r>
  <r>
    <s v="Ofsted Webpage"/>
    <n v="139243"/>
    <n v="10024163"/>
    <s v="Area 51 Education Ltd"/>
    <x v="6"/>
    <s v="Independent specialist colleges"/>
    <s v="Haringey"/>
    <s v="London"/>
    <s v="London"/>
    <s v="NULL"/>
    <s v="NULL"/>
    <n v="10004819"/>
    <s v="ISC - Requires improvement"/>
    <d v="2016-10-11T00:00:00"/>
    <d v="2016-10-13T00:00:00"/>
    <d v="2016-11-16T00:00:00"/>
    <x v="0"/>
    <n v="2"/>
    <n v="2"/>
    <n v="2"/>
    <n v="2"/>
    <s v="ITS446688"/>
    <d v="2014-11-14T00:00:00"/>
    <n v="3"/>
    <n v="3"/>
    <n v="3"/>
    <s v="-"/>
    <n v="3"/>
    <s v="Improved"/>
  </r>
  <r>
    <s v="Ofsted Webpage"/>
    <n v="139249"/>
    <n v="10038981"/>
    <s v="Sheiling College"/>
    <x v="6"/>
    <s v="Independent specialist colleges"/>
    <s v="Dorset"/>
    <s v="South West"/>
    <s v="South West"/>
    <s v="NULL"/>
    <s v="NULL"/>
    <s v="ITS451325"/>
    <s v="ISC - Full"/>
    <d v="2014-12-02T00:00:00"/>
    <d v="2014-12-03T00:00:00"/>
    <d v="2015-01-12T00:00:00"/>
    <x v="0"/>
    <n v="2"/>
    <n v="2"/>
    <s v="-"/>
    <n v="2"/>
    <s v="NULL"/>
    <s v="NULL"/>
    <s v="NULL"/>
    <s v="NULL"/>
    <s v="NULL"/>
    <s v="NULL"/>
    <s v="NULL"/>
    <s v="Not Applicable"/>
  </r>
  <r>
    <s v="Ofsted Webpage"/>
    <n v="139250"/>
    <n v="10040374"/>
    <s v="St Martins Centre (St Roses School)"/>
    <x v="6"/>
    <s v="Independent specialist colleges"/>
    <s v="Gloucestershire"/>
    <s v="South West"/>
    <s v="South West"/>
    <s v="NULL"/>
    <s v="NULL"/>
    <n v="10021853"/>
    <s v="ISC - Full"/>
    <d v="2016-12-06T00:00:00"/>
    <d v="2016-12-08T00:00:00"/>
    <d v="2017-01-25T00:00:00"/>
    <x v="0"/>
    <n v="1"/>
    <n v="2"/>
    <n v="2"/>
    <n v="2"/>
    <s v="NULL"/>
    <s v="NULL"/>
    <s v="NULL"/>
    <s v="NULL"/>
    <s v="NULL"/>
    <s v="NULL"/>
    <s v="NULL"/>
    <s v="Not Applicable"/>
  </r>
  <r>
    <s v="Ofsted Webpage"/>
    <n v="139251"/>
    <n v="10040375"/>
    <s v="Lakeside Early Adult Provision - Leap College (Wargrave House Ltd)"/>
    <x v="6"/>
    <s v="Independent specialist colleges"/>
    <s v="St Helens"/>
    <s v="North West"/>
    <s v="North West"/>
    <s v="NULL"/>
    <s v="NULL"/>
    <n v="10038320"/>
    <s v="ISC - Requires improvement"/>
    <d v="2017-11-13T00:00:00"/>
    <d v="2017-11-15T00:00:00"/>
    <d v="2017-12-20T00:00:00"/>
    <x v="2"/>
    <n v="3"/>
    <n v="3"/>
    <n v="3"/>
    <n v="3"/>
    <n v="10004820"/>
    <d v="2016-01-21T00:00:00"/>
    <n v="3"/>
    <n v="3"/>
    <n v="3"/>
    <n v="3"/>
    <n v="3"/>
    <s v="Stayed the Same"/>
  </r>
  <r>
    <s v="Ofsted Webpage"/>
    <n v="139363"/>
    <n v="10040630"/>
    <s v="Haringey Sixth Form College"/>
    <x v="13"/>
    <s v="16-19 academies"/>
    <s v="Haringey"/>
    <s v="London"/>
    <s v="London"/>
    <s v="NULL"/>
    <s v="NULL"/>
    <n v="10004822"/>
    <s v="16-19 academy - Requires Improvement"/>
    <d v="2015-10-13T00:00:00"/>
    <d v="2015-10-15T00:00:00"/>
    <d v="2015-11-16T00:00:00"/>
    <x v="0"/>
    <n v="2"/>
    <n v="2"/>
    <n v="2"/>
    <n v="2"/>
    <s v="ITS430420"/>
    <d v="2014-03-28T00:00:00"/>
    <n v="3"/>
    <n v="3"/>
    <n v="3"/>
    <s v="-"/>
    <n v="3"/>
    <s v="Improved"/>
  </r>
  <r>
    <s v="Ofsted Webpage"/>
    <n v="139433"/>
    <n v="10041654"/>
    <s v="The Maltings College"/>
    <x v="12"/>
    <s v="16-19 academies"/>
    <s v="Calderdale"/>
    <s v="Yorkshire and The Humber"/>
    <s v="North East, Yorkshire and the Humber"/>
    <s v="NULL"/>
    <s v="NULL"/>
    <n v="10008477"/>
    <s v="16-19 academy - Reinspection"/>
    <d v="2016-05-17T00:00:00"/>
    <d v="2016-05-19T00:00:00"/>
    <d v="2016-06-16T00:00:00"/>
    <x v="2"/>
    <n v="3"/>
    <n v="3"/>
    <n v="3"/>
    <n v="3"/>
    <s v="ITS452498"/>
    <d v="2015-01-16T00:00:00"/>
    <n v="4"/>
    <n v="4"/>
    <n v="4"/>
    <s v="-"/>
    <n v="4"/>
    <s v="Improved"/>
  </r>
  <r>
    <s v="Ofsted Webpage"/>
    <n v="139730"/>
    <n v="10042041"/>
    <s v="Connell Sixth Form College"/>
    <x v="12"/>
    <s v="16-19 academies"/>
    <s v="Manchester"/>
    <s v="North West"/>
    <s v="North West"/>
    <s v="NULL"/>
    <s v="NULL"/>
    <n v="10020133"/>
    <s v="16-19 academy - Requires Improvement"/>
    <d v="2016-11-21T00:00:00"/>
    <d v="2016-11-23T00:00:00"/>
    <d v="2017-01-31T00:00:00"/>
    <x v="2"/>
    <n v="3"/>
    <n v="3"/>
    <n v="3"/>
    <n v="3"/>
    <s v="ITS452499"/>
    <d v="2015-01-30T00:00:00"/>
    <n v="3"/>
    <n v="3"/>
    <n v="3"/>
    <s v="-"/>
    <n v="3"/>
    <s v="Stayed the Same"/>
  </r>
  <r>
    <s v="Ofsted Webpage"/>
    <n v="139793"/>
    <n v="10042051"/>
    <s v="Tech City College"/>
    <x v="12"/>
    <s v="16-19 academies"/>
    <s v="Islington"/>
    <s v="London"/>
    <s v="London"/>
    <s v="NULL"/>
    <s v="NULL"/>
    <n v="10030829"/>
    <s v="16-19 academy - Reinspection"/>
    <d v="2017-05-10T00:00:00"/>
    <d v="2017-05-12T00:00:00"/>
    <d v="2017-06-26T00:00:00"/>
    <x v="2"/>
    <n v="3"/>
    <n v="3"/>
    <n v="2"/>
    <n v="3"/>
    <n v="10004825"/>
    <d v="2016-03-03T00:00:00"/>
    <n v="4"/>
    <n v="4"/>
    <n v="4"/>
    <n v="4"/>
    <n v="4"/>
    <s v="Improved"/>
  </r>
  <r>
    <s v="Ofsted Webpage"/>
    <n v="139798"/>
    <n v="10042040"/>
    <s v="Kimberley 16 - 19 Stem College"/>
    <x v="12"/>
    <s v="16-19 academies"/>
    <s v="Bedford"/>
    <s v="East of England"/>
    <s v="East of England"/>
    <s v="NULL"/>
    <s v="NULL"/>
    <n v="10022600"/>
    <s v="16-19 academy - Requires Improvement"/>
    <d v="2017-01-24T00:00:00"/>
    <d v="2017-01-26T00:00:00"/>
    <d v="2017-03-16T00:00:00"/>
    <x v="0"/>
    <n v="2"/>
    <n v="2"/>
    <n v="1"/>
    <n v="2"/>
    <s v="ITS452501"/>
    <d v="2015-03-13T00:00:00"/>
    <n v="3"/>
    <n v="3"/>
    <n v="3"/>
    <s v="-"/>
    <n v="3"/>
    <s v="Improved"/>
  </r>
  <r>
    <s v="Ofsted Webpage"/>
    <n v="139896"/>
    <n v="10042335"/>
    <s v="Sir Isaac Newton Sixth Form Free School"/>
    <x v="12"/>
    <s v="16-19 academies"/>
    <s v="Norfolk"/>
    <s v="East of England"/>
    <s v="East of England"/>
    <s v="NULL"/>
    <s v="NULL"/>
    <s v="ITS452502"/>
    <s v="16-19 academy - Full"/>
    <d v="2015-03-03T00:00:00"/>
    <d v="2015-03-06T00:00:00"/>
    <d v="2015-03-31T00:00:00"/>
    <x v="0"/>
    <n v="2"/>
    <n v="2"/>
    <s v="-"/>
    <n v="2"/>
    <s v="NULL"/>
    <s v="NULL"/>
    <s v="NULL"/>
    <s v="NULL"/>
    <s v="NULL"/>
    <s v="NULL"/>
    <s v="NULL"/>
    <s v="Not Applicable"/>
  </r>
  <r>
    <s v="Ofsted Webpage"/>
    <n v="140564"/>
    <n v="10046829"/>
    <s v="King's College London Maths School"/>
    <x v="12"/>
    <s v="16-19 academies"/>
    <s v="Lambeth"/>
    <s v="London"/>
    <s v="London"/>
    <s v="NULL"/>
    <s v="NULL"/>
    <n v="10022551"/>
    <s v="16-19 academy - Full"/>
    <d v="2017-04-25T00:00:00"/>
    <d v="2017-04-27T00:00:00"/>
    <d v="2017-06-05T00:00:00"/>
    <x v="1"/>
    <n v="1"/>
    <n v="1"/>
    <n v="1"/>
    <n v="1"/>
    <s v="NULL"/>
    <s v="NULL"/>
    <s v="NULL"/>
    <s v="NULL"/>
    <s v="NULL"/>
    <s v="NULL"/>
    <s v="NULL"/>
    <s v="Not Applicable"/>
  </r>
  <r>
    <s v="Ofsted Webpage"/>
    <n v="140621"/>
    <n v="10046731"/>
    <s v="Salisbury Sixth Form College"/>
    <x v="12"/>
    <s v="16-19 academies"/>
    <s v="Wiltshire"/>
    <s v="South West"/>
    <s v="South West"/>
    <s v="NULL"/>
    <s v="NULL"/>
    <n v="10022512"/>
    <s v="16-19 academy - Full"/>
    <d v="2017-02-08T00:00:00"/>
    <d v="2017-02-10T00:00:00"/>
    <d v="2017-03-15T00:00:00"/>
    <x v="0"/>
    <n v="2"/>
    <n v="2"/>
    <n v="2"/>
    <n v="2"/>
    <s v="NULL"/>
    <s v="NULL"/>
    <s v="NULL"/>
    <s v="NULL"/>
    <s v="NULL"/>
    <s v="NULL"/>
    <s v="NULL"/>
    <s v="Not Applicable"/>
  </r>
  <r>
    <s v="Ofsted Webpage"/>
    <n v="140939"/>
    <n v="10047216"/>
    <s v="Harris Westminster Sixth Form"/>
    <x v="12"/>
    <s v="16-19 academies"/>
    <s v="Westminster"/>
    <s v="London"/>
    <s v="London"/>
    <s v="NULL"/>
    <s v="NULL"/>
    <n v="10020154"/>
    <s v="16-19 academy - Full"/>
    <d v="2016-10-04T00:00:00"/>
    <d v="2016-10-06T00:00:00"/>
    <d v="2016-11-07T00:00:00"/>
    <x v="1"/>
    <n v="1"/>
    <n v="1"/>
    <n v="1"/>
    <n v="1"/>
    <s v="NULL"/>
    <s v="NULL"/>
    <s v="NULL"/>
    <s v="NULL"/>
    <s v="NULL"/>
    <s v="NULL"/>
    <s v="NULL"/>
    <s v="Not Applicable"/>
  </r>
  <r>
    <s v="Ofsted Webpage"/>
    <n v="140940"/>
    <n v="10042362"/>
    <s v="Chapeltown Academy"/>
    <x v="12"/>
    <s v="16-19 academies"/>
    <s v="Sheffield"/>
    <s v="Yorkshire and The Humber"/>
    <s v="North East, Yorkshire and the Humber"/>
    <s v="NULL"/>
    <s v="NULL"/>
    <n v="10022481"/>
    <s v="16-19 academy - Full"/>
    <d v="2017-03-29T00:00:00"/>
    <d v="2017-03-31T00:00:00"/>
    <d v="2017-05-10T00:00:00"/>
    <x v="2"/>
    <n v="3"/>
    <n v="3"/>
    <n v="2"/>
    <n v="3"/>
    <s v="NULL"/>
    <s v="NULL"/>
    <s v="NULL"/>
    <s v="NULL"/>
    <s v="NULL"/>
    <s v="NULL"/>
    <s v="NULL"/>
    <s v="Not Applicable"/>
  </r>
  <r>
    <s v="Ofsted Webpage"/>
    <n v="140971"/>
    <n v="10045912"/>
    <s v="Exeter Mathematics School"/>
    <x v="12"/>
    <s v="16-19 academies"/>
    <s v="Devon"/>
    <s v="South West"/>
    <s v="South West"/>
    <s v="NULL"/>
    <s v="NULL"/>
    <n v="10022503"/>
    <s v="16-19 academy - Full"/>
    <d v="2017-01-24T00:00:00"/>
    <d v="2017-01-26T00:00:00"/>
    <d v="2017-02-28T00:00:00"/>
    <x v="1"/>
    <n v="1"/>
    <n v="1"/>
    <n v="1"/>
    <n v="1"/>
    <s v="NULL"/>
    <s v="NULL"/>
    <s v="NULL"/>
    <s v="NULL"/>
    <s v="NULL"/>
    <s v="NULL"/>
    <s v="NULL"/>
    <s v="Not Applicable"/>
  </r>
  <r>
    <s v="Ofsted Webpage"/>
    <n v="141030"/>
    <n v="10046350"/>
    <s v="Big Creative Academy"/>
    <x v="12"/>
    <s v="16-19 academies"/>
    <s v="Waltham Forest"/>
    <s v="London"/>
    <s v="London"/>
    <s v="NULL"/>
    <s v="NULL"/>
    <n v="10022537"/>
    <s v="16-19 academy - Full"/>
    <d v="2017-04-26T00:00:00"/>
    <d v="2017-04-28T00:00:00"/>
    <d v="2017-05-23T00:00:00"/>
    <x v="0"/>
    <n v="3"/>
    <n v="2"/>
    <n v="2"/>
    <n v="2"/>
    <s v="NULL"/>
    <s v="NULL"/>
    <s v="NULL"/>
    <s v="NULL"/>
    <s v="NULL"/>
    <s v="NULL"/>
    <s v="NULL"/>
    <s v="Not Applicable"/>
  </r>
  <r>
    <s v="Ofsted Webpage"/>
    <n v="141084"/>
    <n v="10046354"/>
    <s v="Prospects College of Advanced Technology"/>
    <x v="8"/>
    <s v="Colleges"/>
    <s v="Essex"/>
    <s v="East of England"/>
    <s v="East of England"/>
    <s v="NULL"/>
    <s v="NULL"/>
    <n v="10004834"/>
    <s v="FE College - Full"/>
    <d v="2016-11-15T00:00:00"/>
    <d v="2016-11-18T00:00:00"/>
    <d v="2017-02-16T00:00:00"/>
    <x v="0"/>
    <n v="2"/>
    <n v="2"/>
    <n v="2"/>
    <n v="2"/>
    <s v="NULL"/>
    <s v="NULL"/>
    <s v="NULL"/>
    <s v="NULL"/>
    <s v="NULL"/>
    <s v="NULL"/>
    <s v="NULL"/>
    <s v="Not Applicable"/>
  </r>
  <r>
    <s v="Ofsted Webpage"/>
    <n v="141095"/>
    <n v="10047200"/>
    <s v="East London Arts &amp; Music"/>
    <x v="12"/>
    <s v="16-19 academies"/>
    <s v="Newham"/>
    <s v="London"/>
    <s v="London"/>
    <s v="NULL"/>
    <s v="NULL"/>
    <n v="10030698"/>
    <s v="16-19 academy - Full"/>
    <d v="2017-05-17T00:00:00"/>
    <d v="2017-05-19T00:00:00"/>
    <d v="2017-06-22T00:00:00"/>
    <x v="1"/>
    <n v="1"/>
    <n v="1"/>
    <n v="1"/>
    <n v="1"/>
    <s v="NULL"/>
    <s v="NULL"/>
    <s v="NULL"/>
    <s v="NULL"/>
    <s v="NULL"/>
    <s v="NULL"/>
    <s v="NULL"/>
    <s v="Not Applicable"/>
  </r>
  <r>
    <s v="Ofsted Webpage"/>
    <n v="141240"/>
    <n v="10048022"/>
    <s v="Percy Hedley College"/>
    <x v="6"/>
    <s v="Independent specialist colleges"/>
    <s v="Newcastle upon Tyne"/>
    <s v="North East"/>
    <s v="North East, Yorkshire and the Humber"/>
    <d v="2016-03-03T00:00:00"/>
    <n v="1"/>
    <s v="ITS376165"/>
    <s v="ISC - Satisfactory Historic"/>
    <d v="2011-09-27T00:00:00"/>
    <d v="2011-09-29T00:00:00"/>
    <d v="2011-11-03T00:00:00"/>
    <x v="0"/>
    <n v="2"/>
    <n v="2"/>
    <s v="-"/>
    <n v="2"/>
    <s v="ITS318803"/>
    <d v="2007-06-28T00:00:00"/>
    <n v="3"/>
    <n v="3"/>
    <n v="2"/>
    <s v="-"/>
    <n v="3"/>
    <s v="Improved"/>
  </r>
  <r>
    <s v="Ofsted Webpage"/>
    <n v="141241"/>
    <n v="10004502"/>
    <s v="Young Epilepsy (The National Centre for Young People with Epilepsy)"/>
    <x v="6"/>
    <s v="Independent specialist colleges"/>
    <s v="Surrey"/>
    <s v="South East"/>
    <s v="South East"/>
    <s v="NULL"/>
    <s v="NULL"/>
    <s v="ITS429197"/>
    <s v="ISC - Full"/>
    <d v="2014-01-21T00:00:00"/>
    <d v="2014-01-24T00:00:00"/>
    <d v="2014-02-28T00:00:00"/>
    <x v="0"/>
    <n v="2"/>
    <n v="2"/>
    <s v="-"/>
    <n v="2"/>
    <s v="ITS363314"/>
    <d v="2011-02-10T00:00:00"/>
    <n v="3"/>
    <n v="3"/>
    <n v="3"/>
    <s v="-"/>
    <n v="3"/>
    <s v="Improved"/>
  </r>
  <r>
    <s v="Ofsted Webpage"/>
    <n v="141243"/>
    <n v="10048265"/>
    <s v="Ambitious College"/>
    <x v="6"/>
    <s v="Independent specialist colleges"/>
    <s v="Haringey"/>
    <s v="London"/>
    <s v="London"/>
    <s v="NULL"/>
    <s v="NULL"/>
    <n v="10030692"/>
    <s v="ISC - Requires improvement"/>
    <d v="2017-04-26T00:00:00"/>
    <d v="2017-04-28T00:00:00"/>
    <d v="2017-05-26T00:00:00"/>
    <x v="0"/>
    <n v="2"/>
    <n v="2"/>
    <n v="2"/>
    <n v="2"/>
    <n v="10004837"/>
    <d v="2015-11-12T00:00:00"/>
    <n v="3"/>
    <n v="3"/>
    <n v="3"/>
    <n v="2"/>
    <n v="3"/>
    <s v="Improved"/>
  </r>
  <r>
    <s v="Ofsted Webpage"/>
    <n v="141311"/>
    <n v="10024088"/>
    <s v="Nisai Virtual Academy Ltd"/>
    <x v="6"/>
    <s v="Independent specialist colleges"/>
    <s v="Harrow"/>
    <s v="London"/>
    <s v="London"/>
    <s v="NULL"/>
    <s v="NULL"/>
    <n v="10037432"/>
    <s v="ISC - Requires improvement"/>
    <d v="2017-11-14T00:00:00"/>
    <d v="2017-11-16T00:00:00"/>
    <d v="2017-12-15T00:00:00"/>
    <x v="0"/>
    <n v="2"/>
    <n v="2"/>
    <n v="2"/>
    <n v="2"/>
    <s v="NULL"/>
    <s v="NULL"/>
    <s v="NULL"/>
    <s v="NULL"/>
    <s v="NULL"/>
    <s v="NULL"/>
    <s v="NULL"/>
    <s v="Not Applicable"/>
  </r>
  <r>
    <s v="Ofsted Webpage"/>
    <n v="141435"/>
    <n v="10046840"/>
    <s v="Heart of Birmingham Vocational College"/>
    <x v="6"/>
    <s v="Independent specialist colleges"/>
    <s v="Birmingham"/>
    <s v="West Midlands"/>
    <s v="West Midlands"/>
    <s v="NULL"/>
    <s v="NULL"/>
    <s v="ITS455855"/>
    <s v="ISC - Full"/>
    <d v="2015-04-20T00:00:00"/>
    <d v="2015-04-22T00:00:00"/>
    <d v="2015-05-27T00:00:00"/>
    <x v="0"/>
    <n v="1"/>
    <n v="2"/>
    <s v="-"/>
    <n v="2"/>
    <s v="NULL"/>
    <s v="NULL"/>
    <s v="NULL"/>
    <s v="NULL"/>
    <s v="NULL"/>
    <s v="NULL"/>
    <s v="NULL"/>
    <s v="Not Applicable"/>
  </r>
  <r>
    <s v="Ofsted Webpage"/>
    <n v="141491"/>
    <n v="10044606"/>
    <s v="Landau Forte Academy Tamworth Sixth Form"/>
    <x v="14"/>
    <s v="16-19 academies"/>
    <s v="Staffordshire"/>
    <s v="West Midlands"/>
    <s v="West Midlands"/>
    <s v="NULL"/>
    <s v="NULL"/>
    <n v="10020165"/>
    <s v="16-19 academy - Requires Improvement"/>
    <d v="2016-11-08T00:00:00"/>
    <d v="2016-11-10T00:00:00"/>
    <d v="2016-12-16T00:00:00"/>
    <x v="2"/>
    <n v="3"/>
    <n v="3"/>
    <n v="2"/>
    <n v="3"/>
    <s v="ITS455817"/>
    <d v="2015-04-24T00:00:00"/>
    <n v="3"/>
    <n v="3"/>
    <n v="3"/>
    <s v="-"/>
    <n v="3"/>
    <s v="Stayed the Same"/>
  </r>
  <r>
    <s v="Ofsted Webpage"/>
    <n v="141503"/>
    <n v="10021185"/>
    <s v="Groundwork South Tyneside and Newcastle"/>
    <x v="6"/>
    <s v="Independent specialist colleges"/>
    <s v="South Tyneside"/>
    <s v="North East"/>
    <s v="North East, Yorkshire and the Humber"/>
    <s v="NULL"/>
    <s v="NULL"/>
    <n v="10030726"/>
    <s v="ISC - Requires improvement"/>
    <d v="2017-06-13T00:00:00"/>
    <d v="2017-06-15T00:00:00"/>
    <d v="2017-07-18T00:00:00"/>
    <x v="2"/>
    <n v="3"/>
    <n v="3"/>
    <n v="3"/>
    <n v="3"/>
    <s v="ITS455856"/>
    <d v="2015-06-26T00:00:00"/>
    <n v="3"/>
    <n v="2"/>
    <n v="3"/>
    <s v="-"/>
    <n v="3"/>
    <s v="Stayed the Same"/>
  </r>
  <r>
    <s v="Ofsted Webpage"/>
    <n v="141504"/>
    <n v="10046704"/>
    <s v="Uplands Educational Trust"/>
    <x v="6"/>
    <s v="Independent specialist colleges"/>
    <s v="Swindon"/>
    <s v="South West"/>
    <s v="South West"/>
    <s v="NULL"/>
    <s v="NULL"/>
    <s v="NULL"/>
    <s v="NULL"/>
    <s v="NULL"/>
    <s v="NULL"/>
    <s v="NULL"/>
    <x v="5"/>
    <s v="NULL"/>
    <s v="NULL"/>
    <s v="NULL"/>
    <s v="NULL"/>
    <s v="NULL"/>
    <s v="NULL"/>
    <s v="NULL"/>
    <s v="NULL"/>
    <s v="NULL"/>
    <s v="NULL"/>
    <s v="NULL"/>
    <s v="NULL"/>
  </r>
  <r>
    <s v="Ofsted Webpage"/>
    <n v="141703"/>
    <n v="10032898"/>
    <s v="Trinity Specialist College Ltd"/>
    <x v="6"/>
    <s v="Independent specialist colleges"/>
    <s v="Birmingham"/>
    <s v="West Midlands"/>
    <s v="West Midlands"/>
    <s v="NULL"/>
    <s v="NULL"/>
    <n v="10030743"/>
    <s v="ISC - Reinspection"/>
    <d v="2017-05-23T00:00:00"/>
    <d v="2017-05-25T00:00:00"/>
    <d v="2017-06-21T00:00:00"/>
    <x v="2"/>
    <n v="3"/>
    <n v="3"/>
    <n v="2"/>
    <n v="3"/>
    <n v="10008479"/>
    <d v="2016-03-16T00:00:00"/>
    <n v="4"/>
    <n v="4"/>
    <n v="4"/>
    <n v="4"/>
    <n v="4"/>
    <s v="Improved"/>
  </r>
  <r>
    <s v="Ofsted Webpage"/>
    <n v="141738"/>
    <n v="10041170"/>
    <s v="Expanse Group Ltd"/>
    <x v="6"/>
    <s v="Independent specialist colleges"/>
    <s v="Wigan"/>
    <s v="North West"/>
    <s v="North West"/>
    <s v="NULL"/>
    <s v="NULL"/>
    <n v="10004840"/>
    <s v="ISC - Full"/>
    <d v="2016-10-18T00:00:00"/>
    <d v="2016-10-20T00:00:00"/>
    <d v="2016-11-17T00:00:00"/>
    <x v="2"/>
    <n v="3"/>
    <n v="3"/>
    <n v="3"/>
    <n v="3"/>
    <s v="NULL"/>
    <s v="NULL"/>
    <s v="NULL"/>
    <s v="NULL"/>
    <s v="NULL"/>
    <s v="NULL"/>
    <s v="NULL"/>
    <s v="Not Applicable"/>
  </r>
  <r>
    <s v="Ofsted Webpage"/>
    <n v="141887"/>
    <n v="10049051"/>
    <s v="Chatsworth Futures Limited"/>
    <x v="6"/>
    <s v="Independent specialist colleges"/>
    <s v="Salford"/>
    <s v="North West"/>
    <s v="North West"/>
    <s v="NULL"/>
    <s v="NULL"/>
    <n v="10022626"/>
    <s v="ISC - Full"/>
    <d v="2017-06-13T00:00:00"/>
    <d v="2017-06-15T00:00:00"/>
    <d v="2017-07-13T00:00:00"/>
    <x v="2"/>
    <n v="3"/>
    <n v="3"/>
    <n v="2"/>
    <n v="3"/>
    <s v="NULL"/>
    <s v="NULL"/>
    <s v="NULL"/>
    <s v="NULL"/>
    <s v="NULL"/>
    <s v="NULL"/>
    <s v="NULL"/>
    <s v="Not Applicable"/>
  </r>
  <r>
    <s v="Ofsted Webpage"/>
    <n v="141940"/>
    <n v="10053859"/>
    <s v="Elliott Hudson College"/>
    <x v="12"/>
    <s v="16-19 academies"/>
    <s v="Leeds"/>
    <s v="Yorkshire and The Humber"/>
    <s v="North East, Yorkshire and the Humber"/>
    <s v="NULL"/>
    <s v="NULL"/>
    <s v="NULL"/>
    <s v="NULL"/>
    <s v="NULL"/>
    <s v="NULL"/>
    <s v="NULL"/>
    <x v="5"/>
    <s v="NULL"/>
    <s v="NULL"/>
    <s v="NULL"/>
    <s v="NULL"/>
    <s v="NULL"/>
    <s v="NULL"/>
    <s v="NULL"/>
    <s v="NULL"/>
    <s v="NULL"/>
    <s v="NULL"/>
    <s v="NULL"/>
    <s v="NULL"/>
  </r>
  <r>
    <s v="Ofsted Webpage"/>
    <n v="141965"/>
    <n v="10053513"/>
    <s v="Harington School"/>
    <x v="12"/>
    <s v="16-19 academies"/>
    <s v="Rutland"/>
    <s v="East Midlands"/>
    <s v="East Midlands"/>
    <s v="NULL"/>
    <s v="NULL"/>
    <n v="10022578"/>
    <s v="16-19 academy - Full"/>
    <d v="2017-01-17T00:00:00"/>
    <d v="2017-01-19T00:00:00"/>
    <d v="2017-02-20T00:00:00"/>
    <x v="1"/>
    <n v="1"/>
    <n v="1"/>
    <n v="1"/>
    <n v="1"/>
    <s v="NULL"/>
    <s v="NULL"/>
    <s v="NULL"/>
    <s v="NULL"/>
    <s v="NULL"/>
    <s v="NULL"/>
    <s v="NULL"/>
    <s v="Not Applicable"/>
  </r>
  <r>
    <s v="Ofsted Webpage"/>
    <n v="142283"/>
    <n v="10053874"/>
    <s v="Suffolk One"/>
    <x v="13"/>
    <s v="16-19 academies"/>
    <s v="Suffolk"/>
    <s v="East of England"/>
    <s v="East of England"/>
    <s v="NULL"/>
    <s v="NULL"/>
    <s v="NULL"/>
    <s v="NULL"/>
    <s v="NULL"/>
    <s v="NULL"/>
    <s v="NULL"/>
    <x v="5"/>
    <s v="NULL"/>
    <s v="NULL"/>
    <s v="NULL"/>
    <s v="NULL"/>
    <s v="NULL"/>
    <s v="NULL"/>
    <s v="NULL"/>
    <s v="NULL"/>
    <s v="NULL"/>
    <s v="NULL"/>
    <s v="NULL"/>
    <s v="NULL"/>
  </r>
  <r>
    <s v="Ofsted Webpage"/>
    <n v="142478"/>
    <n v="10053961"/>
    <s v="West Lancashire College"/>
    <x v="8"/>
    <s v="Colleges"/>
    <s v="Lancashire"/>
    <s v="North West"/>
    <s v="North West"/>
    <s v="NULL"/>
    <s v="NULL"/>
    <s v="NULL"/>
    <s v="NULL"/>
    <s v="NULL"/>
    <s v="NULL"/>
    <s v="NULL"/>
    <x v="5"/>
    <s v="NULL"/>
    <s v="NULL"/>
    <s v="NULL"/>
    <s v="NULL"/>
    <s v="NULL"/>
    <s v="NULL"/>
    <s v="NULL"/>
    <s v="NULL"/>
    <s v="NULL"/>
    <s v="NULL"/>
    <s v="NULL"/>
    <s v="NULL"/>
  </r>
  <r>
    <s v="Ofsted Webpage"/>
    <n v="142479"/>
    <n v="10053962"/>
    <s v="Newcastle College"/>
    <x v="8"/>
    <s v="Colleges"/>
    <s v="Newcastle upon Tyne"/>
    <s v="North East"/>
    <s v="North East, Yorkshire and the Humber"/>
    <s v="NULL"/>
    <s v="NULL"/>
    <s v="NULL"/>
    <s v="NULL"/>
    <s v="NULL"/>
    <s v="NULL"/>
    <s v="NULL"/>
    <x v="5"/>
    <s v="NULL"/>
    <s v="NULL"/>
    <s v="NULL"/>
    <s v="NULL"/>
    <s v="NULL"/>
    <s v="NULL"/>
    <s v="NULL"/>
    <s v="NULL"/>
    <s v="NULL"/>
    <s v="NULL"/>
    <s v="NULL"/>
    <s v="NULL"/>
  </r>
  <r>
    <s v="Ofsted Webpage"/>
    <n v="142480"/>
    <n v="10053963"/>
    <s v="Newcastle Sixth Form College"/>
    <x v="8"/>
    <s v="Colleges"/>
    <s v="Newcastle upon Tyne"/>
    <s v="North East"/>
    <s v="North East, Yorkshire and the Humber"/>
    <s v="NULL"/>
    <s v="NULL"/>
    <s v="NULL"/>
    <s v="NULL"/>
    <s v="NULL"/>
    <s v="NULL"/>
    <s v="NULL"/>
    <x v="5"/>
    <s v="NULL"/>
    <s v="NULL"/>
    <s v="NULL"/>
    <s v="NULL"/>
    <s v="NULL"/>
    <s v="NULL"/>
    <s v="NULL"/>
    <s v="NULL"/>
    <s v="NULL"/>
    <s v="NULL"/>
    <s v="NULL"/>
    <s v="NULL"/>
  </r>
  <r>
    <s v="Ofsted Webpage"/>
    <n v="142481"/>
    <n v="10053960"/>
    <s v="Kidderminster College"/>
    <x v="8"/>
    <s v="Colleges"/>
    <s v="Worcestershire"/>
    <s v="West Midlands"/>
    <s v="West Midlands"/>
    <s v="NULL"/>
    <s v="NULL"/>
    <s v="NULL"/>
    <s v="NULL"/>
    <s v="NULL"/>
    <s v="NULL"/>
    <s v="NULL"/>
    <x v="5"/>
    <s v="NULL"/>
    <s v="NULL"/>
    <s v="NULL"/>
    <s v="NULL"/>
    <s v="NULL"/>
    <s v="NULL"/>
    <s v="NULL"/>
    <s v="NULL"/>
    <s v="NULL"/>
    <s v="NULL"/>
    <s v="NULL"/>
    <s v="NULL"/>
  </r>
  <r>
    <s v="Ofsted Webpage"/>
    <n v="142673"/>
    <n v="10055888"/>
    <s v="Trinity Solutions Academy"/>
    <x v="13"/>
    <s v="16-19 academies"/>
    <s v="Newcastle upon Tyne"/>
    <s v="North East"/>
    <s v="North East, Yorkshire and the Humber"/>
    <s v="NULL"/>
    <s v="NULL"/>
    <s v="NULL"/>
    <s v="NULL"/>
    <s v="NULL"/>
    <s v="NULL"/>
    <s v="NULL"/>
    <x v="5"/>
    <s v="NULL"/>
    <s v="NULL"/>
    <s v="NULL"/>
    <s v="NULL"/>
    <s v="NULL"/>
    <s v="NULL"/>
    <s v="NULL"/>
    <s v="NULL"/>
    <s v="NULL"/>
    <s v="NULL"/>
    <s v="NULL"/>
    <s v="NULL"/>
  </r>
  <r>
    <s v="Ofsted Webpage"/>
    <n v="142873"/>
    <n v="10056989"/>
    <s v="TBAP 16-19 Academic AP Academy"/>
    <x v="12"/>
    <s v="16-19 academies"/>
    <s v="Hammersmith and Fulham"/>
    <s v="London"/>
    <s v="London"/>
    <s v="NULL"/>
    <s v="NULL"/>
    <s v="NULL"/>
    <s v="NULL"/>
    <s v="NULL"/>
    <s v="NULL"/>
    <s v="NULL"/>
    <x v="5"/>
    <s v="NULL"/>
    <s v="NULL"/>
    <s v="NULL"/>
    <s v="NULL"/>
    <s v="NULL"/>
    <s v="NULL"/>
    <s v="NULL"/>
    <s v="NULL"/>
    <s v="NULL"/>
    <s v="NULL"/>
    <s v="NULL"/>
    <s v="NULL"/>
  </r>
  <r>
    <s v="Ofsted Webpage"/>
    <n v="142891"/>
    <n v="10056979"/>
    <s v="LIPA Sixth Form College"/>
    <x v="12"/>
    <s v="16-19 academies"/>
    <s v="Liverpool"/>
    <s v="North West"/>
    <s v="North West"/>
    <s v="NULL"/>
    <s v="NULL"/>
    <s v="NULL"/>
    <s v="NULL"/>
    <s v="NULL"/>
    <s v="NULL"/>
    <s v="NULL"/>
    <x v="5"/>
    <s v="NULL"/>
    <s v="NULL"/>
    <s v="NULL"/>
    <s v="NULL"/>
    <s v="NULL"/>
    <s v="NULL"/>
    <s v="NULL"/>
    <s v="NULL"/>
    <s v="NULL"/>
    <s v="NULL"/>
    <s v="NULL"/>
    <s v="NULL"/>
  </r>
  <r>
    <s v="Ofsted Webpage"/>
    <n v="142909"/>
    <n v="10032448"/>
    <s v="Eat That Frog C.I.C."/>
    <x v="6"/>
    <s v="Independent specialist colleges"/>
    <s v="Torbay"/>
    <s v="South West"/>
    <s v="South West"/>
    <s v="NULL"/>
    <s v="NULL"/>
    <s v="NULL"/>
    <s v="NULL"/>
    <s v="NULL"/>
    <s v="NULL"/>
    <s v="NULL"/>
    <x v="5"/>
    <s v="NULL"/>
    <s v="NULL"/>
    <s v="NULL"/>
    <s v="NULL"/>
    <s v="NULL"/>
    <s v="NULL"/>
    <s v="NULL"/>
    <s v="NULL"/>
    <s v="NULL"/>
    <s v="NULL"/>
    <s v="NULL"/>
    <s v="NULL"/>
  </r>
  <r>
    <s v="Ofsted Webpage"/>
    <n v="142910"/>
    <n v="10057953"/>
    <s v="Goldwyn Sixth Form College"/>
    <x v="6"/>
    <s v="Independent specialist colleges"/>
    <s v="Kent"/>
    <s v="South East"/>
    <s v="South East"/>
    <s v="NULL"/>
    <s v="NULL"/>
    <s v="NULL"/>
    <s v="NULL"/>
    <s v="NULL"/>
    <s v="NULL"/>
    <s v="NULL"/>
    <x v="5"/>
    <s v="NULL"/>
    <s v="NULL"/>
    <s v="NULL"/>
    <s v="NULL"/>
    <s v="NULL"/>
    <s v="NULL"/>
    <s v="NULL"/>
    <s v="NULL"/>
    <s v="NULL"/>
    <s v="NULL"/>
    <s v="NULL"/>
    <s v="NULL"/>
  </r>
  <r>
    <s v="Ofsted Webpage"/>
    <n v="142913"/>
    <n v="10055479"/>
    <s v="Birtenshaw"/>
    <x v="6"/>
    <s v="Independent specialist colleges"/>
    <s v="Bolton"/>
    <s v="North West"/>
    <s v="North West"/>
    <s v="NULL"/>
    <s v="NULL"/>
    <s v="NULL"/>
    <s v="NULL"/>
    <s v="NULL"/>
    <s v="NULL"/>
    <s v="NULL"/>
    <x v="5"/>
    <s v="NULL"/>
    <s v="NULL"/>
    <s v="NULL"/>
    <s v="NULL"/>
    <s v="NULL"/>
    <s v="NULL"/>
    <s v="NULL"/>
    <s v="NULL"/>
    <s v="NULL"/>
    <s v="NULL"/>
    <s v="NULL"/>
    <s v="NULL"/>
  </r>
  <r>
    <s v="Ofsted Webpage"/>
    <n v="142914"/>
    <n v="10056251"/>
    <s v="Brentwood Community College"/>
    <x v="6"/>
    <s v="Independent specialist colleges"/>
    <s v="Trafford"/>
    <s v="North West"/>
    <s v="North West"/>
    <s v="NULL"/>
    <s v="NULL"/>
    <s v="NULL"/>
    <s v="NULL"/>
    <s v="NULL"/>
    <s v="NULL"/>
    <s v="NULL"/>
    <x v="5"/>
    <s v="NULL"/>
    <s v="NULL"/>
    <s v="NULL"/>
    <s v="NULL"/>
    <s v="NULL"/>
    <s v="NULL"/>
    <s v="NULL"/>
    <s v="NULL"/>
    <s v="NULL"/>
    <s v="NULL"/>
    <s v="NULL"/>
    <s v="NULL"/>
  </r>
  <r>
    <s v="Ofsted Webpage"/>
    <n v="142915"/>
    <n v="10056854"/>
    <s v="Wilson Stuart University College Birmingham Partnership Trust"/>
    <x v="6"/>
    <s v="Independent specialist colleges"/>
    <s v="Birmingham"/>
    <s v="West Midlands"/>
    <s v="West Midlands"/>
    <s v="NULL"/>
    <s v="NULL"/>
    <s v="NULL"/>
    <s v="NULL"/>
    <s v="NULL"/>
    <s v="NULL"/>
    <s v="NULL"/>
    <x v="5"/>
    <s v="NULL"/>
    <s v="NULL"/>
    <s v="NULL"/>
    <s v="NULL"/>
    <s v="NULL"/>
    <s v="NULL"/>
    <s v="NULL"/>
    <s v="NULL"/>
    <s v="NULL"/>
    <s v="NULL"/>
    <s v="NULL"/>
    <s v="NULL"/>
  </r>
  <r>
    <s v="Ofsted Webpage"/>
    <n v="142918"/>
    <n v="10056799"/>
    <s v="Trinity Post 16 Solutions Ltd."/>
    <x v="6"/>
    <s v="Independent specialist colleges"/>
    <s v="Newcastle upon Tyne"/>
    <s v="North East"/>
    <s v="North East, Yorkshire and the Humber"/>
    <s v="NULL"/>
    <s v="NULL"/>
    <s v="NULL"/>
    <s v="NULL"/>
    <s v="NULL"/>
    <s v="NULL"/>
    <s v="NULL"/>
    <x v="5"/>
    <s v="NULL"/>
    <s v="NULL"/>
    <s v="NULL"/>
    <s v="NULL"/>
    <s v="NULL"/>
    <s v="NULL"/>
    <s v="NULL"/>
    <s v="NULL"/>
    <s v="NULL"/>
    <s v="NULL"/>
    <s v="NULL"/>
    <s v="NULL"/>
  </r>
  <r>
    <s v="Ofsted Webpage"/>
    <n v="142921"/>
    <n v="10057205"/>
    <s v="The Ridge Employability College"/>
    <x v="6"/>
    <s v="Independent specialist colleges"/>
    <s v="Doncaster"/>
    <s v="Yorkshire and The Humber"/>
    <s v="North East, Yorkshire and the Humber"/>
    <s v="NULL"/>
    <s v="NULL"/>
    <s v="NULL"/>
    <s v="NULL"/>
    <s v="NULL"/>
    <s v="NULL"/>
    <s v="NULL"/>
    <x v="5"/>
    <s v="NULL"/>
    <s v="NULL"/>
    <s v="NULL"/>
    <s v="NULL"/>
    <s v="NULL"/>
    <s v="NULL"/>
    <s v="NULL"/>
    <s v="NULL"/>
    <s v="NULL"/>
    <s v="NULL"/>
    <s v="NULL"/>
    <s v="NULL"/>
  </r>
  <r>
    <s v="Ofsted Webpage"/>
    <n v="142922"/>
    <n v="10055015"/>
    <s v="Lifebridge ASEND"/>
    <x v="6"/>
    <s v="Independent specialist colleges"/>
    <s v="Bolton"/>
    <s v="North West"/>
    <s v="North West"/>
    <s v="NULL"/>
    <s v="NULL"/>
    <s v="NULL"/>
    <s v="NULL"/>
    <s v="NULL"/>
    <s v="NULL"/>
    <s v="NULL"/>
    <x v="5"/>
    <s v="NULL"/>
    <s v="NULL"/>
    <s v="NULL"/>
    <s v="NULL"/>
    <s v="NULL"/>
    <s v="NULL"/>
    <s v="NULL"/>
    <s v="NULL"/>
    <s v="NULL"/>
    <s v="NULL"/>
    <s v="NULL"/>
    <s v="NULL"/>
  </r>
  <r>
    <s v="Ofsted Webpage"/>
    <n v="143526"/>
    <n v="10028480"/>
    <s v="The Autism Project - CareTrade"/>
    <x v="6"/>
    <s v="Independent specialist colleges"/>
    <s v="Southwark"/>
    <s v="London"/>
    <s v="London"/>
    <s v="NULL"/>
    <s v="NULL"/>
    <s v="NULL"/>
    <s v="NULL"/>
    <s v="NULL"/>
    <s v="NULL"/>
    <s v="NULL"/>
    <x v="5"/>
    <s v="NULL"/>
    <s v="NULL"/>
    <s v="NULL"/>
    <s v="NULL"/>
    <s v="NULL"/>
    <s v="NULL"/>
    <s v="NULL"/>
    <s v="NULL"/>
    <s v="NULL"/>
    <s v="NULL"/>
    <s v="NULL"/>
    <s v="NULL"/>
  </r>
  <r>
    <s v="Ofsted Webpage"/>
    <n v="143540"/>
    <n v="10057981"/>
    <s v="Ada National College for Digital Skills"/>
    <x v="8"/>
    <s v="Colleges"/>
    <s v="Haringey"/>
    <s v="London"/>
    <s v="London"/>
    <s v="NULL"/>
    <s v="NULL"/>
    <s v="NULL"/>
    <s v="NULL"/>
    <s v="NULL"/>
    <s v="NULL"/>
    <s v="NULL"/>
    <x v="5"/>
    <s v="NULL"/>
    <s v="NULL"/>
    <s v="NULL"/>
    <s v="NULL"/>
    <s v="NULL"/>
    <s v="NULL"/>
    <s v="NULL"/>
    <s v="NULL"/>
    <s v="NULL"/>
    <s v="NULL"/>
    <s v="NULL"/>
    <s v="NULL"/>
  </r>
  <r>
    <s v="Ofsted Webpage"/>
    <n v="143929"/>
    <n v="10062355"/>
    <s v="Hereford Sixth Form College"/>
    <x v="13"/>
    <s v="16-19 academies"/>
    <s v="Herefordshire"/>
    <s v="West Midlands"/>
    <s v="West Midlands"/>
    <s v="NULL"/>
    <s v="NULL"/>
    <s v="ITS320848"/>
    <s v="College Inspection SFC - Good Historic"/>
    <d v="2008-04-15T00:00:00"/>
    <d v="2008-04-16T00:00:00"/>
    <d v="2008-06-06T00:00:00"/>
    <x v="1"/>
    <n v="1"/>
    <n v="1"/>
    <s v="-"/>
    <n v="1"/>
    <s v="NULL"/>
    <s v="NULL"/>
    <s v="NULL"/>
    <s v="NULL"/>
    <s v="NULL"/>
    <s v="NULL"/>
    <s v="NULL"/>
    <s v="Not Applicable"/>
  </r>
  <r>
    <s v="Ofsted Webpage"/>
    <n v="144463"/>
    <n v="10063421"/>
    <s v="Rochdale Sixth Form College"/>
    <x v="13"/>
    <s v="16-19 academies"/>
    <s v="Rochdale"/>
    <s v="North West"/>
    <s v="North West"/>
    <s v="NULL"/>
    <s v="NULL"/>
    <s v="ITS409580"/>
    <s v="SFC - Full"/>
    <d v="2013-03-05T00:00:00"/>
    <d v="2013-03-08T00:00:00"/>
    <d v="2013-04-12T00:00:00"/>
    <x v="1"/>
    <n v="1"/>
    <n v="1"/>
    <s v="-"/>
    <n v="1"/>
    <s v="NULL"/>
    <s v="NULL"/>
    <s v="NULL"/>
    <s v="NULL"/>
    <s v="NULL"/>
    <s v="NULL"/>
    <s v="NULL"/>
    <s v="Not Applicable"/>
  </r>
  <r>
    <s v="Ofsted Webpage"/>
    <n v="144714"/>
    <n v="10065005"/>
    <s v="New College Doncaster"/>
    <x v="12"/>
    <s v="16-19 academies"/>
    <s v="Doncaster"/>
    <s v="Yorkshire and The Humber"/>
    <s v="North East, Yorkshire and the Humber"/>
    <s v="NULL"/>
    <s v="NULL"/>
    <s v="NULL"/>
    <s v="NULL"/>
    <s v="NULL"/>
    <s v="NULL"/>
    <s v="NULL"/>
    <x v="5"/>
    <s v="NULL"/>
    <s v="NULL"/>
    <s v="NULL"/>
    <s v="NULL"/>
    <s v="NULL"/>
    <s v="NULL"/>
    <s v="NULL"/>
    <s v="NULL"/>
    <s v="NULL"/>
    <s v="NULL"/>
    <s v="NULL"/>
    <s v="NULL"/>
  </r>
  <r>
    <s v="Ofsted Webpage"/>
    <n v="144729"/>
    <n v="10063538"/>
    <s v="Chadsgrove Educational Trust Learning Centre"/>
    <x v="6"/>
    <s v="Independent specialist colleges"/>
    <s v="Worcestershire"/>
    <s v="West Midlands"/>
    <s v="West Midlands"/>
    <s v="NULL"/>
    <s v="NULL"/>
    <s v="NULL"/>
    <s v="NULL"/>
    <s v="NULL"/>
    <s v="NULL"/>
    <s v="NULL"/>
    <x v="5"/>
    <s v="NULL"/>
    <s v="NULL"/>
    <s v="NULL"/>
    <s v="NULL"/>
    <s v="NULL"/>
    <s v="NULL"/>
    <s v="NULL"/>
    <s v="NULL"/>
    <s v="NULL"/>
    <s v="NULL"/>
    <s v="NULL"/>
    <s v="NULL"/>
  </r>
  <r>
    <s v="Ofsted Webpage"/>
    <n v="144732"/>
    <n v="10063721"/>
    <s v="New College Pontefract"/>
    <x v="13"/>
    <s v="16-19 academies"/>
    <s v="Wakefield"/>
    <s v="Yorkshire and The Humber"/>
    <s v="North East, Yorkshire and the Humber"/>
    <s v="NULL"/>
    <s v="NULL"/>
    <s v="ITS423377"/>
    <s v="SFC - Full"/>
    <d v="2014-04-01T00:00:00"/>
    <d v="2014-04-04T00:00:00"/>
    <d v="2014-05-12T00:00:00"/>
    <x v="1"/>
    <n v="1"/>
    <n v="1"/>
    <s v="-"/>
    <n v="1"/>
    <s v="ITS323118"/>
    <d v="2008-02-06T00:00:00"/>
    <n v="2"/>
    <n v="2"/>
    <n v="2"/>
    <s v="-"/>
    <n v="2"/>
    <s v="Improved"/>
  </r>
  <r>
    <s v="Ofsted Webpage"/>
    <n v="144740"/>
    <n v="10064832"/>
    <s v="Callywith College"/>
    <x v="12"/>
    <s v="16-19 academies"/>
    <s v="Cornwall"/>
    <s v="South West"/>
    <s v="South West"/>
    <s v="NULL"/>
    <s v="NULL"/>
    <s v="NULL"/>
    <s v="NULL"/>
    <s v="NULL"/>
    <s v="NULL"/>
    <s v="NULL"/>
    <x v="5"/>
    <s v="NULL"/>
    <s v="NULL"/>
    <s v="NULL"/>
    <s v="NULL"/>
    <s v="NULL"/>
    <s v="NULL"/>
    <s v="NULL"/>
    <s v="NULL"/>
    <s v="NULL"/>
    <s v="NULL"/>
    <s v="NULL"/>
    <s v="NULL"/>
  </r>
  <r>
    <s v="Ofsted Webpage"/>
    <n v="144753"/>
    <n v="10065007"/>
    <s v="LAE Tottenham"/>
    <x v="12"/>
    <s v="16-19 academies"/>
    <s v="Haringey"/>
    <s v="London"/>
    <s v="London"/>
    <s v="NULL"/>
    <s v="NULL"/>
    <s v="NULL"/>
    <s v="NULL"/>
    <s v="NULL"/>
    <s v="NULL"/>
    <s v="NULL"/>
    <x v="5"/>
    <s v="NULL"/>
    <s v="NULL"/>
    <s v="NULL"/>
    <s v="NULL"/>
    <s v="NULL"/>
    <s v="NULL"/>
    <s v="NULL"/>
    <s v="NULL"/>
    <s v="NULL"/>
    <s v="NULL"/>
    <s v="NULL"/>
    <s v="NULL"/>
  </r>
  <r>
    <s v="Ofsted Webpage"/>
    <n v="144782"/>
    <n v="10063846"/>
    <s v="Priestley College"/>
    <x v="13"/>
    <s v="16-19 academies"/>
    <s v="Warrington"/>
    <s v="North West"/>
    <s v="North West"/>
    <s v="NULL"/>
    <s v="NULL"/>
    <s v="ITS298685"/>
    <s v="College Inspection SFC - Good Historic"/>
    <d v="2007-03-12T00:00:00"/>
    <d v="2007-03-16T00:00:00"/>
    <d v="2007-05-04T00:00:00"/>
    <x v="1"/>
    <n v="1"/>
    <n v="2"/>
    <s v="-"/>
    <n v="1"/>
    <s v="NULL"/>
    <s v="NULL"/>
    <s v="NULL"/>
    <s v="NULL"/>
    <s v="NULL"/>
    <s v="NULL"/>
    <s v="NULL"/>
    <s v="Not Applicable"/>
  </r>
  <r>
    <s v="Ofsted Webpage"/>
    <n v="144785"/>
    <n v="10041272"/>
    <s v="Liberty Training"/>
    <x v="6"/>
    <s v="Independent specialist colleges"/>
    <s v="Kent"/>
    <s v="South East"/>
    <s v="South East"/>
    <s v="NULL"/>
    <s v="NULL"/>
    <s v="NULL"/>
    <s v="NULL"/>
    <s v="NULL"/>
    <s v="NULL"/>
    <s v="NULL"/>
    <x v="5"/>
    <s v="NULL"/>
    <s v="NULL"/>
    <s v="NULL"/>
    <s v="NULL"/>
    <s v="NULL"/>
    <s v="NULL"/>
    <s v="NULL"/>
    <s v="NULL"/>
    <s v="NULL"/>
    <s v="NULL"/>
    <s v="NULL"/>
    <s v="NULL"/>
  </r>
  <r>
    <s v="Ofsted Webpage"/>
    <n v="144786"/>
    <n v="10005557"/>
    <s v="Royal Mencap Society"/>
    <x v="6"/>
    <s v="Independent specialist colleges"/>
    <s v="Islington"/>
    <s v="London"/>
    <s v="London"/>
    <s v="NULL"/>
    <s v="NULL"/>
    <s v="NULL"/>
    <s v="NULL"/>
    <s v="NULL"/>
    <s v="NULL"/>
    <s v="NULL"/>
    <x v="5"/>
    <s v="NULL"/>
    <s v="NULL"/>
    <s v="NULL"/>
    <s v="NULL"/>
    <s v="NULL"/>
    <s v="NULL"/>
    <s v="NULL"/>
    <s v="NULL"/>
    <s v="NULL"/>
    <s v="NULL"/>
    <s v="NULL"/>
    <s v="NULL"/>
  </r>
  <r>
    <s v="Ofsted Webpage"/>
    <n v="144787"/>
    <n v="10055371"/>
    <s v="Community College Initiative Ltd"/>
    <x v="6"/>
    <s v="Independent specialist colleges"/>
    <s v="Essex"/>
    <s v="East of England"/>
    <s v="East of England"/>
    <s v="NULL"/>
    <s v="NULL"/>
    <s v="NULL"/>
    <s v="NULL"/>
    <s v="NULL"/>
    <s v="NULL"/>
    <s v="NULL"/>
    <x v="5"/>
    <s v="NULL"/>
    <s v="NULL"/>
    <s v="NULL"/>
    <s v="NULL"/>
    <s v="NULL"/>
    <s v="NULL"/>
    <s v="NULL"/>
    <s v="NULL"/>
    <s v="NULL"/>
    <s v="NULL"/>
    <s v="NULL"/>
    <s v="NULL"/>
  </r>
  <r>
    <s v="Ofsted Webpage"/>
    <n v="144788"/>
    <n v="10028500"/>
    <s v="Skillnet Group"/>
    <x v="6"/>
    <s v="Independent specialist colleges"/>
    <s v="Kent"/>
    <s v="South East"/>
    <s v="South East"/>
    <s v="NULL"/>
    <s v="NULL"/>
    <s v="NULL"/>
    <s v="NULL"/>
    <s v="NULL"/>
    <s v="NULL"/>
    <s v="NULL"/>
    <x v="5"/>
    <s v="NULL"/>
    <s v="NULL"/>
    <s v="NULL"/>
    <s v="NULL"/>
    <s v="NULL"/>
    <s v="NULL"/>
    <s v="NULL"/>
    <s v="NULL"/>
    <s v="NULL"/>
    <s v="NULL"/>
    <s v="NULL"/>
    <s v="NULL"/>
  </r>
  <r>
    <s v="Ofsted Webpage"/>
    <n v="144791"/>
    <n v="10064516"/>
    <s v="Calman Colaiste (Kisimul Group)"/>
    <x v="6"/>
    <s v="Independent specialist colleges"/>
    <s v="Peterborough"/>
    <s v="East of England"/>
    <s v="East of England"/>
    <s v="NULL"/>
    <s v="NULL"/>
    <s v="NULL"/>
    <s v="NULL"/>
    <s v="NULL"/>
    <s v="NULL"/>
    <s v="NULL"/>
    <x v="5"/>
    <s v="NULL"/>
    <s v="NULL"/>
    <s v="NULL"/>
    <s v="NULL"/>
    <s v="NULL"/>
    <s v="NULL"/>
    <s v="NULL"/>
    <s v="NULL"/>
    <s v="NULL"/>
    <s v="NULL"/>
    <s v="NULL"/>
    <s v="NULL"/>
  </r>
  <r>
    <s v="Ofsted Webpage"/>
    <n v="144792"/>
    <n v="10045935"/>
    <s v="SupaJam Education In Music and Media"/>
    <x v="6"/>
    <s v="Independent specialist colleges"/>
    <s v="Kent"/>
    <s v="South East"/>
    <s v="South East"/>
    <s v="NULL"/>
    <s v="NULL"/>
    <s v="NULL"/>
    <s v="NULL"/>
    <s v="NULL"/>
    <s v="NULL"/>
    <s v="NULL"/>
    <x v="5"/>
    <s v="NULL"/>
    <s v="NULL"/>
    <s v="NULL"/>
    <s v="NULL"/>
    <s v="NULL"/>
    <s v="NULL"/>
    <s v="NULL"/>
    <s v="NULL"/>
    <s v="NULL"/>
    <s v="NULL"/>
    <s v="NULL"/>
    <s v="NULL"/>
  </r>
  <r>
    <s v="Ofsted Webpage"/>
    <n v="144797"/>
    <n v="10065252"/>
    <s v="Brogdale Community Interest Company"/>
    <x v="6"/>
    <s v="Independent specialist colleges"/>
    <s v="Kent"/>
    <s v="South East"/>
    <s v="South East"/>
    <s v="NULL"/>
    <s v="NULL"/>
    <s v="NULL"/>
    <s v="NULL"/>
    <s v="NULL"/>
    <s v="NULL"/>
    <s v="NULL"/>
    <x v="5"/>
    <s v="NULL"/>
    <s v="NULL"/>
    <s v="NULL"/>
    <s v="NULL"/>
    <s v="NULL"/>
    <s v="NULL"/>
    <s v="NULL"/>
    <s v="NULL"/>
    <s v="NULL"/>
    <s v="NULL"/>
    <s v="NULL"/>
    <s v="NULL"/>
  </r>
  <r>
    <s v="Ofsted Webpage"/>
    <n v="144813"/>
    <n v="10064084"/>
    <s v="Health Education England"/>
    <x v="6"/>
    <s v="Independent specialist colleges"/>
    <s v="Leeds"/>
    <s v="Yorkshire and The Humber"/>
    <s v="London"/>
    <s v="NULL"/>
    <s v="NULL"/>
    <s v="NULL"/>
    <s v="NULL"/>
    <s v="NULL"/>
    <s v="NULL"/>
    <s v="NULL"/>
    <x v="5"/>
    <s v="NULL"/>
    <s v="NULL"/>
    <s v="NULL"/>
    <s v="NULL"/>
    <s v="NULL"/>
    <s v="NULL"/>
    <s v="NULL"/>
    <s v="NULL"/>
    <s v="NULL"/>
    <s v="NULL"/>
    <s v="NULL"/>
    <s v="NULL"/>
  </r>
  <r>
    <s v="Ofsted Webpage"/>
    <n v="144829"/>
    <n v="10064686"/>
    <s v="Birkenhead Sixth Form College"/>
    <x v="13"/>
    <s v="16-19 academies"/>
    <s v="Wirral"/>
    <s v="North West"/>
    <s v="North West"/>
    <s v="NULL"/>
    <s v="NULL"/>
    <n v="10020103"/>
    <s v="SFC - Full"/>
    <d v="2016-12-07T00:00:00"/>
    <d v="2016-12-09T00:00:00"/>
    <d v="2017-01-30T00:00:00"/>
    <x v="1"/>
    <n v="1"/>
    <n v="1"/>
    <n v="1"/>
    <n v="1"/>
    <s v="ITS399014"/>
    <d v="2012-12-07T00:00:00"/>
    <n v="2"/>
    <n v="2"/>
    <n v="2"/>
    <s v="-"/>
    <n v="2"/>
    <s v="Improved"/>
  </r>
  <r>
    <s v="Ofsted Webpage"/>
    <n v="144886"/>
    <n v="10064664"/>
    <s v="Longley Park Sixth Form College"/>
    <x v="13"/>
    <s v="16-19 academies"/>
    <s v="Sheffield"/>
    <s v="Yorkshire and The Humber"/>
    <s v="North East, Yorkshire and the Humber"/>
    <s v="NULL"/>
    <s v="NULL"/>
    <n v="10004815"/>
    <s v="SFC - Requires improvement - second inspection"/>
    <d v="2015-10-13T00:00:00"/>
    <d v="2015-10-16T00:00:00"/>
    <d v="2015-11-18T00:00:00"/>
    <x v="0"/>
    <n v="2"/>
    <n v="2"/>
    <n v="2"/>
    <n v="2"/>
    <s v="ITS429293"/>
    <d v="2014-05-02T00:00:00"/>
    <n v="3"/>
    <n v="3"/>
    <n v="3"/>
    <s v="-"/>
    <n v="3"/>
    <s v="Improved"/>
  </r>
  <r>
    <s v="Ofsted Webpage"/>
    <n v="144887"/>
    <n v="10064663"/>
    <s v="The Sixth Form College, Solihull"/>
    <x v="13"/>
    <s v="16-19 academies"/>
    <s v="Solihull"/>
    <s v="West Midlands"/>
    <s v="West Midlands"/>
    <s v="NULL"/>
    <s v="NULL"/>
    <s v="ITS423376"/>
    <s v="SFC - Full"/>
    <d v="2013-09-24T00:00:00"/>
    <d v="2013-09-27T00:00:00"/>
    <d v="2013-11-01T00:00:00"/>
    <x v="0"/>
    <n v="2"/>
    <n v="2"/>
    <s v="-"/>
    <n v="2"/>
    <s v="ITS376173"/>
    <d v="2011-10-07T00:00:00"/>
    <n v="3"/>
    <n v="3"/>
    <n v="3"/>
    <s v="-"/>
    <n v="3"/>
    <s v="Improved"/>
  </r>
  <r>
    <s v="Ofsted Webpage"/>
    <n v="145002"/>
    <n v="10065145"/>
    <s v="Oldham Sixth Form College"/>
    <x v="13"/>
    <s v="16-19 academies"/>
    <s v="Oldham"/>
    <s v="North West"/>
    <s v="North West"/>
    <d v="2016-09-28T00:00:00"/>
    <s v="1"/>
    <s v="ITS408454"/>
    <s v="SFC - Full"/>
    <d v="2013-02-26T00:00:00"/>
    <d v="2013-03-01T00:00:00"/>
    <d v="2013-03-28T00:00:00"/>
    <x v="0"/>
    <n v="3"/>
    <n v="2"/>
    <s v="-"/>
    <n v="2"/>
    <s v="ITS322396"/>
    <d v="2008-04-17T00:00:00"/>
    <n v="1"/>
    <n v="1"/>
    <n v="1"/>
    <s v="-"/>
    <n v="1"/>
    <s v="Declined"/>
  </r>
  <r>
    <s v="Ofsted Webpage"/>
    <n v="145003"/>
    <n v="10065146"/>
    <s v="City of Stoke-On-Trent Sixth Form College"/>
    <x v="13"/>
    <s v="16-19 academies"/>
    <s v="Stoke-on-Trent"/>
    <s v="West Midlands"/>
    <s v="West Midlands"/>
    <d v="2017-10-18T00:00:00"/>
    <n v="1"/>
    <s v="ITS446035"/>
    <s v="SFC - Requires improvement - second inspection"/>
    <d v="2015-04-21T00:00:00"/>
    <d v="2015-04-24T00:00:00"/>
    <d v="2015-05-29T00:00:00"/>
    <x v="0"/>
    <n v="2"/>
    <n v="2"/>
    <s v="-"/>
    <n v="2"/>
    <s v="ITS429257"/>
    <d v="2014-01-17T00:00:00"/>
    <n v="3"/>
    <n v="3"/>
    <n v="3"/>
    <s v="-"/>
    <n v="3"/>
    <s v="Improved"/>
  </r>
  <r>
    <s v="Ofsted Webpage"/>
    <n v="145005"/>
    <n v="10065148"/>
    <s v="Reigate College"/>
    <x v="13"/>
    <s v="16-19 academies"/>
    <s v="Surrey"/>
    <s v="South East"/>
    <s v="South East"/>
    <s v="NULL"/>
    <s v="NULL"/>
    <s v="ITS329232"/>
    <s v="College Inspection SFC - Good Historic"/>
    <d v="2008-10-21T00:00:00"/>
    <d v="2008-10-22T00:00:00"/>
    <d v="2008-12-12T00:00:00"/>
    <x v="1"/>
    <n v="1"/>
    <n v="1"/>
    <s v="-"/>
    <n v="1"/>
    <s v="NULL"/>
    <s v="NULL"/>
    <s v="NULL"/>
    <s v="NULL"/>
    <s v="NULL"/>
    <s v="NULL"/>
    <s v="NULL"/>
    <s v="Not Applicable"/>
  </r>
  <r>
    <s v="Ofsted Webpage"/>
    <n v="145007"/>
    <n v="10065150"/>
    <s v="Woking College"/>
    <x v="13"/>
    <s v="16-19 academies"/>
    <s v="Surrey"/>
    <s v="South East"/>
    <s v="South East"/>
    <d v="2016-04-28T00:00:00"/>
    <n v="1"/>
    <s v="ITS362661"/>
    <s v="College Inspection SFC - Satisfactory Historic"/>
    <d v="2010-11-22T00:00:00"/>
    <d v="2010-11-25T00:00:00"/>
    <d v="2011-01-03T00:00:00"/>
    <x v="0"/>
    <n v="2"/>
    <n v="2"/>
    <s v="-"/>
    <n v="2"/>
    <s v="ITS318375"/>
    <d v="2007-11-02T00:00:00"/>
    <n v="3"/>
    <n v="3"/>
    <n v="2"/>
    <s v="-"/>
    <n v="2"/>
    <s v="Improved"/>
  </r>
  <r>
    <s v="Ofsted Webpage"/>
    <n v="145057"/>
    <n v="10065175"/>
    <s v="The Sixth Form College Farnborough"/>
    <x v="13"/>
    <s v="16-19 academies"/>
    <s v="Hampshire"/>
    <s v="South East"/>
    <s v="South East"/>
    <s v="NULL"/>
    <s v="NULL"/>
    <s v="ITS295114"/>
    <s v="College category 1 visit Historic"/>
    <d v="2007-05-01T00:00:00"/>
    <d v="2007-05-01T00:00:00"/>
    <d v="2007-04-20T00:00:00"/>
    <x v="1"/>
    <n v="1"/>
    <n v="1"/>
    <s v="-"/>
    <n v="1"/>
    <s v="NULL"/>
    <s v="NULL"/>
    <s v="NULL"/>
    <s v="NULL"/>
    <s v="NULL"/>
    <s v="NULL"/>
    <s v="NULL"/>
    <s v="Not Applicable"/>
  </r>
  <r>
    <s v="Ofsted Webpage"/>
    <n v="145152"/>
    <n v="10005521"/>
    <s v="Romney Resource 2000 Limited (Romney Resource Centre)"/>
    <x v="6"/>
    <s v="Independent specialist colleges"/>
    <s v="Kent"/>
    <s v="South East"/>
    <s v="South East"/>
    <s v="NULL"/>
    <s v="NULL"/>
    <s v="NULL"/>
    <s v="NULL"/>
    <s v="NULL"/>
    <s v="NULL"/>
    <s v="NULL"/>
    <x v="5"/>
    <s v="NULL"/>
    <s v="NULL"/>
    <s v="NULL"/>
    <s v="NULL"/>
    <s v="NULL"/>
    <s v="NULL"/>
    <s v="NULL"/>
    <s v="NULL"/>
    <s v="NULL"/>
    <s v="NULL"/>
    <s v="NULL"/>
    <s v="NULL"/>
  </r>
  <r>
    <s v="Ofsted Webpage"/>
    <n v="145175"/>
    <n v="10065473"/>
    <s v="Queen Mary's College"/>
    <x v="13"/>
    <s v="16-19 academies"/>
    <s v="Hampshire"/>
    <s v="South East"/>
    <s v="South East"/>
    <d v="2016-01-26T00:00:00"/>
    <n v="1"/>
    <s v="ITS345838"/>
    <s v="College Inspection SFC - Good Historic"/>
    <d v="2010-05-11T00:00:00"/>
    <d v="2010-05-14T00:00:00"/>
    <d v="2010-06-14T00:00:00"/>
    <x v="0"/>
    <n v="2"/>
    <n v="2"/>
    <s v="-"/>
    <n v="1"/>
    <s v="ITS283497"/>
    <d v="2006-03-17T00:00:00"/>
    <n v="2"/>
    <n v="3"/>
    <n v="2"/>
    <s v="-"/>
    <n v="2"/>
    <s v="Stayed the Same"/>
  </r>
  <r>
    <s v="Ofsted Webpage"/>
    <n v="145227"/>
    <n v="10065941"/>
    <s v="Prior Pursglove and Stockton Sixth Form College"/>
    <x v="13"/>
    <s v="16-19 academies"/>
    <s v="NULL"/>
    <s v="NULL"/>
    <s v="North East, Yorkshire and the Humber"/>
    <s v="NULL"/>
    <s v="NULL"/>
    <s v="NULL"/>
    <s v="NULL"/>
    <s v="NULL"/>
    <s v="NULL"/>
    <s v="NULL"/>
    <x v="5"/>
    <s v="NULL"/>
    <s v="NULL"/>
    <s v="NULL"/>
    <s v="NULL"/>
    <s v="NULL"/>
    <s v="NULL"/>
    <s v="NULL"/>
    <s v="NULL"/>
    <s v="NULL"/>
    <s v="NULL"/>
    <s v="NULL"/>
    <s v="NULL"/>
  </r>
  <r>
    <s v="Ofsted Webpage"/>
    <n v="145228"/>
    <n v="10065834"/>
    <s v="Richard Taunton Sixth Form College"/>
    <x v="13"/>
    <s v="16-19 academies"/>
    <s v="Southampton"/>
    <s v="South East"/>
    <s v="South East"/>
    <s v="NULL"/>
    <s v="NULL"/>
    <n v="10022525"/>
    <s v="SFC - Full"/>
    <d v="2017-03-07T00:00:00"/>
    <d v="2017-03-09T00:00:00"/>
    <d v="2017-04-20T00:00:00"/>
    <x v="2"/>
    <n v="3"/>
    <n v="3"/>
    <n v="2"/>
    <n v="3"/>
    <s v="ITS423384"/>
    <d v="2013-10-18T00:00:00"/>
    <n v="2"/>
    <n v="2"/>
    <n v="2"/>
    <s v="-"/>
    <n v="2"/>
    <s v="Declined"/>
  </r>
  <r>
    <s v="Ofsted Webpage"/>
    <n v="145229"/>
    <n v="10065835"/>
    <s v="St Vincent College"/>
    <x v="13"/>
    <s v="16-19 academies"/>
    <s v="NULL"/>
    <s v="NULL"/>
    <s v="South East"/>
    <s v="NULL"/>
    <s v="NULL"/>
    <n v="10004749"/>
    <s v="SFC - Requires improvement - second inspection"/>
    <d v="2016-01-13T00:00:00"/>
    <d v="2016-01-15T00:00:00"/>
    <d v="2016-02-24T00:00:00"/>
    <x v="0"/>
    <n v="2"/>
    <n v="2"/>
    <n v="2"/>
    <n v="2"/>
    <s v="ITS429292"/>
    <d v="2014-04-04T00:00:00"/>
    <n v="3"/>
    <n v="3"/>
    <n v="3"/>
    <s v="-"/>
    <n v="3"/>
    <s v="Improved"/>
  </r>
  <r>
    <s v="Ofsted Webpage"/>
    <n v="145230"/>
    <n v="10065942"/>
    <s v="Thomas Rotherham College"/>
    <x v="13"/>
    <s v="16-19 academies"/>
    <s v="NULL"/>
    <s v="NULL"/>
    <s v="North East, Yorkshire and the Humber"/>
    <s v="NULL"/>
    <s v="NULL"/>
    <s v="ITS429254"/>
    <s v="SFC - Requires improvement"/>
    <d v="2014-01-14T00:00:00"/>
    <d v="2014-01-17T00:00:00"/>
    <d v="2014-02-19T00:00:00"/>
    <x v="0"/>
    <n v="2"/>
    <n v="2"/>
    <s v="-"/>
    <n v="2"/>
    <s v="ITS399023"/>
    <d v="2012-10-05T00:00:00"/>
    <n v="3"/>
    <n v="3"/>
    <n v="3"/>
    <s v="-"/>
    <n v="4"/>
    <s v="Improved"/>
  </r>
  <r>
    <s v="Ofsted Webpage"/>
    <n v="1184091"/>
    <n v="10046797"/>
    <s v="B C Arch Limited"/>
    <x v="1"/>
    <s v="Independent learning providers (including employer providers)"/>
    <s v="Hammersmith and Fulham"/>
    <s v="London"/>
    <s v="London"/>
    <s v="NULL"/>
    <s v="NULL"/>
    <n v="10008460"/>
    <s v="Independent Learning Provider (National) - Full"/>
    <d v="2016-02-23T00:00:00"/>
    <d v="2016-02-26T00:00:00"/>
    <d v="2016-03-29T00:00:00"/>
    <x v="1"/>
    <n v="1"/>
    <n v="1"/>
    <n v="1"/>
    <n v="1"/>
    <s v="NULL"/>
    <s v="NULL"/>
    <s v="NULL"/>
    <s v="NULL"/>
    <s v="NULL"/>
    <s v="NULL"/>
    <s v="NULL"/>
    <s v="Not Applicable"/>
  </r>
  <r>
    <s v="Ofsted Webpage"/>
    <n v="1220396"/>
    <n v="10029308"/>
    <s v="THE SKILLS NETWORK LIMITED"/>
    <x v="1"/>
    <s v="Independent learning providers (including employer providers)"/>
    <s v="North Yorkshire"/>
    <s v="Yorkshire and The Humber"/>
    <s v="North East, Yorkshire and the Humber"/>
    <s v="NULL"/>
    <s v="NULL"/>
    <s v="NULL"/>
    <s v="NULL"/>
    <s v="NULL"/>
    <s v="NULL"/>
    <s v="NULL"/>
    <x v="5"/>
    <s v="NULL"/>
    <s v="NULL"/>
    <s v="NULL"/>
    <s v="NULL"/>
    <s v="NULL"/>
    <s v="NULL"/>
    <s v="NULL"/>
    <s v="NULL"/>
    <s v="NULL"/>
    <s v="NULL"/>
    <s v="NULL"/>
    <s v="NULL"/>
  </r>
  <r>
    <s v="Ofsted Webpage"/>
    <n v="1220982"/>
    <n v="10042505"/>
    <s v="Somerset Skills &amp; Learning CIC"/>
    <x v="2"/>
    <s v="Community learning and skills providers"/>
    <s v="Somerset"/>
    <s v="South West"/>
    <s v="South West"/>
    <s v="NULL"/>
    <s v="NULL"/>
    <n v="10030774"/>
    <s v="Community Learning and Skills - Local authority - Full"/>
    <d v="2017-06-27T00:00:00"/>
    <d v="2017-06-30T00:00:00"/>
    <d v="2017-07-28T00:00:00"/>
    <x v="0"/>
    <n v="2"/>
    <n v="2"/>
    <n v="2"/>
    <n v="2"/>
    <s v="NULL"/>
    <s v="NULL"/>
    <s v="NULL"/>
    <s v="NULL"/>
    <s v="NULL"/>
    <s v="NULL"/>
    <s v="NULL"/>
    <s v="Not Applicable"/>
  </r>
  <r>
    <s v="Ofsted Webpage"/>
    <n v="1223682"/>
    <n v="10038772"/>
    <s v="Holts Academy of Jewellery Limited"/>
    <x v="4"/>
    <s v="Independent learning providers (including employer providers)"/>
    <s v="Camden"/>
    <s v="London"/>
    <s v="London"/>
    <s v="NULL"/>
    <s v="NULL"/>
    <s v="NULL"/>
    <s v="NULL"/>
    <s v="NULL"/>
    <s v="NULL"/>
    <s v="NULL"/>
    <x v="5"/>
    <s v="NULL"/>
    <s v="NULL"/>
    <s v="NULL"/>
    <s v="NULL"/>
    <s v="NULL"/>
    <s v="NULL"/>
    <s v="NULL"/>
    <s v="NULL"/>
    <s v="NULL"/>
    <s v="NULL"/>
    <s v="NULL"/>
    <s v="NULL"/>
  </r>
  <r>
    <s v="Ofsted Webpage"/>
    <n v="1223878"/>
    <n v="10034240"/>
    <s v="Nottingham City Transport Ltd"/>
    <x v="4"/>
    <s v="Independent learning providers (including employer providers)"/>
    <s v="Nottingham"/>
    <s v="East Midlands"/>
    <s v="East Midlands"/>
    <s v="NULL"/>
    <s v="NULL"/>
    <n v="10022575"/>
    <s v="Independent Learning Provider (Regional) - Full"/>
    <d v="2017-02-14T00:00:00"/>
    <d v="2017-02-16T00:00:00"/>
    <d v="2017-03-14T00:00:00"/>
    <x v="2"/>
    <n v="3"/>
    <n v="3"/>
    <n v="2"/>
    <n v="3"/>
    <s v="NULL"/>
    <s v="NULL"/>
    <s v="NULL"/>
    <s v="NULL"/>
    <s v="NULL"/>
    <s v="NULL"/>
    <s v="NULL"/>
    <s v="Not Applicable"/>
  </r>
  <r>
    <s v="Ofsted Webpage"/>
    <n v="1223881"/>
    <n v="10042132"/>
    <s v="Specsavers Optical Superstores Limited"/>
    <x v="4"/>
    <s v="Independent learning providers (including employer providers)"/>
    <s v="Hampshire"/>
    <s v="South East"/>
    <s v="South East"/>
    <s v="NULL"/>
    <s v="NULL"/>
    <s v="NULL"/>
    <s v="NULL"/>
    <s v="NULL"/>
    <s v="NULL"/>
    <s v="NULL"/>
    <x v="5"/>
    <s v="NULL"/>
    <s v="NULL"/>
    <s v="NULL"/>
    <s v="NULL"/>
    <s v="NULL"/>
    <s v="NULL"/>
    <s v="NULL"/>
    <s v="NULL"/>
    <s v="NULL"/>
    <s v="NULL"/>
    <s v="NULL"/>
    <s v="NULL"/>
  </r>
  <r>
    <s v="Ofsted Webpage"/>
    <n v="1236695"/>
    <n v="10024597"/>
    <s v="Academy Training Group Limited"/>
    <x v="1"/>
    <s v="Independent learning providers (including employer providers)"/>
    <s v="Camden"/>
    <s v="London"/>
    <s v="London"/>
    <s v="NULL"/>
    <s v="NULL"/>
    <s v="NULL"/>
    <s v="NULL"/>
    <s v="NULL"/>
    <s v="NULL"/>
    <s v="NULL"/>
    <x v="5"/>
    <s v="NULL"/>
    <s v="NULL"/>
    <s v="NULL"/>
    <s v="NULL"/>
    <s v="NULL"/>
    <s v="NULL"/>
    <s v="NULL"/>
    <s v="NULL"/>
    <s v="NULL"/>
    <s v="NULL"/>
    <s v="NULL"/>
    <s v="NULL"/>
  </r>
  <r>
    <s v="Ofsted Webpage"/>
    <n v="1236698"/>
    <n v="10023489"/>
    <s v="Acorn Training Ltd"/>
    <x v="1"/>
    <s v="Independent learning providers (including employer providers)"/>
    <s v="Stoke-on-Trent"/>
    <s v="West Midlands"/>
    <s v="West Midlands"/>
    <s v="NULL"/>
    <s v="NULL"/>
    <s v="NULL"/>
    <s v="NULL"/>
    <s v="NULL"/>
    <s v="NULL"/>
    <s v="NULL"/>
    <x v="5"/>
    <s v="NULL"/>
    <s v="NULL"/>
    <s v="NULL"/>
    <s v="NULL"/>
    <s v="NULL"/>
    <s v="NULL"/>
    <s v="NULL"/>
    <s v="NULL"/>
    <s v="NULL"/>
    <s v="NULL"/>
    <s v="NULL"/>
    <s v="NULL"/>
  </r>
  <r>
    <s v="Ofsted Webpage"/>
    <n v="1236703"/>
    <n v="10028942"/>
    <s v="Adviza Partnership"/>
    <x v="5"/>
    <s v="National Careers Service contractors"/>
    <s v="Bracknell Forest"/>
    <s v="South East"/>
    <s v="South East"/>
    <s v="NULL"/>
    <s v="NULL"/>
    <n v="10022695"/>
    <s v="National Careers Service - Full"/>
    <d v="2017-03-28T00:00:00"/>
    <d v="2017-03-31T00:00:00"/>
    <d v="2017-05-09T00:00:00"/>
    <x v="0"/>
    <n v="2"/>
    <n v="2"/>
    <n v="2"/>
    <n v="2"/>
    <s v="NULL"/>
    <s v="NULL"/>
    <s v="NULL"/>
    <s v="NULL"/>
    <s v="NULL"/>
    <s v="NULL"/>
    <s v="NULL"/>
    <s v="Not Applicable"/>
  </r>
  <r>
    <s v="Ofsted Webpage"/>
    <n v="1236704"/>
    <n v="10033608"/>
    <s v="Beacon Education Partnership Limited"/>
    <x v="1"/>
    <s v="Independent learning providers (including employer providers)"/>
    <s v="Camden"/>
    <s v="London"/>
    <s v="London"/>
    <s v="NULL"/>
    <s v="NULL"/>
    <s v="NULL"/>
    <s v="NULL"/>
    <s v="NULL"/>
    <s v="NULL"/>
    <s v="NULL"/>
    <x v="5"/>
    <s v="NULL"/>
    <s v="NULL"/>
    <s v="NULL"/>
    <s v="NULL"/>
    <s v="NULL"/>
    <s v="NULL"/>
    <s v="NULL"/>
    <s v="NULL"/>
    <s v="NULL"/>
    <s v="NULL"/>
    <s v="NULL"/>
    <s v="NULL"/>
  </r>
  <r>
    <s v="Ofsted Webpage"/>
    <n v="1236708"/>
    <n v="10009263"/>
    <s v="City College Nottingham"/>
    <x v="1"/>
    <s v="Independent learning providers (including employer providers)"/>
    <s v="Nottingham"/>
    <s v="East Midlands"/>
    <s v="East Midlands"/>
    <s v="NULL"/>
    <s v="NULL"/>
    <s v="NULL"/>
    <s v="NULL"/>
    <s v="NULL"/>
    <s v="NULL"/>
    <s v="NULL"/>
    <x v="5"/>
    <s v="NULL"/>
    <s v="NULL"/>
    <s v="NULL"/>
    <s v="NULL"/>
    <s v="NULL"/>
    <s v="NULL"/>
    <s v="NULL"/>
    <s v="NULL"/>
    <s v="NULL"/>
    <s v="NULL"/>
    <s v="NULL"/>
    <s v="NULL"/>
  </r>
  <r>
    <s v="Ofsted Webpage"/>
    <n v="1236710"/>
    <n v="10031331"/>
    <s v="Elms Associated Limited"/>
    <x v="1"/>
    <s v="Independent learning providers (including employer providers)"/>
    <s v="Darlington"/>
    <s v="North East"/>
    <s v="North East, Yorkshire and the Humber"/>
    <s v="NULL"/>
    <s v="NULL"/>
    <s v="NULL"/>
    <s v="NULL"/>
    <s v="NULL"/>
    <s v="NULL"/>
    <s v="NULL"/>
    <x v="5"/>
    <s v="NULL"/>
    <s v="NULL"/>
    <s v="NULL"/>
    <s v="NULL"/>
    <s v="NULL"/>
    <s v="NULL"/>
    <s v="NULL"/>
    <s v="NULL"/>
    <s v="NULL"/>
    <s v="NULL"/>
    <s v="NULL"/>
    <s v="NULL"/>
  </r>
  <r>
    <s v="Ofsted Webpage"/>
    <n v="1236712"/>
    <n v="10023898"/>
    <s v="Enabling Development Opportunities Ltd"/>
    <x v="1"/>
    <s v="Independent learning providers (including employer providers)"/>
    <s v="Staffordshire"/>
    <s v="West Midlands"/>
    <s v="West Midlands"/>
    <s v="NULL"/>
    <s v="NULL"/>
    <s v="NULL"/>
    <s v="NULL"/>
    <s v="NULL"/>
    <s v="NULL"/>
    <s v="NULL"/>
    <x v="5"/>
    <s v="NULL"/>
    <s v="NULL"/>
    <s v="NULL"/>
    <s v="NULL"/>
    <s v="NULL"/>
    <s v="NULL"/>
    <s v="NULL"/>
    <s v="NULL"/>
    <s v="NULL"/>
    <s v="NULL"/>
    <s v="NULL"/>
    <s v="NULL"/>
  </r>
  <r>
    <s v="Ofsted Webpage"/>
    <n v="1236778"/>
    <n v="10001189"/>
    <s v="Careers Yorkshire and The Humber Limited"/>
    <x v="5"/>
    <s v="National Careers Service contractors"/>
    <s v="York"/>
    <s v="Yorkshire and The Humber"/>
    <s v="North East, Yorkshire and the Humber"/>
    <s v="NULL"/>
    <s v="NULL"/>
    <n v="10022688"/>
    <s v="National Careers Service - Full"/>
    <d v="2017-03-07T00:00:00"/>
    <d v="2017-03-10T00:00:00"/>
    <d v="2017-04-06T00:00:00"/>
    <x v="0"/>
    <n v="2"/>
    <n v="2"/>
    <n v="2"/>
    <n v="2"/>
    <s v="NULL"/>
    <s v="NULL"/>
    <s v="NULL"/>
    <s v="NULL"/>
    <s v="NULL"/>
    <s v="NULL"/>
    <s v="NULL"/>
    <s v="Not Applicable"/>
  </r>
  <r>
    <s v="Ofsted Webpage"/>
    <n v="1236779"/>
    <n v="10001648"/>
    <s v="CXK Ltd SE"/>
    <x v="5"/>
    <s v="National Careers Service contractors"/>
    <s v="Kent"/>
    <s v="South East"/>
    <s v="South East"/>
    <s v="NULL"/>
    <s v="NULL"/>
    <n v="10022693"/>
    <s v="National Careers Service - Full"/>
    <d v="2017-02-14T00:00:00"/>
    <d v="2017-02-17T00:00:00"/>
    <d v="2017-03-02T00:00:00"/>
    <x v="0"/>
    <n v="2"/>
    <n v="2"/>
    <n v="2"/>
    <n v="2"/>
    <s v="NULL"/>
    <s v="NULL"/>
    <s v="NULL"/>
    <s v="NULL"/>
    <s v="NULL"/>
    <s v="NULL"/>
    <s v="NULL"/>
    <s v="Not Applicable"/>
  </r>
  <r>
    <s v="Ofsted Webpage"/>
    <n v="1236902"/>
    <n v="10032778"/>
    <s v="Gao-Shan Security Limited"/>
    <x v="1"/>
    <s v="Independent learning providers (including employer providers)"/>
    <s v="Warwickshire"/>
    <s v="West Midlands"/>
    <s v="West Midlands"/>
    <s v="NULL"/>
    <s v="NULL"/>
    <s v="NULL"/>
    <s v="NULL"/>
    <s v="NULL"/>
    <s v="NULL"/>
    <s v="NULL"/>
    <x v="5"/>
    <s v="NULL"/>
    <s v="NULL"/>
    <s v="NULL"/>
    <s v="NULL"/>
    <s v="NULL"/>
    <s v="NULL"/>
    <s v="NULL"/>
    <s v="NULL"/>
    <s v="NULL"/>
    <s v="NULL"/>
    <s v="NULL"/>
    <s v="NULL"/>
  </r>
  <r>
    <s v="Ofsted Webpage"/>
    <n v="1236904"/>
    <n v="10021254"/>
    <s v="JFC Training College Ltd"/>
    <x v="1"/>
    <s v="Independent learning providers (including employer providers)"/>
    <s v="Southwark"/>
    <s v="London"/>
    <s v="London"/>
    <s v="NULL"/>
    <s v="NULL"/>
    <s v="NULL"/>
    <s v="NULL"/>
    <s v="NULL"/>
    <s v="NULL"/>
    <s v="NULL"/>
    <x v="5"/>
    <s v="NULL"/>
    <s v="NULL"/>
    <s v="NULL"/>
    <s v="NULL"/>
    <s v="NULL"/>
    <s v="NULL"/>
    <s v="NULL"/>
    <s v="NULL"/>
    <s v="NULL"/>
    <s v="NULL"/>
    <s v="NULL"/>
    <s v="NULL"/>
  </r>
  <r>
    <s v="Ofsted Webpage"/>
    <n v="1236906"/>
    <n v="10028341"/>
    <s v="Questions &amp; Answers CIC"/>
    <x v="1"/>
    <s v="Independent learning providers (including employer providers)"/>
    <s v="Cornwall"/>
    <s v="South West"/>
    <s v="South West"/>
    <s v="NULL"/>
    <s v="NULL"/>
    <s v="NULL"/>
    <s v="NULL"/>
    <s v="NULL"/>
    <s v="NULL"/>
    <s v="NULL"/>
    <x v="5"/>
    <s v="NULL"/>
    <s v="NULL"/>
    <s v="NULL"/>
    <s v="NULL"/>
    <s v="NULL"/>
    <s v="NULL"/>
    <s v="NULL"/>
    <s v="NULL"/>
    <s v="NULL"/>
    <s v="NULL"/>
    <s v="NULL"/>
    <s v="NULL"/>
  </r>
  <r>
    <s v="Ofsted Webpage"/>
    <n v="1236909"/>
    <n v="10034279"/>
    <s v="Dhunay Corporation Ltd"/>
    <x v="1"/>
    <s v="Independent learning providers (including employer providers)"/>
    <s v="Ealing"/>
    <s v="London"/>
    <s v="London"/>
    <s v="NULL"/>
    <s v="NULL"/>
    <s v="NULL"/>
    <s v="NULL"/>
    <s v="NULL"/>
    <s v="NULL"/>
    <s v="NULL"/>
    <x v="5"/>
    <s v="NULL"/>
    <s v="NULL"/>
    <s v="NULL"/>
    <s v="NULL"/>
    <s v="NULL"/>
    <s v="NULL"/>
    <s v="NULL"/>
    <s v="NULL"/>
    <s v="NULL"/>
    <s v="NULL"/>
    <s v="NULL"/>
    <s v="NULL"/>
  </r>
  <r>
    <s v="Ofsted Webpage"/>
    <n v="1236911"/>
    <n v="10022570"/>
    <s v="Tower College Of Further And Higher Education London Limited"/>
    <x v="1"/>
    <s v="Independent learning providers (including employer providers)"/>
    <s v="Lewisham"/>
    <s v="London"/>
    <s v="London"/>
    <s v="NULL"/>
    <s v="NULL"/>
    <s v="NULL"/>
    <s v="NULL"/>
    <s v="NULL"/>
    <s v="NULL"/>
    <s v="NULL"/>
    <x v="5"/>
    <s v="NULL"/>
    <s v="NULL"/>
    <s v="NULL"/>
    <s v="NULL"/>
    <s v="NULL"/>
    <s v="NULL"/>
    <s v="NULL"/>
    <s v="NULL"/>
    <s v="NULL"/>
    <s v="NULL"/>
    <s v="NULL"/>
    <s v="NULL"/>
  </r>
  <r>
    <s v="Ofsted Webpage"/>
    <n v="1236915"/>
    <n v="10045136"/>
    <s v="Elmhouse Training"/>
    <x v="1"/>
    <s v="Independent learning providers (including employer providers)"/>
    <s v="Lambeth"/>
    <s v="London"/>
    <s v="London"/>
    <s v="NULL"/>
    <s v="NULL"/>
    <n v="10037426"/>
    <s v="Independent Learning Provider (Regional) - Full"/>
    <d v="2017-10-31T00:00:00"/>
    <d v="2017-11-02T00:00:00"/>
    <d v="2017-11-29T00:00:00"/>
    <x v="2"/>
    <n v="3"/>
    <n v="3"/>
    <n v="2"/>
    <n v="3"/>
    <s v="NULL"/>
    <s v="NULL"/>
    <s v="NULL"/>
    <s v="NULL"/>
    <s v="NULL"/>
    <s v="NULL"/>
    <s v="NULL"/>
    <s v="Not Applicable"/>
  </r>
  <r>
    <s v="Ofsted Webpage"/>
    <n v="1236917"/>
    <n v="10022567"/>
    <s v="Simian Skill"/>
    <x v="1"/>
    <s v="Independent learning providers (including employer providers)"/>
    <s v="Stockport"/>
    <s v="North West"/>
    <s v="North West"/>
    <s v="NULL"/>
    <s v="NULL"/>
    <s v="NULL"/>
    <s v="NULL"/>
    <s v="NULL"/>
    <s v="NULL"/>
    <s v="NULL"/>
    <x v="5"/>
    <s v="NULL"/>
    <s v="NULL"/>
    <s v="NULL"/>
    <s v="NULL"/>
    <s v="NULL"/>
    <s v="NULL"/>
    <s v="NULL"/>
    <s v="NULL"/>
    <s v="NULL"/>
    <s v="NULL"/>
    <s v="NULL"/>
    <s v="NULL"/>
  </r>
  <r>
    <s v="Ofsted Webpage"/>
    <n v="1236920"/>
    <n v="10028120"/>
    <s v="Touchstone Educational Solutions Ltd"/>
    <x v="1"/>
    <s v="Independent learning providers (including employer providers)"/>
    <s v="Greenwich"/>
    <s v="London"/>
    <s v="London"/>
    <s v="NULL"/>
    <s v="NULL"/>
    <s v="NULL"/>
    <s v="NULL"/>
    <s v="NULL"/>
    <s v="NULL"/>
    <s v="NULL"/>
    <x v="5"/>
    <s v="NULL"/>
    <s v="NULL"/>
    <s v="NULL"/>
    <s v="NULL"/>
    <s v="NULL"/>
    <s v="NULL"/>
    <s v="NULL"/>
    <s v="NULL"/>
    <s v="NULL"/>
    <s v="NULL"/>
    <s v="NULL"/>
    <s v="NULL"/>
  </r>
  <r>
    <s v="Ofsted Webpage"/>
    <n v="1236922"/>
    <n v="10032683"/>
    <s v="Northern Construction Training &amp; Regeneration"/>
    <x v="1"/>
    <s v="Independent learning providers (including employer providers)"/>
    <s v="Newcastle upon Tyne"/>
    <s v="North East"/>
    <s v="North East, Yorkshire and the Humber"/>
    <s v="NULL"/>
    <s v="NULL"/>
    <s v="NULL"/>
    <s v="NULL"/>
    <s v="NULL"/>
    <s v="NULL"/>
    <s v="NULL"/>
    <x v="5"/>
    <s v="NULL"/>
    <s v="NULL"/>
    <s v="NULL"/>
    <s v="NULL"/>
    <s v="NULL"/>
    <s v="NULL"/>
    <s v="NULL"/>
    <s v="NULL"/>
    <s v="NULL"/>
    <s v="NULL"/>
    <s v="NULL"/>
    <s v="NULL"/>
  </r>
  <r>
    <s v="Ofsted Webpage"/>
    <n v="1236924"/>
    <n v="10001298"/>
    <s v="Education Development Trust NE"/>
    <x v="5"/>
    <s v="National Careers Service contractors"/>
    <s v="Reading"/>
    <s v="South East"/>
    <s v="South East"/>
    <s v="NULL"/>
    <s v="NULL"/>
    <n v="10022692"/>
    <s v="National Careers Service - Full"/>
    <d v="2017-02-07T00:00:00"/>
    <d v="2017-02-10T00:00:00"/>
    <d v="2017-03-03T00:00:00"/>
    <x v="1"/>
    <n v="1"/>
    <n v="2"/>
    <n v="1"/>
    <n v="1"/>
    <s v="NULL"/>
    <s v="NULL"/>
    <s v="NULL"/>
    <s v="NULL"/>
    <s v="NULL"/>
    <s v="NULL"/>
    <s v="NULL"/>
    <s v="Not Applicable"/>
  </r>
  <r>
    <s v="Ofsted Webpage"/>
    <n v="1236925"/>
    <n v="10036802"/>
    <s v="Chosen Care Group Limited"/>
    <x v="1"/>
    <s v="Independent learning providers (including employer providers)"/>
    <s v="Redbridge"/>
    <s v="London"/>
    <s v="London"/>
    <s v="NULL"/>
    <s v="NULL"/>
    <s v="NULL"/>
    <s v="NULL"/>
    <s v="NULL"/>
    <s v="NULL"/>
    <s v="NULL"/>
    <x v="5"/>
    <s v="NULL"/>
    <s v="NULL"/>
    <s v="NULL"/>
    <s v="NULL"/>
    <s v="NULL"/>
    <s v="NULL"/>
    <s v="NULL"/>
    <s v="NULL"/>
    <s v="NULL"/>
    <s v="NULL"/>
    <s v="NULL"/>
    <s v="NULL"/>
  </r>
  <r>
    <s v="Ofsted Webpage"/>
    <n v="1236930"/>
    <n v="10001298"/>
    <s v="Education Development Trust SC"/>
    <x v="5"/>
    <s v="National Careers Service contractors"/>
    <s v="Reading"/>
    <s v="South East"/>
    <s v="South East"/>
    <s v="NULL"/>
    <s v="NULL"/>
    <n v="10022690"/>
    <s v="National Careers Service - Full"/>
    <d v="2017-01-17T00:00:00"/>
    <d v="2017-01-20T00:00:00"/>
    <d v="2017-02-13T00:00:00"/>
    <x v="0"/>
    <n v="2"/>
    <n v="2"/>
    <n v="2"/>
    <n v="2"/>
    <s v="NULL"/>
    <s v="NULL"/>
    <s v="NULL"/>
    <s v="NULL"/>
    <s v="NULL"/>
    <s v="NULL"/>
    <s v="NULL"/>
    <s v="Not Applicable"/>
  </r>
  <r>
    <s v="Ofsted Webpage"/>
    <n v="1236932"/>
    <n v="10004177"/>
    <s v="The Growth Company Limited Liverpool"/>
    <x v="5"/>
    <s v="National Careers Service contractors"/>
    <s v="Manchester"/>
    <s v="North West"/>
    <s v="North West"/>
    <s v="NULL"/>
    <s v="NULL"/>
    <n v="10022676"/>
    <s v="Independent Learning Provider (Regional) - Full"/>
    <d v="2016-11-08T00:00:00"/>
    <d v="2016-11-11T00:00:00"/>
    <d v="2016-12-06T00:00:00"/>
    <x v="0"/>
    <n v="2"/>
    <n v="2"/>
    <n v="2"/>
    <n v="2"/>
    <s v="NULL"/>
    <s v="NULL"/>
    <s v="NULL"/>
    <s v="NULL"/>
    <s v="NULL"/>
    <s v="NULL"/>
    <s v="NULL"/>
    <s v="Not Applicable"/>
  </r>
  <r>
    <s v="Ofsted Webpage"/>
    <n v="1236934"/>
    <n v="10027211"/>
    <s v="Leap Early Years Training"/>
    <x v="1"/>
    <s v="Independent learning providers (including employer providers)"/>
    <s v="Norfolk"/>
    <s v="East of England"/>
    <s v="East of England"/>
    <s v="NULL"/>
    <s v="NULL"/>
    <s v="NULL"/>
    <s v="NULL"/>
    <s v="NULL"/>
    <s v="NULL"/>
    <s v="NULL"/>
    <x v="5"/>
    <s v="NULL"/>
    <s v="NULL"/>
    <s v="NULL"/>
    <s v="NULL"/>
    <s v="NULL"/>
    <s v="NULL"/>
    <s v="NULL"/>
    <s v="NULL"/>
    <s v="NULL"/>
    <s v="NULL"/>
    <s v="NULL"/>
    <s v="NULL"/>
  </r>
  <r>
    <s v="Ofsted Webpage"/>
    <n v="1236935"/>
    <n v="10004177"/>
    <s v="The Growth Company Limited Manchester"/>
    <x v="5"/>
    <s v="National Careers Service contractors"/>
    <s v="Manchester"/>
    <s v="North West"/>
    <s v="North West"/>
    <s v="NULL"/>
    <s v="NULL"/>
    <n v="10022691"/>
    <s v="National Careers Service - Full"/>
    <d v="2017-01-31T00:00:00"/>
    <d v="2017-02-03T00:00:00"/>
    <d v="2017-02-24T00:00:00"/>
    <x v="0"/>
    <n v="2"/>
    <n v="2"/>
    <n v="2"/>
    <n v="2"/>
    <s v="NULL"/>
    <s v="NULL"/>
    <s v="NULL"/>
    <s v="NULL"/>
    <s v="NULL"/>
    <s v="NULL"/>
    <s v="NULL"/>
    <s v="Not Applicable"/>
  </r>
  <r>
    <s v="Ofsted Webpage"/>
    <n v="1236937"/>
    <n v="10001647"/>
    <s v="Futures Advice, Skills and Employment Central Eastern"/>
    <x v="5"/>
    <s v="National Careers Service contractors"/>
    <s v="Nottingham"/>
    <s v="East Midlands"/>
    <s v="East Midlands"/>
    <s v="NULL"/>
    <s v="NULL"/>
    <n v="10022686"/>
    <s v="National Careers Service - Full"/>
    <d v="2017-01-10T00:00:00"/>
    <d v="2017-01-13T00:00:00"/>
    <d v="2017-02-14T00:00:00"/>
    <x v="0"/>
    <n v="2"/>
    <n v="2"/>
    <n v="2"/>
    <n v="2"/>
    <s v="NULL"/>
    <s v="NULL"/>
    <s v="NULL"/>
    <s v="NULL"/>
    <s v="NULL"/>
    <s v="NULL"/>
    <s v="NULL"/>
    <s v="Not Applicable"/>
  </r>
  <r>
    <s v="Ofsted Webpage"/>
    <n v="1236939"/>
    <n v="10034044"/>
    <s v="New London College"/>
    <x v="1"/>
    <s v="Independent learning providers (including employer providers)"/>
    <s v="Hounslow"/>
    <s v="London"/>
    <s v="London"/>
    <s v="NULL"/>
    <s v="NULL"/>
    <s v="NULL"/>
    <s v="NULL"/>
    <s v="NULL"/>
    <s v="NULL"/>
    <s v="NULL"/>
    <x v="5"/>
    <s v="NULL"/>
    <s v="NULL"/>
    <s v="NULL"/>
    <s v="NULL"/>
    <s v="NULL"/>
    <s v="NULL"/>
    <s v="NULL"/>
    <s v="NULL"/>
    <s v="NULL"/>
    <s v="NULL"/>
    <s v="NULL"/>
    <s v="NULL"/>
  </r>
  <r>
    <s v="Ofsted Webpage"/>
    <n v="1236942"/>
    <n v="10001647"/>
    <s v="Futures Advice, Skills and Employment EM"/>
    <x v="5"/>
    <s v="National Careers Service contractors"/>
    <s v="Nottingham"/>
    <s v="East Midlands"/>
    <s v="East Midlands"/>
    <s v="NULL"/>
    <s v="NULL"/>
    <n v="10022689"/>
    <s v="National Careers Service - Full"/>
    <d v="2017-01-24T00:00:00"/>
    <d v="2017-01-27T00:00:00"/>
    <d v="2017-02-21T00:00:00"/>
    <x v="1"/>
    <n v="1"/>
    <n v="1"/>
    <n v="1"/>
    <n v="1"/>
    <s v="NULL"/>
    <s v="NULL"/>
    <s v="NULL"/>
    <s v="NULL"/>
    <s v="NULL"/>
    <s v="NULL"/>
    <s v="NULL"/>
    <s v="Not Applicable"/>
  </r>
  <r>
    <s v="Ofsted Webpage"/>
    <n v="1236943"/>
    <n v="10008455"/>
    <s v="Regent College"/>
    <x v="1"/>
    <s v="Independent learning providers (including employer providers)"/>
    <s v="Harrow"/>
    <s v="London"/>
    <s v="London"/>
    <s v="NULL"/>
    <s v="NULL"/>
    <s v="NULL"/>
    <s v="NULL"/>
    <s v="NULL"/>
    <s v="NULL"/>
    <s v="NULL"/>
    <x v="5"/>
    <s v="NULL"/>
    <s v="NULL"/>
    <s v="NULL"/>
    <s v="NULL"/>
    <s v="NULL"/>
    <s v="NULL"/>
    <s v="NULL"/>
    <s v="NULL"/>
    <s v="NULL"/>
    <s v="NULL"/>
    <s v="NULL"/>
    <s v="NULL"/>
  </r>
  <r>
    <s v="Ofsted Webpage"/>
    <n v="1236946"/>
    <n v="10005262"/>
    <s v="Prospects London"/>
    <x v="5"/>
    <s v="National Careers Service contractors"/>
    <s v="Bromley"/>
    <s v="London"/>
    <s v="London"/>
    <s v="NULL"/>
    <s v="NULL"/>
    <n v="10022694"/>
    <s v="National Careers Service - Full"/>
    <d v="2017-03-14T00:00:00"/>
    <d v="2017-03-17T00:00:00"/>
    <d v="2017-04-13T00:00:00"/>
    <x v="0"/>
    <n v="2"/>
    <n v="2"/>
    <n v="2"/>
    <n v="2"/>
    <s v="NULL"/>
    <s v="NULL"/>
    <s v="NULL"/>
    <s v="NULL"/>
    <s v="NULL"/>
    <s v="NULL"/>
    <s v="NULL"/>
    <s v="Not Applicable"/>
  </r>
  <r>
    <s v="Ofsted Webpage"/>
    <n v="1236949"/>
    <n v="10005262"/>
    <s v="Prospects SW"/>
    <x v="5"/>
    <s v="National Careers Service contractors"/>
    <s v="Somerset"/>
    <s v="South West"/>
    <s v="South West"/>
    <s v="NULL"/>
    <s v="NULL"/>
    <n v="10022679"/>
    <s v="Independent Learning Provider (Regional) - Full"/>
    <d v="2016-11-29T00:00:00"/>
    <d v="2016-12-02T00:00:00"/>
    <d v="2016-12-28T00:00:00"/>
    <x v="0"/>
    <n v="2"/>
    <n v="2"/>
    <n v="2"/>
    <n v="2"/>
    <s v="NULL"/>
    <s v="NULL"/>
    <s v="NULL"/>
    <s v="NULL"/>
    <s v="NULL"/>
    <s v="NULL"/>
    <s v="NULL"/>
    <s v="Not Applicable"/>
  </r>
  <r>
    <s v="Ofsted Webpage"/>
    <n v="1236951"/>
    <n v="10035281"/>
    <s v="Abacus Training Group"/>
    <x v="1"/>
    <s v="Independent learning providers (including employer providers)"/>
    <s v="Surrey"/>
    <s v="South East"/>
    <s v="South East"/>
    <s v="NULL"/>
    <s v="NULL"/>
    <s v="NULL"/>
    <s v="NULL"/>
    <s v="NULL"/>
    <s v="NULL"/>
    <s v="NULL"/>
    <x v="5"/>
    <s v="NULL"/>
    <s v="NULL"/>
    <s v="NULL"/>
    <s v="NULL"/>
    <s v="NULL"/>
    <s v="NULL"/>
    <s v="NULL"/>
    <s v="NULL"/>
    <s v="NULL"/>
    <s v="NULL"/>
    <s v="NULL"/>
    <s v="NULL"/>
  </r>
  <r>
    <s v="Ofsted Webpage"/>
    <n v="1236952"/>
    <n v="10005262"/>
    <s v="Prospects WM"/>
    <x v="5"/>
    <s v="National Careers Service contractors"/>
    <s v="Birmingham"/>
    <s v="West Midlands"/>
    <s v="West Midlands"/>
    <s v="NULL"/>
    <s v="NULL"/>
    <n v="10022687"/>
    <s v="National Careers Service - Full"/>
    <d v="2017-02-28T00:00:00"/>
    <d v="2017-03-03T00:00:00"/>
    <d v="2017-04-06T00:00:00"/>
    <x v="0"/>
    <n v="2"/>
    <n v="2"/>
    <n v="2"/>
    <n v="2"/>
    <s v="NULL"/>
    <s v="NULL"/>
    <s v="NULL"/>
    <s v="NULL"/>
    <s v="NULL"/>
    <s v="NULL"/>
    <s v="NULL"/>
    <s v="Not Applicable"/>
  </r>
  <r>
    <s v="Ofsted Webpage"/>
    <n v="1237097"/>
    <n v="10037337"/>
    <s v="Associated Training Solutions Ltd"/>
    <x v="1"/>
    <s v="Independent learning providers (including employer providers)"/>
    <s v="Blackpool"/>
    <s v="North West"/>
    <s v="North West"/>
    <s v="NULL"/>
    <s v="NULL"/>
    <s v="NULL"/>
    <s v="NULL"/>
    <s v="NULL"/>
    <s v="NULL"/>
    <s v="NULL"/>
    <x v="5"/>
    <s v="NULL"/>
    <s v="NULL"/>
    <s v="NULL"/>
    <s v="NULL"/>
    <s v="NULL"/>
    <s v="NULL"/>
    <s v="NULL"/>
    <s v="NULL"/>
    <s v="NULL"/>
    <s v="NULL"/>
    <s v="NULL"/>
    <s v="NULL"/>
  </r>
  <r>
    <s v="Ofsted Webpage"/>
    <n v="1237099"/>
    <n v="10018436"/>
    <s v="Impact College"/>
    <x v="1"/>
    <s v="Independent learning providers (including employer providers)"/>
    <s v="Manchester"/>
    <s v="North West"/>
    <s v="North West"/>
    <s v="NULL"/>
    <s v="NULL"/>
    <n v="10022630"/>
    <s v="Independent Learning Provider (Regional) - Full"/>
    <d v="2017-03-15T00:00:00"/>
    <d v="2017-03-17T00:00:00"/>
    <d v="2017-04-26T00:00:00"/>
    <x v="2"/>
    <n v="3"/>
    <n v="3"/>
    <n v="3"/>
    <n v="3"/>
    <s v="NULL"/>
    <s v="NULL"/>
    <s v="NULL"/>
    <s v="NULL"/>
    <s v="NULL"/>
    <s v="NULL"/>
    <s v="NULL"/>
    <s v="Not Applicable"/>
  </r>
  <r>
    <s v="Ofsted Webpage"/>
    <n v="1237100"/>
    <n v="10037345"/>
    <s v="The Teaching &amp; Learning Group"/>
    <x v="1"/>
    <s v="Independent learning providers (including employer providers)"/>
    <s v="Havering"/>
    <s v="London"/>
    <s v="London"/>
    <s v="NULL"/>
    <s v="NULL"/>
    <s v="NULL"/>
    <s v="NULL"/>
    <s v="NULL"/>
    <s v="NULL"/>
    <s v="NULL"/>
    <x v="5"/>
    <s v="NULL"/>
    <s v="NULL"/>
    <s v="NULL"/>
    <s v="NULL"/>
    <s v="NULL"/>
    <s v="NULL"/>
    <s v="NULL"/>
    <s v="NULL"/>
    <s v="NULL"/>
    <s v="NULL"/>
    <s v="NULL"/>
    <s v="NULL"/>
  </r>
  <r>
    <s v="Ofsted Webpage"/>
    <n v="1237102"/>
    <n v="10025267"/>
    <s v="BOCK Consultancy &amp; Personnel Development Limited"/>
    <x v="1"/>
    <s v="Independent learning providers (including employer providers)"/>
    <s v="Lambeth"/>
    <s v="London"/>
    <s v="London"/>
    <s v="NULL"/>
    <s v="NULL"/>
    <s v="NULL"/>
    <s v="NULL"/>
    <s v="NULL"/>
    <s v="NULL"/>
    <s v="NULL"/>
    <x v="5"/>
    <s v="NULL"/>
    <s v="NULL"/>
    <s v="NULL"/>
    <s v="NULL"/>
    <s v="NULL"/>
    <s v="NULL"/>
    <s v="NULL"/>
    <s v="NULL"/>
    <s v="NULL"/>
    <s v="NULL"/>
    <s v="NULL"/>
    <s v="NULL"/>
  </r>
  <r>
    <s v="Ofsted Webpage"/>
    <n v="1237103"/>
    <n v="10023871"/>
    <s v="Results Consortium Limited"/>
    <x v="1"/>
    <s v="Independent learning providers (including employer providers)"/>
    <s v="Essex"/>
    <s v="East of England"/>
    <s v="East of England"/>
    <s v="NULL"/>
    <s v="NULL"/>
    <s v="NULL"/>
    <s v="NULL"/>
    <s v="NULL"/>
    <s v="NULL"/>
    <s v="NULL"/>
    <x v="5"/>
    <s v="NULL"/>
    <s v="NULL"/>
    <s v="NULL"/>
    <s v="NULL"/>
    <s v="NULL"/>
    <s v="NULL"/>
    <s v="NULL"/>
    <s v="NULL"/>
    <s v="NULL"/>
    <s v="NULL"/>
    <s v="NULL"/>
    <s v="NULL"/>
  </r>
  <r>
    <s v="Ofsted Webpage"/>
    <n v="1237106"/>
    <n v="10018361"/>
    <s v="City of London College Centre for Advanced Studies"/>
    <x v="1"/>
    <s v="Independent learning providers (including employer providers)"/>
    <s v="Tower Hamlets"/>
    <s v="London"/>
    <s v="London"/>
    <s v="NULL"/>
    <s v="NULL"/>
    <s v="NULL"/>
    <s v="NULL"/>
    <s v="NULL"/>
    <s v="NULL"/>
    <s v="NULL"/>
    <x v="5"/>
    <s v="NULL"/>
    <s v="NULL"/>
    <s v="NULL"/>
    <s v="NULL"/>
    <s v="NULL"/>
    <s v="NULL"/>
    <s v="NULL"/>
    <s v="NULL"/>
    <s v="NULL"/>
    <s v="NULL"/>
    <s v="NULL"/>
    <s v="NULL"/>
  </r>
  <r>
    <s v="Ofsted Webpage"/>
    <n v="1237111"/>
    <n v="10031745"/>
    <s v="London Cactus Limited"/>
    <x v="1"/>
    <s v="Independent learning providers (including employer providers)"/>
    <s v="Harrow"/>
    <s v="London"/>
    <s v="London"/>
    <s v="NULL"/>
    <s v="NULL"/>
    <s v="NULL"/>
    <s v="NULL"/>
    <s v="NULL"/>
    <s v="NULL"/>
    <s v="NULL"/>
    <x v="5"/>
    <s v="NULL"/>
    <s v="NULL"/>
    <s v="NULL"/>
    <s v="NULL"/>
    <s v="NULL"/>
    <s v="NULL"/>
    <s v="NULL"/>
    <s v="NULL"/>
    <s v="NULL"/>
    <s v="NULL"/>
    <s v="NULL"/>
    <s v="NULL"/>
  </r>
  <r>
    <s v="Ofsted Webpage"/>
    <n v="1237113"/>
    <n v="10032396"/>
    <s v="Encompass Consultancy"/>
    <x v="1"/>
    <s v="Independent learning providers (including employer providers)"/>
    <s v="Kingston upon Hull"/>
    <s v="Yorkshire and The Humber"/>
    <s v="North East, Yorkshire and the Humber"/>
    <s v="NULL"/>
    <s v="NULL"/>
    <s v="NULL"/>
    <s v="NULL"/>
    <s v="NULL"/>
    <s v="NULL"/>
    <s v="NULL"/>
    <x v="5"/>
    <s v="NULL"/>
    <s v="NULL"/>
    <s v="NULL"/>
    <s v="NULL"/>
    <s v="NULL"/>
    <s v="NULL"/>
    <s v="NULL"/>
    <s v="NULL"/>
    <s v="NULL"/>
    <s v="NULL"/>
    <s v="NULL"/>
    <s v="NULL"/>
  </r>
  <r>
    <s v="Ofsted Webpage"/>
    <n v="1237116"/>
    <n v="10035301"/>
    <s v="Escala Training Academy"/>
    <x v="1"/>
    <s v="Independent learning providers (including employer providers)"/>
    <s v="Essex"/>
    <s v="East of England"/>
    <s v="East of England"/>
    <s v="NULL"/>
    <s v="NULL"/>
    <s v="NULL"/>
    <s v="NULL"/>
    <s v="NULL"/>
    <s v="NULL"/>
    <s v="NULL"/>
    <x v="5"/>
    <s v="NULL"/>
    <s v="NULL"/>
    <s v="NULL"/>
    <s v="NULL"/>
    <s v="NULL"/>
    <s v="NULL"/>
    <s v="NULL"/>
    <s v="NULL"/>
    <s v="NULL"/>
    <s v="NULL"/>
    <s v="NULL"/>
    <s v="NULL"/>
  </r>
  <r>
    <s v="Ofsted Webpage"/>
    <n v="1237118"/>
    <n v="10022133"/>
    <s v="Health and Fitness Education"/>
    <x v="1"/>
    <s v="Independent learning providers (including employer providers)"/>
    <s v="Lancashire"/>
    <s v="North West"/>
    <s v="North West"/>
    <s v="NULL"/>
    <s v="NULL"/>
    <n v="10030762"/>
    <s v="Independent Learning Provider (Regional) - Full"/>
    <d v="2017-05-23T00:00:00"/>
    <d v="2017-05-24T00:00:00"/>
    <d v="2017-06-27T00:00:00"/>
    <x v="4"/>
    <n v="4"/>
    <n v="4"/>
    <n v="4"/>
    <n v="4"/>
    <s v="NULL"/>
    <s v="NULL"/>
    <s v="NULL"/>
    <s v="NULL"/>
    <s v="NULL"/>
    <s v="NULL"/>
    <s v="NULL"/>
    <s v="Not Applicable"/>
  </r>
  <r>
    <s v="Ofsted Webpage"/>
    <n v="1237120"/>
    <n v="10021303"/>
    <s v="Home Group Limited"/>
    <x v="1"/>
    <s v="Independent learning providers (including employer providers)"/>
    <s v="North Tyneside"/>
    <s v="North East"/>
    <s v="North East, Yorkshire and the Humber"/>
    <s v="NULL"/>
    <s v="NULL"/>
    <s v="NULL"/>
    <s v="NULL"/>
    <s v="NULL"/>
    <s v="NULL"/>
    <s v="NULL"/>
    <x v="5"/>
    <s v="NULL"/>
    <s v="NULL"/>
    <s v="NULL"/>
    <s v="NULL"/>
    <s v="NULL"/>
    <s v="NULL"/>
    <s v="NULL"/>
    <s v="NULL"/>
    <s v="NULL"/>
    <s v="NULL"/>
    <s v="NULL"/>
    <s v="NULL"/>
  </r>
  <r>
    <s v="Ofsted Webpage"/>
    <n v="1237124"/>
    <n v="10027803"/>
    <s v="LD Training Services Limited"/>
    <x v="1"/>
    <s v="Independent learning providers (including employer providers)"/>
    <s v="Harrow"/>
    <s v="London"/>
    <s v="London"/>
    <s v="NULL"/>
    <s v="NULL"/>
    <s v="NULL"/>
    <s v="NULL"/>
    <s v="NULL"/>
    <s v="NULL"/>
    <s v="NULL"/>
    <x v="5"/>
    <s v="NULL"/>
    <s v="NULL"/>
    <s v="NULL"/>
    <s v="NULL"/>
    <s v="NULL"/>
    <s v="NULL"/>
    <s v="NULL"/>
    <s v="NULL"/>
    <s v="NULL"/>
    <s v="NULL"/>
    <s v="NULL"/>
    <s v="NULL"/>
  </r>
  <r>
    <s v="Ofsted Webpage"/>
    <n v="1237126"/>
    <n v="10027935"/>
    <s v="Geason"/>
    <x v="1"/>
    <s v="Independent learning providers (including employer providers)"/>
    <s v="City of Glasgow"/>
    <s v="Scotland"/>
    <s v="East Midlands"/>
    <s v="NULL"/>
    <s v="NULL"/>
    <s v="NULL"/>
    <s v="NULL"/>
    <s v="NULL"/>
    <s v="NULL"/>
    <s v="NULL"/>
    <x v="5"/>
    <s v="NULL"/>
    <s v="NULL"/>
    <s v="NULL"/>
    <s v="NULL"/>
    <s v="NULL"/>
    <s v="NULL"/>
    <s v="NULL"/>
    <s v="NULL"/>
    <s v="NULL"/>
    <s v="NULL"/>
    <s v="NULL"/>
    <s v="NULL"/>
  </r>
  <r>
    <s v="Ofsted Webpage"/>
    <n v="1237128"/>
    <n v="10028094"/>
    <s v="Skills North East"/>
    <x v="1"/>
    <s v="Independent learning providers (including employer providers)"/>
    <s v="Northumberland"/>
    <s v="North East"/>
    <s v="North East, Yorkshire and the Humber"/>
    <s v="NULL"/>
    <s v="NULL"/>
    <n v="10037428"/>
    <s v="Independent Learning Provider (Regional) - Full"/>
    <d v="2017-11-01T00:00:00"/>
    <d v="2017-11-03T00:00:00"/>
    <d v="2017-12-08T00:00:00"/>
    <x v="2"/>
    <n v="3"/>
    <n v="3"/>
    <n v="3"/>
    <n v="3"/>
    <s v="NULL"/>
    <s v="NULL"/>
    <s v="NULL"/>
    <s v="NULL"/>
    <s v="NULL"/>
    <s v="NULL"/>
    <s v="NULL"/>
    <s v="Not Applicable"/>
  </r>
  <r>
    <s v="Ofsted Webpage"/>
    <n v="1237130"/>
    <n v="10032147"/>
    <s v="Specialist Trade Courses Ltd"/>
    <x v="1"/>
    <s v="Independent learning providers (including employer providers)"/>
    <s v="Havering"/>
    <s v="London"/>
    <s v="London"/>
    <s v="NULL"/>
    <s v="NULL"/>
    <s v="NULL"/>
    <s v="NULL"/>
    <s v="NULL"/>
    <s v="NULL"/>
    <s v="NULL"/>
    <x v="5"/>
    <s v="NULL"/>
    <s v="NULL"/>
    <s v="NULL"/>
    <s v="NULL"/>
    <s v="NULL"/>
    <s v="NULL"/>
    <s v="NULL"/>
    <s v="NULL"/>
    <s v="NULL"/>
    <s v="NULL"/>
    <s v="NULL"/>
    <s v="NULL"/>
  </r>
  <r>
    <s v="Ofsted Webpage"/>
    <n v="1237132"/>
    <n v="10023492"/>
    <s v="Templegate Training"/>
    <x v="1"/>
    <s v="Independent learning providers (including employer providers)"/>
    <s v="Bristol"/>
    <s v="South West"/>
    <s v="South West"/>
    <s v="NULL"/>
    <s v="NULL"/>
    <s v="NULL"/>
    <s v="NULL"/>
    <s v="NULL"/>
    <s v="NULL"/>
    <s v="NULL"/>
    <x v="5"/>
    <s v="NULL"/>
    <s v="NULL"/>
    <s v="NULL"/>
    <s v="NULL"/>
    <s v="NULL"/>
    <s v="NULL"/>
    <s v="NULL"/>
    <s v="NULL"/>
    <s v="NULL"/>
    <s v="NULL"/>
    <s v="NULL"/>
    <s v="NULL"/>
  </r>
  <r>
    <s v="Ofsted Webpage"/>
    <n v="1237135"/>
    <n v="10032250"/>
    <s v="Lionheart in the Community Limited"/>
    <x v="1"/>
    <s v="Independent learning providers (including employer providers)"/>
    <s v="Lambeth"/>
    <s v="London"/>
    <s v="London"/>
    <s v="NULL"/>
    <s v="NULL"/>
    <s v="NULL"/>
    <s v="NULL"/>
    <s v="NULL"/>
    <s v="NULL"/>
    <s v="NULL"/>
    <x v="5"/>
    <s v="NULL"/>
    <s v="NULL"/>
    <s v="NULL"/>
    <s v="NULL"/>
    <s v="NULL"/>
    <s v="NULL"/>
    <s v="NULL"/>
    <s v="NULL"/>
    <s v="NULL"/>
    <s v="NULL"/>
    <s v="NULL"/>
    <s v="NULL"/>
  </r>
  <r>
    <s v="Ofsted Webpage"/>
    <n v="1237137"/>
    <n v="10028909"/>
    <s v="Mediprospects"/>
    <x v="1"/>
    <s v="Independent learning providers (including employer providers)"/>
    <s v="Newham"/>
    <s v="London"/>
    <s v="London"/>
    <s v="NULL"/>
    <s v="NULL"/>
    <s v="NULL"/>
    <s v="NULL"/>
    <s v="NULL"/>
    <s v="NULL"/>
    <s v="NULL"/>
    <x v="5"/>
    <s v="NULL"/>
    <s v="NULL"/>
    <s v="NULL"/>
    <s v="NULL"/>
    <s v="NULL"/>
    <s v="NULL"/>
    <s v="NULL"/>
    <s v="NULL"/>
    <s v="NULL"/>
    <s v="NULL"/>
    <s v="NULL"/>
    <s v="NULL"/>
  </r>
  <r>
    <s v="Ofsted Webpage"/>
    <n v="1237139"/>
    <n v="10027518"/>
    <s v="Millennium Academy"/>
    <x v="1"/>
    <s v="Independent learning providers (including employer providers)"/>
    <s v="Barking and Dagenham"/>
    <s v="London"/>
    <s v="London"/>
    <s v="NULL"/>
    <s v="NULL"/>
    <s v="NULL"/>
    <s v="NULL"/>
    <s v="NULL"/>
    <s v="NULL"/>
    <s v="NULL"/>
    <x v="5"/>
    <s v="NULL"/>
    <s v="NULL"/>
    <s v="NULL"/>
    <s v="NULL"/>
    <s v="NULL"/>
    <s v="NULL"/>
    <s v="NULL"/>
    <s v="NULL"/>
    <s v="NULL"/>
    <s v="NULL"/>
    <s v="NULL"/>
    <s v="NULL"/>
  </r>
  <r>
    <s v="Ofsted Webpage"/>
    <n v="1237195"/>
    <n v="10028965"/>
    <s v="Learn Plus Us"/>
    <x v="1"/>
    <s v="Independent learning providers (including employer providers)"/>
    <s v="Barnet"/>
    <s v="London"/>
    <s v="London"/>
    <s v="NULL"/>
    <s v="NULL"/>
    <s v="NULL"/>
    <s v="NULL"/>
    <s v="NULL"/>
    <s v="NULL"/>
    <s v="NULL"/>
    <x v="5"/>
    <s v="NULL"/>
    <s v="NULL"/>
    <s v="NULL"/>
    <s v="NULL"/>
    <s v="NULL"/>
    <s v="NULL"/>
    <s v="NULL"/>
    <s v="NULL"/>
    <s v="NULL"/>
    <s v="NULL"/>
    <s v="NULL"/>
    <s v="NULL"/>
  </r>
  <r>
    <s v="Ofsted Webpage"/>
    <n v="1237197"/>
    <n v="10038077"/>
    <s v="TDLC Limited"/>
    <x v="1"/>
    <s v="Independent learning providers (including employer providers)"/>
    <s v="Medway"/>
    <s v="South East"/>
    <s v="South East"/>
    <s v="NULL"/>
    <s v="NULL"/>
    <n v="10022534"/>
    <s v="Independent Learning Provider (Regional) - Full"/>
    <d v="2017-03-21T00:00:00"/>
    <d v="2017-03-23T00:00:00"/>
    <d v="2017-04-12T00:00:00"/>
    <x v="0"/>
    <n v="2"/>
    <n v="2"/>
    <n v="2"/>
    <n v="2"/>
    <s v="NULL"/>
    <s v="NULL"/>
    <s v="NULL"/>
    <s v="NULL"/>
    <s v="NULL"/>
    <s v="NULL"/>
    <s v="NULL"/>
    <s v="Not Applicable"/>
  </r>
  <r>
    <s v="Ofsted Webpage"/>
    <n v="1237200"/>
    <n v="10042149"/>
    <s v="The Beauty Academy Ltd"/>
    <x v="1"/>
    <s v="Independent learning providers (including employer providers)"/>
    <s v="Cambridgeshire"/>
    <s v="East of England"/>
    <s v="East of England"/>
    <s v="NULL"/>
    <s v="NULL"/>
    <n v="10022604"/>
    <s v="Independent Learning Provider (Regional) - Full"/>
    <d v="2017-02-27T00:00:00"/>
    <d v="2017-03-02T00:00:00"/>
    <d v="2017-03-30T00:00:00"/>
    <x v="4"/>
    <n v="4"/>
    <n v="3"/>
    <n v="3"/>
    <n v="4"/>
    <s v="NULL"/>
    <s v="NULL"/>
    <s v="NULL"/>
    <s v="NULL"/>
    <s v="NULL"/>
    <s v="NULL"/>
    <s v="NULL"/>
    <s v="Not Applicable"/>
  </r>
  <r>
    <s v="Ofsted Webpage"/>
    <n v="1237204"/>
    <n v="10007706"/>
    <s v="Activ8 Learning"/>
    <x v="1"/>
    <s v="Independent learning providers (including employer providers)"/>
    <s v="York"/>
    <s v="Yorkshire and The Humber"/>
    <s v="North East, Yorkshire and the Humber"/>
    <s v="NULL"/>
    <s v="NULL"/>
    <n v="10037429"/>
    <s v="Independent Learning Provider (Regional) - Full"/>
    <d v="2017-09-20T00:00:00"/>
    <d v="2017-09-22T00:00:00"/>
    <d v="2017-11-29T00:00:00"/>
    <x v="4"/>
    <n v="4"/>
    <n v="4"/>
    <n v="4"/>
    <n v="4"/>
    <s v="NULL"/>
    <s v="NULL"/>
    <s v="NULL"/>
    <s v="NULL"/>
    <s v="NULL"/>
    <s v="NULL"/>
    <s v="NULL"/>
    <s v="Not Applicable"/>
  </r>
  <r>
    <s v="Ofsted Webpage"/>
    <n v="1237207"/>
    <n v="10024244"/>
    <s v="AQT Ltd"/>
    <x v="1"/>
    <s v="Independent learning providers (including employer providers)"/>
    <s v="Waltham Forest"/>
    <s v="London"/>
    <s v="London"/>
    <s v="NULL"/>
    <s v="NULL"/>
    <s v="NULL"/>
    <s v="NULL"/>
    <s v="NULL"/>
    <s v="NULL"/>
    <s v="NULL"/>
    <x v="5"/>
    <s v="NULL"/>
    <s v="NULL"/>
    <s v="NULL"/>
    <s v="NULL"/>
    <s v="NULL"/>
    <s v="NULL"/>
    <s v="NULL"/>
    <s v="NULL"/>
    <s v="NULL"/>
    <s v="NULL"/>
    <s v="NULL"/>
    <s v="NULL"/>
  </r>
  <r>
    <s v="Ofsted Webpage"/>
    <n v="1237209"/>
    <n v="10036255"/>
    <s v="The Terri Brooke School Of Nails and Beauty"/>
    <x v="1"/>
    <s v="Independent learning providers (including employer providers)"/>
    <s v="Greenwich"/>
    <s v="London"/>
    <s v="London"/>
    <s v="NULL"/>
    <s v="NULL"/>
    <s v="NULL"/>
    <s v="NULL"/>
    <s v="NULL"/>
    <s v="NULL"/>
    <s v="NULL"/>
    <x v="5"/>
    <s v="NULL"/>
    <s v="NULL"/>
    <s v="NULL"/>
    <s v="NULL"/>
    <s v="NULL"/>
    <s v="NULL"/>
    <s v="NULL"/>
    <s v="NULL"/>
    <s v="NULL"/>
    <s v="NULL"/>
    <s v="NULL"/>
    <s v="NULL"/>
  </r>
  <r>
    <s v="Ofsted Webpage"/>
    <n v="1237211"/>
    <n v="10032052"/>
    <s v="Train Together"/>
    <x v="1"/>
    <s v="Independent learning providers (including employer providers)"/>
    <s v="Leicester"/>
    <s v="East Midlands"/>
    <s v="East Midlands"/>
    <s v="NULL"/>
    <s v="NULL"/>
    <s v="NULL"/>
    <s v="NULL"/>
    <s v="NULL"/>
    <s v="NULL"/>
    <s v="NULL"/>
    <x v="5"/>
    <s v="NULL"/>
    <s v="NULL"/>
    <s v="NULL"/>
    <s v="NULL"/>
    <s v="NULL"/>
    <s v="NULL"/>
    <s v="NULL"/>
    <s v="NULL"/>
    <s v="NULL"/>
    <s v="NULL"/>
    <s v="NULL"/>
    <s v="NULL"/>
  </r>
  <r>
    <s v="Ofsted Webpage"/>
    <n v="1237213"/>
    <n v="10025964"/>
    <s v="Training Days"/>
    <x v="1"/>
    <s v="Independent learning providers (including employer providers)"/>
    <s v="Sefton"/>
    <s v="North West"/>
    <s v="North West"/>
    <s v="NULL"/>
    <s v="NULL"/>
    <s v="NULL"/>
    <s v="NULL"/>
    <s v="NULL"/>
    <s v="NULL"/>
    <s v="NULL"/>
    <x v="5"/>
    <s v="NULL"/>
    <s v="NULL"/>
    <s v="NULL"/>
    <s v="NULL"/>
    <s v="NULL"/>
    <s v="NULL"/>
    <s v="NULL"/>
    <s v="NULL"/>
    <s v="NULL"/>
    <s v="NULL"/>
    <s v="NULL"/>
    <s v="NULL"/>
  </r>
  <r>
    <s v="Ofsted Webpage"/>
    <n v="1237215"/>
    <n v="10031093"/>
    <s v="The Tess Group"/>
    <x v="1"/>
    <s v="Independent learning providers (including employer providers)"/>
    <s v="Northamptonshire"/>
    <s v="East Midlands"/>
    <s v="East Midlands"/>
    <s v="NULL"/>
    <s v="NULL"/>
    <n v="10022577"/>
    <s v="Independent Learning Provider (Regional) - Full"/>
    <d v="2017-02-01T00:00:00"/>
    <d v="2017-02-03T00:00:00"/>
    <d v="2017-03-02T00:00:00"/>
    <x v="0"/>
    <n v="2"/>
    <n v="2"/>
    <n v="2"/>
    <n v="2"/>
    <s v="NULL"/>
    <s v="NULL"/>
    <s v="NULL"/>
    <s v="NULL"/>
    <s v="NULL"/>
    <s v="NULL"/>
    <s v="NULL"/>
    <s v="Not Applicable"/>
  </r>
  <r>
    <s v="Ofsted Webpage"/>
    <n v="1237217"/>
    <n v="10023290"/>
    <s v="West London College Of Business &amp; Management Sciences Limited"/>
    <x v="1"/>
    <s v="Independent learning providers (including employer providers)"/>
    <s v="Hounslow"/>
    <s v="London"/>
    <s v="London"/>
    <s v="NULL"/>
    <s v="NULL"/>
    <s v="NULL"/>
    <s v="NULL"/>
    <s v="NULL"/>
    <s v="NULL"/>
    <s v="NULL"/>
    <x v="5"/>
    <s v="NULL"/>
    <s v="NULL"/>
    <s v="NULL"/>
    <s v="NULL"/>
    <s v="NULL"/>
    <s v="NULL"/>
    <s v="NULL"/>
    <s v="NULL"/>
    <s v="NULL"/>
    <s v="NULL"/>
    <s v="NULL"/>
    <s v="NULL"/>
  </r>
  <r>
    <s v="Ofsted Webpage"/>
    <n v="1237219"/>
    <n v="10027317"/>
    <s v="Be A Better You Training Limited"/>
    <x v="1"/>
    <s v="Independent learning providers (including employer providers)"/>
    <s v="Tower Hamlets"/>
    <s v="London"/>
    <s v="London"/>
    <s v="NULL"/>
    <s v="NULL"/>
    <s v="NULL"/>
    <s v="NULL"/>
    <s v="NULL"/>
    <s v="NULL"/>
    <s v="NULL"/>
    <x v="5"/>
    <s v="NULL"/>
    <s v="NULL"/>
    <s v="NULL"/>
    <s v="NULL"/>
    <s v="NULL"/>
    <s v="NULL"/>
    <s v="NULL"/>
    <s v="NULL"/>
    <s v="NULL"/>
    <s v="NULL"/>
    <s v="NULL"/>
    <s v="NULL"/>
  </r>
  <r>
    <s v="Ofsted Webpage"/>
    <n v="1237221"/>
    <n v="10040263"/>
    <s v="Beyond 2030"/>
    <x v="1"/>
    <s v="Independent learning providers (including employer providers)"/>
    <s v="York"/>
    <s v="Yorkshire and The Humber"/>
    <s v="North East, Yorkshire and the Humber"/>
    <s v="NULL"/>
    <s v="NULL"/>
    <s v="NULL"/>
    <s v="NULL"/>
    <s v="NULL"/>
    <s v="NULL"/>
    <s v="NULL"/>
    <x v="5"/>
    <s v="NULL"/>
    <s v="NULL"/>
    <s v="NULL"/>
    <s v="NULL"/>
    <s v="NULL"/>
    <s v="NULL"/>
    <s v="NULL"/>
    <s v="NULL"/>
    <s v="NULL"/>
    <s v="NULL"/>
    <s v="NULL"/>
    <s v="NULL"/>
  </r>
  <r>
    <s v="Ofsted Webpage"/>
    <n v="1237222"/>
    <n v="10036807"/>
    <s v="Can Training"/>
    <x v="1"/>
    <s v="Independent learning providers (including employer providers)"/>
    <s v="Derbyshire"/>
    <s v="East Midlands"/>
    <s v="East Midlands"/>
    <s v="NULL"/>
    <s v="NULL"/>
    <s v="NULL"/>
    <s v="NULL"/>
    <s v="NULL"/>
    <s v="NULL"/>
    <s v="NULL"/>
    <x v="5"/>
    <s v="NULL"/>
    <s v="NULL"/>
    <s v="NULL"/>
    <s v="NULL"/>
    <s v="NULL"/>
    <s v="NULL"/>
    <s v="NULL"/>
    <s v="NULL"/>
    <s v="NULL"/>
    <s v="NULL"/>
    <s v="NULL"/>
    <s v="NULL"/>
  </r>
  <r>
    <s v="Ofsted Webpage"/>
    <n v="1237223"/>
    <n v="10028365"/>
    <s v="Construction Skills Solutions Limited"/>
    <x v="1"/>
    <s v="Independent learning providers (including employer providers)"/>
    <s v="Lincolnshire"/>
    <s v="East Midlands"/>
    <s v="East Midlands"/>
    <s v="NULL"/>
    <s v="NULL"/>
    <s v="NULL"/>
    <s v="NULL"/>
    <s v="NULL"/>
    <s v="NULL"/>
    <s v="NULL"/>
    <x v="5"/>
    <s v="NULL"/>
    <s v="NULL"/>
    <s v="NULL"/>
    <s v="NULL"/>
    <s v="NULL"/>
    <s v="NULL"/>
    <s v="NULL"/>
    <s v="NULL"/>
    <s v="NULL"/>
    <s v="NULL"/>
    <s v="NULL"/>
    <s v="NULL"/>
  </r>
  <r>
    <s v="Ofsted Webpage"/>
    <n v="1237224"/>
    <n v="10031912"/>
    <s v="Debut Training Academy Limited"/>
    <x v="1"/>
    <s v="Independent learning providers (including employer providers)"/>
    <s v="Essex"/>
    <s v="East of England"/>
    <s v="East of England"/>
    <s v="NULL"/>
    <s v="NULL"/>
    <s v="NULL"/>
    <s v="NULL"/>
    <s v="NULL"/>
    <s v="NULL"/>
    <s v="NULL"/>
    <x v="5"/>
    <s v="NULL"/>
    <s v="NULL"/>
    <s v="NULL"/>
    <s v="NULL"/>
    <s v="NULL"/>
    <s v="NULL"/>
    <s v="NULL"/>
    <s v="NULL"/>
    <s v="NULL"/>
    <s v="NULL"/>
    <s v="NULL"/>
    <s v="NULL"/>
  </r>
  <r>
    <s v="Ofsted Webpage"/>
    <n v="1237225"/>
    <n v="10036006"/>
    <s v="Lifelong Opportunities Ltd"/>
    <x v="1"/>
    <s v="Independent learning providers (including employer providers)"/>
    <s v="Derbyshire"/>
    <s v="East Midlands"/>
    <s v="East Midlands"/>
    <s v="NULL"/>
    <s v="NULL"/>
    <s v="NULL"/>
    <s v="NULL"/>
    <s v="NULL"/>
    <s v="NULL"/>
    <s v="NULL"/>
    <x v="5"/>
    <s v="NULL"/>
    <s v="NULL"/>
    <s v="NULL"/>
    <s v="NULL"/>
    <s v="NULL"/>
    <s v="NULL"/>
    <s v="NULL"/>
    <s v="NULL"/>
    <s v="NULL"/>
    <s v="NULL"/>
    <s v="NULL"/>
    <s v="NULL"/>
  </r>
  <r>
    <s v="Ofsted Webpage"/>
    <n v="1240210"/>
    <n v="10005752"/>
    <s v="Serco Limited"/>
    <x v="5"/>
    <s v="National Careers Service contractors"/>
    <s v="Newcastle upon Tyne"/>
    <s v="North East"/>
    <s v="North East, Yorkshire and the Humber"/>
    <s v="NULL"/>
    <s v="NULL"/>
    <n v="10022678"/>
    <s v="Independent Learning Provider (Regional) - Full"/>
    <d v="2016-11-15T00:00:00"/>
    <d v="2016-11-18T00:00:00"/>
    <d v="2016-12-23T00:00:00"/>
    <x v="0"/>
    <n v="2"/>
    <n v="2"/>
    <n v="2"/>
    <n v="2"/>
    <s v="NULL"/>
    <s v="NULL"/>
    <s v="NULL"/>
    <s v="NULL"/>
    <s v="NULL"/>
    <s v="NULL"/>
    <s v="NULL"/>
    <s v="Not Applicable"/>
  </r>
  <r>
    <s v="Ofsted Webpage"/>
    <n v="1240993"/>
    <n v="10054558"/>
    <s v="Wolseley UK Limited"/>
    <x v="4"/>
    <s v="Independent learning providers (including employer providers)"/>
    <s v="Warwickshire"/>
    <s v="West Midlands"/>
    <s v="West Midlands"/>
    <s v="NULL"/>
    <s v="NULL"/>
    <s v="NULL"/>
    <s v="NULL"/>
    <s v="NULL"/>
    <s v="NULL"/>
    <s v="NULL"/>
    <x v="5"/>
    <s v="NULL"/>
    <s v="NULL"/>
    <s v="NULL"/>
    <s v="NULL"/>
    <s v="NULL"/>
    <s v="NULL"/>
    <s v="NULL"/>
    <s v="NULL"/>
    <s v="NULL"/>
    <s v="NULL"/>
    <s v="NULL"/>
    <s v="NULL"/>
  </r>
  <r>
    <s v="Ofsted Webpage"/>
    <n v="1241504"/>
    <n v="10052994"/>
    <s v="Care UK Community Partnerships Ltd"/>
    <x v="4"/>
    <s v="Independent learning providers (including employer providers)"/>
    <s v="Essex"/>
    <s v="East of England"/>
    <s v="East of England"/>
    <s v="NULL"/>
    <s v="NULL"/>
    <s v="NULL"/>
    <s v="NULL"/>
    <s v="NULL"/>
    <s v="NULL"/>
    <s v="NULL"/>
    <x v="5"/>
    <s v="NULL"/>
    <s v="NULL"/>
    <s v="NULL"/>
    <s v="NULL"/>
    <s v="NULL"/>
    <s v="NULL"/>
    <s v="NULL"/>
    <s v="NULL"/>
    <s v="NULL"/>
    <s v="NULL"/>
    <s v="NULL"/>
    <s v="NULL"/>
  </r>
  <r>
    <s v="Ofsted Webpage"/>
    <n v="1244872"/>
    <n v="10048290"/>
    <s v="Blue Arrow Limited"/>
    <x v="4"/>
    <s v="Independent learning providers (including employer providers)"/>
    <s v="Luton"/>
    <s v="East of England"/>
    <s v="East of England"/>
    <s v="NULL"/>
    <s v="NULL"/>
    <s v="NULL"/>
    <s v="NULL"/>
    <s v="NULL"/>
    <s v="NULL"/>
    <s v="NULL"/>
    <x v="5"/>
    <s v="NULL"/>
    <s v="NULL"/>
    <s v="NULL"/>
    <s v="NULL"/>
    <s v="NULL"/>
    <s v="NULL"/>
    <s v="NULL"/>
    <s v="NULL"/>
    <s v="NULL"/>
    <s v="NULL"/>
    <s v="NULL"/>
    <s v="NULL"/>
  </r>
  <r>
    <s v="Ofsted Webpage"/>
    <n v="1244875"/>
    <n v="10040525"/>
    <s v="United Utilities Water Limited"/>
    <x v="4"/>
    <s v="Independent learning providers (including employer providers)"/>
    <s v="Bolton"/>
    <s v="North West"/>
    <s v="North West"/>
    <s v="NULL"/>
    <s v="NULL"/>
    <s v="NULL"/>
    <s v="NULL"/>
    <s v="NULL"/>
    <s v="NULL"/>
    <s v="NULL"/>
    <x v="5"/>
    <s v="NULL"/>
    <s v="NULL"/>
    <s v="NULL"/>
    <s v="NULL"/>
    <s v="NULL"/>
    <s v="NULL"/>
    <s v="NULL"/>
    <s v="NULL"/>
    <s v="NULL"/>
    <s v="NULL"/>
    <s v="NULL"/>
    <s v="NULL"/>
  </r>
  <r>
    <s v="Ofsted Webpage"/>
    <n v="1244878"/>
    <n v="10001263"/>
    <s v="Central Manchester University Hospitals NHS Foundation Trust"/>
    <x v="4"/>
    <s v="Independent learning providers (including employer providers)"/>
    <s v="Manchester"/>
    <s v="North West"/>
    <s v="North West"/>
    <s v="NULL"/>
    <s v="NULL"/>
    <s v="NULL"/>
    <s v="NULL"/>
    <s v="NULL"/>
    <s v="NULL"/>
    <s v="NULL"/>
    <x v="5"/>
    <s v="NULL"/>
    <s v="NULL"/>
    <s v="NULL"/>
    <s v="NULL"/>
    <s v="NULL"/>
    <s v="NULL"/>
    <s v="NULL"/>
    <s v="NULL"/>
    <s v="NULL"/>
    <s v="NULL"/>
    <s v="NULL"/>
    <s v="NULL"/>
  </r>
  <r>
    <s v="Ofsted Webpage"/>
    <n v="1244882"/>
    <n v="10024921"/>
    <s v="Creative Support"/>
    <x v="4"/>
    <s v="Independent learning providers (including employer providers)"/>
    <s v="Manchester"/>
    <s v="North West"/>
    <s v="North West"/>
    <s v="NULL"/>
    <s v="NULL"/>
    <s v="NULL"/>
    <s v="NULL"/>
    <s v="NULL"/>
    <s v="NULL"/>
    <s v="NULL"/>
    <x v="5"/>
    <s v="NULL"/>
    <s v="NULL"/>
    <s v="NULL"/>
    <s v="NULL"/>
    <s v="NULL"/>
    <s v="NULL"/>
    <s v="NULL"/>
    <s v="NULL"/>
    <s v="NULL"/>
    <s v="NULL"/>
    <s v="NULL"/>
    <s v="NULL"/>
  </r>
  <r>
    <s v="Ofsted Webpage"/>
    <n v="1244885"/>
    <n v="10041422"/>
    <s v="Greenwich Leisure Ltd"/>
    <x v="4"/>
    <s v="Independent learning providers (including employer providers)"/>
    <s v="Greenwich"/>
    <s v="London"/>
    <s v="London"/>
    <s v="NULL"/>
    <s v="NULL"/>
    <s v="NULL"/>
    <s v="NULL"/>
    <s v="NULL"/>
    <s v="NULL"/>
    <s v="NULL"/>
    <x v="5"/>
    <s v="NULL"/>
    <s v="NULL"/>
    <s v="NULL"/>
    <s v="NULL"/>
    <s v="NULL"/>
    <s v="NULL"/>
    <s v="NULL"/>
    <s v="NULL"/>
    <s v="NULL"/>
    <s v="NULL"/>
    <s v="NULL"/>
    <s v="NULL"/>
  </r>
  <r>
    <s v="Ofsted Webpage"/>
    <n v="1244909"/>
    <n v="10055995"/>
    <s v="Mitchell &amp; Butlers"/>
    <x v="4"/>
    <s v="Independent learning providers (including employer providers)"/>
    <s v="Birmingham"/>
    <s v="West Midlands"/>
    <s v="West Midlands"/>
    <s v="NULL"/>
    <s v="NULL"/>
    <s v="NULL"/>
    <s v="NULL"/>
    <s v="NULL"/>
    <s v="NULL"/>
    <s v="NULL"/>
    <x v="5"/>
    <s v="NULL"/>
    <s v="NULL"/>
    <s v="NULL"/>
    <s v="NULL"/>
    <s v="NULL"/>
    <s v="NULL"/>
    <s v="NULL"/>
    <s v="NULL"/>
    <s v="NULL"/>
    <s v="NULL"/>
    <s v="NULL"/>
    <s v="NULL"/>
  </r>
  <r>
    <s v="Ofsted Webpage"/>
    <n v="1244913"/>
    <n v="10041501"/>
    <s v="West Midlands Ambulance Service"/>
    <x v="4"/>
    <s v="Independent learning providers (including employer providers)"/>
    <s v="Staffordshire"/>
    <s v="West Midlands"/>
    <s v="West Midlands"/>
    <s v="NULL"/>
    <s v="NULL"/>
    <s v="NULL"/>
    <s v="NULL"/>
    <s v="NULL"/>
    <s v="NULL"/>
    <s v="NULL"/>
    <x v="5"/>
    <s v="NULL"/>
    <s v="NULL"/>
    <s v="NULL"/>
    <s v="NULL"/>
    <s v="NULL"/>
    <s v="NULL"/>
    <s v="NULL"/>
    <s v="NULL"/>
    <s v="NULL"/>
    <s v="NULL"/>
    <s v="NULL"/>
    <s v="NULL"/>
  </r>
  <r>
    <s v="Ofsted Webpage"/>
    <n v="1247981"/>
    <n v="10046498"/>
    <s v="1st Care Training Limited"/>
    <x v="1"/>
    <s v="Independent learning providers (including employer providers)"/>
    <s v="Norfolk"/>
    <s v="East of England"/>
    <s v="East of England"/>
    <s v="NULL"/>
    <s v="NULL"/>
    <s v="NULL"/>
    <s v="NULL"/>
    <s v="NULL"/>
    <s v="NULL"/>
    <s v="NULL"/>
    <x v="5"/>
    <s v="NULL"/>
    <s v="NULL"/>
    <s v="NULL"/>
    <s v="NULL"/>
    <s v="NULL"/>
    <s v="NULL"/>
    <s v="NULL"/>
    <s v="NULL"/>
    <s v="NULL"/>
    <s v="NULL"/>
    <s v="NULL"/>
    <s v="NULL"/>
  </r>
  <r>
    <s v="Ofsted Webpage"/>
    <n v="1247982"/>
    <n v="10043612"/>
    <s v="Focus Fitness UK Limited"/>
    <x v="1"/>
    <s v="Independent learning providers (including employer providers)"/>
    <s v="Haringey"/>
    <s v="London"/>
    <s v="London"/>
    <s v="NULL"/>
    <s v="NULL"/>
    <s v="NULL"/>
    <s v="NULL"/>
    <s v="NULL"/>
    <s v="NULL"/>
    <s v="NULL"/>
    <x v="5"/>
    <s v="NULL"/>
    <s v="NULL"/>
    <s v="NULL"/>
    <s v="NULL"/>
    <s v="NULL"/>
    <s v="NULL"/>
    <s v="NULL"/>
    <s v="NULL"/>
    <s v="NULL"/>
    <s v="NULL"/>
    <s v="NULL"/>
    <s v="NULL"/>
  </r>
  <r>
    <s v="Ofsted Webpage"/>
    <n v="1247985"/>
    <n v="10035183"/>
    <s v="Active Lifestyles"/>
    <x v="1"/>
    <s v="Independent learning providers (including employer providers)"/>
    <s v="Nottinghamshire"/>
    <s v="East Midlands"/>
    <s v="East Midlands"/>
    <s v="NULL"/>
    <s v="NULL"/>
    <s v="NULL"/>
    <s v="NULL"/>
    <s v="NULL"/>
    <s v="NULL"/>
    <s v="NULL"/>
    <x v="5"/>
    <s v="NULL"/>
    <s v="NULL"/>
    <s v="NULL"/>
    <s v="NULL"/>
    <s v="NULL"/>
    <s v="NULL"/>
    <s v="NULL"/>
    <s v="NULL"/>
    <s v="NULL"/>
    <s v="NULL"/>
    <s v="NULL"/>
    <s v="NULL"/>
  </r>
  <r>
    <s v="Ofsted Webpage"/>
    <n v="1247987"/>
    <n v="10030935"/>
    <s v="Free To Learn Ltd"/>
    <x v="1"/>
    <s v="Independent learning providers (including employer providers)"/>
    <s v="Camden"/>
    <s v="London"/>
    <s v="London"/>
    <s v="NULL"/>
    <s v="NULL"/>
    <s v="NULL"/>
    <s v="NULL"/>
    <s v="NULL"/>
    <s v="NULL"/>
    <s v="NULL"/>
    <x v="5"/>
    <s v="NULL"/>
    <s v="NULL"/>
    <s v="NULL"/>
    <s v="NULL"/>
    <s v="NULL"/>
    <s v="NULL"/>
    <s v="NULL"/>
    <s v="NULL"/>
    <s v="NULL"/>
    <s v="NULL"/>
    <s v="NULL"/>
    <s v="NULL"/>
  </r>
  <r>
    <s v="Ofsted Webpage"/>
    <n v="1247989"/>
    <n v="10031544"/>
    <s v="Any Driver Limited"/>
    <x v="1"/>
    <s v="Independent learning providers (including employer providers)"/>
    <s v="Rhondda, Cynon, Taff"/>
    <s v="Wales"/>
    <s v="South West"/>
    <s v="NULL"/>
    <s v="NULL"/>
    <s v="NULL"/>
    <s v="NULL"/>
    <s v="NULL"/>
    <s v="NULL"/>
    <s v="NULL"/>
    <x v="5"/>
    <s v="NULL"/>
    <s v="NULL"/>
    <s v="NULL"/>
    <s v="NULL"/>
    <s v="NULL"/>
    <s v="NULL"/>
    <s v="NULL"/>
    <s v="NULL"/>
    <s v="NULL"/>
    <s v="NULL"/>
    <s v="NULL"/>
    <s v="NULL"/>
  </r>
  <r>
    <s v="Ofsted Webpage"/>
    <n v="1247990"/>
    <n v="10024751"/>
    <s v="FW Solutions Limited"/>
    <x v="1"/>
    <s v="Independent learning providers (including employer providers)"/>
    <s v="North Yorkshire"/>
    <s v="Yorkshire and The Humber"/>
    <s v="North East, Yorkshire and the Humber"/>
    <s v="NULL"/>
    <s v="NULL"/>
    <s v="NULL"/>
    <s v="NULL"/>
    <s v="NULL"/>
    <s v="NULL"/>
    <s v="NULL"/>
    <x v="5"/>
    <s v="NULL"/>
    <s v="NULL"/>
    <s v="NULL"/>
    <s v="NULL"/>
    <s v="NULL"/>
    <s v="NULL"/>
    <s v="NULL"/>
    <s v="NULL"/>
    <s v="NULL"/>
    <s v="NULL"/>
    <s v="NULL"/>
    <s v="NULL"/>
  </r>
  <r>
    <s v="Ofsted Webpage"/>
    <n v="1247993"/>
    <n v="10038201"/>
    <s v="Ashley Community &amp; Housing Ltd"/>
    <x v="1"/>
    <s v="Independent learning providers (including employer providers)"/>
    <s v="Bristol"/>
    <s v="South West"/>
    <s v="South West"/>
    <s v="NULL"/>
    <s v="NULL"/>
    <s v="NULL"/>
    <s v="NULL"/>
    <s v="NULL"/>
    <s v="NULL"/>
    <s v="NULL"/>
    <x v="5"/>
    <s v="NULL"/>
    <s v="NULL"/>
    <s v="NULL"/>
    <s v="NULL"/>
    <s v="NULL"/>
    <s v="NULL"/>
    <s v="NULL"/>
    <s v="NULL"/>
    <s v="NULL"/>
    <s v="NULL"/>
    <s v="NULL"/>
    <s v="NULL"/>
  </r>
  <r>
    <s v="Ofsted Webpage"/>
    <n v="1247994"/>
    <n v="10027453"/>
    <s v="London Professional College Ltd"/>
    <x v="1"/>
    <s v="Independent learning providers (including employer providers)"/>
    <s v="Southend on Sea"/>
    <s v="East of England"/>
    <s v="East of England"/>
    <s v="NULL"/>
    <s v="NULL"/>
    <s v="NULL"/>
    <s v="NULL"/>
    <s v="NULL"/>
    <s v="NULL"/>
    <s v="NULL"/>
    <x v="5"/>
    <s v="NULL"/>
    <s v="NULL"/>
    <s v="NULL"/>
    <s v="NULL"/>
    <s v="NULL"/>
    <s v="NULL"/>
    <s v="NULL"/>
    <s v="NULL"/>
    <s v="NULL"/>
    <s v="NULL"/>
    <s v="NULL"/>
    <s v="NULL"/>
  </r>
  <r>
    <s v="Ofsted Webpage"/>
    <n v="1247997"/>
    <n v="10037715"/>
    <s v="Barrett Bell Ltd"/>
    <x v="1"/>
    <s v="Independent learning providers (including employer providers)"/>
    <s v="Hertfordshire"/>
    <s v="East of England"/>
    <s v="East of England"/>
    <s v="NULL"/>
    <s v="NULL"/>
    <s v="NULL"/>
    <s v="NULL"/>
    <s v="NULL"/>
    <s v="NULL"/>
    <s v="NULL"/>
    <x v="5"/>
    <s v="NULL"/>
    <s v="NULL"/>
    <s v="NULL"/>
    <s v="NULL"/>
    <s v="NULL"/>
    <s v="NULL"/>
    <s v="NULL"/>
    <s v="NULL"/>
    <s v="NULL"/>
    <s v="NULL"/>
    <s v="NULL"/>
    <s v="NULL"/>
  </r>
  <r>
    <s v="Ofsted Webpage"/>
    <n v="1247998"/>
    <n v="10038501"/>
    <s v="N D A FOUNDATION LIMITED"/>
    <x v="1"/>
    <s v="Independent learning providers (including employer providers)"/>
    <s v="Swindon"/>
    <s v="South West"/>
    <s v="South West"/>
    <s v="NULL"/>
    <s v="NULL"/>
    <s v="NULL"/>
    <s v="NULL"/>
    <s v="NULL"/>
    <s v="NULL"/>
    <s v="NULL"/>
    <x v="5"/>
    <s v="NULL"/>
    <s v="NULL"/>
    <s v="NULL"/>
    <s v="NULL"/>
    <s v="NULL"/>
    <s v="NULL"/>
    <s v="NULL"/>
    <s v="NULL"/>
    <s v="NULL"/>
    <s v="NULL"/>
    <s v="NULL"/>
    <s v="NULL"/>
  </r>
  <r>
    <s v="Ofsted Webpage"/>
    <n v="1248000"/>
    <n v="10023705"/>
    <s v="Best Practice Training &amp; Development Limited"/>
    <x v="1"/>
    <s v="Independent learning providers (including employer providers)"/>
    <s v="Hertfordshire"/>
    <s v="East of England"/>
    <s v="East of England"/>
    <s v="NULL"/>
    <s v="NULL"/>
    <s v="NULL"/>
    <s v="NULL"/>
    <s v="NULL"/>
    <s v="NULL"/>
    <s v="NULL"/>
    <x v="5"/>
    <s v="NULL"/>
    <s v="NULL"/>
    <s v="NULL"/>
    <s v="NULL"/>
    <s v="NULL"/>
    <s v="NULL"/>
    <s v="NULL"/>
    <s v="NULL"/>
    <s v="NULL"/>
    <s v="NULL"/>
    <s v="NULL"/>
    <s v="NULL"/>
  </r>
  <r>
    <s v="Ofsted Webpage"/>
    <n v="1248003"/>
    <n v="10042437"/>
    <s v="North West Skills Academy Limited"/>
    <x v="1"/>
    <s v="Independent learning providers (including employer providers)"/>
    <s v="Lancashire"/>
    <s v="North West"/>
    <s v="North West"/>
    <s v="NULL"/>
    <s v="NULL"/>
    <s v="NULL"/>
    <s v="NULL"/>
    <s v="NULL"/>
    <s v="NULL"/>
    <s v="NULL"/>
    <x v="5"/>
    <s v="NULL"/>
    <s v="NULL"/>
    <s v="NULL"/>
    <s v="NULL"/>
    <s v="NULL"/>
    <s v="NULL"/>
    <s v="NULL"/>
    <s v="NULL"/>
    <s v="NULL"/>
    <s v="NULL"/>
    <s v="NULL"/>
    <s v="NULL"/>
  </r>
  <r>
    <s v="Ofsted Webpage"/>
    <n v="1248004"/>
    <n v="10041311"/>
    <s v="Chic Beauty Academy Ltd"/>
    <x v="1"/>
    <s v="Independent learning providers (including employer providers)"/>
    <s v="Middlesbrough"/>
    <s v="North East"/>
    <s v="North East, Yorkshire and the Humber"/>
    <s v="NULL"/>
    <s v="NULL"/>
    <s v="NULL"/>
    <s v="NULL"/>
    <s v="NULL"/>
    <s v="NULL"/>
    <s v="NULL"/>
    <x v="5"/>
    <s v="NULL"/>
    <s v="NULL"/>
    <s v="NULL"/>
    <s v="NULL"/>
    <s v="NULL"/>
    <s v="NULL"/>
    <s v="NULL"/>
    <s v="NULL"/>
    <s v="NULL"/>
    <s v="NULL"/>
    <s v="NULL"/>
    <s v="NULL"/>
  </r>
  <r>
    <s v="Ofsted Webpage"/>
    <n v="1248007"/>
    <n v="10005094"/>
    <s v="Phoenix Training Services (midlands) Limited"/>
    <x v="1"/>
    <s v="Independent learning providers (including employer providers)"/>
    <s v="Birmingham"/>
    <s v="West Midlands"/>
    <s v="West Midlands"/>
    <s v="NULL"/>
    <s v="NULL"/>
    <s v="NULL"/>
    <s v="NULL"/>
    <s v="NULL"/>
    <s v="NULL"/>
    <s v="NULL"/>
    <x v="5"/>
    <s v="NULL"/>
    <s v="NULL"/>
    <s v="NULL"/>
    <s v="NULL"/>
    <s v="NULL"/>
    <s v="NULL"/>
    <s v="NULL"/>
    <s v="NULL"/>
    <s v="NULL"/>
    <s v="NULL"/>
    <s v="NULL"/>
    <s v="NULL"/>
  </r>
  <r>
    <s v="Ofsted Webpage"/>
    <n v="1248008"/>
    <n v="10036585"/>
    <s v="Civil Ceremonies Limited"/>
    <x v="1"/>
    <s v="Independent learning providers (including employer providers)"/>
    <s v="Northamptonshire"/>
    <s v="East Midlands"/>
    <s v="East Midlands"/>
    <s v="NULL"/>
    <s v="NULL"/>
    <s v="NULL"/>
    <s v="NULL"/>
    <s v="NULL"/>
    <s v="NULL"/>
    <s v="NULL"/>
    <x v="5"/>
    <s v="NULL"/>
    <s v="NULL"/>
    <s v="NULL"/>
    <s v="NULL"/>
    <s v="NULL"/>
    <s v="NULL"/>
    <s v="NULL"/>
    <s v="NULL"/>
    <s v="NULL"/>
    <s v="NULL"/>
    <s v="NULL"/>
    <s v="NULL"/>
  </r>
  <r>
    <s v="Ofsted Webpage"/>
    <n v="1248012"/>
    <n v="10028938"/>
    <s v="Profile Development And Training Limited"/>
    <x v="1"/>
    <s v="Independent learning providers (including employer providers)"/>
    <s v="Kent"/>
    <s v="South East"/>
    <s v="South East"/>
    <s v="NULL"/>
    <s v="NULL"/>
    <s v="NULL"/>
    <s v="NULL"/>
    <s v="NULL"/>
    <s v="NULL"/>
    <s v="NULL"/>
    <x v="5"/>
    <s v="NULL"/>
    <s v="NULL"/>
    <s v="NULL"/>
    <s v="NULL"/>
    <s v="NULL"/>
    <s v="NULL"/>
    <s v="NULL"/>
    <s v="NULL"/>
    <s v="NULL"/>
    <s v="NULL"/>
    <s v="NULL"/>
    <s v="NULL"/>
  </r>
  <r>
    <s v="Ofsted Webpage"/>
    <n v="1248014"/>
    <n v="10020068"/>
    <s v="Community Training Portal Limited"/>
    <x v="1"/>
    <s v="Independent learning providers (including employer providers)"/>
    <s v="Luton"/>
    <s v="East of England"/>
    <s v="East of England"/>
    <s v="NULL"/>
    <s v="NULL"/>
    <s v="NULL"/>
    <s v="NULL"/>
    <s v="NULL"/>
    <s v="NULL"/>
    <s v="NULL"/>
    <x v="5"/>
    <s v="NULL"/>
    <s v="NULL"/>
    <s v="NULL"/>
    <s v="NULL"/>
    <s v="NULL"/>
    <s v="NULL"/>
    <s v="NULL"/>
    <s v="NULL"/>
    <s v="NULL"/>
    <s v="NULL"/>
    <s v="NULL"/>
    <s v="NULL"/>
  </r>
  <r>
    <s v="Ofsted Webpage"/>
    <n v="1248015"/>
    <n v="10036134"/>
    <s v="Qts-Global Ltd"/>
    <x v="1"/>
    <s v="Independent learning providers (including employer providers)"/>
    <s v="North Yorkshire"/>
    <s v="Yorkshire and The Humber"/>
    <s v="North East, Yorkshire and the Humber"/>
    <s v="NULL"/>
    <s v="NULL"/>
    <s v="NULL"/>
    <s v="NULL"/>
    <s v="NULL"/>
    <s v="NULL"/>
    <s v="NULL"/>
    <x v="5"/>
    <s v="NULL"/>
    <s v="NULL"/>
    <s v="NULL"/>
    <s v="NULL"/>
    <s v="NULL"/>
    <s v="NULL"/>
    <s v="NULL"/>
    <s v="NULL"/>
    <s v="NULL"/>
    <s v="NULL"/>
    <s v="NULL"/>
    <s v="NULL"/>
  </r>
  <r>
    <s v="Ofsted Webpage"/>
    <n v="1248018"/>
    <n v="10031424"/>
    <s v="Envisage"/>
    <x v="1"/>
    <s v="Independent learning providers (including employer providers)"/>
    <s v="Derbyshire"/>
    <s v="East Midlands"/>
    <s v="East Midlands"/>
    <s v="NULL"/>
    <s v="NULL"/>
    <s v="NULL"/>
    <s v="NULL"/>
    <s v="NULL"/>
    <s v="NULL"/>
    <s v="NULL"/>
    <x v="5"/>
    <s v="NULL"/>
    <s v="NULL"/>
    <s v="NULL"/>
    <s v="NULL"/>
    <s v="NULL"/>
    <s v="NULL"/>
    <s v="NULL"/>
    <s v="NULL"/>
    <s v="NULL"/>
    <s v="NULL"/>
    <s v="NULL"/>
    <s v="NULL"/>
  </r>
  <r>
    <s v="Ofsted Webpage"/>
    <n v="1248021"/>
    <n v="10035171"/>
    <s v="The London Hairdressing Apprenticeship Academy Limited"/>
    <x v="1"/>
    <s v="Independent learning providers (including employer providers)"/>
    <s v="Hertfordshire"/>
    <s v="East of England"/>
    <s v="East of England"/>
    <s v="NULL"/>
    <s v="NULL"/>
    <s v="NULL"/>
    <s v="NULL"/>
    <s v="NULL"/>
    <s v="NULL"/>
    <s v="NULL"/>
    <x v="5"/>
    <s v="NULL"/>
    <s v="NULL"/>
    <s v="NULL"/>
    <s v="NULL"/>
    <s v="NULL"/>
    <s v="NULL"/>
    <s v="NULL"/>
    <s v="NULL"/>
    <s v="NULL"/>
    <s v="NULL"/>
    <s v="NULL"/>
    <s v="NULL"/>
  </r>
  <r>
    <s v="Ofsted Webpage"/>
    <n v="1248024"/>
    <n v="10007484"/>
    <s v="The White Rose School Of Beauty And Complementary Therapies Limited"/>
    <x v="1"/>
    <s v="Independent learning providers (including employer providers)"/>
    <s v="Somerset"/>
    <s v="South West"/>
    <s v="South West"/>
    <s v="NULL"/>
    <s v="NULL"/>
    <s v="NULL"/>
    <s v="NULL"/>
    <s v="NULL"/>
    <s v="NULL"/>
    <s v="NULL"/>
    <x v="5"/>
    <s v="NULL"/>
    <s v="NULL"/>
    <s v="NULL"/>
    <s v="NULL"/>
    <s v="NULL"/>
    <s v="NULL"/>
    <s v="NULL"/>
    <s v="NULL"/>
    <s v="NULL"/>
    <s v="NULL"/>
    <s v="NULL"/>
    <s v="NULL"/>
  </r>
  <r>
    <s v="Ofsted Webpage"/>
    <n v="1248026"/>
    <n v="10029985"/>
    <s v="Training 4 U Services (UK) Ltd"/>
    <x v="1"/>
    <s v="Independent learning providers (including employer providers)"/>
    <s v="Luton"/>
    <s v="East of England"/>
    <s v="East of England"/>
    <s v="NULL"/>
    <s v="NULL"/>
    <s v="NULL"/>
    <s v="NULL"/>
    <s v="NULL"/>
    <s v="NULL"/>
    <s v="NULL"/>
    <x v="5"/>
    <s v="NULL"/>
    <s v="NULL"/>
    <s v="NULL"/>
    <s v="NULL"/>
    <s v="NULL"/>
    <s v="NULL"/>
    <s v="NULL"/>
    <s v="NULL"/>
    <s v="NULL"/>
    <s v="NULL"/>
    <s v="NULL"/>
    <s v="NULL"/>
  </r>
  <r>
    <s v="Ofsted Webpage"/>
    <n v="1248028"/>
    <n v="10032936"/>
    <s v="EMD UK Limited"/>
    <x v="1"/>
    <s v="Independent learning providers (including employer providers)"/>
    <s v="Leeds"/>
    <s v="Yorkshire and The Humber"/>
    <s v="North East, Yorkshire and the Humber"/>
    <s v="NULL"/>
    <s v="NULL"/>
    <s v="NULL"/>
    <s v="NULL"/>
    <s v="NULL"/>
    <s v="NULL"/>
    <s v="NULL"/>
    <x v="5"/>
    <s v="NULL"/>
    <s v="NULL"/>
    <s v="NULL"/>
    <s v="NULL"/>
    <s v="NULL"/>
    <s v="NULL"/>
    <s v="NULL"/>
    <s v="NULL"/>
    <s v="NULL"/>
    <s v="NULL"/>
    <s v="NULL"/>
    <s v="NULL"/>
  </r>
  <r>
    <s v="Ofsted Webpage"/>
    <n v="1248029"/>
    <n v="10039668"/>
    <s v="Umbrella Training And Employment Solutions Limited"/>
    <x v="1"/>
    <s v="Independent learning providers (including employer providers)"/>
    <s v="Medway"/>
    <s v="South East"/>
    <s v="South East"/>
    <s v="NULL"/>
    <s v="NULL"/>
    <s v="NULL"/>
    <s v="NULL"/>
    <s v="NULL"/>
    <s v="NULL"/>
    <s v="NULL"/>
    <x v="5"/>
    <s v="NULL"/>
    <s v="NULL"/>
    <s v="NULL"/>
    <s v="NULL"/>
    <s v="NULL"/>
    <s v="NULL"/>
    <s v="NULL"/>
    <s v="NULL"/>
    <s v="NULL"/>
    <s v="NULL"/>
    <s v="NULL"/>
    <s v="NULL"/>
  </r>
  <r>
    <s v="Ofsted Webpage"/>
    <n v="1248048"/>
    <n v="10019276"/>
    <s v="Eurosource Solutions Limited"/>
    <x v="1"/>
    <s v="Independent learning providers (including employer providers)"/>
    <s v="Liverpool"/>
    <s v="North West"/>
    <s v="North West"/>
    <s v="NULL"/>
    <s v="NULL"/>
    <s v="NULL"/>
    <s v="NULL"/>
    <s v="NULL"/>
    <s v="NULL"/>
    <s v="NULL"/>
    <x v="5"/>
    <s v="NULL"/>
    <s v="NULL"/>
    <s v="NULL"/>
    <s v="NULL"/>
    <s v="NULL"/>
    <s v="NULL"/>
    <s v="NULL"/>
    <s v="NULL"/>
    <s v="NULL"/>
    <s v="NULL"/>
    <s v="NULL"/>
    <s v="NULL"/>
  </r>
  <r>
    <s v="Ofsted Webpage"/>
    <n v="1248054"/>
    <n v="10024806"/>
    <s v="Access Skills Ltd"/>
    <x v="1"/>
    <s v="Independent learning providers (including employer providers)"/>
    <s v="Birmingham"/>
    <s v="West Midlands"/>
    <s v="West Midlands"/>
    <s v="NULL"/>
    <s v="NULL"/>
    <s v="NULL"/>
    <s v="NULL"/>
    <s v="NULL"/>
    <s v="NULL"/>
    <s v="NULL"/>
    <x v="5"/>
    <s v="NULL"/>
    <s v="NULL"/>
    <s v="NULL"/>
    <s v="NULL"/>
    <s v="NULL"/>
    <s v="NULL"/>
    <s v="NULL"/>
    <s v="NULL"/>
    <s v="NULL"/>
    <s v="NULL"/>
    <s v="NULL"/>
    <s v="NULL"/>
  </r>
  <r>
    <s v="Ofsted Webpage"/>
    <n v="1248058"/>
    <n v="10048409"/>
    <s v="BRS Education Limited"/>
    <x v="1"/>
    <s v="Independent learning providers (including employer providers)"/>
    <s v="Cambridgeshire"/>
    <s v="East of England"/>
    <s v="East of England"/>
    <s v="NULL"/>
    <s v="NULL"/>
    <s v="NULL"/>
    <s v="NULL"/>
    <s v="NULL"/>
    <s v="NULL"/>
    <s v="NULL"/>
    <x v="5"/>
    <s v="NULL"/>
    <s v="NULL"/>
    <s v="NULL"/>
    <s v="NULL"/>
    <s v="NULL"/>
    <s v="NULL"/>
    <s v="NULL"/>
    <s v="NULL"/>
    <s v="NULL"/>
    <s v="NULL"/>
    <s v="NULL"/>
    <s v="NULL"/>
  </r>
  <r>
    <s v="Ofsted Webpage"/>
    <n v="1248225"/>
    <n v="10014226"/>
    <s v="CVQO Ltd"/>
    <x v="3"/>
    <s v="Community learning and skills providers"/>
    <s v="Surrey"/>
    <s v="South East"/>
    <s v="South East"/>
    <s v="NULL"/>
    <s v="NULL"/>
    <n v="10026082"/>
    <s v="Community Learning and Skills - Not for profit organisation - Full"/>
    <d v="2017-05-08T00:00:00"/>
    <d v="2017-05-11T00:00:00"/>
    <d v="2017-06-09T00:00:00"/>
    <x v="2"/>
    <n v="3"/>
    <n v="3"/>
    <n v="3"/>
    <n v="3"/>
    <s v="NULL"/>
    <s v="NULL"/>
    <s v="NULL"/>
    <s v="NULL"/>
    <s v="NULL"/>
    <s v="NULL"/>
    <s v="NULL"/>
    <s v="Not Applicable"/>
  </r>
  <r>
    <s v="Ofsted Webpage"/>
    <n v="1248860"/>
    <n v="10036264"/>
    <s v="West London Mental NHS Trust"/>
    <x v="1"/>
    <s v="Independent learning providers (including employer providers)"/>
    <s v="Ealing"/>
    <s v="London"/>
    <s v="London"/>
    <s v="NULL"/>
    <s v="NULL"/>
    <s v="NULL"/>
    <s v="NULL"/>
    <s v="NULL"/>
    <s v="NULL"/>
    <s v="NULL"/>
    <x v="5"/>
    <s v="NULL"/>
    <s v="NULL"/>
    <s v="NULL"/>
    <s v="NULL"/>
    <s v="NULL"/>
    <s v="NULL"/>
    <s v="NULL"/>
    <s v="NULL"/>
    <s v="NULL"/>
    <s v="NULL"/>
    <s v="NULL"/>
    <s v="NULL"/>
  </r>
  <r>
    <s v="Ofsted Webpage"/>
    <n v="1248861"/>
    <n v="10041548"/>
    <s v="Southern Health National Health Service Foundation Trust"/>
    <x v="1"/>
    <s v="Independent learning providers (including employer providers)"/>
    <s v="Hampshire"/>
    <s v="South East"/>
    <s v="South East"/>
    <s v="NULL"/>
    <s v="NULL"/>
    <s v="NULL"/>
    <s v="NULL"/>
    <s v="NULL"/>
    <s v="NULL"/>
    <s v="NULL"/>
    <x v="5"/>
    <s v="NULL"/>
    <s v="NULL"/>
    <s v="NULL"/>
    <s v="NULL"/>
    <s v="NULL"/>
    <s v="NULL"/>
    <s v="NULL"/>
    <s v="NULL"/>
    <s v="NULL"/>
    <s v="NULL"/>
    <s v="NULL"/>
    <s v="NULL"/>
  </r>
  <r>
    <s v="Ofsted Webpage"/>
    <n v="1270740"/>
    <n v="10000147"/>
    <s v="Adult Training Network Limited"/>
    <x v="1"/>
    <s v="Independent learning providers (including employer providers)"/>
    <s v="Ealing"/>
    <s v="London"/>
    <s v="London"/>
    <s v="NULL"/>
    <s v="NULL"/>
    <s v="NULL"/>
    <s v="NULL"/>
    <s v="NULL"/>
    <s v="NULL"/>
    <s v="NULL"/>
    <x v="5"/>
    <s v="NULL"/>
    <s v="NULL"/>
    <s v="NULL"/>
    <s v="NULL"/>
    <s v="NULL"/>
    <s v="NULL"/>
    <s v="NULL"/>
    <s v="NULL"/>
    <s v="NULL"/>
    <s v="NULL"/>
    <s v="NULL"/>
    <s v="NULL"/>
  </r>
  <r>
    <s v="Ofsted Webpage"/>
    <n v="1270745"/>
    <n v="10001013"/>
    <s v="Business Advice Direct Limited"/>
    <x v="1"/>
    <s v="Independent learning providers (including employer providers)"/>
    <s v="North East Lincolnshire"/>
    <s v="Yorkshire and The Humber"/>
    <s v="North East, Yorkshire and the Humber"/>
    <s v="NULL"/>
    <s v="NULL"/>
    <s v="NULL"/>
    <s v="NULL"/>
    <s v="NULL"/>
    <s v="NULL"/>
    <s v="NULL"/>
    <x v="5"/>
    <s v="NULL"/>
    <s v="NULL"/>
    <s v="NULL"/>
    <s v="NULL"/>
    <s v="NULL"/>
    <s v="NULL"/>
    <s v="NULL"/>
    <s v="NULL"/>
    <s v="NULL"/>
    <s v="NULL"/>
    <s v="NULL"/>
    <s v="NULL"/>
  </r>
  <r>
    <s v="Ofsted Webpage"/>
    <n v="1270746"/>
    <n v="10002836"/>
    <s v="Hct Group"/>
    <x v="1"/>
    <s v="Independent learning providers (including employer providers)"/>
    <s v="Hackney"/>
    <s v="London"/>
    <s v="London"/>
    <s v="NULL"/>
    <s v="NULL"/>
    <s v="NULL"/>
    <s v="NULL"/>
    <s v="NULL"/>
    <s v="NULL"/>
    <s v="NULL"/>
    <x v="5"/>
    <s v="NULL"/>
    <s v="NULL"/>
    <s v="NULL"/>
    <s v="NULL"/>
    <s v="NULL"/>
    <s v="NULL"/>
    <s v="NULL"/>
    <s v="NULL"/>
    <s v="NULL"/>
    <s v="NULL"/>
    <s v="NULL"/>
    <s v="NULL"/>
  </r>
  <r>
    <s v="Ofsted Webpage"/>
    <n v="1270747"/>
    <n v="10005192"/>
    <s v="Premier Training International Limited"/>
    <x v="1"/>
    <s v="Independent learning providers (including employer providers)"/>
    <s v="Cambridgeshire"/>
    <s v="East of England"/>
    <s v="East of England"/>
    <s v="NULL"/>
    <s v="NULL"/>
    <s v="NULL"/>
    <s v="NULL"/>
    <s v="NULL"/>
    <s v="NULL"/>
    <s v="NULL"/>
    <x v="5"/>
    <s v="NULL"/>
    <s v="NULL"/>
    <s v="NULL"/>
    <s v="NULL"/>
    <s v="NULL"/>
    <s v="NULL"/>
    <s v="NULL"/>
    <s v="NULL"/>
    <s v="NULL"/>
    <s v="NULL"/>
    <s v="NULL"/>
    <s v="NULL"/>
  </r>
  <r>
    <s v="Ofsted Webpage"/>
    <n v="1270749"/>
    <n v="10005769"/>
    <s v="Seymour Davies Ltd"/>
    <x v="1"/>
    <s v="Independent learning providers (including employer providers)"/>
    <s v="Cambridgeshire"/>
    <s v="East of England"/>
    <s v="East of England"/>
    <s v="NULL"/>
    <s v="NULL"/>
    <s v="NULL"/>
    <s v="NULL"/>
    <s v="NULL"/>
    <s v="NULL"/>
    <s v="NULL"/>
    <x v="5"/>
    <s v="NULL"/>
    <s v="NULL"/>
    <s v="NULL"/>
    <s v="NULL"/>
    <s v="NULL"/>
    <s v="NULL"/>
    <s v="NULL"/>
    <s v="NULL"/>
    <s v="NULL"/>
    <s v="NULL"/>
    <s v="NULL"/>
    <s v="NULL"/>
  </r>
  <r>
    <s v="Ofsted Webpage"/>
    <n v="1270752"/>
    <n v="10008229"/>
    <s v="Ethames Graduate School Limited"/>
    <x v="1"/>
    <s v="Independent learning providers (including employer providers)"/>
    <s v="Redbridge"/>
    <s v="London"/>
    <s v="London"/>
    <s v="NULL"/>
    <s v="NULL"/>
    <s v="NULL"/>
    <s v="NULL"/>
    <s v="NULL"/>
    <s v="NULL"/>
    <s v="NULL"/>
    <x v="5"/>
    <s v="NULL"/>
    <s v="NULL"/>
    <s v="NULL"/>
    <s v="NULL"/>
    <s v="NULL"/>
    <s v="NULL"/>
    <s v="NULL"/>
    <s v="NULL"/>
    <s v="NULL"/>
    <s v="NULL"/>
    <s v="NULL"/>
    <s v="NULL"/>
  </r>
  <r>
    <s v="Ofsted Webpage"/>
    <n v="1270753"/>
    <n v="10008893"/>
    <s v="Poplar Housing And Regeneration Community Association Limited"/>
    <x v="1"/>
    <s v="Independent learning providers (including employer providers)"/>
    <s v="Tower Hamlets"/>
    <s v="London"/>
    <s v="London"/>
    <s v="NULL"/>
    <s v="NULL"/>
    <s v="NULL"/>
    <s v="NULL"/>
    <s v="NULL"/>
    <s v="NULL"/>
    <s v="NULL"/>
    <x v="5"/>
    <s v="NULL"/>
    <s v="NULL"/>
    <s v="NULL"/>
    <s v="NULL"/>
    <s v="NULL"/>
    <s v="NULL"/>
    <s v="NULL"/>
    <s v="NULL"/>
    <s v="NULL"/>
    <s v="NULL"/>
    <s v="NULL"/>
    <s v="NULL"/>
  </r>
  <r>
    <s v="Ofsted Webpage"/>
    <n v="1270754"/>
    <n v="10010025"/>
    <s v="United Response"/>
    <x v="6"/>
    <s v="Independent specialist colleges"/>
    <s v="Merton"/>
    <s v="London"/>
    <s v="London"/>
    <s v="NULL"/>
    <s v="NULL"/>
    <s v="NULL"/>
    <s v="NULL"/>
    <s v="NULL"/>
    <s v="NULL"/>
    <s v="NULL"/>
    <x v="5"/>
    <s v="NULL"/>
    <s v="NULL"/>
    <s v="NULL"/>
    <s v="NULL"/>
    <s v="NULL"/>
    <s v="NULL"/>
    <s v="NULL"/>
    <s v="NULL"/>
    <s v="NULL"/>
    <s v="NULL"/>
    <s v="NULL"/>
    <s v="NULL"/>
  </r>
  <r>
    <s v="Ofsted Webpage"/>
    <n v="1270755"/>
    <n v="10012179"/>
    <s v="Phx Training Limited"/>
    <x v="1"/>
    <s v="Independent learning providers (including employer providers)"/>
    <s v="Cumbria"/>
    <s v="North West"/>
    <s v="North West"/>
    <s v="NULL"/>
    <s v="NULL"/>
    <s v="NULL"/>
    <s v="NULL"/>
    <s v="NULL"/>
    <s v="NULL"/>
    <s v="NULL"/>
    <x v="5"/>
    <s v="NULL"/>
    <s v="NULL"/>
    <s v="NULL"/>
    <s v="NULL"/>
    <s v="NULL"/>
    <s v="NULL"/>
    <s v="NULL"/>
    <s v="NULL"/>
    <s v="NULL"/>
    <s v="NULL"/>
    <s v="NULL"/>
    <s v="NULL"/>
  </r>
  <r>
    <s v="Ofsted Webpage"/>
    <n v="1270756"/>
    <n v="10013486"/>
    <s v="Numidia Education And Training Limited"/>
    <x v="1"/>
    <s v="Independent learning providers (including employer providers)"/>
    <s v="Coventry"/>
    <s v="West Midlands"/>
    <s v="West Midlands"/>
    <s v="NULL"/>
    <s v="NULL"/>
    <s v="NULL"/>
    <s v="NULL"/>
    <s v="NULL"/>
    <s v="NULL"/>
    <s v="NULL"/>
    <x v="5"/>
    <s v="NULL"/>
    <s v="NULL"/>
    <s v="NULL"/>
    <s v="NULL"/>
    <s v="NULL"/>
    <s v="NULL"/>
    <s v="NULL"/>
    <s v="NULL"/>
    <s v="NULL"/>
    <s v="NULL"/>
    <s v="NULL"/>
    <s v="NULL"/>
  </r>
  <r>
    <s v="Ofsted Webpage"/>
    <n v="1270757"/>
    <n v="10015932"/>
    <s v="Business Training Ventures Limited"/>
    <x v="1"/>
    <s v="Independent learning providers (including employer providers)"/>
    <s v="Wakefield"/>
    <s v="Yorkshire and The Humber"/>
    <s v="North East, Yorkshire and the Humber"/>
    <s v="NULL"/>
    <s v="NULL"/>
    <s v="NULL"/>
    <s v="NULL"/>
    <s v="NULL"/>
    <s v="NULL"/>
    <s v="NULL"/>
    <x v="5"/>
    <s v="NULL"/>
    <s v="NULL"/>
    <s v="NULL"/>
    <s v="NULL"/>
    <s v="NULL"/>
    <s v="NULL"/>
    <s v="NULL"/>
    <s v="NULL"/>
    <s v="NULL"/>
    <s v="NULL"/>
    <s v="NULL"/>
    <s v="NULL"/>
  </r>
  <r>
    <s v="Ofsted Webpage"/>
    <n v="1270851"/>
    <n v="10019217"/>
    <s v="Sps Training Solutions Limited"/>
    <x v="1"/>
    <s v="Independent learning providers (including employer providers)"/>
    <s v="Hertfordshire"/>
    <s v="East of England"/>
    <s v="East of England"/>
    <s v="NULL"/>
    <s v="NULL"/>
    <s v="NULL"/>
    <s v="NULL"/>
    <s v="NULL"/>
    <s v="NULL"/>
    <s v="NULL"/>
    <x v="5"/>
    <s v="NULL"/>
    <s v="NULL"/>
    <s v="NULL"/>
    <s v="NULL"/>
    <s v="NULL"/>
    <s v="NULL"/>
    <s v="NULL"/>
    <s v="NULL"/>
    <s v="NULL"/>
    <s v="NULL"/>
    <s v="NULL"/>
    <s v="NULL"/>
  </r>
  <r>
    <s v="Ofsted Webpage"/>
    <n v="1270852"/>
    <n v="10019304"/>
    <s v="Ebenezer Community Learning Centre"/>
    <x v="1"/>
    <s v="Independent learning providers (including employer providers)"/>
    <s v="Haringey"/>
    <s v="London"/>
    <s v="London"/>
    <s v="NULL"/>
    <s v="NULL"/>
    <s v="NULL"/>
    <s v="NULL"/>
    <s v="NULL"/>
    <s v="NULL"/>
    <s v="NULL"/>
    <x v="5"/>
    <s v="NULL"/>
    <s v="NULL"/>
    <s v="NULL"/>
    <s v="NULL"/>
    <s v="NULL"/>
    <s v="NULL"/>
    <s v="NULL"/>
    <s v="NULL"/>
    <s v="NULL"/>
    <s v="NULL"/>
    <s v="NULL"/>
    <s v="NULL"/>
  </r>
  <r>
    <s v="Ofsted Webpage"/>
    <n v="1270853"/>
    <n v="10020884"/>
    <s v="The Development Manager Ltd"/>
    <x v="1"/>
    <s v="Independent learning providers (including employer providers)"/>
    <s v="Worcestershire"/>
    <s v="West Midlands"/>
    <s v="West Midlands"/>
    <s v="NULL"/>
    <s v="NULL"/>
    <s v="NULL"/>
    <s v="NULL"/>
    <s v="NULL"/>
    <s v="NULL"/>
    <s v="NULL"/>
    <x v="5"/>
    <s v="NULL"/>
    <s v="NULL"/>
    <s v="NULL"/>
    <s v="NULL"/>
    <s v="NULL"/>
    <s v="NULL"/>
    <s v="NULL"/>
    <s v="NULL"/>
    <s v="NULL"/>
    <s v="NULL"/>
    <s v="NULL"/>
    <s v="NULL"/>
  </r>
  <r>
    <s v="Ofsted Webpage"/>
    <n v="1270854"/>
    <n v="10021278"/>
    <s v="Highfields Community Association"/>
    <x v="1"/>
    <s v="Independent learning providers (including employer providers)"/>
    <s v="Leicester"/>
    <s v="East Midlands"/>
    <s v="East Midlands"/>
    <s v="NULL"/>
    <s v="NULL"/>
    <s v="NULL"/>
    <s v="NULL"/>
    <s v="NULL"/>
    <s v="NULL"/>
    <s v="NULL"/>
    <x v="5"/>
    <s v="NULL"/>
    <s v="NULL"/>
    <s v="NULL"/>
    <s v="NULL"/>
    <s v="NULL"/>
    <s v="NULL"/>
    <s v="NULL"/>
    <s v="NULL"/>
    <s v="NULL"/>
    <s v="NULL"/>
    <s v="NULL"/>
    <s v="NULL"/>
  </r>
  <r>
    <s v="Ofsted Webpage"/>
    <n v="1270855"/>
    <n v="10021314"/>
    <s v="The Federation Of Groundwork Trusts"/>
    <x v="1"/>
    <s v="Independent learning providers (including employer providers)"/>
    <s v="Birmingham"/>
    <s v="West Midlands"/>
    <s v="West Midlands"/>
    <s v="NULL"/>
    <s v="NULL"/>
    <s v="NULL"/>
    <s v="NULL"/>
    <s v="NULL"/>
    <s v="NULL"/>
    <s v="NULL"/>
    <x v="5"/>
    <s v="NULL"/>
    <s v="NULL"/>
    <s v="NULL"/>
    <s v="NULL"/>
    <s v="NULL"/>
    <s v="NULL"/>
    <s v="NULL"/>
    <s v="NULL"/>
    <s v="NULL"/>
    <s v="NULL"/>
    <s v="NULL"/>
    <s v="NULL"/>
  </r>
  <r>
    <s v="Ofsted Webpage"/>
    <n v="1270856"/>
    <n v="10021539"/>
    <s v="Pet-Xi Training Limited"/>
    <x v="1"/>
    <s v="Independent learning providers (including employer providers)"/>
    <s v="Coventry"/>
    <s v="West Midlands"/>
    <s v="West Midlands"/>
    <s v="NULL"/>
    <s v="NULL"/>
    <s v="NULL"/>
    <s v="NULL"/>
    <s v="NULL"/>
    <s v="NULL"/>
    <s v="NULL"/>
    <x v="5"/>
    <s v="NULL"/>
    <s v="NULL"/>
    <s v="NULL"/>
    <s v="NULL"/>
    <s v="NULL"/>
    <s v="NULL"/>
    <s v="NULL"/>
    <s v="NULL"/>
    <s v="NULL"/>
    <s v="NULL"/>
    <s v="NULL"/>
    <s v="NULL"/>
  </r>
  <r>
    <s v="Ofsted Webpage"/>
    <n v="1270858"/>
    <n v="10021563"/>
    <s v="Centrepoint Soho"/>
    <x v="1"/>
    <s v="Independent learning providers (including employer providers)"/>
    <s v="Tower Hamlets"/>
    <s v="London"/>
    <s v="London"/>
    <s v="NULL"/>
    <s v="NULL"/>
    <s v="NULL"/>
    <s v="NULL"/>
    <s v="NULL"/>
    <s v="NULL"/>
    <s v="NULL"/>
    <x v="5"/>
    <s v="NULL"/>
    <s v="NULL"/>
    <s v="NULL"/>
    <s v="NULL"/>
    <s v="NULL"/>
    <s v="NULL"/>
    <s v="NULL"/>
    <s v="NULL"/>
    <s v="NULL"/>
    <s v="NULL"/>
    <s v="NULL"/>
    <s v="NULL"/>
  </r>
  <r>
    <s v="Ofsted Webpage"/>
    <n v="1270859"/>
    <n v="10022410"/>
    <s v="Liral Veget Training And Recruitment Limited"/>
    <x v="1"/>
    <s v="Independent learning providers (including employer providers)"/>
    <s v="Southwark"/>
    <s v="London"/>
    <s v="London"/>
    <s v="NULL"/>
    <s v="NULL"/>
    <s v="NULL"/>
    <s v="NULL"/>
    <s v="NULL"/>
    <s v="NULL"/>
    <s v="NULL"/>
    <x v="5"/>
    <s v="NULL"/>
    <s v="NULL"/>
    <s v="NULL"/>
    <s v="NULL"/>
    <s v="NULL"/>
    <s v="NULL"/>
    <s v="NULL"/>
    <s v="NULL"/>
    <s v="NULL"/>
    <s v="NULL"/>
    <s v="NULL"/>
    <s v="NULL"/>
  </r>
  <r>
    <s v="Ofsted Webpage"/>
    <n v="1270860"/>
    <n v="10022489"/>
    <s v="Street League"/>
    <x v="1"/>
    <s v="Independent learning providers (including employer providers)"/>
    <s v="Manchester"/>
    <s v="North West"/>
    <s v="North West"/>
    <s v="NULL"/>
    <s v="NULL"/>
    <s v="NULL"/>
    <s v="NULL"/>
    <s v="NULL"/>
    <s v="NULL"/>
    <s v="NULL"/>
    <x v="5"/>
    <s v="NULL"/>
    <s v="NULL"/>
    <s v="NULL"/>
    <s v="NULL"/>
    <s v="NULL"/>
    <s v="NULL"/>
    <s v="NULL"/>
    <s v="NULL"/>
    <s v="NULL"/>
    <s v="NULL"/>
    <s v="NULL"/>
    <s v="NULL"/>
  </r>
  <r>
    <s v="Ofsted Webpage"/>
    <n v="1270861"/>
    <n v="10023196"/>
    <s v="Go Train Limited"/>
    <x v="1"/>
    <s v="Independent learning providers (including employer providers)"/>
    <s v="Kent"/>
    <s v="South East"/>
    <s v="South East"/>
    <s v="NULL"/>
    <s v="NULL"/>
    <s v="NULL"/>
    <s v="NULL"/>
    <s v="NULL"/>
    <s v="NULL"/>
    <s v="NULL"/>
    <x v="5"/>
    <s v="NULL"/>
    <s v="NULL"/>
    <s v="NULL"/>
    <s v="NULL"/>
    <s v="NULL"/>
    <s v="NULL"/>
    <s v="NULL"/>
    <s v="NULL"/>
    <s v="NULL"/>
    <s v="NULL"/>
    <s v="NULL"/>
    <s v="NULL"/>
  </r>
  <r>
    <s v="Ofsted Webpage"/>
    <n v="1270862"/>
    <n v="10023434"/>
    <s v="London School Of Commerce &amp; It Limited"/>
    <x v="1"/>
    <s v="Independent learning providers (including employer providers)"/>
    <s v="Tower Hamlets"/>
    <s v="London"/>
    <s v="London"/>
    <s v="NULL"/>
    <s v="NULL"/>
    <s v="NULL"/>
    <s v="NULL"/>
    <s v="NULL"/>
    <s v="NULL"/>
    <s v="NULL"/>
    <x v="5"/>
    <s v="NULL"/>
    <s v="NULL"/>
    <s v="NULL"/>
    <s v="NULL"/>
    <s v="NULL"/>
    <s v="NULL"/>
    <s v="NULL"/>
    <s v="NULL"/>
    <s v="NULL"/>
    <s v="NULL"/>
    <s v="NULL"/>
    <s v="NULL"/>
  </r>
  <r>
    <s v="Ofsted Webpage"/>
    <n v="1270863"/>
    <n v="10024833"/>
    <s v="Ntg Training Ltd"/>
    <x v="1"/>
    <s v="Independent learning providers (including employer providers)"/>
    <s v="Cheshire West and Chester"/>
    <s v="North West"/>
    <s v="North West"/>
    <s v="NULL"/>
    <s v="NULL"/>
    <s v="NULL"/>
    <s v="NULL"/>
    <s v="NULL"/>
    <s v="NULL"/>
    <s v="NULL"/>
    <x v="5"/>
    <s v="NULL"/>
    <s v="NULL"/>
    <s v="NULL"/>
    <s v="NULL"/>
    <s v="NULL"/>
    <s v="NULL"/>
    <s v="NULL"/>
    <s v="NULL"/>
    <s v="NULL"/>
    <s v="NULL"/>
    <s v="NULL"/>
    <s v="NULL"/>
  </r>
  <r>
    <s v="Ofsted Webpage"/>
    <n v="1270864"/>
    <n v="10024836"/>
    <s v="Triage Central Limited"/>
    <x v="1"/>
    <s v="Independent learning providers (including employer providers)"/>
    <s v="Stirling"/>
    <s v="Scotland"/>
    <s v="Scotland"/>
    <s v="NULL"/>
    <s v="NULL"/>
    <s v="NULL"/>
    <s v="NULL"/>
    <s v="NULL"/>
    <s v="NULL"/>
    <s v="NULL"/>
    <x v="5"/>
    <s v="NULL"/>
    <s v="NULL"/>
    <s v="NULL"/>
    <s v="NULL"/>
    <s v="NULL"/>
    <s v="NULL"/>
    <s v="NULL"/>
    <s v="NULL"/>
    <s v="NULL"/>
    <s v="NULL"/>
    <s v="NULL"/>
    <s v="NULL"/>
  </r>
  <r>
    <s v="Ofsted Webpage"/>
    <n v="1270865"/>
    <n v="10025197"/>
    <s v="University Centre Quayside Limited"/>
    <x v="1"/>
    <s v="Independent learning providers (including employer providers)"/>
    <s v="Newcastle upon Tyne"/>
    <s v="North East"/>
    <s v="North East, Yorkshire and the Humber"/>
    <s v="NULL"/>
    <s v="NULL"/>
    <s v="NULL"/>
    <s v="NULL"/>
    <s v="NULL"/>
    <s v="NULL"/>
    <s v="NULL"/>
    <x v="5"/>
    <s v="NULL"/>
    <s v="NULL"/>
    <s v="NULL"/>
    <s v="NULL"/>
    <s v="NULL"/>
    <s v="NULL"/>
    <s v="NULL"/>
    <s v="NULL"/>
    <s v="NULL"/>
    <s v="NULL"/>
    <s v="NULL"/>
    <s v="NULL"/>
  </r>
  <r>
    <s v="Ofsted Webpage"/>
    <n v="1270866"/>
    <n v="10026650"/>
    <s v="N-Gaged Training &amp; Recruitment Limited"/>
    <x v="1"/>
    <s v="Independent learning providers (including employer providers)"/>
    <s v="Bristol"/>
    <s v="South West"/>
    <s v="South West"/>
    <s v="NULL"/>
    <s v="NULL"/>
    <s v="NULL"/>
    <s v="NULL"/>
    <s v="NULL"/>
    <s v="NULL"/>
    <s v="NULL"/>
    <x v="5"/>
    <s v="NULL"/>
    <s v="NULL"/>
    <s v="NULL"/>
    <s v="NULL"/>
    <s v="NULL"/>
    <s v="NULL"/>
    <s v="NULL"/>
    <s v="NULL"/>
    <s v="NULL"/>
    <s v="NULL"/>
    <s v="NULL"/>
    <s v="NULL"/>
  </r>
  <r>
    <s v="Ofsted Webpage"/>
    <n v="1270867"/>
    <n v="10027769"/>
    <s v="Promise Training Centre Limited"/>
    <x v="1"/>
    <s v="Independent learning providers (including employer providers)"/>
    <s v="Haringey"/>
    <s v="London"/>
    <s v="London"/>
    <s v="NULL"/>
    <s v="NULL"/>
    <s v="NULL"/>
    <s v="NULL"/>
    <s v="NULL"/>
    <s v="NULL"/>
    <s v="NULL"/>
    <x v="5"/>
    <s v="NULL"/>
    <s v="NULL"/>
    <s v="NULL"/>
    <s v="NULL"/>
    <s v="NULL"/>
    <s v="NULL"/>
    <s v="NULL"/>
    <s v="NULL"/>
    <s v="NULL"/>
    <s v="NULL"/>
    <s v="NULL"/>
    <s v="NULL"/>
  </r>
  <r>
    <s v="Ofsted Webpage"/>
    <n v="1270868"/>
    <n v="10028342"/>
    <s v="The Finance And Management Business School Limited"/>
    <x v="1"/>
    <s v="Independent learning providers (including employer providers)"/>
    <s v="Birmingham"/>
    <s v="West Midlands"/>
    <s v="West Midlands"/>
    <s v="NULL"/>
    <s v="NULL"/>
    <s v="NULL"/>
    <s v="NULL"/>
    <s v="NULL"/>
    <s v="NULL"/>
    <s v="NULL"/>
    <x v="5"/>
    <s v="NULL"/>
    <s v="NULL"/>
    <s v="NULL"/>
    <s v="NULL"/>
    <s v="NULL"/>
    <s v="NULL"/>
    <s v="NULL"/>
    <s v="NULL"/>
    <s v="NULL"/>
    <s v="NULL"/>
    <s v="NULL"/>
    <s v="NULL"/>
  </r>
  <r>
    <s v="Ofsted Webpage"/>
    <n v="1270869"/>
    <n v="10029234"/>
    <s v="N A College Trust"/>
    <x v="1"/>
    <s v="Independent learning providers (including employer providers)"/>
    <s v="Sunderland"/>
    <s v="North East"/>
    <s v="North East, Yorkshire and the Humber"/>
    <s v="NULL"/>
    <s v="NULL"/>
    <s v="NULL"/>
    <s v="NULL"/>
    <s v="NULL"/>
    <s v="NULL"/>
    <s v="NULL"/>
    <x v="5"/>
    <s v="NULL"/>
    <s v="NULL"/>
    <s v="NULL"/>
    <s v="NULL"/>
    <s v="NULL"/>
    <s v="NULL"/>
    <s v="NULL"/>
    <s v="NULL"/>
    <s v="NULL"/>
    <s v="NULL"/>
    <s v="NULL"/>
    <s v="NULL"/>
  </r>
  <r>
    <s v="Ofsted Webpage"/>
    <n v="1270870"/>
    <n v="10029699"/>
    <s v="Aim Skills Development Limited"/>
    <x v="1"/>
    <s v="Independent learning providers (including employer providers)"/>
    <s v="Newham"/>
    <s v="London"/>
    <s v="London"/>
    <s v="NULL"/>
    <s v="NULL"/>
    <s v="NULL"/>
    <s v="NULL"/>
    <s v="NULL"/>
    <s v="NULL"/>
    <s v="NULL"/>
    <x v="5"/>
    <s v="NULL"/>
    <s v="NULL"/>
    <s v="NULL"/>
    <s v="NULL"/>
    <s v="NULL"/>
    <s v="NULL"/>
    <s v="NULL"/>
    <s v="NULL"/>
    <s v="NULL"/>
    <s v="NULL"/>
    <s v="NULL"/>
    <s v="NULL"/>
  </r>
  <r>
    <s v="Ofsted Webpage"/>
    <n v="1270871"/>
    <n v="10029843"/>
    <s v="Waltham International College Limited"/>
    <x v="1"/>
    <s v="Independent learning providers (including employer providers)"/>
    <s v="Barking and Dagenham"/>
    <s v="London"/>
    <s v="London"/>
    <s v="NULL"/>
    <s v="NULL"/>
    <s v="NULL"/>
    <s v="NULL"/>
    <s v="NULL"/>
    <s v="NULL"/>
    <s v="NULL"/>
    <x v="5"/>
    <s v="NULL"/>
    <s v="NULL"/>
    <s v="NULL"/>
    <s v="NULL"/>
    <s v="NULL"/>
    <s v="NULL"/>
    <s v="NULL"/>
    <s v="NULL"/>
    <s v="NULL"/>
    <s v="NULL"/>
    <s v="NULL"/>
    <s v="NULL"/>
  </r>
  <r>
    <s v="Ofsted Webpage"/>
    <n v="1270872"/>
    <n v="10029887"/>
    <s v="Gecko Programmes Limited"/>
    <x v="1"/>
    <s v="Independent learning providers (including employer providers)"/>
    <s v="Wolverhampton"/>
    <s v="West Midlands"/>
    <s v="West Midlands"/>
    <s v="NULL"/>
    <s v="NULL"/>
    <s v="NULL"/>
    <s v="NULL"/>
    <s v="NULL"/>
    <s v="NULL"/>
    <s v="NULL"/>
    <x v="5"/>
    <s v="NULL"/>
    <s v="NULL"/>
    <s v="NULL"/>
    <s v="NULL"/>
    <s v="NULL"/>
    <s v="NULL"/>
    <s v="NULL"/>
    <s v="NULL"/>
    <s v="NULL"/>
    <s v="NULL"/>
    <s v="NULL"/>
    <s v="NULL"/>
  </r>
  <r>
    <s v="Ofsted Webpage"/>
    <n v="1270873"/>
    <n v="10029907"/>
    <s v="Feligrace Limited"/>
    <x v="1"/>
    <s v="Independent learning providers (including employer providers)"/>
    <s v="Barking and Dagenham"/>
    <s v="London"/>
    <s v="London"/>
    <s v="NULL"/>
    <s v="NULL"/>
    <s v="NULL"/>
    <s v="NULL"/>
    <s v="NULL"/>
    <s v="NULL"/>
    <s v="NULL"/>
    <x v="5"/>
    <s v="NULL"/>
    <s v="NULL"/>
    <s v="NULL"/>
    <s v="NULL"/>
    <s v="NULL"/>
    <s v="NULL"/>
    <s v="NULL"/>
    <s v="NULL"/>
    <s v="NULL"/>
    <s v="NULL"/>
    <s v="NULL"/>
    <s v="NULL"/>
  </r>
  <r>
    <s v="Ofsted Webpage"/>
    <n v="1270874"/>
    <n v="10030502"/>
    <s v="Group Horizon Limited"/>
    <x v="1"/>
    <s v="Independent learning providers (including employer providers)"/>
    <s v="Gateshead"/>
    <s v="North East"/>
    <s v="North East, Yorkshire and the Humber"/>
    <s v="NULL"/>
    <s v="NULL"/>
    <s v="NULL"/>
    <s v="NULL"/>
    <s v="NULL"/>
    <s v="NULL"/>
    <s v="NULL"/>
    <x v="5"/>
    <s v="NULL"/>
    <s v="NULL"/>
    <s v="NULL"/>
    <s v="NULL"/>
    <s v="NULL"/>
    <s v="NULL"/>
    <s v="NULL"/>
    <s v="NULL"/>
    <s v="NULL"/>
    <s v="NULL"/>
    <s v="NULL"/>
    <s v="NULL"/>
  </r>
  <r>
    <s v="Ofsted Webpage"/>
    <n v="1270875"/>
    <n v="10031151"/>
    <s v="Scl Security Ltd"/>
    <x v="1"/>
    <s v="Independent learning providers (including employer providers)"/>
    <s v="Greenwich"/>
    <s v="London"/>
    <s v="London"/>
    <s v="NULL"/>
    <s v="NULL"/>
    <s v="NULL"/>
    <s v="NULL"/>
    <s v="NULL"/>
    <s v="NULL"/>
    <s v="NULL"/>
    <x v="5"/>
    <s v="NULL"/>
    <s v="NULL"/>
    <s v="NULL"/>
    <s v="NULL"/>
    <s v="NULL"/>
    <s v="NULL"/>
    <s v="NULL"/>
    <s v="NULL"/>
    <s v="NULL"/>
    <s v="NULL"/>
    <s v="NULL"/>
    <s v="NULL"/>
  </r>
  <r>
    <s v="Ofsted Webpage"/>
    <n v="1270876"/>
    <n v="10031326"/>
    <s v="Well Associates Limited"/>
    <x v="1"/>
    <s v="Independent learning providers (including employer providers)"/>
    <s v="Walsall"/>
    <s v="West Midlands"/>
    <s v="West Midlands"/>
    <s v="NULL"/>
    <s v="NULL"/>
    <s v="NULL"/>
    <s v="NULL"/>
    <s v="NULL"/>
    <s v="NULL"/>
    <s v="NULL"/>
    <x v="5"/>
    <s v="NULL"/>
    <s v="NULL"/>
    <s v="NULL"/>
    <s v="NULL"/>
    <s v="NULL"/>
    <s v="NULL"/>
    <s v="NULL"/>
    <s v="NULL"/>
    <s v="NULL"/>
    <s v="NULL"/>
    <s v="NULL"/>
    <s v="NULL"/>
  </r>
  <r>
    <s v="Ofsted Webpage"/>
    <n v="1270877"/>
    <n v="10031399"/>
    <s v="J G W Training Limited"/>
    <x v="1"/>
    <s v="Independent learning providers (including employer providers)"/>
    <s v="Derbyshire"/>
    <s v="East Midlands"/>
    <s v="East Midlands"/>
    <s v="NULL"/>
    <s v="NULL"/>
    <s v="NULL"/>
    <s v="NULL"/>
    <s v="NULL"/>
    <s v="NULL"/>
    <s v="NULL"/>
    <x v="5"/>
    <s v="NULL"/>
    <s v="NULL"/>
    <s v="NULL"/>
    <s v="NULL"/>
    <s v="NULL"/>
    <s v="NULL"/>
    <s v="NULL"/>
    <s v="NULL"/>
    <s v="NULL"/>
    <s v="NULL"/>
    <s v="NULL"/>
    <s v="NULL"/>
  </r>
  <r>
    <s v="Ofsted Webpage"/>
    <n v="1270878"/>
    <n v="10033156"/>
    <s v="Back 2 Work Complete Training Limited"/>
    <x v="1"/>
    <s v="Independent learning providers (including employer providers)"/>
    <s v="Manchester"/>
    <s v="North West"/>
    <s v="North West"/>
    <s v="NULL"/>
    <s v="NULL"/>
    <s v="NULL"/>
    <s v="NULL"/>
    <s v="NULL"/>
    <s v="NULL"/>
    <s v="NULL"/>
    <x v="5"/>
    <s v="NULL"/>
    <s v="NULL"/>
    <s v="NULL"/>
    <s v="NULL"/>
    <s v="NULL"/>
    <s v="NULL"/>
    <s v="NULL"/>
    <s v="NULL"/>
    <s v="NULL"/>
    <s v="NULL"/>
    <s v="NULL"/>
    <s v="NULL"/>
  </r>
  <r>
    <s v="Ofsted Webpage"/>
    <n v="1270879"/>
    <n v="10033193"/>
    <s v="The Number 4 Group Limited"/>
    <x v="1"/>
    <s v="Independent learning providers (including employer providers)"/>
    <s v="Lincolnshire"/>
    <s v="East Midlands"/>
    <s v="East Midlands"/>
    <s v="NULL"/>
    <s v="NULL"/>
    <s v="NULL"/>
    <s v="NULL"/>
    <s v="NULL"/>
    <s v="NULL"/>
    <s v="NULL"/>
    <x v="5"/>
    <s v="NULL"/>
    <s v="NULL"/>
    <s v="NULL"/>
    <s v="NULL"/>
    <s v="NULL"/>
    <s v="NULL"/>
    <s v="NULL"/>
    <s v="NULL"/>
    <s v="NULL"/>
    <s v="NULL"/>
    <s v="NULL"/>
    <s v="NULL"/>
  </r>
  <r>
    <s v="Ofsted Webpage"/>
    <n v="1270880"/>
    <n v="10034517"/>
    <s v="Right Track Social Enterprise Limited"/>
    <x v="1"/>
    <s v="Independent learning providers (including employer providers)"/>
    <s v="Nottingham"/>
    <s v="East Midlands"/>
    <s v="East Midlands"/>
    <s v="NULL"/>
    <s v="NULL"/>
    <s v="NULL"/>
    <s v="NULL"/>
    <s v="NULL"/>
    <s v="NULL"/>
    <s v="NULL"/>
    <x v="5"/>
    <s v="NULL"/>
    <s v="NULL"/>
    <s v="NULL"/>
    <s v="NULL"/>
    <s v="NULL"/>
    <s v="NULL"/>
    <s v="NULL"/>
    <s v="NULL"/>
    <s v="NULL"/>
    <s v="NULL"/>
    <s v="NULL"/>
    <s v="NULL"/>
  </r>
  <r>
    <s v="Ofsted Webpage"/>
    <n v="1270881"/>
    <n v="10034940"/>
    <s v="Just I.T. Training Limited"/>
    <x v="1"/>
    <s v="Independent learning providers (including employer providers)"/>
    <s v="Tower Hamlets"/>
    <s v="London"/>
    <s v="London"/>
    <s v="NULL"/>
    <s v="NULL"/>
    <s v="NULL"/>
    <s v="NULL"/>
    <s v="NULL"/>
    <s v="NULL"/>
    <s v="NULL"/>
    <x v="5"/>
    <s v="NULL"/>
    <s v="NULL"/>
    <s v="NULL"/>
    <s v="NULL"/>
    <s v="NULL"/>
    <s v="NULL"/>
    <s v="NULL"/>
    <s v="NULL"/>
    <s v="NULL"/>
    <s v="NULL"/>
    <s v="NULL"/>
    <s v="NULL"/>
  </r>
  <r>
    <s v="Ofsted Webpage"/>
    <n v="1270882"/>
    <n v="10036106"/>
    <s v="The Training Brokers Limited"/>
    <x v="1"/>
    <s v="Independent learning providers (including employer providers)"/>
    <s v="Trafford"/>
    <s v="North West"/>
    <s v="North West"/>
    <s v="NULL"/>
    <s v="NULL"/>
    <s v="NULL"/>
    <s v="NULL"/>
    <s v="NULL"/>
    <s v="NULL"/>
    <s v="NULL"/>
    <x v="5"/>
    <s v="NULL"/>
    <s v="NULL"/>
    <s v="NULL"/>
    <s v="NULL"/>
    <s v="NULL"/>
    <s v="NULL"/>
    <s v="NULL"/>
    <s v="NULL"/>
    <s v="NULL"/>
    <s v="NULL"/>
    <s v="NULL"/>
    <s v="NULL"/>
  </r>
  <r>
    <s v="Ofsted Webpage"/>
    <n v="1270883"/>
    <n v="10036202"/>
    <s v="Flt Training (Liverpool) Limited"/>
    <x v="1"/>
    <s v="Independent learning providers (including employer providers)"/>
    <s v="Liverpool"/>
    <s v="North West"/>
    <s v="North West"/>
    <s v="NULL"/>
    <s v="NULL"/>
    <s v="NULL"/>
    <s v="NULL"/>
    <s v="NULL"/>
    <s v="NULL"/>
    <s v="NULL"/>
    <x v="5"/>
    <s v="NULL"/>
    <s v="NULL"/>
    <s v="NULL"/>
    <s v="NULL"/>
    <s v="NULL"/>
    <s v="NULL"/>
    <s v="NULL"/>
    <s v="NULL"/>
    <s v="NULL"/>
    <s v="NULL"/>
    <s v="NULL"/>
    <s v="NULL"/>
  </r>
  <r>
    <s v="Ofsted Webpage"/>
    <n v="1270884"/>
    <n v="10036227"/>
    <s v="Absolute Care Training &amp; Education Ltd"/>
    <x v="1"/>
    <s v="Independent learning providers (including employer providers)"/>
    <s v="Darlington"/>
    <s v="North East"/>
    <s v="North East, Yorkshire and the Humber"/>
    <s v="NULL"/>
    <s v="NULL"/>
    <s v="NULL"/>
    <s v="NULL"/>
    <s v="NULL"/>
    <s v="NULL"/>
    <s v="NULL"/>
    <x v="5"/>
    <s v="NULL"/>
    <s v="NULL"/>
    <s v="NULL"/>
    <s v="NULL"/>
    <s v="NULL"/>
    <s v="NULL"/>
    <s v="NULL"/>
    <s v="NULL"/>
    <s v="NULL"/>
    <s v="NULL"/>
    <s v="NULL"/>
    <s v="NULL"/>
  </r>
  <r>
    <s v="Ofsted Webpage"/>
    <n v="1270885"/>
    <n v="10036516"/>
    <s v="Quest Training South East Ltd"/>
    <x v="1"/>
    <s v="Independent learning providers (including employer providers)"/>
    <s v="Kent"/>
    <s v="South East"/>
    <s v="South East"/>
    <s v="NULL"/>
    <s v="NULL"/>
    <s v="NULL"/>
    <s v="NULL"/>
    <s v="NULL"/>
    <s v="NULL"/>
    <s v="NULL"/>
    <x v="5"/>
    <s v="NULL"/>
    <s v="NULL"/>
    <s v="NULL"/>
    <s v="NULL"/>
    <s v="NULL"/>
    <s v="NULL"/>
    <s v="NULL"/>
    <s v="NULL"/>
    <s v="NULL"/>
    <s v="NULL"/>
    <s v="NULL"/>
    <s v="NULL"/>
  </r>
  <r>
    <s v="Ofsted Webpage"/>
    <n v="1270886"/>
    <n v="10036794"/>
    <s v="Sccu Ltd"/>
    <x v="1"/>
    <s v="Independent learning providers (including employer providers)"/>
    <s v="Coventry"/>
    <s v="West Midlands"/>
    <s v="West Midlands"/>
    <s v="NULL"/>
    <s v="NULL"/>
    <s v="NULL"/>
    <s v="NULL"/>
    <s v="NULL"/>
    <s v="NULL"/>
    <s v="NULL"/>
    <x v="5"/>
    <s v="NULL"/>
    <s v="NULL"/>
    <s v="NULL"/>
    <s v="NULL"/>
    <s v="NULL"/>
    <s v="NULL"/>
    <s v="NULL"/>
    <s v="NULL"/>
    <s v="NULL"/>
    <s v="NULL"/>
    <s v="NULL"/>
    <s v="NULL"/>
  </r>
  <r>
    <s v="Ofsted Webpage"/>
    <n v="1270887"/>
    <n v="10037126"/>
    <s v="Blue Apple Training Ltd"/>
    <x v="1"/>
    <s v="Independent learning providers (including employer providers)"/>
    <s v="Kirklees"/>
    <s v="Yorkshire and The Humber"/>
    <s v="North East, Yorkshire and the Humber"/>
    <s v="NULL"/>
    <s v="NULL"/>
    <s v="NULL"/>
    <s v="NULL"/>
    <s v="NULL"/>
    <s v="NULL"/>
    <s v="NULL"/>
    <x v="5"/>
    <s v="NULL"/>
    <s v="NULL"/>
    <s v="NULL"/>
    <s v="NULL"/>
    <s v="NULL"/>
    <s v="NULL"/>
    <s v="NULL"/>
    <s v="NULL"/>
    <s v="NULL"/>
    <s v="NULL"/>
    <s v="NULL"/>
    <s v="NULL"/>
  </r>
  <r>
    <s v="Ofsted Webpage"/>
    <n v="1270891"/>
    <n v="10037289"/>
    <s v="Workpays Limited"/>
    <x v="1"/>
    <s v="Independent learning providers (including employer providers)"/>
    <s v="Nottinghamshire"/>
    <s v="East Midlands"/>
    <s v="East Midlands"/>
    <s v="NULL"/>
    <s v="NULL"/>
    <s v="NULL"/>
    <s v="NULL"/>
    <s v="NULL"/>
    <s v="NULL"/>
    <s v="NULL"/>
    <x v="5"/>
    <s v="NULL"/>
    <s v="NULL"/>
    <s v="NULL"/>
    <s v="NULL"/>
    <s v="NULL"/>
    <s v="NULL"/>
    <s v="NULL"/>
    <s v="NULL"/>
    <s v="NULL"/>
    <s v="NULL"/>
    <s v="NULL"/>
    <s v="NULL"/>
  </r>
  <r>
    <s v="Ofsted Webpage"/>
    <n v="1270892"/>
    <n v="10038368"/>
    <s v="Train 4 Limited"/>
    <x v="1"/>
    <s v="Independent learning providers (including employer providers)"/>
    <s v="Lincolnshire"/>
    <s v="East Midlands"/>
    <s v="East Midlands"/>
    <s v="NULL"/>
    <s v="NULL"/>
    <s v="NULL"/>
    <s v="NULL"/>
    <s v="NULL"/>
    <s v="NULL"/>
    <s v="NULL"/>
    <x v="5"/>
    <s v="NULL"/>
    <s v="NULL"/>
    <s v="NULL"/>
    <s v="NULL"/>
    <s v="NULL"/>
    <s v="NULL"/>
    <s v="NULL"/>
    <s v="NULL"/>
    <s v="NULL"/>
    <s v="NULL"/>
    <s v="NULL"/>
    <s v="NULL"/>
  </r>
  <r>
    <s v="Ofsted Webpage"/>
    <n v="1270893"/>
    <n v="10038387"/>
    <s v="Nova Payroll Management Services Limited"/>
    <x v="1"/>
    <s v="Independent learning providers (including employer providers)"/>
    <s v="Gateshead"/>
    <s v="North East"/>
    <s v="North East, Yorkshire and the Humber"/>
    <s v="NULL"/>
    <s v="NULL"/>
    <s v="NULL"/>
    <s v="NULL"/>
    <s v="NULL"/>
    <s v="NULL"/>
    <s v="NULL"/>
    <x v="5"/>
    <s v="NULL"/>
    <s v="NULL"/>
    <s v="NULL"/>
    <s v="NULL"/>
    <s v="NULL"/>
    <s v="NULL"/>
    <s v="NULL"/>
    <s v="NULL"/>
    <s v="NULL"/>
    <s v="NULL"/>
    <s v="NULL"/>
    <s v="NULL"/>
  </r>
  <r>
    <s v="Ofsted Webpage"/>
    <n v="1270894"/>
    <n v="10038823"/>
    <s v="The World Of Work Limited"/>
    <x v="1"/>
    <s v="Independent learning providers (including employer providers)"/>
    <s v="Enfield"/>
    <s v="London"/>
    <s v="London"/>
    <s v="NULL"/>
    <s v="NULL"/>
    <s v="NULL"/>
    <s v="NULL"/>
    <s v="NULL"/>
    <s v="NULL"/>
    <s v="NULL"/>
    <x v="5"/>
    <s v="NULL"/>
    <s v="NULL"/>
    <s v="NULL"/>
    <s v="NULL"/>
    <s v="NULL"/>
    <s v="NULL"/>
    <s v="NULL"/>
    <s v="NULL"/>
    <s v="NULL"/>
    <s v="NULL"/>
    <s v="NULL"/>
    <s v="NULL"/>
  </r>
  <r>
    <s v="Ofsted Webpage"/>
    <n v="1270895"/>
    <n v="10038939"/>
    <s v="The Football League (Community) Limited"/>
    <x v="1"/>
    <s v="Independent learning providers (including employer providers)"/>
    <s v="Lancashire"/>
    <s v="North West"/>
    <s v="North West"/>
    <s v="NULL"/>
    <s v="NULL"/>
    <s v="NULL"/>
    <s v="NULL"/>
    <s v="NULL"/>
    <s v="NULL"/>
    <s v="NULL"/>
    <x v="5"/>
    <s v="NULL"/>
    <s v="NULL"/>
    <s v="NULL"/>
    <s v="NULL"/>
    <s v="NULL"/>
    <s v="NULL"/>
    <s v="NULL"/>
    <s v="NULL"/>
    <s v="NULL"/>
    <s v="NULL"/>
    <s v="NULL"/>
    <s v="NULL"/>
  </r>
  <r>
    <s v="Ofsted Webpage"/>
    <n v="1270896"/>
    <n v="10039793"/>
    <s v="Elite Training, Assessing And Development Cic"/>
    <x v="1"/>
    <s v="Independent learning providers (including employer providers)"/>
    <s v="Manchester"/>
    <s v="North West"/>
    <s v="North West"/>
    <s v="NULL"/>
    <s v="NULL"/>
    <s v="NULL"/>
    <s v="NULL"/>
    <s v="NULL"/>
    <s v="NULL"/>
    <s v="NULL"/>
    <x v="5"/>
    <s v="NULL"/>
    <s v="NULL"/>
    <s v="NULL"/>
    <s v="NULL"/>
    <s v="NULL"/>
    <s v="NULL"/>
    <s v="NULL"/>
    <s v="NULL"/>
    <s v="NULL"/>
    <s v="NULL"/>
    <s v="NULL"/>
    <s v="NULL"/>
  </r>
  <r>
    <s v="Ofsted Webpage"/>
    <n v="1270897"/>
    <n v="10040368"/>
    <s v="Jm Recruitment Education &amp; Training Ltd"/>
    <x v="1"/>
    <s v="Independent learning providers (including employer providers)"/>
    <s v="Wirral"/>
    <s v="North West"/>
    <s v="North West"/>
    <s v="NULL"/>
    <s v="NULL"/>
    <s v="NULL"/>
    <s v="NULL"/>
    <s v="NULL"/>
    <s v="NULL"/>
    <s v="NULL"/>
    <x v="5"/>
    <s v="NULL"/>
    <s v="NULL"/>
    <s v="NULL"/>
    <s v="NULL"/>
    <s v="NULL"/>
    <s v="NULL"/>
    <s v="NULL"/>
    <s v="NULL"/>
    <s v="NULL"/>
    <s v="NULL"/>
    <s v="NULL"/>
    <s v="NULL"/>
  </r>
  <r>
    <s v="Ofsted Webpage"/>
    <n v="1270898"/>
    <n v="10041149"/>
    <s v="Xtol Development Services Limited"/>
    <x v="1"/>
    <s v="Independent learning providers (including employer providers)"/>
    <s v="Rotherham"/>
    <s v="Yorkshire and The Humber"/>
    <s v="North East, Yorkshire and the Humber"/>
    <s v="NULL"/>
    <s v="NULL"/>
    <s v="NULL"/>
    <s v="NULL"/>
    <s v="NULL"/>
    <s v="NULL"/>
    <s v="NULL"/>
    <x v="5"/>
    <s v="NULL"/>
    <s v="NULL"/>
    <s v="NULL"/>
    <s v="NULL"/>
    <s v="NULL"/>
    <s v="NULL"/>
    <s v="NULL"/>
    <s v="NULL"/>
    <s v="NULL"/>
    <s v="NULL"/>
    <s v="NULL"/>
    <s v="NULL"/>
  </r>
  <r>
    <s v="Ofsted Webpage"/>
    <n v="1270900"/>
    <n v="10041319"/>
    <s v="Shreeji Training Ltd"/>
    <x v="1"/>
    <s v="Independent learning providers (including employer providers)"/>
    <s v="Havering"/>
    <s v="London"/>
    <s v="London"/>
    <s v="NULL"/>
    <s v="NULL"/>
    <s v="NULL"/>
    <s v="NULL"/>
    <s v="NULL"/>
    <s v="NULL"/>
    <s v="NULL"/>
    <x v="5"/>
    <s v="NULL"/>
    <s v="NULL"/>
    <s v="NULL"/>
    <s v="NULL"/>
    <s v="NULL"/>
    <s v="NULL"/>
    <s v="NULL"/>
    <s v="NULL"/>
    <s v="NULL"/>
    <s v="NULL"/>
    <s v="NULL"/>
    <s v="NULL"/>
  </r>
  <r>
    <s v="Ofsted Webpage"/>
    <n v="1270901"/>
    <n v="10041486"/>
    <s v="Northwest Education And Training Limited"/>
    <x v="1"/>
    <s v="Independent learning providers (including employer providers)"/>
    <s v="Sefton"/>
    <s v="North West"/>
    <s v="North West"/>
    <s v="NULL"/>
    <s v="NULL"/>
    <s v="NULL"/>
    <s v="NULL"/>
    <s v="NULL"/>
    <s v="NULL"/>
    <s v="NULL"/>
    <x v="5"/>
    <s v="NULL"/>
    <s v="NULL"/>
    <s v="NULL"/>
    <s v="NULL"/>
    <s v="NULL"/>
    <s v="NULL"/>
    <s v="NULL"/>
    <s v="NULL"/>
    <s v="NULL"/>
    <s v="NULL"/>
    <s v="NULL"/>
    <s v="NULL"/>
  </r>
  <r>
    <s v="Ofsted Webpage"/>
    <n v="1270902"/>
    <n v="10042119"/>
    <s v="Aim 2 Learn Ltd"/>
    <x v="1"/>
    <s v="Independent learning providers (including employer providers)"/>
    <s v="Leeds"/>
    <s v="Yorkshire and The Humber"/>
    <s v="North East, Yorkshire and the Humber"/>
    <s v="NULL"/>
    <s v="NULL"/>
    <s v="NULL"/>
    <s v="NULL"/>
    <s v="NULL"/>
    <s v="NULL"/>
    <s v="NULL"/>
    <x v="5"/>
    <s v="NULL"/>
    <s v="NULL"/>
    <s v="NULL"/>
    <s v="NULL"/>
    <s v="NULL"/>
    <s v="NULL"/>
    <s v="NULL"/>
    <s v="NULL"/>
    <s v="NULL"/>
    <s v="NULL"/>
    <s v="NULL"/>
    <s v="NULL"/>
  </r>
  <r>
    <s v="Ofsted Webpage"/>
    <n v="1270903"/>
    <n v="10042570"/>
    <s v="Pearson College Limited"/>
    <x v="1"/>
    <s v="Independent learning providers (including employer providers)"/>
    <s v="Westminster"/>
    <s v="London"/>
    <s v="London"/>
    <s v="NULL"/>
    <s v="NULL"/>
    <s v="NULL"/>
    <s v="NULL"/>
    <s v="NULL"/>
    <s v="NULL"/>
    <s v="NULL"/>
    <x v="5"/>
    <s v="NULL"/>
    <s v="NULL"/>
    <s v="NULL"/>
    <s v="NULL"/>
    <s v="NULL"/>
    <s v="NULL"/>
    <s v="NULL"/>
    <s v="NULL"/>
    <s v="NULL"/>
    <s v="NULL"/>
    <s v="NULL"/>
    <s v="NULL"/>
  </r>
  <r>
    <s v="Ofsted Webpage"/>
    <n v="1270904"/>
    <n v="10042819"/>
    <s v="Vocational Staffing Solutions Limited"/>
    <x v="1"/>
    <s v="Independent learning providers (including employer providers)"/>
    <s v="Bury"/>
    <s v="North West"/>
    <s v="North West"/>
    <s v="NULL"/>
    <s v="NULL"/>
    <s v="NULL"/>
    <s v="NULL"/>
    <s v="NULL"/>
    <s v="NULL"/>
    <s v="NULL"/>
    <x v="5"/>
    <s v="NULL"/>
    <s v="NULL"/>
    <s v="NULL"/>
    <s v="NULL"/>
    <s v="NULL"/>
    <s v="NULL"/>
    <s v="NULL"/>
    <s v="NULL"/>
    <s v="NULL"/>
    <s v="NULL"/>
    <s v="NULL"/>
    <s v="NULL"/>
  </r>
  <r>
    <s v="Ofsted Webpage"/>
    <n v="1270905"/>
    <n v="10043112"/>
    <s v="Canal Engineering Limited"/>
    <x v="1"/>
    <s v="Independent learning providers (including employer providers)"/>
    <s v="Nottingham"/>
    <s v="East Midlands"/>
    <s v="East Midlands"/>
    <s v="NULL"/>
    <s v="NULL"/>
    <s v="NULL"/>
    <s v="NULL"/>
    <s v="NULL"/>
    <s v="NULL"/>
    <s v="NULL"/>
    <x v="5"/>
    <s v="NULL"/>
    <s v="NULL"/>
    <s v="NULL"/>
    <s v="NULL"/>
    <s v="NULL"/>
    <s v="NULL"/>
    <s v="NULL"/>
    <s v="NULL"/>
    <s v="NULL"/>
    <s v="NULL"/>
    <s v="NULL"/>
    <s v="NULL"/>
  </r>
  <r>
    <s v="Ofsted Webpage"/>
    <n v="1270906"/>
    <n v="10043208"/>
    <s v="Scl Education &amp; Training Limited"/>
    <x v="1"/>
    <s v="Independent learning providers (including employer providers)"/>
    <s v="Bracknell Forest"/>
    <s v="South East"/>
    <s v="South East"/>
    <s v="NULL"/>
    <s v="NULL"/>
    <s v="NULL"/>
    <s v="NULL"/>
    <s v="NULL"/>
    <s v="NULL"/>
    <s v="NULL"/>
    <x v="5"/>
    <s v="NULL"/>
    <s v="NULL"/>
    <s v="NULL"/>
    <s v="NULL"/>
    <s v="NULL"/>
    <s v="NULL"/>
    <s v="NULL"/>
    <s v="NULL"/>
    <s v="NULL"/>
    <s v="NULL"/>
    <s v="NULL"/>
    <s v="NULL"/>
  </r>
  <r>
    <s v="Ofsted Webpage"/>
    <n v="1270907"/>
    <n v="10043333"/>
    <s v="Antrec Limited"/>
    <x v="1"/>
    <s v="Independent learning providers (including employer providers)"/>
    <s v="Sefton"/>
    <s v="North West"/>
    <s v="North West"/>
    <s v="NULL"/>
    <s v="NULL"/>
    <s v="NULL"/>
    <s v="NULL"/>
    <s v="NULL"/>
    <s v="NULL"/>
    <s v="NULL"/>
    <x v="5"/>
    <s v="NULL"/>
    <s v="NULL"/>
    <s v="NULL"/>
    <s v="NULL"/>
    <s v="NULL"/>
    <s v="NULL"/>
    <s v="NULL"/>
    <s v="NULL"/>
    <s v="NULL"/>
    <s v="NULL"/>
    <s v="NULL"/>
    <s v="NULL"/>
  </r>
  <r>
    <s v="Ofsted Webpage"/>
    <n v="1270908"/>
    <n v="10043389"/>
    <s v="Excellence-Solutions Limited"/>
    <x v="1"/>
    <s v="Independent learning providers (including employer providers)"/>
    <s v="Waltham Forest"/>
    <s v="London"/>
    <s v="London"/>
    <s v="NULL"/>
    <s v="NULL"/>
    <s v="NULL"/>
    <s v="NULL"/>
    <s v="NULL"/>
    <s v="NULL"/>
    <s v="NULL"/>
    <x v="5"/>
    <s v="NULL"/>
    <s v="NULL"/>
    <s v="NULL"/>
    <s v="NULL"/>
    <s v="NULL"/>
    <s v="NULL"/>
    <s v="NULL"/>
    <s v="NULL"/>
    <s v="NULL"/>
    <s v="NULL"/>
    <s v="NULL"/>
    <s v="NULL"/>
  </r>
  <r>
    <s v="Ofsted Webpage"/>
    <n v="1270909"/>
    <n v="10043482"/>
    <s v="Tvs Education Limited"/>
    <x v="1"/>
    <s v="Independent learning providers (including employer providers)"/>
    <s v="Cardiff"/>
    <s v="Wales"/>
    <s v="Wales"/>
    <s v="NULL"/>
    <s v="NULL"/>
    <s v="NULL"/>
    <s v="NULL"/>
    <s v="NULL"/>
    <s v="NULL"/>
    <s v="NULL"/>
    <x v="5"/>
    <s v="NULL"/>
    <s v="NULL"/>
    <s v="NULL"/>
    <s v="NULL"/>
    <s v="NULL"/>
    <s v="NULL"/>
    <s v="NULL"/>
    <s v="NULL"/>
    <s v="NULL"/>
    <s v="NULL"/>
    <s v="NULL"/>
    <s v="NULL"/>
  </r>
  <r>
    <s v="Ofsted Webpage"/>
    <n v="1270910"/>
    <n v="10043661"/>
    <s v="Optimum Skills Limited"/>
    <x v="1"/>
    <s v="Independent learning providers (including employer providers)"/>
    <s v="Durham"/>
    <s v="North East"/>
    <s v="North East, Yorkshire and the Humber"/>
    <s v="NULL"/>
    <s v="NULL"/>
    <s v="NULL"/>
    <s v="NULL"/>
    <s v="NULL"/>
    <s v="NULL"/>
    <s v="NULL"/>
    <x v="5"/>
    <s v="NULL"/>
    <s v="NULL"/>
    <s v="NULL"/>
    <s v="NULL"/>
    <s v="NULL"/>
    <s v="NULL"/>
    <s v="NULL"/>
    <s v="NULL"/>
    <s v="NULL"/>
    <s v="NULL"/>
    <s v="NULL"/>
    <s v="NULL"/>
  </r>
  <r>
    <s v="Ofsted Webpage"/>
    <n v="1270911"/>
    <n v="10043793"/>
    <s v="Apprentice Team Ltd"/>
    <x v="1"/>
    <s v="Independent learning providers (including employer providers)"/>
    <s v="Derbyshire"/>
    <s v="East Midlands"/>
    <s v="East Midlands"/>
    <s v="NULL"/>
    <s v="NULL"/>
    <s v="NULL"/>
    <s v="NULL"/>
    <s v="NULL"/>
    <s v="NULL"/>
    <s v="NULL"/>
    <x v="5"/>
    <s v="NULL"/>
    <s v="NULL"/>
    <s v="NULL"/>
    <s v="NULL"/>
    <s v="NULL"/>
    <s v="NULL"/>
    <s v="NULL"/>
    <s v="NULL"/>
    <s v="NULL"/>
    <s v="NULL"/>
    <s v="NULL"/>
    <s v="NULL"/>
  </r>
  <r>
    <s v="Ofsted Webpage"/>
    <n v="1270912"/>
    <n v="10043980"/>
    <s v="Real Skills Training Ltd"/>
    <x v="1"/>
    <s v="Independent learning providers (including employer providers)"/>
    <s v="Sefton"/>
    <s v="North West"/>
    <s v="North West"/>
    <s v="NULL"/>
    <s v="NULL"/>
    <s v="NULL"/>
    <s v="NULL"/>
    <s v="NULL"/>
    <s v="NULL"/>
    <s v="NULL"/>
    <x v="5"/>
    <s v="NULL"/>
    <s v="NULL"/>
    <s v="NULL"/>
    <s v="NULL"/>
    <s v="NULL"/>
    <s v="NULL"/>
    <s v="NULL"/>
    <s v="NULL"/>
    <s v="NULL"/>
    <s v="NULL"/>
    <s v="NULL"/>
    <s v="NULL"/>
  </r>
  <r>
    <s v="Ofsted Webpage"/>
    <n v="1270913"/>
    <n v="10044197"/>
    <s v="Personal Track Safety Ltd"/>
    <x v="1"/>
    <s v="Independent learning providers (including employer providers)"/>
    <s v="Northamptonshire"/>
    <s v="East Midlands"/>
    <s v="East Midlands"/>
    <s v="NULL"/>
    <s v="NULL"/>
    <s v="NULL"/>
    <s v="NULL"/>
    <s v="NULL"/>
    <s v="NULL"/>
    <s v="NULL"/>
    <x v="5"/>
    <s v="NULL"/>
    <s v="NULL"/>
    <s v="NULL"/>
    <s v="NULL"/>
    <s v="NULL"/>
    <s v="NULL"/>
    <s v="NULL"/>
    <s v="NULL"/>
    <s v="NULL"/>
    <s v="NULL"/>
    <s v="NULL"/>
    <s v="NULL"/>
  </r>
  <r>
    <s v="Ofsted Webpage"/>
    <n v="1270914"/>
    <n v="10044331"/>
    <s v="Healthcare Learning Ltd"/>
    <x v="1"/>
    <s v="Independent learning providers (including employer providers)"/>
    <s v="Camden"/>
    <s v="London"/>
    <s v="London"/>
    <s v="NULL"/>
    <s v="NULL"/>
    <s v="NULL"/>
    <s v="NULL"/>
    <s v="NULL"/>
    <s v="NULL"/>
    <s v="NULL"/>
    <x v="5"/>
    <s v="NULL"/>
    <s v="NULL"/>
    <s v="NULL"/>
    <s v="NULL"/>
    <s v="NULL"/>
    <s v="NULL"/>
    <s v="NULL"/>
    <s v="NULL"/>
    <s v="NULL"/>
    <s v="NULL"/>
    <s v="NULL"/>
    <s v="NULL"/>
  </r>
  <r>
    <s v="Ofsted Webpage"/>
    <n v="1270915"/>
    <n v="10044879"/>
    <s v="On Course South West Cic"/>
    <x v="1"/>
    <s v="Independent learning providers (including employer providers)"/>
    <s v="City of London"/>
    <s v="London"/>
    <s v="London"/>
    <s v="NULL"/>
    <s v="NULL"/>
    <s v="NULL"/>
    <s v="NULL"/>
    <s v="NULL"/>
    <s v="NULL"/>
    <s v="NULL"/>
    <x v="5"/>
    <s v="NULL"/>
    <s v="NULL"/>
    <s v="NULL"/>
    <s v="NULL"/>
    <s v="NULL"/>
    <s v="NULL"/>
    <s v="NULL"/>
    <s v="NULL"/>
    <s v="NULL"/>
    <s v="NULL"/>
    <s v="NULL"/>
    <s v="NULL"/>
  </r>
  <r>
    <s v="Ofsted Webpage"/>
    <n v="1270916"/>
    <n v="10045062"/>
    <s v="Fresh Training Services (Uk) Limited"/>
    <x v="1"/>
    <s v="Independent learning providers (including employer providers)"/>
    <s v="Rotherham"/>
    <s v="Yorkshire and The Humber"/>
    <s v="North East, Yorkshire and the Humber"/>
    <s v="NULL"/>
    <s v="NULL"/>
    <s v="NULL"/>
    <s v="NULL"/>
    <s v="NULL"/>
    <s v="NULL"/>
    <s v="NULL"/>
    <x v="5"/>
    <s v="NULL"/>
    <s v="NULL"/>
    <s v="NULL"/>
    <s v="NULL"/>
    <s v="NULL"/>
    <s v="NULL"/>
    <s v="NULL"/>
    <s v="NULL"/>
    <s v="NULL"/>
    <s v="NULL"/>
    <s v="NULL"/>
    <s v="NULL"/>
  </r>
  <r>
    <s v="Ofsted Webpage"/>
    <n v="1270917"/>
    <n v="10045119"/>
    <s v="Vss Training And Development Limited"/>
    <x v="1"/>
    <s v="Independent learning providers (including employer providers)"/>
    <s v="Bury"/>
    <s v="North West"/>
    <s v="North West"/>
    <s v="NULL"/>
    <s v="NULL"/>
    <s v="NULL"/>
    <s v="NULL"/>
    <s v="NULL"/>
    <s v="NULL"/>
    <s v="NULL"/>
    <x v="5"/>
    <s v="NULL"/>
    <s v="NULL"/>
    <s v="NULL"/>
    <s v="NULL"/>
    <s v="NULL"/>
    <s v="NULL"/>
    <s v="NULL"/>
    <s v="NULL"/>
    <s v="NULL"/>
    <s v="NULL"/>
    <s v="NULL"/>
    <s v="NULL"/>
  </r>
  <r>
    <s v="Ofsted Webpage"/>
    <n v="1270918"/>
    <n v="10045166"/>
    <s v="Management Focus Training Solutions Limited"/>
    <x v="1"/>
    <s v="Independent learning providers (including employer providers)"/>
    <s v="Westminster"/>
    <s v="London"/>
    <s v="London"/>
    <s v="NULL"/>
    <s v="NULL"/>
    <s v="NULL"/>
    <s v="NULL"/>
    <s v="NULL"/>
    <s v="NULL"/>
    <s v="NULL"/>
    <x v="5"/>
    <s v="NULL"/>
    <s v="NULL"/>
    <s v="NULL"/>
    <s v="NULL"/>
    <s v="NULL"/>
    <s v="NULL"/>
    <s v="NULL"/>
    <s v="NULL"/>
    <s v="NULL"/>
    <s v="NULL"/>
    <s v="NULL"/>
    <s v="NULL"/>
  </r>
  <r>
    <s v="Ofsted Webpage"/>
    <n v="1270919"/>
    <n v="10045231"/>
    <s v="Netcom Training Ltd"/>
    <x v="1"/>
    <s v="Independent learning providers (including employer providers)"/>
    <s v="Birmingham"/>
    <s v="West Midlands"/>
    <s v="West Midlands"/>
    <s v="NULL"/>
    <s v="NULL"/>
    <s v="NULL"/>
    <s v="NULL"/>
    <s v="NULL"/>
    <s v="NULL"/>
    <s v="NULL"/>
    <x v="5"/>
    <s v="NULL"/>
    <s v="NULL"/>
    <s v="NULL"/>
    <s v="NULL"/>
    <s v="NULL"/>
    <s v="NULL"/>
    <s v="NULL"/>
    <s v="NULL"/>
    <s v="NULL"/>
    <s v="NULL"/>
    <s v="NULL"/>
    <s v="NULL"/>
  </r>
  <r>
    <s v="Ofsted Webpage"/>
    <n v="1270920"/>
    <n v="10045305"/>
    <s v="Total Training Company (Uk) Limited"/>
    <x v="1"/>
    <s v="Independent learning providers (including employer providers)"/>
    <s v="Birmingham"/>
    <s v="West Midlands"/>
    <s v="West Midlands"/>
    <s v="NULL"/>
    <s v="NULL"/>
    <s v="NULL"/>
    <s v="NULL"/>
    <s v="NULL"/>
    <s v="NULL"/>
    <s v="NULL"/>
    <x v="5"/>
    <s v="NULL"/>
    <s v="NULL"/>
    <s v="NULL"/>
    <s v="NULL"/>
    <s v="NULL"/>
    <s v="NULL"/>
    <s v="NULL"/>
    <s v="NULL"/>
    <s v="NULL"/>
    <s v="NULL"/>
    <s v="NULL"/>
    <s v="NULL"/>
  </r>
  <r>
    <s v="Ofsted Webpage"/>
    <n v="1270921"/>
    <n v="10045306"/>
    <s v="Strive Training (London) Limited"/>
    <x v="1"/>
    <s v="Independent learning providers (including employer providers)"/>
    <s v="Westminster"/>
    <s v="London"/>
    <s v="London"/>
    <s v="NULL"/>
    <s v="NULL"/>
    <s v="NULL"/>
    <s v="NULL"/>
    <s v="NULL"/>
    <s v="NULL"/>
    <s v="NULL"/>
    <x v="5"/>
    <s v="NULL"/>
    <s v="NULL"/>
    <s v="NULL"/>
    <s v="NULL"/>
    <s v="NULL"/>
    <s v="NULL"/>
    <s v="NULL"/>
    <s v="NULL"/>
    <s v="NULL"/>
    <s v="NULL"/>
    <s v="NULL"/>
    <s v="NULL"/>
  </r>
  <r>
    <s v="Ofsted Webpage"/>
    <n v="1270922"/>
    <n v="10045505"/>
    <s v="Innovative Alliance Ltd"/>
    <x v="1"/>
    <s v="Independent learning providers (including employer providers)"/>
    <s v="Halton"/>
    <s v="North West"/>
    <s v="North West"/>
    <s v="NULL"/>
    <s v="NULL"/>
    <s v="NULL"/>
    <s v="NULL"/>
    <s v="NULL"/>
    <s v="NULL"/>
    <s v="NULL"/>
    <x v="5"/>
    <s v="NULL"/>
    <s v="NULL"/>
    <s v="NULL"/>
    <s v="NULL"/>
    <s v="NULL"/>
    <s v="NULL"/>
    <s v="NULL"/>
    <s v="NULL"/>
    <s v="NULL"/>
    <s v="NULL"/>
    <s v="NULL"/>
    <s v="NULL"/>
  </r>
  <r>
    <s v="Ofsted Webpage"/>
    <n v="1270923"/>
    <n v="10046705"/>
    <s v="Kickstart2Employment Ltd"/>
    <x v="1"/>
    <s v="Independent learning providers (including employer providers)"/>
    <s v="Wrexham"/>
    <s v="Wales"/>
    <s v="Wales"/>
    <s v="NULL"/>
    <s v="NULL"/>
    <s v="NULL"/>
    <s v="NULL"/>
    <s v="NULL"/>
    <s v="NULL"/>
    <s v="NULL"/>
    <x v="5"/>
    <s v="NULL"/>
    <s v="NULL"/>
    <s v="NULL"/>
    <s v="NULL"/>
    <s v="NULL"/>
    <s v="NULL"/>
    <s v="NULL"/>
    <s v="NULL"/>
    <s v="NULL"/>
    <s v="NULL"/>
    <s v="NULL"/>
    <s v="NULL"/>
  </r>
  <r>
    <s v="Ofsted Webpage"/>
    <n v="1270924"/>
    <n v="10046979"/>
    <s v="The Portland Training Company Limited"/>
    <x v="1"/>
    <s v="Independent learning providers (including employer providers)"/>
    <s v="Sheffield"/>
    <s v="Yorkshire and The Humber"/>
    <s v="North East, Yorkshire and the Humber"/>
    <s v="NULL"/>
    <s v="NULL"/>
    <s v="NULL"/>
    <s v="NULL"/>
    <s v="NULL"/>
    <s v="NULL"/>
    <s v="NULL"/>
    <x v="5"/>
    <s v="NULL"/>
    <s v="NULL"/>
    <s v="NULL"/>
    <s v="NULL"/>
    <s v="NULL"/>
    <s v="NULL"/>
    <s v="NULL"/>
    <s v="NULL"/>
    <s v="NULL"/>
    <s v="NULL"/>
    <s v="NULL"/>
    <s v="NULL"/>
  </r>
  <r>
    <s v="Ofsted Webpage"/>
    <n v="1270925"/>
    <n v="10047357"/>
    <s v="Cpc Training Consultants Ltd"/>
    <x v="1"/>
    <s v="Independent learning providers (including employer providers)"/>
    <s v="Sandwell"/>
    <s v="West Midlands"/>
    <s v="West Midlands"/>
    <s v="NULL"/>
    <s v="NULL"/>
    <s v="NULL"/>
    <s v="NULL"/>
    <s v="NULL"/>
    <s v="NULL"/>
    <s v="NULL"/>
    <x v="5"/>
    <s v="NULL"/>
    <s v="NULL"/>
    <s v="NULL"/>
    <s v="NULL"/>
    <s v="NULL"/>
    <s v="NULL"/>
    <s v="NULL"/>
    <s v="NULL"/>
    <s v="NULL"/>
    <s v="NULL"/>
    <s v="NULL"/>
    <s v="NULL"/>
  </r>
  <r>
    <s v="Ofsted Webpage"/>
    <n v="1270926"/>
    <n v="10048284"/>
    <s v="Edlounge Ltd"/>
    <x v="1"/>
    <s v="Independent learning providers (including employer providers)"/>
    <s v="Rotherham"/>
    <s v="Yorkshire and The Humber"/>
    <s v="North East, Yorkshire and the Humber"/>
    <s v="NULL"/>
    <s v="NULL"/>
    <s v="NULL"/>
    <s v="NULL"/>
    <s v="NULL"/>
    <s v="NULL"/>
    <s v="NULL"/>
    <x v="5"/>
    <s v="NULL"/>
    <s v="NULL"/>
    <s v="NULL"/>
    <s v="NULL"/>
    <s v="NULL"/>
    <s v="NULL"/>
    <s v="NULL"/>
    <s v="NULL"/>
    <s v="NULL"/>
    <s v="NULL"/>
    <s v="NULL"/>
    <s v="NULL"/>
  </r>
  <r>
    <s v="Ofsted Webpage"/>
    <n v="1270927"/>
    <n v="10048326"/>
    <s v="International Consultants Trading Ltd"/>
    <x v="1"/>
    <s v="Independent learning providers (including employer providers)"/>
    <s v="Redbridge"/>
    <s v="London"/>
    <s v="London"/>
    <s v="NULL"/>
    <s v="NULL"/>
    <s v="NULL"/>
    <s v="NULL"/>
    <s v="NULL"/>
    <s v="NULL"/>
    <s v="NULL"/>
    <x v="5"/>
    <s v="NULL"/>
    <s v="NULL"/>
    <s v="NULL"/>
    <s v="NULL"/>
    <s v="NULL"/>
    <s v="NULL"/>
    <s v="NULL"/>
    <s v="NULL"/>
    <s v="NULL"/>
    <s v="NULL"/>
    <s v="NULL"/>
    <s v="NULL"/>
  </r>
  <r>
    <s v="Ofsted Webpage"/>
    <n v="1270928"/>
    <n v="10049461"/>
    <s v="Talented Training Limited"/>
    <x v="1"/>
    <s v="Independent learning providers (including employer providers)"/>
    <s v="Leeds"/>
    <s v="Yorkshire and The Humber"/>
    <s v="North East, Yorkshire and the Humber"/>
    <s v="NULL"/>
    <s v="NULL"/>
    <s v="NULL"/>
    <s v="NULL"/>
    <s v="NULL"/>
    <s v="NULL"/>
    <s v="NULL"/>
    <x v="5"/>
    <s v="NULL"/>
    <s v="NULL"/>
    <s v="NULL"/>
    <s v="NULL"/>
    <s v="NULL"/>
    <s v="NULL"/>
    <s v="NULL"/>
    <s v="NULL"/>
    <s v="NULL"/>
    <s v="NULL"/>
    <s v="NULL"/>
    <s v="NULL"/>
  </r>
  <r>
    <s v="Ofsted Webpage"/>
    <n v="1270929"/>
    <n v="10052437"/>
    <s v="The Education And Skills Partnership Ltd"/>
    <x v="1"/>
    <s v="Independent learning providers (including employer providers)"/>
    <s v="Hackney"/>
    <s v="London"/>
    <s v="London"/>
    <s v="NULL"/>
    <s v="NULL"/>
    <s v="NULL"/>
    <s v="NULL"/>
    <s v="NULL"/>
    <s v="NULL"/>
    <s v="NULL"/>
    <x v="5"/>
    <s v="NULL"/>
    <s v="NULL"/>
    <s v="NULL"/>
    <s v="NULL"/>
    <s v="NULL"/>
    <s v="NULL"/>
    <s v="NULL"/>
    <s v="NULL"/>
    <s v="NULL"/>
    <s v="NULL"/>
    <s v="NULL"/>
    <s v="NULL"/>
  </r>
  <r>
    <s v="Ofsted Webpage"/>
    <n v="1270930"/>
    <n v="10052815"/>
    <s v="Training Skills Uk Ltd"/>
    <x v="1"/>
    <s v="Independent learning providers (including employer providers)"/>
    <s v="Westminster"/>
    <s v="London"/>
    <s v="London"/>
    <s v="NULL"/>
    <s v="NULL"/>
    <s v="NULL"/>
    <s v="NULL"/>
    <s v="NULL"/>
    <s v="NULL"/>
    <s v="NULL"/>
    <x v="5"/>
    <s v="NULL"/>
    <s v="NULL"/>
    <s v="NULL"/>
    <s v="NULL"/>
    <s v="NULL"/>
    <s v="NULL"/>
    <s v="NULL"/>
    <s v="NULL"/>
    <s v="NULL"/>
    <s v="NULL"/>
    <s v="NULL"/>
    <s v="NULL"/>
  </r>
  <r>
    <s v="Ofsted Webpage"/>
    <n v="1270931"/>
    <n v="10052892"/>
    <s v="Culture, Learning And Libraries (Midlands)"/>
    <x v="1"/>
    <s v="Independent learning providers (including employer providers)"/>
    <s v="Nottingham"/>
    <s v="East Midlands"/>
    <s v="East Midlands"/>
    <s v="NULL"/>
    <s v="NULL"/>
    <s v="NULL"/>
    <s v="NULL"/>
    <s v="NULL"/>
    <s v="NULL"/>
    <s v="NULL"/>
    <x v="5"/>
    <s v="NULL"/>
    <s v="NULL"/>
    <s v="NULL"/>
    <s v="NULL"/>
    <s v="NULL"/>
    <s v="NULL"/>
    <s v="NULL"/>
    <s v="NULL"/>
    <s v="NULL"/>
    <s v="NULL"/>
    <s v="NULL"/>
    <s v="NULL"/>
  </r>
  <r>
    <s v="Ofsted Webpage"/>
    <n v="1270932"/>
    <n v="10053055"/>
    <s v="Ab Education Consultants Limited"/>
    <x v="1"/>
    <s v="Independent learning providers (including employer providers)"/>
    <s v="North Tyneside"/>
    <s v="North East"/>
    <s v="North East, Yorkshire and the Humber"/>
    <s v="NULL"/>
    <s v="NULL"/>
    <s v="NULL"/>
    <s v="NULL"/>
    <s v="NULL"/>
    <s v="NULL"/>
    <s v="NULL"/>
    <x v="5"/>
    <s v="NULL"/>
    <s v="NULL"/>
    <s v="NULL"/>
    <s v="NULL"/>
    <s v="NULL"/>
    <s v="NULL"/>
    <s v="NULL"/>
    <s v="NULL"/>
    <s v="NULL"/>
    <s v="NULL"/>
    <s v="NULL"/>
    <s v="NULL"/>
  </r>
  <r>
    <s v="Ofsted Webpage"/>
    <n v="1270933"/>
    <n v="10054216"/>
    <s v="Mbkb Ltd"/>
    <x v="1"/>
    <s v="Independent learning providers (including employer providers)"/>
    <s v="Wolverhampton"/>
    <s v="West Midlands"/>
    <s v="West Midlands"/>
    <s v="NULL"/>
    <s v="NULL"/>
    <s v="NULL"/>
    <s v="NULL"/>
    <s v="NULL"/>
    <s v="NULL"/>
    <s v="NULL"/>
    <x v="5"/>
    <s v="NULL"/>
    <s v="NULL"/>
    <s v="NULL"/>
    <s v="NULL"/>
    <s v="NULL"/>
    <s v="NULL"/>
    <s v="NULL"/>
    <s v="NULL"/>
    <s v="NULL"/>
    <s v="NULL"/>
    <s v="NULL"/>
    <s v="NULL"/>
  </r>
  <r>
    <s v="Ofsted Webpage"/>
    <n v="1270934"/>
    <n v="10054692"/>
    <s v="Altamira Art &amp; Design Ltd"/>
    <x v="1"/>
    <s v="Independent learning providers (including employer providers)"/>
    <s v="Tower Hamlets"/>
    <s v="London"/>
    <s v="London"/>
    <s v="NULL"/>
    <s v="NULL"/>
    <s v="NULL"/>
    <s v="NULL"/>
    <s v="NULL"/>
    <s v="NULL"/>
    <s v="NULL"/>
    <x v="5"/>
    <s v="NULL"/>
    <s v="NULL"/>
    <s v="NULL"/>
    <s v="NULL"/>
    <s v="NULL"/>
    <s v="NULL"/>
    <s v="NULL"/>
    <s v="NULL"/>
    <s v="NULL"/>
    <s v="NULL"/>
    <s v="NULL"/>
    <s v="NULL"/>
  </r>
  <r>
    <s v="Ofsted Webpage"/>
    <n v="1270935"/>
    <n v="10054898"/>
    <s v="Csj Training Limited"/>
    <x v="1"/>
    <s v="Independent learning providers (including employer providers)"/>
    <s v="Staffordshire"/>
    <s v="West Midlands"/>
    <s v="West Midlands"/>
    <s v="NULL"/>
    <s v="NULL"/>
    <s v="NULL"/>
    <s v="NULL"/>
    <s v="NULL"/>
    <s v="NULL"/>
    <s v="NULL"/>
    <x v="5"/>
    <s v="NULL"/>
    <s v="NULL"/>
    <s v="NULL"/>
    <s v="NULL"/>
    <s v="NULL"/>
    <s v="NULL"/>
    <s v="NULL"/>
    <s v="NULL"/>
    <s v="NULL"/>
    <s v="NULL"/>
    <s v="NULL"/>
    <s v="NULL"/>
  </r>
  <r>
    <s v="Ofsted Webpage"/>
    <n v="1270936"/>
    <n v="10056694"/>
    <s v="Uniper Technologies Limited"/>
    <x v="1"/>
    <s v="Independent learning providers (including employer providers)"/>
    <s v="Nottinghamshire"/>
    <s v="East Midlands"/>
    <s v="East Midlands"/>
    <s v="NULL"/>
    <s v="NULL"/>
    <s v="NULL"/>
    <s v="NULL"/>
    <s v="NULL"/>
    <s v="NULL"/>
    <s v="NULL"/>
    <x v="5"/>
    <s v="NULL"/>
    <s v="NULL"/>
    <s v="NULL"/>
    <s v="NULL"/>
    <s v="NULL"/>
    <s v="NULL"/>
    <s v="NULL"/>
    <s v="NULL"/>
    <s v="NULL"/>
    <s v="NULL"/>
    <s v="NULL"/>
    <s v="NULL"/>
  </r>
  <r>
    <s v="Ofsted Webpage"/>
    <n v="1272201"/>
    <n v="10001640"/>
    <s v="Inspira Cumbria Limited"/>
    <x v="1"/>
    <s v="Independent learning providers (including employer providers)"/>
    <s v="Cumbria"/>
    <s v="North West"/>
    <s v="North West"/>
    <s v="NULL"/>
    <s v="NULL"/>
    <s v="NULL"/>
    <s v="NULL"/>
    <s v="NULL"/>
    <s v="NULL"/>
    <s v="NULL"/>
    <x v="5"/>
    <s v="NULL"/>
    <s v="NULL"/>
    <s v="NULL"/>
    <s v="NULL"/>
    <s v="NULL"/>
    <s v="NULL"/>
    <s v="NULL"/>
    <s v="NULL"/>
    <s v="NULL"/>
    <s v="NULL"/>
    <s v="NULL"/>
    <s v="NULL"/>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I3:M16" firstHeaderRow="1" firstDataRow="2" firstDataCol="1" rowPageCount="1" colPageCount="1"/>
  <pivotFields count="32">
    <pivotField showAll="0"/>
    <pivotField showAll="0"/>
    <pivotField showAll="0"/>
    <pivotField showAll="0"/>
    <pivotField axis="axisRow" showAll="0">
      <items count="13">
        <item x="7"/>
        <item x="2"/>
        <item x="6"/>
        <item x="4"/>
        <item x="0"/>
        <item x="3"/>
        <item x="1"/>
        <item x="11"/>
        <item x="8"/>
        <item x="5"/>
        <item x="9"/>
        <item x="10"/>
        <item t="default"/>
      </items>
    </pivotField>
    <pivotField showAll="0"/>
    <pivotField showAll="0"/>
    <pivotField showAll="0"/>
    <pivotField showAll="0" defaultSubtotal="0"/>
    <pivotField dataField="1" showAll="0"/>
    <pivotField showAll="0"/>
    <pivotField axis="axisPage" multipleItemSelectionAllowed="1" showAll="0" defaultSubtotal="0">
      <items count="3">
        <item h="1" x="0"/>
        <item x="1"/>
        <item x="2"/>
      </items>
    </pivotField>
    <pivotField showAll="0" defaultSubtotal="0"/>
    <pivotField numFmtId="14" showAll="0"/>
    <pivotField numFmtId="14" showAll="0"/>
    <pivotField showAll="0"/>
    <pivotField axis="axisCol" showAll="0" defaultSubtotal="0">
      <items count="5">
        <item x="3"/>
        <item x="0"/>
        <item x="4"/>
        <item x="1"/>
        <item x="2"/>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12">
    <i>
      <x v="1"/>
    </i>
    <i>
      <x v="2"/>
    </i>
    <i>
      <x v="3"/>
    </i>
    <i>
      <x v="4"/>
    </i>
    <i>
      <x v="5"/>
    </i>
    <i>
      <x v="6"/>
    </i>
    <i>
      <x v="7"/>
    </i>
    <i>
      <x v="8"/>
    </i>
    <i>
      <x v="9"/>
    </i>
    <i>
      <x v="10"/>
    </i>
    <i>
      <x v="11"/>
    </i>
    <i t="grand">
      <x/>
    </i>
  </rowItems>
  <colFields count="1">
    <field x="16"/>
  </colFields>
  <colItems count="4">
    <i>
      <x v="1"/>
    </i>
    <i>
      <x v="3"/>
    </i>
    <i>
      <x v="4"/>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G17" firstHeaderRow="1" firstDataRow="2" firstDataCol="1" rowPageCount="1" colPageCount="1"/>
  <pivotFields count="32">
    <pivotField showAll="0"/>
    <pivotField showAll="0"/>
    <pivotField showAll="0"/>
    <pivotField showAll="0"/>
    <pivotField axis="axisRow" showAll="0">
      <items count="13">
        <item x="7"/>
        <item x="2"/>
        <item x="6"/>
        <item x="4"/>
        <item x="0"/>
        <item x="3"/>
        <item x="1"/>
        <item x="11"/>
        <item x="8"/>
        <item x="5"/>
        <item x="9"/>
        <item x="10"/>
        <item t="default"/>
      </items>
    </pivotField>
    <pivotField showAll="0"/>
    <pivotField showAll="0"/>
    <pivotField showAll="0"/>
    <pivotField showAll="0" defaultSubtotal="0"/>
    <pivotField dataField="1" showAll="0"/>
    <pivotField showAll="0"/>
    <pivotField axis="axisPage" multipleItemSelectionAllowed="1" showAll="0" defaultSubtotal="0">
      <items count="3">
        <item x="0"/>
        <item x="1"/>
        <item x="2"/>
      </items>
    </pivotField>
    <pivotField showAll="0" defaultSubtotal="0"/>
    <pivotField numFmtId="14" showAll="0"/>
    <pivotField numFmtId="14" showAll="0"/>
    <pivotField showAll="0"/>
    <pivotField axis="axisCol" defaultSubtotal="0">
      <items count="5">
        <item x="2"/>
        <item x="3"/>
        <item x="0"/>
        <item x="4"/>
        <item x="1"/>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13">
    <i>
      <x/>
    </i>
    <i>
      <x v="1"/>
    </i>
    <i>
      <x v="2"/>
    </i>
    <i>
      <x v="3"/>
    </i>
    <i>
      <x v="4"/>
    </i>
    <i>
      <x v="5"/>
    </i>
    <i>
      <x v="6"/>
    </i>
    <i>
      <x v="7"/>
    </i>
    <i>
      <x v="8"/>
    </i>
    <i>
      <x v="9"/>
    </i>
    <i>
      <x v="10"/>
    </i>
    <i>
      <x v="11"/>
    </i>
    <i t="grand">
      <x/>
    </i>
  </rowItems>
  <colFields count="1">
    <field x="16"/>
  </colFields>
  <colItems count="6">
    <i>
      <x/>
    </i>
    <i>
      <x v="1"/>
    </i>
    <i>
      <x v="2"/>
    </i>
    <i>
      <x v="3"/>
    </i>
    <i>
      <x v="4"/>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G15" firstHeaderRow="1" firstDataRow="2" firstDataCol="1" rowPageCount="1" colPageCount="1"/>
  <pivotFields count="32">
    <pivotField showAll="0"/>
    <pivotField showAll="0"/>
    <pivotField showAll="0"/>
    <pivotField showAll="0"/>
    <pivotField axis="axisRow" showAll="0">
      <items count="13">
        <item x="7"/>
        <item x="2"/>
        <item x="6"/>
        <item x="4"/>
        <item x="0"/>
        <item x="3"/>
        <item x="1"/>
        <item x="11"/>
        <item x="8"/>
        <item x="5"/>
        <item x="9"/>
        <item x="10"/>
        <item t="default"/>
      </items>
    </pivotField>
    <pivotField showAll="0"/>
    <pivotField showAll="0"/>
    <pivotField showAll="0"/>
    <pivotField showAll="0" defaultSubtotal="0"/>
    <pivotField dataField="1" showAll="0"/>
    <pivotField showAll="0"/>
    <pivotField axis="axisPage" multipleItemSelectionAllowed="1" showAll="0" defaultSubtotal="0">
      <items count="3">
        <item x="0"/>
        <item h="1" x="1"/>
        <item h="1" x="2"/>
      </items>
    </pivotField>
    <pivotField showAll="0" defaultSubtotal="0"/>
    <pivotField numFmtId="14" showAll="0"/>
    <pivotField numFmtId="14" showAll="0"/>
    <pivotField showAll="0"/>
    <pivotField axis="axisCol" defaultSubtotal="0">
      <items count="5">
        <item x="2"/>
        <item x="3"/>
        <item x="0"/>
        <item x="4"/>
        <item x="1"/>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11">
    <i>
      <x/>
    </i>
    <i>
      <x v="1"/>
    </i>
    <i>
      <x v="2"/>
    </i>
    <i>
      <x v="3"/>
    </i>
    <i>
      <x v="4"/>
    </i>
    <i>
      <x v="5"/>
    </i>
    <i>
      <x v="6"/>
    </i>
    <i>
      <x v="7"/>
    </i>
    <i>
      <x v="8"/>
    </i>
    <i>
      <x v="9"/>
    </i>
    <i t="grand">
      <x/>
    </i>
  </rowItems>
  <colFields count="1">
    <field x="16"/>
  </colFields>
  <colItems count="6">
    <i>
      <x/>
    </i>
    <i>
      <x v="1"/>
    </i>
    <i>
      <x v="2"/>
    </i>
    <i>
      <x v="3"/>
    </i>
    <i>
      <x v="4"/>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H3:K10" firstHeaderRow="1" firstDataRow="2" firstDataCol="1" rowPageCount="1" colPageCount="1"/>
  <pivotFields count="32">
    <pivotField showAll="0"/>
    <pivotField showAll="0"/>
    <pivotField showAll="0"/>
    <pivotField showAll="0"/>
    <pivotField axis="axisRow" showAll="0">
      <items count="13">
        <item x="7"/>
        <item x="2"/>
        <item x="6"/>
        <item x="4"/>
        <item x="0"/>
        <item x="3"/>
        <item x="1"/>
        <item x="11"/>
        <item x="8"/>
        <item x="5"/>
        <item x="9"/>
        <item x="10"/>
        <item t="default"/>
      </items>
    </pivotField>
    <pivotField showAll="0"/>
    <pivotField showAll="0"/>
    <pivotField showAll="0"/>
    <pivotField showAll="0" defaultSubtotal="0"/>
    <pivotField dataField="1" showAll="0"/>
    <pivotField showAll="0"/>
    <pivotField axis="axisPage" multipleItemSelectionAllowed="1" showAll="0" defaultSubtotal="0">
      <items count="3">
        <item h="1" x="0"/>
        <item h="1" x="1"/>
        <item x="2"/>
      </items>
    </pivotField>
    <pivotField showAll="0" defaultSubtotal="0"/>
    <pivotField numFmtId="14" showAll="0"/>
    <pivotField numFmtId="14" showAll="0"/>
    <pivotField showAll="0"/>
    <pivotField axis="axisCol" showAll="0" defaultSubtotal="0">
      <items count="5">
        <item x="2"/>
        <item x="3"/>
        <item x="0"/>
        <item x="4"/>
        <item x="1"/>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6">
    <i>
      <x v="1"/>
    </i>
    <i>
      <x v="3"/>
    </i>
    <i>
      <x v="4"/>
    </i>
    <i>
      <x v="6"/>
    </i>
    <i>
      <x v="10"/>
    </i>
    <i t="grand">
      <x/>
    </i>
  </rowItems>
  <colFields count="1">
    <field x="16"/>
  </colFields>
  <colItems count="3">
    <i>
      <x/>
    </i>
    <i>
      <x v="2"/>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C15" firstHeaderRow="1" firstDataRow="2" firstDataCol="1" rowPageCount="1" colPageCount="1"/>
  <pivotFields count="32">
    <pivotField showAll="0"/>
    <pivotField showAll="0"/>
    <pivotField showAll="0"/>
    <pivotField showAll="0"/>
    <pivotField axis="axisRow" showAll="0">
      <items count="13">
        <item x="7"/>
        <item x="2"/>
        <item x="6"/>
        <item x="4"/>
        <item x="0"/>
        <item x="3"/>
        <item x="1"/>
        <item x="11"/>
        <item x="8"/>
        <item x="5"/>
        <item x="9"/>
        <item x="10"/>
        <item t="default"/>
      </items>
    </pivotField>
    <pivotField showAll="0"/>
    <pivotField showAll="0"/>
    <pivotField showAll="0"/>
    <pivotField showAll="0" defaultSubtotal="0"/>
    <pivotField dataField="1" showAll="0"/>
    <pivotField showAll="0"/>
    <pivotField axis="axisPage" multipleItemSelectionAllowed="1" showAll="0" defaultSubtotal="0">
      <items count="3">
        <item h="1" x="0"/>
        <item x="1"/>
        <item h="1" x="2"/>
      </items>
    </pivotField>
    <pivotField showAll="0" defaultSubtotal="0"/>
    <pivotField numFmtId="14" showAll="0"/>
    <pivotField numFmtId="14" showAll="0"/>
    <pivotField showAll="0"/>
    <pivotField axis="axisCol" showAll="0" defaultSubtotal="0">
      <items count="5">
        <item x="2"/>
        <item x="3"/>
        <item x="0"/>
        <item x="4"/>
        <item x="1"/>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11">
    <i>
      <x v="1"/>
    </i>
    <i>
      <x v="2"/>
    </i>
    <i>
      <x v="3"/>
    </i>
    <i>
      <x v="4"/>
    </i>
    <i>
      <x v="5"/>
    </i>
    <i>
      <x v="6"/>
    </i>
    <i>
      <x v="7"/>
    </i>
    <i>
      <x v="8"/>
    </i>
    <i>
      <x v="9"/>
    </i>
    <i>
      <x v="11"/>
    </i>
    <i t="grand">
      <x/>
    </i>
  </rowItems>
  <colFields count="1">
    <field x="16"/>
  </colFields>
  <colItems count="2">
    <i>
      <x v="4"/>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H20" firstHeaderRow="1" firstDataRow="2" firstDataCol="1"/>
  <pivotFields count="29">
    <pivotField showAll="0" defaultSubtotal="0"/>
    <pivotField showAll="0"/>
    <pivotField showAll="0" defaultSubtotal="0"/>
    <pivotField showAll="0"/>
    <pivotField axis="axisRow" showAll="0">
      <items count="17">
        <item x="13"/>
        <item x="14"/>
        <item x="12"/>
        <item x="0"/>
        <item x="4"/>
        <item x="8"/>
        <item x="11"/>
        <item x="1"/>
        <item x="6"/>
        <item x="2"/>
        <item x="5"/>
        <item x="3"/>
        <item x="9"/>
        <item x="7"/>
        <item x="10"/>
        <item m="1" x="15"/>
        <item t="default"/>
      </items>
    </pivotField>
    <pivotField showAll="0"/>
    <pivotField showAll="0"/>
    <pivotField showAll="0"/>
    <pivotField showAll="0" defaultSubtotal="0"/>
    <pivotField showAll="0" defaultSubtotal="0"/>
    <pivotField showAll="0" defaultSubtotal="0"/>
    <pivotField dataField="1" showAll="0"/>
    <pivotField showAll="0"/>
    <pivotField showAll="0"/>
    <pivotField showAll="0"/>
    <pivotField showAll="0" defaultSubtotal="0"/>
    <pivotField axis="axisCol" showAll="0">
      <items count="7">
        <item x="1"/>
        <item x="0"/>
        <item x="2"/>
        <item x="4"/>
        <item x="5"/>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16">
    <i>
      <x/>
    </i>
    <i>
      <x v="1"/>
    </i>
    <i>
      <x v="2"/>
    </i>
    <i>
      <x v="3"/>
    </i>
    <i>
      <x v="4"/>
    </i>
    <i>
      <x v="5"/>
    </i>
    <i>
      <x v="6"/>
    </i>
    <i>
      <x v="7"/>
    </i>
    <i>
      <x v="8"/>
    </i>
    <i>
      <x v="9"/>
    </i>
    <i>
      <x v="10"/>
    </i>
    <i>
      <x v="11"/>
    </i>
    <i>
      <x v="12"/>
    </i>
    <i>
      <x v="13"/>
    </i>
    <i>
      <x v="14"/>
    </i>
    <i t="grand">
      <x/>
    </i>
  </rowItems>
  <colFields count="1">
    <field x="16"/>
  </colFields>
  <colItems count="7">
    <i>
      <x/>
    </i>
    <i>
      <x v="1"/>
    </i>
    <i>
      <x v="2"/>
    </i>
    <i>
      <x v="3"/>
    </i>
    <i>
      <x v="4"/>
    </i>
    <i>
      <x v="5"/>
    </i>
    <i t="grand">
      <x/>
    </i>
  </colItems>
  <dataFields count="1">
    <dataField name="Count of Inspection number" fld="1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gov.uk/government/statistical-data-sets/monthly-management-information-ofsteds-further-education-and-skills-inspections-outcomes-from-december-2015" TargetMode="External"/><Relationship Id="rId3" Type="http://schemas.openxmlformats.org/officeDocument/2006/relationships/hyperlink" Target="mailto:psi@nationalarchives.gsi.gov.uk" TargetMode="External"/><Relationship Id="rId7" Type="http://schemas.openxmlformats.org/officeDocument/2006/relationships/hyperlink" Target="https://www.gov.uk/government/collections/further-education-and-skills-inspection-outcomes"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http://www.nationalarchives.gov.uk/doc/open-government-licence" TargetMode="External"/><Relationship Id="rId6" Type="http://schemas.openxmlformats.org/officeDocument/2006/relationships/hyperlink" Target="mailto:pressenquiries@ofsted.gov.uk" TargetMode="External"/><Relationship Id="rId5" Type="http://schemas.openxmlformats.org/officeDocument/2006/relationships/hyperlink" Target="mailto:enquiries@ofsted.gov.uk" TargetMode="External"/><Relationship Id="rId4" Type="http://schemas.openxmlformats.org/officeDocument/2006/relationships/hyperlink" Target="mailto:psi@nationalarchives.gsi.gov.uk" TargetMode="Externa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11.xml.rels><?xml version="1.0" encoding="UTF-8" standalone="yes"?>
<Relationships xmlns="http://schemas.openxmlformats.org/package/2006/relationships"><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ov.uk/government/publications/further-education-and-skills-inspection-handboo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O30"/>
  <sheetViews>
    <sheetView showGridLines="0" showRowColHeaders="0" tabSelected="1" workbookViewId="0"/>
  </sheetViews>
  <sheetFormatPr defaultColWidth="8.88671875" defaultRowHeight="13.2" x14ac:dyDescent="0.25"/>
  <cols>
    <col min="1" max="1" width="7.6640625" style="9" customWidth="1"/>
    <col min="2" max="2" width="41.44140625" style="9" customWidth="1"/>
    <col min="3" max="3" width="72.88671875" style="9" customWidth="1"/>
    <col min="4" max="16384" width="8.88671875" style="9"/>
  </cols>
  <sheetData>
    <row r="1" spans="2:15" x14ac:dyDescent="0.25">
      <c r="B1" s="47"/>
      <c r="C1" s="48"/>
    </row>
    <row r="2" spans="2:15" x14ac:dyDescent="0.25">
      <c r="B2" s="32"/>
      <c r="C2" s="33"/>
    </row>
    <row r="3" spans="2:15" ht="24.6" x14ac:dyDescent="0.4">
      <c r="B3" s="49"/>
      <c r="C3" s="33"/>
      <c r="E3" s="50"/>
      <c r="F3" s="51"/>
      <c r="G3" s="51"/>
      <c r="H3" s="51"/>
    </row>
    <row r="4" spans="2:15" ht="24.6" x14ac:dyDescent="0.4">
      <c r="B4" s="52" t="s">
        <v>46</v>
      </c>
      <c r="C4" s="33"/>
    </row>
    <row r="5" spans="2:15" x14ac:dyDescent="0.25">
      <c r="B5" s="53"/>
      <c r="C5" s="54"/>
    </row>
    <row r="6" spans="2:15" ht="62.25" customHeight="1" x14ac:dyDescent="0.25">
      <c r="B6" s="153" t="s">
        <v>2</v>
      </c>
      <c r="C6" s="153"/>
    </row>
    <row r="7" spans="2:15" ht="30" customHeight="1" x14ac:dyDescent="0.25">
      <c r="B7" s="55" t="s">
        <v>3</v>
      </c>
      <c r="C7" s="55" t="s">
        <v>4</v>
      </c>
    </row>
    <row r="8" spans="2:15" ht="30" customHeight="1" x14ac:dyDescent="0.25">
      <c r="B8" s="55" t="s">
        <v>5</v>
      </c>
      <c r="C8" s="55" t="s">
        <v>6</v>
      </c>
    </row>
    <row r="9" spans="2:15" ht="30" customHeight="1" x14ac:dyDescent="0.25">
      <c r="B9" s="55" t="s">
        <v>7</v>
      </c>
      <c r="C9" s="149" t="s">
        <v>3083</v>
      </c>
    </row>
    <row r="10" spans="2:15" ht="30" customHeight="1" x14ac:dyDescent="0.25">
      <c r="B10" s="55" t="s">
        <v>8</v>
      </c>
      <c r="C10" s="55" t="s">
        <v>9</v>
      </c>
    </row>
    <row r="11" spans="2:15" ht="36" customHeight="1" x14ac:dyDescent="0.25">
      <c r="B11" s="55" t="s">
        <v>44</v>
      </c>
      <c r="C11" s="150" t="s">
        <v>3079</v>
      </c>
    </row>
    <row r="12" spans="2:15" ht="30" customHeight="1" x14ac:dyDescent="0.25">
      <c r="B12" s="55" t="s">
        <v>45</v>
      </c>
      <c r="C12" s="150" t="s">
        <v>3080</v>
      </c>
    </row>
    <row r="13" spans="2:15" ht="30" customHeight="1" x14ac:dyDescent="0.25">
      <c r="B13" s="55" t="s">
        <v>10</v>
      </c>
      <c r="C13" s="56" t="s">
        <v>11</v>
      </c>
    </row>
    <row r="14" spans="2:15" ht="30" customHeight="1" x14ac:dyDescent="0.25">
      <c r="B14" s="31" t="s">
        <v>12</v>
      </c>
      <c r="C14" s="31" t="s">
        <v>13</v>
      </c>
      <c r="F14" s="51"/>
      <c r="G14" s="51"/>
      <c r="H14" s="51"/>
      <c r="I14" s="51"/>
      <c r="J14" s="51"/>
      <c r="K14" s="51"/>
      <c r="L14" s="51"/>
      <c r="M14" s="51"/>
      <c r="N14" s="51"/>
      <c r="O14" s="51"/>
    </row>
    <row r="15" spans="2:15" ht="30" customHeight="1" x14ac:dyDescent="0.25">
      <c r="B15" s="31" t="s">
        <v>14</v>
      </c>
      <c r="C15" s="57" t="s">
        <v>15</v>
      </c>
      <c r="F15" s="51"/>
      <c r="G15" s="51"/>
      <c r="H15" s="51"/>
      <c r="I15" s="51"/>
      <c r="J15" s="51"/>
      <c r="K15" s="51"/>
      <c r="L15" s="51"/>
      <c r="M15" s="51"/>
      <c r="N15" s="51"/>
      <c r="O15" s="51"/>
    </row>
    <row r="16" spans="2:15" ht="30" customHeight="1" x14ac:dyDescent="0.25">
      <c r="B16" s="31" t="s">
        <v>16</v>
      </c>
      <c r="C16" s="57" t="s">
        <v>17</v>
      </c>
    </row>
    <row r="17" spans="2:3" ht="52.5" customHeight="1" x14ac:dyDescent="0.25">
      <c r="B17" s="31" t="s">
        <v>18</v>
      </c>
      <c r="C17" s="57" t="s">
        <v>47</v>
      </c>
    </row>
    <row r="18" spans="2:3" ht="39" customHeight="1" x14ac:dyDescent="0.25">
      <c r="B18" s="31" t="s">
        <v>19</v>
      </c>
      <c r="C18" s="57" t="s">
        <v>20</v>
      </c>
    </row>
    <row r="19" spans="2:3" ht="15" customHeight="1" x14ac:dyDescent="0.25">
      <c r="B19" s="32"/>
      <c r="C19" s="33"/>
    </row>
    <row r="20" spans="2:3" x14ac:dyDescent="0.25">
      <c r="B20" s="34"/>
      <c r="C20" s="35"/>
    </row>
    <row r="21" spans="2:3" ht="15" x14ac:dyDescent="0.25">
      <c r="B21" s="36" t="s">
        <v>3084</v>
      </c>
      <c r="C21" s="37"/>
    </row>
    <row r="22" spans="2:3" ht="15" x14ac:dyDescent="0.25">
      <c r="B22" s="36"/>
      <c r="C22" s="38"/>
    </row>
    <row r="23" spans="2:3" ht="15" x14ac:dyDescent="0.25">
      <c r="B23" s="36" t="s">
        <v>21</v>
      </c>
      <c r="C23" s="39"/>
    </row>
    <row r="24" spans="2:3" ht="15" x14ac:dyDescent="0.25">
      <c r="B24" s="36" t="s">
        <v>22</v>
      </c>
      <c r="C24" s="39"/>
    </row>
    <row r="25" spans="2:3" ht="15" customHeight="1" x14ac:dyDescent="0.25">
      <c r="B25" s="40" t="s">
        <v>23</v>
      </c>
      <c r="C25" s="39"/>
    </row>
    <row r="26" spans="2:3" ht="15" x14ac:dyDescent="0.25">
      <c r="B26" s="41" t="s">
        <v>24</v>
      </c>
      <c r="C26" s="42"/>
    </row>
    <row r="27" spans="2:3" ht="15" x14ac:dyDescent="0.25">
      <c r="B27" s="36" t="s">
        <v>25</v>
      </c>
      <c r="C27" s="37"/>
    </row>
    <row r="28" spans="2:3" ht="15" x14ac:dyDescent="0.25">
      <c r="B28" s="36" t="s">
        <v>26</v>
      </c>
      <c r="C28" s="37"/>
    </row>
    <row r="29" spans="2:3" ht="15" x14ac:dyDescent="0.25">
      <c r="B29" s="41" t="s">
        <v>27</v>
      </c>
      <c r="C29" s="42"/>
    </row>
    <row r="30" spans="2:3" x14ac:dyDescent="0.25">
      <c r="B30" s="43"/>
      <c r="C30" s="44"/>
    </row>
  </sheetData>
  <mergeCells count="1">
    <mergeCell ref="B6:C6"/>
  </mergeCells>
  <hyperlinks>
    <hyperlink ref="B26:C26" r:id="rId1" display="visit http://www.nationalarchives.gov.uk/doc/open-government-licence/"/>
    <hyperlink ref="B26" r:id="rId2"/>
    <hyperlink ref="B29:C29" r:id="rId3" display="psi@nationalarchives.gsi.gov.uk"/>
    <hyperlink ref="B29" r:id="rId4"/>
    <hyperlink ref="C15" r:id="rId5"/>
    <hyperlink ref="C16" r:id="rId6"/>
    <hyperlink ref="C18" r:id="rId7"/>
    <hyperlink ref="C17" r:id="rId8"/>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A1:G15"/>
  <sheetViews>
    <sheetView workbookViewId="0">
      <selection activeCell="A3" sqref="A3:H20"/>
    </sheetView>
  </sheetViews>
  <sheetFormatPr defaultRowHeight="13.2" x14ac:dyDescent="0.25"/>
  <cols>
    <col min="1" max="1" width="28.77734375" bestFit="1" customWidth="1"/>
    <col min="2" max="2" width="17.21875" bestFit="1" customWidth="1"/>
    <col min="3" max="4" width="3.44140625" bestFit="1" customWidth="1"/>
    <col min="5" max="6" width="2.21875" bestFit="1" customWidth="1"/>
    <col min="7" max="7" width="12.109375" bestFit="1" customWidth="1"/>
    <col min="8" max="8" width="26.88671875" bestFit="1" customWidth="1"/>
    <col min="9" max="9" width="34.6640625" bestFit="1" customWidth="1"/>
    <col min="10" max="11" width="2.109375" customWidth="1"/>
    <col min="12" max="12" width="38.109375" bestFit="1" customWidth="1"/>
    <col min="13" max="13" width="11.5546875" bestFit="1" customWidth="1"/>
  </cols>
  <sheetData>
    <row r="1" spans="1:7" x14ac:dyDescent="0.25">
      <c r="A1" s="79" t="s">
        <v>115</v>
      </c>
      <c r="B1" t="s">
        <v>177</v>
      </c>
    </row>
    <row r="3" spans="1:7" x14ac:dyDescent="0.25">
      <c r="A3" s="79" t="s">
        <v>105</v>
      </c>
      <c r="B3" s="79" t="s">
        <v>104</v>
      </c>
    </row>
    <row r="4" spans="1:7" x14ac:dyDescent="0.25">
      <c r="A4" s="79" t="s">
        <v>102</v>
      </c>
      <c r="B4">
        <v>1</v>
      </c>
      <c r="C4">
        <v>2</v>
      </c>
      <c r="D4">
        <v>3</v>
      </c>
      <c r="E4">
        <v>4</v>
      </c>
      <c r="F4">
        <v>9</v>
      </c>
      <c r="G4" t="s">
        <v>103</v>
      </c>
    </row>
    <row r="5" spans="1:7" x14ac:dyDescent="0.25">
      <c r="A5" s="1" t="s">
        <v>80</v>
      </c>
      <c r="B5" s="80"/>
      <c r="C5" s="80">
        <v>1</v>
      </c>
      <c r="D5" s="80">
        <v>1</v>
      </c>
      <c r="E5" s="80">
        <v>1</v>
      </c>
      <c r="F5" s="80"/>
      <c r="G5" s="80">
        <v>3</v>
      </c>
    </row>
    <row r="6" spans="1:7" x14ac:dyDescent="0.25">
      <c r="A6" s="1" t="s">
        <v>81</v>
      </c>
      <c r="B6" s="80"/>
      <c r="C6" s="80">
        <v>12</v>
      </c>
      <c r="D6" s="80">
        <v>3</v>
      </c>
      <c r="E6" s="80">
        <v>1</v>
      </c>
      <c r="F6" s="80"/>
      <c r="G6" s="80">
        <v>16</v>
      </c>
    </row>
    <row r="7" spans="1:7" x14ac:dyDescent="0.25">
      <c r="A7" s="1" t="s">
        <v>69</v>
      </c>
      <c r="B7" s="80"/>
      <c r="C7" s="80">
        <v>1</v>
      </c>
      <c r="D7" s="80">
        <v>1</v>
      </c>
      <c r="E7" s="80"/>
      <c r="F7" s="80"/>
      <c r="G7" s="80">
        <v>2</v>
      </c>
    </row>
    <row r="8" spans="1:7" x14ac:dyDescent="0.25">
      <c r="A8" s="1" t="s">
        <v>78</v>
      </c>
      <c r="B8" s="80"/>
      <c r="C8" s="80">
        <v>3</v>
      </c>
      <c r="D8" s="80">
        <v>2</v>
      </c>
      <c r="E8" s="80">
        <v>3</v>
      </c>
      <c r="F8" s="80"/>
      <c r="G8" s="80">
        <v>8</v>
      </c>
    </row>
    <row r="9" spans="1:7" x14ac:dyDescent="0.25">
      <c r="A9" s="1" t="s">
        <v>75</v>
      </c>
      <c r="B9" s="80"/>
      <c r="C9" s="80">
        <v>1</v>
      </c>
      <c r="D9" s="80">
        <v>4</v>
      </c>
      <c r="E9" s="80"/>
      <c r="F9" s="80"/>
      <c r="G9" s="80">
        <v>5</v>
      </c>
    </row>
    <row r="10" spans="1:7" x14ac:dyDescent="0.25">
      <c r="A10" s="1" t="s">
        <v>77</v>
      </c>
      <c r="B10" s="80">
        <v>1</v>
      </c>
      <c r="C10" s="80">
        <v>2</v>
      </c>
      <c r="D10" s="80">
        <v>1</v>
      </c>
      <c r="E10" s="80">
        <v>1</v>
      </c>
      <c r="F10" s="80"/>
      <c r="G10" s="80">
        <v>5</v>
      </c>
    </row>
    <row r="11" spans="1:7" x14ac:dyDescent="0.25">
      <c r="A11" s="1" t="s">
        <v>83</v>
      </c>
      <c r="B11" s="80"/>
      <c r="C11" s="80">
        <v>4</v>
      </c>
      <c r="D11" s="80">
        <v>1</v>
      </c>
      <c r="E11" s="80"/>
      <c r="F11" s="80"/>
      <c r="G11" s="80">
        <v>5</v>
      </c>
    </row>
    <row r="12" spans="1:7" x14ac:dyDescent="0.25">
      <c r="A12" s="1" t="s">
        <v>84</v>
      </c>
      <c r="B12" s="80"/>
      <c r="C12" s="80">
        <v>1</v>
      </c>
      <c r="D12" s="80"/>
      <c r="E12" s="80"/>
      <c r="F12" s="80"/>
      <c r="G12" s="80">
        <v>1</v>
      </c>
    </row>
    <row r="13" spans="1:7" x14ac:dyDescent="0.25">
      <c r="A13" s="1" t="s">
        <v>88</v>
      </c>
      <c r="B13" s="80"/>
      <c r="C13" s="80"/>
      <c r="D13" s="80">
        <v>1</v>
      </c>
      <c r="E13" s="80"/>
      <c r="F13" s="80"/>
      <c r="G13" s="80">
        <v>1</v>
      </c>
    </row>
    <row r="14" spans="1:7" x14ac:dyDescent="0.25">
      <c r="A14" s="1" t="s">
        <v>70</v>
      </c>
      <c r="B14" s="80"/>
      <c r="C14" s="80">
        <v>3</v>
      </c>
      <c r="D14" s="80">
        <v>1</v>
      </c>
      <c r="E14" s="80"/>
      <c r="F14" s="80"/>
      <c r="G14" s="80">
        <v>4</v>
      </c>
    </row>
    <row r="15" spans="1:7" x14ac:dyDescent="0.25">
      <c r="A15" s="1" t="s">
        <v>103</v>
      </c>
      <c r="B15" s="80">
        <v>1</v>
      </c>
      <c r="C15" s="80">
        <v>28</v>
      </c>
      <c r="D15" s="80">
        <v>15</v>
      </c>
      <c r="E15" s="80">
        <v>6</v>
      </c>
      <c r="F15" s="80"/>
      <c r="G15" s="80">
        <v>50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00"/>
  </sheetPr>
  <dimension ref="A1:K18"/>
  <sheetViews>
    <sheetView workbookViewId="0">
      <selection activeCell="A3" sqref="A3:H20"/>
      <pivotSelection pane="bottomRight" click="1" r:id="rId2">
        <pivotArea field="11" type="button" dataOnly="0" labelOnly="1" outline="0" axis="axisPage" fieldPosition="0"/>
      </pivotSelection>
    </sheetView>
  </sheetViews>
  <sheetFormatPr defaultRowHeight="13.2" x14ac:dyDescent="0.25"/>
  <cols>
    <col min="1" max="1" width="30.33203125" customWidth="1"/>
    <col min="2" max="2" width="17.21875" customWidth="1"/>
    <col min="3" max="3" width="12.109375" customWidth="1"/>
    <col min="4" max="5" width="3.33203125" customWidth="1"/>
    <col min="6" max="7" width="11.5546875" customWidth="1"/>
    <col min="8" max="8" width="28.77734375" customWidth="1"/>
    <col min="9" max="9" width="30.44140625" customWidth="1"/>
    <col min="10" max="10" width="2.21875" customWidth="1"/>
    <col min="11" max="11" width="12.109375" customWidth="1"/>
    <col min="12" max="12" width="11.5546875" bestFit="1" customWidth="1"/>
    <col min="13" max="13" width="11.5546875" customWidth="1"/>
    <col min="14" max="14" width="11.5546875" bestFit="1" customWidth="1"/>
  </cols>
  <sheetData>
    <row r="1" spans="1:11" x14ac:dyDescent="0.25">
      <c r="A1" s="79" t="s">
        <v>115</v>
      </c>
      <c r="B1" t="s">
        <v>206</v>
      </c>
      <c r="H1" s="79" t="s">
        <v>115</v>
      </c>
      <c r="I1" t="s">
        <v>244</v>
      </c>
    </row>
    <row r="3" spans="1:11" x14ac:dyDescent="0.25">
      <c r="A3" s="79" t="s">
        <v>105</v>
      </c>
      <c r="B3" s="79" t="s">
        <v>104</v>
      </c>
      <c r="H3" s="79" t="s">
        <v>105</v>
      </c>
      <c r="I3" s="79" t="s">
        <v>104</v>
      </c>
    </row>
    <row r="4" spans="1:11" x14ac:dyDescent="0.25">
      <c r="A4" s="79" t="s">
        <v>102</v>
      </c>
      <c r="B4">
        <v>9</v>
      </c>
      <c r="C4" t="s">
        <v>103</v>
      </c>
      <c r="H4" s="79" t="s">
        <v>102</v>
      </c>
      <c r="I4">
        <v>1</v>
      </c>
      <c r="J4">
        <v>3</v>
      </c>
      <c r="K4" t="s">
        <v>103</v>
      </c>
    </row>
    <row r="5" spans="1:11" x14ac:dyDescent="0.25">
      <c r="A5" s="1" t="s">
        <v>81</v>
      </c>
      <c r="B5" s="80">
        <v>7</v>
      </c>
      <c r="C5" s="80">
        <v>7</v>
      </c>
      <c r="G5" s="80"/>
      <c r="H5" s="1" t="s">
        <v>81</v>
      </c>
      <c r="I5" s="80">
        <v>1</v>
      </c>
      <c r="J5" s="80"/>
      <c r="K5" s="80">
        <v>1</v>
      </c>
    </row>
    <row r="6" spans="1:11" x14ac:dyDescent="0.25">
      <c r="A6" s="1" t="s">
        <v>69</v>
      </c>
      <c r="B6" s="80">
        <v>1</v>
      </c>
      <c r="C6" s="80">
        <v>1</v>
      </c>
      <c r="G6" s="80"/>
      <c r="H6" s="1" t="s">
        <v>78</v>
      </c>
      <c r="I6" s="80"/>
      <c r="J6" s="80">
        <v>2</v>
      </c>
      <c r="K6" s="80">
        <v>2</v>
      </c>
    </row>
    <row r="7" spans="1:11" x14ac:dyDescent="0.25">
      <c r="A7" s="1" t="s">
        <v>78</v>
      </c>
      <c r="B7" s="80">
        <v>12</v>
      </c>
      <c r="C7" s="80">
        <v>12</v>
      </c>
      <c r="G7" s="80"/>
      <c r="H7" s="1" t="s">
        <v>75</v>
      </c>
      <c r="I7" s="80"/>
      <c r="J7" s="80">
        <v>2</v>
      </c>
      <c r="K7" s="80">
        <v>2</v>
      </c>
    </row>
    <row r="8" spans="1:11" x14ac:dyDescent="0.25">
      <c r="A8" s="1" t="s">
        <v>75</v>
      </c>
      <c r="B8" s="80">
        <v>7</v>
      </c>
      <c r="C8" s="80">
        <v>7</v>
      </c>
      <c r="G8" s="80"/>
      <c r="H8" s="1" t="s">
        <v>83</v>
      </c>
      <c r="I8" s="80">
        <v>1</v>
      </c>
      <c r="J8" s="80"/>
      <c r="K8" s="80">
        <v>1</v>
      </c>
    </row>
    <row r="9" spans="1:11" x14ac:dyDescent="0.25">
      <c r="A9" s="1" t="s">
        <v>77</v>
      </c>
      <c r="B9" s="80">
        <v>8</v>
      </c>
      <c r="C9" s="80">
        <v>8</v>
      </c>
      <c r="G9" s="80"/>
      <c r="H9" s="1" t="s">
        <v>73</v>
      </c>
      <c r="I9" s="80">
        <v>1</v>
      </c>
      <c r="J9" s="80"/>
      <c r="K9" s="80">
        <v>1</v>
      </c>
    </row>
    <row r="10" spans="1:11" x14ac:dyDescent="0.25">
      <c r="A10" s="1" t="s">
        <v>83</v>
      </c>
      <c r="B10" s="80">
        <v>1</v>
      </c>
      <c r="C10" s="80">
        <v>1</v>
      </c>
      <c r="G10" s="80"/>
      <c r="H10" s="1" t="s">
        <v>103</v>
      </c>
      <c r="I10" s="80">
        <v>3</v>
      </c>
      <c r="J10" s="80">
        <v>4</v>
      </c>
      <c r="K10" s="80">
        <v>7</v>
      </c>
    </row>
    <row r="11" spans="1:11" x14ac:dyDescent="0.25">
      <c r="A11" s="1" t="s">
        <v>84</v>
      </c>
      <c r="B11" s="80">
        <v>1</v>
      </c>
      <c r="C11" s="80">
        <v>1</v>
      </c>
      <c r="G11" s="80"/>
    </row>
    <row r="12" spans="1:11" x14ac:dyDescent="0.25">
      <c r="A12" s="1" t="s">
        <v>88</v>
      </c>
      <c r="B12" s="80">
        <v>1</v>
      </c>
      <c r="C12" s="80">
        <v>1</v>
      </c>
      <c r="G12" s="80"/>
    </row>
    <row r="13" spans="1:11" x14ac:dyDescent="0.25">
      <c r="A13" s="1" t="s">
        <v>70</v>
      </c>
      <c r="B13" s="80">
        <v>2</v>
      </c>
      <c r="C13" s="80">
        <v>2</v>
      </c>
      <c r="G13" s="80"/>
    </row>
    <row r="14" spans="1:11" x14ac:dyDescent="0.25">
      <c r="A14" s="1" t="s">
        <v>87</v>
      </c>
      <c r="B14" s="80">
        <v>2</v>
      </c>
      <c r="C14" s="80">
        <v>2</v>
      </c>
      <c r="G14" s="80"/>
    </row>
    <row r="15" spans="1:11" x14ac:dyDescent="0.25">
      <c r="A15" s="1" t="s">
        <v>103</v>
      </c>
      <c r="B15" s="80">
        <v>42</v>
      </c>
      <c r="C15" s="80">
        <v>42</v>
      </c>
      <c r="G15" s="80"/>
    </row>
    <row r="16" spans="1:11" x14ac:dyDescent="0.25">
      <c r="G16" s="80"/>
    </row>
    <row r="17" spans="7:7" x14ac:dyDescent="0.25">
      <c r="G17" s="80"/>
    </row>
    <row r="18" spans="7:7" x14ac:dyDescent="0.25">
      <c r="G18" s="80"/>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00"/>
  </sheetPr>
  <dimension ref="A3:H20"/>
  <sheetViews>
    <sheetView workbookViewId="0">
      <selection activeCell="R36" sqref="R36"/>
    </sheetView>
  </sheetViews>
  <sheetFormatPr defaultRowHeight="13.2" x14ac:dyDescent="0.25"/>
  <cols>
    <col min="1" max="1" width="30.6640625" bestFit="1" customWidth="1"/>
    <col min="2" max="2" width="17.21875" bestFit="1" customWidth="1"/>
    <col min="3" max="4" width="4.6640625" bestFit="1" customWidth="1"/>
    <col min="5" max="5" width="3.44140625" bestFit="1" customWidth="1"/>
    <col min="6" max="6" width="6.109375" bestFit="1" customWidth="1"/>
    <col min="7" max="7" width="2.21875" bestFit="1" customWidth="1"/>
    <col min="8" max="8" width="12.109375" bestFit="1" customWidth="1"/>
  </cols>
  <sheetData>
    <row r="3" spans="1:8" x14ac:dyDescent="0.25">
      <c r="A3" s="79" t="s">
        <v>105</v>
      </c>
      <c r="B3" s="79" t="s">
        <v>104</v>
      </c>
    </row>
    <row r="4" spans="1:8" x14ac:dyDescent="0.25">
      <c r="A4" s="79" t="s">
        <v>102</v>
      </c>
      <c r="B4">
        <v>1</v>
      </c>
      <c r="C4">
        <v>2</v>
      </c>
      <c r="D4">
        <v>3</v>
      </c>
      <c r="E4">
        <v>4</v>
      </c>
      <c r="F4" t="s">
        <v>72</v>
      </c>
      <c r="G4" t="s">
        <v>178</v>
      </c>
      <c r="H4" t="s">
        <v>103</v>
      </c>
    </row>
    <row r="5" spans="1:8" x14ac:dyDescent="0.25">
      <c r="A5" s="1" t="s">
        <v>88</v>
      </c>
      <c r="B5" s="80">
        <v>7</v>
      </c>
      <c r="C5" s="80">
        <v>9</v>
      </c>
      <c r="D5" s="80">
        <v>2</v>
      </c>
      <c r="E5" s="80"/>
      <c r="F5" s="80">
        <v>3</v>
      </c>
      <c r="G5" s="80"/>
      <c r="H5" s="80">
        <v>21</v>
      </c>
    </row>
    <row r="6" spans="1:8" x14ac:dyDescent="0.25">
      <c r="A6" s="1" t="s">
        <v>89</v>
      </c>
      <c r="B6" s="80"/>
      <c r="C6" s="80"/>
      <c r="D6" s="80">
        <v>1</v>
      </c>
      <c r="E6" s="80"/>
      <c r="F6" s="80"/>
      <c r="G6" s="80"/>
      <c r="H6" s="80">
        <v>1</v>
      </c>
    </row>
    <row r="7" spans="1:8" x14ac:dyDescent="0.25">
      <c r="A7" s="1" t="s">
        <v>73</v>
      </c>
      <c r="B7" s="80">
        <v>7</v>
      </c>
      <c r="C7" s="80">
        <v>4</v>
      </c>
      <c r="D7" s="80">
        <v>4</v>
      </c>
      <c r="E7" s="80"/>
      <c r="F7" s="80">
        <v>6</v>
      </c>
      <c r="G7" s="80"/>
      <c r="H7" s="80">
        <v>21</v>
      </c>
    </row>
    <row r="8" spans="1:8" x14ac:dyDescent="0.25">
      <c r="A8" s="1" t="s">
        <v>85</v>
      </c>
      <c r="B8" s="80">
        <v>14</v>
      </c>
      <c r="C8" s="80">
        <v>3</v>
      </c>
      <c r="D8" s="80">
        <v>1</v>
      </c>
      <c r="E8" s="80"/>
      <c r="F8" s="80"/>
      <c r="G8" s="80">
        <v>2</v>
      </c>
      <c r="H8" s="80">
        <v>20</v>
      </c>
    </row>
    <row r="9" spans="1:8" x14ac:dyDescent="0.25">
      <c r="A9" s="1" t="s">
        <v>80</v>
      </c>
      <c r="B9" s="80">
        <v>13</v>
      </c>
      <c r="C9" s="80">
        <v>28</v>
      </c>
      <c r="D9" s="80">
        <v>11</v>
      </c>
      <c r="E9" s="80">
        <v>2</v>
      </c>
      <c r="F9" s="80">
        <v>12</v>
      </c>
      <c r="G9" s="80"/>
      <c r="H9" s="80">
        <v>66</v>
      </c>
    </row>
    <row r="10" spans="1:8" x14ac:dyDescent="0.25">
      <c r="A10" s="1" t="s">
        <v>81</v>
      </c>
      <c r="B10" s="80">
        <v>25</v>
      </c>
      <c r="C10" s="80">
        <v>110</v>
      </c>
      <c r="D10" s="80">
        <v>48</v>
      </c>
      <c r="E10" s="80">
        <v>3</v>
      </c>
      <c r="F10" s="80">
        <v>5</v>
      </c>
      <c r="G10" s="80"/>
      <c r="H10" s="80">
        <v>191</v>
      </c>
    </row>
    <row r="11" spans="1:8" x14ac:dyDescent="0.25">
      <c r="A11" s="1" t="s">
        <v>69</v>
      </c>
      <c r="B11" s="80">
        <v>8</v>
      </c>
      <c r="C11" s="80">
        <v>15</v>
      </c>
      <c r="D11" s="80">
        <v>4</v>
      </c>
      <c r="E11" s="80"/>
      <c r="F11" s="80">
        <v>34</v>
      </c>
      <c r="G11" s="80"/>
      <c r="H11" s="80">
        <v>61</v>
      </c>
    </row>
    <row r="12" spans="1:8" x14ac:dyDescent="0.25">
      <c r="A12" s="1" t="s">
        <v>78</v>
      </c>
      <c r="B12" s="80">
        <v>34</v>
      </c>
      <c r="C12" s="80">
        <v>241</v>
      </c>
      <c r="D12" s="80">
        <v>52</v>
      </c>
      <c r="E12" s="80">
        <v>14</v>
      </c>
      <c r="F12" s="80">
        <v>185</v>
      </c>
      <c r="G12" s="80">
        <v>1</v>
      </c>
      <c r="H12" s="80">
        <v>527</v>
      </c>
    </row>
    <row r="13" spans="1:8" x14ac:dyDescent="0.25">
      <c r="A13" s="1" t="s">
        <v>70</v>
      </c>
      <c r="B13" s="80">
        <v>5</v>
      </c>
      <c r="C13" s="80">
        <v>45</v>
      </c>
      <c r="D13" s="80">
        <v>10</v>
      </c>
      <c r="E13" s="80"/>
      <c r="F13" s="80">
        <v>21</v>
      </c>
      <c r="G13" s="80"/>
      <c r="H13" s="80">
        <v>81</v>
      </c>
    </row>
    <row r="14" spans="1:8" x14ac:dyDescent="0.25">
      <c r="A14" s="1" t="s">
        <v>75</v>
      </c>
      <c r="B14" s="80">
        <v>3</v>
      </c>
      <c r="C14" s="80">
        <v>105</v>
      </c>
      <c r="D14" s="80">
        <v>27</v>
      </c>
      <c r="E14" s="80">
        <v>2</v>
      </c>
      <c r="F14" s="80">
        <v>1</v>
      </c>
      <c r="G14" s="80"/>
      <c r="H14" s="80">
        <v>138</v>
      </c>
    </row>
    <row r="15" spans="1:8" x14ac:dyDescent="0.25">
      <c r="A15" s="1" t="s">
        <v>90</v>
      </c>
      <c r="B15" s="80">
        <v>2</v>
      </c>
      <c r="C15" s="80">
        <v>12</v>
      </c>
      <c r="D15" s="80"/>
      <c r="E15" s="80"/>
      <c r="F15" s="80"/>
      <c r="G15" s="80"/>
      <c r="H15" s="80">
        <v>14</v>
      </c>
    </row>
    <row r="16" spans="1:8" x14ac:dyDescent="0.25">
      <c r="A16" s="1" t="s">
        <v>77</v>
      </c>
      <c r="B16" s="80">
        <v>8</v>
      </c>
      <c r="C16" s="80">
        <v>57</v>
      </c>
      <c r="D16" s="80">
        <v>11</v>
      </c>
      <c r="E16" s="80">
        <v>1</v>
      </c>
      <c r="F16" s="80"/>
      <c r="G16" s="80"/>
      <c r="H16" s="80">
        <v>77</v>
      </c>
    </row>
    <row r="17" spans="1:8" x14ac:dyDescent="0.25">
      <c r="A17" s="1" t="s">
        <v>83</v>
      </c>
      <c r="B17" s="80">
        <v>25</v>
      </c>
      <c r="C17" s="80">
        <v>32</v>
      </c>
      <c r="D17" s="80">
        <v>11</v>
      </c>
      <c r="E17" s="80">
        <v>1</v>
      </c>
      <c r="F17" s="80"/>
      <c r="G17" s="80"/>
      <c r="H17" s="80">
        <v>69</v>
      </c>
    </row>
    <row r="18" spans="1:8" x14ac:dyDescent="0.25">
      <c r="A18" s="1" t="s">
        <v>84</v>
      </c>
      <c r="B18" s="80">
        <v>3</v>
      </c>
      <c r="C18" s="80">
        <v>8</v>
      </c>
      <c r="D18" s="80"/>
      <c r="E18" s="80"/>
      <c r="F18" s="80"/>
      <c r="G18" s="80"/>
      <c r="H18" s="80">
        <v>11</v>
      </c>
    </row>
    <row r="19" spans="1:8" x14ac:dyDescent="0.25">
      <c r="A19" s="1" t="s">
        <v>87</v>
      </c>
      <c r="B19" s="80">
        <v>2</v>
      </c>
      <c r="C19" s="80">
        <v>11</v>
      </c>
      <c r="D19" s="80">
        <v>2</v>
      </c>
      <c r="E19" s="80">
        <v>1</v>
      </c>
      <c r="F19" s="80"/>
      <c r="G19" s="80"/>
      <c r="H19" s="80">
        <v>16</v>
      </c>
    </row>
    <row r="20" spans="1:8" x14ac:dyDescent="0.25">
      <c r="A20" s="1" t="s">
        <v>103</v>
      </c>
      <c r="B20" s="80">
        <v>156</v>
      </c>
      <c r="C20" s="80">
        <v>680</v>
      </c>
      <c r="D20" s="80">
        <v>184</v>
      </c>
      <c r="E20" s="80">
        <v>24</v>
      </c>
      <c r="F20" s="80">
        <v>267</v>
      </c>
      <c r="G20" s="80">
        <v>3</v>
      </c>
      <c r="H20" s="80">
        <v>1314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2:C52"/>
  <sheetViews>
    <sheetView showGridLines="0" showRowColHeaders="0" zoomScaleNormal="100" workbookViewId="0"/>
  </sheetViews>
  <sheetFormatPr defaultColWidth="8.88671875" defaultRowHeight="13.2" x14ac:dyDescent="0.25"/>
  <cols>
    <col min="1" max="1" width="1.88671875" style="9" customWidth="1"/>
    <col min="2" max="2" width="17.33203125" style="9" customWidth="1"/>
    <col min="3" max="3" width="135.44140625" style="9" customWidth="1"/>
    <col min="4" max="16384" width="8.88671875" style="9"/>
  </cols>
  <sheetData>
    <row r="2" spans="2:3" x14ac:dyDescent="0.25">
      <c r="B2" s="128" t="s">
        <v>111</v>
      </c>
      <c r="C2" s="129"/>
    </row>
    <row r="3" spans="2:3" ht="14.25" customHeight="1" x14ac:dyDescent="0.25">
      <c r="B3" s="170" t="s">
        <v>153</v>
      </c>
      <c r="C3" s="171"/>
    </row>
    <row r="4" spans="2:3" ht="16.5" customHeight="1" x14ac:dyDescent="0.25">
      <c r="B4" s="172" t="s">
        <v>151</v>
      </c>
      <c r="C4" s="173"/>
    </row>
    <row r="5" spans="2:3" s="125" customFormat="1" ht="16.5" customHeight="1" x14ac:dyDescent="0.25">
      <c r="B5" s="174" t="s">
        <v>150</v>
      </c>
      <c r="C5" s="175"/>
    </row>
    <row r="6" spans="2:3" s="125" customFormat="1" x14ac:dyDescent="0.25">
      <c r="B6" s="11">
        <v>1</v>
      </c>
      <c r="C6" s="12" t="s">
        <v>37</v>
      </c>
    </row>
    <row r="7" spans="2:3" s="125" customFormat="1" x14ac:dyDescent="0.25">
      <c r="B7" s="11">
        <v>2</v>
      </c>
      <c r="C7" s="12" t="s">
        <v>38</v>
      </c>
    </row>
    <row r="8" spans="2:3" x14ac:dyDescent="0.25">
      <c r="B8" s="11">
        <v>3</v>
      </c>
      <c r="C8" s="12" t="s">
        <v>158</v>
      </c>
    </row>
    <row r="9" spans="2:3" x14ac:dyDescent="0.25">
      <c r="B9" s="11">
        <v>4</v>
      </c>
      <c r="C9" s="12" t="s">
        <v>39</v>
      </c>
    </row>
    <row r="10" spans="2:3" x14ac:dyDescent="0.25">
      <c r="B10" s="11">
        <v>9</v>
      </c>
      <c r="C10" s="12" t="s">
        <v>169</v>
      </c>
    </row>
    <row r="11" spans="2:3" x14ac:dyDescent="0.25">
      <c r="B11" s="45" t="s">
        <v>67</v>
      </c>
      <c r="C11" s="13" t="s">
        <v>68</v>
      </c>
    </row>
    <row r="13" spans="2:3" ht="22.5" customHeight="1" x14ac:dyDescent="0.25">
      <c r="B13" s="183" t="s">
        <v>115</v>
      </c>
      <c r="C13" s="184"/>
    </row>
    <row r="14" spans="2:3" ht="58.5" customHeight="1" x14ac:dyDescent="0.25">
      <c r="B14" s="185" t="s">
        <v>159</v>
      </c>
      <c r="C14" s="186"/>
    </row>
    <row r="15" spans="2:3" ht="12" customHeight="1" x14ac:dyDescent="0.25">
      <c r="B15" s="179" t="s">
        <v>160</v>
      </c>
      <c r="C15" s="180"/>
    </row>
    <row r="16" spans="2:3" x14ac:dyDescent="0.25">
      <c r="B16" s="177" t="s">
        <v>157</v>
      </c>
      <c r="C16" s="178"/>
    </row>
    <row r="17" spans="2:3" s="130" customFormat="1" ht="22.5" customHeight="1" x14ac:dyDescent="0.25">
      <c r="B17" s="168" t="s">
        <v>161</v>
      </c>
      <c r="C17" s="169"/>
    </row>
    <row r="18" spans="2:3" ht="29.25" customHeight="1" x14ac:dyDescent="0.25">
      <c r="B18" s="158" t="s">
        <v>162</v>
      </c>
      <c r="C18" s="159"/>
    </row>
    <row r="19" spans="2:3" ht="18" customHeight="1" x14ac:dyDescent="0.25">
      <c r="B19" s="158" t="s">
        <v>122</v>
      </c>
      <c r="C19" s="159"/>
    </row>
    <row r="20" spans="2:3" ht="33" customHeight="1" x14ac:dyDescent="0.25">
      <c r="B20" s="160" t="s">
        <v>152</v>
      </c>
      <c r="C20" s="161"/>
    </row>
    <row r="22" spans="2:3" ht="18" customHeight="1" x14ac:dyDescent="0.25">
      <c r="B22" s="164" t="s">
        <v>163</v>
      </c>
      <c r="C22" s="165"/>
    </row>
    <row r="23" spans="2:3" ht="91.5" customHeight="1" x14ac:dyDescent="0.25">
      <c r="B23" s="166" t="s">
        <v>165</v>
      </c>
      <c r="C23" s="167"/>
    </row>
    <row r="24" spans="2:3" x14ac:dyDescent="0.25">
      <c r="B24" s="124"/>
      <c r="C24" s="124"/>
    </row>
    <row r="25" spans="2:3" ht="18" customHeight="1" x14ac:dyDescent="0.25">
      <c r="B25" s="164" t="s">
        <v>164</v>
      </c>
      <c r="C25" s="165"/>
    </row>
    <row r="26" spans="2:3" ht="66.75" customHeight="1" x14ac:dyDescent="0.25">
      <c r="B26" s="166" t="s">
        <v>166</v>
      </c>
      <c r="C26" s="167"/>
    </row>
    <row r="28" spans="2:3" ht="18" customHeight="1" x14ac:dyDescent="0.25">
      <c r="B28" s="164" t="s">
        <v>116</v>
      </c>
      <c r="C28" s="165"/>
    </row>
    <row r="29" spans="2:3" ht="69" customHeight="1" x14ac:dyDescent="0.25">
      <c r="B29" s="166" t="s">
        <v>154</v>
      </c>
      <c r="C29" s="167"/>
    </row>
    <row r="31" spans="2:3" ht="18" customHeight="1" x14ac:dyDescent="0.25">
      <c r="B31" s="164" t="s">
        <v>112</v>
      </c>
      <c r="C31" s="165"/>
    </row>
    <row r="32" spans="2:3" ht="84" customHeight="1" x14ac:dyDescent="0.25">
      <c r="B32" s="162" t="s">
        <v>155</v>
      </c>
      <c r="C32" s="163"/>
    </row>
    <row r="34" spans="1:3" ht="18" customHeight="1" x14ac:dyDescent="0.25">
      <c r="B34" s="156" t="s">
        <v>113</v>
      </c>
      <c r="C34" s="157"/>
    </row>
    <row r="35" spans="1:3" ht="17.25" customHeight="1" x14ac:dyDescent="0.25">
      <c r="A35" s="10"/>
      <c r="B35" s="189" t="s">
        <v>3078</v>
      </c>
      <c r="C35" s="190"/>
    </row>
    <row r="36" spans="1:3" ht="17.25" customHeight="1" x14ac:dyDescent="0.25">
      <c r="A36" s="10"/>
      <c r="B36" s="154" t="s">
        <v>171</v>
      </c>
      <c r="C36" s="155"/>
    </row>
    <row r="37" spans="1:3" ht="15.75" customHeight="1" x14ac:dyDescent="0.25">
      <c r="A37" s="10"/>
      <c r="B37" s="181" t="s">
        <v>149</v>
      </c>
      <c r="C37" s="182"/>
    </row>
    <row r="38" spans="1:3" s="125" customFormat="1" ht="16.2" customHeight="1" x14ac:dyDescent="0.25">
      <c r="A38" s="126"/>
      <c r="B38" s="191" t="s">
        <v>121</v>
      </c>
      <c r="C38" s="192"/>
    </row>
    <row r="39" spans="1:3" x14ac:dyDescent="0.25">
      <c r="A39" s="10"/>
      <c r="B39" s="193"/>
      <c r="C39" s="193"/>
    </row>
    <row r="40" spans="1:3" ht="18" customHeight="1" x14ac:dyDescent="0.25">
      <c r="B40" s="156" t="s">
        <v>114</v>
      </c>
      <c r="C40" s="157"/>
    </row>
    <row r="41" spans="1:3" ht="17.25" customHeight="1" x14ac:dyDescent="0.25">
      <c r="A41" s="10"/>
      <c r="B41" s="189" t="s">
        <v>147</v>
      </c>
      <c r="C41" s="190"/>
    </row>
    <row r="42" spans="1:3" ht="17.25" customHeight="1" x14ac:dyDescent="0.25">
      <c r="A42" s="10"/>
      <c r="B42" s="154" t="s">
        <v>172</v>
      </c>
      <c r="C42" s="155"/>
    </row>
    <row r="43" spans="1:3" ht="17.25" customHeight="1" x14ac:dyDescent="0.25">
      <c r="A43" s="10"/>
      <c r="B43" s="187" t="s">
        <v>148</v>
      </c>
      <c r="C43" s="188"/>
    </row>
    <row r="44" spans="1:3" x14ac:dyDescent="0.25">
      <c r="A44" s="10"/>
      <c r="B44" s="10"/>
      <c r="C44" s="10"/>
    </row>
    <row r="46" spans="1:3" x14ac:dyDescent="0.25">
      <c r="B46" s="176"/>
      <c r="C46" s="176"/>
    </row>
    <row r="47" spans="1:3" x14ac:dyDescent="0.25">
      <c r="B47" s="176"/>
      <c r="C47" s="176"/>
    </row>
    <row r="48" spans="1:3" x14ac:dyDescent="0.25">
      <c r="B48" s="176"/>
      <c r="C48" s="176"/>
    </row>
    <row r="50" spans="2:3" x14ac:dyDescent="0.25">
      <c r="B50" s="176"/>
      <c r="C50" s="176"/>
    </row>
    <row r="51" spans="2:3" x14ac:dyDescent="0.25">
      <c r="B51" s="176"/>
      <c r="C51" s="176"/>
    </row>
    <row r="52" spans="2:3" x14ac:dyDescent="0.25">
      <c r="B52" s="176"/>
      <c r="C52" s="176"/>
    </row>
  </sheetData>
  <mergeCells count="31">
    <mergeCell ref="B3:C3"/>
    <mergeCell ref="B4:C4"/>
    <mergeCell ref="B5:C5"/>
    <mergeCell ref="B46:C48"/>
    <mergeCell ref="B50:C52"/>
    <mergeCell ref="B16:C16"/>
    <mergeCell ref="B15:C15"/>
    <mergeCell ref="B40:C40"/>
    <mergeCell ref="B37:C37"/>
    <mergeCell ref="B13:C13"/>
    <mergeCell ref="B14:C14"/>
    <mergeCell ref="B43:C43"/>
    <mergeCell ref="B35:C35"/>
    <mergeCell ref="B38:C38"/>
    <mergeCell ref="B39:C39"/>
    <mergeCell ref="B41:C41"/>
    <mergeCell ref="B17:C17"/>
    <mergeCell ref="B28:C28"/>
    <mergeCell ref="B22:C22"/>
    <mergeCell ref="B23:C23"/>
    <mergeCell ref="B25:C25"/>
    <mergeCell ref="B26:C26"/>
    <mergeCell ref="B36:C36"/>
    <mergeCell ref="B42:C42"/>
    <mergeCell ref="B34:C34"/>
    <mergeCell ref="B18:C18"/>
    <mergeCell ref="B19:C19"/>
    <mergeCell ref="B20:C20"/>
    <mergeCell ref="B32:C32"/>
    <mergeCell ref="B31:C31"/>
    <mergeCell ref="B29:C29"/>
  </mergeCells>
  <hyperlinks>
    <hyperlink ref="B22:C22" location="'T1 All in-year inspections'!A1" display="T1 All in-year inspections"/>
    <hyperlink ref="B25:C25" location="'T2 In-year full inspections'!A1" display="T2 In-year full inspections"/>
    <hyperlink ref="B28:C28" location="'T3 In-year short and converted'!A1" display="T3 In-year short and converted"/>
    <hyperlink ref="B31:C31" location="'T4 Most recent outcomes'!A1" display="T4 Most recent outcomes"/>
    <hyperlink ref="B34:C34" location="'D1 In-year inspection data'!A1" display="D1 In-year inspection data"/>
    <hyperlink ref="B40:C40" location="'D2 Most recent inspection data'!A1" display="D2 Most recent inspection data"/>
    <hyperlink ref="B16:C16" r:id="rId1" display="https://www.gov.uk/government/publications/further-education-and-skills-inspection-handbook"/>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32"/>
  <sheetViews>
    <sheetView showGridLines="0" showRowColHeaders="0" zoomScale="90" zoomScaleNormal="90" workbookViewId="0"/>
  </sheetViews>
  <sheetFormatPr defaultRowHeight="13.2" x14ac:dyDescent="0.25"/>
  <cols>
    <col min="1" max="1" width="3.6640625" customWidth="1"/>
    <col min="2" max="2" width="12.6640625" customWidth="1"/>
    <col min="3" max="3" width="50" customWidth="1"/>
    <col min="4" max="4" width="18.44140625" customWidth="1"/>
    <col min="5" max="5" width="2.5546875" customWidth="1"/>
    <col min="6" max="9" width="14.33203125" customWidth="1"/>
    <col min="10" max="10" width="2.109375" customWidth="1"/>
    <col min="11" max="15" width="14.33203125" customWidth="1"/>
  </cols>
  <sheetData>
    <row r="1" spans="1:16" ht="26.25" customHeight="1" x14ac:dyDescent="0.35">
      <c r="B1" s="15" t="s">
        <v>143</v>
      </c>
      <c r="C1" s="7"/>
    </row>
    <row r="2" spans="1:16" ht="15" x14ac:dyDescent="0.25">
      <c r="B2" s="14" t="str">
        <f>Cover!C11</f>
        <v>Inspections from 1 September 2017, published by 31 December 2017</v>
      </c>
      <c r="C2" s="7"/>
    </row>
    <row r="3" spans="1:16" ht="14.25" customHeight="1" x14ac:dyDescent="0.25">
      <c r="B3" s="14"/>
      <c r="C3" s="7"/>
      <c r="F3" s="115">
        <v>1</v>
      </c>
      <c r="G3" s="115">
        <v>2</v>
      </c>
      <c r="H3" s="115">
        <v>3</v>
      </c>
      <c r="I3" s="115">
        <v>4</v>
      </c>
    </row>
    <row r="4" spans="1:16" s="62" customFormat="1" ht="24" customHeight="1" x14ac:dyDescent="0.25">
      <c r="B4" s="194" t="s">
        <v>54</v>
      </c>
      <c r="C4" s="194" t="s">
        <v>53</v>
      </c>
      <c r="D4" s="197" t="s">
        <v>92</v>
      </c>
      <c r="E4" s="87"/>
      <c r="F4" s="200" t="s">
        <v>1</v>
      </c>
      <c r="G4" s="200"/>
      <c r="H4" s="200"/>
      <c r="I4" s="200"/>
      <c r="J4" s="200"/>
      <c r="K4" s="200"/>
      <c r="L4" s="200"/>
      <c r="M4" s="200"/>
      <c r="N4" s="200"/>
      <c r="O4" s="200"/>
    </row>
    <row r="5" spans="1:16" ht="21" customHeight="1" x14ac:dyDescent="0.25">
      <c r="B5" s="195"/>
      <c r="C5" s="195"/>
      <c r="D5" s="198"/>
      <c r="E5" s="87"/>
      <c r="F5" s="200" t="s">
        <v>93</v>
      </c>
      <c r="G5" s="200"/>
      <c r="H5" s="200"/>
      <c r="I5" s="200"/>
      <c r="J5" s="63"/>
      <c r="K5" s="200" t="s">
        <v>94</v>
      </c>
      <c r="L5" s="200"/>
      <c r="M5" s="200"/>
      <c r="N5" s="200"/>
      <c r="O5" s="200"/>
    </row>
    <row r="6" spans="1:16" s="64" customFormat="1" ht="38.25" customHeight="1" x14ac:dyDescent="0.25">
      <c r="B6" s="196"/>
      <c r="C6" s="196"/>
      <c r="D6" s="199"/>
      <c r="E6" s="87"/>
      <c r="F6" s="113" t="s">
        <v>37</v>
      </c>
      <c r="G6" s="123" t="s">
        <v>145</v>
      </c>
      <c r="H6" s="113" t="s">
        <v>95</v>
      </c>
      <c r="I6" s="113" t="s">
        <v>39</v>
      </c>
      <c r="J6" s="65"/>
      <c r="K6" s="113" t="s">
        <v>37</v>
      </c>
      <c r="L6" s="127" t="s">
        <v>145</v>
      </c>
      <c r="M6" s="113" t="s">
        <v>95</v>
      </c>
      <c r="N6" s="113" t="s">
        <v>39</v>
      </c>
      <c r="O6" s="113" t="s">
        <v>96</v>
      </c>
    </row>
    <row r="7" spans="1:16" s="67" customFormat="1" ht="15.75" customHeight="1" x14ac:dyDescent="0.25">
      <c r="B7" s="66" t="s">
        <v>141</v>
      </c>
      <c r="C7" s="66"/>
      <c r="D7" s="88">
        <f t="shared" ref="D7:D26" si="0">SUM(F7+G7+H7+I7)</f>
        <v>99</v>
      </c>
      <c r="E7" s="89"/>
      <c r="F7" s="90">
        <f>SUM(F8,F12,F13,F16,F20,F24,F25,F26)</f>
        <v>4</v>
      </c>
      <c r="G7" s="90">
        <f t="shared" ref="G7:I7" si="1">SUM(G8,G12,G13,G16,G20,G24,G25,G26)</f>
        <v>70</v>
      </c>
      <c r="H7" s="90">
        <f t="shared" si="1"/>
        <v>19</v>
      </c>
      <c r="I7" s="90">
        <f t="shared" si="1"/>
        <v>6</v>
      </c>
      <c r="J7" s="91"/>
      <c r="K7" s="92">
        <f>IFERROR(F7/$D7*100,0)</f>
        <v>4.0404040404040407</v>
      </c>
      <c r="L7" s="92">
        <f>IFERROR(G7/$D7*100,0)</f>
        <v>70.707070707070713</v>
      </c>
      <c r="M7" s="92">
        <f t="shared" ref="M7:N22" si="2">IFERROR(H7/$D7*100,0)</f>
        <v>19.19191919191919</v>
      </c>
      <c r="N7" s="92">
        <f t="shared" si="2"/>
        <v>6.0606060606060606</v>
      </c>
      <c r="O7" s="92">
        <f>IFERROR((F7+G7)/$D7*100,0)</f>
        <v>74.747474747474755</v>
      </c>
      <c r="P7" s="81" t="s">
        <v>106</v>
      </c>
    </row>
    <row r="8" spans="1:16" s="67" customFormat="1" ht="15.75" customHeight="1" x14ac:dyDescent="0.25">
      <c r="B8" s="68" t="s">
        <v>82</v>
      </c>
      <c r="C8" s="68"/>
      <c r="D8" s="85">
        <f t="shared" si="0"/>
        <v>33</v>
      </c>
      <c r="E8" s="88"/>
      <c r="F8" s="85">
        <f>SUM(F9:F11)</f>
        <v>2</v>
      </c>
      <c r="G8" s="85">
        <f t="shared" ref="G8:I8" si="3">SUM(G9:G11)</f>
        <v>26</v>
      </c>
      <c r="H8" s="85">
        <f t="shared" si="3"/>
        <v>4</v>
      </c>
      <c r="I8" s="85">
        <f t="shared" si="3"/>
        <v>1</v>
      </c>
      <c r="J8" s="88"/>
      <c r="K8" s="93">
        <f t="shared" ref="K8:K26" si="4">IFERROR(F8/$D8*100,0)</f>
        <v>6.0606060606060606</v>
      </c>
      <c r="L8" s="93">
        <f t="shared" ref="L8:L26" si="5">IFERROR(G8/$D8*100,0)</f>
        <v>78.787878787878782</v>
      </c>
      <c r="M8" s="93">
        <f t="shared" si="2"/>
        <v>12.121212121212121</v>
      </c>
      <c r="N8" s="93">
        <f t="shared" si="2"/>
        <v>3.0303030303030303</v>
      </c>
      <c r="O8" s="93">
        <f t="shared" ref="O8:O26" si="6">IFERROR((F8+G8)/$D8*100,0)</f>
        <v>84.848484848484844</v>
      </c>
    </row>
    <row r="9" spans="1:16" ht="15.75" customHeight="1" x14ac:dyDescent="0.25">
      <c r="A9" s="116" t="s">
        <v>81</v>
      </c>
      <c r="B9" s="69"/>
      <c r="C9" s="69" t="s">
        <v>81</v>
      </c>
      <c r="D9" s="94">
        <f t="shared" si="0"/>
        <v>24</v>
      </c>
      <c r="E9" s="95"/>
      <c r="F9" s="95">
        <f>IFERROR(GETPIVOTDATA("inspection number",'in-year pivots (full and short)'!$A$3,"provider type",$A9,"Overall effectiveness",F$3),0)</f>
        <v>1</v>
      </c>
      <c r="G9" s="95">
        <f>SUM('T2 In-year full inspections'!G9+'T3 In-year short and converted'!F9+'T3 In-year short and converted'!H9)</f>
        <v>19</v>
      </c>
      <c r="H9" s="95">
        <f>IFERROR(GETPIVOTDATA("inspection number",'in-year pivots (full and short)'!$A$3,"provider type",$A9,"Overall effectiveness",H$3),0)</f>
        <v>3</v>
      </c>
      <c r="I9" s="95">
        <f>IFERROR(GETPIVOTDATA("inspection number",'in-year pivots (full and short)'!$A$3,"provider type",$A9,"Overall effectiveness",I$3),0)</f>
        <v>1</v>
      </c>
      <c r="J9" s="96"/>
      <c r="K9" s="97">
        <f t="shared" si="4"/>
        <v>4.1666666666666661</v>
      </c>
      <c r="L9" s="97">
        <f t="shared" si="5"/>
        <v>79.166666666666657</v>
      </c>
      <c r="M9" s="97">
        <f t="shared" si="2"/>
        <v>12.5</v>
      </c>
      <c r="N9" s="97">
        <f t="shared" si="2"/>
        <v>4.1666666666666661</v>
      </c>
      <c r="O9" s="97">
        <f t="shared" si="6"/>
        <v>83.333333333333343</v>
      </c>
    </row>
    <row r="10" spans="1:16" ht="15.75" customHeight="1" x14ac:dyDescent="0.25">
      <c r="A10" s="116" t="s">
        <v>83</v>
      </c>
      <c r="B10" s="69"/>
      <c r="C10" s="69" t="s">
        <v>83</v>
      </c>
      <c r="D10" s="94">
        <f t="shared" si="0"/>
        <v>7</v>
      </c>
      <c r="E10" s="95"/>
      <c r="F10" s="95">
        <f>IFERROR(GETPIVOTDATA("inspection number",'in-year pivots (full and short)'!$A$3,"provider type",$A10,"Overall effectiveness",F$3),0)</f>
        <v>1</v>
      </c>
      <c r="G10" s="95">
        <f>SUM('T2 In-year full inspections'!G10+'T3 In-year short and converted'!F10+'T3 In-year short and converted'!H10)</f>
        <v>5</v>
      </c>
      <c r="H10" s="95">
        <f>IFERROR(GETPIVOTDATA("inspection number",'in-year pivots (full and short)'!$A$3,"provider type",$A10,"Overall effectiveness",H$3),0)</f>
        <v>1</v>
      </c>
      <c r="I10" s="95">
        <f>IFERROR(GETPIVOTDATA("inspection number",'in-year pivots (full and short)'!$A$3,"provider type",$A10,"Overall effectiveness",I$3),0)</f>
        <v>0</v>
      </c>
      <c r="J10" s="96"/>
      <c r="K10" s="97">
        <f t="shared" si="4"/>
        <v>14.285714285714285</v>
      </c>
      <c r="L10" s="97">
        <f t="shared" si="5"/>
        <v>71.428571428571431</v>
      </c>
      <c r="M10" s="97">
        <f t="shared" si="2"/>
        <v>14.285714285714285</v>
      </c>
      <c r="N10" s="97">
        <f t="shared" si="2"/>
        <v>0</v>
      </c>
      <c r="O10" s="97">
        <f t="shared" si="6"/>
        <v>85.714285714285708</v>
      </c>
    </row>
    <row r="11" spans="1:16" ht="15.75" customHeight="1" x14ac:dyDescent="0.25">
      <c r="A11" s="116" t="s">
        <v>87</v>
      </c>
      <c r="B11" s="69"/>
      <c r="C11" s="69" t="s">
        <v>87</v>
      </c>
      <c r="D11" s="94">
        <f t="shared" si="0"/>
        <v>2</v>
      </c>
      <c r="E11" s="95"/>
      <c r="F11" s="95">
        <f>IFERROR(GETPIVOTDATA("inspection number",'in-year pivots (full and short)'!$A$3,"provider type",$A11,"Overall effectiveness",F$3),0)</f>
        <v>0</v>
      </c>
      <c r="G11" s="95">
        <f>SUM('T2 In-year full inspections'!G11+'T3 In-year short and converted'!F11+'T3 In-year short and converted'!H11)</f>
        <v>2</v>
      </c>
      <c r="H11" s="95">
        <f>IFERROR(GETPIVOTDATA("inspection number",'in-year pivots (full and short)'!$A$3,"provider type",$A11,"Overall effectiveness",H$3),0)</f>
        <v>0</v>
      </c>
      <c r="I11" s="95">
        <f>IFERROR(GETPIVOTDATA("inspection number",'in-year pivots (full and short)'!$A$3,"provider type",$A11,"Overall effectiveness",I$3),0)</f>
        <v>0</v>
      </c>
      <c r="J11" s="96"/>
      <c r="K11" s="97">
        <f t="shared" si="4"/>
        <v>0</v>
      </c>
      <c r="L11" s="97">
        <f t="shared" si="5"/>
        <v>100</v>
      </c>
      <c r="M11" s="97">
        <f t="shared" si="2"/>
        <v>0</v>
      </c>
      <c r="N11" s="97">
        <f t="shared" si="2"/>
        <v>0</v>
      </c>
      <c r="O11" s="97">
        <f t="shared" si="6"/>
        <v>100</v>
      </c>
    </row>
    <row r="12" spans="1:16" s="67" customFormat="1" ht="15.75" customHeight="1" x14ac:dyDescent="0.25">
      <c r="A12" s="82" t="s">
        <v>70</v>
      </c>
      <c r="B12" s="70" t="s">
        <v>71</v>
      </c>
      <c r="C12" s="70"/>
      <c r="D12" s="85">
        <f t="shared" si="0"/>
        <v>6</v>
      </c>
      <c r="E12" s="88"/>
      <c r="F12" s="98">
        <f>IFERROR(GETPIVOTDATA("inspection number",'in-year pivots (full and short)'!$A$3,"provider type",$A12,"Overall effectiveness",F$3),0)</f>
        <v>0</v>
      </c>
      <c r="G12" s="98">
        <f>SUM('T2 In-year full inspections'!G12+'T3 In-year short and converted'!F12+'T3 In-year short and converted'!H12)</f>
        <v>5</v>
      </c>
      <c r="H12" s="98">
        <f>IFERROR(GETPIVOTDATA("inspection number",'in-year pivots (full and short)'!$A$3,"provider type",$A12,"Overall effectiveness",H$3),0)</f>
        <v>1</v>
      </c>
      <c r="I12" s="98">
        <f>IFERROR(GETPIVOTDATA("inspection number",'in-year pivots (full and short)'!$A$3,"provider type",$A12,"Overall effectiveness",I$3),0)</f>
        <v>0</v>
      </c>
      <c r="J12" s="91"/>
      <c r="K12" s="93">
        <f t="shared" si="4"/>
        <v>0</v>
      </c>
      <c r="L12" s="93">
        <f t="shared" si="5"/>
        <v>83.333333333333343</v>
      </c>
      <c r="M12" s="93">
        <f t="shared" si="2"/>
        <v>16.666666666666664</v>
      </c>
      <c r="N12" s="93">
        <f t="shared" si="2"/>
        <v>0</v>
      </c>
      <c r="O12" s="93">
        <f t="shared" si="6"/>
        <v>83.333333333333343</v>
      </c>
      <c r="P12" s="82" t="s">
        <v>70</v>
      </c>
    </row>
    <row r="13" spans="1:16" s="67" customFormat="1" ht="15.75" customHeight="1" x14ac:dyDescent="0.25">
      <c r="B13" s="68" t="s">
        <v>79</v>
      </c>
      <c r="C13" s="68"/>
      <c r="D13" s="85">
        <f t="shared" si="0"/>
        <v>25</v>
      </c>
      <c r="E13" s="88"/>
      <c r="F13" s="85">
        <f>SUM(F14:F15)</f>
        <v>0</v>
      </c>
      <c r="G13" s="85">
        <f t="shared" ref="G13:I13" si="7">SUM(G14:G15)</f>
        <v>16</v>
      </c>
      <c r="H13" s="85">
        <f t="shared" si="7"/>
        <v>5</v>
      </c>
      <c r="I13" s="85">
        <f t="shared" si="7"/>
        <v>4</v>
      </c>
      <c r="J13" s="91"/>
      <c r="K13" s="93">
        <f t="shared" si="4"/>
        <v>0</v>
      </c>
      <c r="L13" s="93">
        <f t="shared" si="5"/>
        <v>64</v>
      </c>
      <c r="M13" s="93">
        <f t="shared" si="2"/>
        <v>20</v>
      </c>
      <c r="N13" s="93">
        <f t="shared" si="2"/>
        <v>16</v>
      </c>
      <c r="O13" s="93">
        <f t="shared" si="6"/>
        <v>64</v>
      </c>
      <c r="P13" s="83"/>
    </row>
    <row r="14" spans="1:16" ht="15.75" customHeight="1" x14ac:dyDescent="0.25">
      <c r="A14" s="116" t="s">
        <v>78</v>
      </c>
      <c r="B14" s="71"/>
      <c r="C14" s="69" t="s">
        <v>78</v>
      </c>
      <c r="D14" s="94">
        <f t="shared" si="0"/>
        <v>22</v>
      </c>
      <c r="E14" s="95"/>
      <c r="F14" s="95">
        <f>IFERROR(GETPIVOTDATA("inspection number",'in-year pivots (full and short)'!$A$3,"provider type",$A14,"Overall effectiveness",F$3),0)</f>
        <v>0</v>
      </c>
      <c r="G14" s="95">
        <f>SUM('T2 In-year full inspections'!G14+'T3 In-year short and converted'!F14+'T3 In-year short and converted'!H14)</f>
        <v>15</v>
      </c>
      <c r="H14" s="95">
        <f>IFERROR(GETPIVOTDATA("inspection number",'in-year pivots (full and short)'!$A$3,"provider type",$A14,"Overall effectiveness",H$3),0)</f>
        <v>4</v>
      </c>
      <c r="I14" s="95">
        <f>IFERROR(GETPIVOTDATA("inspection number",'in-year pivots (full and short)'!$A$3,"provider type",$A14,"Overall effectiveness",I$3),0)</f>
        <v>3</v>
      </c>
      <c r="J14" s="96"/>
      <c r="K14" s="97">
        <f t="shared" si="4"/>
        <v>0</v>
      </c>
      <c r="L14" s="97">
        <f t="shared" si="5"/>
        <v>68.181818181818173</v>
      </c>
      <c r="M14" s="97">
        <f t="shared" si="2"/>
        <v>18.181818181818183</v>
      </c>
      <c r="N14" s="97">
        <f t="shared" si="2"/>
        <v>13.636363636363635</v>
      </c>
      <c r="O14" s="97">
        <f t="shared" si="6"/>
        <v>68.181818181818173</v>
      </c>
      <c r="P14" s="84"/>
    </row>
    <row r="15" spans="1:16" ht="15.75" customHeight="1" x14ac:dyDescent="0.25">
      <c r="A15" s="116" t="s">
        <v>80</v>
      </c>
      <c r="B15" s="71"/>
      <c r="C15" s="69" t="s">
        <v>80</v>
      </c>
      <c r="D15" s="94">
        <f t="shared" si="0"/>
        <v>3</v>
      </c>
      <c r="E15" s="95"/>
      <c r="F15" s="95">
        <f>IFERROR(GETPIVOTDATA("inspection number",'in-year pivots (full and short)'!$A$3,"provider type",$A15,"Overall effectiveness",F$3),0)</f>
        <v>0</v>
      </c>
      <c r="G15" s="95">
        <f>SUM('T2 In-year full inspections'!G15+'T3 In-year short and converted'!F15+'T3 In-year short and converted'!H15)</f>
        <v>1</v>
      </c>
      <c r="H15" s="95">
        <f>IFERROR(GETPIVOTDATA("inspection number",'in-year pivots (full and short)'!$A$3,"provider type",$A15,"Overall effectiveness",H$3),0)</f>
        <v>1</v>
      </c>
      <c r="I15" s="95">
        <f>IFERROR(GETPIVOTDATA("inspection number",'in-year pivots (full and short)'!$A$3,"provider type",$A15,"Overall effectiveness",I$3),0)</f>
        <v>1</v>
      </c>
      <c r="J15" s="96"/>
      <c r="K15" s="97">
        <f t="shared" si="4"/>
        <v>0</v>
      </c>
      <c r="L15" s="97">
        <f t="shared" si="5"/>
        <v>33.333333333333329</v>
      </c>
      <c r="M15" s="97">
        <f t="shared" si="2"/>
        <v>33.333333333333329</v>
      </c>
      <c r="N15" s="97">
        <f t="shared" si="2"/>
        <v>33.333333333333329</v>
      </c>
      <c r="O15" s="97">
        <f t="shared" si="6"/>
        <v>33.333333333333329</v>
      </c>
      <c r="P15" s="84"/>
    </row>
    <row r="16" spans="1:16" s="67" customFormat="1" ht="15.75" customHeight="1" x14ac:dyDescent="0.25">
      <c r="B16" s="68" t="s">
        <v>76</v>
      </c>
      <c r="C16" s="68"/>
      <c r="D16" s="85">
        <f t="shared" si="0"/>
        <v>29</v>
      </c>
      <c r="E16" s="88"/>
      <c r="F16" s="85">
        <f>SUM(F17:F19)</f>
        <v>1</v>
      </c>
      <c r="G16" s="85">
        <f t="shared" ref="G16:I16" si="8">SUM(G17:G19)</f>
        <v>20</v>
      </c>
      <c r="H16" s="85">
        <f t="shared" si="8"/>
        <v>7</v>
      </c>
      <c r="I16" s="85">
        <f t="shared" si="8"/>
        <v>1</v>
      </c>
      <c r="J16" s="91"/>
      <c r="K16" s="93">
        <f t="shared" si="4"/>
        <v>3.4482758620689653</v>
      </c>
      <c r="L16" s="93">
        <f t="shared" si="5"/>
        <v>68.965517241379317</v>
      </c>
      <c r="M16" s="93">
        <f t="shared" si="2"/>
        <v>24.137931034482758</v>
      </c>
      <c r="N16" s="93">
        <f t="shared" si="2"/>
        <v>3.4482758620689653</v>
      </c>
      <c r="O16" s="93">
        <f t="shared" si="6"/>
        <v>72.41379310344827</v>
      </c>
      <c r="P16" s="83"/>
    </row>
    <row r="17" spans="1:16" ht="15.75" customHeight="1" x14ac:dyDescent="0.25">
      <c r="A17" s="115" t="s">
        <v>75</v>
      </c>
      <c r="B17" s="71"/>
      <c r="C17" s="69" t="s">
        <v>75</v>
      </c>
      <c r="D17" s="94">
        <f t="shared" si="0"/>
        <v>14</v>
      </c>
      <c r="E17" s="95"/>
      <c r="F17" s="95">
        <f>IFERROR(GETPIVOTDATA("inspection number",'in-year pivots (full and short)'!$A$3,"provider type",$A17,"Overall effectiveness",F$3),0)</f>
        <v>0</v>
      </c>
      <c r="G17" s="95">
        <f>SUM('T2 In-year full inspections'!G17+'T3 In-year short and converted'!F17+'T3 In-year short and converted'!H17)</f>
        <v>8</v>
      </c>
      <c r="H17" s="95">
        <f>IFERROR(GETPIVOTDATA("inspection number",'in-year pivots (full and short)'!$A$3,"provider type",$A17,"Overall effectiveness",H$3),0)</f>
        <v>6</v>
      </c>
      <c r="I17" s="95">
        <f>IFERROR(GETPIVOTDATA("inspection number",'in-year pivots (full and short)'!$A$3,"provider type",$A17,"Overall effectiveness",I$3),0)</f>
        <v>0</v>
      </c>
      <c r="J17" s="96"/>
      <c r="K17" s="97">
        <f t="shared" si="4"/>
        <v>0</v>
      </c>
      <c r="L17" s="97">
        <f t="shared" si="5"/>
        <v>57.142857142857139</v>
      </c>
      <c r="M17" s="97">
        <f t="shared" si="2"/>
        <v>42.857142857142854</v>
      </c>
      <c r="N17" s="97">
        <f t="shared" si="2"/>
        <v>0</v>
      </c>
      <c r="O17" s="97">
        <f t="shared" si="6"/>
        <v>57.142857142857139</v>
      </c>
      <c r="P17" s="84"/>
    </row>
    <row r="18" spans="1:16" ht="15.75" customHeight="1" x14ac:dyDescent="0.25">
      <c r="A18" s="115" t="s">
        <v>77</v>
      </c>
      <c r="B18" s="71"/>
      <c r="C18" s="69" t="s">
        <v>77</v>
      </c>
      <c r="D18" s="94">
        <f t="shared" si="0"/>
        <v>13</v>
      </c>
      <c r="E18" s="95"/>
      <c r="F18" s="95">
        <f>IFERROR(GETPIVOTDATA("inspection number",'in-year pivots (full and short)'!$A$3,"provider type",$A18,"Overall effectiveness",F$3),0)</f>
        <v>1</v>
      </c>
      <c r="G18" s="95">
        <f>SUM('T2 In-year full inspections'!G18+'T3 In-year short and converted'!F18+'T3 In-year short and converted'!H18)</f>
        <v>10</v>
      </c>
      <c r="H18" s="95">
        <f>IFERROR(GETPIVOTDATA("inspection number",'in-year pivots (full and short)'!$A$3,"provider type",$A18,"Overall effectiveness",H$3),0)</f>
        <v>1</v>
      </c>
      <c r="I18" s="95">
        <f>IFERROR(GETPIVOTDATA("inspection number",'in-year pivots (full and short)'!$A$3,"provider type",$A18,"Overall effectiveness",I$3),0)</f>
        <v>1</v>
      </c>
      <c r="J18" s="96"/>
      <c r="K18" s="97">
        <f t="shared" si="4"/>
        <v>7.6923076923076925</v>
      </c>
      <c r="L18" s="97">
        <f t="shared" si="5"/>
        <v>76.923076923076934</v>
      </c>
      <c r="M18" s="97">
        <f t="shared" si="2"/>
        <v>7.6923076923076925</v>
      </c>
      <c r="N18" s="97">
        <f t="shared" si="2"/>
        <v>7.6923076923076925</v>
      </c>
      <c r="O18" s="97">
        <f t="shared" si="6"/>
        <v>84.615384615384613</v>
      </c>
      <c r="P18" s="84"/>
    </row>
    <row r="19" spans="1:16" ht="15.75" customHeight="1" x14ac:dyDescent="0.25">
      <c r="A19" s="115" t="s">
        <v>84</v>
      </c>
      <c r="B19" s="71"/>
      <c r="C19" s="69" t="s">
        <v>84</v>
      </c>
      <c r="D19" s="94">
        <f t="shared" si="0"/>
        <v>2</v>
      </c>
      <c r="E19" s="95"/>
      <c r="F19" s="95">
        <f>IFERROR(GETPIVOTDATA("inspection number",'in-year pivots (full and short)'!$A$3,"provider type",$A19,"Overall effectiveness",F$3),0)</f>
        <v>0</v>
      </c>
      <c r="G19" s="95">
        <f>SUM('T2 In-year full inspections'!G19+'T3 In-year short and converted'!F19+'T3 In-year short and converted'!H19)</f>
        <v>2</v>
      </c>
      <c r="H19" s="95">
        <f>IFERROR(GETPIVOTDATA("inspection number",'in-year pivots (full and short)'!$A$3,"provider type",$A19,"Overall effectiveness",H$3),0)</f>
        <v>0</v>
      </c>
      <c r="I19" s="95">
        <f>IFERROR(GETPIVOTDATA("inspection number",'in-year pivots (full and short)'!$A$3,"provider type",$A19,"Overall effectiveness",I$3),0)</f>
        <v>0</v>
      </c>
      <c r="J19" s="96"/>
      <c r="K19" s="97">
        <f t="shared" si="4"/>
        <v>0</v>
      </c>
      <c r="L19" s="97">
        <f t="shared" si="5"/>
        <v>100</v>
      </c>
      <c r="M19" s="97">
        <f t="shared" si="2"/>
        <v>0</v>
      </c>
      <c r="N19" s="97">
        <f t="shared" si="2"/>
        <v>0</v>
      </c>
      <c r="O19" s="97">
        <f t="shared" si="6"/>
        <v>100</v>
      </c>
      <c r="P19" s="84"/>
    </row>
    <row r="20" spans="1:16" s="67" customFormat="1" ht="15.75" customHeight="1" x14ac:dyDescent="0.25">
      <c r="B20" s="68" t="s">
        <v>74</v>
      </c>
      <c r="C20" s="68"/>
      <c r="D20" s="85">
        <f t="shared" si="0"/>
        <v>3</v>
      </c>
      <c r="E20" s="88"/>
      <c r="F20" s="85">
        <f>SUM(F21:F23)</f>
        <v>1</v>
      </c>
      <c r="G20" s="85">
        <f t="shared" ref="G20:I20" si="9">SUM(G21:G23)</f>
        <v>1</v>
      </c>
      <c r="H20" s="85">
        <f t="shared" si="9"/>
        <v>1</v>
      </c>
      <c r="I20" s="85">
        <f t="shared" si="9"/>
        <v>0</v>
      </c>
      <c r="J20" s="91"/>
      <c r="K20" s="93">
        <f t="shared" si="4"/>
        <v>33.333333333333329</v>
      </c>
      <c r="L20" s="93">
        <f t="shared" si="5"/>
        <v>33.333333333333329</v>
      </c>
      <c r="M20" s="93">
        <f t="shared" si="2"/>
        <v>33.333333333333329</v>
      </c>
      <c r="N20" s="93">
        <f t="shared" si="2"/>
        <v>0</v>
      </c>
      <c r="O20" s="93">
        <f t="shared" si="6"/>
        <v>66.666666666666657</v>
      </c>
      <c r="P20" s="82"/>
    </row>
    <row r="21" spans="1:16" ht="15.75" customHeight="1" x14ac:dyDescent="0.25">
      <c r="A21" s="115" t="s">
        <v>88</v>
      </c>
      <c r="B21" s="71"/>
      <c r="C21" s="69" t="s">
        <v>88</v>
      </c>
      <c r="D21" s="94">
        <f t="shared" si="0"/>
        <v>2</v>
      </c>
      <c r="E21" s="95"/>
      <c r="F21" s="95">
        <f>IFERROR(GETPIVOTDATA("inspection number",'in-year pivots (full and short)'!$A$3,"provider type",$A21,"Overall effectiveness",F$3),0)</f>
        <v>0</v>
      </c>
      <c r="G21" s="95">
        <f>SUM('T2 In-year full inspections'!G21+'T3 In-year short and converted'!F21+'T3 In-year short and converted'!H21)</f>
        <v>1</v>
      </c>
      <c r="H21" s="95">
        <f>IFERROR(GETPIVOTDATA("inspection number",'in-year pivots (full and short)'!$A$3,"provider type",$A21,"Overall effectiveness",H$3),0)</f>
        <v>1</v>
      </c>
      <c r="I21" s="95">
        <f>IFERROR(GETPIVOTDATA("inspection number",'in-year pivots (full and short)'!$A$3,"provider type",$A21,"Overall effectiveness",I$3),0)</f>
        <v>0</v>
      </c>
      <c r="J21" s="96"/>
      <c r="K21" s="97">
        <f t="shared" si="4"/>
        <v>0</v>
      </c>
      <c r="L21" s="97">
        <f t="shared" si="5"/>
        <v>50</v>
      </c>
      <c r="M21" s="97">
        <f t="shared" si="2"/>
        <v>50</v>
      </c>
      <c r="N21" s="97">
        <f t="shared" si="2"/>
        <v>0</v>
      </c>
      <c r="O21" s="97">
        <f t="shared" si="6"/>
        <v>50</v>
      </c>
      <c r="P21" s="84"/>
    </row>
    <row r="22" spans="1:16" ht="15.75" customHeight="1" x14ac:dyDescent="0.25">
      <c r="A22" s="115" t="s">
        <v>73</v>
      </c>
      <c r="B22" s="71"/>
      <c r="C22" s="69" t="s">
        <v>73</v>
      </c>
      <c r="D22" s="94">
        <f t="shared" si="0"/>
        <v>1</v>
      </c>
      <c r="E22" s="95"/>
      <c r="F22" s="95">
        <f>IFERROR(GETPIVOTDATA("inspection number",'in-year pivots (full and short)'!$A$3,"provider type",$A22,"Overall effectiveness",F$3),0)</f>
        <v>1</v>
      </c>
      <c r="G22" s="95">
        <f>SUM('T2 In-year full inspections'!G22+'T3 In-year short and converted'!F22+'T3 In-year short and converted'!H22)</f>
        <v>0</v>
      </c>
      <c r="H22" s="95">
        <f>IFERROR(GETPIVOTDATA("inspection number",'in-year pivots (full and short)'!$A$3,"provider type",$A22,"Overall effectiveness",H$3),0)</f>
        <v>0</v>
      </c>
      <c r="I22" s="95">
        <f>IFERROR(GETPIVOTDATA("inspection number",'in-year pivots (full and short)'!$A$3,"provider type",$A22,"Overall effectiveness",I$3),0)</f>
        <v>0</v>
      </c>
      <c r="J22" s="96"/>
      <c r="K22" s="97">
        <f t="shared" si="4"/>
        <v>100</v>
      </c>
      <c r="L22" s="97">
        <f t="shared" si="5"/>
        <v>0</v>
      </c>
      <c r="M22" s="97">
        <f t="shared" si="2"/>
        <v>0</v>
      </c>
      <c r="N22" s="97">
        <f t="shared" si="2"/>
        <v>0</v>
      </c>
      <c r="O22" s="97">
        <f t="shared" si="6"/>
        <v>100</v>
      </c>
      <c r="P22" s="84"/>
    </row>
    <row r="23" spans="1:16" ht="15.75" customHeight="1" x14ac:dyDescent="0.25">
      <c r="A23" s="115" t="s">
        <v>89</v>
      </c>
      <c r="B23" s="71"/>
      <c r="C23" s="69" t="s">
        <v>89</v>
      </c>
      <c r="D23" s="94">
        <f t="shared" si="0"/>
        <v>0</v>
      </c>
      <c r="E23" s="95"/>
      <c r="F23" s="95">
        <f>IFERROR(GETPIVOTDATA("inspection number",'in-year pivots (full and short)'!$A$3,"provider type",$A23,"Overall effectiveness",F$3),0)</f>
        <v>0</v>
      </c>
      <c r="G23" s="95">
        <f>SUM('T2 In-year full inspections'!G23+'T3 In-year short and converted'!F23+'T3 In-year short and converted'!H23)</f>
        <v>0</v>
      </c>
      <c r="H23" s="95">
        <f>IFERROR(GETPIVOTDATA("inspection number",'in-year pivots (full and short)'!$A$3,"provider type",$A23,"Overall effectiveness",H$3),0)</f>
        <v>0</v>
      </c>
      <c r="I23" s="95">
        <f>IFERROR(GETPIVOTDATA("inspection number",'in-year pivots (full and short)'!$A$3,"provider type",$A23,"Overall effectiveness",I$3),0)</f>
        <v>0</v>
      </c>
      <c r="J23" s="96"/>
      <c r="K23" s="97">
        <f t="shared" si="4"/>
        <v>0</v>
      </c>
      <c r="L23" s="97">
        <f t="shared" si="5"/>
        <v>0</v>
      </c>
      <c r="M23" s="97">
        <f t="shared" ref="M23:N26" si="10">IFERROR(H23/$D23*100,0)</f>
        <v>0</v>
      </c>
      <c r="N23" s="97">
        <f t="shared" si="10"/>
        <v>0</v>
      </c>
      <c r="O23" s="97">
        <f t="shared" si="6"/>
        <v>0</v>
      </c>
      <c r="P23" s="84"/>
    </row>
    <row r="24" spans="1:16" s="67" customFormat="1" ht="15.75" customHeight="1" x14ac:dyDescent="0.25">
      <c r="A24" s="115" t="s">
        <v>85</v>
      </c>
      <c r="B24" s="70" t="s">
        <v>86</v>
      </c>
      <c r="C24" s="70"/>
      <c r="D24" s="85">
        <f t="shared" si="0"/>
        <v>0</v>
      </c>
      <c r="E24" s="88"/>
      <c r="F24" s="98">
        <f>IFERROR(GETPIVOTDATA("inspection number",'in-year pivots (full and short)'!$A$3,"provider type",$A24,"Overall effectiveness",F$3),0)</f>
        <v>0</v>
      </c>
      <c r="G24" s="98">
        <f>SUM('T2 In-year full inspections'!G24+'T3 In-year short and converted'!F24+'T3 In-year short and converted'!H24)</f>
        <v>0</v>
      </c>
      <c r="H24" s="98">
        <f>IFERROR(GETPIVOTDATA("inspection number",'in-year pivots (full and short)'!$A$3,"provider type",$A24,"Overall effectiveness",H$3),0)</f>
        <v>0</v>
      </c>
      <c r="I24" s="98">
        <f>IFERROR(GETPIVOTDATA("inspection number",'in-year pivots (full and short)'!$A$3,"provider type",$A24,"Overall effectiveness",I$3),0)</f>
        <v>0</v>
      </c>
      <c r="J24" s="91"/>
      <c r="K24" s="93">
        <f t="shared" si="4"/>
        <v>0</v>
      </c>
      <c r="L24" s="93">
        <f t="shared" si="5"/>
        <v>0</v>
      </c>
      <c r="M24" s="93">
        <f t="shared" si="10"/>
        <v>0</v>
      </c>
      <c r="N24" s="93">
        <f t="shared" si="10"/>
        <v>0</v>
      </c>
      <c r="O24" s="93">
        <f t="shared" si="6"/>
        <v>0</v>
      </c>
      <c r="P24" s="82" t="s">
        <v>85</v>
      </c>
    </row>
    <row r="25" spans="1:16" s="67" customFormat="1" ht="15.75" customHeight="1" x14ac:dyDescent="0.25">
      <c r="A25" s="115" t="s">
        <v>69</v>
      </c>
      <c r="B25" s="70" t="s">
        <v>108</v>
      </c>
      <c r="C25" s="70"/>
      <c r="D25" s="85">
        <f t="shared" si="0"/>
        <v>3</v>
      </c>
      <c r="E25" s="88"/>
      <c r="F25" s="98">
        <f>IFERROR(GETPIVOTDATA("inspection number",'in-year pivots (full and short)'!$A$3,"provider type",$A25,"Overall effectiveness",F$3),0)</f>
        <v>0</v>
      </c>
      <c r="G25" s="98">
        <f>SUM('T2 In-year full inspections'!G25+'T3 In-year short and converted'!F25+'T3 In-year short and converted'!H25)</f>
        <v>2</v>
      </c>
      <c r="H25" s="98">
        <f>IFERROR(GETPIVOTDATA("inspection number",'in-year pivots (full and short)'!$A$3,"provider type",$A25,"Overall effectiveness",H$3),0)</f>
        <v>1</v>
      </c>
      <c r="I25" s="98">
        <f>IFERROR(GETPIVOTDATA("inspection number",'in-year pivots (full and short)'!$A$3,"provider type",$A25,"Overall effectiveness",I$3),0)</f>
        <v>0</v>
      </c>
      <c r="J25" s="91"/>
      <c r="K25" s="93">
        <f t="shared" si="4"/>
        <v>0</v>
      </c>
      <c r="L25" s="93">
        <f t="shared" si="5"/>
        <v>66.666666666666657</v>
      </c>
      <c r="M25" s="93">
        <f t="shared" si="10"/>
        <v>33.333333333333329</v>
      </c>
      <c r="N25" s="93">
        <f t="shared" si="10"/>
        <v>0</v>
      </c>
      <c r="O25" s="93">
        <f t="shared" si="6"/>
        <v>66.666666666666657</v>
      </c>
      <c r="P25" s="82" t="s">
        <v>69</v>
      </c>
    </row>
    <row r="26" spans="1:16" s="67" customFormat="1" ht="15.75" customHeight="1" x14ac:dyDescent="0.25">
      <c r="A26" s="115" t="s">
        <v>90</v>
      </c>
      <c r="B26" s="72" t="s">
        <v>91</v>
      </c>
      <c r="C26" s="72"/>
      <c r="D26" s="98">
        <f t="shared" si="0"/>
        <v>0</v>
      </c>
      <c r="E26" s="88"/>
      <c r="F26" s="98">
        <f>IFERROR(GETPIVOTDATA("inspection number",'in-year pivots (full and short)'!$A$3,"provider type",$A26,"Overall effectiveness",F$3),0)</f>
        <v>0</v>
      </c>
      <c r="G26" s="98">
        <f>SUM('T2 In-year full inspections'!G26+'T3 In-year short and converted'!F26+'T3 In-year short and converted'!H26)</f>
        <v>0</v>
      </c>
      <c r="H26" s="98">
        <f>IFERROR(GETPIVOTDATA("inspection number",'in-year pivots (full and short)'!$A$3,"provider type",$A26,"Overall effectiveness",H$3),0)</f>
        <v>0</v>
      </c>
      <c r="I26" s="98">
        <f>IFERROR(GETPIVOTDATA("inspection number",'in-year pivots (full and short)'!$A$3,"provider type",$A26,"Overall effectiveness",I$3),0)</f>
        <v>0</v>
      </c>
      <c r="J26" s="91"/>
      <c r="K26" s="100">
        <f t="shared" si="4"/>
        <v>0</v>
      </c>
      <c r="L26" s="100">
        <f t="shared" si="5"/>
        <v>0</v>
      </c>
      <c r="M26" s="100">
        <f t="shared" si="10"/>
        <v>0</v>
      </c>
      <c r="N26" s="100">
        <f t="shared" si="10"/>
        <v>0</v>
      </c>
      <c r="O26" s="100">
        <f t="shared" si="6"/>
        <v>0</v>
      </c>
      <c r="P26" s="82" t="s">
        <v>90</v>
      </c>
    </row>
    <row r="27" spans="1:16" x14ac:dyDescent="0.25">
      <c r="B27" s="73"/>
      <c r="C27" s="73"/>
      <c r="O27" s="74" t="s">
        <v>97</v>
      </c>
    </row>
    <row r="28" spans="1:16" x14ac:dyDescent="0.25">
      <c r="B28" s="75" t="s">
        <v>144</v>
      </c>
      <c r="C28" s="73"/>
    </row>
    <row r="29" spans="1:16" s="125" customFormat="1" x14ac:dyDescent="0.25">
      <c r="B29" s="75" t="s">
        <v>146</v>
      </c>
      <c r="C29" s="73"/>
    </row>
    <row r="30" spans="1:16" x14ac:dyDescent="0.25">
      <c r="B30" s="110" t="s">
        <v>142</v>
      </c>
      <c r="C30" s="78"/>
    </row>
    <row r="31" spans="1:16" x14ac:dyDescent="0.25">
      <c r="B31" s="110" t="s">
        <v>107</v>
      </c>
    </row>
    <row r="32" spans="1:16" x14ac:dyDescent="0.25">
      <c r="B32" s="76" t="s">
        <v>133</v>
      </c>
    </row>
  </sheetData>
  <mergeCells count="6">
    <mergeCell ref="B4:B6"/>
    <mergeCell ref="C4:C6"/>
    <mergeCell ref="D4:D6"/>
    <mergeCell ref="F4:O4"/>
    <mergeCell ref="F5:I5"/>
    <mergeCell ref="K5:O5"/>
  </mergeCells>
  <pageMargins left="0.7" right="0.7" top="0.75" bottom="0.75" header="0.3" footer="0.3"/>
  <pageSetup paperSize="9" orientation="portrait" r:id="rId1"/>
  <ignoredErrors>
    <ignoredError sqref="F13 F16 F20 H13:I13 H16:I16 H20:I20 G20 G16 G13 G9:G12 G14:G15 G17:G19 G21:G26"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18"/>
  <sheetViews>
    <sheetView workbookViewId="0">
      <pivotSelection pane="bottomRight" click="1" r:id="rId2">
        <pivotArea field="11" type="button" dataOnly="0" labelOnly="1" outline="0" axis="axisPage" fieldPosition="0"/>
      </pivotSelection>
    </sheetView>
  </sheetViews>
  <sheetFormatPr defaultRowHeight="13.2" x14ac:dyDescent="0.25"/>
  <cols>
    <col min="1" max="1" width="30.33203125" customWidth="1"/>
    <col min="2" max="2" width="17.21875" bestFit="1" customWidth="1"/>
    <col min="3" max="4" width="3.44140625" customWidth="1"/>
    <col min="5" max="5" width="2.21875" customWidth="1"/>
    <col min="6" max="6" width="3.44140625" customWidth="1"/>
    <col min="7" max="7" width="12.109375" bestFit="1" customWidth="1"/>
    <col min="8" max="8" width="11.5546875" customWidth="1"/>
    <col min="9" max="9" width="30.33203125" customWidth="1"/>
    <col min="10" max="10" width="17.21875" customWidth="1"/>
    <col min="11" max="11" width="3.44140625" customWidth="1"/>
    <col min="12" max="12" width="2.21875" customWidth="1"/>
    <col min="13" max="13" width="12.109375" customWidth="1"/>
    <col min="14" max="14" width="2.21875" customWidth="1"/>
    <col min="15" max="15" width="12.109375" bestFit="1" customWidth="1"/>
  </cols>
  <sheetData>
    <row r="1" spans="1:13" x14ac:dyDescent="0.25">
      <c r="A1" s="79" t="s">
        <v>115</v>
      </c>
      <c r="B1" t="s">
        <v>2862</v>
      </c>
      <c r="I1" s="79" t="s">
        <v>115</v>
      </c>
      <c r="J1" t="s">
        <v>3081</v>
      </c>
    </row>
    <row r="3" spans="1:13" x14ac:dyDescent="0.25">
      <c r="A3" s="79" t="s">
        <v>105</v>
      </c>
      <c r="B3" s="79" t="s">
        <v>104</v>
      </c>
      <c r="I3" s="79" t="s">
        <v>105</v>
      </c>
      <c r="J3" s="79" t="s">
        <v>104</v>
      </c>
    </row>
    <row r="4" spans="1:13" x14ac:dyDescent="0.25">
      <c r="A4" s="79" t="s">
        <v>102</v>
      </c>
      <c r="B4">
        <v>1</v>
      </c>
      <c r="C4">
        <v>2</v>
      </c>
      <c r="D4">
        <v>3</v>
      </c>
      <c r="E4">
        <v>4</v>
      </c>
      <c r="F4">
        <v>9</v>
      </c>
      <c r="G4" t="s">
        <v>103</v>
      </c>
      <c r="I4" s="79" t="s">
        <v>102</v>
      </c>
      <c r="J4">
        <v>3</v>
      </c>
      <c r="K4">
        <v>9</v>
      </c>
      <c r="L4">
        <v>1</v>
      </c>
      <c r="M4" t="s">
        <v>103</v>
      </c>
    </row>
    <row r="5" spans="1:13" x14ac:dyDescent="0.25">
      <c r="A5" s="1" t="s">
        <v>80</v>
      </c>
      <c r="B5" s="80"/>
      <c r="C5" s="80">
        <v>1</v>
      </c>
      <c r="D5" s="80">
        <v>1</v>
      </c>
      <c r="E5" s="80">
        <v>1</v>
      </c>
      <c r="F5" s="80"/>
      <c r="G5" s="80">
        <v>3</v>
      </c>
      <c r="H5" s="80"/>
      <c r="I5" s="1" t="s">
        <v>81</v>
      </c>
      <c r="J5" s="80"/>
      <c r="K5" s="80">
        <v>7</v>
      </c>
      <c r="L5" s="80">
        <v>1</v>
      </c>
      <c r="M5" s="80">
        <v>8</v>
      </c>
    </row>
    <row r="6" spans="1:13" x14ac:dyDescent="0.25">
      <c r="A6" s="1" t="s">
        <v>81</v>
      </c>
      <c r="B6" s="80">
        <v>1</v>
      </c>
      <c r="C6" s="80">
        <v>12</v>
      </c>
      <c r="D6" s="80">
        <v>3</v>
      </c>
      <c r="E6" s="80">
        <v>1</v>
      </c>
      <c r="F6" s="80">
        <v>7</v>
      </c>
      <c r="G6" s="80">
        <v>24</v>
      </c>
      <c r="H6" s="80"/>
      <c r="I6" s="1" t="s">
        <v>69</v>
      </c>
      <c r="J6" s="80"/>
      <c r="K6" s="80">
        <v>1</v>
      </c>
      <c r="L6" s="80"/>
      <c r="M6" s="80">
        <v>1</v>
      </c>
    </row>
    <row r="7" spans="1:13" x14ac:dyDescent="0.25">
      <c r="A7" s="1" t="s">
        <v>69</v>
      </c>
      <c r="B7" s="80"/>
      <c r="C7" s="80">
        <v>1</v>
      </c>
      <c r="D7" s="80">
        <v>1</v>
      </c>
      <c r="E7" s="80"/>
      <c r="F7" s="80">
        <v>1</v>
      </c>
      <c r="G7" s="80">
        <v>3</v>
      </c>
      <c r="H7" s="80"/>
      <c r="I7" s="1" t="s">
        <v>78</v>
      </c>
      <c r="J7" s="80">
        <v>2</v>
      </c>
      <c r="K7" s="80">
        <v>12</v>
      </c>
      <c r="L7" s="80"/>
      <c r="M7" s="80">
        <v>14</v>
      </c>
    </row>
    <row r="8" spans="1:13" x14ac:dyDescent="0.25">
      <c r="A8" s="1" t="s">
        <v>78</v>
      </c>
      <c r="B8" s="80"/>
      <c r="C8" s="80">
        <v>3</v>
      </c>
      <c r="D8" s="80">
        <v>4</v>
      </c>
      <c r="E8" s="80">
        <v>3</v>
      </c>
      <c r="F8" s="80">
        <v>12</v>
      </c>
      <c r="G8" s="80">
        <v>22</v>
      </c>
      <c r="H8" s="80"/>
      <c r="I8" s="1" t="s">
        <v>75</v>
      </c>
      <c r="J8" s="80">
        <v>2</v>
      </c>
      <c r="K8" s="80">
        <v>7</v>
      </c>
      <c r="L8" s="80"/>
      <c r="M8" s="80">
        <v>9</v>
      </c>
    </row>
    <row r="9" spans="1:13" x14ac:dyDescent="0.25">
      <c r="A9" s="1" t="s">
        <v>75</v>
      </c>
      <c r="B9" s="80"/>
      <c r="C9" s="80">
        <v>1</v>
      </c>
      <c r="D9" s="80">
        <v>6</v>
      </c>
      <c r="E9" s="80"/>
      <c r="F9" s="80">
        <v>7</v>
      </c>
      <c r="G9" s="80">
        <v>14</v>
      </c>
      <c r="H9" s="80"/>
      <c r="I9" s="1" t="s">
        <v>77</v>
      </c>
      <c r="J9" s="80"/>
      <c r="K9" s="80">
        <v>8</v>
      </c>
      <c r="L9" s="80"/>
      <c r="M9" s="80">
        <v>8</v>
      </c>
    </row>
    <row r="10" spans="1:13" x14ac:dyDescent="0.25">
      <c r="A10" s="1" t="s">
        <v>77</v>
      </c>
      <c r="B10" s="80">
        <v>1</v>
      </c>
      <c r="C10" s="80">
        <v>2</v>
      </c>
      <c r="D10" s="80">
        <v>1</v>
      </c>
      <c r="E10" s="80">
        <v>1</v>
      </c>
      <c r="F10" s="80">
        <v>8</v>
      </c>
      <c r="G10" s="80">
        <v>13</v>
      </c>
      <c r="H10" s="80"/>
      <c r="I10" s="1" t="s">
        <v>83</v>
      </c>
      <c r="J10" s="80"/>
      <c r="K10" s="80">
        <v>1</v>
      </c>
      <c r="L10" s="80">
        <v>1</v>
      </c>
      <c r="M10" s="80">
        <v>2</v>
      </c>
    </row>
    <row r="11" spans="1:13" x14ac:dyDescent="0.25">
      <c r="A11" s="1" t="s">
        <v>83</v>
      </c>
      <c r="B11" s="80">
        <v>1</v>
      </c>
      <c r="C11" s="80">
        <v>4</v>
      </c>
      <c r="D11" s="80">
        <v>1</v>
      </c>
      <c r="E11" s="80"/>
      <c r="F11" s="80">
        <v>1</v>
      </c>
      <c r="G11" s="80">
        <v>7</v>
      </c>
      <c r="H11" s="80"/>
      <c r="I11" s="1" t="s">
        <v>84</v>
      </c>
      <c r="J11" s="80"/>
      <c r="K11" s="80">
        <v>1</v>
      </c>
      <c r="L11" s="80"/>
      <c r="M11" s="80">
        <v>1</v>
      </c>
    </row>
    <row r="12" spans="1:13" x14ac:dyDescent="0.25">
      <c r="A12" s="1" t="s">
        <v>84</v>
      </c>
      <c r="B12" s="80"/>
      <c r="C12" s="80">
        <v>1</v>
      </c>
      <c r="D12" s="80"/>
      <c r="E12" s="80"/>
      <c r="F12" s="80">
        <v>1</v>
      </c>
      <c r="G12" s="80">
        <v>2</v>
      </c>
      <c r="H12" s="80"/>
      <c r="I12" s="1" t="s">
        <v>88</v>
      </c>
      <c r="J12" s="80"/>
      <c r="K12" s="80">
        <v>1</v>
      </c>
      <c r="L12" s="80"/>
      <c r="M12" s="80">
        <v>1</v>
      </c>
    </row>
    <row r="13" spans="1:13" x14ac:dyDescent="0.25">
      <c r="A13" s="1" t="s">
        <v>88</v>
      </c>
      <c r="B13" s="80"/>
      <c r="C13" s="80"/>
      <c r="D13" s="80">
        <v>1</v>
      </c>
      <c r="E13" s="80"/>
      <c r="F13" s="80">
        <v>1</v>
      </c>
      <c r="G13" s="80">
        <v>2</v>
      </c>
      <c r="H13" s="80"/>
      <c r="I13" s="1" t="s">
        <v>70</v>
      </c>
      <c r="J13" s="80"/>
      <c r="K13" s="80">
        <v>2</v>
      </c>
      <c r="L13" s="80"/>
      <c r="M13" s="80">
        <v>2</v>
      </c>
    </row>
    <row r="14" spans="1:13" x14ac:dyDescent="0.25">
      <c r="A14" s="1" t="s">
        <v>70</v>
      </c>
      <c r="B14" s="80"/>
      <c r="C14" s="80">
        <v>3</v>
      </c>
      <c r="D14" s="80">
        <v>1</v>
      </c>
      <c r="E14" s="80"/>
      <c r="F14" s="80">
        <v>2</v>
      </c>
      <c r="G14" s="80">
        <v>6</v>
      </c>
      <c r="H14" s="80"/>
      <c r="I14" s="1" t="s">
        <v>73</v>
      </c>
      <c r="J14" s="80"/>
      <c r="K14" s="80"/>
      <c r="L14" s="80">
        <v>1</v>
      </c>
      <c r="M14" s="80">
        <v>1</v>
      </c>
    </row>
    <row r="15" spans="1:13" x14ac:dyDescent="0.25">
      <c r="A15" s="1" t="s">
        <v>73</v>
      </c>
      <c r="B15" s="80">
        <v>1</v>
      </c>
      <c r="C15" s="80"/>
      <c r="D15" s="80"/>
      <c r="E15" s="80"/>
      <c r="F15" s="80"/>
      <c r="G15" s="80">
        <v>1</v>
      </c>
      <c r="H15" s="80"/>
      <c r="I15" s="1" t="s">
        <v>87</v>
      </c>
      <c r="J15" s="80"/>
      <c r="K15" s="80">
        <v>2</v>
      </c>
      <c r="L15" s="80"/>
      <c r="M15" s="80">
        <v>2</v>
      </c>
    </row>
    <row r="16" spans="1:13" x14ac:dyDescent="0.25">
      <c r="A16" s="1" t="s">
        <v>87</v>
      </c>
      <c r="B16" s="80"/>
      <c r="C16" s="80"/>
      <c r="D16" s="80"/>
      <c r="E16" s="80"/>
      <c r="F16" s="80">
        <v>2</v>
      </c>
      <c r="G16" s="80">
        <v>2</v>
      </c>
      <c r="H16" s="80"/>
      <c r="I16" s="1" t="s">
        <v>103</v>
      </c>
      <c r="J16" s="80">
        <v>4</v>
      </c>
      <c r="K16" s="80">
        <v>42</v>
      </c>
      <c r="L16" s="80">
        <v>3</v>
      </c>
      <c r="M16" s="80">
        <v>49</v>
      </c>
    </row>
    <row r="17" spans="1:8" x14ac:dyDescent="0.25">
      <c r="A17" s="1" t="s">
        <v>103</v>
      </c>
      <c r="B17" s="80">
        <v>4</v>
      </c>
      <c r="C17" s="80">
        <v>28</v>
      </c>
      <c r="D17" s="80">
        <v>19</v>
      </c>
      <c r="E17" s="80">
        <v>6</v>
      </c>
      <c r="F17" s="80">
        <v>42</v>
      </c>
      <c r="G17" s="80">
        <v>99</v>
      </c>
      <c r="H17" s="80"/>
    </row>
    <row r="18" spans="1:8" x14ac:dyDescent="0.25">
      <c r="H18" s="8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F0"/>
  </sheetPr>
  <dimension ref="A1:P32"/>
  <sheetViews>
    <sheetView showGridLines="0" showRowColHeaders="0" zoomScale="90" zoomScaleNormal="90" workbookViewId="0"/>
  </sheetViews>
  <sheetFormatPr defaultRowHeight="13.2" x14ac:dyDescent="0.25"/>
  <cols>
    <col min="1" max="1" width="2.33203125" customWidth="1"/>
    <col min="2" max="2" width="12.6640625" customWidth="1"/>
    <col min="3" max="3" width="49.109375" customWidth="1"/>
    <col min="4" max="4" width="18.44140625" customWidth="1"/>
    <col min="5" max="5" width="2.5546875" customWidth="1"/>
    <col min="6" max="9" width="14.33203125" customWidth="1"/>
    <col min="10" max="10" width="2.109375" customWidth="1"/>
    <col min="11" max="15" width="14.33203125" customWidth="1"/>
  </cols>
  <sheetData>
    <row r="1" spans="1:16" ht="24.75" customHeight="1" x14ac:dyDescent="0.35">
      <c r="B1" s="15" t="s">
        <v>118</v>
      </c>
      <c r="C1" s="7"/>
    </row>
    <row r="2" spans="1:16" ht="15" x14ac:dyDescent="0.25">
      <c r="B2" s="14" t="str">
        <f>Cover!C11</f>
        <v>Inspections from 1 September 2017, published by 31 December 2017</v>
      </c>
      <c r="C2" s="7"/>
    </row>
    <row r="3" spans="1:16" ht="14.25" customHeight="1" x14ac:dyDescent="0.25">
      <c r="B3" s="14"/>
      <c r="C3" s="7"/>
      <c r="F3" s="115">
        <v>1</v>
      </c>
      <c r="G3" s="115">
        <v>2</v>
      </c>
      <c r="H3" s="115">
        <v>3</v>
      </c>
      <c r="I3" s="115">
        <v>4</v>
      </c>
    </row>
    <row r="4" spans="1:16" s="62" customFormat="1" ht="24" customHeight="1" x14ac:dyDescent="0.25">
      <c r="B4" s="194" t="s">
        <v>54</v>
      </c>
      <c r="C4" s="194" t="s">
        <v>53</v>
      </c>
      <c r="D4" s="197" t="s">
        <v>110</v>
      </c>
      <c r="E4" s="87"/>
      <c r="F4" s="200" t="s">
        <v>1</v>
      </c>
      <c r="G4" s="200"/>
      <c r="H4" s="200"/>
      <c r="I4" s="200"/>
      <c r="J4" s="200"/>
      <c r="K4" s="200"/>
      <c r="L4" s="200"/>
      <c r="M4" s="200"/>
      <c r="N4" s="200"/>
      <c r="O4" s="200"/>
    </row>
    <row r="5" spans="1:16" ht="21" customHeight="1" x14ac:dyDescent="0.25">
      <c r="B5" s="195"/>
      <c r="C5" s="195"/>
      <c r="D5" s="198"/>
      <c r="E5" s="87"/>
      <c r="F5" s="200" t="s">
        <v>93</v>
      </c>
      <c r="G5" s="200"/>
      <c r="H5" s="200"/>
      <c r="I5" s="200"/>
      <c r="J5" s="63"/>
      <c r="K5" s="200" t="s">
        <v>94</v>
      </c>
      <c r="L5" s="200"/>
      <c r="M5" s="200"/>
      <c r="N5" s="200"/>
      <c r="O5" s="200"/>
    </row>
    <row r="6" spans="1:16" s="64" customFormat="1" ht="38.25" customHeight="1" x14ac:dyDescent="0.25">
      <c r="B6" s="196"/>
      <c r="C6" s="196"/>
      <c r="D6" s="199"/>
      <c r="E6" s="87"/>
      <c r="F6" s="112" t="s">
        <v>37</v>
      </c>
      <c r="G6" s="112" t="s">
        <v>38</v>
      </c>
      <c r="H6" s="112" t="s">
        <v>95</v>
      </c>
      <c r="I6" s="112" t="s">
        <v>39</v>
      </c>
      <c r="J6" s="65"/>
      <c r="K6" s="112" t="s">
        <v>37</v>
      </c>
      <c r="L6" s="112" t="s">
        <v>38</v>
      </c>
      <c r="M6" s="112" t="s">
        <v>95</v>
      </c>
      <c r="N6" s="112" t="s">
        <v>39</v>
      </c>
      <c r="O6" s="112" t="s">
        <v>96</v>
      </c>
    </row>
    <row r="7" spans="1:16" s="67" customFormat="1" ht="15.75" customHeight="1" x14ac:dyDescent="0.25">
      <c r="B7" s="66" t="s">
        <v>126</v>
      </c>
      <c r="C7" s="66"/>
      <c r="D7" s="88">
        <f t="shared" ref="D7:D26" si="0">SUM(F7+G7+H7+I7)</f>
        <v>50</v>
      </c>
      <c r="E7" s="89"/>
      <c r="F7" s="90">
        <f>SUM(F8,F12,F13,F16,F20,F24,F25,F26)</f>
        <v>1</v>
      </c>
      <c r="G7" s="90">
        <f t="shared" ref="G7:I7" si="1">SUM(G8,G12,G13,G16,G20,G24,G25,G26)</f>
        <v>28</v>
      </c>
      <c r="H7" s="90">
        <f t="shared" si="1"/>
        <v>15</v>
      </c>
      <c r="I7" s="90">
        <f t="shared" si="1"/>
        <v>6</v>
      </c>
      <c r="J7" s="91"/>
      <c r="K7" s="92">
        <f>IFERROR(F7/$D7*100,0)</f>
        <v>2</v>
      </c>
      <c r="L7" s="92">
        <f>IFERROR((G7/$D7)*100,0)</f>
        <v>56.000000000000007</v>
      </c>
      <c r="M7" s="92">
        <f t="shared" ref="M7:N22" si="2">IFERROR(H7/$D7*100,0)</f>
        <v>30</v>
      </c>
      <c r="N7" s="92">
        <f t="shared" si="2"/>
        <v>12</v>
      </c>
      <c r="O7" s="92">
        <f>IFERROR((F7+G7)/$D7*100,0)</f>
        <v>57.999999999999993</v>
      </c>
      <c r="P7" s="81" t="s">
        <v>106</v>
      </c>
    </row>
    <row r="8" spans="1:16" s="67" customFormat="1" ht="15.75" customHeight="1" x14ac:dyDescent="0.25">
      <c r="B8" s="68" t="s">
        <v>82</v>
      </c>
      <c r="C8" s="68"/>
      <c r="D8" s="85">
        <f t="shared" si="0"/>
        <v>21</v>
      </c>
      <c r="E8" s="88"/>
      <c r="F8" s="85">
        <f>SUM(F9:F11)</f>
        <v>0</v>
      </c>
      <c r="G8" s="85">
        <f t="shared" ref="G8:I8" si="3">SUM(G9:G11)</f>
        <v>16</v>
      </c>
      <c r="H8" s="85">
        <f t="shared" si="3"/>
        <v>4</v>
      </c>
      <c r="I8" s="85">
        <f t="shared" si="3"/>
        <v>1</v>
      </c>
      <c r="J8" s="88"/>
      <c r="K8" s="93">
        <f t="shared" ref="K8:K26" si="4">IFERROR(F8/$D8*100,0)</f>
        <v>0</v>
      </c>
      <c r="L8" s="93">
        <f t="shared" ref="L8:L26" si="5">IFERROR((G8/$D8)*100,0)</f>
        <v>76.19047619047619</v>
      </c>
      <c r="M8" s="93">
        <f t="shared" si="2"/>
        <v>19.047619047619047</v>
      </c>
      <c r="N8" s="93">
        <f t="shared" si="2"/>
        <v>4.7619047619047619</v>
      </c>
      <c r="O8" s="93">
        <f t="shared" ref="O8:O26" si="6">IFERROR((F8+G8)/$D8*100,0)</f>
        <v>76.19047619047619</v>
      </c>
    </row>
    <row r="9" spans="1:16" ht="15.75" customHeight="1" x14ac:dyDescent="0.25">
      <c r="A9" s="116" t="s">
        <v>81</v>
      </c>
      <c r="B9" s="69"/>
      <c r="C9" s="69" t="s">
        <v>81</v>
      </c>
      <c r="D9" s="94">
        <f t="shared" si="0"/>
        <v>16</v>
      </c>
      <c r="E9" s="95"/>
      <c r="F9" s="95">
        <f>IFERROR(GETPIVOTDATA("inspection number",'in-year pivots'!$A$3,"provider type",$A9,"Overall effectiveness",F$3),0)</f>
        <v>0</v>
      </c>
      <c r="G9" s="95">
        <f>IFERROR(GETPIVOTDATA("inspection number",'in-year pivots'!$A$3,"provider type",$A9,"Overall effectiveness",G$3),0)</f>
        <v>12</v>
      </c>
      <c r="H9" s="95">
        <f>IFERROR(GETPIVOTDATA("inspection number",'in-year pivots'!$A$3,"provider type",$A9,"Overall effectiveness",H$3),0)</f>
        <v>3</v>
      </c>
      <c r="I9" s="95">
        <f>IFERROR(GETPIVOTDATA("inspection number",'in-year pivots'!$A$3,"provider type",$A9,"Overall effectiveness",I$3),0)</f>
        <v>1</v>
      </c>
      <c r="J9" s="96"/>
      <c r="K9" s="97">
        <f t="shared" si="4"/>
        <v>0</v>
      </c>
      <c r="L9" s="97">
        <f t="shared" si="5"/>
        <v>75</v>
      </c>
      <c r="M9" s="97">
        <f t="shared" si="2"/>
        <v>18.75</v>
      </c>
      <c r="N9" s="97">
        <f t="shared" si="2"/>
        <v>6.25</v>
      </c>
      <c r="O9" s="97">
        <f t="shared" si="6"/>
        <v>75</v>
      </c>
    </row>
    <row r="10" spans="1:16" ht="15.75" customHeight="1" x14ac:dyDescent="0.25">
      <c r="A10" s="116" t="s">
        <v>83</v>
      </c>
      <c r="B10" s="69"/>
      <c r="C10" s="69" t="s">
        <v>83</v>
      </c>
      <c r="D10" s="94">
        <f t="shared" si="0"/>
        <v>5</v>
      </c>
      <c r="E10" s="95"/>
      <c r="F10" s="95">
        <f>IFERROR(GETPIVOTDATA("inspection number",'in-year pivots'!$A$3,"provider type",$A10,"Overall effectiveness",F$3),0)</f>
        <v>0</v>
      </c>
      <c r="G10" s="95">
        <f>IFERROR(GETPIVOTDATA("inspection number",'in-year pivots'!$A$3,"provider type",$A10,"Overall effectiveness",G$3),0)</f>
        <v>4</v>
      </c>
      <c r="H10" s="95">
        <f>IFERROR(GETPIVOTDATA("inspection number",'in-year pivots'!$A$3,"provider type",$A10,"Overall effectiveness",H$3),0)</f>
        <v>1</v>
      </c>
      <c r="I10" s="95">
        <f>IFERROR(GETPIVOTDATA("inspection number",'in-year pivots'!$A$3,"provider type",$A10,"Overall effectiveness",I$3),0)</f>
        <v>0</v>
      </c>
      <c r="J10" s="96"/>
      <c r="K10" s="97">
        <f t="shared" si="4"/>
        <v>0</v>
      </c>
      <c r="L10" s="97">
        <f t="shared" si="5"/>
        <v>80</v>
      </c>
      <c r="M10" s="97">
        <f t="shared" si="2"/>
        <v>20</v>
      </c>
      <c r="N10" s="97">
        <f t="shared" si="2"/>
        <v>0</v>
      </c>
      <c r="O10" s="97">
        <f t="shared" si="6"/>
        <v>80</v>
      </c>
    </row>
    <row r="11" spans="1:16" ht="15.75" customHeight="1" x14ac:dyDescent="0.25">
      <c r="A11" s="116" t="s">
        <v>87</v>
      </c>
      <c r="B11" s="69"/>
      <c r="C11" s="69" t="s">
        <v>87</v>
      </c>
      <c r="D11" s="94">
        <f t="shared" si="0"/>
        <v>0</v>
      </c>
      <c r="E11" s="95"/>
      <c r="F11" s="95">
        <f>IFERROR(GETPIVOTDATA("inspection number",'in-year pivots'!$A$3,"provider type",$A11,"Overall effectiveness",F$3),0)</f>
        <v>0</v>
      </c>
      <c r="G11" s="95">
        <f>IFERROR(GETPIVOTDATA("inspection number",'in-year pivots'!$A$3,"provider type",$A11,"Overall effectiveness",G$3),0)</f>
        <v>0</v>
      </c>
      <c r="H11" s="95">
        <f>IFERROR(GETPIVOTDATA("inspection number",'in-year pivots'!$A$3,"provider type",$A11,"Overall effectiveness",H$3),0)</f>
        <v>0</v>
      </c>
      <c r="I11" s="95">
        <f>IFERROR(GETPIVOTDATA("inspection number",'in-year pivots'!$A$3,"provider type",$A11,"Overall effectiveness",I$3),0)</f>
        <v>0</v>
      </c>
      <c r="J11" s="96"/>
      <c r="K11" s="97">
        <f t="shared" si="4"/>
        <v>0</v>
      </c>
      <c r="L11" s="97">
        <f t="shared" si="5"/>
        <v>0</v>
      </c>
      <c r="M11" s="97">
        <f t="shared" si="2"/>
        <v>0</v>
      </c>
      <c r="N11" s="97">
        <f t="shared" si="2"/>
        <v>0</v>
      </c>
      <c r="O11" s="97">
        <f t="shared" si="6"/>
        <v>0</v>
      </c>
    </row>
    <row r="12" spans="1:16" s="67" customFormat="1" ht="15.75" customHeight="1" x14ac:dyDescent="0.25">
      <c r="A12" s="82" t="s">
        <v>70</v>
      </c>
      <c r="B12" s="70" t="s">
        <v>71</v>
      </c>
      <c r="C12" s="70"/>
      <c r="D12" s="85">
        <f t="shared" si="0"/>
        <v>4</v>
      </c>
      <c r="E12" s="88"/>
      <c r="F12" s="98">
        <f>IFERROR(GETPIVOTDATA("inspection number",'in-year pivots'!$A$3,"provider type",$A12,"Overall effectiveness",F$3),0)</f>
        <v>0</v>
      </c>
      <c r="G12" s="98">
        <f>IFERROR(GETPIVOTDATA("inspection number",'in-year pivots'!$A$3,"provider type",$A12,"Overall effectiveness",G$3),0)</f>
        <v>3</v>
      </c>
      <c r="H12" s="98">
        <f>IFERROR(GETPIVOTDATA("inspection number",'in-year pivots'!$A$3,"provider type",$A12,"Overall effectiveness",H$3),0)</f>
        <v>1</v>
      </c>
      <c r="I12" s="98">
        <f>IFERROR(GETPIVOTDATA("inspection number",'in-year pivots'!$A$3,"provider type",$A12,"Overall effectiveness",I$3),0)</f>
        <v>0</v>
      </c>
      <c r="J12" s="91"/>
      <c r="K12" s="93">
        <f t="shared" si="4"/>
        <v>0</v>
      </c>
      <c r="L12" s="93">
        <f t="shared" si="5"/>
        <v>75</v>
      </c>
      <c r="M12" s="93">
        <f t="shared" si="2"/>
        <v>25</v>
      </c>
      <c r="N12" s="93">
        <f t="shared" si="2"/>
        <v>0</v>
      </c>
      <c r="O12" s="93">
        <f t="shared" si="6"/>
        <v>75</v>
      </c>
      <c r="P12" s="82" t="s">
        <v>70</v>
      </c>
    </row>
    <row r="13" spans="1:16" s="67" customFormat="1" ht="15.75" customHeight="1" x14ac:dyDescent="0.25">
      <c r="B13" s="68" t="s">
        <v>79</v>
      </c>
      <c r="C13" s="68"/>
      <c r="D13" s="85">
        <f t="shared" si="0"/>
        <v>11</v>
      </c>
      <c r="E13" s="88"/>
      <c r="F13" s="85">
        <f>SUM(F14:F15)</f>
        <v>0</v>
      </c>
      <c r="G13" s="85">
        <f t="shared" ref="G13:I13" si="7">SUM(G14:G15)</f>
        <v>4</v>
      </c>
      <c r="H13" s="85">
        <f t="shared" si="7"/>
        <v>3</v>
      </c>
      <c r="I13" s="85">
        <f t="shared" si="7"/>
        <v>4</v>
      </c>
      <c r="J13" s="91"/>
      <c r="K13" s="93">
        <f t="shared" si="4"/>
        <v>0</v>
      </c>
      <c r="L13" s="93">
        <f t="shared" si="5"/>
        <v>36.363636363636367</v>
      </c>
      <c r="M13" s="93">
        <f t="shared" si="2"/>
        <v>27.27272727272727</v>
      </c>
      <c r="N13" s="93">
        <f t="shared" si="2"/>
        <v>36.363636363636367</v>
      </c>
      <c r="O13" s="93">
        <f t="shared" si="6"/>
        <v>36.363636363636367</v>
      </c>
      <c r="P13" s="83"/>
    </row>
    <row r="14" spans="1:16" ht="15.75" customHeight="1" x14ac:dyDescent="0.25">
      <c r="A14" s="116" t="s">
        <v>78</v>
      </c>
      <c r="B14" s="71"/>
      <c r="C14" s="69" t="s">
        <v>78</v>
      </c>
      <c r="D14" s="94">
        <f t="shared" si="0"/>
        <v>8</v>
      </c>
      <c r="E14" s="95"/>
      <c r="F14" s="95">
        <f>IFERROR(GETPIVOTDATA("inspection number",'in-year pivots'!$A$3,"provider type",$A14,"Overall effectiveness",F$3),0)</f>
        <v>0</v>
      </c>
      <c r="G14" s="95">
        <f>IFERROR(GETPIVOTDATA("inspection number",'in-year pivots'!$A$3,"provider type",$A14,"Overall effectiveness",G$3),0)</f>
        <v>3</v>
      </c>
      <c r="H14" s="95">
        <f>IFERROR(GETPIVOTDATA("inspection number",'in-year pivots'!$A$3,"provider type",$A14,"Overall effectiveness",H$3),0)</f>
        <v>2</v>
      </c>
      <c r="I14" s="95">
        <f>IFERROR(GETPIVOTDATA("inspection number",'in-year pivots'!$A$3,"provider type",$A14,"Overall effectiveness",I$3),0)</f>
        <v>3</v>
      </c>
      <c r="J14" s="96"/>
      <c r="K14" s="97">
        <f t="shared" si="4"/>
        <v>0</v>
      </c>
      <c r="L14" s="97">
        <f t="shared" si="5"/>
        <v>37.5</v>
      </c>
      <c r="M14" s="97">
        <f t="shared" si="2"/>
        <v>25</v>
      </c>
      <c r="N14" s="97">
        <f t="shared" si="2"/>
        <v>37.5</v>
      </c>
      <c r="O14" s="97">
        <f t="shared" si="6"/>
        <v>37.5</v>
      </c>
      <c r="P14" s="84"/>
    </row>
    <row r="15" spans="1:16" ht="15.75" customHeight="1" x14ac:dyDescent="0.25">
      <c r="A15" s="116" t="s">
        <v>80</v>
      </c>
      <c r="B15" s="71"/>
      <c r="C15" s="69" t="s">
        <v>80</v>
      </c>
      <c r="D15" s="94">
        <f t="shared" si="0"/>
        <v>3</v>
      </c>
      <c r="E15" s="95"/>
      <c r="F15" s="95">
        <f>IFERROR(GETPIVOTDATA("inspection number",'in-year pivots'!$A$3,"provider type",$A15,"Overall effectiveness",F$3),0)</f>
        <v>0</v>
      </c>
      <c r="G15" s="95">
        <f>IFERROR(GETPIVOTDATA("inspection number",'in-year pivots'!$A$3,"provider type",$A15,"Overall effectiveness",G$3),0)</f>
        <v>1</v>
      </c>
      <c r="H15" s="95">
        <f>IFERROR(GETPIVOTDATA("inspection number",'in-year pivots'!$A$3,"provider type",$A15,"Overall effectiveness",H$3),0)</f>
        <v>1</v>
      </c>
      <c r="I15" s="95">
        <f>IFERROR(GETPIVOTDATA("inspection number",'in-year pivots'!$A$3,"provider type",$A15,"Overall effectiveness",I$3),0)</f>
        <v>1</v>
      </c>
      <c r="J15" s="96"/>
      <c r="K15" s="97">
        <f t="shared" si="4"/>
        <v>0</v>
      </c>
      <c r="L15" s="97">
        <f t="shared" si="5"/>
        <v>33.333333333333329</v>
      </c>
      <c r="M15" s="97">
        <f t="shared" si="2"/>
        <v>33.333333333333329</v>
      </c>
      <c r="N15" s="97">
        <f t="shared" si="2"/>
        <v>33.333333333333329</v>
      </c>
      <c r="O15" s="97">
        <f t="shared" si="6"/>
        <v>33.333333333333329</v>
      </c>
      <c r="P15" s="84"/>
    </row>
    <row r="16" spans="1:16" s="67" customFormat="1" ht="15.75" customHeight="1" x14ac:dyDescent="0.25">
      <c r="B16" s="68" t="s">
        <v>76</v>
      </c>
      <c r="C16" s="68"/>
      <c r="D16" s="85">
        <f t="shared" si="0"/>
        <v>11</v>
      </c>
      <c r="E16" s="88"/>
      <c r="F16" s="85">
        <f>SUM(F17:F19)</f>
        <v>1</v>
      </c>
      <c r="G16" s="85">
        <f t="shared" ref="G16:I16" si="8">SUM(G17:G19)</f>
        <v>4</v>
      </c>
      <c r="H16" s="85">
        <f t="shared" si="8"/>
        <v>5</v>
      </c>
      <c r="I16" s="85">
        <f t="shared" si="8"/>
        <v>1</v>
      </c>
      <c r="J16" s="91"/>
      <c r="K16" s="93">
        <f t="shared" si="4"/>
        <v>9.0909090909090917</v>
      </c>
      <c r="L16" s="93">
        <f t="shared" si="5"/>
        <v>36.363636363636367</v>
      </c>
      <c r="M16" s="93">
        <f t="shared" si="2"/>
        <v>45.454545454545453</v>
      </c>
      <c r="N16" s="93">
        <f t="shared" si="2"/>
        <v>9.0909090909090917</v>
      </c>
      <c r="O16" s="93">
        <f t="shared" si="6"/>
        <v>45.454545454545453</v>
      </c>
      <c r="P16" s="83"/>
    </row>
    <row r="17" spans="1:16" ht="15.75" customHeight="1" x14ac:dyDescent="0.25">
      <c r="A17" s="115" t="s">
        <v>75</v>
      </c>
      <c r="B17" s="71"/>
      <c r="C17" s="69" t="s">
        <v>75</v>
      </c>
      <c r="D17" s="94">
        <f t="shared" si="0"/>
        <v>5</v>
      </c>
      <c r="E17" s="95"/>
      <c r="F17" s="95">
        <f>IFERROR(GETPIVOTDATA("inspection number",'in-year pivots'!$A$3,"provider type",$A17,"Overall effectiveness",F$3),0)</f>
        <v>0</v>
      </c>
      <c r="G17" s="95">
        <f>IFERROR(GETPIVOTDATA("inspection number",'in-year pivots'!$A$3,"provider type",$A17,"Overall effectiveness",G$3),0)</f>
        <v>1</v>
      </c>
      <c r="H17" s="95">
        <f>IFERROR(GETPIVOTDATA("inspection number",'in-year pivots'!$A$3,"provider type",$A17,"Overall effectiveness",H$3),0)</f>
        <v>4</v>
      </c>
      <c r="I17" s="95">
        <f>IFERROR(GETPIVOTDATA("inspection number",'in-year pivots'!$A$3,"provider type",$A17,"Overall effectiveness",I$3),0)</f>
        <v>0</v>
      </c>
      <c r="J17" s="96"/>
      <c r="K17" s="97">
        <f t="shared" si="4"/>
        <v>0</v>
      </c>
      <c r="L17" s="97">
        <f t="shared" si="5"/>
        <v>20</v>
      </c>
      <c r="M17" s="97">
        <f t="shared" si="2"/>
        <v>80</v>
      </c>
      <c r="N17" s="97">
        <f t="shared" si="2"/>
        <v>0</v>
      </c>
      <c r="O17" s="97">
        <f t="shared" si="6"/>
        <v>20</v>
      </c>
      <c r="P17" s="84"/>
    </row>
    <row r="18" spans="1:16" ht="15.75" customHeight="1" x14ac:dyDescent="0.25">
      <c r="A18" s="115" t="s">
        <v>77</v>
      </c>
      <c r="B18" s="71"/>
      <c r="C18" s="69" t="s">
        <v>77</v>
      </c>
      <c r="D18" s="94">
        <f t="shared" si="0"/>
        <v>5</v>
      </c>
      <c r="E18" s="95"/>
      <c r="F18" s="95">
        <f>IFERROR(GETPIVOTDATA("inspection number",'in-year pivots'!$A$3,"provider type",$A18,"Overall effectiveness",F$3),0)</f>
        <v>1</v>
      </c>
      <c r="G18" s="95">
        <f>IFERROR(GETPIVOTDATA("inspection number",'in-year pivots'!$A$3,"provider type",$A18,"Overall effectiveness",G$3),0)</f>
        <v>2</v>
      </c>
      <c r="H18" s="95">
        <f>IFERROR(GETPIVOTDATA("inspection number",'in-year pivots'!$A$3,"provider type",$A18,"Overall effectiveness",H$3),0)</f>
        <v>1</v>
      </c>
      <c r="I18" s="95">
        <f>IFERROR(GETPIVOTDATA("inspection number",'in-year pivots'!$A$3,"provider type",$A18,"Overall effectiveness",I$3),0)</f>
        <v>1</v>
      </c>
      <c r="J18" s="96"/>
      <c r="K18" s="97">
        <f t="shared" si="4"/>
        <v>20</v>
      </c>
      <c r="L18" s="97">
        <f t="shared" si="5"/>
        <v>40</v>
      </c>
      <c r="M18" s="97">
        <f t="shared" si="2"/>
        <v>20</v>
      </c>
      <c r="N18" s="97">
        <f t="shared" si="2"/>
        <v>20</v>
      </c>
      <c r="O18" s="97">
        <f t="shared" si="6"/>
        <v>60</v>
      </c>
      <c r="P18" s="84"/>
    </row>
    <row r="19" spans="1:16" ht="15.75" customHeight="1" x14ac:dyDescent="0.25">
      <c r="A19" s="115" t="s">
        <v>84</v>
      </c>
      <c r="B19" s="71"/>
      <c r="C19" s="69" t="s">
        <v>84</v>
      </c>
      <c r="D19" s="94">
        <f t="shared" si="0"/>
        <v>1</v>
      </c>
      <c r="E19" s="95"/>
      <c r="F19" s="95">
        <f>IFERROR(GETPIVOTDATA("inspection number",'in-year pivots'!$A$3,"provider type",$A19,"Overall effectiveness",F$3),0)</f>
        <v>0</v>
      </c>
      <c r="G19" s="95">
        <f>IFERROR(GETPIVOTDATA("inspection number",'in-year pivots'!$A$3,"provider type",$A19,"Overall effectiveness",G$3),0)</f>
        <v>1</v>
      </c>
      <c r="H19" s="95">
        <f>IFERROR(GETPIVOTDATA("inspection number",'in-year pivots'!$A$3,"provider type",$A19,"Overall effectiveness",H$3),0)</f>
        <v>0</v>
      </c>
      <c r="I19" s="95">
        <f>IFERROR(GETPIVOTDATA("inspection number",'in-year pivots'!$A$3,"provider type",$A19,"Overall effectiveness",I$3),0)</f>
        <v>0</v>
      </c>
      <c r="J19" s="96"/>
      <c r="K19" s="97">
        <f t="shared" si="4"/>
        <v>0</v>
      </c>
      <c r="L19" s="97">
        <f t="shared" si="5"/>
        <v>100</v>
      </c>
      <c r="M19" s="97">
        <f t="shared" si="2"/>
        <v>0</v>
      </c>
      <c r="N19" s="97">
        <f t="shared" si="2"/>
        <v>0</v>
      </c>
      <c r="O19" s="97">
        <f t="shared" si="6"/>
        <v>100</v>
      </c>
      <c r="P19" s="84"/>
    </row>
    <row r="20" spans="1:16" s="67" customFormat="1" ht="15.75" customHeight="1" x14ac:dyDescent="0.25">
      <c r="B20" s="68" t="s">
        <v>74</v>
      </c>
      <c r="C20" s="68"/>
      <c r="D20" s="85">
        <f t="shared" si="0"/>
        <v>1</v>
      </c>
      <c r="E20" s="88"/>
      <c r="F20" s="85">
        <f>SUM(F21:F23)</f>
        <v>0</v>
      </c>
      <c r="G20" s="85">
        <f t="shared" ref="G20:I20" si="9">SUM(G21:G23)</f>
        <v>0</v>
      </c>
      <c r="H20" s="85">
        <f t="shared" si="9"/>
        <v>1</v>
      </c>
      <c r="I20" s="85">
        <f t="shared" si="9"/>
        <v>0</v>
      </c>
      <c r="J20" s="91"/>
      <c r="K20" s="93">
        <f t="shared" si="4"/>
        <v>0</v>
      </c>
      <c r="L20" s="93">
        <f t="shared" si="5"/>
        <v>0</v>
      </c>
      <c r="M20" s="93">
        <f t="shared" si="2"/>
        <v>100</v>
      </c>
      <c r="N20" s="93">
        <f t="shared" si="2"/>
        <v>0</v>
      </c>
      <c r="O20" s="93">
        <f t="shared" si="6"/>
        <v>0</v>
      </c>
      <c r="P20" s="82"/>
    </row>
    <row r="21" spans="1:16" ht="15.75" customHeight="1" x14ac:dyDescent="0.25">
      <c r="A21" s="115" t="s">
        <v>88</v>
      </c>
      <c r="B21" s="71"/>
      <c r="C21" s="69" t="s">
        <v>88</v>
      </c>
      <c r="D21" s="94">
        <f t="shared" si="0"/>
        <v>1</v>
      </c>
      <c r="E21" s="95"/>
      <c r="F21" s="95">
        <f>IFERROR(GETPIVOTDATA("inspection number",'in-year pivots'!$A$3,"provider type",$A21,"Overall effectiveness",F$3),0)</f>
        <v>0</v>
      </c>
      <c r="G21" s="95">
        <f>IFERROR(GETPIVOTDATA("inspection number",'in-year pivots'!$A$3,"provider type",$A21,"Overall effectiveness",G$3),0)</f>
        <v>0</v>
      </c>
      <c r="H21" s="95">
        <f>IFERROR(GETPIVOTDATA("inspection number",'in-year pivots'!$A$3,"provider type",$A21,"Overall effectiveness",H$3),0)</f>
        <v>1</v>
      </c>
      <c r="I21" s="95">
        <f>IFERROR(GETPIVOTDATA("inspection number",'in-year pivots'!$A$3,"provider type",$A21,"Overall effectiveness",I$3),0)</f>
        <v>0</v>
      </c>
      <c r="J21" s="96"/>
      <c r="K21" s="97">
        <f t="shared" si="4"/>
        <v>0</v>
      </c>
      <c r="L21" s="97">
        <f t="shared" si="5"/>
        <v>0</v>
      </c>
      <c r="M21" s="97">
        <f t="shared" si="2"/>
        <v>100</v>
      </c>
      <c r="N21" s="97">
        <f t="shared" si="2"/>
        <v>0</v>
      </c>
      <c r="O21" s="97">
        <f t="shared" si="6"/>
        <v>0</v>
      </c>
      <c r="P21" s="84"/>
    </row>
    <row r="22" spans="1:16" ht="15.75" customHeight="1" x14ac:dyDescent="0.25">
      <c r="A22" s="115" t="s">
        <v>73</v>
      </c>
      <c r="B22" s="71"/>
      <c r="C22" s="69" t="s">
        <v>73</v>
      </c>
      <c r="D22" s="94">
        <f t="shared" si="0"/>
        <v>0</v>
      </c>
      <c r="E22" s="95"/>
      <c r="F22" s="95">
        <f>IFERROR(GETPIVOTDATA("inspection number",'in-year pivots'!$A$3,"provider type",$A22,"Overall effectiveness",F$3),0)</f>
        <v>0</v>
      </c>
      <c r="G22" s="95">
        <f>IFERROR(GETPIVOTDATA("inspection number",'in-year pivots'!$A$3,"provider type",$A22,"Overall effectiveness",G$3),0)</f>
        <v>0</v>
      </c>
      <c r="H22" s="95">
        <f>IFERROR(GETPIVOTDATA("inspection number",'in-year pivots'!$A$3,"provider type",$A22,"Overall effectiveness",H$3),0)</f>
        <v>0</v>
      </c>
      <c r="I22" s="95">
        <f>IFERROR(GETPIVOTDATA("inspection number",'in-year pivots'!$A$3,"provider type",$A22,"Overall effectiveness",I$3),0)</f>
        <v>0</v>
      </c>
      <c r="J22" s="96"/>
      <c r="K22" s="97">
        <f t="shared" si="4"/>
        <v>0</v>
      </c>
      <c r="L22" s="97">
        <f t="shared" si="5"/>
        <v>0</v>
      </c>
      <c r="M22" s="97">
        <f t="shared" si="2"/>
        <v>0</v>
      </c>
      <c r="N22" s="97">
        <f t="shared" si="2"/>
        <v>0</v>
      </c>
      <c r="O22" s="97">
        <f t="shared" si="6"/>
        <v>0</v>
      </c>
      <c r="P22" s="84"/>
    </row>
    <row r="23" spans="1:16" ht="15.75" customHeight="1" x14ac:dyDescent="0.25">
      <c r="A23" s="115" t="s">
        <v>89</v>
      </c>
      <c r="B23" s="71"/>
      <c r="C23" s="69" t="s">
        <v>89</v>
      </c>
      <c r="D23" s="94">
        <f t="shared" si="0"/>
        <v>0</v>
      </c>
      <c r="E23" s="95"/>
      <c r="F23" s="95">
        <f>IFERROR(GETPIVOTDATA("inspection number",'in-year pivots'!$A$3,"provider type",$A23,"Overall effectiveness",F$3),0)</f>
        <v>0</v>
      </c>
      <c r="G23" s="95">
        <f>IFERROR(GETPIVOTDATA("inspection number",'in-year pivots'!$A$3,"provider type",$A23,"Overall effectiveness",G$3),0)</f>
        <v>0</v>
      </c>
      <c r="H23" s="95">
        <f>IFERROR(GETPIVOTDATA("inspection number",'in-year pivots'!$A$3,"provider type",$A23,"Overall effectiveness",H$3),0)</f>
        <v>0</v>
      </c>
      <c r="I23" s="95">
        <f>IFERROR(GETPIVOTDATA("inspection number",'in-year pivots'!$A$3,"provider type",$A23,"Overall effectiveness",I$3),0)</f>
        <v>0</v>
      </c>
      <c r="J23" s="96"/>
      <c r="K23" s="97">
        <f t="shared" si="4"/>
        <v>0</v>
      </c>
      <c r="L23" s="97">
        <f t="shared" si="5"/>
        <v>0</v>
      </c>
      <c r="M23" s="97">
        <f t="shared" ref="M23:N26" si="10">IFERROR(H23/$D23*100,0)</f>
        <v>0</v>
      </c>
      <c r="N23" s="97">
        <f t="shared" si="10"/>
        <v>0</v>
      </c>
      <c r="O23" s="97">
        <f t="shared" si="6"/>
        <v>0</v>
      </c>
      <c r="P23" s="84"/>
    </row>
    <row r="24" spans="1:16" s="67" customFormat="1" ht="15.75" customHeight="1" x14ac:dyDescent="0.25">
      <c r="A24" s="115" t="s">
        <v>85</v>
      </c>
      <c r="B24" s="70" t="s">
        <v>86</v>
      </c>
      <c r="C24" s="70"/>
      <c r="D24" s="85">
        <f t="shared" si="0"/>
        <v>0</v>
      </c>
      <c r="E24" s="88"/>
      <c r="F24" s="98">
        <f>IFERROR(GETPIVOTDATA("inspection number",'in-year pivots'!$A$3,"provider type",$A24,"Overall effectiveness",F$3),0)</f>
        <v>0</v>
      </c>
      <c r="G24" s="98">
        <f>IFERROR(GETPIVOTDATA("inspection number",'in-year pivots'!$A$3,"provider type",$A24,"Overall effectiveness",G$3),0)</f>
        <v>0</v>
      </c>
      <c r="H24" s="98">
        <f>IFERROR(GETPIVOTDATA("inspection number",'in-year pivots'!$A$3,"provider type",$A24,"Overall effectiveness",H$3),0)</f>
        <v>0</v>
      </c>
      <c r="I24" s="98">
        <f>IFERROR(GETPIVOTDATA("inspection number",'in-year pivots'!$A$3,"provider type",$A24,"Overall effectiveness",I$3),0)</f>
        <v>0</v>
      </c>
      <c r="J24" s="91"/>
      <c r="K24" s="93">
        <f t="shared" si="4"/>
        <v>0</v>
      </c>
      <c r="L24" s="93">
        <f t="shared" si="5"/>
        <v>0</v>
      </c>
      <c r="M24" s="93">
        <f t="shared" si="10"/>
        <v>0</v>
      </c>
      <c r="N24" s="93">
        <f t="shared" si="10"/>
        <v>0</v>
      </c>
      <c r="O24" s="93">
        <f t="shared" si="6"/>
        <v>0</v>
      </c>
      <c r="P24" s="82" t="s">
        <v>85</v>
      </c>
    </row>
    <row r="25" spans="1:16" s="67" customFormat="1" ht="15.75" customHeight="1" x14ac:dyDescent="0.25">
      <c r="A25" s="115" t="s">
        <v>69</v>
      </c>
      <c r="B25" s="70" t="s">
        <v>139</v>
      </c>
      <c r="C25" s="70"/>
      <c r="D25" s="85">
        <f t="shared" si="0"/>
        <v>2</v>
      </c>
      <c r="E25" s="88"/>
      <c r="F25" s="98">
        <f>IFERROR(GETPIVOTDATA("inspection number",'in-year pivots'!$A$3,"provider type",$A25,"Overall effectiveness",F$3),0)</f>
        <v>0</v>
      </c>
      <c r="G25" s="98">
        <f>IFERROR(GETPIVOTDATA("inspection number",'in-year pivots'!$A$3,"provider type",$A25,"Overall effectiveness",G$3),0)</f>
        <v>1</v>
      </c>
      <c r="H25" s="98">
        <f>IFERROR(GETPIVOTDATA("inspection number",'in-year pivots'!$A$3,"provider type",$A25,"Overall effectiveness",H$3),0)</f>
        <v>1</v>
      </c>
      <c r="I25" s="98">
        <f>IFERROR(GETPIVOTDATA("inspection number",'in-year pivots'!$A$3,"provider type",$A25,"Overall effectiveness",I$3),0)</f>
        <v>0</v>
      </c>
      <c r="J25" s="91"/>
      <c r="K25" s="93">
        <f t="shared" si="4"/>
        <v>0</v>
      </c>
      <c r="L25" s="93">
        <f t="shared" si="5"/>
        <v>50</v>
      </c>
      <c r="M25" s="93">
        <f t="shared" si="10"/>
        <v>50</v>
      </c>
      <c r="N25" s="93">
        <f t="shared" si="10"/>
        <v>0</v>
      </c>
      <c r="O25" s="93">
        <f t="shared" si="6"/>
        <v>50</v>
      </c>
      <c r="P25" s="82" t="s">
        <v>69</v>
      </c>
    </row>
    <row r="26" spans="1:16" s="67" customFormat="1" ht="15.75" customHeight="1" x14ac:dyDescent="0.25">
      <c r="A26" s="115" t="s">
        <v>90</v>
      </c>
      <c r="B26" s="72" t="s">
        <v>91</v>
      </c>
      <c r="C26" s="72"/>
      <c r="D26" s="98">
        <f t="shared" si="0"/>
        <v>0</v>
      </c>
      <c r="E26" s="88"/>
      <c r="F26" s="98">
        <f>IFERROR(GETPIVOTDATA("inspection number",'in-year pivots'!$A$3,"provider type",$A26,"Overall effectiveness",F$3),0)</f>
        <v>0</v>
      </c>
      <c r="G26" s="98">
        <f>IFERROR(GETPIVOTDATA("inspection number",'in-year pivots'!$A$3,"provider type",$A26,"Overall effectiveness",G$3),0)</f>
        <v>0</v>
      </c>
      <c r="H26" s="98">
        <f>IFERROR(GETPIVOTDATA("inspection number",'in-year pivots'!$A$3,"provider type",$A26,"Overall effectiveness",H$3),0)</f>
        <v>0</v>
      </c>
      <c r="I26" s="98">
        <f>IFERROR(GETPIVOTDATA("inspection number",'in-year pivots'!$A$3,"provider type",$A26,"Overall effectiveness",I$3),0)</f>
        <v>0</v>
      </c>
      <c r="J26" s="91"/>
      <c r="K26" s="100">
        <f t="shared" si="4"/>
        <v>0</v>
      </c>
      <c r="L26" s="100">
        <f t="shared" si="5"/>
        <v>0</v>
      </c>
      <c r="M26" s="100">
        <f t="shared" si="10"/>
        <v>0</v>
      </c>
      <c r="N26" s="100">
        <f t="shared" si="10"/>
        <v>0</v>
      </c>
      <c r="O26" s="100">
        <f t="shared" si="6"/>
        <v>0</v>
      </c>
      <c r="P26" s="82" t="s">
        <v>90</v>
      </c>
    </row>
    <row r="27" spans="1:16" x14ac:dyDescent="0.25">
      <c r="B27" s="73"/>
      <c r="C27" s="73"/>
      <c r="O27" s="74" t="s">
        <v>97</v>
      </c>
    </row>
    <row r="28" spans="1:16" x14ac:dyDescent="0.25">
      <c r="B28" s="110" t="s">
        <v>127</v>
      </c>
      <c r="C28" s="73"/>
    </row>
    <row r="29" spans="1:16" x14ac:dyDescent="0.25">
      <c r="B29" s="110" t="s">
        <v>140</v>
      </c>
      <c r="C29" s="73"/>
    </row>
    <row r="30" spans="1:16" x14ac:dyDescent="0.25">
      <c r="B30" s="76" t="s">
        <v>119</v>
      </c>
      <c r="C30" s="77"/>
    </row>
    <row r="31" spans="1:16" x14ac:dyDescent="0.25">
      <c r="B31" s="76"/>
      <c r="C31" s="78"/>
    </row>
    <row r="32" spans="1:16" x14ac:dyDescent="0.25">
      <c r="B32" s="76"/>
      <c r="C32" s="78"/>
    </row>
  </sheetData>
  <mergeCells count="6">
    <mergeCell ref="B4:B6"/>
    <mergeCell ref="C4:C6"/>
    <mergeCell ref="D4:D6"/>
    <mergeCell ref="F4:O4"/>
    <mergeCell ref="F5:I5"/>
    <mergeCell ref="K5:O5"/>
  </mergeCells>
  <pageMargins left="0.7" right="0.7" top="0.75" bottom="0.75" header="0.3" footer="0.3"/>
  <pageSetup paperSize="9" orientation="portrait" r:id="rId1"/>
  <ignoredErrors>
    <ignoredError sqref="L7:L26 F13:I13 F16:I16 F20:I20"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sheetPr>
  <dimension ref="A1:Q30"/>
  <sheetViews>
    <sheetView showGridLines="0" showRowColHeaders="0" zoomScale="90" zoomScaleNormal="90" workbookViewId="0"/>
  </sheetViews>
  <sheetFormatPr defaultRowHeight="13.2" x14ac:dyDescent="0.25"/>
  <cols>
    <col min="1" max="1" width="3.33203125" customWidth="1"/>
    <col min="2" max="2" width="15.109375" customWidth="1"/>
    <col min="3" max="3" width="46.6640625" customWidth="1"/>
    <col min="4" max="4" width="18.44140625" customWidth="1"/>
    <col min="5" max="5" width="2.5546875" customWidth="1"/>
    <col min="6" max="6" width="17.44140625" customWidth="1"/>
    <col min="7" max="10" width="14.33203125" customWidth="1"/>
    <col min="11" max="11" width="2.109375" customWidth="1"/>
    <col min="12" max="12" width="17.6640625" customWidth="1"/>
    <col min="13" max="16" width="14.33203125" customWidth="1"/>
  </cols>
  <sheetData>
    <row r="1" spans="1:17" ht="24.75" customHeight="1" x14ac:dyDescent="0.35">
      <c r="B1" s="15" t="s">
        <v>117</v>
      </c>
      <c r="C1" s="7"/>
    </row>
    <row r="2" spans="1:17" ht="15" x14ac:dyDescent="0.25">
      <c r="B2" s="14" t="str">
        <f>Cover!C11</f>
        <v>Inspections from 1 September 2017, published by 31 December 2017</v>
      </c>
      <c r="C2" s="7"/>
    </row>
    <row r="3" spans="1:17" ht="14.25" customHeight="1" x14ac:dyDescent="0.25">
      <c r="B3" s="14"/>
      <c r="C3" s="7"/>
      <c r="F3" s="115">
        <v>9</v>
      </c>
      <c r="G3" s="115">
        <v>1</v>
      </c>
      <c r="H3" s="115">
        <v>2</v>
      </c>
      <c r="I3" s="115">
        <v>3</v>
      </c>
      <c r="J3" s="115">
        <v>4</v>
      </c>
    </row>
    <row r="4" spans="1:17" ht="25.2" customHeight="1" x14ac:dyDescent="0.25">
      <c r="B4" s="194" t="s">
        <v>54</v>
      </c>
      <c r="C4" s="194" t="s">
        <v>53</v>
      </c>
      <c r="D4" s="197" t="s">
        <v>137</v>
      </c>
      <c r="E4" s="87"/>
      <c r="F4" s="200" t="s">
        <v>93</v>
      </c>
      <c r="G4" s="200"/>
      <c r="H4" s="200"/>
      <c r="I4" s="200"/>
      <c r="J4" s="200"/>
      <c r="K4" s="63"/>
      <c r="L4" s="200" t="s">
        <v>94</v>
      </c>
      <c r="M4" s="200"/>
      <c r="N4" s="200"/>
      <c r="O4" s="200"/>
      <c r="P4" s="200"/>
    </row>
    <row r="5" spans="1:17" ht="25.2" customHeight="1" x14ac:dyDescent="0.25">
      <c r="B5" s="195"/>
      <c r="C5" s="195"/>
      <c r="D5" s="198"/>
      <c r="E5" s="87"/>
      <c r="F5" s="114" t="s">
        <v>138</v>
      </c>
      <c r="G5" s="200" t="s">
        <v>156</v>
      </c>
      <c r="H5" s="200"/>
      <c r="I5" s="200"/>
      <c r="J5" s="200"/>
      <c r="K5" s="63"/>
      <c r="L5" s="114" t="s">
        <v>138</v>
      </c>
      <c r="M5" s="200" t="s">
        <v>156</v>
      </c>
      <c r="N5" s="200"/>
      <c r="O5" s="200"/>
      <c r="P5" s="200"/>
    </row>
    <row r="6" spans="1:17" s="64" customFormat="1" ht="27" customHeight="1" x14ac:dyDescent="0.25">
      <c r="B6" s="196"/>
      <c r="C6" s="196"/>
      <c r="D6" s="199"/>
      <c r="E6" s="87"/>
      <c r="F6" s="114" t="s">
        <v>136</v>
      </c>
      <c r="G6" s="86" t="s">
        <v>37</v>
      </c>
      <c r="H6" s="86" t="s">
        <v>38</v>
      </c>
      <c r="I6" s="86" t="s">
        <v>95</v>
      </c>
      <c r="J6" s="86" t="s">
        <v>39</v>
      </c>
      <c r="K6" s="65"/>
      <c r="L6" s="114" t="s">
        <v>136</v>
      </c>
      <c r="M6" s="86" t="s">
        <v>37</v>
      </c>
      <c r="N6" s="86" t="s">
        <v>38</v>
      </c>
      <c r="O6" s="86" t="s">
        <v>95</v>
      </c>
      <c r="P6" s="86" t="s">
        <v>39</v>
      </c>
    </row>
    <row r="7" spans="1:17" s="67" customFormat="1" ht="15.6" customHeight="1" x14ac:dyDescent="0.25">
      <c r="A7" s="81" t="s">
        <v>109</v>
      </c>
      <c r="B7" s="66" t="s">
        <v>126</v>
      </c>
      <c r="C7" s="66"/>
      <c r="D7" s="88">
        <f>SUM(F7+G7+H7+I7+J7)</f>
        <v>49</v>
      </c>
      <c r="E7" s="89"/>
      <c r="F7" s="90">
        <f>SUM(F8,F12,F13,F16,F20,F24,F25,F26)</f>
        <v>42</v>
      </c>
      <c r="G7" s="90">
        <f t="shared" ref="G7:J7" si="0">SUM(G8,G12,G13,G16,G20,G24,G25,G26)</f>
        <v>3</v>
      </c>
      <c r="H7" s="90">
        <f t="shared" si="0"/>
        <v>0</v>
      </c>
      <c r="I7" s="90">
        <f t="shared" si="0"/>
        <v>4</v>
      </c>
      <c r="J7" s="90">
        <f t="shared" si="0"/>
        <v>0</v>
      </c>
      <c r="K7" s="91"/>
      <c r="L7" s="92">
        <f>IFERROR(F7/$D7*100,0)</f>
        <v>85.714285714285708</v>
      </c>
      <c r="M7" s="92">
        <f>IFERROR(G7/$D7*100,0)</f>
        <v>6.1224489795918364</v>
      </c>
      <c r="N7" s="92">
        <f>IFERROR((H7/$D7)*100,0)</f>
        <v>0</v>
      </c>
      <c r="O7" s="92">
        <f>IFERROR(I7/$D7*100,0)</f>
        <v>8.1632653061224492</v>
      </c>
      <c r="P7" s="92">
        <f>IFERROR(J7/$D7*100,0)</f>
        <v>0</v>
      </c>
      <c r="Q7" s="81" t="s">
        <v>106</v>
      </c>
    </row>
    <row r="8" spans="1:17" s="67" customFormat="1" ht="15.75" customHeight="1" x14ac:dyDescent="0.25">
      <c r="B8" s="68" t="s">
        <v>82</v>
      </c>
      <c r="C8" s="68"/>
      <c r="D8" s="85">
        <f t="shared" ref="D8:D15" si="1">SUM(F8+G8+H8+I8+J8)</f>
        <v>12</v>
      </c>
      <c r="E8" s="88"/>
      <c r="F8" s="85">
        <f t="shared" ref="F8:J8" si="2">SUM(F9:F11)</f>
        <v>10</v>
      </c>
      <c r="G8" s="85">
        <f t="shared" si="2"/>
        <v>2</v>
      </c>
      <c r="H8" s="85">
        <f t="shared" si="2"/>
        <v>0</v>
      </c>
      <c r="I8" s="85">
        <f t="shared" si="2"/>
        <v>0</v>
      </c>
      <c r="J8" s="85">
        <f t="shared" si="2"/>
        <v>0</v>
      </c>
      <c r="K8" s="88"/>
      <c r="L8" s="93">
        <f>IFERROR(F8/$D8*100,0)</f>
        <v>83.333333333333343</v>
      </c>
      <c r="M8" s="93">
        <f>IFERROR(G8/$D8*100,0)</f>
        <v>16.666666666666664</v>
      </c>
      <c r="N8" s="93">
        <f t="shared" ref="N8:N26" si="3">IFERROR((H8/$D8)*100,0)</f>
        <v>0</v>
      </c>
      <c r="O8" s="93">
        <f t="shared" ref="O8:O26" si="4">IFERROR(I8/$D8*100,0)</f>
        <v>0</v>
      </c>
      <c r="P8" s="93">
        <f t="shared" ref="P8:P26" si="5">IFERROR(J8/$D8*100,0)</f>
        <v>0</v>
      </c>
    </row>
    <row r="9" spans="1:17" ht="15.75" customHeight="1" x14ac:dyDescent="0.25">
      <c r="A9" s="116" t="s">
        <v>81</v>
      </c>
      <c r="B9" s="69"/>
      <c r="C9" s="69" t="s">
        <v>81</v>
      </c>
      <c r="D9" s="94">
        <f t="shared" si="1"/>
        <v>8</v>
      </c>
      <c r="E9" s="95"/>
      <c r="F9" s="95">
        <f>IFERROR(GETPIVOTDATA("inspection number",'in-year pivots (short)'!$A$3,"provider type",$A9,"Overall effectiveness",F$3),0)</f>
        <v>7</v>
      </c>
      <c r="G9" s="95">
        <f>IFERROR(GETPIVOTDATA("inspection number",'in-year pivots (short)'!$H$3,"provider type",$A9,"Overall effectiveness",G$3),0)</f>
        <v>1</v>
      </c>
      <c r="H9" s="95">
        <f>IFERROR(GETPIVOTDATA("inspection number",'in-year pivots (short)'!$H$3,"provider type",$A9,"Overall effectiveness",H$3),0)</f>
        <v>0</v>
      </c>
      <c r="I9" s="95">
        <f>IFERROR(GETPIVOTDATA("inspection number",'in-year pivots (short)'!$H$3,"provider type",$A9,"Overall effectiveness",I$3),0)</f>
        <v>0</v>
      </c>
      <c r="J9" s="95">
        <f>IFERROR(GETPIVOTDATA("inspection number",'in-year pivots (short)'!$H$3,"provider type",$A9,"Overall effectiveness",J$3),0)</f>
        <v>0</v>
      </c>
      <c r="K9" s="96"/>
      <c r="L9" s="97">
        <f t="shared" ref="L9:M26" si="6">IFERROR(F9/$D9*100,0)</f>
        <v>87.5</v>
      </c>
      <c r="M9" s="97">
        <f t="shared" si="6"/>
        <v>12.5</v>
      </c>
      <c r="N9" s="97">
        <f t="shared" si="3"/>
        <v>0</v>
      </c>
      <c r="O9" s="97">
        <f t="shared" si="4"/>
        <v>0</v>
      </c>
      <c r="P9" s="97">
        <f t="shared" si="5"/>
        <v>0</v>
      </c>
    </row>
    <row r="10" spans="1:17" ht="15.75" customHeight="1" x14ac:dyDescent="0.25">
      <c r="A10" s="116" t="s">
        <v>83</v>
      </c>
      <c r="B10" s="69"/>
      <c r="C10" s="69" t="s">
        <v>83</v>
      </c>
      <c r="D10" s="94">
        <f t="shared" si="1"/>
        <v>2</v>
      </c>
      <c r="E10" s="95"/>
      <c r="F10" s="95">
        <f>IFERROR(GETPIVOTDATA("inspection number",'in-year pivots (short)'!$A$3,"provider type",$A10,"Overall effectiveness",F$3),0)</f>
        <v>1</v>
      </c>
      <c r="G10" s="95">
        <f>IFERROR(GETPIVOTDATA("inspection number",'in-year pivots (short)'!$H$3,"provider type",$A10,"Overall effectiveness",G$3),0)</f>
        <v>1</v>
      </c>
      <c r="H10" s="95">
        <f>IFERROR(GETPIVOTDATA("inspection number",'in-year pivots (short)'!$H$3,"provider type",$A10,"Overall effectiveness",H$3),0)</f>
        <v>0</v>
      </c>
      <c r="I10" s="95">
        <f>IFERROR(GETPIVOTDATA("inspection number",'in-year pivots (short)'!$H$3,"provider type",$A10,"Overall effectiveness",I$3),0)</f>
        <v>0</v>
      </c>
      <c r="J10" s="95">
        <f>IFERROR(GETPIVOTDATA("inspection number",'in-year pivots (short)'!$H$3,"provider type",$A10,"Overall effectiveness",J$3),0)</f>
        <v>0</v>
      </c>
      <c r="K10" s="96"/>
      <c r="L10" s="97">
        <f t="shared" si="6"/>
        <v>50</v>
      </c>
      <c r="M10" s="97">
        <f t="shared" si="6"/>
        <v>50</v>
      </c>
      <c r="N10" s="97">
        <f t="shared" si="3"/>
        <v>0</v>
      </c>
      <c r="O10" s="97">
        <f t="shared" si="4"/>
        <v>0</v>
      </c>
      <c r="P10" s="97">
        <f t="shared" si="5"/>
        <v>0</v>
      </c>
    </row>
    <row r="11" spans="1:17" ht="15.75" customHeight="1" x14ac:dyDescent="0.25">
      <c r="A11" s="116" t="s">
        <v>87</v>
      </c>
      <c r="B11" s="69"/>
      <c r="C11" s="69" t="s">
        <v>87</v>
      </c>
      <c r="D11" s="94">
        <f t="shared" si="1"/>
        <v>2</v>
      </c>
      <c r="E11" s="95"/>
      <c r="F11" s="95">
        <f>IFERROR(GETPIVOTDATA("inspection number",'in-year pivots (short)'!$A$3,"provider type",$A11,"Overall effectiveness",F$3),0)</f>
        <v>2</v>
      </c>
      <c r="G11" s="95">
        <f>IFERROR(GETPIVOTDATA("inspection number",'in-year pivots (short)'!$H$3,"provider type",$A11,"Overall effectiveness",G$3),0)</f>
        <v>0</v>
      </c>
      <c r="H11" s="95">
        <f>IFERROR(GETPIVOTDATA("inspection number",'in-year pivots (short)'!$H$3,"provider type",$A11,"Overall effectiveness",H$3),0)</f>
        <v>0</v>
      </c>
      <c r="I11" s="95">
        <f>IFERROR(GETPIVOTDATA("inspection number",'in-year pivots (short)'!$H$3,"provider type",$A11,"Overall effectiveness",I$3),0)</f>
        <v>0</v>
      </c>
      <c r="J11" s="95">
        <f>IFERROR(GETPIVOTDATA("inspection number",'in-year pivots (short)'!$H$3,"provider type",$A11,"Overall effectiveness",J$3),0)</f>
        <v>0</v>
      </c>
      <c r="K11" s="96"/>
      <c r="L11" s="97">
        <f t="shared" si="6"/>
        <v>100</v>
      </c>
      <c r="M11" s="97">
        <f t="shared" si="6"/>
        <v>0</v>
      </c>
      <c r="N11" s="97">
        <f t="shared" si="3"/>
        <v>0</v>
      </c>
      <c r="O11" s="97">
        <f t="shared" si="4"/>
        <v>0</v>
      </c>
      <c r="P11" s="97">
        <f t="shared" si="5"/>
        <v>0</v>
      </c>
    </row>
    <row r="12" spans="1:17" s="67" customFormat="1" ht="15.75" customHeight="1" x14ac:dyDescent="0.25">
      <c r="A12" s="82" t="s">
        <v>70</v>
      </c>
      <c r="B12" s="70" t="s">
        <v>71</v>
      </c>
      <c r="C12" s="70"/>
      <c r="D12" s="85">
        <f t="shared" si="1"/>
        <v>2</v>
      </c>
      <c r="E12" s="88"/>
      <c r="F12" s="98">
        <f>IFERROR(GETPIVOTDATA("inspection number",'in-year pivots (short)'!$A$3,"provider type",$A12,"Overall effectiveness",F$3),0)</f>
        <v>2</v>
      </c>
      <c r="G12" s="98">
        <f>IFERROR(GETPIVOTDATA("inspection number",'in-year pivots (short)'!$H$3,"provider type",$A12,"Overall effectiveness",G$3),0)</f>
        <v>0</v>
      </c>
      <c r="H12" s="98">
        <f>IFERROR(GETPIVOTDATA("inspection number",'in-year pivots (short)'!$H$3,"provider type",$A12,"Overall effectiveness",H$3),0)</f>
        <v>0</v>
      </c>
      <c r="I12" s="98">
        <f>IFERROR(GETPIVOTDATA("inspection number",'in-year pivots (short)'!$H$3,"provider type",$A12,"Overall effectiveness",I$3),0)</f>
        <v>0</v>
      </c>
      <c r="J12" s="98">
        <f>IFERROR(GETPIVOTDATA("inspection number",'in-year pivots (short)'!$H$3,"provider type",$A12,"Overall effectiveness",J$3),0)</f>
        <v>0</v>
      </c>
      <c r="K12" s="91"/>
      <c r="L12" s="93">
        <f t="shared" si="6"/>
        <v>100</v>
      </c>
      <c r="M12" s="93">
        <f>IFERROR(G12/$D12*100,0)</f>
        <v>0</v>
      </c>
      <c r="N12" s="93">
        <f t="shared" si="3"/>
        <v>0</v>
      </c>
      <c r="O12" s="93">
        <f t="shared" si="4"/>
        <v>0</v>
      </c>
      <c r="P12" s="93">
        <f t="shared" si="5"/>
        <v>0</v>
      </c>
      <c r="Q12" s="82" t="s">
        <v>70</v>
      </c>
    </row>
    <row r="13" spans="1:17" s="67" customFormat="1" ht="15.75" customHeight="1" x14ac:dyDescent="0.25">
      <c r="B13" s="68" t="s">
        <v>79</v>
      </c>
      <c r="C13" s="68"/>
      <c r="D13" s="85">
        <f t="shared" si="1"/>
        <v>14</v>
      </c>
      <c r="E13" s="88"/>
      <c r="F13" s="85">
        <f>SUM(F14:F15)</f>
        <v>12</v>
      </c>
      <c r="G13" s="85">
        <f t="shared" ref="G13:J13" si="7">SUM(G14:G15)</f>
        <v>0</v>
      </c>
      <c r="H13" s="85">
        <f t="shared" si="7"/>
        <v>0</v>
      </c>
      <c r="I13" s="85">
        <f t="shared" si="7"/>
        <v>2</v>
      </c>
      <c r="J13" s="85">
        <f t="shared" si="7"/>
        <v>0</v>
      </c>
      <c r="K13" s="91"/>
      <c r="L13" s="93">
        <f t="shared" si="6"/>
        <v>85.714285714285708</v>
      </c>
      <c r="M13" s="93">
        <f t="shared" si="6"/>
        <v>0</v>
      </c>
      <c r="N13" s="93">
        <f t="shared" si="3"/>
        <v>0</v>
      </c>
      <c r="O13" s="93">
        <f t="shared" si="4"/>
        <v>14.285714285714285</v>
      </c>
      <c r="P13" s="93">
        <f t="shared" si="5"/>
        <v>0</v>
      </c>
      <c r="Q13" s="83"/>
    </row>
    <row r="14" spans="1:17" ht="15.75" customHeight="1" x14ac:dyDescent="0.25">
      <c r="A14" s="116" t="s">
        <v>78</v>
      </c>
      <c r="B14" s="71"/>
      <c r="C14" s="69" t="s">
        <v>78</v>
      </c>
      <c r="D14" s="94">
        <f t="shared" si="1"/>
        <v>14</v>
      </c>
      <c r="E14" s="95"/>
      <c r="F14" s="95">
        <f>IFERROR(GETPIVOTDATA("inspection number",'in-year pivots (short)'!$A$3,"provider type",$A14,"Overall effectiveness",F$3),0)</f>
        <v>12</v>
      </c>
      <c r="G14" s="95">
        <f>IFERROR(GETPIVOTDATA("inspection number",'in-year pivots (short)'!$H$3,"provider type",$A14,"Overall effectiveness",G$3),0)</f>
        <v>0</v>
      </c>
      <c r="H14" s="95">
        <f>IFERROR(GETPIVOTDATA("inspection number",'in-year pivots (short)'!$H$3,"provider type",$A14,"Overall effectiveness",H$3),0)</f>
        <v>0</v>
      </c>
      <c r="I14" s="95">
        <f>IFERROR(GETPIVOTDATA("inspection number",'in-year pivots (short)'!$H$3,"provider type",$A14,"Overall effectiveness",I$3),0)</f>
        <v>2</v>
      </c>
      <c r="J14" s="95">
        <f>IFERROR(GETPIVOTDATA("inspection number",'in-year pivots (short)'!$H$3,"provider type",$A14,"Overall effectiveness",J$3),0)</f>
        <v>0</v>
      </c>
      <c r="K14" s="96"/>
      <c r="L14" s="97">
        <f t="shared" si="6"/>
        <v>85.714285714285708</v>
      </c>
      <c r="M14" s="97">
        <f t="shared" si="6"/>
        <v>0</v>
      </c>
      <c r="N14" s="97">
        <f t="shared" si="3"/>
        <v>0</v>
      </c>
      <c r="O14" s="97">
        <f t="shared" si="4"/>
        <v>14.285714285714285</v>
      </c>
      <c r="P14" s="97">
        <f t="shared" si="5"/>
        <v>0</v>
      </c>
      <c r="Q14" s="84"/>
    </row>
    <row r="15" spans="1:17" ht="15.75" customHeight="1" x14ac:dyDescent="0.25">
      <c r="A15" s="116" t="s">
        <v>80</v>
      </c>
      <c r="B15" s="71"/>
      <c r="C15" s="69" t="s">
        <v>80</v>
      </c>
      <c r="D15" s="94">
        <f t="shared" si="1"/>
        <v>0</v>
      </c>
      <c r="E15" s="95"/>
      <c r="F15" s="95">
        <f>IFERROR(GETPIVOTDATA("inspection number",'in-year pivots (short)'!$A$3,"provider type",$A15,"Overall effectiveness",F$3),0)</f>
        <v>0</v>
      </c>
      <c r="G15" s="95">
        <f>IFERROR(GETPIVOTDATA("inspection number",'in-year pivots (short)'!$H$3,"provider type",$A15,"Overall effectiveness",G$3),0)</f>
        <v>0</v>
      </c>
      <c r="H15" s="95">
        <f>IFERROR(GETPIVOTDATA("inspection number",'in-year pivots (short)'!$H$3,"provider type",$A15,"Overall effectiveness",H$3),0)</f>
        <v>0</v>
      </c>
      <c r="I15" s="95">
        <f>IFERROR(GETPIVOTDATA("inspection number",'in-year pivots (short)'!$H$3,"provider type",$A15,"Overall effectiveness",I$3),0)</f>
        <v>0</v>
      </c>
      <c r="J15" s="95">
        <f>IFERROR(GETPIVOTDATA("inspection number",'in-year pivots (short)'!$H$3,"provider type",$A15,"Overall effectiveness",J$3),0)</f>
        <v>0</v>
      </c>
      <c r="K15" s="96"/>
      <c r="L15" s="97">
        <f t="shared" si="6"/>
        <v>0</v>
      </c>
      <c r="M15" s="97">
        <f t="shared" si="6"/>
        <v>0</v>
      </c>
      <c r="N15" s="97">
        <f t="shared" si="3"/>
        <v>0</v>
      </c>
      <c r="O15" s="97">
        <f t="shared" si="4"/>
        <v>0</v>
      </c>
      <c r="P15" s="97">
        <f t="shared" si="5"/>
        <v>0</v>
      </c>
      <c r="Q15" s="84"/>
    </row>
    <row r="16" spans="1:17" s="67" customFormat="1" ht="15.75" customHeight="1" x14ac:dyDescent="0.25">
      <c r="B16" s="68" t="s">
        <v>76</v>
      </c>
      <c r="C16" s="68"/>
      <c r="D16" s="85">
        <f t="shared" ref="D16:D26" si="8">SUM(F16+G16+H16+I16+J16)</f>
        <v>18</v>
      </c>
      <c r="E16" s="88"/>
      <c r="F16" s="85">
        <f>SUM(F17:F19)</f>
        <v>16</v>
      </c>
      <c r="G16" s="85">
        <f t="shared" ref="G16:J16" si="9">SUM(G17:G19)</f>
        <v>0</v>
      </c>
      <c r="H16" s="85">
        <f t="shared" si="9"/>
        <v>0</v>
      </c>
      <c r="I16" s="85">
        <f t="shared" si="9"/>
        <v>2</v>
      </c>
      <c r="J16" s="85">
        <f t="shared" si="9"/>
        <v>0</v>
      </c>
      <c r="K16" s="91"/>
      <c r="L16" s="93">
        <f t="shared" si="6"/>
        <v>88.888888888888886</v>
      </c>
      <c r="M16" s="93">
        <f t="shared" si="6"/>
        <v>0</v>
      </c>
      <c r="N16" s="93">
        <f t="shared" si="3"/>
        <v>0</v>
      </c>
      <c r="O16" s="93">
        <f t="shared" si="4"/>
        <v>11.111111111111111</v>
      </c>
      <c r="P16" s="93">
        <f t="shared" si="5"/>
        <v>0</v>
      </c>
      <c r="Q16" s="83"/>
    </row>
    <row r="17" spans="1:17" ht="15.75" customHeight="1" x14ac:dyDescent="0.25">
      <c r="A17" s="115" t="s">
        <v>75</v>
      </c>
      <c r="B17" s="71"/>
      <c r="C17" s="69" t="s">
        <v>75</v>
      </c>
      <c r="D17" s="94">
        <f t="shared" si="8"/>
        <v>9</v>
      </c>
      <c r="E17" s="95"/>
      <c r="F17" s="95">
        <f>IFERROR(GETPIVOTDATA("inspection number",'in-year pivots (short)'!$A$3,"provider type",$A17,"Overall effectiveness",F$3),0)</f>
        <v>7</v>
      </c>
      <c r="G17" s="95">
        <f>IFERROR(GETPIVOTDATA("inspection number",'in-year pivots (short)'!$H$3,"provider type",$A17,"Overall effectiveness",G$3),0)</f>
        <v>0</v>
      </c>
      <c r="H17" s="95">
        <f>IFERROR(GETPIVOTDATA("inspection number",'in-year pivots (short)'!$H$3,"provider type",$A17,"Overall effectiveness",H$3),0)</f>
        <v>0</v>
      </c>
      <c r="I17" s="95">
        <f>IFERROR(GETPIVOTDATA("inspection number",'in-year pivots (short)'!$H$3,"provider type",$A17,"Overall effectiveness",I$3),0)</f>
        <v>2</v>
      </c>
      <c r="J17" s="95">
        <f>IFERROR(GETPIVOTDATA("inspection number",'in-year pivots (short)'!$H$3,"provider type",$A17,"Overall effectiveness",J$3),0)</f>
        <v>0</v>
      </c>
      <c r="K17" s="96"/>
      <c r="L17" s="97">
        <f t="shared" si="6"/>
        <v>77.777777777777786</v>
      </c>
      <c r="M17" s="97">
        <f t="shared" si="6"/>
        <v>0</v>
      </c>
      <c r="N17" s="97">
        <f t="shared" si="3"/>
        <v>0</v>
      </c>
      <c r="O17" s="97">
        <f t="shared" si="4"/>
        <v>22.222222222222221</v>
      </c>
      <c r="P17" s="97">
        <f t="shared" si="5"/>
        <v>0</v>
      </c>
      <c r="Q17" s="84"/>
    </row>
    <row r="18" spans="1:17" ht="15.75" customHeight="1" x14ac:dyDescent="0.25">
      <c r="A18" s="115" t="s">
        <v>77</v>
      </c>
      <c r="B18" s="71"/>
      <c r="C18" s="69" t="s">
        <v>77</v>
      </c>
      <c r="D18" s="94">
        <f t="shared" si="8"/>
        <v>8</v>
      </c>
      <c r="E18" s="95"/>
      <c r="F18" s="95">
        <f>IFERROR(GETPIVOTDATA("inspection number",'in-year pivots (short)'!$A$3,"provider type",$A18,"Overall effectiveness",F$3),0)</f>
        <v>8</v>
      </c>
      <c r="G18" s="95">
        <f>IFERROR(GETPIVOTDATA("inspection number",'in-year pivots (short)'!$H$3,"provider type",$A18,"Overall effectiveness",G$3),0)</f>
        <v>0</v>
      </c>
      <c r="H18" s="95">
        <f>IFERROR(GETPIVOTDATA("inspection number",'in-year pivots (short)'!$H$3,"provider type",$A18,"Overall effectiveness",H$3),0)</f>
        <v>0</v>
      </c>
      <c r="I18" s="95">
        <f>IFERROR(GETPIVOTDATA("inspection number",'in-year pivots (short)'!$H$3,"provider type",$A18,"Overall effectiveness",I$3),0)</f>
        <v>0</v>
      </c>
      <c r="J18" s="95">
        <f>IFERROR(GETPIVOTDATA("inspection number",'in-year pivots (short)'!$H$3,"provider type",$A18,"Overall effectiveness",J$3),0)</f>
        <v>0</v>
      </c>
      <c r="K18" s="96"/>
      <c r="L18" s="97">
        <f t="shared" si="6"/>
        <v>100</v>
      </c>
      <c r="M18" s="97">
        <f t="shared" si="6"/>
        <v>0</v>
      </c>
      <c r="N18" s="97">
        <f t="shared" si="3"/>
        <v>0</v>
      </c>
      <c r="O18" s="97">
        <f t="shared" si="4"/>
        <v>0</v>
      </c>
      <c r="P18" s="97">
        <f t="shared" si="5"/>
        <v>0</v>
      </c>
      <c r="Q18" s="84"/>
    </row>
    <row r="19" spans="1:17" ht="15.75" customHeight="1" x14ac:dyDescent="0.25">
      <c r="A19" s="115" t="s">
        <v>84</v>
      </c>
      <c r="B19" s="71"/>
      <c r="C19" s="69" t="s">
        <v>84</v>
      </c>
      <c r="D19" s="94">
        <f t="shared" si="8"/>
        <v>1</v>
      </c>
      <c r="E19" s="95"/>
      <c r="F19" s="95">
        <f>IFERROR(GETPIVOTDATA("inspection number",'in-year pivots (short)'!$A$3,"provider type",$A19,"Overall effectiveness",F$3),0)</f>
        <v>1</v>
      </c>
      <c r="G19" s="95">
        <f>IFERROR(GETPIVOTDATA("inspection number",'in-year pivots (short)'!$H$3,"provider type",$A19,"Overall effectiveness",G$3),0)</f>
        <v>0</v>
      </c>
      <c r="H19" s="95">
        <f>IFERROR(GETPIVOTDATA("inspection number",'in-year pivots (short)'!$H$3,"provider type",$A19,"Overall effectiveness",H$3),0)</f>
        <v>0</v>
      </c>
      <c r="I19" s="95">
        <f>IFERROR(GETPIVOTDATA("inspection number",'in-year pivots (short)'!$H$3,"provider type",$A19,"Overall effectiveness",I$3),0)</f>
        <v>0</v>
      </c>
      <c r="J19" s="95">
        <f>IFERROR(GETPIVOTDATA("inspection number",'in-year pivots (short)'!$H$3,"provider type",$A19,"Overall effectiveness",J$3),0)</f>
        <v>0</v>
      </c>
      <c r="K19" s="96"/>
      <c r="L19" s="97">
        <f t="shared" si="6"/>
        <v>100</v>
      </c>
      <c r="M19" s="97">
        <f t="shared" si="6"/>
        <v>0</v>
      </c>
      <c r="N19" s="97">
        <f t="shared" si="3"/>
        <v>0</v>
      </c>
      <c r="O19" s="97">
        <f t="shared" si="4"/>
        <v>0</v>
      </c>
      <c r="P19" s="97">
        <f t="shared" si="5"/>
        <v>0</v>
      </c>
      <c r="Q19" s="84"/>
    </row>
    <row r="20" spans="1:17" s="67" customFormat="1" ht="15.75" customHeight="1" x14ac:dyDescent="0.25">
      <c r="B20" s="68" t="s">
        <v>74</v>
      </c>
      <c r="C20" s="68"/>
      <c r="D20" s="85">
        <f t="shared" si="8"/>
        <v>2</v>
      </c>
      <c r="E20" s="88"/>
      <c r="F20" s="85">
        <f>SUM(F21:F23)</f>
        <v>1</v>
      </c>
      <c r="G20" s="85">
        <f t="shared" ref="G20:J20" si="10">SUM(G21:G23)</f>
        <v>1</v>
      </c>
      <c r="H20" s="85">
        <f t="shared" si="10"/>
        <v>0</v>
      </c>
      <c r="I20" s="85">
        <f t="shared" si="10"/>
        <v>0</v>
      </c>
      <c r="J20" s="85">
        <f t="shared" si="10"/>
        <v>0</v>
      </c>
      <c r="K20" s="91"/>
      <c r="L20" s="93">
        <f t="shared" si="6"/>
        <v>50</v>
      </c>
      <c r="M20" s="93">
        <f t="shared" si="6"/>
        <v>50</v>
      </c>
      <c r="N20" s="93">
        <f t="shared" si="3"/>
        <v>0</v>
      </c>
      <c r="O20" s="93">
        <f t="shared" si="4"/>
        <v>0</v>
      </c>
      <c r="P20" s="93">
        <f t="shared" si="5"/>
        <v>0</v>
      </c>
      <c r="Q20" s="82"/>
    </row>
    <row r="21" spans="1:17" ht="15.75" customHeight="1" x14ac:dyDescent="0.25">
      <c r="A21" s="115" t="s">
        <v>88</v>
      </c>
      <c r="B21" s="71"/>
      <c r="C21" s="69" t="s">
        <v>88</v>
      </c>
      <c r="D21" s="94">
        <f t="shared" si="8"/>
        <v>1</v>
      </c>
      <c r="E21" s="95"/>
      <c r="F21" s="95">
        <f>IFERROR(GETPIVOTDATA("inspection number",'in-year pivots (short)'!$A$3,"provider type",$A21,"Overall effectiveness",F$3),0)</f>
        <v>1</v>
      </c>
      <c r="G21" s="95">
        <f>IFERROR(GETPIVOTDATA("inspection number",'in-year pivots (short)'!$H$3,"provider type",$A21,"Overall effectiveness",G$3),0)</f>
        <v>0</v>
      </c>
      <c r="H21" s="95">
        <f>IFERROR(GETPIVOTDATA("inspection number",'in-year pivots (short)'!$H$3,"provider type",$A21,"Overall effectiveness",H$3),0)</f>
        <v>0</v>
      </c>
      <c r="I21" s="95">
        <f>IFERROR(GETPIVOTDATA("inspection number",'in-year pivots (short)'!$H$3,"provider type",$A21,"Overall effectiveness",I$3),0)</f>
        <v>0</v>
      </c>
      <c r="J21" s="95">
        <f>IFERROR(GETPIVOTDATA("inspection number",'in-year pivots (short)'!$H$3,"provider type",$A21,"Overall effectiveness",J$3),0)</f>
        <v>0</v>
      </c>
      <c r="K21" s="96"/>
      <c r="L21" s="97">
        <f t="shared" si="6"/>
        <v>100</v>
      </c>
      <c r="M21" s="97">
        <f t="shared" si="6"/>
        <v>0</v>
      </c>
      <c r="N21" s="97">
        <f t="shared" si="3"/>
        <v>0</v>
      </c>
      <c r="O21" s="97">
        <f t="shared" si="4"/>
        <v>0</v>
      </c>
      <c r="P21" s="97">
        <f t="shared" si="5"/>
        <v>0</v>
      </c>
      <c r="Q21" s="84"/>
    </row>
    <row r="22" spans="1:17" ht="15.75" customHeight="1" x14ac:dyDescent="0.25">
      <c r="A22" s="115" t="s">
        <v>73</v>
      </c>
      <c r="B22" s="71"/>
      <c r="C22" s="69" t="s">
        <v>73</v>
      </c>
      <c r="D22" s="94">
        <f t="shared" si="8"/>
        <v>1</v>
      </c>
      <c r="E22" s="95"/>
      <c r="F22" s="95">
        <f>IFERROR(GETPIVOTDATA("inspection number",'in-year pivots (short)'!$A$3,"provider type",$A22,"Overall effectiveness",F$3),0)</f>
        <v>0</v>
      </c>
      <c r="G22" s="95">
        <f>IFERROR(GETPIVOTDATA("inspection number",'in-year pivots (short)'!$H$3,"provider type",$A22,"Overall effectiveness",G$3),0)</f>
        <v>1</v>
      </c>
      <c r="H22" s="95">
        <f>IFERROR(GETPIVOTDATA("inspection number",'in-year pivots (short)'!$H$3,"provider type",$A22,"Overall effectiveness",H$3),0)</f>
        <v>0</v>
      </c>
      <c r="I22" s="95">
        <f>IFERROR(GETPIVOTDATA("inspection number",'in-year pivots (short)'!$H$3,"provider type",$A22,"Overall effectiveness",I$3),0)</f>
        <v>0</v>
      </c>
      <c r="J22" s="95">
        <f>IFERROR(GETPIVOTDATA("inspection number",'in-year pivots (short)'!$H$3,"provider type",$A22,"Overall effectiveness",J$3),0)</f>
        <v>0</v>
      </c>
      <c r="K22" s="96"/>
      <c r="L22" s="97">
        <f t="shared" si="6"/>
        <v>0</v>
      </c>
      <c r="M22" s="97">
        <f t="shared" si="6"/>
        <v>100</v>
      </c>
      <c r="N22" s="97">
        <f>IFERROR((H22/$D22)*100,0)</f>
        <v>0</v>
      </c>
      <c r="O22" s="97">
        <f t="shared" si="4"/>
        <v>0</v>
      </c>
      <c r="P22" s="97">
        <f t="shared" si="5"/>
        <v>0</v>
      </c>
      <c r="Q22" s="84"/>
    </row>
    <row r="23" spans="1:17" ht="15.75" customHeight="1" x14ac:dyDescent="0.25">
      <c r="A23" s="115" t="s">
        <v>89</v>
      </c>
      <c r="B23" s="71"/>
      <c r="C23" s="69" t="s">
        <v>89</v>
      </c>
      <c r="D23" s="94">
        <f t="shared" si="8"/>
        <v>0</v>
      </c>
      <c r="E23" s="95"/>
      <c r="F23" s="95">
        <f>IFERROR(GETPIVOTDATA("inspection number",'in-year pivots (short)'!$A$3,"provider type",$A23,"Overall effectiveness",F$3),0)</f>
        <v>0</v>
      </c>
      <c r="G23" s="95">
        <f>IFERROR(GETPIVOTDATA("inspection number",'in-year pivots (short)'!$H$3,"provider type",$A23,"Overall effectiveness",G$3),0)</f>
        <v>0</v>
      </c>
      <c r="H23" s="95">
        <f>IFERROR(GETPIVOTDATA("inspection number",'in-year pivots (short)'!$H$3,"provider type",$A23,"Overall effectiveness",H$3),0)</f>
        <v>0</v>
      </c>
      <c r="I23" s="95">
        <f>IFERROR(GETPIVOTDATA("inspection number",'in-year pivots (short)'!$H$3,"provider type",$A23,"Overall effectiveness",I$3),0)</f>
        <v>0</v>
      </c>
      <c r="J23" s="95">
        <f>IFERROR(GETPIVOTDATA("inspection number",'in-year pivots (short)'!$H$3,"provider type",$A23,"Overall effectiveness",J$3),0)</f>
        <v>0</v>
      </c>
      <c r="K23" s="96"/>
      <c r="L23" s="97">
        <f t="shared" si="6"/>
        <v>0</v>
      </c>
      <c r="M23" s="97">
        <f t="shared" si="6"/>
        <v>0</v>
      </c>
      <c r="N23" s="97">
        <f t="shared" si="3"/>
        <v>0</v>
      </c>
      <c r="O23" s="97">
        <f t="shared" si="4"/>
        <v>0</v>
      </c>
      <c r="P23" s="97">
        <f t="shared" si="5"/>
        <v>0</v>
      </c>
      <c r="Q23" s="84"/>
    </row>
    <row r="24" spans="1:17" s="67" customFormat="1" ht="15.75" customHeight="1" x14ac:dyDescent="0.25">
      <c r="A24" s="115" t="s">
        <v>85</v>
      </c>
      <c r="B24" s="70" t="s">
        <v>86</v>
      </c>
      <c r="C24" s="70"/>
      <c r="D24" s="85">
        <f t="shared" si="8"/>
        <v>0</v>
      </c>
      <c r="E24" s="88"/>
      <c r="F24" s="98">
        <f>IFERROR(GETPIVOTDATA("inspection number",'in-year pivots (short)'!$A$3,"provider type",$A24,"Overall effectiveness",F$3),0)</f>
        <v>0</v>
      </c>
      <c r="G24" s="98">
        <f>IFERROR(GETPIVOTDATA("inspection number",'in-year pivots (short)'!$H$3,"provider type",$A24,"Overall effectiveness",G$3),0)</f>
        <v>0</v>
      </c>
      <c r="H24" s="98">
        <f>IFERROR(GETPIVOTDATA("inspection number",'in-year pivots (short)'!$H$3,"provider type",$A24,"Overall effectiveness",H$3),0)</f>
        <v>0</v>
      </c>
      <c r="I24" s="98">
        <f>IFERROR(GETPIVOTDATA("inspection number",'in-year pivots (short)'!$H$3,"provider type",$A24,"Overall effectiveness",I$3),0)</f>
        <v>0</v>
      </c>
      <c r="J24" s="98">
        <f>IFERROR(GETPIVOTDATA("inspection number",'in-year pivots (short)'!$H$3,"provider type",$A24,"Overall effectiveness",J$3),0)</f>
        <v>0</v>
      </c>
      <c r="K24" s="91"/>
      <c r="L24" s="93">
        <f t="shared" si="6"/>
        <v>0</v>
      </c>
      <c r="M24" s="93">
        <f t="shared" si="6"/>
        <v>0</v>
      </c>
      <c r="N24" s="93">
        <f t="shared" si="3"/>
        <v>0</v>
      </c>
      <c r="O24" s="93">
        <f t="shared" si="4"/>
        <v>0</v>
      </c>
      <c r="P24" s="93">
        <f t="shared" si="5"/>
        <v>0</v>
      </c>
      <c r="Q24" s="82" t="s">
        <v>85</v>
      </c>
    </row>
    <row r="25" spans="1:17" s="67" customFormat="1" ht="15.75" customHeight="1" x14ac:dyDescent="0.25">
      <c r="A25" s="115" t="s">
        <v>69</v>
      </c>
      <c r="B25" s="70" t="s">
        <v>139</v>
      </c>
      <c r="C25" s="70"/>
      <c r="D25" s="85">
        <f t="shared" si="8"/>
        <v>1</v>
      </c>
      <c r="E25" s="88"/>
      <c r="F25" s="98">
        <f>IFERROR(GETPIVOTDATA("inspection number",'in-year pivots (short)'!$A$3,"provider type",$A25,"Overall effectiveness",F$3),0)</f>
        <v>1</v>
      </c>
      <c r="G25" s="98">
        <f>IFERROR(GETPIVOTDATA("inspection number",'in-year pivots (short)'!$H$3,"provider type",$A25,"Overall effectiveness",G$3),0)</f>
        <v>0</v>
      </c>
      <c r="H25" s="98">
        <f>IFERROR(GETPIVOTDATA("inspection number",'in-year pivots (short)'!$H$3,"provider type",$A25,"Overall effectiveness",H$3),0)</f>
        <v>0</v>
      </c>
      <c r="I25" s="98">
        <f>IFERROR(GETPIVOTDATA("inspection number",'in-year pivots (short)'!$H$3,"provider type",$A25,"Overall effectiveness",I$3),0)</f>
        <v>0</v>
      </c>
      <c r="J25" s="98">
        <f>IFERROR(GETPIVOTDATA("inspection number",'in-year pivots (short)'!$H$3,"provider type",$A25,"Overall effectiveness",J$3),0)</f>
        <v>0</v>
      </c>
      <c r="K25" s="91"/>
      <c r="L25" s="93">
        <f t="shared" si="6"/>
        <v>100</v>
      </c>
      <c r="M25" s="93">
        <f t="shared" si="6"/>
        <v>0</v>
      </c>
      <c r="N25" s="93">
        <f t="shared" si="3"/>
        <v>0</v>
      </c>
      <c r="O25" s="93">
        <f t="shared" si="4"/>
        <v>0</v>
      </c>
      <c r="P25" s="93">
        <f t="shared" si="5"/>
        <v>0</v>
      </c>
      <c r="Q25" s="82" t="s">
        <v>69</v>
      </c>
    </row>
    <row r="26" spans="1:17" s="67" customFormat="1" ht="15.75" customHeight="1" x14ac:dyDescent="0.25">
      <c r="A26" s="115" t="s">
        <v>90</v>
      </c>
      <c r="B26" s="72" t="s">
        <v>91</v>
      </c>
      <c r="C26" s="72"/>
      <c r="D26" s="98">
        <f t="shared" si="8"/>
        <v>0</v>
      </c>
      <c r="E26" s="88"/>
      <c r="F26" s="98">
        <f>IFERROR(GETPIVOTDATA("inspection number",'in-year pivots (short)'!$A$3,"provider type",$A26,"Overall effectiveness",F$3),0)</f>
        <v>0</v>
      </c>
      <c r="G26" s="98">
        <f>IFERROR(GETPIVOTDATA("inspection number",'in-year pivots (short)'!$H$3,"provider type",$A26,"Overall effectiveness",G$3),0)</f>
        <v>0</v>
      </c>
      <c r="H26" s="98">
        <f>IFERROR(GETPIVOTDATA("inspection number",'in-year pivots (short)'!$H$3,"provider type",$A26,"Overall effectiveness",H$3),0)</f>
        <v>0</v>
      </c>
      <c r="I26" s="98">
        <f>IFERROR(GETPIVOTDATA("inspection number",'in-year pivots (short)'!$H$3,"provider type",$A26,"Overall effectiveness",I$3),0)</f>
        <v>0</v>
      </c>
      <c r="J26" s="98">
        <f>IFERROR(GETPIVOTDATA("inspection number",'in-year pivots (short)'!$H$3,"provider type",$A26,"Overall effectiveness",J$3),0)</f>
        <v>0</v>
      </c>
      <c r="K26" s="91"/>
      <c r="L26" s="100">
        <f t="shared" si="6"/>
        <v>0</v>
      </c>
      <c r="M26" s="100">
        <f t="shared" si="6"/>
        <v>0</v>
      </c>
      <c r="N26" s="100">
        <f t="shared" si="3"/>
        <v>0</v>
      </c>
      <c r="O26" s="100">
        <f t="shared" si="4"/>
        <v>0</v>
      </c>
      <c r="P26" s="100">
        <f t="shared" si="5"/>
        <v>0</v>
      </c>
      <c r="Q26" s="82" t="s">
        <v>90</v>
      </c>
    </row>
    <row r="27" spans="1:17" x14ac:dyDescent="0.25">
      <c r="B27" s="73"/>
      <c r="C27" s="73"/>
      <c r="P27" s="74" t="s">
        <v>97</v>
      </c>
    </row>
    <row r="28" spans="1:17" x14ac:dyDescent="0.25">
      <c r="B28" s="110" t="s">
        <v>127</v>
      </c>
      <c r="C28" s="77"/>
    </row>
    <row r="29" spans="1:17" x14ac:dyDescent="0.25">
      <c r="B29" s="110" t="s">
        <v>140</v>
      </c>
      <c r="C29" s="78"/>
    </row>
    <row r="30" spans="1:17" x14ac:dyDescent="0.25">
      <c r="B30" s="76" t="s">
        <v>119</v>
      </c>
      <c r="C30" s="78"/>
    </row>
  </sheetData>
  <mergeCells count="7">
    <mergeCell ref="C4:C6"/>
    <mergeCell ref="B4:B6"/>
    <mergeCell ref="F4:J4"/>
    <mergeCell ref="L4:P4"/>
    <mergeCell ref="G5:J5"/>
    <mergeCell ref="M5:P5"/>
    <mergeCell ref="D4:D6"/>
  </mergeCells>
  <pageMargins left="0.7" right="0.7" top="0.75" bottom="0.75" header="0.3" footer="0.3"/>
  <pageSetup paperSize="9" orientation="portrait" r:id="rId1"/>
  <ignoredErrors>
    <ignoredError sqref="N7:N26 F8 F13 F16 F20 G13:J20"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F0"/>
  </sheetPr>
  <dimension ref="A1:R32"/>
  <sheetViews>
    <sheetView showGridLines="0" showRowColHeaders="0" zoomScale="90" zoomScaleNormal="90" workbookViewId="0"/>
  </sheetViews>
  <sheetFormatPr defaultRowHeight="13.2" x14ac:dyDescent="0.25"/>
  <cols>
    <col min="1" max="1" width="3.6640625" customWidth="1"/>
    <col min="2" max="2" width="15.5546875" customWidth="1"/>
    <col min="3" max="3" width="46.6640625" customWidth="1"/>
    <col min="4" max="6" width="17.33203125" customWidth="1"/>
    <col min="7" max="7" width="2.5546875" customWidth="1"/>
    <col min="8" max="9" width="14" customWidth="1"/>
    <col min="10" max="10" width="14.44140625" customWidth="1"/>
    <col min="11" max="11" width="14" customWidth="1"/>
    <col min="12" max="12" width="2.5546875" customWidth="1"/>
    <col min="13" max="14" width="14" customWidth="1"/>
    <col min="15" max="15" width="14.5546875" customWidth="1"/>
    <col min="16" max="17" width="14" customWidth="1"/>
  </cols>
  <sheetData>
    <row r="1" spans="1:18" ht="23.25" customHeight="1" x14ac:dyDescent="0.35">
      <c r="B1" s="15" t="s">
        <v>98</v>
      </c>
      <c r="C1" s="78"/>
      <c r="D1" s="78"/>
      <c r="E1" s="78"/>
    </row>
    <row r="2" spans="1:18" ht="15" x14ac:dyDescent="0.25">
      <c r="B2" s="14" t="str">
        <f>Cover!C12</f>
        <v>Inspections published by 31 December 2017</v>
      </c>
      <c r="C2" s="78"/>
      <c r="D2" s="78"/>
      <c r="E2" s="78"/>
      <c r="F2" s="115" t="s">
        <v>178</v>
      </c>
    </row>
    <row r="3" spans="1:18" x14ac:dyDescent="0.25">
      <c r="B3" s="78"/>
      <c r="C3" s="78"/>
      <c r="D3" s="78"/>
      <c r="E3" s="78"/>
      <c r="F3" s="115" t="s">
        <v>72</v>
      </c>
      <c r="G3" s="115"/>
      <c r="H3" s="115">
        <v>1</v>
      </c>
      <c r="I3" s="115">
        <v>2</v>
      </c>
      <c r="J3" s="115">
        <v>3</v>
      </c>
      <c r="K3" s="115">
        <v>4</v>
      </c>
    </row>
    <row r="4" spans="1:18" s="62" customFormat="1" ht="24" customHeight="1" x14ac:dyDescent="0.25">
      <c r="B4" s="194" t="s">
        <v>125</v>
      </c>
      <c r="C4" s="194" t="s">
        <v>53</v>
      </c>
      <c r="D4" s="197" t="s">
        <v>99</v>
      </c>
      <c r="E4" s="197" t="s">
        <v>101</v>
      </c>
      <c r="F4" s="197" t="s">
        <v>100</v>
      </c>
      <c r="H4" s="200" t="s">
        <v>1</v>
      </c>
      <c r="I4" s="200"/>
      <c r="J4" s="200"/>
      <c r="K4" s="200"/>
      <c r="L4" s="200"/>
      <c r="M4" s="200"/>
      <c r="N4" s="200"/>
      <c r="O4" s="200"/>
      <c r="P4" s="200"/>
      <c r="Q4" s="200"/>
    </row>
    <row r="5" spans="1:18" ht="21" customHeight="1" x14ac:dyDescent="0.25">
      <c r="B5" s="195"/>
      <c r="C5" s="195"/>
      <c r="D5" s="198"/>
      <c r="E5" s="198"/>
      <c r="F5" s="198"/>
      <c r="H5" s="200" t="s">
        <v>93</v>
      </c>
      <c r="I5" s="200"/>
      <c r="J5" s="200"/>
      <c r="K5" s="200"/>
      <c r="L5" s="63"/>
      <c r="M5" s="200" t="s">
        <v>94</v>
      </c>
      <c r="N5" s="200"/>
      <c r="O5" s="200"/>
      <c r="P5" s="200"/>
      <c r="Q5" s="200"/>
    </row>
    <row r="6" spans="1:18" s="64" customFormat="1" ht="40.799999999999997" x14ac:dyDescent="0.25">
      <c r="B6" s="196"/>
      <c r="C6" s="196"/>
      <c r="D6" s="199"/>
      <c r="E6" s="199"/>
      <c r="F6" s="199"/>
      <c r="H6" s="86" t="s">
        <v>37</v>
      </c>
      <c r="I6" s="86" t="s">
        <v>38</v>
      </c>
      <c r="J6" s="86" t="s">
        <v>130</v>
      </c>
      <c r="K6" s="86" t="s">
        <v>39</v>
      </c>
      <c r="L6" s="65"/>
      <c r="M6" s="86" t="s">
        <v>37</v>
      </c>
      <c r="N6" s="86" t="s">
        <v>38</v>
      </c>
      <c r="O6" s="127" t="s">
        <v>130</v>
      </c>
      <c r="P6" s="86" t="s">
        <v>39</v>
      </c>
      <c r="Q6" s="86" t="s">
        <v>96</v>
      </c>
    </row>
    <row r="7" spans="1:18" s="67" customFormat="1" ht="15.75" customHeight="1" x14ac:dyDescent="0.25">
      <c r="A7" s="81" t="s">
        <v>109</v>
      </c>
      <c r="B7" s="66" t="s">
        <v>126</v>
      </c>
      <c r="C7" s="66"/>
      <c r="D7" s="101">
        <f>SUM(E7+F7)</f>
        <v>1314</v>
      </c>
      <c r="E7" s="101">
        <f>SUM(E8,E12,E13,E16,E20,E24,E25,E26)</f>
        <v>1044</v>
      </c>
      <c r="F7" s="89">
        <f>SUM(F8,F12,F13,F16,F20,F24,F25,F26)</f>
        <v>270</v>
      </c>
      <c r="G7" s="88"/>
      <c r="H7" s="89">
        <f t="shared" ref="H7:K7" si="0">SUM(H8,H12,H13,H16,H20,H24,H25,H26)</f>
        <v>156</v>
      </c>
      <c r="I7" s="89">
        <f t="shared" si="0"/>
        <v>680</v>
      </c>
      <c r="J7" s="89">
        <f t="shared" si="0"/>
        <v>184</v>
      </c>
      <c r="K7" s="89">
        <f t="shared" si="0"/>
        <v>24</v>
      </c>
      <c r="L7" s="88"/>
      <c r="M7" s="106">
        <f>IFERROR(H7/$E7*100,0)</f>
        <v>14.942528735632186</v>
      </c>
      <c r="N7" s="106">
        <f>IFERROR(I7/$E7*100,0)</f>
        <v>65.134099616858236</v>
      </c>
      <c r="O7" s="106">
        <f>IFERROR(J7/$E7*100,0)</f>
        <v>17.624521072796934</v>
      </c>
      <c r="P7" s="106">
        <f>IFERROR(K7/$E7*100,0)</f>
        <v>2.2988505747126435</v>
      </c>
      <c r="Q7" s="92">
        <f>IFERROR((H7+I7)/$E7*100,0)</f>
        <v>80.076628352490417</v>
      </c>
      <c r="R7" s="81" t="s">
        <v>106</v>
      </c>
    </row>
    <row r="8" spans="1:18" s="67" customFormat="1" ht="15.75" customHeight="1" x14ac:dyDescent="0.25">
      <c r="B8" s="68" t="s">
        <v>82</v>
      </c>
      <c r="C8" s="68"/>
      <c r="D8" s="102">
        <f>SUM(E8+F8)</f>
        <v>276</v>
      </c>
      <c r="E8" s="102">
        <f t="shared" ref="E8:E26" si="1">SUM(H8:K8)</f>
        <v>271</v>
      </c>
      <c r="F8" s="85">
        <f>SUM(F9:F11)</f>
        <v>5</v>
      </c>
      <c r="G8" s="88"/>
      <c r="H8" s="85">
        <f>SUM(H9:H11)</f>
        <v>52</v>
      </c>
      <c r="I8" s="85">
        <f t="shared" ref="I8:K8" si="2">SUM(I9:I11)</f>
        <v>153</v>
      </c>
      <c r="J8" s="85">
        <f t="shared" si="2"/>
        <v>61</v>
      </c>
      <c r="K8" s="85">
        <f t="shared" si="2"/>
        <v>5</v>
      </c>
      <c r="L8" s="88"/>
      <c r="M8" s="93">
        <f t="shared" ref="M8:M26" si="3">IFERROR(H8/$E8*100,0)</f>
        <v>19.188191881918819</v>
      </c>
      <c r="N8" s="93">
        <f t="shared" ref="N8:N26" si="4">IFERROR(I8/$E8*100,0)</f>
        <v>56.457564575645755</v>
      </c>
      <c r="O8" s="93">
        <f t="shared" ref="O8:O26" si="5">IFERROR(J8/$E8*100,0)</f>
        <v>22.509225092250922</v>
      </c>
      <c r="P8" s="93">
        <f t="shared" ref="P8:P26" si="6">IFERROR(K8/$E8*100,0)</f>
        <v>1.8450184501845017</v>
      </c>
      <c r="Q8" s="93">
        <f t="shared" ref="Q8:Q26" si="7">IFERROR((H8+I8)/$E8*100,0)</f>
        <v>75.645756457564573</v>
      </c>
    </row>
    <row r="9" spans="1:18" ht="15.75" customHeight="1" x14ac:dyDescent="0.25">
      <c r="A9" s="116" t="s">
        <v>81</v>
      </c>
      <c r="B9" s="69"/>
      <c r="C9" s="69" t="s">
        <v>81</v>
      </c>
      <c r="D9" s="103">
        <f t="shared" ref="D9:D26" si="8">SUM(E9+F9)</f>
        <v>191</v>
      </c>
      <c r="E9" s="103">
        <f>SUM(H9:K9)</f>
        <v>186</v>
      </c>
      <c r="F9" s="95">
        <f>IFERROR(GETPIVOTDATA("inspection number",'most recent pivots'!$A$3,"provider type",$A9,"Overall effectiveness",F$3),0)</f>
        <v>5</v>
      </c>
      <c r="G9" s="99"/>
      <c r="H9" s="95">
        <f>IFERROR(GETPIVOTDATA("inspection number",'most recent pivots'!$A$3,"provider type",$A9,"Overall effectiveness",H$3),0)</f>
        <v>25</v>
      </c>
      <c r="I9" s="95">
        <f>IFERROR(GETPIVOTDATA("inspection number",'most recent pivots'!$A$3,"provider type",$A9,"Overall effectiveness",I$3),0)</f>
        <v>110</v>
      </c>
      <c r="J9" s="95">
        <f>IFERROR(GETPIVOTDATA("inspection number",'most recent pivots'!$A$3,"provider type",$A9,"Overall effectiveness",J$3),0)</f>
        <v>48</v>
      </c>
      <c r="K9" s="95">
        <f>IFERROR(GETPIVOTDATA("inspection number",'most recent pivots'!$A$3,"provider type",$A9,"Overall effectiveness",K$3),0)</f>
        <v>3</v>
      </c>
      <c r="L9" s="99"/>
      <c r="M9" s="97">
        <f t="shared" si="3"/>
        <v>13.440860215053762</v>
      </c>
      <c r="N9" s="97">
        <f t="shared" si="4"/>
        <v>59.13978494623656</v>
      </c>
      <c r="O9" s="97">
        <f t="shared" si="5"/>
        <v>25.806451612903224</v>
      </c>
      <c r="P9" s="97">
        <f t="shared" si="6"/>
        <v>1.6129032258064515</v>
      </c>
      <c r="Q9" s="97">
        <f t="shared" si="7"/>
        <v>72.58064516129032</v>
      </c>
    </row>
    <row r="10" spans="1:18" ht="15.75" customHeight="1" x14ac:dyDescent="0.25">
      <c r="A10" s="116" t="s">
        <v>83</v>
      </c>
      <c r="B10" s="69"/>
      <c r="C10" s="69" t="s">
        <v>83</v>
      </c>
      <c r="D10" s="103">
        <f t="shared" si="8"/>
        <v>69</v>
      </c>
      <c r="E10" s="103">
        <f t="shared" si="1"/>
        <v>69</v>
      </c>
      <c r="F10" s="95">
        <f>IFERROR(GETPIVOTDATA("inspection number",'most recent pivots'!$A$3,"provider type",$A10,"Overall effectiveness",F$3),0)</f>
        <v>0</v>
      </c>
      <c r="G10" s="99"/>
      <c r="H10" s="95">
        <f>IFERROR(GETPIVOTDATA("inspection number",'most recent pivots'!$A$3,"provider type",$A10,"Overall effectiveness",H$3),0)</f>
        <v>25</v>
      </c>
      <c r="I10" s="95">
        <f>IFERROR(GETPIVOTDATA("inspection number",'most recent pivots'!$A$3,"provider type",$A10,"Overall effectiveness",I$3),0)</f>
        <v>32</v>
      </c>
      <c r="J10" s="95">
        <f>IFERROR(GETPIVOTDATA("inspection number",'most recent pivots'!$A$3,"provider type",$A10,"Overall effectiveness",J$3),0)</f>
        <v>11</v>
      </c>
      <c r="K10" s="95">
        <f>IFERROR(GETPIVOTDATA("inspection number",'most recent pivots'!$A$3,"provider type",$A10,"Overall effectiveness",K$3),0)</f>
        <v>1</v>
      </c>
      <c r="L10" s="99"/>
      <c r="M10" s="97">
        <f t="shared" si="3"/>
        <v>36.231884057971016</v>
      </c>
      <c r="N10" s="97">
        <f t="shared" si="4"/>
        <v>46.376811594202898</v>
      </c>
      <c r="O10" s="97">
        <f t="shared" si="5"/>
        <v>15.942028985507244</v>
      </c>
      <c r="P10" s="97">
        <f t="shared" si="6"/>
        <v>1.4492753623188406</v>
      </c>
      <c r="Q10" s="97">
        <f t="shared" si="7"/>
        <v>82.608695652173907</v>
      </c>
    </row>
    <row r="11" spans="1:18" ht="15.75" customHeight="1" x14ac:dyDescent="0.25">
      <c r="A11" s="116" t="s">
        <v>87</v>
      </c>
      <c r="B11" s="69"/>
      <c r="C11" s="69" t="s">
        <v>87</v>
      </c>
      <c r="D11" s="103">
        <f t="shared" si="8"/>
        <v>16</v>
      </c>
      <c r="E11" s="103">
        <f t="shared" si="1"/>
        <v>16</v>
      </c>
      <c r="F11" s="95">
        <f>IFERROR(GETPIVOTDATA("inspection number",'most recent pivots'!$A$3,"provider type",$A11,"Overall effectiveness",F$3),0)</f>
        <v>0</v>
      </c>
      <c r="G11" s="99"/>
      <c r="H11" s="95">
        <f>IFERROR(GETPIVOTDATA("inspection number",'most recent pivots'!$A$3,"provider type",$A11,"Overall effectiveness",H$3),0)</f>
        <v>2</v>
      </c>
      <c r="I11" s="95">
        <f>IFERROR(GETPIVOTDATA("inspection number",'most recent pivots'!$A$3,"provider type",$A11,"Overall effectiveness",I$3),0)</f>
        <v>11</v>
      </c>
      <c r="J11" s="95">
        <f>IFERROR(GETPIVOTDATA("inspection number",'most recent pivots'!$A$3,"provider type",$A11,"Overall effectiveness",J$3),0)</f>
        <v>2</v>
      </c>
      <c r="K11" s="95">
        <f>IFERROR(GETPIVOTDATA("inspection number",'most recent pivots'!$A$3,"provider type",$A11,"Overall effectiveness",K$3),0)</f>
        <v>1</v>
      </c>
      <c r="L11" s="99"/>
      <c r="M11" s="107">
        <f t="shared" si="3"/>
        <v>12.5</v>
      </c>
      <c r="N11" s="107">
        <f t="shared" si="4"/>
        <v>68.75</v>
      </c>
      <c r="O11" s="107">
        <f t="shared" si="5"/>
        <v>12.5</v>
      </c>
      <c r="P11" s="107">
        <f t="shared" si="6"/>
        <v>6.25</v>
      </c>
      <c r="Q11" s="107">
        <f t="shared" si="7"/>
        <v>81.25</v>
      </c>
    </row>
    <row r="12" spans="1:18" s="67" customFormat="1" ht="15.75" customHeight="1" x14ac:dyDescent="0.25">
      <c r="A12" s="82" t="s">
        <v>70</v>
      </c>
      <c r="B12" s="70" t="s">
        <v>71</v>
      </c>
      <c r="C12" s="70"/>
      <c r="D12" s="104">
        <f t="shared" si="8"/>
        <v>81</v>
      </c>
      <c r="E12" s="104">
        <f t="shared" si="1"/>
        <v>60</v>
      </c>
      <c r="F12" s="98">
        <f>IFERROR(GETPIVOTDATA("inspection number",'most recent pivots'!$A$3,"provider type",$A12,"Overall effectiveness",F$3),0)</f>
        <v>21</v>
      </c>
      <c r="G12" s="88"/>
      <c r="H12" s="98">
        <f>IFERROR(GETPIVOTDATA("inspection number",'most recent pivots'!$A$3,"provider type",$A12,"Overall effectiveness",H$3),0)</f>
        <v>5</v>
      </c>
      <c r="I12" s="98">
        <f>IFERROR(GETPIVOTDATA("inspection number",'most recent pivots'!$A$3,"provider type",$A12,"Overall effectiveness",I$3),0)</f>
        <v>45</v>
      </c>
      <c r="J12" s="98">
        <f>IFERROR(GETPIVOTDATA("inspection number",'most recent pivots'!$A$3,"provider type",$A12,"Overall effectiveness",J$3),0)</f>
        <v>10</v>
      </c>
      <c r="K12" s="98">
        <f>IFERROR(GETPIVOTDATA("inspection number",'most recent pivots'!$A$3,"provider type",$A12,"Overall effectiveness",K$3),0)</f>
        <v>0</v>
      </c>
      <c r="L12" s="88"/>
      <c r="M12" s="100">
        <f t="shared" si="3"/>
        <v>8.3333333333333321</v>
      </c>
      <c r="N12" s="100">
        <f t="shared" si="4"/>
        <v>75</v>
      </c>
      <c r="O12" s="100">
        <f t="shared" si="5"/>
        <v>16.666666666666664</v>
      </c>
      <c r="P12" s="100">
        <f t="shared" si="6"/>
        <v>0</v>
      </c>
      <c r="Q12" s="100">
        <f t="shared" si="7"/>
        <v>83.333333333333343</v>
      </c>
      <c r="R12" s="82" t="s">
        <v>70</v>
      </c>
    </row>
    <row r="13" spans="1:18" s="67" customFormat="1" ht="15.75" customHeight="1" x14ac:dyDescent="0.25">
      <c r="B13" s="68" t="s">
        <v>79</v>
      </c>
      <c r="C13" s="68"/>
      <c r="D13" s="102">
        <f t="shared" si="8"/>
        <v>593</v>
      </c>
      <c r="E13" s="102">
        <f t="shared" si="1"/>
        <v>395</v>
      </c>
      <c r="F13" s="85">
        <f>SUM(F14:F15)</f>
        <v>198</v>
      </c>
      <c r="G13" s="88"/>
      <c r="H13" s="85">
        <f t="shared" ref="H13:K13" si="9">SUM(H14:H15)</f>
        <v>47</v>
      </c>
      <c r="I13" s="85">
        <f t="shared" si="9"/>
        <v>269</v>
      </c>
      <c r="J13" s="85">
        <f t="shared" si="9"/>
        <v>63</v>
      </c>
      <c r="K13" s="85">
        <f t="shared" si="9"/>
        <v>16</v>
      </c>
      <c r="L13" s="88"/>
      <c r="M13" s="93">
        <f t="shared" si="3"/>
        <v>11.898734177215189</v>
      </c>
      <c r="N13" s="93">
        <f t="shared" si="4"/>
        <v>68.101265822784811</v>
      </c>
      <c r="O13" s="93">
        <f t="shared" si="5"/>
        <v>15.949367088607595</v>
      </c>
      <c r="P13" s="93">
        <f t="shared" si="6"/>
        <v>4.0506329113924053</v>
      </c>
      <c r="Q13" s="93">
        <f t="shared" si="7"/>
        <v>80</v>
      </c>
      <c r="R13" s="83"/>
    </row>
    <row r="14" spans="1:18" ht="15.75" customHeight="1" x14ac:dyDescent="0.25">
      <c r="A14" s="116" t="s">
        <v>78</v>
      </c>
      <c r="B14" s="71"/>
      <c r="C14" s="69" t="s">
        <v>78</v>
      </c>
      <c r="D14" s="103">
        <f t="shared" si="8"/>
        <v>527</v>
      </c>
      <c r="E14" s="103">
        <f t="shared" si="1"/>
        <v>341</v>
      </c>
      <c r="F14" s="95">
        <f>SUM(IFERROR(GETPIVOTDATA("inspection number",'most recent pivots'!$A$3,"provider type",$A14,"Overall effectiveness",F$3),0))+SUM(IFERROR(GETPIVOTDATA("inspection number",'most recent pivots'!$A$3,"provider type",$A14,"Overall effectiveness",F$2),0))</f>
        <v>186</v>
      </c>
      <c r="G14" s="99"/>
      <c r="H14" s="95">
        <f>IFERROR(GETPIVOTDATA("inspection number",'most recent pivots'!$A$3,"provider type",$A14,"Overall effectiveness",H$3),0)</f>
        <v>34</v>
      </c>
      <c r="I14" s="95">
        <f>IFERROR(GETPIVOTDATA("inspection number",'most recent pivots'!$A$3,"provider type",$A14,"Overall effectiveness",I$3),0)</f>
        <v>241</v>
      </c>
      <c r="J14" s="95">
        <f>IFERROR(GETPIVOTDATA("inspection number",'most recent pivots'!$A$3,"provider type",$A14,"Overall effectiveness",J$3),0)</f>
        <v>52</v>
      </c>
      <c r="K14" s="95">
        <f>IFERROR(GETPIVOTDATA("inspection number",'most recent pivots'!$A$3,"provider type",$A14,"Overall effectiveness",K$3),0)</f>
        <v>14</v>
      </c>
      <c r="L14" s="99"/>
      <c r="M14" s="108">
        <f t="shared" si="3"/>
        <v>9.9706744868035191</v>
      </c>
      <c r="N14" s="108">
        <f t="shared" si="4"/>
        <v>70.674486803519059</v>
      </c>
      <c r="O14" s="108">
        <f t="shared" si="5"/>
        <v>15.249266862170089</v>
      </c>
      <c r="P14" s="108">
        <f t="shared" si="6"/>
        <v>4.1055718475073313</v>
      </c>
      <c r="Q14" s="108">
        <f t="shared" si="7"/>
        <v>80.645161290322577</v>
      </c>
      <c r="R14" s="84"/>
    </row>
    <row r="15" spans="1:18" ht="15.75" customHeight="1" x14ac:dyDescent="0.25">
      <c r="A15" s="116" t="s">
        <v>80</v>
      </c>
      <c r="B15" s="71"/>
      <c r="C15" s="69" t="s">
        <v>80</v>
      </c>
      <c r="D15" s="103">
        <f t="shared" si="8"/>
        <v>66</v>
      </c>
      <c r="E15" s="103">
        <f t="shared" si="1"/>
        <v>54</v>
      </c>
      <c r="F15" s="95">
        <f>IFERROR(GETPIVOTDATA("inspection number",'most recent pivots'!$A$3,"provider type",$A15,"Overall effectiveness",F$3),0)</f>
        <v>12</v>
      </c>
      <c r="G15" s="99"/>
      <c r="H15" s="95">
        <f>IFERROR(GETPIVOTDATA("inspection number",'most recent pivots'!$A$3,"provider type",$A15,"Overall effectiveness",H$3),0)</f>
        <v>13</v>
      </c>
      <c r="I15" s="95">
        <f>IFERROR(GETPIVOTDATA("inspection number",'most recent pivots'!$A$3,"provider type",$A15,"Overall effectiveness",I$3),0)</f>
        <v>28</v>
      </c>
      <c r="J15" s="95">
        <f>IFERROR(GETPIVOTDATA("inspection number",'most recent pivots'!$A$3,"provider type",$A15,"Overall effectiveness",J$3),0)</f>
        <v>11</v>
      </c>
      <c r="K15" s="95">
        <f>IFERROR(GETPIVOTDATA("inspection number",'most recent pivots'!$A$3,"provider type",$A15,"Overall effectiveness",K$3),0)</f>
        <v>2</v>
      </c>
      <c r="L15" s="99"/>
      <c r="M15" s="108">
        <f t="shared" si="3"/>
        <v>24.074074074074073</v>
      </c>
      <c r="N15" s="108">
        <f t="shared" si="4"/>
        <v>51.851851851851848</v>
      </c>
      <c r="O15" s="108">
        <f t="shared" si="5"/>
        <v>20.37037037037037</v>
      </c>
      <c r="P15" s="108">
        <f t="shared" si="6"/>
        <v>3.7037037037037033</v>
      </c>
      <c r="Q15" s="108">
        <f t="shared" si="7"/>
        <v>75.925925925925924</v>
      </c>
      <c r="R15" s="84"/>
    </row>
    <row r="16" spans="1:18" s="67" customFormat="1" ht="15.75" customHeight="1" x14ac:dyDescent="0.25">
      <c r="B16" s="68" t="s">
        <v>76</v>
      </c>
      <c r="C16" s="68"/>
      <c r="D16" s="102">
        <f t="shared" si="8"/>
        <v>226</v>
      </c>
      <c r="E16" s="102">
        <f t="shared" si="1"/>
        <v>225</v>
      </c>
      <c r="F16" s="85">
        <f>SUM(F17:F19)</f>
        <v>1</v>
      </c>
      <c r="G16" s="88"/>
      <c r="H16" s="85">
        <f t="shared" ref="H16:J16" si="10">SUM(H17:H19)</f>
        <v>14</v>
      </c>
      <c r="I16" s="85">
        <f t="shared" si="10"/>
        <v>170</v>
      </c>
      <c r="J16" s="85">
        <f t="shared" si="10"/>
        <v>38</v>
      </c>
      <c r="K16" s="85">
        <f>SUM(K17:K19)</f>
        <v>3</v>
      </c>
      <c r="L16" s="88"/>
      <c r="M16" s="93">
        <f t="shared" si="3"/>
        <v>6.2222222222222223</v>
      </c>
      <c r="N16" s="93">
        <f t="shared" si="4"/>
        <v>75.555555555555557</v>
      </c>
      <c r="O16" s="93">
        <f t="shared" si="5"/>
        <v>16.888888888888889</v>
      </c>
      <c r="P16" s="93">
        <f t="shared" si="6"/>
        <v>1.3333333333333335</v>
      </c>
      <c r="Q16" s="93">
        <f t="shared" si="7"/>
        <v>81.777777777777786</v>
      </c>
      <c r="R16" s="83"/>
    </row>
    <row r="17" spans="1:18" ht="15.75" customHeight="1" x14ac:dyDescent="0.25">
      <c r="A17" s="115" t="s">
        <v>75</v>
      </c>
      <c r="B17" s="71"/>
      <c r="C17" s="69" t="s">
        <v>75</v>
      </c>
      <c r="D17" s="103">
        <f t="shared" si="8"/>
        <v>138</v>
      </c>
      <c r="E17" s="103">
        <f t="shared" si="1"/>
        <v>137</v>
      </c>
      <c r="F17" s="95">
        <f>IFERROR(GETPIVOTDATA("inspection number",'most recent pivots'!$A$3,"provider type",$A17,"Overall effectiveness",F$3),0)</f>
        <v>1</v>
      </c>
      <c r="G17" s="99"/>
      <c r="H17" s="95">
        <f>IFERROR(GETPIVOTDATA("inspection number",'most recent pivots'!$A$3,"provider type",$A17,"Overall effectiveness",H$3),0)</f>
        <v>3</v>
      </c>
      <c r="I17" s="95">
        <f>IFERROR(GETPIVOTDATA("inspection number",'most recent pivots'!$A$3,"provider type",$A17,"Overall effectiveness",I$3),0)</f>
        <v>105</v>
      </c>
      <c r="J17" s="95">
        <f>IFERROR(GETPIVOTDATA("inspection number",'most recent pivots'!$A$3,"provider type",$A17,"Overall effectiveness",J$3),0)</f>
        <v>27</v>
      </c>
      <c r="K17" s="95">
        <f>IFERROR(GETPIVOTDATA("inspection number",'most recent pivots'!$A$3,"provider type",$A17,"Overall effectiveness",K$3),0)</f>
        <v>2</v>
      </c>
      <c r="L17" s="99"/>
      <c r="M17" s="108">
        <f t="shared" si="3"/>
        <v>2.1897810218978102</v>
      </c>
      <c r="N17" s="108">
        <f t="shared" si="4"/>
        <v>76.642335766423358</v>
      </c>
      <c r="O17" s="108">
        <f t="shared" si="5"/>
        <v>19.708029197080293</v>
      </c>
      <c r="P17" s="108">
        <f t="shared" si="6"/>
        <v>1.4598540145985401</v>
      </c>
      <c r="Q17" s="108">
        <f t="shared" si="7"/>
        <v>78.832116788321173</v>
      </c>
      <c r="R17" s="84"/>
    </row>
    <row r="18" spans="1:18" ht="15.75" customHeight="1" x14ac:dyDescent="0.25">
      <c r="A18" s="115" t="s">
        <v>77</v>
      </c>
      <c r="B18" s="71"/>
      <c r="C18" s="69" t="s">
        <v>77</v>
      </c>
      <c r="D18" s="103">
        <f t="shared" si="8"/>
        <v>77</v>
      </c>
      <c r="E18" s="103">
        <f t="shared" si="1"/>
        <v>77</v>
      </c>
      <c r="F18" s="95">
        <f>IFERROR(GETPIVOTDATA("inspection number",'most recent pivots'!$A$3,"provider type",$A18,"Overall effectiveness",F$3),0)</f>
        <v>0</v>
      </c>
      <c r="G18" s="99"/>
      <c r="H18" s="95">
        <f>IFERROR(GETPIVOTDATA("inspection number",'most recent pivots'!$A$3,"provider type",$A18,"Overall effectiveness",H$3),0)</f>
        <v>8</v>
      </c>
      <c r="I18" s="95">
        <f>IFERROR(GETPIVOTDATA("inspection number",'most recent pivots'!$A$3,"provider type",$A18,"Overall effectiveness",I$3),0)</f>
        <v>57</v>
      </c>
      <c r="J18" s="95">
        <f>IFERROR(GETPIVOTDATA("inspection number",'most recent pivots'!$A$3,"provider type",$A18,"Overall effectiveness",J$3),0)</f>
        <v>11</v>
      </c>
      <c r="K18" s="95">
        <f>IFERROR(GETPIVOTDATA("inspection number",'most recent pivots'!$A$3,"provider type",$A18,"Overall effectiveness",K$3),0)</f>
        <v>1</v>
      </c>
      <c r="L18" s="99"/>
      <c r="M18" s="108">
        <f t="shared" si="3"/>
        <v>10.38961038961039</v>
      </c>
      <c r="N18" s="108">
        <f t="shared" si="4"/>
        <v>74.025974025974023</v>
      </c>
      <c r="O18" s="108">
        <f t="shared" si="5"/>
        <v>14.285714285714285</v>
      </c>
      <c r="P18" s="108">
        <f t="shared" si="6"/>
        <v>1.2987012987012987</v>
      </c>
      <c r="Q18" s="108">
        <f t="shared" si="7"/>
        <v>84.415584415584405</v>
      </c>
      <c r="R18" s="84"/>
    </row>
    <row r="19" spans="1:18" ht="15.75" customHeight="1" x14ac:dyDescent="0.25">
      <c r="A19" s="115" t="s">
        <v>84</v>
      </c>
      <c r="B19" s="71"/>
      <c r="C19" s="69" t="s">
        <v>84</v>
      </c>
      <c r="D19" s="103">
        <f t="shared" si="8"/>
        <v>11</v>
      </c>
      <c r="E19" s="103">
        <f t="shared" si="1"/>
        <v>11</v>
      </c>
      <c r="F19" s="95">
        <f>IFERROR(GETPIVOTDATA("inspection number",'most recent pivots'!$A$3,"provider type",$A19,"Overall effectiveness",F$3),0)</f>
        <v>0</v>
      </c>
      <c r="G19" s="99"/>
      <c r="H19" s="95">
        <f>IFERROR(GETPIVOTDATA("inspection number",'most recent pivots'!$A$3,"provider type",$A19,"Overall effectiveness",H$3),0)</f>
        <v>3</v>
      </c>
      <c r="I19" s="95">
        <f>IFERROR(GETPIVOTDATA("inspection number",'most recent pivots'!$A$3,"provider type",$A19,"Overall effectiveness",I$3),0)</f>
        <v>8</v>
      </c>
      <c r="J19" s="95">
        <f>IFERROR(GETPIVOTDATA("inspection number",'most recent pivots'!$A$3,"provider type",$A19,"Overall effectiveness",J$3),0)</f>
        <v>0</v>
      </c>
      <c r="K19" s="95">
        <f>IFERROR(GETPIVOTDATA("inspection number",'most recent pivots'!$A$3,"provider type",$A19,"Overall effectiveness",K$3),0)</f>
        <v>0</v>
      </c>
      <c r="L19" s="99"/>
      <c r="M19" s="108">
        <f t="shared" si="3"/>
        <v>27.27272727272727</v>
      </c>
      <c r="N19" s="108">
        <f t="shared" si="4"/>
        <v>72.727272727272734</v>
      </c>
      <c r="O19" s="108">
        <f t="shared" si="5"/>
        <v>0</v>
      </c>
      <c r="P19" s="108">
        <f t="shared" si="6"/>
        <v>0</v>
      </c>
      <c r="Q19" s="108">
        <f t="shared" si="7"/>
        <v>100</v>
      </c>
      <c r="R19" s="84"/>
    </row>
    <row r="20" spans="1:18" s="67" customFormat="1" ht="15.75" customHeight="1" x14ac:dyDescent="0.25">
      <c r="B20" s="68" t="s">
        <v>74</v>
      </c>
      <c r="C20" s="68"/>
      <c r="D20" s="102">
        <f t="shared" si="8"/>
        <v>43</v>
      </c>
      <c r="E20" s="102">
        <f t="shared" si="1"/>
        <v>34</v>
      </c>
      <c r="F20" s="85">
        <f>SUM(F21:F23)</f>
        <v>9</v>
      </c>
      <c r="G20" s="88"/>
      <c r="H20" s="85">
        <f t="shared" ref="H20:K20" si="11">SUM(H21:H23)</f>
        <v>14</v>
      </c>
      <c r="I20" s="85">
        <f t="shared" si="11"/>
        <v>13</v>
      </c>
      <c r="J20" s="85">
        <f t="shared" si="11"/>
        <v>7</v>
      </c>
      <c r="K20" s="85">
        <f t="shared" si="11"/>
        <v>0</v>
      </c>
      <c r="L20" s="88"/>
      <c r="M20" s="93">
        <f t="shared" si="3"/>
        <v>41.17647058823529</v>
      </c>
      <c r="N20" s="93">
        <f t="shared" si="4"/>
        <v>38.235294117647058</v>
      </c>
      <c r="O20" s="93">
        <f t="shared" si="5"/>
        <v>20.588235294117645</v>
      </c>
      <c r="P20" s="93">
        <f t="shared" si="6"/>
        <v>0</v>
      </c>
      <c r="Q20" s="93">
        <f t="shared" si="7"/>
        <v>79.411764705882348</v>
      </c>
      <c r="R20" s="82"/>
    </row>
    <row r="21" spans="1:18" s="67" customFormat="1" ht="15.75" customHeight="1" x14ac:dyDescent="0.25">
      <c r="A21" s="115" t="s">
        <v>88</v>
      </c>
      <c r="B21" s="71"/>
      <c r="C21" s="69" t="s">
        <v>88</v>
      </c>
      <c r="D21" s="103">
        <f t="shared" si="8"/>
        <v>21</v>
      </c>
      <c r="E21" s="103">
        <f t="shared" si="1"/>
        <v>18</v>
      </c>
      <c r="F21" s="95">
        <f>IFERROR(GETPIVOTDATA("inspection number",'most recent pivots'!$A$3,"provider type",$A21,"Overall effectiveness",F$3),0)</f>
        <v>3</v>
      </c>
      <c r="G21" s="99"/>
      <c r="H21" s="95">
        <f>IFERROR(GETPIVOTDATA("inspection number",'most recent pivots'!$A$3,"provider type",$A21,"Overall effectiveness",H$3),0)</f>
        <v>7</v>
      </c>
      <c r="I21" s="95">
        <f>IFERROR(GETPIVOTDATA("inspection number",'most recent pivots'!$A$3,"provider type",$A21,"Overall effectiveness",I$3),0)</f>
        <v>9</v>
      </c>
      <c r="J21" s="95">
        <f>IFERROR(GETPIVOTDATA("inspection number",'most recent pivots'!$A$3,"provider type",$A21,"Overall effectiveness",J$3),0)</f>
        <v>2</v>
      </c>
      <c r="K21" s="95">
        <f>IFERROR(GETPIVOTDATA("inspection number",'most recent pivots'!$A$3,"provider type",$A21,"Overall effectiveness",K$3),0)</f>
        <v>0</v>
      </c>
      <c r="L21" s="99"/>
      <c r="M21" s="108">
        <f t="shared" si="3"/>
        <v>38.888888888888893</v>
      </c>
      <c r="N21" s="108">
        <f t="shared" si="4"/>
        <v>50</v>
      </c>
      <c r="O21" s="108">
        <f t="shared" si="5"/>
        <v>11.111111111111111</v>
      </c>
      <c r="P21" s="108">
        <f t="shared" si="6"/>
        <v>0</v>
      </c>
      <c r="Q21" s="108">
        <f t="shared" si="7"/>
        <v>88.888888888888886</v>
      </c>
      <c r="R21" s="84"/>
    </row>
    <row r="22" spans="1:18" s="67" customFormat="1" ht="15.75" customHeight="1" x14ac:dyDescent="0.25">
      <c r="A22" s="115" t="s">
        <v>73</v>
      </c>
      <c r="B22" s="71"/>
      <c r="C22" s="69" t="s">
        <v>73</v>
      </c>
      <c r="D22" s="103">
        <f t="shared" si="8"/>
        <v>21</v>
      </c>
      <c r="E22" s="103">
        <f t="shared" si="1"/>
        <v>15</v>
      </c>
      <c r="F22" s="95">
        <f>IFERROR(GETPIVOTDATA("inspection number",'most recent pivots'!$A$3,"provider type",$A22,"Overall effectiveness",F$3),0)</f>
        <v>6</v>
      </c>
      <c r="G22" s="99"/>
      <c r="H22" s="95">
        <f>IFERROR(GETPIVOTDATA("inspection number",'most recent pivots'!$A$3,"provider type",$A22,"Overall effectiveness",H$3),0)</f>
        <v>7</v>
      </c>
      <c r="I22" s="95">
        <f>IFERROR(GETPIVOTDATA("inspection number",'most recent pivots'!$A$3,"provider type",$A22,"Overall effectiveness",I$3),0)</f>
        <v>4</v>
      </c>
      <c r="J22" s="95">
        <f>IFERROR(GETPIVOTDATA("inspection number",'most recent pivots'!$A$3,"provider type",$A22,"Overall effectiveness",J$3),0)</f>
        <v>4</v>
      </c>
      <c r="K22" s="95">
        <f>IFERROR(GETPIVOTDATA("inspection number",'most recent pivots'!$A$3,"provider type",$A22,"Overall effectiveness",K$3),0)</f>
        <v>0</v>
      </c>
      <c r="L22" s="99"/>
      <c r="M22" s="108">
        <f t="shared" si="3"/>
        <v>46.666666666666664</v>
      </c>
      <c r="N22" s="108">
        <f t="shared" si="4"/>
        <v>26.666666666666668</v>
      </c>
      <c r="O22" s="108">
        <f t="shared" si="5"/>
        <v>26.666666666666668</v>
      </c>
      <c r="P22" s="108">
        <f t="shared" si="6"/>
        <v>0</v>
      </c>
      <c r="Q22" s="108">
        <f t="shared" si="7"/>
        <v>73.333333333333329</v>
      </c>
      <c r="R22" s="84"/>
    </row>
    <row r="23" spans="1:18" s="67" customFormat="1" ht="15.75" customHeight="1" x14ac:dyDescent="0.25">
      <c r="A23" s="115" t="s">
        <v>89</v>
      </c>
      <c r="B23" s="71"/>
      <c r="C23" s="69" t="s">
        <v>89</v>
      </c>
      <c r="D23" s="103">
        <f t="shared" si="8"/>
        <v>1</v>
      </c>
      <c r="E23" s="103">
        <f t="shared" si="1"/>
        <v>1</v>
      </c>
      <c r="F23" s="95">
        <f>IFERROR(GETPIVOTDATA("inspection number",'most recent pivots'!$A$3,"provider type",$A23,"Overall effectiveness",F$3),0)</f>
        <v>0</v>
      </c>
      <c r="G23" s="99"/>
      <c r="H23" s="95">
        <f>IFERROR(GETPIVOTDATA("inspection number",'most recent pivots'!$A$3,"provider type",$A23,"Overall effectiveness",H$3),0)</f>
        <v>0</v>
      </c>
      <c r="I23" s="95">
        <f>IFERROR(GETPIVOTDATA("inspection number",'most recent pivots'!$A$3,"provider type",$A23,"Overall effectiveness",I$3),0)</f>
        <v>0</v>
      </c>
      <c r="J23" s="95">
        <f>IFERROR(GETPIVOTDATA("inspection number",'most recent pivots'!$A$3,"provider type",$A23,"Overall effectiveness",J$3),0)</f>
        <v>1</v>
      </c>
      <c r="K23" s="95">
        <f>IFERROR(GETPIVOTDATA("inspection number",'most recent pivots'!$A$3,"provider type",$A23,"Overall effectiveness",K$3),0)</f>
        <v>0</v>
      </c>
      <c r="L23" s="99"/>
      <c r="M23" s="108">
        <f t="shared" si="3"/>
        <v>0</v>
      </c>
      <c r="N23" s="108">
        <f t="shared" si="4"/>
        <v>0</v>
      </c>
      <c r="O23" s="108">
        <f t="shared" si="5"/>
        <v>100</v>
      </c>
      <c r="P23" s="108">
        <f t="shared" si="6"/>
        <v>0</v>
      </c>
      <c r="Q23" s="108">
        <f t="shared" si="7"/>
        <v>0</v>
      </c>
      <c r="R23" s="84"/>
    </row>
    <row r="24" spans="1:18" ht="15.75" customHeight="1" x14ac:dyDescent="0.25">
      <c r="A24" s="115" t="s">
        <v>85</v>
      </c>
      <c r="B24" s="70" t="s">
        <v>128</v>
      </c>
      <c r="C24" s="70"/>
      <c r="D24" s="104">
        <f t="shared" si="8"/>
        <v>20</v>
      </c>
      <c r="E24" s="104">
        <f t="shared" si="1"/>
        <v>18</v>
      </c>
      <c r="F24" s="98">
        <f>IFERROR(GETPIVOTDATA("inspection number",'most recent pivots'!$A$3,"provider type",$A24,"Overall effectiveness",F$2),0)</f>
        <v>2</v>
      </c>
      <c r="G24" s="88"/>
      <c r="H24" s="98">
        <f>IFERROR(GETPIVOTDATA("inspection number",'most recent pivots'!$A$3,"provider type",$A24,"Overall effectiveness",H$3),0)</f>
        <v>14</v>
      </c>
      <c r="I24" s="98">
        <f>IFERROR(GETPIVOTDATA("inspection number",'most recent pivots'!$A$3,"provider type",$A24,"Overall effectiveness",I$3),0)</f>
        <v>3</v>
      </c>
      <c r="J24" s="98">
        <f>IFERROR(GETPIVOTDATA("inspection number",'most recent pivots'!$A$3,"provider type",$A24,"Overall effectiveness",J$3),0)</f>
        <v>1</v>
      </c>
      <c r="K24" s="98">
        <f>IFERROR(GETPIVOTDATA("inspection number",'most recent pivots'!$A$3,"provider type",$A24,"Overall effectiveness",K$3),0)</f>
        <v>0</v>
      </c>
      <c r="L24" s="88"/>
      <c r="M24" s="100">
        <f t="shared" si="3"/>
        <v>77.777777777777786</v>
      </c>
      <c r="N24" s="100">
        <f t="shared" si="4"/>
        <v>16.666666666666664</v>
      </c>
      <c r="O24" s="100">
        <f t="shared" si="5"/>
        <v>5.5555555555555554</v>
      </c>
      <c r="P24" s="100">
        <f t="shared" si="6"/>
        <v>0</v>
      </c>
      <c r="Q24" s="100">
        <f t="shared" si="7"/>
        <v>94.444444444444443</v>
      </c>
      <c r="R24" s="82" t="s">
        <v>85</v>
      </c>
    </row>
    <row r="25" spans="1:18" ht="15.75" customHeight="1" x14ac:dyDescent="0.25">
      <c r="A25" s="115" t="s">
        <v>69</v>
      </c>
      <c r="B25" s="70" t="s">
        <v>129</v>
      </c>
      <c r="C25" s="70"/>
      <c r="D25" s="104">
        <f t="shared" si="8"/>
        <v>61</v>
      </c>
      <c r="E25" s="104">
        <f t="shared" si="1"/>
        <v>27</v>
      </c>
      <c r="F25" s="98">
        <f>IFERROR(GETPIVOTDATA("inspection number",'most recent pivots'!$A$3,"provider type",$A25,"Overall effectiveness",F$3),0)</f>
        <v>34</v>
      </c>
      <c r="G25" s="88"/>
      <c r="H25" s="98">
        <f>IFERROR(GETPIVOTDATA("inspection number",'most recent pivots'!$A$3,"provider type",$A25,"Overall effectiveness",H$3),0)</f>
        <v>8</v>
      </c>
      <c r="I25" s="98">
        <f>IFERROR(GETPIVOTDATA("inspection number",'most recent pivots'!$A$3,"provider type",$A25,"Overall effectiveness",I$3),0)</f>
        <v>15</v>
      </c>
      <c r="J25" s="98">
        <f>IFERROR(GETPIVOTDATA("inspection number",'most recent pivots'!$A$3,"provider type",$A25,"Overall effectiveness",J$3),0)</f>
        <v>4</v>
      </c>
      <c r="K25" s="98">
        <f>IFERROR(GETPIVOTDATA("inspection number",'most recent pivots'!$A$3,"provider type",$A25,"Overall effectiveness",K$3),0)</f>
        <v>0</v>
      </c>
      <c r="L25" s="88"/>
      <c r="M25" s="100">
        <f t="shared" si="3"/>
        <v>29.629629629629626</v>
      </c>
      <c r="N25" s="100">
        <f t="shared" si="4"/>
        <v>55.555555555555557</v>
      </c>
      <c r="O25" s="100">
        <f t="shared" si="5"/>
        <v>14.814814814814813</v>
      </c>
      <c r="P25" s="100">
        <f t="shared" si="6"/>
        <v>0</v>
      </c>
      <c r="Q25" s="100">
        <f t="shared" si="7"/>
        <v>85.18518518518519</v>
      </c>
      <c r="R25" s="82" t="s">
        <v>69</v>
      </c>
    </row>
    <row r="26" spans="1:18" ht="15.75" customHeight="1" x14ac:dyDescent="0.25">
      <c r="A26" s="115" t="s">
        <v>90</v>
      </c>
      <c r="B26" s="72" t="s">
        <v>91</v>
      </c>
      <c r="C26" s="72"/>
      <c r="D26" s="105">
        <f t="shared" si="8"/>
        <v>14</v>
      </c>
      <c r="E26" s="105">
        <f t="shared" si="1"/>
        <v>14</v>
      </c>
      <c r="F26" s="90">
        <f>IFERROR(GETPIVOTDATA("inspection number",'most recent pivots'!$A$3,"provider type",$A26,"Overall effectiveness",F$3),0)</f>
        <v>0</v>
      </c>
      <c r="G26" s="88"/>
      <c r="H26" s="90">
        <f>IFERROR(GETPIVOTDATA("inspection number",'most recent pivots'!$A$3,"provider type",$A26,"Overall effectiveness",H$3),0)</f>
        <v>2</v>
      </c>
      <c r="I26" s="90">
        <f>IFERROR(GETPIVOTDATA("inspection number",'most recent pivots'!$A$3,"provider type",$A26,"Overall effectiveness",I$3),0)</f>
        <v>12</v>
      </c>
      <c r="J26" s="90">
        <f>IFERROR(GETPIVOTDATA("inspection number",'most recent pivots'!$A$3,"provider type",$A26,"Overall effectiveness",J$3),0)</f>
        <v>0</v>
      </c>
      <c r="K26" s="90">
        <f>IFERROR(GETPIVOTDATA("inspection number",'most recent pivots'!$A$3,"provider type",$A26,"Overall effectiveness",K$3),0)</f>
        <v>0</v>
      </c>
      <c r="L26" s="88"/>
      <c r="M26" s="109">
        <f t="shared" si="3"/>
        <v>14.285714285714285</v>
      </c>
      <c r="N26" s="109">
        <f t="shared" si="4"/>
        <v>85.714285714285708</v>
      </c>
      <c r="O26" s="109">
        <f t="shared" si="5"/>
        <v>0</v>
      </c>
      <c r="P26" s="109">
        <f t="shared" si="6"/>
        <v>0</v>
      </c>
      <c r="Q26" s="109">
        <f t="shared" si="7"/>
        <v>100</v>
      </c>
      <c r="R26" s="82" t="s">
        <v>90</v>
      </c>
    </row>
    <row r="27" spans="1:18" x14ac:dyDescent="0.25">
      <c r="Q27" s="74" t="s">
        <v>97</v>
      </c>
    </row>
    <row r="28" spans="1:18" x14ac:dyDescent="0.25">
      <c r="B28" s="110" t="s">
        <v>127</v>
      </c>
    </row>
    <row r="29" spans="1:18" x14ac:dyDescent="0.25">
      <c r="B29" s="110" t="s">
        <v>134</v>
      </c>
    </row>
    <row r="30" spans="1:18" x14ac:dyDescent="0.25">
      <c r="B30" s="110" t="s">
        <v>131</v>
      </c>
    </row>
    <row r="31" spans="1:18" x14ac:dyDescent="0.25">
      <c r="B31" s="111" t="s">
        <v>132</v>
      </c>
    </row>
    <row r="32" spans="1:18" x14ac:dyDescent="0.25">
      <c r="B32" s="76" t="s">
        <v>135</v>
      </c>
    </row>
  </sheetData>
  <mergeCells count="8">
    <mergeCell ref="H4:Q4"/>
    <mergeCell ref="H5:K5"/>
    <mergeCell ref="M5:Q5"/>
    <mergeCell ref="B4:B6"/>
    <mergeCell ref="C4:C6"/>
    <mergeCell ref="D4:D6"/>
    <mergeCell ref="E4:E6"/>
    <mergeCell ref="F4:F6"/>
  </mergeCells>
  <pageMargins left="0.7" right="0.7" top="0.75" bottom="0.75" header="0.3" footer="0.3"/>
  <pageSetup paperSize="9" orientation="portrait" r:id="rId1"/>
  <ignoredErrors>
    <ignoredError sqref="H13:K20 F13 F15:F20 F24"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pageSetUpPr fitToPage="1"/>
  </sheetPr>
  <dimension ref="A1:AF103"/>
  <sheetViews>
    <sheetView zoomScaleNormal="100" workbookViewId="0">
      <pane ySplit="4" topLeftCell="A5" activePane="bottomLeft" state="frozen"/>
      <selection pane="bottomLeft"/>
    </sheetView>
  </sheetViews>
  <sheetFormatPr defaultColWidth="18.109375" defaultRowHeight="13.2" x14ac:dyDescent="0.25"/>
  <cols>
    <col min="1" max="1" width="16.88671875" style="26" customWidth="1"/>
    <col min="2" max="2" width="9" style="26" customWidth="1"/>
    <col min="3" max="3" width="10.109375" style="26" customWidth="1"/>
    <col min="4" max="4" width="40.33203125" style="26" customWidth="1"/>
    <col min="5" max="5" width="28.77734375" style="26" bestFit="1" customWidth="1"/>
    <col min="6" max="6" width="53.21875" style="26" bestFit="1" customWidth="1"/>
    <col min="7" max="7" width="15.44140625" style="26" customWidth="1"/>
    <col min="8" max="8" width="23.33203125" style="26" bestFit="1" customWidth="1"/>
    <col min="9" max="9" width="16.33203125" style="26" customWidth="1"/>
    <col min="10" max="10" width="15.6640625" style="2" bestFit="1" customWidth="1"/>
    <col min="11" max="11" width="76.21875" style="2" bestFit="1" customWidth="1"/>
    <col min="12" max="12" width="28.21875" style="2" bestFit="1" customWidth="1"/>
    <col min="13" max="13" width="24.109375" style="2" customWidth="1"/>
    <col min="14" max="14" width="11.44140625" style="2" customWidth="1"/>
    <col min="15" max="16" width="10.6640625" style="6" customWidth="1"/>
    <col min="17" max="26" width="9.6640625" style="6" customWidth="1"/>
    <col min="27" max="27" width="13.88671875" style="6" customWidth="1"/>
    <col min="28" max="28" width="13.88671875" style="5" customWidth="1"/>
    <col min="29" max="29" width="13.88671875" style="6" customWidth="1"/>
    <col min="30" max="30" width="19.33203125" style="134" customWidth="1"/>
    <col min="31" max="31" width="18.109375" style="135"/>
    <col min="32" max="16384" width="18.109375" style="1"/>
  </cols>
  <sheetData>
    <row r="1" spans="1:32" ht="20.399999999999999" x14ac:dyDescent="0.35">
      <c r="A1" s="15" t="s">
        <v>120</v>
      </c>
    </row>
    <row r="2" spans="1:32" ht="15" x14ac:dyDescent="0.25">
      <c r="A2" s="14" t="str">
        <f>Cover!C11</f>
        <v>Inspections from 1 September 2017, published by 31 December 2017</v>
      </c>
    </row>
    <row r="3" spans="1:32" s="58" customFormat="1" x14ac:dyDescent="0.25">
      <c r="A3" s="59"/>
      <c r="B3" s="59"/>
      <c r="C3" s="59"/>
      <c r="D3" s="59"/>
      <c r="E3" s="59"/>
      <c r="F3" s="59"/>
      <c r="G3" s="59"/>
      <c r="H3" s="59"/>
      <c r="I3" s="59"/>
      <c r="J3" s="59"/>
      <c r="K3" s="59"/>
      <c r="L3" s="59"/>
      <c r="M3" s="59"/>
      <c r="N3" s="59"/>
      <c r="O3" s="59"/>
      <c r="P3" s="59"/>
      <c r="Q3" s="59"/>
      <c r="R3" s="59"/>
      <c r="S3" s="59"/>
      <c r="T3" s="59"/>
      <c r="U3" s="59"/>
      <c r="V3" s="59"/>
      <c r="W3" s="59"/>
      <c r="X3" s="59"/>
      <c r="Y3" s="59"/>
      <c r="Z3" s="59"/>
      <c r="AA3" s="59"/>
      <c r="AB3" s="59"/>
    </row>
    <row r="4" spans="1:32" ht="122.4" x14ac:dyDescent="0.25">
      <c r="A4" s="16" t="s">
        <v>51</v>
      </c>
      <c r="B4" s="30" t="s">
        <v>36</v>
      </c>
      <c r="C4" s="30" t="s">
        <v>49</v>
      </c>
      <c r="D4" s="30" t="s">
        <v>52</v>
      </c>
      <c r="E4" s="30" t="s">
        <v>53</v>
      </c>
      <c r="F4" s="30" t="s">
        <v>54</v>
      </c>
      <c r="G4" s="30" t="s">
        <v>55</v>
      </c>
      <c r="H4" s="30" t="s">
        <v>56</v>
      </c>
      <c r="I4" s="30" t="s">
        <v>123</v>
      </c>
      <c r="J4" s="30" t="s">
        <v>57</v>
      </c>
      <c r="K4" s="30" t="s">
        <v>58</v>
      </c>
      <c r="L4" s="30" t="s">
        <v>115</v>
      </c>
      <c r="M4" s="30" t="s">
        <v>170</v>
      </c>
      <c r="N4" s="23" t="s">
        <v>59</v>
      </c>
      <c r="O4" s="23" t="s">
        <v>60</v>
      </c>
      <c r="P4" s="23" t="s">
        <v>63</v>
      </c>
      <c r="Q4" s="4" t="s">
        <v>1</v>
      </c>
      <c r="R4" s="4" t="s">
        <v>0</v>
      </c>
      <c r="S4" s="4" t="s">
        <v>28</v>
      </c>
      <c r="T4" s="4" t="s">
        <v>29</v>
      </c>
      <c r="U4" s="4" t="s">
        <v>30</v>
      </c>
      <c r="V4" s="17" t="s">
        <v>50</v>
      </c>
      <c r="W4" s="17" t="s">
        <v>33</v>
      </c>
      <c r="X4" s="17" t="s">
        <v>31</v>
      </c>
      <c r="Y4" s="17" t="s">
        <v>35</v>
      </c>
      <c r="Z4" s="17" t="s">
        <v>32</v>
      </c>
      <c r="AA4" s="17" t="s">
        <v>34</v>
      </c>
      <c r="AB4" s="17" t="s">
        <v>48</v>
      </c>
      <c r="AC4" s="18" t="s">
        <v>61</v>
      </c>
      <c r="AD4" s="29" t="s">
        <v>40</v>
      </c>
      <c r="AE4" s="18" t="s">
        <v>41</v>
      </c>
      <c r="AF4" s="27" t="s">
        <v>62</v>
      </c>
    </row>
    <row r="5" spans="1:32" x14ac:dyDescent="0.25">
      <c r="A5" s="145" t="str">
        <f t="shared" ref="A5:A36" si="0">HYPERLINK("http://www.ofsted.gov.uk/inspection-reports/find-inspection-report/provider/ELS/"&amp;B5,"Ofsted Webpage")</f>
        <v>Ofsted Webpage</v>
      </c>
      <c r="B5" s="144">
        <v>53325</v>
      </c>
      <c r="C5" s="144">
        <v>10003996</v>
      </c>
      <c r="D5" s="26" t="s">
        <v>306</v>
      </c>
      <c r="E5" s="26" t="s">
        <v>75</v>
      </c>
      <c r="F5" s="26" t="s">
        <v>76</v>
      </c>
      <c r="G5" s="26" t="s">
        <v>307</v>
      </c>
      <c r="H5" s="26" t="s">
        <v>175</v>
      </c>
      <c r="I5" s="26" t="s">
        <v>175</v>
      </c>
      <c r="J5" s="141">
        <v>10037413</v>
      </c>
      <c r="K5" s="2" t="s">
        <v>562</v>
      </c>
      <c r="L5" s="2" t="s">
        <v>177</v>
      </c>
      <c r="M5" s="2" t="s">
        <v>178</v>
      </c>
      <c r="N5" s="2">
        <v>43052</v>
      </c>
      <c r="O5" s="5">
        <v>43055</v>
      </c>
      <c r="P5" s="146">
        <v>43091</v>
      </c>
      <c r="Q5" s="6">
        <v>3</v>
      </c>
      <c r="R5" s="6">
        <v>3</v>
      </c>
      <c r="S5" s="6">
        <v>3</v>
      </c>
      <c r="T5" s="6">
        <v>2</v>
      </c>
      <c r="U5" s="6">
        <v>3</v>
      </c>
      <c r="V5" s="6" t="s">
        <v>178</v>
      </c>
      <c r="W5" s="6" t="s">
        <v>178</v>
      </c>
      <c r="X5" s="6">
        <v>3</v>
      </c>
      <c r="Y5" s="6" t="s">
        <v>178</v>
      </c>
      <c r="Z5" s="6" t="s">
        <v>178</v>
      </c>
      <c r="AA5" s="6" t="s">
        <v>178</v>
      </c>
      <c r="AB5" s="5" t="s">
        <v>179</v>
      </c>
      <c r="AC5" s="6">
        <v>10004968</v>
      </c>
      <c r="AD5" s="148">
        <v>42328</v>
      </c>
      <c r="AE5" s="135">
        <v>3</v>
      </c>
      <c r="AF5" s="1" t="s">
        <v>180</v>
      </c>
    </row>
    <row r="6" spans="1:32" x14ac:dyDescent="0.25">
      <c r="A6" s="145" t="str">
        <f t="shared" si="0"/>
        <v>Ofsted Webpage</v>
      </c>
      <c r="B6" s="144">
        <v>52137</v>
      </c>
      <c r="C6" s="144">
        <v>10002916</v>
      </c>
      <c r="D6" s="26" t="s">
        <v>551</v>
      </c>
      <c r="E6" s="26" t="s">
        <v>75</v>
      </c>
      <c r="F6" s="26" t="s">
        <v>76</v>
      </c>
      <c r="G6" s="26" t="s">
        <v>552</v>
      </c>
      <c r="H6" s="26" t="s">
        <v>204</v>
      </c>
      <c r="I6" s="26" t="s">
        <v>188</v>
      </c>
      <c r="J6" s="141">
        <v>10037354</v>
      </c>
      <c r="K6" s="2" t="s">
        <v>251</v>
      </c>
      <c r="L6" s="2" t="s">
        <v>206</v>
      </c>
      <c r="M6" s="2" t="s">
        <v>200</v>
      </c>
      <c r="N6" s="2">
        <v>43061</v>
      </c>
      <c r="O6" s="5">
        <v>43062</v>
      </c>
      <c r="P6" s="146">
        <v>43091</v>
      </c>
      <c r="Q6" s="6">
        <v>9</v>
      </c>
      <c r="R6" s="6" t="s">
        <v>178</v>
      </c>
      <c r="S6" s="6" t="s">
        <v>178</v>
      </c>
      <c r="T6" s="6" t="s">
        <v>178</v>
      </c>
      <c r="U6" s="6" t="s">
        <v>178</v>
      </c>
      <c r="V6" s="6" t="s">
        <v>178</v>
      </c>
      <c r="W6" s="6" t="s">
        <v>178</v>
      </c>
      <c r="X6" s="6" t="s">
        <v>178</v>
      </c>
      <c r="Y6" s="6" t="s">
        <v>178</v>
      </c>
      <c r="Z6" s="6" t="s">
        <v>178</v>
      </c>
      <c r="AA6" s="6" t="s">
        <v>178</v>
      </c>
      <c r="AB6" s="5" t="s">
        <v>179</v>
      </c>
      <c r="AC6" s="6" t="s">
        <v>553</v>
      </c>
      <c r="AD6" s="148">
        <v>41614</v>
      </c>
      <c r="AE6" s="135">
        <v>2</v>
      </c>
      <c r="AF6" s="1" t="s">
        <v>208</v>
      </c>
    </row>
    <row r="7" spans="1:32" x14ac:dyDescent="0.25">
      <c r="A7" s="145" t="str">
        <f t="shared" si="0"/>
        <v>Ofsted Webpage</v>
      </c>
      <c r="B7" s="132">
        <v>130468</v>
      </c>
      <c r="C7" s="132">
        <v>10003511</v>
      </c>
      <c r="D7" s="118" t="s">
        <v>1823</v>
      </c>
      <c r="E7" s="118" t="s">
        <v>83</v>
      </c>
      <c r="F7" s="118" t="s">
        <v>82</v>
      </c>
      <c r="G7" s="118" t="s">
        <v>223</v>
      </c>
      <c r="H7" s="118" t="s">
        <v>193</v>
      </c>
      <c r="I7" s="118" t="s">
        <v>193</v>
      </c>
      <c r="J7" s="132">
        <v>10037331</v>
      </c>
      <c r="K7" s="118" t="s">
        <v>372</v>
      </c>
      <c r="L7" s="3" t="s">
        <v>244</v>
      </c>
      <c r="M7" s="3" t="s">
        <v>179</v>
      </c>
      <c r="N7" s="119">
        <v>43046</v>
      </c>
      <c r="O7" s="119">
        <v>43049</v>
      </c>
      <c r="P7" s="146">
        <v>43090</v>
      </c>
      <c r="Q7" s="120">
        <v>1</v>
      </c>
      <c r="R7" s="120">
        <v>1</v>
      </c>
      <c r="S7" s="120">
        <v>1</v>
      </c>
      <c r="T7" s="120">
        <v>1</v>
      </c>
      <c r="U7" s="120">
        <v>1</v>
      </c>
      <c r="V7" s="122" t="s">
        <v>178</v>
      </c>
      <c r="W7" s="122">
        <v>1</v>
      </c>
      <c r="X7" s="122">
        <v>1</v>
      </c>
      <c r="Y7" s="122" t="s">
        <v>178</v>
      </c>
      <c r="Z7" s="120" t="s">
        <v>178</v>
      </c>
      <c r="AA7" s="122" t="s">
        <v>178</v>
      </c>
      <c r="AB7" s="120" t="s">
        <v>179</v>
      </c>
      <c r="AC7" s="142" t="s">
        <v>1824</v>
      </c>
      <c r="AD7" s="147">
        <v>41901</v>
      </c>
      <c r="AE7" s="120">
        <v>2</v>
      </c>
      <c r="AF7" s="118" t="s">
        <v>216</v>
      </c>
    </row>
    <row r="8" spans="1:32" x14ac:dyDescent="0.25">
      <c r="A8" s="145" t="str">
        <f t="shared" si="0"/>
        <v>Ofsted Webpage</v>
      </c>
      <c r="B8" s="141">
        <v>130484</v>
      </c>
      <c r="C8" s="141">
        <v>10007578</v>
      </c>
      <c r="D8" s="26" t="s">
        <v>2045</v>
      </c>
      <c r="E8" s="26" t="s">
        <v>81</v>
      </c>
      <c r="F8" s="26" t="s">
        <v>82</v>
      </c>
      <c r="G8" s="26" t="s">
        <v>565</v>
      </c>
      <c r="H8" s="26" t="s">
        <v>193</v>
      </c>
      <c r="I8" s="26" t="s">
        <v>193</v>
      </c>
      <c r="J8" s="141">
        <v>10037362</v>
      </c>
      <c r="K8" s="2" t="s">
        <v>194</v>
      </c>
      <c r="L8" s="2" t="s">
        <v>177</v>
      </c>
      <c r="M8" s="2" t="s">
        <v>178</v>
      </c>
      <c r="N8" s="2">
        <v>43053</v>
      </c>
      <c r="O8" s="5">
        <v>43056</v>
      </c>
      <c r="P8" s="146">
        <v>43090</v>
      </c>
      <c r="Q8" s="6">
        <v>2</v>
      </c>
      <c r="R8" s="6">
        <v>2</v>
      </c>
      <c r="S8" s="6">
        <v>2</v>
      </c>
      <c r="T8" s="6">
        <v>2</v>
      </c>
      <c r="U8" s="6">
        <v>2</v>
      </c>
      <c r="V8" s="6" t="s">
        <v>178</v>
      </c>
      <c r="W8" s="6">
        <v>2</v>
      </c>
      <c r="X8" s="6">
        <v>2</v>
      </c>
      <c r="Y8" s="6" t="s">
        <v>178</v>
      </c>
      <c r="Z8" s="6">
        <v>3</v>
      </c>
      <c r="AA8" s="6">
        <v>2</v>
      </c>
      <c r="AB8" s="5" t="s">
        <v>179</v>
      </c>
      <c r="AC8" s="143" t="s">
        <v>2046</v>
      </c>
      <c r="AD8" s="148">
        <v>41936</v>
      </c>
      <c r="AE8" s="135">
        <v>2</v>
      </c>
      <c r="AF8" s="1" t="s">
        <v>180</v>
      </c>
    </row>
    <row r="9" spans="1:32" x14ac:dyDescent="0.25">
      <c r="A9" s="145" t="str">
        <f t="shared" si="0"/>
        <v>Ofsted Webpage</v>
      </c>
      <c r="B9" s="144">
        <v>52410</v>
      </c>
      <c r="C9" s="144">
        <v>10003206</v>
      </c>
      <c r="D9" s="26" t="s">
        <v>578</v>
      </c>
      <c r="E9" s="26" t="s">
        <v>77</v>
      </c>
      <c r="F9" s="26" t="s">
        <v>76</v>
      </c>
      <c r="G9" s="26" t="s">
        <v>469</v>
      </c>
      <c r="H9" s="26" t="s">
        <v>187</v>
      </c>
      <c r="I9" s="26" t="s">
        <v>188</v>
      </c>
      <c r="J9" s="141">
        <v>10037335</v>
      </c>
      <c r="K9" s="2" t="s">
        <v>2864</v>
      </c>
      <c r="L9" s="2" t="s">
        <v>206</v>
      </c>
      <c r="M9" s="2" t="s">
        <v>200</v>
      </c>
      <c r="N9" s="2">
        <v>43054</v>
      </c>
      <c r="O9" s="5">
        <v>43055</v>
      </c>
      <c r="P9" s="146">
        <v>43090</v>
      </c>
      <c r="Q9" s="6">
        <v>9</v>
      </c>
      <c r="R9" s="6" t="s">
        <v>178</v>
      </c>
      <c r="S9" s="6" t="s">
        <v>178</v>
      </c>
      <c r="T9" s="6" t="s">
        <v>178</v>
      </c>
      <c r="U9" s="6" t="s">
        <v>178</v>
      </c>
      <c r="V9" s="6" t="s">
        <v>178</v>
      </c>
      <c r="W9" s="6" t="s">
        <v>178</v>
      </c>
      <c r="X9" s="6" t="s">
        <v>178</v>
      </c>
      <c r="Y9" s="6" t="s">
        <v>178</v>
      </c>
      <c r="Z9" s="6" t="s">
        <v>178</v>
      </c>
      <c r="AA9" s="6" t="s">
        <v>178</v>
      </c>
      <c r="AB9" s="5" t="s">
        <v>179</v>
      </c>
      <c r="AC9" s="6" t="s">
        <v>579</v>
      </c>
      <c r="AD9" s="148">
        <v>41586</v>
      </c>
      <c r="AE9" s="135">
        <v>2</v>
      </c>
      <c r="AF9" s="1" t="s">
        <v>208</v>
      </c>
    </row>
    <row r="10" spans="1:32" x14ac:dyDescent="0.25">
      <c r="A10" s="145" t="str">
        <f t="shared" si="0"/>
        <v>Ofsted Webpage</v>
      </c>
      <c r="B10" s="144">
        <v>58385</v>
      </c>
      <c r="C10" s="144">
        <v>10019293</v>
      </c>
      <c r="D10" s="26" t="s">
        <v>2232</v>
      </c>
      <c r="E10" s="26" t="s">
        <v>78</v>
      </c>
      <c r="F10" s="26" t="s">
        <v>79</v>
      </c>
      <c r="G10" s="26" t="s">
        <v>452</v>
      </c>
      <c r="H10" s="26" t="s">
        <v>219</v>
      </c>
      <c r="I10" s="26" t="s">
        <v>219</v>
      </c>
      <c r="J10" s="141">
        <v>10030690</v>
      </c>
      <c r="K10" s="2" t="s">
        <v>199</v>
      </c>
      <c r="L10" s="2" t="s">
        <v>177</v>
      </c>
      <c r="M10" s="2" t="s">
        <v>178</v>
      </c>
      <c r="N10" s="2">
        <v>43060</v>
      </c>
      <c r="O10" s="5">
        <v>43062</v>
      </c>
      <c r="P10" s="146">
        <v>43090</v>
      </c>
      <c r="Q10" s="6">
        <v>2</v>
      </c>
      <c r="R10" s="6">
        <v>2</v>
      </c>
      <c r="S10" s="6">
        <v>2</v>
      </c>
      <c r="T10" s="6">
        <v>2</v>
      </c>
      <c r="U10" s="6">
        <v>2</v>
      </c>
      <c r="V10" s="6" t="s">
        <v>178</v>
      </c>
      <c r="W10" s="6">
        <v>2</v>
      </c>
      <c r="X10" s="6" t="s">
        <v>178</v>
      </c>
      <c r="Y10" s="6" t="s">
        <v>178</v>
      </c>
      <c r="Z10" s="6" t="s">
        <v>178</v>
      </c>
      <c r="AA10" s="6" t="s">
        <v>178</v>
      </c>
      <c r="AB10" s="5" t="s">
        <v>179</v>
      </c>
      <c r="AC10" s="6">
        <v>10005060</v>
      </c>
      <c r="AD10" s="148">
        <v>42349</v>
      </c>
      <c r="AE10" s="135">
        <v>3</v>
      </c>
      <c r="AF10" s="1" t="s">
        <v>216</v>
      </c>
    </row>
    <row r="11" spans="1:32" x14ac:dyDescent="0.25">
      <c r="A11" s="145" t="str">
        <f t="shared" si="0"/>
        <v>Ofsted Webpage</v>
      </c>
      <c r="B11" s="144">
        <v>130621</v>
      </c>
      <c r="C11" s="144">
        <v>10004144</v>
      </c>
      <c r="D11" s="26" t="s">
        <v>1855</v>
      </c>
      <c r="E11" s="26" t="s">
        <v>81</v>
      </c>
      <c r="F11" s="26" t="s">
        <v>82</v>
      </c>
      <c r="G11" s="26" t="s">
        <v>535</v>
      </c>
      <c r="H11" s="26" t="s">
        <v>238</v>
      </c>
      <c r="I11" s="26" t="s">
        <v>238</v>
      </c>
      <c r="J11" s="141">
        <v>10039831</v>
      </c>
      <c r="K11" s="2" t="s">
        <v>215</v>
      </c>
      <c r="L11" s="2" t="s">
        <v>177</v>
      </c>
      <c r="M11" s="2" t="s">
        <v>178</v>
      </c>
      <c r="N11" s="2">
        <v>43059</v>
      </c>
      <c r="O11" s="5">
        <v>43062</v>
      </c>
      <c r="P11" s="146">
        <v>43090</v>
      </c>
      <c r="Q11" s="6">
        <v>2</v>
      </c>
      <c r="R11" s="6">
        <v>2</v>
      </c>
      <c r="S11" s="6">
        <v>2</v>
      </c>
      <c r="T11" s="6">
        <v>2</v>
      </c>
      <c r="U11" s="6">
        <v>2</v>
      </c>
      <c r="V11" s="6" t="s">
        <v>178</v>
      </c>
      <c r="W11" s="6">
        <v>2</v>
      </c>
      <c r="X11" s="6">
        <v>3</v>
      </c>
      <c r="Y11" s="6" t="s">
        <v>178</v>
      </c>
      <c r="Z11" s="6">
        <v>2</v>
      </c>
      <c r="AA11" s="6" t="s">
        <v>178</v>
      </c>
      <c r="AB11" s="5" t="s">
        <v>179</v>
      </c>
      <c r="AC11" s="6">
        <v>10011427</v>
      </c>
      <c r="AD11" s="148">
        <v>42517</v>
      </c>
      <c r="AE11" s="135">
        <v>3</v>
      </c>
      <c r="AF11" s="1" t="s">
        <v>216</v>
      </c>
    </row>
    <row r="12" spans="1:32" x14ac:dyDescent="0.25">
      <c r="A12" s="145" t="str">
        <f t="shared" si="0"/>
        <v>Ofsted Webpage</v>
      </c>
      <c r="B12" s="144">
        <v>139251</v>
      </c>
      <c r="C12" s="144">
        <v>10040375</v>
      </c>
      <c r="D12" s="26" t="s">
        <v>650</v>
      </c>
      <c r="E12" s="26" t="s">
        <v>70</v>
      </c>
      <c r="F12" s="26" t="s">
        <v>71</v>
      </c>
      <c r="G12" s="26" t="s">
        <v>651</v>
      </c>
      <c r="H12" s="26" t="s">
        <v>238</v>
      </c>
      <c r="I12" s="26" t="s">
        <v>238</v>
      </c>
      <c r="J12" s="141">
        <v>10038320</v>
      </c>
      <c r="K12" s="2" t="s">
        <v>532</v>
      </c>
      <c r="L12" s="2" t="s">
        <v>177</v>
      </c>
      <c r="M12" s="2" t="s">
        <v>178</v>
      </c>
      <c r="N12" s="2">
        <v>43052</v>
      </c>
      <c r="O12" s="5">
        <v>43054</v>
      </c>
      <c r="P12" s="146">
        <v>43089</v>
      </c>
      <c r="Q12" s="6">
        <v>3</v>
      </c>
      <c r="R12" s="6">
        <v>3</v>
      </c>
      <c r="S12" s="6">
        <v>3</v>
      </c>
      <c r="T12" s="6">
        <v>3</v>
      </c>
      <c r="U12" s="6">
        <v>3</v>
      </c>
      <c r="V12" s="6" t="s">
        <v>178</v>
      </c>
      <c r="W12" s="6" t="s">
        <v>178</v>
      </c>
      <c r="X12" s="6" t="s">
        <v>178</v>
      </c>
      <c r="Y12" s="6" t="s">
        <v>178</v>
      </c>
      <c r="Z12" s="6" t="s">
        <v>178</v>
      </c>
      <c r="AA12" s="6">
        <v>3</v>
      </c>
      <c r="AB12" s="5" t="s">
        <v>179</v>
      </c>
      <c r="AC12" s="6">
        <v>10004820</v>
      </c>
      <c r="AD12" s="148">
        <v>42390</v>
      </c>
      <c r="AE12" s="135">
        <v>3</v>
      </c>
      <c r="AF12" s="1" t="s">
        <v>180</v>
      </c>
    </row>
    <row r="13" spans="1:32" x14ac:dyDescent="0.25">
      <c r="A13" s="145" t="str">
        <f t="shared" si="0"/>
        <v>Ofsted Webpage</v>
      </c>
      <c r="B13" s="144">
        <v>130474</v>
      </c>
      <c r="C13" s="144">
        <v>10003029</v>
      </c>
      <c r="D13" s="26" t="s">
        <v>1829</v>
      </c>
      <c r="E13" s="26" t="s">
        <v>81</v>
      </c>
      <c r="F13" s="26" t="s">
        <v>82</v>
      </c>
      <c r="G13" s="26" t="s">
        <v>276</v>
      </c>
      <c r="H13" s="26" t="s">
        <v>193</v>
      </c>
      <c r="I13" s="26" t="s">
        <v>193</v>
      </c>
      <c r="J13" s="141">
        <v>10037387</v>
      </c>
      <c r="K13" s="2" t="s">
        <v>622</v>
      </c>
      <c r="L13" s="2" t="s">
        <v>177</v>
      </c>
      <c r="M13" s="2" t="s">
        <v>178</v>
      </c>
      <c r="N13" s="2">
        <v>43060</v>
      </c>
      <c r="O13" s="5">
        <v>43063</v>
      </c>
      <c r="P13" s="146">
        <v>43089</v>
      </c>
      <c r="Q13" s="6">
        <v>2</v>
      </c>
      <c r="R13" s="6">
        <v>2</v>
      </c>
      <c r="S13" s="6">
        <v>2</v>
      </c>
      <c r="T13" s="6">
        <v>2</v>
      </c>
      <c r="U13" s="6">
        <v>2</v>
      </c>
      <c r="V13" s="6" t="s">
        <v>178</v>
      </c>
      <c r="W13" s="6" t="s">
        <v>178</v>
      </c>
      <c r="X13" s="6" t="s">
        <v>178</v>
      </c>
      <c r="Y13" s="6" t="s">
        <v>178</v>
      </c>
      <c r="Z13" s="6" t="s">
        <v>178</v>
      </c>
      <c r="AA13" s="6">
        <v>2</v>
      </c>
      <c r="AB13" s="5" t="s">
        <v>179</v>
      </c>
      <c r="AC13" s="6">
        <v>10021962</v>
      </c>
      <c r="AD13" s="148">
        <v>42650</v>
      </c>
      <c r="AE13" s="135">
        <v>4</v>
      </c>
      <c r="AF13" s="1" t="s">
        <v>216</v>
      </c>
    </row>
    <row r="14" spans="1:32" x14ac:dyDescent="0.25">
      <c r="A14" s="145" t="str">
        <f t="shared" si="0"/>
        <v>Ofsted Webpage</v>
      </c>
      <c r="B14" s="144">
        <v>130761</v>
      </c>
      <c r="C14" s="144">
        <v>10000812</v>
      </c>
      <c r="D14" s="26" t="s">
        <v>1658</v>
      </c>
      <c r="E14" s="26" t="s">
        <v>81</v>
      </c>
      <c r="F14" s="26" t="s">
        <v>82</v>
      </c>
      <c r="G14" s="26" t="s">
        <v>213</v>
      </c>
      <c r="H14" s="26" t="s">
        <v>214</v>
      </c>
      <c r="I14" s="26" t="s">
        <v>214</v>
      </c>
      <c r="J14" s="141">
        <v>10038316</v>
      </c>
      <c r="K14" s="2" t="s">
        <v>241</v>
      </c>
      <c r="L14" s="2" t="s">
        <v>206</v>
      </c>
      <c r="M14" s="2" t="s">
        <v>200</v>
      </c>
      <c r="N14" s="2">
        <v>43054</v>
      </c>
      <c r="O14" s="5">
        <v>43055</v>
      </c>
      <c r="P14" s="146">
        <v>43089</v>
      </c>
      <c r="Q14" s="6">
        <v>9</v>
      </c>
      <c r="R14" s="6" t="s">
        <v>178</v>
      </c>
      <c r="S14" s="6" t="s">
        <v>178</v>
      </c>
      <c r="T14" s="6" t="s">
        <v>178</v>
      </c>
      <c r="U14" s="6" t="s">
        <v>178</v>
      </c>
      <c r="V14" s="6" t="s">
        <v>178</v>
      </c>
      <c r="W14" s="6" t="s">
        <v>178</v>
      </c>
      <c r="X14" s="6" t="s">
        <v>178</v>
      </c>
      <c r="Y14" s="6" t="s">
        <v>178</v>
      </c>
      <c r="Z14" s="6" t="s">
        <v>178</v>
      </c>
      <c r="AA14" s="6" t="s">
        <v>178</v>
      </c>
      <c r="AB14" s="5" t="s">
        <v>179</v>
      </c>
      <c r="AC14" s="6" t="s">
        <v>1659</v>
      </c>
      <c r="AD14" s="148">
        <v>41796</v>
      </c>
      <c r="AE14" s="135">
        <v>2</v>
      </c>
      <c r="AF14" s="1" t="s">
        <v>208</v>
      </c>
    </row>
    <row r="15" spans="1:32" x14ac:dyDescent="0.25">
      <c r="A15" s="145" t="str">
        <f t="shared" si="0"/>
        <v>Ofsted Webpage</v>
      </c>
      <c r="B15" s="144">
        <v>52533</v>
      </c>
      <c r="C15" s="144">
        <v>10003385</v>
      </c>
      <c r="D15" s="26" t="s">
        <v>2457</v>
      </c>
      <c r="E15" s="26" t="s">
        <v>78</v>
      </c>
      <c r="F15" s="26" t="s">
        <v>79</v>
      </c>
      <c r="G15" s="26" t="s">
        <v>302</v>
      </c>
      <c r="H15" s="26" t="s">
        <v>219</v>
      </c>
      <c r="I15" s="26" t="s">
        <v>219</v>
      </c>
      <c r="J15" s="141">
        <v>10037412</v>
      </c>
      <c r="K15" s="2" t="s">
        <v>199</v>
      </c>
      <c r="L15" s="2" t="s">
        <v>177</v>
      </c>
      <c r="M15" s="2" t="s">
        <v>178</v>
      </c>
      <c r="N15" s="2">
        <v>43053</v>
      </c>
      <c r="O15" s="5">
        <v>43056</v>
      </c>
      <c r="P15" s="146">
        <v>43089</v>
      </c>
      <c r="Q15" s="6">
        <v>2</v>
      </c>
      <c r="R15" s="6">
        <v>2</v>
      </c>
      <c r="S15" s="6">
        <v>2</v>
      </c>
      <c r="T15" s="6">
        <v>2</v>
      </c>
      <c r="U15" s="6">
        <v>2</v>
      </c>
      <c r="V15" s="6" t="s">
        <v>178</v>
      </c>
      <c r="W15" s="6" t="s">
        <v>178</v>
      </c>
      <c r="X15" s="6">
        <v>2</v>
      </c>
      <c r="Y15" s="6" t="s">
        <v>178</v>
      </c>
      <c r="Z15" s="6">
        <v>2</v>
      </c>
      <c r="AA15" s="6" t="s">
        <v>178</v>
      </c>
      <c r="AB15" s="5" t="s">
        <v>179</v>
      </c>
      <c r="AC15" s="6">
        <v>10004934</v>
      </c>
      <c r="AD15" s="148">
        <v>42446</v>
      </c>
      <c r="AE15" s="135">
        <v>3</v>
      </c>
      <c r="AF15" s="1" t="s">
        <v>216</v>
      </c>
    </row>
    <row r="16" spans="1:32" x14ac:dyDescent="0.25">
      <c r="A16" s="145" t="str">
        <f t="shared" si="0"/>
        <v>Ofsted Webpage</v>
      </c>
      <c r="B16" s="144">
        <v>50809</v>
      </c>
      <c r="C16" s="144">
        <v>10000848</v>
      </c>
      <c r="D16" s="26" t="s">
        <v>974</v>
      </c>
      <c r="E16" s="26" t="s">
        <v>77</v>
      </c>
      <c r="F16" s="26" t="s">
        <v>76</v>
      </c>
      <c r="G16" s="26" t="s">
        <v>914</v>
      </c>
      <c r="H16" s="26" t="s">
        <v>187</v>
      </c>
      <c r="I16" s="26" t="s">
        <v>188</v>
      </c>
      <c r="J16" s="141">
        <v>10030671</v>
      </c>
      <c r="K16" s="2" t="s">
        <v>1001</v>
      </c>
      <c r="L16" s="2" t="s">
        <v>177</v>
      </c>
      <c r="M16" s="2" t="s">
        <v>178</v>
      </c>
      <c r="N16" s="2">
        <v>43053</v>
      </c>
      <c r="O16" s="5">
        <v>43056</v>
      </c>
      <c r="P16" s="146">
        <v>43088</v>
      </c>
      <c r="Q16" s="6">
        <v>2</v>
      </c>
      <c r="R16" s="6">
        <v>2</v>
      </c>
      <c r="S16" s="6">
        <v>2</v>
      </c>
      <c r="T16" s="6">
        <v>1</v>
      </c>
      <c r="U16" s="6">
        <v>2</v>
      </c>
      <c r="V16" s="6" t="s">
        <v>178</v>
      </c>
      <c r="W16" s="6" t="s">
        <v>178</v>
      </c>
      <c r="X16" s="6" t="s">
        <v>178</v>
      </c>
      <c r="Y16" s="6" t="s">
        <v>178</v>
      </c>
      <c r="Z16" s="6">
        <v>2</v>
      </c>
      <c r="AA16" s="6" t="s">
        <v>178</v>
      </c>
      <c r="AB16" s="5" t="s">
        <v>179</v>
      </c>
      <c r="AC16" s="6">
        <v>10005135</v>
      </c>
      <c r="AD16" s="148">
        <v>42348</v>
      </c>
      <c r="AE16" s="135">
        <v>3</v>
      </c>
      <c r="AF16" s="1" t="s">
        <v>216</v>
      </c>
    </row>
    <row r="17" spans="1:32" x14ac:dyDescent="0.25">
      <c r="A17" s="145" t="str">
        <f t="shared" si="0"/>
        <v>Ofsted Webpage</v>
      </c>
      <c r="B17" s="144">
        <v>130581</v>
      </c>
      <c r="C17" s="144">
        <v>10007673</v>
      </c>
      <c r="D17" s="26" t="s">
        <v>1516</v>
      </c>
      <c r="E17" s="26" t="s">
        <v>83</v>
      </c>
      <c r="F17" s="26" t="s">
        <v>82</v>
      </c>
      <c r="G17" s="26" t="s">
        <v>469</v>
      </c>
      <c r="H17" s="26" t="s">
        <v>187</v>
      </c>
      <c r="I17" s="26" t="s">
        <v>188</v>
      </c>
      <c r="J17" s="141">
        <v>10037332</v>
      </c>
      <c r="K17" s="2" t="s">
        <v>2865</v>
      </c>
      <c r="L17" s="2" t="s">
        <v>206</v>
      </c>
      <c r="M17" s="2" t="s">
        <v>200</v>
      </c>
      <c r="N17" s="2">
        <v>43054</v>
      </c>
      <c r="O17" s="5">
        <v>43055</v>
      </c>
      <c r="P17" s="146">
        <v>43087</v>
      </c>
      <c r="Q17" s="6">
        <v>9</v>
      </c>
      <c r="R17" s="6" t="s">
        <v>178</v>
      </c>
      <c r="S17" s="6" t="s">
        <v>178</v>
      </c>
      <c r="T17" s="6" t="s">
        <v>178</v>
      </c>
      <c r="U17" s="6" t="s">
        <v>178</v>
      </c>
      <c r="V17" s="6" t="s">
        <v>178</v>
      </c>
      <c r="W17" s="6" t="s">
        <v>178</v>
      </c>
      <c r="X17" s="6" t="s">
        <v>178</v>
      </c>
      <c r="Y17" s="6" t="s">
        <v>178</v>
      </c>
      <c r="Z17" s="6" t="s">
        <v>178</v>
      </c>
      <c r="AA17" s="6" t="s">
        <v>178</v>
      </c>
      <c r="AB17" s="5" t="s">
        <v>179</v>
      </c>
      <c r="AC17" s="6" t="s">
        <v>1517</v>
      </c>
      <c r="AD17" s="148">
        <v>41551</v>
      </c>
      <c r="AE17" s="135">
        <v>2</v>
      </c>
      <c r="AF17" s="1" t="s">
        <v>208</v>
      </c>
    </row>
    <row r="18" spans="1:32" x14ac:dyDescent="0.25">
      <c r="A18" s="145" t="str">
        <f t="shared" si="0"/>
        <v>Ofsted Webpage</v>
      </c>
      <c r="B18" s="144">
        <v>51961</v>
      </c>
      <c r="C18" s="144">
        <v>10012171</v>
      </c>
      <c r="D18" s="26" t="s">
        <v>1049</v>
      </c>
      <c r="E18" s="26" t="s">
        <v>78</v>
      </c>
      <c r="F18" s="26" t="s">
        <v>79</v>
      </c>
      <c r="G18" s="26" t="s">
        <v>775</v>
      </c>
      <c r="H18" s="26" t="s">
        <v>198</v>
      </c>
      <c r="I18" s="26" t="s">
        <v>198</v>
      </c>
      <c r="J18" s="141">
        <v>10037334</v>
      </c>
      <c r="K18" s="2" t="s">
        <v>205</v>
      </c>
      <c r="L18" s="2" t="s">
        <v>206</v>
      </c>
      <c r="M18" s="2" t="s">
        <v>200</v>
      </c>
      <c r="N18" s="2">
        <v>43067</v>
      </c>
      <c r="O18" s="5">
        <v>43068</v>
      </c>
      <c r="P18" s="146">
        <v>43087</v>
      </c>
      <c r="Q18" s="6">
        <v>9</v>
      </c>
      <c r="R18" s="6" t="s">
        <v>178</v>
      </c>
      <c r="S18" s="6" t="s">
        <v>178</v>
      </c>
      <c r="T18" s="6" t="s">
        <v>178</v>
      </c>
      <c r="U18" s="6" t="s">
        <v>178</v>
      </c>
      <c r="V18" s="6" t="s">
        <v>178</v>
      </c>
      <c r="W18" s="6" t="s">
        <v>178</v>
      </c>
      <c r="X18" s="6" t="s">
        <v>178</v>
      </c>
      <c r="Y18" s="6" t="s">
        <v>178</v>
      </c>
      <c r="Z18" s="6" t="s">
        <v>178</v>
      </c>
      <c r="AA18" s="6" t="s">
        <v>178</v>
      </c>
      <c r="AB18" s="5" t="s">
        <v>179</v>
      </c>
      <c r="AC18" s="6" t="s">
        <v>1050</v>
      </c>
      <c r="AD18" s="148">
        <v>41963</v>
      </c>
      <c r="AE18" s="135">
        <v>2</v>
      </c>
      <c r="AF18" s="1" t="s">
        <v>208</v>
      </c>
    </row>
    <row r="19" spans="1:32" x14ac:dyDescent="0.25">
      <c r="A19" s="145" t="str">
        <f t="shared" si="0"/>
        <v>Ofsted Webpage</v>
      </c>
      <c r="B19" s="144">
        <v>141311</v>
      </c>
      <c r="C19" s="144">
        <v>10024088</v>
      </c>
      <c r="D19" s="26" t="s">
        <v>1122</v>
      </c>
      <c r="E19" s="26" t="s">
        <v>70</v>
      </c>
      <c r="F19" s="26" t="s">
        <v>71</v>
      </c>
      <c r="G19" s="26" t="s">
        <v>250</v>
      </c>
      <c r="H19" s="26" t="s">
        <v>175</v>
      </c>
      <c r="I19" s="26" t="s">
        <v>175</v>
      </c>
      <c r="J19" s="141">
        <v>10037432</v>
      </c>
      <c r="K19" s="2" t="s">
        <v>532</v>
      </c>
      <c r="L19" s="2" t="s">
        <v>177</v>
      </c>
      <c r="M19" s="2" t="s">
        <v>178</v>
      </c>
      <c r="N19" s="2">
        <v>43053</v>
      </c>
      <c r="O19" s="5">
        <v>43055</v>
      </c>
      <c r="P19" s="146">
        <v>43084</v>
      </c>
      <c r="Q19" s="6">
        <v>2</v>
      </c>
      <c r="R19" s="6">
        <v>2</v>
      </c>
      <c r="S19" s="6">
        <v>2</v>
      </c>
      <c r="T19" s="6">
        <v>2</v>
      </c>
      <c r="U19" s="6">
        <v>2</v>
      </c>
      <c r="V19" s="6" t="s">
        <v>178</v>
      </c>
      <c r="W19" s="6" t="s">
        <v>178</v>
      </c>
      <c r="X19" s="6" t="s">
        <v>178</v>
      </c>
      <c r="Y19" s="6" t="s">
        <v>178</v>
      </c>
      <c r="Z19" s="6" t="s">
        <v>178</v>
      </c>
      <c r="AA19" s="6">
        <v>2</v>
      </c>
      <c r="AB19" s="5" t="s">
        <v>179</v>
      </c>
      <c r="AC19" s="6" t="s">
        <v>72</v>
      </c>
      <c r="AD19" s="148" t="s">
        <v>72</v>
      </c>
      <c r="AE19" s="135" t="s">
        <v>72</v>
      </c>
      <c r="AF19" s="1" t="s">
        <v>208</v>
      </c>
    </row>
    <row r="20" spans="1:32" x14ac:dyDescent="0.25">
      <c r="A20" s="145" t="str">
        <f t="shared" si="0"/>
        <v>Ofsted Webpage</v>
      </c>
      <c r="B20" s="144">
        <v>58229</v>
      </c>
      <c r="C20" s="144">
        <v>10019026</v>
      </c>
      <c r="D20" s="26" t="s">
        <v>1788</v>
      </c>
      <c r="E20" s="26" t="s">
        <v>78</v>
      </c>
      <c r="F20" s="26" t="s">
        <v>79</v>
      </c>
      <c r="G20" s="26" t="s">
        <v>586</v>
      </c>
      <c r="H20" s="26" t="s">
        <v>204</v>
      </c>
      <c r="I20" s="26" t="s">
        <v>188</v>
      </c>
      <c r="J20" s="141">
        <v>10040098</v>
      </c>
      <c r="K20" s="2" t="s">
        <v>231</v>
      </c>
      <c r="L20" s="2" t="s">
        <v>206</v>
      </c>
      <c r="M20" s="2" t="s">
        <v>200</v>
      </c>
      <c r="N20" s="2">
        <v>43047</v>
      </c>
      <c r="O20" s="5">
        <v>43048</v>
      </c>
      <c r="P20" s="146">
        <v>43083</v>
      </c>
      <c r="Q20" s="6">
        <v>9</v>
      </c>
      <c r="R20" s="6" t="s">
        <v>178</v>
      </c>
      <c r="S20" s="6" t="s">
        <v>178</v>
      </c>
      <c r="T20" s="6" t="s">
        <v>178</v>
      </c>
      <c r="U20" s="6" t="s">
        <v>178</v>
      </c>
      <c r="V20" s="6" t="s">
        <v>178</v>
      </c>
      <c r="W20" s="6" t="s">
        <v>178</v>
      </c>
      <c r="X20" s="6" t="s">
        <v>178</v>
      </c>
      <c r="Y20" s="6" t="s">
        <v>178</v>
      </c>
      <c r="Z20" s="6" t="s">
        <v>178</v>
      </c>
      <c r="AA20" s="6" t="s">
        <v>178</v>
      </c>
      <c r="AB20" s="5" t="s">
        <v>179</v>
      </c>
      <c r="AC20" s="6" t="s">
        <v>1789</v>
      </c>
      <c r="AD20" s="148">
        <v>42027</v>
      </c>
      <c r="AE20" s="135">
        <v>2</v>
      </c>
      <c r="AF20" s="1" t="s">
        <v>208</v>
      </c>
    </row>
    <row r="21" spans="1:32" x14ac:dyDescent="0.25">
      <c r="A21" s="145" t="str">
        <f t="shared" si="0"/>
        <v>Ofsted Webpage</v>
      </c>
      <c r="B21" s="144">
        <v>131868</v>
      </c>
      <c r="C21" s="144">
        <v>10012822</v>
      </c>
      <c r="D21" s="26" t="s">
        <v>1116</v>
      </c>
      <c r="E21" s="26" t="s">
        <v>70</v>
      </c>
      <c r="F21" s="26" t="s">
        <v>71</v>
      </c>
      <c r="G21" s="26" t="s">
        <v>723</v>
      </c>
      <c r="H21" s="26" t="s">
        <v>204</v>
      </c>
      <c r="I21" s="26" t="s">
        <v>188</v>
      </c>
      <c r="J21" s="141">
        <v>10030661</v>
      </c>
      <c r="K21" s="2" t="s">
        <v>2863</v>
      </c>
      <c r="L21" s="2" t="s">
        <v>206</v>
      </c>
      <c r="M21" s="2" t="s">
        <v>200</v>
      </c>
      <c r="N21" s="2">
        <v>43047</v>
      </c>
      <c r="O21" s="5">
        <v>43048</v>
      </c>
      <c r="P21" s="146">
        <v>43083</v>
      </c>
      <c r="Q21" s="6">
        <v>9</v>
      </c>
      <c r="R21" s="6" t="s">
        <v>178</v>
      </c>
      <c r="S21" s="6" t="s">
        <v>178</v>
      </c>
      <c r="T21" s="6" t="s">
        <v>178</v>
      </c>
      <c r="U21" s="6" t="s">
        <v>178</v>
      </c>
      <c r="V21" s="6" t="s">
        <v>178</v>
      </c>
      <c r="W21" s="6" t="s">
        <v>178</v>
      </c>
      <c r="X21" s="6" t="s">
        <v>178</v>
      </c>
      <c r="Y21" s="6" t="s">
        <v>178</v>
      </c>
      <c r="Z21" s="6" t="s">
        <v>178</v>
      </c>
      <c r="AA21" s="6" t="s">
        <v>178</v>
      </c>
      <c r="AB21" s="5" t="s">
        <v>179</v>
      </c>
      <c r="AC21" s="6" t="s">
        <v>1117</v>
      </c>
      <c r="AD21" s="148">
        <v>41292</v>
      </c>
      <c r="AE21" s="135">
        <v>2</v>
      </c>
      <c r="AF21" s="1" t="s">
        <v>208</v>
      </c>
    </row>
    <row r="22" spans="1:32" x14ac:dyDescent="0.25">
      <c r="A22" s="145" t="str">
        <f t="shared" si="0"/>
        <v>Ofsted Webpage</v>
      </c>
      <c r="B22" s="144">
        <v>53535</v>
      </c>
      <c r="C22" s="144">
        <v>10004645</v>
      </c>
      <c r="D22" s="26" t="s">
        <v>1468</v>
      </c>
      <c r="E22" s="26" t="s">
        <v>77</v>
      </c>
      <c r="F22" s="26" t="s">
        <v>76</v>
      </c>
      <c r="G22" s="26" t="s">
        <v>324</v>
      </c>
      <c r="H22" s="26" t="s">
        <v>214</v>
      </c>
      <c r="I22" s="26" t="s">
        <v>214</v>
      </c>
      <c r="J22" s="141">
        <v>10037356</v>
      </c>
      <c r="K22" s="2" t="s">
        <v>189</v>
      </c>
      <c r="L22" s="2" t="s">
        <v>177</v>
      </c>
      <c r="M22" s="2" t="s">
        <v>178</v>
      </c>
      <c r="N22" s="2">
        <v>43039</v>
      </c>
      <c r="O22" s="5">
        <v>43042</v>
      </c>
      <c r="P22" s="146">
        <v>43081</v>
      </c>
      <c r="Q22" s="6">
        <v>4</v>
      </c>
      <c r="R22" s="6">
        <v>4</v>
      </c>
      <c r="S22" s="6">
        <v>4</v>
      </c>
      <c r="T22" s="6">
        <v>4</v>
      </c>
      <c r="U22" s="6">
        <v>4</v>
      </c>
      <c r="V22" s="6" t="s">
        <v>178</v>
      </c>
      <c r="W22" s="6">
        <v>4</v>
      </c>
      <c r="X22" s="6" t="s">
        <v>178</v>
      </c>
      <c r="Y22" s="6" t="s">
        <v>178</v>
      </c>
      <c r="Z22" s="6">
        <v>4</v>
      </c>
      <c r="AA22" s="6" t="s">
        <v>178</v>
      </c>
      <c r="AB22" s="5" t="s">
        <v>179</v>
      </c>
      <c r="AC22" s="6" t="s">
        <v>1469</v>
      </c>
      <c r="AD22" s="148">
        <v>41775</v>
      </c>
      <c r="AE22" s="135">
        <v>2</v>
      </c>
      <c r="AF22" s="1" t="s">
        <v>201</v>
      </c>
    </row>
    <row r="23" spans="1:32" x14ac:dyDescent="0.25">
      <c r="A23" s="145" t="str">
        <f t="shared" si="0"/>
        <v>Ofsted Webpage</v>
      </c>
      <c r="B23" s="144">
        <v>133435</v>
      </c>
      <c r="C23" s="144">
        <v>10006432</v>
      </c>
      <c r="D23" s="26" t="s">
        <v>1678</v>
      </c>
      <c r="E23" s="26" t="s">
        <v>81</v>
      </c>
      <c r="F23" s="26" t="s">
        <v>82</v>
      </c>
      <c r="G23" s="26" t="s">
        <v>662</v>
      </c>
      <c r="H23" s="26" t="s">
        <v>219</v>
      </c>
      <c r="I23" s="26" t="s">
        <v>219</v>
      </c>
      <c r="J23" s="141">
        <v>10037409</v>
      </c>
      <c r="K23" s="2" t="s">
        <v>215</v>
      </c>
      <c r="L23" s="2" t="s">
        <v>177</v>
      </c>
      <c r="M23" s="2" t="s">
        <v>178</v>
      </c>
      <c r="N23" s="2">
        <v>43039</v>
      </c>
      <c r="O23" s="5">
        <v>43042</v>
      </c>
      <c r="P23" s="146">
        <v>43077</v>
      </c>
      <c r="Q23" s="6">
        <v>3</v>
      </c>
      <c r="R23" s="6">
        <v>3</v>
      </c>
      <c r="S23" s="6">
        <v>3</v>
      </c>
      <c r="T23" s="6">
        <v>2</v>
      </c>
      <c r="U23" s="6">
        <v>3</v>
      </c>
      <c r="V23" s="6" t="s">
        <v>178</v>
      </c>
      <c r="W23" s="6">
        <v>3</v>
      </c>
      <c r="X23" s="6">
        <v>2</v>
      </c>
      <c r="Y23" s="6" t="s">
        <v>178</v>
      </c>
      <c r="Z23" s="6">
        <v>2</v>
      </c>
      <c r="AA23" s="6">
        <v>2</v>
      </c>
      <c r="AB23" s="5" t="s">
        <v>179</v>
      </c>
      <c r="AC23" s="6">
        <v>10004809</v>
      </c>
      <c r="AD23" s="148">
        <v>42314</v>
      </c>
      <c r="AE23" s="135">
        <v>3</v>
      </c>
      <c r="AF23" s="1" t="s">
        <v>180</v>
      </c>
    </row>
    <row r="24" spans="1:32" x14ac:dyDescent="0.25">
      <c r="A24" s="145" t="str">
        <f t="shared" si="0"/>
        <v>Ofsted Webpage</v>
      </c>
      <c r="B24" s="144">
        <v>1237128</v>
      </c>
      <c r="C24" s="144">
        <v>10028094</v>
      </c>
      <c r="D24" s="26" t="s">
        <v>2763</v>
      </c>
      <c r="E24" s="26" t="s">
        <v>78</v>
      </c>
      <c r="F24" s="26" t="s">
        <v>79</v>
      </c>
      <c r="G24" s="26" t="s">
        <v>723</v>
      </c>
      <c r="H24" s="26" t="s">
        <v>204</v>
      </c>
      <c r="I24" s="26" t="s">
        <v>188</v>
      </c>
      <c r="J24" s="141">
        <v>10037428</v>
      </c>
      <c r="K24" s="2" t="s">
        <v>211</v>
      </c>
      <c r="L24" s="2" t="s">
        <v>177</v>
      </c>
      <c r="M24" s="2" t="s">
        <v>178</v>
      </c>
      <c r="N24" s="2">
        <v>43040</v>
      </c>
      <c r="O24" s="5">
        <v>43042</v>
      </c>
      <c r="P24" s="146">
        <v>43077</v>
      </c>
      <c r="Q24" s="6">
        <v>3</v>
      </c>
      <c r="R24" s="6">
        <v>3</v>
      </c>
      <c r="S24" s="6">
        <v>3</v>
      </c>
      <c r="T24" s="6">
        <v>3</v>
      </c>
      <c r="U24" s="6">
        <v>3</v>
      </c>
      <c r="V24" s="6" t="s">
        <v>178</v>
      </c>
      <c r="W24" s="6" t="s">
        <v>178</v>
      </c>
      <c r="X24" s="6">
        <v>3</v>
      </c>
      <c r="Y24" s="6" t="s">
        <v>178</v>
      </c>
      <c r="Z24" s="6" t="s">
        <v>178</v>
      </c>
      <c r="AA24" s="6" t="s">
        <v>178</v>
      </c>
      <c r="AB24" s="5" t="s">
        <v>179</v>
      </c>
      <c r="AC24" s="6" t="s">
        <v>72</v>
      </c>
      <c r="AD24" s="148" t="s">
        <v>72</v>
      </c>
      <c r="AE24" s="135" t="s">
        <v>72</v>
      </c>
      <c r="AF24" s="1" t="s">
        <v>208</v>
      </c>
    </row>
    <row r="25" spans="1:32" x14ac:dyDescent="0.25">
      <c r="A25" s="145" t="str">
        <f t="shared" si="0"/>
        <v>Ofsted Webpage</v>
      </c>
      <c r="B25" s="144">
        <v>130648</v>
      </c>
      <c r="C25" s="144">
        <v>10005977</v>
      </c>
      <c r="D25" s="26" t="s">
        <v>1530</v>
      </c>
      <c r="E25" s="26" t="s">
        <v>81</v>
      </c>
      <c r="F25" s="26" t="s">
        <v>82</v>
      </c>
      <c r="G25" s="26" t="s">
        <v>1531</v>
      </c>
      <c r="H25" s="26" t="s">
        <v>198</v>
      </c>
      <c r="I25" s="26" t="s">
        <v>198</v>
      </c>
      <c r="J25" s="141">
        <v>10037375</v>
      </c>
      <c r="K25" s="2" t="s">
        <v>194</v>
      </c>
      <c r="L25" s="2" t="s">
        <v>177</v>
      </c>
      <c r="M25" s="2" t="s">
        <v>178</v>
      </c>
      <c r="N25" s="2">
        <v>43039</v>
      </c>
      <c r="O25" s="5">
        <v>43042</v>
      </c>
      <c r="P25" s="146">
        <v>43076</v>
      </c>
      <c r="Q25" s="6">
        <v>2</v>
      </c>
      <c r="R25" s="6">
        <v>2</v>
      </c>
      <c r="S25" s="6">
        <v>2</v>
      </c>
      <c r="T25" s="6">
        <v>2</v>
      </c>
      <c r="U25" s="6">
        <v>2</v>
      </c>
      <c r="V25" s="6">
        <v>3</v>
      </c>
      <c r="W25" s="6">
        <v>2</v>
      </c>
      <c r="X25" s="6" t="s">
        <v>178</v>
      </c>
      <c r="Y25" s="6" t="s">
        <v>178</v>
      </c>
      <c r="Z25" s="6">
        <v>2</v>
      </c>
      <c r="AA25" s="6">
        <v>2</v>
      </c>
      <c r="AB25" s="5" t="s">
        <v>179</v>
      </c>
      <c r="AC25" s="6" t="s">
        <v>1532</v>
      </c>
      <c r="AD25" s="148">
        <v>39759</v>
      </c>
      <c r="AE25" s="135">
        <v>1</v>
      </c>
      <c r="AF25" s="1" t="s">
        <v>201</v>
      </c>
    </row>
    <row r="26" spans="1:32" x14ac:dyDescent="0.25">
      <c r="A26" s="145" t="str">
        <f t="shared" si="0"/>
        <v>Ofsted Webpage</v>
      </c>
      <c r="B26" s="132">
        <v>58611</v>
      </c>
      <c r="C26" s="132">
        <v>10021684</v>
      </c>
      <c r="D26" s="118" t="s">
        <v>1453</v>
      </c>
      <c r="E26" s="118" t="s">
        <v>77</v>
      </c>
      <c r="F26" s="118" t="s">
        <v>76</v>
      </c>
      <c r="G26" s="118" t="s">
        <v>683</v>
      </c>
      <c r="H26" s="118" t="s">
        <v>175</v>
      </c>
      <c r="I26" s="118" t="s">
        <v>175</v>
      </c>
      <c r="J26" s="132">
        <v>10039583</v>
      </c>
      <c r="K26" s="118" t="s">
        <v>2864</v>
      </c>
      <c r="L26" s="3" t="s">
        <v>206</v>
      </c>
      <c r="M26" s="3" t="s">
        <v>200</v>
      </c>
      <c r="N26" s="119">
        <v>43039</v>
      </c>
      <c r="O26" s="119">
        <v>43040</v>
      </c>
      <c r="P26" s="146">
        <v>43075</v>
      </c>
      <c r="Q26" s="120">
        <v>9</v>
      </c>
      <c r="R26" s="120" t="s">
        <v>178</v>
      </c>
      <c r="S26" s="120" t="s">
        <v>178</v>
      </c>
      <c r="T26" s="120" t="s">
        <v>178</v>
      </c>
      <c r="U26" s="120" t="s">
        <v>178</v>
      </c>
      <c r="V26" s="122" t="s">
        <v>178</v>
      </c>
      <c r="W26" s="122" t="s">
        <v>178</v>
      </c>
      <c r="X26" s="122" t="s">
        <v>178</v>
      </c>
      <c r="Y26" s="122" t="s">
        <v>178</v>
      </c>
      <c r="Z26" s="120" t="s">
        <v>178</v>
      </c>
      <c r="AA26" s="122" t="s">
        <v>178</v>
      </c>
      <c r="AB26" s="120" t="s">
        <v>179</v>
      </c>
      <c r="AC26" s="142" t="s">
        <v>1454</v>
      </c>
      <c r="AD26" s="147">
        <v>41971</v>
      </c>
      <c r="AE26" s="120">
        <v>2</v>
      </c>
      <c r="AF26" s="118" t="s">
        <v>208</v>
      </c>
    </row>
    <row r="27" spans="1:32" x14ac:dyDescent="0.25">
      <c r="A27" s="145" t="str">
        <f t="shared" si="0"/>
        <v>Ofsted Webpage</v>
      </c>
      <c r="B27" s="141">
        <v>58729</v>
      </c>
      <c r="C27" s="141">
        <v>10022507</v>
      </c>
      <c r="D27" s="26" t="s">
        <v>2587</v>
      </c>
      <c r="E27" s="26" t="s">
        <v>78</v>
      </c>
      <c r="F27" s="26" t="s">
        <v>79</v>
      </c>
      <c r="G27" s="26" t="s">
        <v>683</v>
      </c>
      <c r="H27" s="26" t="s">
        <v>175</v>
      </c>
      <c r="I27" s="26" t="s">
        <v>175</v>
      </c>
      <c r="J27" s="141">
        <v>10039581</v>
      </c>
      <c r="K27" s="2" t="s">
        <v>211</v>
      </c>
      <c r="L27" s="2" t="s">
        <v>244</v>
      </c>
      <c r="M27" s="2" t="s">
        <v>179</v>
      </c>
      <c r="N27" s="2">
        <v>43025</v>
      </c>
      <c r="O27" s="5">
        <v>43041</v>
      </c>
      <c r="P27" s="146">
        <v>43075</v>
      </c>
      <c r="Q27" s="6">
        <v>3</v>
      </c>
      <c r="R27" s="6">
        <v>3</v>
      </c>
      <c r="S27" s="6">
        <v>3</v>
      </c>
      <c r="T27" s="6">
        <v>3</v>
      </c>
      <c r="U27" s="6">
        <v>3</v>
      </c>
      <c r="V27" s="6" t="s">
        <v>178</v>
      </c>
      <c r="W27" s="6" t="s">
        <v>178</v>
      </c>
      <c r="X27" s="6">
        <v>3</v>
      </c>
      <c r="Y27" s="6" t="s">
        <v>178</v>
      </c>
      <c r="Z27" s="6">
        <v>4</v>
      </c>
      <c r="AA27" s="6" t="s">
        <v>178</v>
      </c>
      <c r="AB27" s="5" t="s">
        <v>179</v>
      </c>
      <c r="AC27" s="143" t="s">
        <v>2588</v>
      </c>
      <c r="AD27" s="148">
        <v>41670</v>
      </c>
      <c r="AE27" s="135">
        <v>2</v>
      </c>
      <c r="AF27" s="1" t="s">
        <v>201</v>
      </c>
    </row>
    <row r="28" spans="1:32" x14ac:dyDescent="0.25">
      <c r="A28" s="145" t="str">
        <f t="shared" si="0"/>
        <v>Ofsted Webpage</v>
      </c>
      <c r="B28" s="144">
        <v>133808</v>
      </c>
      <c r="C28" s="144">
        <v>10001726</v>
      </c>
      <c r="D28" s="26" t="s">
        <v>275</v>
      </c>
      <c r="E28" s="26" t="s">
        <v>69</v>
      </c>
      <c r="F28" s="26" t="s">
        <v>222</v>
      </c>
      <c r="G28" s="26" t="s">
        <v>276</v>
      </c>
      <c r="H28" s="26" t="s">
        <v>193</v>
      </c>
      <c r="I28" s="26" t="s">
        <v>193</v>
      </c>
      <c r="J28" s="141">
        <v>10041328</v>
      </c>
      <c r="K28" s="2" t="s">
        <v>224</v>
      </c>
      <c r="L28" s="2" t="s">
        <v>177</v>
      </c>
      <c r="M28" s="2" t="s">
        <v>178</v>
      </c>
      <c r="N28" s="2">
        <v>43046</v>
      </c>
      <c r="O28" s="5">
        <v>43049</v>
      </c>
      <c r="P28" s="146">
        <v>43074</v>
      </c>
      <c r="Q28" s="6">
        <v>3</v>
      </c>
      <c r="R28" s="6">
        <v>3</v>
      </c>
      <c r="S28" s="6">
        <v>3</v>
      </c>
      <c r="T28" s="6">
        <v>3</v>
      </c>
      <c r="U28" s="6">
        <v>3</v>
      </c>
      <c r="V28" s="6" t="s">
        <v>178</v>
      </c>
      <c r="W28" s="6">
        <v>2</v>
      </c>
      <c r="X28" s="6">
        <v>3</v>
      </c>
      <c r="Y28" s="6" t="s">
        <v>178</v>
      </c>
      <c r="Z28" s="6" t="s">
        <v>178</v>
      </c>
      <c r="AA28" s="6" t="s">
        <v>178</v>
      </c>
      <c r="AB28" s="5" t="s">
        <v>179</v>
      </c>
      <c r="AC28" s="6" t="s">
        <v>277</v>
      </c>
      <c r="AD28" s="148">
        <v>41726</v>
      </c>
      <c r="AE28" s="135">
        <v>2</v>
      </c>
      <c r="AF28" s="1" t="s">
        <v>201</v>
      </c>
    </row>
    <row r="29" spans="1:32" x14ac:dyDescent="0.25">
      <c r="A29" s="145" t="str">
        <f t="shared" si="0"/>
        <v>Ofsted Webpage</v>
      </c>
      <c r="B29" s="144">
        <v>130479</v>
      </c>
      <c r="C29" s="144">
        <v>10005669</v>
      </c>
      <c r="D29" s="26" t="s">
        <v>2037</v>
      </c>
      <c r="E29" s="26" t="s">
        <v>81</v>
      </c>
      <c r="F29" s="26" t="s">
        <v>82</v>
      </c>
      <c r="G29" s="26" t="s">
        <v>967</v>
      </c>
      <c r="H29" s="26" t="s">
        <v>193</v>
      </c>
      <c r="I29" s="26" t="s">
        <v>193</v>
      </c>
      <c r="J29" s="141">
        <v>10037365</v>
      </c>
      <c r="K29" s="2" t="s">
        <v>241</v>
      </c>
      <c r="L29" s="2" t="s">
        <v>206</v>
      </c>
      <c r="M29" s="2" t="s">
        <v>200</v>
      </c>
      <c r="N29" s="2">
        <v>43054</v>
      </c>
      <c r="O29" s="5">
        <v>43055</v>
      </c>
      <c r="P29" s="146">
        <v>43073</v>
      </c>
      <c r="Q29" s="6">
        <v>9</v>
      </c>
      <c r="R29" s="6" t="s">
        <v>178</v>
      </c>
      <c r="S29" s="6" t="s">
        <v>178</v>
      </c>
      <c r="T29" s="6" t="s">
        <v>178</v>
      </c>
      <c r="U29" s="6" t="s">
        <v>178</v>
      </c>
      <c r="V29" s="6" t="s">
        <v>178</v>
      </c>
      <c r="W29" s="6" t="s">
        <v>178</v>
      </c>
      <c r="X29" s="6" t="s">
        <v>178</v>
      </c>
      <c r="Y29" s="6" t="s">
        <v>178</v>
      </c>
      <c r="Z29" s="6" t="s">
        <v>178</v>
      </c>
      <c r="AA29" s="6" t="s">
        <v>178</v>
      </c>
      <c r="AB29" s="5" t="s">
        <v>179</v>
      </c>
      <c r="AC29" s="6" t="s">
        <v>2038</v>
      </c>
      <c r="AD29" s="148">
        <v>41775</v>
      </c>
      <c r="AE29" s="135">
        <v>2</v>
      </c>
      <c r="AF29" s="1" t="s">
        <v>208</v>
      </c>
    </row>
    <row r="30" spans="1:32" x14ac:dyDescent="0.25">
      <c r="A30" s="145" t="str">
        <f t="shared" si="0"/>
        <v>Ofsted Webpage</v>
      </c>
      <c r="B30" s="144">
        <v>130851</v>
      </c>
      <c r="C30" s="144">
        <v>10004579</v>
      </c>
      <c r="D30" s="26" t="s">
        <v>1900</v>
      </c>
      <c r="E30" s="26" t="s">
        <v>81</v>
      </c>
      <c r="F30" s="26" t="s">
        <v>82</v>
      </c>
      <c r="G30" s="26" t="s">
        <v>197</v>
      </c>
      <c r="H30" s="26" t="s">
        <v>198</v>
      </c>
      <c r="I30" s="26" t="s">
        <v>198</v>
      </c>
      <c r="J30" s="141">
        <v>10037379</v>
      </c>
      <c r="K30" s="2" t="s">
        <v>241</v>
      </c>
      <c r="L30" s="2" t="s">
        <v>206</v>
      </c>
      <c r="M30" s="2" t="s">
        <v>200</v>
      </c>
      <c r="N30" s="2">
        <v>43041</v>
      </c>
      <c r="O30" s="5">
        <v>43042</v>
      </c>
      <c r="P30" s="146">
        <v>43073</v>
      </c>
      <c r="Q30" s="6">
        <v>9</v>
      </c>
      <c r="R30" s="6" t="s">
        <v>178</v>
      </c>
      <c r="S30" s="6" t="s">
        <v>178</v>
      </c>
      <c r="T30" s="6" t="s">
        <v>178</v>
      </c>
      <c r="U30" s="6" t="s">
        <v>178</v>
      </c>
      <c r="V30" s="6" t="s">
        <v>178</v>
      </c>
      <c r="W30" s="6" t="s">
        <v>178</v>
      </c>
      <c r="X30" s="6" t="s">
        <v>178</v>
      </c>
      <c r="Y30" s="6" t="s">
        <v>178</v>
      </c>
      <c r="Z30" s="6" t="s">
        <v>178</v>
      </c>
      <c r="AA30" s="6" t="s">
        <v>178</v>
      </c>
      <c r="AB30" s="5" t="s">
        <v>179</v>
      </c>
      <c r="AC30" s="6" t="s">
        <v>1901</v>
      </c>
      <c r="AD30" s="148">
        <v>41978</v>
      </c>
      <c r="AE30" s="135">
        <v>2</v>
      </c>
      <c r="AF30" s="1" t="s">
        <v>208</v>
      </c>
    </row>
    <row r="31" spans="1:32" x14ac:dyDescent="0.25">
      <c r="A31" s="145" t="str">
        <f t="shared" si="0"/>
        <v>Ofsted Webpage</v>
      </c>
      <c r="B31" s="141">
        <v>52888</v>
      </c>
      <c r="C31" s="141">
        <v>10013665</v>
      </c>
      <c r="D31" s="26" t="s">
        <v>2173</v>
      </c>
      <c r="E31" s="26" t="s">
        <v>78</v>
      </c>
      <c r="F31" s="26" t="s">
        <v>79</v>
      </c>
      <c r="G31" s="26" t="s">
        <v>714</v>
      </c>
      <c r="H31" s="26" t="s">
        <v>204</v>
      </c>
      <c r="I31" s="26" t="s">
        <v>188</v>
      </c>
      <c r="J31" s="141">
        <v>10030732</v>
      </c>
      <c r="K31" s="2" t="s">
        <v>211</v>
      </c>
      <c r="L31" s="2" t="s">
        <v>177</v>
      </c>
      <c r="M31" s="2" t="s">
        <v>178</v>
      </c>
      <c r="N31" s="2">
        <v>43032</v>
      </c>
      <c r="O31" s="5">
        <v>43035</v>
      </c>
      <c r="P31" s="146">
        <v>43070</v>
      </c>
      <c r="Q31" s="6">
        <v>4</v>
      </c>
      <c r="R31" s="6">
        <v>4</v>
      </c>
      <c r="S31" s="6">
        <v>4</v>
      </c>
      <c r="T31" s="6">
        <v>4</v>
      </c>
      <c r="U31" s="6">
        <v>4</v>
      </c>
      <c r="V31" s="6" t="s">
        <v>178</v>
      </c>
      <c r="W31" s="6" t="s">
        <v>178</v>
      </c>
      <c r="X31" s="6">
        <v>4</v>
      </c>
      <c r="Y31" s="6" t="s">
        <v>178</v>
      </c>
      <c r="Z31" s="6" t="s">
        <v>178</v>
      </c>
      <c r="AA31" s="6" t="s">
        <v>178</v>
      </c>
      <c r="AB31" s="5" t="s">
        <v>200</v>
      </c>
      <c r="AC31" s="143" t="s">
        <v>2174</v>
      </c>
      <c r="AD31" s="148">
        <v>38772</v>
      </c>
      <c r="AE31" s="135">
        <v>2</v>
      </c>
      <c r="AF31" s="1" t="s">
        <v>201</v>
      </c>
    </row>
    <row r="32" spans="1:32" x14ac:dyDescent="0.25">
      <c r="A32" s="145" t="str">
        <f t="shared" si="0"/>
        <v>Ofsted Webpage</v>
      </c>
      <c r="B32" s="144">
        <v>50257</v>
      </c>
      <c r="C32" s="144">
        <v>10000020</v>
      </c>
      <c r="D32" s="26" t="s">
        <v>1775</v>
      </c>
      <c r="E32" s="26" t="s">
        <v>78</v>
      </c>
      <c r="F32" s="26" t="s">
        <v>79</v>
      </c>
      <c r="G32" s="26" t="s">
        <v>546</v>
      </c>
      <c r="H32" s="26" t="s">
        <v>175</v>
      </c>
      <c r="I32" s="26" t="s">
        <v>175</v>
      </c>
      <c r="J32" s="141">
        <v>10022541</v>
      </c>
      <c r="K32" s="2" t="s">
        <v>205</v>
      </c>
      <c r="L32" s="2" t="s">
        <v>206</v>
      </c>
      <c r="M32" s="2" t="s">
        <v>200</v>
      </c>
      <c r="N32" s="2">
        <v>43041</v>
      </c>
      <c r="O32" s="5">
        <v>43042</v>
      </c>
      <c r="P32" s="146">
        <v>43070</v>
      </c>
      <c r="Q32" s="6">
        <v>9</v>
      </c>
      <c r="R32" s="6" t="s">
        <v>178</v>
      </c>
      <c r="S32" s="6" t="s">
        <v>178</v>
      </c>
      <c r="T32" s="6" t="s">
        <v>178</v>
      </c>
      <c r="U32" s="6" t="s">
        <v>178</v>
      </c>
      <c r="V32" s="6" t="s">
        <v>178</v>
      </c>
      <c r="W32" s="6" t="s">
        <v>178</v>
      </c>
      <c r="X32" s="6" t="s">
        <v>178</v>
      </c>
      <c r="Y32" s="6" t="s">
        <v>178</v>
      </c>
      <c r="Z32" s="6" t="s">
        <v>178</v>
      </c>
      <c r="AA32" s="6" t="s">
        <v>178</v>
      </c>
      <c r="AB32" s="5" t="s">
        <v>179</v>
      </c>
      <c r="AC32" s="6" t="s">
        <v>1776</v>
      </c>
      <c r="AD32" s="148">
        <v>41859</v>
      </c>
      <c r="AE32" s="135">
        <v>2</v>
      </c>
      <c r="AF32" s="1" t="s">
        <v>208</v>
      </c>
    </row>
    <row r="33" spans="1:32" x14ac:dyDescent="0.25">
      <c r="A33" s="145" t="str">
        <f t="shared" si="0"/>
        <v>Ofsted Webpage</v>
      </c>
      <c r="B33" s="141">
        <v>54519</v>
      </c>
      <c r="C33" s="141">
        <v>10006029</v>
      </c>
      <c r="D33" s="26" t="s">
        <v>1405</v>
      </c>
      <c r="E33" s="26" t="s">
        <v>75</v>
      </c>
      <c r="F33" s="26" t="s">
        <v>76</v>
      </c>
      <c r="G33" s="26" t="s">
        <v>1406</v>
      </c>
      <c r="H33" s="26" t="s">
        <v>287</v>
      </c>
      <c r="I33" s="26" t="s">
        <v>287</v>
      </c>
      <c r="J33" s="141">
        <v>10037435</v>
      </c>
      <c r="K33" s="2" t="s">
        <v>251</v>
      </c>
      <c r="L33" s="2" t="s">
        <v>206</v>
      </c>
      <c r="M33" s="2" t="s">
        <v>200</v>
      </c>
      <c r="N33" s="2">
        <v>43039</v>
      </c>
      <c r="O33" s="5">
        <v>43040</v>
      </c>
      <c r="P33" s="146">
        <v>43069</v>
      </c>
      <c r="Q33" s="6">
        <v>9</v>
      </c>
      <c r="R33" s="6" t="s">
        <v>178</v>
      </c>
      <c r="S33" s="6" t="s">
        <v>178</v>
      </c>
      <c r="T33" s="6" t="s">
        <v>178</v>
      </c>
      <c r="U33" s="6" t="s">
        <v>178</v>
      </c>
      <c r="V33" s="6" t="s">
        <v>178</v>
      </c>
      <c r="W33" s="6" t="s">
        <v>178</v>
      </c>
      <c r="X33" s="6" t="s">
        <v>178</v>
      </c>
      <c r="Y33" s="6" t="s">
        <v>178</v>
      </c>
      <c r="Z33" s="6" t="s">
        <v>178</v>
      </c>
      <c r="AA33" s="6" t="s">
        <v>178</v>
      </c>
      <c r="AB33" s="5" t="s">
        <v>179</v>
      </c>
      <c r="AC33" s="143" t="s">
        <v>1407</v>
      </c>
      <c r="AD33" s="148">
        <v>41922</v>
      </c>
      <c r="AE33" s="135">
        <v>2</v>
      </c>
      <c r="AF33" s="1" t="s">
        <v>208</v>
      </c>
    </row>
    <row r="34" spans="1:32" x14ac:dyDescent="0.25">
      <c r="A34" s="145" t="str">
        <f t="shared" si="0"/>
        <v>Ofsted Webpage</v>
      </c>
      <c r="B34" s="144">
        <v>59233</v>
      </c>
      <c r="C34" s="144">
        <v>10044778</v>
      </c>
      <c r="D34" s="26" t="s">
        <v>328</v>
      </c>
      <c r="E34" s="26" t="s">
        <v>80</v>
      </c>
      <c r="F34" s="26" t="s">
        <v>79</v>
      </c>
      <c r="G34" s="26" t="s">
        <v>329</v>
      </c>
      <c r="H34" s="26" t="s">
        <v>175</v>
      </c>
      <c r="I34" s="26" t="s">
        <v>175</v>
      </c>
      <c r="J34" s="141">
        <v>10041031</v>
      </c>
      <c r="K34" s="2" t="s">
        <v>183</v>
      </c>
      <c r="L34" s="2" t="s">
        <v>177</v>
      </c>
      <c r="M34" s="2" t="s">
        <v>178</v>
      </c>
      <c r="N34" s="2">
        <v>43039</v>
      </c>
      <c r="O34" s="5">
        <v>43042</v>
      </c>
      <c r="P34" s="146">
        <v>43069</v>
      </c>
      <c r="Q34" s="6">
        <v>3</v>
      </c>
      <c r="R34" s="6">
        <v>3</v>
      </c>
      <c r="S34" s="6">
        <v>3</v>
      </c>
      <c r="T34" s="6">
        <v>3</v>
      </c>
      <c r="U34" s="6">
        <v>3</v>
      </c>
      <c r="V34" s="6" t="s">
        <v>178</v>
      </c>
      <c r="W34" s="6" t="s">
        <v>178</v>
      </c>
      <c r="X34" s="6" t="s">
        <v>178</v>
      </c>
      <c r="Y34" s="6" t="s">
        <v>178</v>
      </c>
      <c r="Z34" s="6">
        <v>3</v>
      </c>
      <c r="AA34" s="6" t="s">
        <v>178</v>
      </c>
      <c r="AB34" s="5" t="s">
        <v>179</v>
      </c>
      <c r="AC34" s="6" t="s">
        <v>72</v>
      </c>
      <c r="AD34" s="148" t="s">
        <v>72</v>
      </c>
      <c r="AE34" s="135" t="s">
        <v>72</v>
      </c>
      <c r="AF34" s="1" t="s">
        <v>208</v>
      </c>
    </row>
    <row r="35" spans="1:32" x14ac:dyDescent="0.25">
      <c r="A35" s="145" t="str">
        <f t="shared" si="0"/>
        <v>Ofsted Webpage</v>
      </c>
      <c r="B35" s="144">
        <v>130820</v>
      </c>
      <c r="C35" s="144">
        <v>10006398</v>
      </c>
      <c r="D35" s="26" t="s">
        <v>418</v>
      </c>
      <c r="E35" s="26" t="s">
        <v>81</v>
      </c>
      <c r="F35" s="26" t="s">
        <v>82</v>
      </c>
      <c r="G35" s="26" t="s">
        <v>419</v>
      </c>
      <c r="H35" s="26" t="s">
        <v>287</v>
      </c>
      <c r="I35" s="26" t="s">
        <v>287</v>
      </c>
      <c r="J35" s="141">
        <v>10037407</v>
      </c>
      <c r="K35" s="2" t="s">
        <v>215</v>
      </c>
      <c r="L35" s="2" t="s">
        <v>177</v>
      </c>
      <c r="M35" s="2" t="s">
        <v>178</v>
      </c>
      <c r="N35" s="2">
        <v>43025</v>
      </c>
      <c r="O35" s="5">
        <v>43028</v>
      </c>
      <c r="P35" s="146">
        <v>43069</v>
      </c>
      <c r="Q35" s="6">
        <v>2</v>
      </c>
      <c r="R35" s="6">
        <v>2</v>
      </c>
      <c r="S35" s="6">
        <v>2</v>
      </c>
      <c r="T35" s="6">
        <v>2</v>
      </c>
      <c r="U35" s="6">
        <v>2</v>
      </c>
      <c r="V35" s="6" t="s">
        <v>178</v>
      </c>
      <c r="W35" s="6">
        <v>2</v>
      </c>
      <c r="X35" s="6">
        <v>2</v>
      </c>
      <c r="Y35" s="6" t="s">
        <v>178</v>
      </c>
      <c r="Z35" s="6">
        <v>2</v>
      </c>
      <c r="AA35" s="6" t="s">
        <v>178</v>
      </c>
      <c r="AB35" s="5" t="s">
        <v>179</v>
      </c>
      <c r="AC35" s="6">
        <v>10004779</v>
      </c>
      <c r="AD35" s="148">
        <v>42321</v>
      </c>
      <c r="AE35" s="135">
        <v>3</v>
      </c>
      <c r="AF35" s="1" t="s">
        <v>216</v>
      </c>
    </row>
    <row r="36" spans="1:32" x14ac:dyDescent="0.25">
      <c r="A36" s="145" t="str">
        <f t="shared" si="0"/>
        <v>Ofsted Webpage</v>
      </c>
      <c r="B36" s="144">
        <v>53615</v>
      </c>
      <c r="C36" s="144">
        <v>10004723</v>
      </c>
      <c r="D36" s="26" t="s">
        <v>990</v>
      </c>
      <c r="E36" s="26" t="s">
        <v>77</v>
      </c>
      <c r="F36" s="26" t="s">
        <v>76</v>
      </c>
      <c r="G36" s="26" t="s">
        <v>237</v>
      </c>
      <c r="H36" s="26" t="s">
        <v>238</v>
      </c>
      <c r="I36" s="26" t="s">
        <v>238</v>
      </c>
      <c r="J36" s="141">
        <v>10037338</v>
      </c>
      <c r="K36" s="2" t="s">
        <v>2864</v>
      </c>
      <c r="L36" s="2" t="s">
        <v>206</v>
      </c>
      <c r="M36" s="2" t="s">
        <v>200</v>
      </c>
      <c r="N36" s="2">
        <v>43040</v>
      </c>
      <c r="O36" s="5">
        <v>43041</v>
      </c>
      <c r="P36" s="146">
        <v>43069</v>
      </c>
      <c r="Q36" s="6">
        <v>9</v>
      </c>
      <c r="R36" s="6" t="s">
        <v>178</v>
      </c>
      <c r="S36" s="6" t="s">
        <v>178</v>
      </c>
      <c r="T36" s="6" t="s">
        <v>178</v>
      </c>
      <c r="U36" s="6" t="s">
        <v>178</v>
      </c>
      <c r="V36" s="6" t="s">
        <v>178</v>
      </c>
      <c r="W36" s="6" t="s">
        <v>178</v>
      </c>
      <c r="X36" s="6" t="s">
        <v>178</v>
      </c>
      <c r="Y36" s="6" t="s">
        <v>178</v>
      </c>
      <c r="Z36" s="6" t="s">
        <v>178</v>
      </c>
      <c r="AA36" s="6" t="s">
        <v>178</v>
      </c>
      <c r="AB36" s="5" t="s">
        <v>179</v>
      </c>
      <c r="AC36" s="6" t="s">
        <v>991</v>
      </c>
      <c r="AD36" s="148">
        <v>42118</v>
      </c>
      <c r="AE36" s="135">
        <v>2</v>
      </c>
      <c r="AF36" s="1" t="s">
        <v>208</v>
      </c>
    </row>
    <row r="37" spans="1:32" x14ac:dyDescent="0.25">
      <c r="A37" s="145" t="str">
        <f t="shared" ref="A37:A68" si="1">HYPERLINK("http://www.ofsted.gov.uk/inspection-reports/find-inspection-report/provider/ELS/"&amp;B37,"Ofsted Webpage")</f>
        <v>Ofsted Webpage</v>
      </c>
      <c r="B37" s="144">
        <v>130825</v>
      </c>
      <c r="C37" s="144">
        <v>10000950</v>
      </c>
      <c r="D37" s="26" t="s">
        <v>429</v>
      </c>
      <c r="E37" s="26" t="s">
        <v>81</v>
      </c>
      <c r="F37" s="26" t="s">
        <v>82</v>
      </c>
      <c r="G37" s="26" t="s">
        <v>421</v>
      </c>
      <c r="H37" s="26" t="s">
        <v>219</v>
      </c>
      <c r="I37" s="26" t="s">
        <v>219</v>
      </c>
      <c r="J37" s="141">
        <v>10037370</v>
      </c>
      <c r="K37" s="2" t="s">
        <v>241</v>
      </c>
      <c r="L37" s="2" t="s">
        <v>206</v>
      </c>
      <c r="M37" s="2" t="s">
        <v>200</v>
      </c>
      <c r="N37" s="2">
        <v>43040</v>
      </c>
      <c r="O37" s="5">
        <v>43041</v>
      </c>
      <c r="P37" s="146">
        <v>43069</v>
      </c>
      <c r="Q37" s="6">
        <v>9</v>
      </c>
      <c r="R37" s="6" t="s">
        <v>178</v>
      </c>
      <c r="S37" s="6" t="s">
        <v>178</v>
      </c>
      <c r="T37" s="6" t="s">
        <v>178</v>
      </c>
      <c r="U37" s="6" t="s">
        <v>178</v>
      </c>
      <c r="V37" s="6" t="s">
        <v>178</v>
      </c>
      <c r="W37" s="6" t="s">
        <v>178</v>
      </c>
      <c r="X37" s="6" t="s">
        <v>178</v>
      </c>
      <c r="Y37" s="6" t="s">
        <v>178</v>
      </c>
      <c r="Z37" s="6" t="s">
        <v>178</v>
      </c>
      <c r="AA37" s="6" t="s">
        <v>178</v>
      </c>
      <c r="AB37" s="5" t="s">
        <v>179</v>
      </c>
      <c r="AC37" s="6" t="s">
        <v>430</v>
      </c>
      <c r="AD37" s="148">
        <v>41614</v>
      </c>
      <c r="AE37" s="135">
        <v>2</v>
      </c>
      <c r="AF37" s="1" t="s">
        <v>208</v>
      </c>
    </row>
    <row r="38" spans="1:32" x14ac:dyDescent="0.25">
      <c r="A38" s="145" t="str">
        <f t="shared" si="1"/>
        <v>Ofsted Webpage</v>
      </c>
      <c r="B38" s="141">
        <v>53861</v>
      </c>
      <c r="C38" s="141">
        <v>10005064</v>
      </c>
      <c r="D38" s="26" t="s">
        <v>1003</v>
      </c>
      <c r="E38" s="26" t="s">
        <v>77</v>
      </c>
      <c r="F38" s="26" t="s">
        <v>76</v>
      </c>
      <c r="G38" s="26" t="s">
        <v>1004</v>
      </c>
      <c r="H38" s="26" t="s">
        <v>219</v>
      </c>
      <c r="I38" s="26" t="s">
        <v>219</v>
      </c>
      <c r="J38" s="141">
        <v>10037339</v>
      </c>
      <c r="K38" s="2" t="s">
        <v>2864</v>
      </c>
      <c r="L38" s="2" t="s">
        <v>206</v>
      </c>
      <c r="M38" s="2" t="s">
        <v>200</v>
      </c>
      <c r="N38" s="2">
        <v>43040</v>
      </c>
      <c r="O38" s="5">
        <v>43041</v>
      </c>
      <c r="P38" s="146">
        <v>43068</v>
      </c>
      <c r="Q38" s="6">
        <v>9</v>
      </c>
      <c r="R38" s="6" t="s">
        <v>178</v>
      </c>
      <c r="S38" s="6" t="s">
        <v>178</v>
      </c>
      <c r="T38" s="6" t="s">
        <v>178</v>
      </c>
      <c r="U38" s="6" t="s">
        <v>178</v>
      </c>
      <c r="V38" s="6" t="s">
        <v>178</v>
      </c>
      <c r="W38" s="6" t="s">
        <v>178</v>
      </c>
      <c r="X38" s="6" t="s">
        <v>178</v>
      </c>
      <c r="Y38" s="6" t="s">
        <v>178</v>
      </c>
      <c r="Z38" s="6" t="s">
        <v>178</v>
      </c>
      <c r="AA38" s="6" t="s">
        <v>178</v>
      </c>
      <c r="AB38" s="5" t="s">
        <v>179</v>
      </c>
      <c r="AC38" s="143" t="s">
        <v>1005</v>
      </c>
      <c r="AD38" s="148">
        <v>41670</v>
      </c>
      <c r="AE38" s="135">
        <v>2</v>
      </c>
      <c r="AF38" s="1" t="s">
        <v>208</v>
      </c>
    </row>
    <row r="39" spans="1:32" x14ac:dyDescent="0.25">
      <c r="A39" s="145" t="str">
        <f t="shared" si="1"/>
        <v>Ofsted Webpage</v>
      </c>
      <c r="B39" s="144">
        <v>1236915</v>
      </c>
      <c r="C39" s="144">
        <v>10045136</v>
      </c>
      <c r="D39" s="26" t="s">
        <v>2829</v>
      </c>
      <c r="E39" s="26" t="s">
        <v>78</v>
      </c>
      <c r="F39" s="26" t="s">
        <v>79</v>
      </c>
      <c r="G39" s="26" t="s">
        <v>234</v>
      </c>
      <c r="H39" s="26" t="s">
        <v>175</v>
      </c>
      <c r="I39" s="26" t="s">
        <v>175</v>
      </c>
      <c r="J39" s="141">
        <v>10037426</v>
      </c>
      <c r="K39" s="2" t="s">
        <v>211</v>
      </c>
      <c r="L39" s="2" t="s">
        <v>177</v>
      </c>
      <c r="M39" s="2" t="s">
        <v>178</v>
      </c>
      <c r="N39" s="2">
        <v>43039</v>
      </c>
      <c r="O39" s="5">
        <v>43041</v>
      </c>
      <c r="P39" s="146">
        <v>43068</v>
      </c>
      <c r="Q39" s="6">
        <v>3</v>
      </c>
      <c r="R39" s="6">
        <v>3</v>
      </c>
      <c r="S39" s="6">
        <v>3</v>
      </c>
      <c r="T39" s="6">
        <v>2</v>
      </c>
      <c r="U39" s="6">
        <v>3</v>
      </c>
      <c r="V39" s="6" t="s">
        <v>178</v>
      </c>
      <c r="W39" s="6" t="s">
        <v>178</v>
      </c>
      <c r="X39" s="6">
        <v>3</v>
      </c>
      <c r="Y39" s="6" t="s">
        <v>178</v>
      </c>
      <c r="Z39" s="6" t="s">
        <v>178</v>
      </c>
      <c r="AA39" s="6" t="s">
        <v>178</v>
      </c>
      <c r="AB39" s="5" t="s">
        <v>179</v>
      </c>
      <c r="AC39" s="6" t="s">
        <v>72</v>
      </c>
      <c r="AD39" s="148" t="s">
        <v>72</v>
      </c>
      <c r="AE39" s="135" t="s">
        <v>72</v>
      </c>
      <c r="AF39" s="1" t="s">
        <v>208</v>
      </c>
    </row>
    <row r="40" spans="1:32" x14ac:dyDescent="0.25">
      <c r="A40" s="145" t="str">
        <f t="shared" si="1"/>
        <v>Ofsted Webpage</v>
      </c>
      <c r="B40" s="141">
        <v>130756</v>
      </c>
      <c r="C40" s="141">
        <v>10007671</v>
      </c>
      <c r="D40" s="26" t="s">
        <v>1889</v>
      </c>
      <c r="E40" s="26" t="s">
        <v>83</v>
      </c>
      <c r="F40" s="26" t="s">
        <v>82</v>
      </c>
      <c r="G40" s="26" t="s">
        <v>227</v>
      </c>
      <c r="H40" s="26" t="s">
        <v>214</v>
      </c>
      <c r="I40" s="26" t="s">
        <v>214</v>
      </c>
      <c r="J40" s="141">
        <v>10040627</v>
      </c>
      <c r="K40" s="2" t="s">
        <v>228</v>
      </c>
      <c r="L40" s="2" t="s">
        <v>177</v>
      </c>
      <c r="M40" s="2" t="s">
        <v>178</v>
      </c>
      <c r="N40" s="2">
        <v>43039</v>
      </c>
      <c r="O40" s="5">
        <v>43042</v>
      </c>
      <c r="P40" s="146">
        <v>43066</v>
      </c>
      <c r="Q40" s="6">
        <v>2</v>
      </c>
      <c r="R40" s="6">
        <v>2</v>
      </c>
      <c r="S40" s="6">
        <v>2</v>
      </c>
      <c r="T40" s="6">
        <v>2</v>
      </c>
      <c r="U40" s="6">
        <v>2</v>
      </c>
      <c r="V40" s="6" t="s">
        <v>178</v>
      </c>
      <c r="W40" s="6">
        <v>2</v>
      </c>
      <c r="X40" s="6" t="s">
        <v>178</v>
      </c>
      <c r="Y40" s="6" t="s">
        <v>178</v>
      </c>
      <c r="Z40" s="6" t="s">
        <v>178</v>
      </c>
      <c r="AA40" s="6" t="s">
        <v>178</v>
      </c>
      <c r="AB40" s="5" t="s">
        <v>179</v>
      </c>
      <c r="AC40" s="143">
        <v>10004757</v>
      </c>
      <c r="AD40" s="5">
        <v>42440</v>
      </c>
      <c r="AE40" s="135">
        <v>3</v>
      </c>
      <c r="AF40" s="1" t="s">
        <v>216</v>
      </c>
    </row>
    <row r="41" spans="1:32" x14ac:dyDescent="0.25">
      <c r="A41" s="145" t="str">
        <f t="shared" si="1"/>
        <v>Ofsted Webpage</v>
      </c>
      <c r="B41" s="144">
        <v>51170</v>
      </c>
      <c r="C41" s="144">
        <v>10001436</v>
      </c>
      <c r="D41" s="26" t="s">
        <v>1463</v>
      </c>
      <c r="E41" s="26" t="s">
        <v>77</v>
      </c>
      <c r="F41" s="26" t="s">
        <v>76</v>
      </c>
      <c r="G41" s="26" t="s">
        <v>296</v>
      </c>
      <c r="H41" s="26" t="s">
        <v>287</v>
      </c>
      <c r="I41" s="26" t="s">
        <v>287</v>
      </c>
      <c r="J41" s="141">
        <v>10030785</v>
      </c>
      <c r="K41" s="2" t="s">
        <v>189</v>
      </c>
      <c r="L41" s="2" t="s">
        <v>177</v>
      </c>
      <c r="M41" s="2" t="s">
        <v>178</v>
      </c>
      <c r="N41" s="2">
        <v>43018</v>
      </c>
      <c r="O41" s="5">
        <v>43021</v>
      </c>
      <c r="P41" s="146">
        <v>43063</v>
      </c>
      <c r="Q41" s="6">
        <v>1</v>
      </c>
      <c r="R41" s="6">
        <v>1</v>
      </c>
      <c r="S41" s="6">
        <v>1</v>
      </c>
      <c r="T41" s="6">
        <v>1</v>
      </c>
      <c r="U41" s="6">
        <v>1</v>
      </c>
      <c r="V41" s="6" t="s">
        <v>178</v>
      </c>
      <c r="W41" s="6" t="s">
        <v>178</v>
      </c>
      <c r="X41" s="6" t="s">
        <v>178</v>
      </c>
      <c r="Y41" s="6" t="s">
        <v>178</v>
      </c>
      <c r="Z41" s="6">
        <v>1</v>
      </c>
      <c r="AA41" s="6" t="s">
        <v>178</v>
      </c>
      <c r="AB41" s="5" t="s">
        <v>179</v>
      </c>
      <c r="AC41" s="6" t="s">
        <v>1464</v>
      </c>
      <c r="AD41" s="148">
        <v>41243</v>
      </c>
      <c r="AE41" s="135">
        <v>1</v>
      </c>
      <c r="AF41" s="1" t="s">
        <v>180</v>
      </c>
    </row>
    <row r="42" spans="1:32" x14ac:dyDescent="0.25">
      <c r="A42" s="145" t="str">
        <f t="shared" si="1"/>
        <v>Ofsted Webpage</v>
      </c>
      <c r="B42" s="144">
        <v>53674</v>
      </c>
      <c r="C42" s="144">
        <v>10004801</v>
      </c>
      <c r="D42" s="26" t="s">
        <v>1165</v>
      </c>
      <c r="E42" s="26" t="s">
        <v>75</v>
      </c>
      <c r="F42" s="26" t="s">
        <v>76</v>
      </c>
      <c r="G42" s="26" t="s">
        <v>331</v>
      </c>
      <c r="H42" s="26" t="s">
        <v>214</v>
      </c>
      <c r="I42" s="26" t="s">
        <v>214</v>
      </c>
      <c r="J42" s="141">
        <v>10037346</v>
      </c>
      <c r="K42" s="2" t="s">
        <v>308</v>
      </c>
      <c r="L42" s="2" t="s">
        <v>177</v>
      </c>
      <c r="M42" s="2" t="s">
        <v>178</v>
      </c>
      <c r="N42" s="2">
        <v>43024</v>
      </c>
      <c r="O42" s="5">
        <v>43027</v>
      </c>
      <c r="P42" s="146">
        <v>43063</v>
      </c>
      <c r="Q42" s="6">
        <v>2</v>
      </c>
      <c r="R42" s="6">
        <v>2</v>
      </c>
      <c r="S42" s="6">
        <v>2</v>
      </c>
      <c r="T42" s="6">
        <v>2</v>
      </c>
      <c r="U42" s="6">
        <v>2</v>
      </c>
      <c r="V42" s="6" t="s">
        <v>178</v>
      </c>
      <c r="W42" s="6">
        <v>2</v>
      </c>
      <c r="X42" s="6">
        <v>2</v>
      </c>
      <c r="Y42" s="6" t="s">
        <v>178</v>
      </c>
      <c r="Z42" s="6" t="s">
        <v>178</v>
      </c>
      <c r="AA42" s="6" t="s">
        <v>178</v>
      </c>
      <c r="AB42" s="5" t="s">
        <v>179</v>
      </c>
      <c r="AC42" s="6" t="s">
        <v>1166</v>
      </c>
      <c r="AD42" s="148">
        <v>42139</v>
      </c>
      <c r="AE42" s="135">
        <v>2</v>
      </c>
      <c r="AF42" s="1" t="s">
        <v>180</v>
      </c>
    </row>
    <row r="43" spans="1:32" x14ac:dyDescent="0.25">
      <c r="A43" s="145" t="str">
        <f t="shared" si="1"/>
        <v>Ofsted Webpage</v>
      </c>
      <c r="B43" s="141">
        <v>145003</v>
      </c>
      <c r="C43" s="141">
        <v>10065146</v>
      </c>
      <c r="D43" s="26" t="s">
        <v>1095</v>
      </c>
      <c r="E43" s="26" t="s">
        <v>88</v>
      </c>
      <c r="F43" s="26" t="s">
        <v>74</v>
      </c>
      <c r="G43" s="26" t="s">
        <v>530</v>
      </c>
      <c r="H43" s="26" t="s">
        <v>193</v>
      </c>
      <c r="I43" s="26" t="s">
        <v>193</v>
      </c>
      <c r="J43" s="141">
        <v>10041471</v>
      </c>
      <c r="K43" s="2" t="s">
        <v>2865</v>
      </c>
      <c r="L43" s="2" t="s">
        <v>206</v>
      </c>
      <c r="M43" s="2" t="s">
        <v>200</v>
      </c>
      <c r="N43" s="2">
        <v>43025</v>
      </c>
      <c r="O43" s="5">
        <v>43026</v>
      </c>
      <c r="P43" s="146">
        <v>43062</v>
      </c>
      <c r="Q43" s="6">
        <v>9</v>
      </c>
      <c r="R43" s="6" t="s">
        <v>178</v>
      </c>
      <c r="S43" s="6" t="s">
        <v>178</v>
      </c>
      <c r="T43" s="6" t="s">
        <v>178</v>
      </c>
      <c r="U43" s="6" t="s">
        <v>178</v>
      </c>
      <c r="V43" s="6" t="s">
        <v>178</v>
      </c>
      <c r="W43" s="6" t="s">
        <v>178</v>
      </c>
      <c r="X43" s="6" t="s">
        <v>178</v>
      </c>
      <c r="Y43" s="6" t="s">
        <v>178</v>
      </c>
      <c r="Z43" s="6" t="s">
        <v>178</v>
      </c>
      <c r="AA43" s="6" t="s">
        <v>178</v>
      </c>
      <c r="AB43" s="5" t="s">
        <v>179</v>
      </c>
      <c r="AC43" s="143" t="s">
        <v>1096</v>
      </c>
      <c r="AD43" s="148">
        <v>42118</v>
      </c>
      <c r="AE43" s="135">
        <v>2</v>
      </c>
      <c r="AF43" s="1" t="s">
        <v>208</v>
      </c>
    </row>
    <row r="44" spans="1:32" x14ac:dyDescent="0.25">
      <c r="A44" s="145" t="str">
        <f t="shared" si="1"/>
        <v>Ofsted Webpage</v>
      </c>
      <c r="B44" s="144">
        <v>139218</v>
      </c>
      <c r="C44" s="144">
        <v>10024772</v>
      </c>
      <c r="D44" s="26" t="s">
        <v>1363</v>
      </c>
      <c r="E44" s="26" t="s">
        <v>70</v>
      </c>
      <c r="F44" s="26" t="s">
        <v>71</v>
      </c>
      <c r="G44" s="26" t="s">
        <v>608</v>
      </c>
      <c r="H44" s="26" t="s">
        <v>238</v>
      </c>
      <c r="I44" s="26" t="s">
        <v>238</v>
      </c>
      <c r="J44" s="141">
        <v>10030787</v>
      </c>
      <c r="K44" s="2" t="s">
        <v>270</v>
      </c>
      <c r="L44" s="2" t="s">
        <v>177</v>
      </c>
      <c r="M44" s="2" t="s">
        <v>178</v>
      </c>
      <c r="N44" s="2">
        <v>43026</v>
      </c>
      <c r="O44" s="5">
        <v>43028</v>
      </c>
      <c r="P44" s="146">
        <v>43062</v>
      </c>
      <c r="Q44" s="6">
        <v>2</v>
      </c>
      <c r="R44" s="6">
        <v>2</v>
      </c>
      <c r="S44" s="6">
        <v>2</v>
      </c>
      <c r="T44" s="6">
        <v>1</v>
      </c>
      <c r="U44" s="6">
        <v>2</v>
      </c>
      <c r="V44" s="6" t="s">
        <v>178</v>
      </c>
      <c r="W44" s="6" t="s">
        <v>178</v>
      </c>
      <c r="X44" s="6" t="s">
        <v>178</v>
      </c>
      <c r="Y44" s="6" t="s">
        <v>178</v>
      </c>
      <c r="Z44" s="6" t="s">
        <v>178</v>
      </c>
      <c r="AA44" s="6">
        <v>2</v>
      </c>
      <c r="AB44" s="5" t="s">
        <v>179</v>
      </c>
      <c r="AC44" s="6" t="s">
        <v>1364</v>
      </c>
      <c r="AD44" s="148">
        <v>41460</v>
      </c>
      <c r="AE44" s="135">
        <v>1</v>
      </c>
      <c r="AF44" s="1" t="s">
        <v>201</v>
      </c>
    </row>
    <row r="45" spans="1:32" x14ac:dyDescent="0.25">
      <c r="A45" s="145" t="str">
        <f t="shared" si="1"/>
        <v>Ofsted Webpage</v>
      </c>
      <c r="B45" s="144">
        <v>130721</v>
      </c>
      <c r="C45" s="144">
        <v>10004690</v>
      </c>
      <c r="D45" s="26" t="s">
        <v>1547</v>
      </c>
      <c r="E45" s="26" t="s">
        <v>81</v>
      </c>
      <c r="F45" s="26" t="s">
        <v>82</v>
      </c>
      <c r="G45" s="26" t="s">
        <v>1199</v>
      </c>
      <c r="H45" s="26" t="s">
        <v>287</v>
      </c>
      <c r="I45" s="26" t="s">
        <v>287</v>
      </c>
      <c r="J45" s="141">
        <v>10037405</v>
      </c>
      <c r="K45" s="2" t="s">
        <v>215</v>
      </c>
      <c r="L45" s="2" t="s">
        <v>177</v>
      </c>
      <c r="M45" s="2" t="s">
        <v>178</v>
      </c>
      <c r="N45" s="2">
        <v>43039</v>
      </c>
      <c r="O45" s="5">
        <v>43042</v>
      </c>
      <c r="P45" s="146">
        <v>43062</v>
      </c>
      <c r="Q45" s="6">
        <v>2</v>
      </c>
      <c r="R45" s="6">
        <v>2</v>
      </c>
      <c r="S45" s="6">
        <v>2</v>
      </c>
      <c r="T45" s="6">
        <v>2</v>
      </c>
      <c r="U45" s="6">
        <v>2</v>
      </c>
      <c r="V45" s="6" t="s">
        <v>178</v>
      </c>
      <c r="W45" s="6">
        <v>2</v>
      </c>
      <c r="X45" s="6">
        <v>2</v>
      </c>
      <c r="Y45" s="6">
        <v>1</v>
      </c>
      <c r="Z45" s="6">
        <v>2</v>
      </c>
      <c r="AA45" s="6">
        <v>1</v>
      </c>
      <c r="AB45" s="5" t="s">
        <v>179</v>
      </c>
      <c r="AC45" s="6">
        <v>10011438</v>
      </c>
      <c r="AD45" s="148">
        <v>42531</v>
      </c>
      <c r="AE45" s="135">
        <v>3</v>
      </c>
      <c r="AF45" s="1" t="s">
        <v>216</v>
      </c>
    </row>
    <row r="46" spans="1:32" x14ac:dyDescent="0.25">
      <c r="A46" s="145" t="str">
        <f t="shared" si="1"/>
        <v>Ofsted Webpage</v>
      </c>
      <c r="B46" s="144">
        <v>138403</v>
      </c>
      <c r="C46" s="144">
        <v>10037983</v>
      </c>
      <c r="D46" s="26" t="s">
        <v>290</v>
      </c>
      <c r="E46" s="26" t="s">
        <v>73</v>
      </c>
      <c r="F46" s="26" t="s">
        <v>74</v>
      </c>
      <c r="G46" s="26" t="s">
        <v>291</v>
      </c>
      <c r="H46" s="26" t="s">
        <v>175</v>
      </c>
      <c r="I46" s="26" t="s">
        <v>175</v>
      </c>
      <c r="J46" s="141">
        <v>10022552</v>
      </c>
      <c r="K46" s="2" t="s">
        <v>284</v>
      </c>
      <c r="L46" s="2" t="s">
        <v>244</v>
      </c>
      <c r="M46" s="2" t="s">
        <v>179</v>
      </c>
      <c r="N46" s="2">
        <v>43012</v>
      </c>
      <c r="O46" s="5">
        <v>43019</v>
      </c>
      <c r="P46" s="146">
        <v>43061</v>
      </c>
      <c r="Q46" s="6">
        <v>1</v>
      </c>
      <c r="R46" s="6">
        <v>1</v>
      </c>
      <c r="S46" s="6">
        <v>1</v>
      </c>
      <c r="T46" s="6">
        <v>1</v>
      </c>
      <c r="U46" s="6">
        <v>1</v>
      </c>
      <c r="V46" s="6" t="s">
        <v>178</v>
      </c>
      <c r="W46" s="6">
        <v>1</v>
      </c>
      <c r="X46" s="6" t="s">
        <v>178</v>
      </c>
      <c r="Y46" s="6" t="s">
        <v>178</v>
      </c>
      <c r="Z46" s="6" t="s">
        <v>178</v>
      </c>
      <c r="AA46" s="6" t="s">
        <v>178</v>
      </c>
      <c r="AB46" s="5" t="s">
        <v>179</v>
      </c>
      <c r="AC46" s="6" t="s">
        <v>292</v>
      </c>
      <c r="AD46" s="148">
        <v>41719</v>
      </c>
      <c r="AE46" s="135">
        <v>2</v>
      </c>
      <c r="AF46" s="1" t="s">
        <v>216</v>
      </c>
    </row>
    <row r="47" spans="1:32" x14ac:dyDescent="0.25">
      <c r="A47" s="145" t="str">
        <f t="shared" si="1"/>
        <v>Ofsted Webpage</v>
      </c>
      <c r="B47" s="144">
        <v>130487</v>
      </c>
      <c r="C47" s="144">
        <v>10003955</v>
      </c>
      <c r="D47" s="26" t="s">
        <v>1601</v>
      </c>
      <c r="E47" s="26" t="s">
        <v>81</v>
      </c>
      <c r="F47" s="26" t="s">
        <v>82</v>
      </c>
      <c r="G47" s="26" t="s">
        <v>247</v>
      </c>
      <c r="H47" s="26" t="s">
        <v>238</v>
      </c>
      <c r="I47" s="26" t="s">
        <v>238</v>
      </c>
      <c r="J47" s="141">
        <v>10037398</v>
      </c>
      <c r="K47" s="2" t="s">
        <v>215</v>
      </c>
      <c r="L47" s="2" t="s">
        <v>177</v>
      </c>
      <c r="M47" s="2" t="s">
        <v>178</v>
      </c>
      <c r="N47" s="2">
        <v>43010</v>
      </c>
      <c r="O47" s="5">
        <v>43013</v>
      </c>
      <c r="P47" s="146">
        <v>43060</v>
      </c>
      <c r="Q47" s="6">
        <v>2</v>
      </c>
      <c r="R47" s="6">
        <v>2</v>
      </c>
      <c r="S47" s="6">
        <v>2</v>
      </c>
      <c r="T47" s="6">
        <v>2</v>
      </c>
      <c r="U47" s="6">
        <v>2</v>
      </c>
      <c r="V47" s="6" t="s">
        <v>178</v>
      </c>
      <c r="W47" s="6">
        <v>2</v>
      </c>
      <c r="X47" s="6">
        <v>2</v>
      </c>
      <c r="Y47" s="6" t="s">
        <v>178</v>
      </c>
      <c r="Z47" s="6">
        <v>3</v>
      </c>
      <c r="AA47" s="6">
        <v>2</v>
      </c>
      <c r="AB47" s="5" t="s">
        <v>179</v>
      </c>
      <c r="AC47" s="6">
        <v>10004689</v>
      </c>
      <c r="AD47" s="148">
        <v>42321</v>
      </c>
      <c r="AE47" s="135">
        <v>3</v>
      </c>
      <c r="AF47" s="1" t="s">
        <v>216</v>
      </c>
    </row>
    <row r="48" spans="1:32" x14ac:dyDescent="0.25">
      <c r="A48" s="145" t="str">
        <f t="shared" si="1"/>
        <v>Ofsted Webpage</v>
      </c>
      <c r="B48" s="144">
        <v>53010</v>
      </c>
      <c r="C48" s="144">
        <v>10003889</v>
      </c>
      <c r="D48" s="26" t="s">
        <v>2348</v>
      </c>
      <c r="E48" s="26" t="s">
        <v>78</v>
      </c>
      <c r="F48" s="26" t="s">
        <v>79</v>
      </c>
      <c r="G48" s="26" t="s">
        <v>582</v>
      </c>
      <c r="H48" s="26" t="s">
        <v>187</v>
      </c>
      <c r="I48" s="26" t="s">
        <v>188</v>
      </c>
      <c r="J48" s="141">
        <v>10037329</v>
      </c>
      <c r="K48" s="2" t="s">
        <v>205</v>
      </c>
      <c r="L48" s="2" t="s">
        <v>206</v>
      </c>
      <c r="M48" s="2" t="s">
        <v>200</v>
      </c>
      <c r="N48" s="2">
        <v>43026</v>
      </c>
      <c r="O48" s="5">
        <v>43027</v>
      </c>
      <c r="P48" s="146">
        <v>43060</v>
      </c>
      <c r="Q48" s="6">
        <v>9</v>
      </c>
      <c r="R48" s="6" t="s">
        <v>178</v>
      </c>
      <c r="S48" s="6" t="s">
        <v>178</v>
      </c>
      <c r="T48" s="6" t="s">
        <v>178</v>
      </c>
      <c r="U48" s="6" t="s">
        <v>178</v>
      </c>
      <c r="V48" s="6" t="s">
        <v>178</v>
      </c>
      <c r="W48" s="6" t="s">
        <v>178</v>
      </c>
      <c r="X48" s="6" t="s">
        <v>178</v>
      </c>
      <c r="Y48" s="6" t="s">
        <v>178</v>
      </c>
      <c r="Z48" s="6" t="s">
        <v>178</v>
      </c>
      <c r="AA48" s="6" t="s">
        <v>178</v>
      </c>
      <c r="AB48" s="5" t="s">
        <v>179</v>
      </c>
      <c r="AC48" s="6" t="s">
        <v>2349</v>
      </c>
      <c r="AD48" s="148">
        <v>41543</v>
      </c>
      <c r="AE48" s="135">
        <v>2</v>
      </c>
      <c r="AF48" s="1" t="s">
        <v>208</v>
      </c>
    </row>
    <row r="49" spans="1:32" x14ac:dyDescent="0.25">
      <c r="A49" s="145" t="str">
        <f t="shared" si="1"/>
        <v>Ofsted Webpage</v>
      </c>
      <c r="B49" s="132">
        <v>131959</v>
      </c>
      <c r="C49" s="132">
        <v>10005151</v>
      </c>
      <c r="D49" s="118" t="s">
        <v>1233</v>
      </c>
      <c r="E49" s="118" t="s">
        <v>70</v>
      </c>
      <c r="F49" s="118" t="s">
        <v>71</v>
      </c>
      <c r="G49" s="118" t="s">
        <v>331</v>
      </c>
      <c r="H49" s="118" t="s">
        <v>214</v>
      </c>
      <c r="I49" s="118" t="s">
        <v>214</v>
      </c>
      <c r="J49" s="132">
        <v>10037385</v>
      </c>
      <c r="K49" s="118" t="s">
        <v>2863</v>
      </c>
      <c r="L49" s="3" t="s">
        <v>206</v>
      </c>
      <c r="M49" s="3" t="s">
        <v>200</v>
      </c>
      <c r="N49" s="119">
        <v>43025</v>
      </c>
      <c r="O49" s="119">
        <v>43026</v>
      </c>
      <c r="P49" s="146">
        <v>43056</v>
      </c>
      <c r="Q49" s="120">
        <v>9</v>
      </c>
      <c r="R49" s="120" t="s">
        <v>178</v>
      </c>
      <c r="S49" s="120" t="s">
        <v>178</v>
      </c>
      <c r="T49" s="120" t="s">
        <v>178</v>
      </c>
      <c r="U49" s="120" t="s">
        <v>178</v>
      </c>
      <c r="V49" s="122" t="s">
        <v>178</v>
      </c>
      <c r="W49" s="122" t="s">
        <v>178</v>
      </c>
      <c r="X49" s="122" t="s">
        <v>178</v>
      </c>
      <c r="Y49" s="122" t="s">
        <v>178</v>
      </c>
      <c r="Z49" s="120" t="s">
        <v>178</v>
      </c>
      <c r="AA49" s="122" t="s">
        <v>178</v>
      </c>
      <c r="AB49" s="120" t="s">
        <v>179</v>
      </c>
      <c r="AC49" s="142" t="s">
        <v>1234</v>
      </c>
      <c r="AD49" s="147">
        <v>41719</v>
      </c>
      <c r="AE49" s="120">
        <v>2</v>
      </c>
      <c r="AF49" s="118" t="s">
        <v>208</v>
      </c>
    </row>
    <row r="50" spans="1:32" x14ac:dyDescent="0.25">
      <c r="A50" s="145" t="str">
        <f t="shared" si="1"/>
        <v>Ofsted Webpage</v>
      </c>
      <c r="B50" s="132">
        <v>53137</v>
      </c>
      <c r="C50" s="132">
        <v>10003895</v>
      </c>
      <c r="D50" s="118" t="s">
        <v>926</v>
      </c>
      <c r="E50" s="118" t="s">
        <v>75</v>
      </c>
      <c r="F50" s="118" t="s">
        <v>76</v>
      </c>
      <c r="G50" s="118" t="s">
        <v>927</v>
      </c>
      <c r="H50" s="118" t="s">
        <v>175</v>
      </c>
      <c r="I50" s="118" t="s">
        <v>175</v>
      </c>
      <c r="J50" s="132">
        <v>10037355</v>
      </c>
      <c r="K50" s="118" t="s">
        <v>251</v>
      </c>
      <c r="L50" s="3" t="s">
        <v>206</v>
      </c>
      <c r="M50" s="3" t="s">
        <v>200</v>
      </c>
      <c r="N50" s="119">
        <v>43019</v>
      </c>
      <c r="O50" s="119">
        <v>43020</v>
      </c>
      <c r="P50" s="146">
        <v>43056</v>
      </c>
      <c r="Q50" s="120">
        <v>9</v>
      </c>
      <c r="R50" s="120" t="s">
        <v>178</v>
      </c>
      <c r="S50" s="120" t="s">
        <v>178</v>
      </c>
      <c r="T50" s="120" t="s">
        <v>178</v>
      </c>
      <c r="U50" s="120" t="s">
        <v>178</v>
      </c>
      <c r="V50" s="122" t="s">
        <v>178</v>
      </c>
      <c r="W50" s="122" t="s">
        <v>178</v>
      </c>
      <c r="X50" s="122" t="s">
        <v>178</v>
      </c>
      <c r="Y50" s="122" t="s">
        <v>178</v>
      </c>
      <c r="Z50" s="120" t="s">
        <v>178</v>
      </c>
      <c r="AA50" s="122" t="s">
        <v>178</v>
      </c>
      <c r="AB50" s="120" t="s">
        <v>179</v>
      </c>
      <c r="AC50" s="142" t="s">
        <v>928</v>
      </c>
      <c r="AD50" s="147">
        <v>41677</v>
      </c>
      <c r="AE50" s="120">
        <v>2</v>
      </c>
      <c r="AF50" s="118" t="s">
        <v>208</v>
      </c>
    </row>
    <row r="51" spans="1:32" x14ac:dyDescent="0.25">
      <c r="A51" s="145" t="str">
        <f t="shared" si="1"/>
        <v>Ofsted Webpage</v>
      </c>
      <c r="B51" s="141">
        <v>130454</v>
      </c>
      <c r="C51" s="141">
        <v>10005469</v>
      </c>
      <c r="D51" s="26" t="s">
        <v>1935</v>
      </c>
      <c r="E51" s="26" t="s">
        <v>81</v>
      </c>
      <c r="F51" s="26" t="s">
        <v>82</v>
      </c>
      <c r="G51" s="26" t="s">
        <v>1281</v>
      </c>
      <c r="H51" s="26" t="s">
        <v>175</v>
      </c>
      <c r="I51" s="26" t="s">
        <v>175</v>
      </c>
      <c r="J51" s="141">
        <v>10037397</v>
      </c>
      <c r="K51" s="2" t="s">
        <v>215</v>
      </c>
      <c r="L51" s="2" t="s">
        <v>177</v>
      </c>
      <c r="M51" s="2" t="s">
        <v>178</v>
      </c>
      <c r="N51" s="2">
        <v>43018</v>
      </c>
      <c r="O51" s="5">
        <v>43021</v>
      </c>
      <c r="P51" s="146">
        <v>43056</v>
      </c>
      <c r="Q51" s="6">
        <v>2</v>
      </c>
      <c r="R51" s="6">
        <v>2</v>
      </c>
      <c r="S51" s="6">
        <v>2</v>
      </c>
      <c r="T51" s="6">
        <v>2</v>
      </c>
      <c r="U51" s="6">
        <v>2</v>
      </c>
      <c r="V51" s="6" t="s">
        <v>178</v>
      </c>
      <c r="W51" s="6">
        <v>2</v>
      </c>
      <c r="X51" s="6">
        <v>2</v>
      </c>
      <c r="Y51" s="6" t="s">
        <v>178</v>
      </c>
      <c r="Z51" s="6">
        <v>2</v>
      </c>
      <c r="AA51" s="6">
        <v>2</v>
      </c>
      <c r="AB51" s="5" t="s">
        <v>179</v>
      </c>
      <c r="AC51" s="143">
        <v>10004682</v>
      </c>
      <c r="AD51" s="148">
        <v>42321</v>
      </c>
      <c r="AE51" s="135">
        <v>3</v>
      </c>
      <c r="AF51" s="1" t="s">
        <v>216</v>
      </c>
    </row>
    <row r="52" spans="1:32" x14ac:dyDescent="0.25">
      <c r="A52" s="145" t="str">
        <f t="shared" si="1"/>
        <v>Ofsted Webpage</v>
      </c>
      <c r="B52" s="144">
        <v>139238</v>
      </c>
      <c r="C52" s="144">
        <v>10036143</v>
      </c>
      <c r="D52" s="26" t="s">
        <v>1771</v>
      </c>
      <c r="E52" s="26" t="s">
        <v>81</v>
      </c>
      <c r="F52" s="26" t="s">
        <v>82</v>
      </c>
      <c r="G52" s="26" t="s">
        <v>1772</v>
      </c>
      <c r="H52" s="26" t="s">
        <v>198</v>
      </c>
      <c r="I52" s="26" t="s">
        <v>198</v>
      </c>
      <c r="J52" s="141">
        <v>10037368</v>
      </c>
      <c r="K52" s="2" t="s">
        <v>241</v>
      </c>
      <c r="L52" s="2" t="s">
        <v>206</v>
      </c>
      <c r="M52" s="2" t="s">
        <v>200</v>
      </c>
      <c r="N52" s="2">
        <v>43025</v>
      </c>
      <c r="O52" s="5">
        <v>43026</v>
      </c>
      <c r="P52" s="146">
        <v>43056</v>
      </c>
      <c r="Q52" s="6">
        <v>9</v>
      </c>
      <c r="R52" s="6" t="s">
        <v>178</v>
      </c>
      <c r="S52" s="6" t="s">
        <v>178</v>
      </c>
      <c r="T52" s="6" t="s">
        <v>178</v>
      </c>
      <c r="U52" s="6" t="s">
        <v>178</v>
      </c>
      <c r="V52" s="6" t="s">
        <v>178</v>
      </c>
      <c r="W52" s="6" t="s">
        <v>178</v>
      </c>
      <c r="X52" s="6" t="s">
        <v>178</v>
      </c>
      <c r="Y52" s="6" t="s">
        <v>178</v>
      </c>
      <c r="Z52" s="6" t="s">
        <v>178</v>
      </c>
      <c r="AA52" s="6" t="s">
        <v>178</v>
      </c>
      <c r="AB52" s="5" t="s">
        <v>179</v>
      </c>
      <c r="AC52" s="6" t="s">
        <v>1773</v>
      </c>
      <c r="AD52" s="148">
        <v>41964</v>
      </c>
      <c r="AE52" s="135">
        <v>2</v>
      </c>
      <c r="AF52" s="1" t="s">
        <v>208</v>
      </c>
    </row>
    <row r="53" spans="1:32" x14ac:dyDescent="0.25">
      <c r="A53" s="145" t="str">
        <f t="shared" si="1"/>
        <v>Ofsted Webpage</v>
      </c>
      <c r="B53" s="141">
        <v>53127</v>
      </c>
      <c r="C53" s="141">
        <v>10003993</v>
      </c>
      <c r="D53" s="26" t="s">
        <v>555</v>
      </c>
      <c r="E53" s="26" t="s">
        <v>75</v>
      </c>
      <c r="F53" s="26" t="s">
        <v>76</v>
      </c>
      <c r="G53" s="26" t="s">
        <v>367</v>
      </c>
      <c r="H53" s="26" t="s">
        <v>175</v>
      </c>
      <c r="I53" s="26" t="s">
        <v>175</v>
      </c>
      <c r="J53" s="141">
        <v>10039582</v>
      </c>
      <c r="K53" s="2" t="s">
        <v>251</v>
      </c>
      <c r="L53" s="2" t="s">
        <v>206</v>
      </c>
      <c r="M53" s="2" t="s">
        <v>200</v>
      </c>
      <c r="N53" s="2">
        <v>43019</v>
      </c>
      <c r="O53" s="5">
        <v>43020</v>
      </c>
      <c r="P53" s="146">
        <v>43055</v>
      </c>
      <c r="Q53" s="6">
        <v>9</v>
      </c>
      <c r="R53" s="6" t="s">
        <v>178</v>
      </c>
      <c r="S53" s="6" t="s">
        <v>178</v>
      </c>
      <c r="T53" s="6" t="s">
        <v>178</v>
      </c>
      <c r="U53" s="6" t="s">
        <v>178</v>
      </c>
      <c r="V53" s="6" t="s">
        <v>178</v>
      </c>
      <c r="W53" s="6" t="s">
        <v>178</v>
      </c>
      <c r="X53" s="6" t="s">
        <v>178</v>
      </c>
      <c r="Y53" s="6" t="s">
        <v>178</v>
      </c>
      <c r="Z53" s="6" t="s">
        <v>178</v>
      </c>
      <c r="AA53" s="6" t="s">
        <v>178</v>
      </c>
      <c r="AB53" s="5" t="s">
        <v>179</v>
      </c>
      <c r="AC53" s="143" t="s">
        <v>556</v>
      </c>
      <c r="AD53" s="148">
        <v>41929</v>
      </c>
      <c r="AE53" s="135">
        <v>2</v>
      </c>
      <c r="AF53" s="1" t="s">
        <v>208</v>
      </c>
    </row>
    <row r="54" spans="1:32" x14ac:dyDescent="0.25">
      <c r="A54" s="145" t="str">
        <f t="shared" si="1"/>
        <v>Ofsted Webpage</v>
      </c>
      <c r="B54" s="141">
        <v>130573</v>
      </c>
      <c r="C54" s="141">
        <v>10005414</v>
      </c>
      <c r="D54" s="26" t="s">
        <v>1507</v>
      </c>
      <c r="E54" s="26" t="s">
        <v>81</v>
      </c>
      <c r="F54" s="26" t="s">
        <v>82</v>
      </c>
      <c r="G54" s="26" t="s">
        <v>1085</v>
      </c>
      <c r="H54" s="26" t="s">
        <v>204</v>
      </c>
      <c r="I54" s="26" t="s">
        <v>188</v>
      </c>
      <c r="J54" s="141">
        <v>10030672</v>
      </c>
      <c r="K54" s="2" t="s">
        <v>215</v>
      </c>
      <c r="L54" s="2" t="s">
        <v>177</v>
      </c>
      <c r="M54" s="2" t="s">
        <v>178</v>
      </c>
      <c r="N54" s="2">
        <v>43018</v>
      </c>
      <c r="O54" s="5">
        <v>43021</v>
      </c>
      <c r="P54" s="146">
        <v>43055</v>
      </c>
      <c r="Q54" s="6">
        <v>4</v>
      </c>
      <c r="R54" s="6">
        <v>4</v>
      </c>
      <c r="S54" s="6">
        <v>3</v>
      </c>
      <c r="T54" s="6">
        <v>3</v>
      </c>
      <c r="U54" s="6">
        <v>4</v>
      </c>
      <c r="V54" s="6" t="s">
        <v>178</v>
      </c>
      <c r="W54" s="6">
        <v>3</v>
      </c>
      <c r="X54" s="6">
        <v>3</v>
      </c>
      <c r="Y54" s="6" t="s">
        <v>178</v>
      </c>
      <c r="Z54" s="6">
        <v>3</v>
      </c>
      <c r="AA54" s="6" t="s">
        <v>178</v>
      </c>
      <c r="AB54" s="5" t="s">
        <v>179</v>
      </c>
      <c r="AC54" s="143">
        <v>10004706</v>
      </c>
      <c r="AD54" s="148">
        <v>42293</v>
      </c>
      <c r="AE54" s="135">
        <v>3</v>
      </c>
      <c r="AF54" s="1" t="s">
        <v>201</v>
      </c>
    </row>
    <row r="55" spans="1:32" x14ac:dyDescent="0.25">
      <c r="A55" s="145" t="str">
        <f t="shared" si="1"/>
        <v>Ofsted Webpage</v>
      </c>
      <c r="B55" s="141">
        <v>52094</v>
      </c>
      <c r="C55" s="141">
        <v>10002834</v>
      </c>
      <c r="D55" s="26" t="s">
        <v>2161</v>
      </c>
      <c r="E55" s="26" t="s">
        <v>78</v>
      </c>
      <c r="F55" s="26" t="s">
        <v>79</v>
      </c>
      <c r="G55" s="26" t="s">
        <v>586</v>
      </c>
      <c r="H55" s="26" t="s">
        <v>204</v>
      </c>
      <c r="I55" s="26" t="s">
        <v>188</v>
      </c>
      <c r="J55" s="141">
        <v>10037353</v>
      </c>
      <c r="K55" s="2" t="s">
        <v>231</v>
      </c>
      <c r="L55" s="2" t="s">
        <v>206</v>
      </c>
      <c r="M55" s="2" t="s">
        <v>200</v>
      </c>
      <c r="N55" s="2">
        <v>43033</v>
      </c>
      <c r="O55" s="5">
        <v>43034</v>
      </c>
      <c r="P55" s="146">
        <v>43054</v>
      </c>
      <c r="Q55" s="6">
        <v>9</v>
      </c>
      <c r="R55" s="6" t="s">
        <v>178</v>
      </c>
      <c r="S55" s="6" t="s">
        <v>178</v>
      </c>
      <c r="T55" s="6" t="s">
        <v>178</v>
      </c>
      <c r="U55" s="6" t="s">
        <v>178</v>
      </c>
      <c r="V55" s="6" t="s">
        <v>178</v>
      </c>
      <c r="W55" s="6" t="s">
        <v>178</v>
      </c>
      <c r="X55" s="6" t="s">
        <v>178</v>
      </c>
      <c r="Y55" s="6" t="s">
        <v>178</v>
      </c>
      <c r="Z55" s="6" t="s">
        <v>178</v>
      </c>
      <c r="AA55" s="6" t="s">
        <v>178</v>
      </c>
      <c r="AB55" s="5" t="s">
        <v>179</v>
      </c>
      <c r="AC55" s="143" t="s">
        <v>2162</v>
      </c>
      <c r="AD55" s="148">
        <v>41592</v>
      </c>
      <c r="AE55" s="135">
        <v>2</v>
      </c>
      <c r="AF55" s="1" t="s">
        <v>208</v>
      </c>
    </row>
    <row r="56" spans="1:32" x14ac:dyDescent="0.25">
      <c r="A56" s="145" t="str">
        <f t="shared" si="1"/>
        <v>Ofsted Webpage</v>
      </c>
      <c r="B56" s="141">
        <v>59144</v>
      </c>
      <c r="C56" s="141">
        <v>10019237</v>
      </c>
      <c r="D56" s="26" t="s">
        <v>890</v>
      </c>
      <c r="E56" s="26" t="s">
        <v>70</v>
      </c>
      <c r="F56" s="26" t="s">
        <v>71</v>
      </c>
      <c r="G56" s="26" t="s">
        <v>824</v>
      </c>
      <c r="H56" s="26" t="s">
        <v>238</v>
      </c>
      <c r="I56" s="26" t="s">
        <v>238</v>
      </c>
      <c r="J56" s="141">
        <v>10037420</v>
      </c>
      <c r="K56" s="2" t="s">
        <v>532</v>
      </c>
      <c r="L56" s="2" t="s">
        <v>177</v>
      </c>
      <c r="M56" s="2" t="s">
        <v>178</v>
      </c>
      <c r="N56" s="2">
        <v>43024</v>
      </c>
      <c r="O56" s="5">
        <v>43026</v>
      </c>
      <c r="P56" s="146">
        <v>43054</v>
      </c>
      <c r="Q56" s="6">
        <v>2</v>
      </c>
      <c r="R56" s="6">
        <v>2</v>
      </c>
      <c r="S56" s="6">
        <v>2</v>
      </c>
      <c r="T56" s="6">
        <v>2</v>
      </c>
      <c r="U56" s="6">
        <v>2</v>
      </c>
      <c r="V56" s="6" t="s">
        <v>178</v>
      </c>
      <c r="W56" s="6" t="s">
        <v>178</v>
      </c>
      <c r="X56" s="6" t="s">
        <v>178</v>
      </c>
      <c r="Y56" s="6" t="s">
        <v>178</v>
      </c>
      <c r="Z56" s="6" t="s">
        <v>178</v>
      </c>
      <c r="AA56" s="6">
        <v>2</v>
      </c>
      <c r="AB56" s="5" t="s">
        <v>179</v>
      </c>
      <c r="AC56" s="143">
        <v>10005971</v>
      </c>
      <c r="AD56" s="148">
        <v>42338</v>
      </c>
      <c r="AE56" s="135">
        <v>3</v>
      </c>
      <c r="AF56" s="1" t="s">
        <v>216</v>
      </c>
    </row>
    <row r="57" spans="1:32" x14ac:dyDescent="0.25">
      <c r="A57" s="145" t="str">
        <f t="shared" si="1"/>
        <v>Ofsted Webpage</v>
      </c>
      <c r="B57" s="144">
        <v>54636</v>
      </c>
      <c r="C57" s="144">
        <v>10001473</v>
      </c>
      <c r="D57" s="26" t="s">
        <v>1419</v>
      </c>
      <c r="E57" s="26" t="s">
        <v>75</v>
      </c>
      <c r="F57" s="26" t="s">
        <v>76</v>
      </c>
      <c r="G57" s="26" t="s">
        <v>530</v>
      </c>
      <c r="H57" s="26" t="s">
        <v>193</v>
      </c>
      <c r="I57" s="26" t="s">
        <v>193</v>
      </c>
      <c r="J57" s="141">
        <v>10037417</v>
      </c>
      <c r="K57" s="2" t="s">
        <v>562</v>
      </c>
      <c r="L57" s="2" t="s">
        <v>177</v>
      </c>
      <c r="M57" s="2" t="s">
        <v>178</v>
      </c>
      <c r="N57" s="2">
        <v>43025</v>
      </c>
      <c r="O57" s="5">
        <v>43028</v>
      </c>
      <c r="P57" s="146">
        <v>43054</v>
      </c>
      <c r="Q57" s="6">
        <v>3</v>
      </c>
      <c r="R57" s="6">
        <v>3</v>
      </c>
      <c r="S57" s="6">
        <v>3</v>
      </c>
      <c r="T57" s="6">
        <v>3</v>
      </c>
      <c r="U57" s="6">
        <v>3</v>
      </c>
      <c r="V57" s="6" t="s">
        <v>178</v>
      </c>
      <c r="W57" s="6" t="s">
        <v>178</v>
      </c>
      <c r="X57" s="6">
        <v>3</v>
      </c>
      <c r="Y57" s="6" t="s">
        <v>178</v>
      </c>
      <c r="Z57" s="6">
        <v>2</v>
      </c>
      <c r="AA57" s="6" t="s">
        <v>178</v>
      </c>
      <c r="AB57" s="5" t="s">
        <v>179</v>
      </c>
      <c r="AC57" s="6">
        <v>10011511</v>
      </c>
      <c r="AD57" s="148">
        <v>42489</v>
      </c>
      <c r="AE57" s="135">
        <v>3</v>
      </c>
      <c r="AF57" s="1" t="s">
        <v>180</v>
      </c>
    </row>
    <row r="58" spans="1:32" x14ac:dyDescent="0.25">
      <c r="A58" s="145" t="str">
        <f t="shared" si="1"/>
        <v>Ofsted Webpage</v>
      </c>
      <c r="B58" s="144">
        <v>133823</v>
      </c>
      <c r="C58" s="144">
        <v>10000975</v>
      </c>
      <c r="D58" s="26" t="s">
        <v>272</v>
      </c>
      <c r="E58" s="26" t="s">
        <v>69</v>
      </c>
      <c r="F58" s="26" t="s">
        <v>222</v>
      </c>
      <c r="G58" s="26" t="s">
        <v>273</v>
      </c>
      <c r="H58" s="26" t="s">
        <v>219</v>
      </c>
      <c r="I58" s="26" t="s">
        <v>219</v>
      </c>
      <c r="J58" s="141">
        <v>10020120</v>
      </c>
      <c r="K58" s="2" t="s">
        <v>2867</v>
      </c>
      <c r="L58" s="2" t="s">
        <v>206</v>
      </c>
      <c r="M58" s="2" t="s">
        <v>200</v>
      </c>
      <c r="N58" s="2">
        <v>43025</v>
      </c>
      <c r="O58" s="5">
        <v>43026</v>
      </c>
      <c r="P58" s="146">
        <v>43054</v>
      </c>
      <c r="Q58" s="6">
        <v>9</v>
      </c>
      <c r="R58" s="6" t="s">
        <v>178</v>
      </c>
      <c r="S58" s="6" t="s">
        <v>178</v>
      </c>
      <c r="T58" s="6" t="s">
        <v>178</v>
      </c>
      <c r="U58" s="6" t="s">
        <v>178</v>
      </c>
      <c r="V58" s="6" t="s">
        <v>178</v>
      </c>
      <c r="W58" s="6" t="s">
        <v>178</v>
      </c>
      <c r="X58" s="6" t="s">
        <v>178</v>
      </c>
      <c r="Y58" s="6" t="s">
        <v>178</v>
      </c>
      <c r="Z58" s="6" t="s">
        <v>178</v>
      </c>
      <c r="AA58" s="6" t="s">
        <v>178</v>
      </c>
      <c r="AB58" s="5" t="s">
        <v>179</v>
      </c>
      <c r="AC58" s="6" t="s">
        <v>274</v>
      </c>
      <c r="AD58" s="148">
        <v>41208</v>
      </c>
      <c r="AE58" s="135">
        <v>2</v>
      </c>
      <c r="AF58" s="1" t="s">
        <v>208</v>
      </c>
    </row>
    <row r="59" spans="1:32" x14ac:dyDescent="0.25">
      <c r="A59" s="145" t="str">
        <f t="shared" si="1"/>
        <v>Ofsted Webpage</v>
      </c>
      <c r="B59" s="144">
        <v>130532</v>
      </c>
      <c r="C59" s="144">
        <v>10000840</v>
      </c>
      <c r="D59" s="26" t="s">
        <v>1832</v>
      </c>
      <c r="E59" s="26" t="s">
        <v>81</v>
      </c>
      <c r="F59" s="26" t="s">
        <v>82</v>
      </c>
      <c r="G59" s="26" t="s">
        <v>914</v>
      </c>
      <c r="H59" s="26" t="s">
        <v>187</v>
      </c>
      <c r="I59" s="26" t="s">
        <v>188</v>
      </c>
      <c r="J59" s="141">
        <v>10037383</v>
      </c>
      <c r="K59" s="2" t="s">
        <v>194</v>
      </c>
      <c r="L59" s="2" t="s">
        <v>177</v>
      </c>
      <c r="M59" s="2" t="s">
        <v>178</v>
      </c>
      <c r="N59" s="2">
        <v>43018</v>
      </c>
      <c r="O59" s="5">
        <v>43021</v>
      </c>
      <c r="P59" s="146">
        <v>43053</v>
      </c>
      <c r="Q59" s="6">
        <v>3</v>
      </c>
      <c r="R59" s="6">
        <v>3</v>
      </c>
      <c r="S59" s="6">
        <v>3</v>
      </c>
      <c r="T59" s="6">
        <v>3</v>
      </c>
      <c r="U59" s="6">
        <v>3</v>
      </c>
      <c r="V59" s="6" t="s">
        <v>178</v>
      </c>
      <c r="W59" s="6">
        <v>3</v>
      </c>
      <c r="X59" s="6">
        <v>2</v>
      </c>
      <c r="Y59" s="6" t="s">
        <v>178</v>
      </c>
      <c r="Z59" s="6">
        <v>2</v>
      </c>
      <c r="AA59" s="6">
        <v>3</v>
      </c>
      <c r="AB59" s="5" t="s">
        <v>179</v>
      </c>
      <c r="AC59" s="6" t="s">
        <v>1833</v>
      </c>
      <c r="AD59" s="148">
        <v>41908</v>
      </c>
      <c r="AE59" s="135">
        <v>2</v>
      </c>
      <c r="AF59" s="1" t="s">
        <v>201</v>
      </c>
    </row>
    <row r="60" spans="1:32" x14ac:dyDescent="0.25">
      <c r="A60" s="145" t="str">
        <f t="shared" si="1"/>
        <v>Ofsted Webpage</v>
      </c>
      <c r="B60" s="144">
        <v>130824</v>
      </c>
      <c r="C60" s="144">
        <v>10002130</v>
      </c>
      <c r="D60" s="26" t="s">
        <v>426</v>
      </c>
      <c r="E60" s="26" t="s">
        <v>81</v>
      </c>
      <c r="F60" s="26" t="s">
        <v>82</v>
      </c>
      <c r="G60" s="26" t="s">
        <v>421</v>
      </c>
      <c r="H60" s="26" t="s">
        <v>219</v>
      </c>
      <c r="I60" s="26" t="s">
        <v>219</v>
      </c>
      <c r="J60" s="141">
        <v>10041128</v>
      </c>
      <c r="K60" s="2" t="s">
        <v>241</v>
      </c>
      <c r="L60" s="2" t="s">
        <v>206</v>
      </c>
      <c r="M60" s="2" t="s">
        <v>200</v>
      </c>
      <c r="N60" s="2">
        <v>43019</v>
      </c>
      <c r="O60" s="5">
        <v>43020</v>
      </c>
      <c r="P60" s="146">
        <v>43053</v>
      </c>
      <c r="Q60" s="6">
        <v>9</v>
      </c>
      <c r="R60" s="6" t="s">
        <v>178</v>
      </c>
      <c r="S60" s="6" t="s">
        <v>178</v>
      </c>
      <c r="T60" s="6" t="s">
        <v>178</v>
      </c>
      <c r="U60" s="6" t="s">
        <v>178</v>
      </c>
      <c r="V60" s="6" t="s">
        <v>178</v>
      </c>
      <c r="W60" s="6" t="s">
        <v>178</v>
      </c>
      <c r="X60" s="6" t="s">
        <v>178</v>
      </c>
      <c r="Y60" s="6" t="s">
        <v>178</v>
      </c>
      <c r="Z60" s="6" t="s">
        <v>178</v>
      </c>
      <c r="AA60" s="6" t="s">
        <v>178</v>
      </c>
      <c r="AB60" s="5" t="s">
        <v>179</v>
      </c>
      <c r="AC60" s="6" t="s">
        <v>427</v>
      </c>
      <c r="AD60" s="148">
        <v>41985</v>
      </c>
      <c r="AE60" s="135">
        <v>2</v>
      </c>
      <c r="AF60" s="1" t="s">
        <v>208</v>
      </c>
    </row>
    <row r="61" spans="1:32" x14ac:dyDescent="0.25">
      <c r="A61" s="145" t="str">
        <f t="shared" si="1"/>
        <v>Ofsted Webpage</v>
      </c>
      <c r="B61" s="144">
        <v>130714</v>
      </c>
      <c r="C61" s="144">
        <v>10003022</v>
      </c>
      <c r="D61" s="26" t="s">
        <v>1539</v>
      </c>
      <c r="E61" s="26" t="s">
        <v>87</v>
      </c>
      <c r="F61" s="26" t="s">
        <v>82</v>
      </c>
      <c r="G61" s="26" t="s">
        <v>455</v>
      </c>
      <c r="H61" s="26" t="s">
        <v>193</v>
      </c>
      <c r="I61" s="26" t="s">
        <v>193</v>
      </c>
      <c r="J61" s="141">
        <v>10037381</v>
      </c>
      <c r="K61" s="2" t="s">
        <v>241</v>
      </c>
      <c r="L61" s="2" t="s">
        <v>206</v>
      </c>
      <c r="M61" s="2" t="s">
        <v>200</v>
      </c>
      <c r="N61" s="2">
        <v>43019</v>
      </c>
      <c r="O61" s="5">
        <v>43020</v>
      </c>
      <c r="P61" s="146">
        <v>43052</v>
      </c>
      <c r="Q61" s="6">
        <v>9</v>
      </c>
      <c r="R61" s="6" t="s">
        <v>178</v>
      </c>
      <c r="S61" s="6" t="s">
        <v>178</v>
      </c>
      <c r="T61" s="6" t="s">
        <v>178</v>
      </c>
      <c r="U61" s="6" t="s">
        <v>178</v>
      </c>
      <c r="V61" s="6" t="s">
        <v>178</v>
      </c>
      <c r="W61" s="6" t="s">
        <v>178</v>
      </c>
      <c r="X61" s="6" t="s">
        <v>178</v>
      </c>
      <c r="Y61" s="6" t="s">
        <v>178</v>
      </c>
      <c r="Z61" s="6" t="s">
        <v>178</v>
      </c>
      <c r="AA61" s="6" t="s">
        <v>178</v>
      </c>
      <c r="AB61" s="5" t="s">
        <v>179</v>
      </c>
      <c r="AC61" s="6" t="s">
        <v>1540</v>
      </c>
      <c r="AD61" s="148">
        <v>41551</v>
      </c>
      <c r="AE61" s="135">
        <v>2</v>
      </c>
      <c r="AF61" s="1" t="s">
        <v>208</v>
      </c>
    </row>
    <row r="62" spans="1:32" x14ac:dyDescent="0.25">
      <c r="A62" s="145" t="str">
        <f t="shared" si="1"/>
        <v>Ofsted Webpage</v>
      </c>
      <c r="B62" s="144">
        <v>53201</v>
      </c>
      <c r="C62" s="144">
        <v>10004124</v>
      </c>
      <c r="D62" s="26" t="s">
        <v>938</v>
      </c>
      <c r="E62" s="26" t="s">
        <v>75</v>
      </c>
      <c r="F62" s="26" t="s">
        <v>76</v>
      </c>
      <c r="G62" s="26" t="s">
        <v>939</v>
      </c>
      <c r="H62" s="26" t="s">
        <v>287</v>
      </c>
      <c r="I62" s="26" t="s">
        <v>287</v>
      </c>
      <c r="J62" s="141">
        <v>10030786</v>
      </c>
      <c r="K62" s="2" t="s">
        <v>251</v>
      </c>
      <c r="L62" s="2" t="s">
        <v>206</v>
      </c>
      <c r="M62" s="2" t="s">
        <v>200</v>
      </c>
      <c r="N62" s="2">
        <v>43005</v>
      </c>
      <c r="O62" s="5">
        <v>43006</v>
      </c>
      <c r="P62" s="146">
        <v>43052</v>
      </c>
      <c r="Q62" s="6">
        <v>9</v>
      </c>
      <c r="R62" s="6" t="s">
        <v>178</v>
      </c>
      <c r="S62" s="6" t="s">
        <v>178</v>
      </c>
      <c r="T62" s="6" t="s">
        <v>178</v>
      </c>
      <c r="U62" s="6" t="s">
        <v>178</v>
      </c>
      <c r="V62" s="6" t="s">
        <v>178</v>
      </c>
      <c r="W62" s="6" t="s">
        <v>178</v>
      </c>
      <c r="X62" s="6" t="s">
        <v>178</v>
      </c>
      <c r="Y62" s="6" t="s">
        <v>178</v>
      </c>
      <c r="Z62" s="6" t="s">
        <v>178</v>
      </c>
      <c r="AA62" s="6" t="s">
        <v>178</v>
      </c>
      <c r="AB62" s="5" t="s">
        <v>179</v>
      </c>
      <c r="AC62" s="6" t="s">
        <v>940</v>
      </c>
      <c r="AD62" s="148">
        <v>41915</v>
      </c>
      <c r="AE62" s="135">
        <v>2</v>
      </c>
      <c r="AF62" s="1" t="s">
        <v>208</v>
      </c>
    </row>
    <row r="63" spans="1:32" x14ac:dyDescent="0.25">
      <c r="A63" s="145" t="str">
        <f t="shared" si="1"/>
        <v>Ofsted Webpage</v>
      </c>
      <c r="B63" s="144">
        <v>130467</v>
      </c>
      <c r="C63" s="144">
        <v>10008641</v>
      </c>
      <c r="D63" s="26" t="s">
        <v>1568</v>
      </c>
      <c r="E63" s="26" t="s">
        <v>84</v>
      </c>
      <c r="F63" s="26" t="s">
        <v>76</v>
      </c>
      <c r="G63" s="26" t="s">
        <v>223</v>
      </c>
      <c r="H63" s="26" t="s">
        <v>193</v>
      </c>
      <c r="I63" s="26" t="s">
        <v>193</v>
      </c>
      <c r="J63" s="141">
        <v>10041112</v>
      </c>
      <c r="K63" s="2" t="s">
        <v>2866</v>
      </c>
      <c r="L63" s="2" t="s">
        <v>206</v>
      </c>
      <c r="M63" s="2" t="s">
        <v>200</v>
      </c>
      <c r="N63" s="2">
        <v>43018</v>
      </c>
      <c r="O63" s="5">
        <v>43019</v>
      </c>
      <c r="P63" s="146">
        <v>43049</v>
      </c>
      <c r="Q63" s="6">
        <v>9</v>
      </c>
      <c r="R63" s="6" t="s">
        <v>178</v>
      </c>
      <c r="S63" s="6" t="s">
        <v>178</v>
      </c>
      <c r="T63" s="6" t="s">
        <v>178</v>
      </c>
      <c r="U63" s="6" t="s">
        <v>178</v>
      </c>
      <c r="V63" s="6" t="s">
        <v>178</v>
      </c>
      <c r="W63" s="6" t="s">
        <v>178</v>
      </c>
      <c r="X63" s="6" t="s">
        <v>178</v>
      </c>
      <c r="Y63" s="6" t="s">
        <v>178</v>
      </c>
      <c r="Z63" s="6" t="s">
        <v>178</v>
      </c>
      <c r="AA63" s="6" t="s">
        <v>178</v>
      </c>
      <c r="AB63" s="5" t="s">
        <v>179</v>
      </c>
      <c r="AC63" s="6" t="s">
        <v>1569</v>
      </c>
      <c r="AD63" s="148">
        <v>41760</v>
      </c>
      <c r="AE63" s="135">
        <v>2</v>
      </c>
      <c r="AF63" s="1" t="s">
        <v>208</v>
      </c>
    </row>
    <row r="64" spans="1:32" x14ac:dyDescent="0.25">
      <c r="A64" s="145" t="str">
        <f t="shared" si="1"/>
        <v>Ofsted Webpage</v>
      </c>
      <c r="B64" s="144">
        <v>54714</v>
      </c>
      <c r="C64" s="144">
        <v>10006458</v>
      </c>
      <c r="D64" s="26" t="s">
        <v>1802</v>
      </c>
      <c r="E64" s="26" t="s">
        <v>77</v>
      </c>
      <c r="F64" s="26" t="s">
        <v>76</v>
      </c>
      <c r="G64" s="26" t="s">
        <v>474</v>
      </c>
      <c r="H64" s="26" t="s">
        <v>187</v>
      </c>
      <c r="I64" s="26" t="s">
        <v>188</v>
      </c>
      <c r="J64" s="141">
        <v>10037360</v>
      </c>
      <c r="K64" s="2" t="s">
        <v>2864</v>
      </c>
      <c r="L64" s="2" t="s">
        <v>206</v>
      </c>
      <c r="M64" s="2" t="s">
        <v>200</v>
      </c>
      <c r="N64" s="2">
        <v>43011</v>
      </c>
      <c r="O64" s="5">
        <v>43011</v>
      </c>
      <c r="P64" s="146">
        <v>43049</v>
      </c>
      <c r="Q64" s="6">
        <v>9</v>
      </c>
      <c r="R64" s="6" t="s">
        <v>178</v>
      </c>
      <c r="S64" s="6" t="s">
        <v>178</v>
      </c>
      <c r="T64" s="6" t="s">
        <v>178</v>
      </c>
      <c r="U64" s="6" t="s">
        <v>178</v>
      </c>
      <c r="V64" s="6" t="s">
        <v>178</v>
      </c>
      <c r="W64" s="6" t="s">
        <v>178</v>
      </c>
      <c r="X64" s="6" t="s">
        <v>178</v>
      </c>
      <c r="Y64" s="6" t="s">
        <v>178</v>
      </c>
      <c r="Z64" s="6" t="s">
        <v>178</v>
      </c>
      <c r="AA64" s="6" t="s">
        <v>178</v>
      </c>
      <c r="AB64" s="5" t="s">
        <v>179</v>
      </c>
      <c r="AC64" s="6" t="s">
        <v>1803</v>
      </c>
      <c r="AD64" s="148">
        <v>41663</v>
      </c>
      <c r="AE64" s="135">
        <v>2</v>
      </c>
      <c r="AF64" s="1" t="s">
        <v>208</v>
      </c>
    </row>
    <row r="65" spans="1:32" x14ac:dyDescent="0.25">
      <c r="A65" s="145" t="str">
        <f t="shared" si="1"/>
        <v>Ofsted Webpage</v>
      </c>
      <c r="B65" s="144">
        <v>52544</v>
      </c>
      <c r="C65" s="144">
        <v>10003407</v>
      </c>
      <c r="D65" s="26" t="s">
        <v>1134</v>
      </c>
      <c r="E65" s="26" t="s">
        <v>75</v>
      </c>
      <c r="F65" s="26" t="s">
        <v>76</v>
      </c>
      <c r="G65" s="26" t="s">
        <v>458</v>
      </c>
      <c r="H65" s="26" t="s">
        <v>219</v>
      </c>
      <c r="I65" s="26" t="s">
        <v>219</v>
      </c>
      <c r="J65" s="141">
        <v>10037336</v>
      </c>
      <c r="K65" s="2" t="s">
        <v>308</v>
      </c>
      <c r="L65" s="2" t="s">
        <v>177</v>
      </c>
      <c r="M65" s="2" t="s">
        <v>178</v>
      </c>
      <c r="N65" s="2">
        <v>43012</v>
      </c>
      <c r="O65" s="5">
        <v>43014</v>
      </c>
      <c r="P65" s="146">
        <v>43049</v>
      </c>
      <c r="Q65" s="6">
        <v>3</v>
      </c>
      <c r="R65" s="6">
        <v>3</v>
      </c>
      <c r="S65" s="6">
        <v>3</v>
      </c>
      <c r="T65" s="6">
        <v>3</v>
      </c>
      <c r="U65" s="6">
        <v>3</v>
      </c>
      <c r="V65" s="6" t="s">
        <v>178</v>
      </c>
      <c r="W65" s="6" t="s">
        <v>178</v>
      </c>
      <c r="X65" s="6">
        <v>3</v>
      </c>
      <c r="Y65" s="6" t="s">
        <v>178</v>
      </c>
      <c r="Z65" s="6" t="s">
        <v>178</v>
      </c>
      <c r="AA65" s="6" t="s">
        <v>178</v>
      </c>
      <c r="AB65" s="5" t="s">
        <v>179</v>
      </c>
      <c r="AC65" s="6" t="s">
        <v>1135</v>
      </c>
      <c r="AD65" s="148">
        <v>41796</v>
      </c>
      <c r="AE65" s="135">
        <v>2</v>
      </c>
      <c r="AF65" s="1" t="s">
        <v>201</v>
      </c>
    </row>
    <row r="66" spans="1:32" x14ac:dyDescent="0.25">
      <c r="A66" s="145" t="str">
        <f t="shared" si="1"/>
        <v>Ofsted Webpage</v>
      </c>
      <c r="B66" s="144">
        <v>58118</v>
      </c>
      <c r="C66" s="144">
        <v>10008591</v>
      </c>
      <c r="D66" s="26" t="s">
        <v>1473</v>
      </c>
      <c r="E66" s="26" t="s">
        <v>77</v>
      </c>
      <c r="F66" s="26" t="s">
        <v>76</v>
      </c>
      <c r="G66" s="26" t="s">
        <v>914</v>
      </c>
      <c r="H66" s="26" t="s">
        <v>187</v>
      </c>
      <c r="I66" s="26" t="s">
        <v>188</v>
      </c>
      <c r="J66" s="141">
        <v>10041105</v>
      </c>
      <c r="K66" s="2" t="s">
        <v>2864</v>
      </c>
      <c r="L66" s="2" t="s">
        <v>206</v>
      </c>
      <c r="M66" s="2" t="s">
        <v>200</v>
      </c>
      <c r="N66" s="2">
        <v>43019</v>
      </c>
      <c r="O66" s="5">
        <v>43020</v>
      </c>
      <c r="P66" s="146">
        <v>43049</v>
      </c>
      <c r="Q66" s="6">
        <v>9</v>
      </c>
      <c r="R66" s="6" t="s">
        <v>178</v>
      </c>
      <c r="S66" s="6" t="s">
        <v>178</v>
      </c>
      <c r="T66" s="6" t="s">
        <v>178</v>
      </c>
      <c r="U66" s="6" t="s">
        <v>178</v>
      </c>
      <c r="V66" s="6" t="s">
        <v>178</v>
      </c>
      <c r="W66" s="6" t="s">
        <v>178</v>
      </c>
      <c r="X66" s="6" t="s">
        <v>178</v>
      </c>
      <c r="Y66" s="6" t="s">
        <v>178</v>
      </c>
      <c r="Z66" s="6" t="s">
        <v>178</v>
      </c>
      <c r="AA66" s="6" t="s">
        <v>178</v>
      </c>
      <c r="AB66" s="5" t="s">
        <v>179</v>
      </c>
      <c r="AC66" s="6" t="s">
        <v>1474</v>
      </c>
      <c r="AD66" s="148">
        <v>41761</v>
      </c>
      <c r="AE66" s="135">
        <v>2</v>
      </c>
      <c r="AF66" s="1" t="s">
        <v>208</v>
      </c>
    </row>
    <row r="67" spans="1:32" x14ac:dyDescent="0.25">
      <c r="A67" s="145" t="str">
        <f t="shared" si="1"/>
        <v>Ofsted Webpage</v>
      </c>
      <c r="B67" s="144">
        <v>130693</v>
      </c>
      <c r="C67" s="144">
        <v>10007928</v>
      </c>
      <c r="D67" s="26" t="s">
        <v>414</v>
      </c>
      <c r="E67" s="26" t="s">
        <v>81</v>
      </c>
      <c r="F67" s="26" t="s">
        <v>82</v>
      </c>
      <c r="G67" s="26" t="s">
        <v>261</v>
      </c>
      <c r="H67" s="26" t="s">
        <v>219</v>
      </c>
      <c r="I67" s="26" t="s">
        <v>219</v>
      </c>
      <c r="J67" s="141">
        <v>10030681</v>
      </c>
      <c r="K67" s="2" t="s">
        <v>194</v>
      </c>
      <c r="L67" s="2" t="s">
        <v>244</v>
      </c>
      <c r="M67" s="2" t="s">
        <v>179</v>
      </c>
      <c r="N67" s="2">
        <v>43011</v>
      </c>
      <c r="O67" s="5">
        <v>43014</v>
      </c>
      <c r="P67" s="146">
        <v>43049</v>
      </c>
      <c r="Q67" s="6">
        <v>1</v>
      </c>
      <c r="R67" s="6">
        <v>1</v>
      </c>
      <c r="S67" s="6">
        <v>1</v>
      </c>
      <c r="T67" s="6">
        <v>1</v>
      </c>
      <c r="U67" s="6">
        <v>1</v>
      </c>
      <c r="V67" s="6" t="s">
        <v>178</v>
      </c>
      <c r="W67" s="6">
        <v>1</v>
      </c>
      <c r="X67" s="6">
        <v>2</v>
      </c>
      <c r="Y67" s="6" t="s">
        <v>178</v>
      </c>
      <c r="Z67" s="6">
        <v>1</v>
      </c>
      <c r="AA67" s="6" t="s">
        <v>178</v>
      </c>
      <c r="AB67" s="5" t="s">
        <v>179</v>
      </c>
      <c r="AC67" s="6" t="s">
        <v>415</v>
      </c>
      <c r="AD67" s="148">
        <v>41397</v>
      </c>
      <c r="AE67" s="135">
        <v>2</v>
      </c>
      <c r="AF67" s="1" t="s">
        <v>216</v>
      </c>
    </row>
    <row r="68" spans="1:32" x14ac:dyDescent="0.25">
      <c r="A68" s="145" t="str">
        <f t="shared" si="1"/>
        <v>Ofsted Webpage</v>
      </c>
      <c r="B68" s="144">
        <v>52459</v>
      </c>
      <c r="C68" s="144">
        <v>10003289</v>
      </c>
      <c r="D68" s="26" t="s">
        <v>581</v>
      </c>
      <c r="E68" s="26" t="s">
        <v>77</v>
      </c>
      <c r="F68" s="26" t="s">
        <v>76</v>
      </c>
      <c r="G68" s="26" t="s">
        <v>582</v>
      </c>
      <c r="H68" s="26" t="s">
        <v>187</v>
      </c>
      <c r="I68" s="26" t="s">
        <v>188</v>
      </c>
      <c r="J68" s="141">
        <v>10041123</v>
      </c>
      <c r="K68" s="2" t="s">
        <v>2864</v>
      </c>
      <c r="L68" s="2" t="s">
        <v>206</v>
      </c>
      <c r="M68" s="2" t="s">
        <v>200</v>
      </c>
      <c r="N68" s="2">
        <v>43011</v>
      </c>
      <c r="O68" s="5">
        <v>43012</v>
      </c>
      <c r="P68" s="146">
        <v>43047</v>
      </c>
      <c r="Q68" s="6">
        <v>9</v>
      </c>
      <c r="R68" s="6" t="s">
        <v>178</v>
      </c>
      <c r="S68" s="6" t="s">
        <v>178</v>
      </c>
      <c r="T68" s="6" t="s">
        <v>178</v>
      </c>
      <c r="U68" s="6" t="s">
        <v>178</v>
      </c>
      <c r="V68" s="6" t="s">
        <v>178</v>
      </c>
      <c r="W68" s="6" t="s">
        <v>178</v>
      </c>
      <c r="X68" s="6" t="s">
        <v>178</v>
      </c>
      <c r="Y68" s="6" t="s">
        <v>178</v>
      </c>
      <c r="Z68" s="6" t="s">
        <v>178</v>
      </c>
      <c r="AA68" s="6" t="s">
        <v>178</v>
      </c>
      <c r="AB68" s="5" t="s">
        <v>179</v>
      </c>
      <c r="AC68" s="6" t="s">
        <v>583</v>
      </c>
      <c r="AD68" s="148">
        <v>41712</v>
      </c>
      <c r="AE68" s="135">
        <v>2</v>
      </c>
      <c r="AF68" s="1" t="s">
        <v>208</v>
      </c>
    </row>
    <row r="69" spans="1:32" x14ac:dyDescent="0.25">
      <c r="A69" s="145" t="str">
        <f t="shared" ref="A69:A100" si="2">HYPERLINK("http://www.ofsted.gov.uk/inspection-reports/find-inspection-report/provider/ELS/"&amp;B69,"Ofsted Webpage")</f>
        <v>Ofsted Webpage</v>
      </c>
      <c r="B69" s="144">
        <v>130434</v>
      </c>
      <c r="C69" s="144">
        <v>10003500</v>
      </c>
      <c r="D69" s="26" t="s">
        <v>1489</v>
      </c>
      <c r="E69" s="26" t="s">
        <v>83</v>
      </c>
      <c r="F69" s="26" t="s">
        <v>82</v>
      </c>
      <c r="G69" s="26" t="s">
        <v>683</v>
      </c>
      <c r="H69" s="26" t="s">
        <v>175</v>
      </c>
      <c r="I69" s="26" t="s">
        <v>175</v>
      </c>
      <c r="J69" s="141">
        <v>10030887</v>
      </c>
      <c r="K69" s="2" t="s">
        <v>372</v>
      </c>
      <c r="L69" s="2" t="s">
        <v>177</v>
      </c>
      <c r="M69" s="2" t="s">
        <v>178</v>
      </c>
      <c r="N69" s="2">
        <v>43011</v>
      </c>
      <c r="O69" s="5">
        <v>43014</v>
      </c>
      <c r="P69" s="146">
        <v>43047</v>
      </c>
      <c r="Q69" s="6">
        <v>3</v>
      </c>
      <c r="R69" s="6">
        <v>3</v>
      </c>
      <c r="S69" s="6">
        <v>3</v>
      </c>
      <c r="T69" s="6">
        <v>2</v>
      </c>
      <c r="U69" s="6">
        <v>3</v>
      </c>
      <c r="V69" s="6" t="s">
        <v>178</v>
      </c>
      <c r="W69" s="6">
        <v>3</v>
      </c>
      <c r="X69" s="6" t="s">
        <v>178</v>
      </c>
      <c r="Y69" s="6" t="s">
        <v>178</v>
      </c>
      <c r="Z69" s="6">
        <v>3</v>
      </c>
      <c r="AA69" s="6" t="s">
        <v>178</v>
      </c>
      <c r="AB69" s="5" t="s">
        <v>179</v>
      </c>
      <c r="AC69" s="6" t="s">
        <v>1490</v>
      </c>
      <c r="AD69" s="148">
        <v>41551</v>
      </c>
      <c r="AE69" s="135">
        <v>1</v>
      </c>
      <c r="AF69" s="1" t="s">
        <v>201</v>
      </c>
    </row>
    <row r="70" spans="1:32" x14ac:dyDescent="0.25">
      <c r="A70" s="145" t="str">
        <f t="shared" si="2"/>
        <v>Ofsted Webpage</v>
      </c>
      <c r="B70" s="144">
        <v>130493</v>
      </c>
      <c r="C70" s="144">
        <v>10007553</v>
      </c>
      <c r="D70" s="26" t="s">
        <v>1497</v>
      </c>
      <c r="E70" s="26" t="s">
        <v>81</v>
      </c>
      <c r="F70" s="26" t="s">
        <v>82</v>
      </c>
      <c r="G70" s="26" t="s">
        <v>1310</v>
      </c>
      <c r="H70" s="26" t="s">
        <v>238</v>
      </c>
      <c r="I70" s="26" t="s">
        <v>238</v>
      </c>
      <c r="J70" s="141">
        <v>10037400</v>
      </c>
      <c r="K70" s="2" t="s">
        <v>215</v>
      </c>
      <c r="L70" s="2" t="s">
        <v>177</v>
      </c>
      <c r="M70" s="2" t="s">
        <v>178</v>
      </c>
      <c r="N70" s="2">
        <v>43011</v>
      </c>
      <c r="O70" s="5">
        <v>43014</v>
      </c>
      <c r="P70" s="146">
        <v>43046</v>
      </c>
      <c r="Q70" s="6">
        <v>2</v>
      </c>
      <c r="R70" s="6">
        <v>2</v>
      </c>
      <c r="S70" s="6">
        <v>2</v>
      </c>
      <c r="T70" s="6">
        <v>2</v>
      </c>
      <c r="U70" s="6">
        <v>2</v>
      </c>
      <c r="V70" s="6" t="s">
        <v>178</v>
      </c>
      <c r="W70" s="6">
        <v>2</v>
      </c>
      <c r="X70" s="6">
        <v>2</v>
      </c>
      <c r="Y70" s="6">
        <v>2</v>
      </c>
      <c r="Z70" s="6">
        <v>3</v>
      </c>
      <c r="AA70" s="6">
        <v>1</v>
      </c>
      <c r="AB70" s="5" t="s">
        <v>179</v>
      </c>
      <c r="AC70" s="6">
        <v>10004692</v>
      </c>
      <c r="AD70" s="148">
        <v>42347</v>
      </c>
      <c r="AE70" s="135">
        <v>3</v>
      </c>
      <c r="AF70" s="1" t="s">
        <v>216</v>
      </c>
    </row>
    <row r="71" spans="1:32" x14ac:dyDescent="0.25">
      <c r="A71" s="145" t="str">
        <f t="shared" si="2"/>
        <v>Ofsted Webpage</v>
      </c>
      <c r="B71" s="144">
        <v>58841</v>
      </c>
      <c r="C71" s="144">
        <v>10019383</v>
      </c>
      <c r="D71" s="26" t="s">
        <v>751</v>
      </c>
      <c r="E71" s="26" t="s">
        <v>77</v>
      </c>
      <c r="F71" s="26" t="s">
        <v>76</v>
      </c>
      <c r="G71" s="26" t="s">
        <v>336</v>
      </c>
      <c r="H71" s="26" t="s">
        <v>175</v>
      </c>
      <c r="I71" s="26" t="s">
        <v>175</v>
      </c>
      <c r="J71" s="141">
        <v>10030696</v>
      </c>
      <c r="K71" s="2" t="s">
        <v>189</v>
      </c>
      <c r="L71" s="2" t="s">
        <v>177</v>
      </c>
      <c r="M71" s="2" t="s">
        <v>178</v>
      </c>
      <c r="N71" s="2">
        <v>43011</v>
      </c>
      <c r="O71" s="5">
        <v>43014</v>
      </c>
      <c r="P71" s="146">
        <v>43046</v>
      </c>
      <c r="Q71" s="6">
        <v>3</v>
      </c>
      <c r="R71" s="6">
        <v>3</v>
      </c>
      <c r="S71" s="6">
        <v>3</v>
      </c>
      <c r="T71" s="6">
        <v>3</v>
      </c>
      <c r="U71" s="6">
        <v>3</v>
      </c>
      <c r="V71" s="6" t="s">
        <v>178</v>
      </c>
      <c r="W71" s="6" t="s">
        <v>178</v>
      </c>
      <c r="X71" s="6">
        <v>3</v>
      </c>
      <c r="Y71" s="6" t="s">
        <v>178</v>
      </c>
      <c r="Z71" s="6">
        <v>3</v>
      </c>
      <c r="AA71" s="6" t="s">
        <v>178</v>
      </c>
      <c r="AB71" s="5" t="s">
        <v>179</v>
      </c>
      <c r="AC71" s="6" t="s">
        <v>752</v>
      </c>
      <c r="AD71" s="148">
        <v>42082</v>
      </c>
      <c r="AE71" s="135">
        <v>2</v>
      </c>
      <c r="AF71" s="1" t="s">
        <v>201</v>
      </c>
    </row>
    <row r="72" spans="1:32" x14ac:dyDescent="0.25">
      <c r="A72" s="145" t="str">
        <f t="shared" si="2"/>
        <v>Ofsted Webpage</v>
      </c>
      <c r="B72" s="144">
        <v>130478</v>
      </c>
      <c r="C72" s="144">
        <v>10003625</v>
      </c>
      <c r="D72" s="26" t="s">
        <v>2035</v>
      </c>
      <c r="E72" s="26" t="s">
        <v>83</v>
      </c>
      <c r="F72" s="26" t="s">
        <v>82</v>
      </c>
      <c r="G72" s="26" t="s">
        <v>192</v>
      </c>
      <c r="H72" s="26" t="s">
        <v>193</v>
      </c>
      <c r="I72" s="26" t="s">
        <v>193</v>
      </c>
      <c r="J72" s="141">
        <v>10037333</v>
      </c>
      <c r="K72" s="2" t="s">
        <v>372</v>
      </c>
      <c r="L72" s="2" t="s">
        <v>177</v>
      </c>
      <c r="M72" s="2" t="s">
        <v>178</v>
      </c>
      <c r="N72" s="2">
        <v>43011</v>
      </c>
      <c r="O72" s="5">
        <v>43014</v>
      </c>
      <c r="P72" s="146">
        <v>43046</v>
      </c>
      <c r="Q72" s="6">
        <v>2</v>
      </c>
      <c r="R72" s="6">
        <v>2</v>
      </c>
      <c r="S72" s="6">
        <v>2</v>
      </c>
      <c r="T72" s="6">
        <v>2</v>
      </c>
      <c r="U72" s="6">
        <v>2</v>
      </c>
      <c r="V72" s="6" t="s">
        <v>178</v>
      </c>
      <c r="W72" s="6">
        <v>2</v>
      </c>
      <c r="X72" s="6" t="s">
        <v>178</v>
      </c>
      <c r="Y72" s="6" t="s">
        <v>178</v>
      </c>
      <c r="Z72" s="6" t="s">
        <v>178</v>
      </c>
      <c r="AA72" s="6" t="s">
        <v>178</v>
      </c>
      <c r="AB72" s="5" t="s">
        <v>179</v>
      </c>
      <c r="AC72" s="6" t="s">
        <v>2036</v>
      </c>
      <c r="AD72" s="148">
        <v>39484</v>
      </c>
      <c r="AE72" s="135">
        <v>1</v>
      </c>
      <c r="AF72" s="1" t="s">
        <v>201</v>
      </c>
    </row>
    <row r="73" spans="1:32" x14ac:dyDescent="0.25">
      <c r="A73" s="145" t="str">
        <f t="shared" si="2"/>
        <v>Ofsted Webpage</v>
      </c>
      <c r="B73" s="141">
        <v>50213</v>
      </c>
      <c r="C73" s="141">
        <v>10000703</v>
      </c>
      <c r="D73" s="26" t="s">
        <v>1251</v>
      </c>
      <c r="E73" s="26" t="s">
        <v>75</v>
      </c>
      <c r="F73" s="26" t="s">
        <v>76</v>
      </c>
      <c r="G73" s="26" t="s">
        <v>223</v>
      </c>
      <c r="H73" s="26" t="s">
        <v>193</v>
      </c>
      <c r="I73" s="26" t="s">
        <v>193</v>
      </c>
      <c r="J73" s="141">
        <v>10037350</v>
      </c>
      <c r="K73" s="2" t="s">
        <v>308</v>
      </c>
      <c r="L73" s="2" t="s">
        <v>244</v>
      </c>
      <c r="M73" s="2" t="s">
        <v>179</v>
      </c>
      <c r="N73" s="2">
        <v>43004</v>
      </c>
      <c r="O73" s="5">
        <v>43007</v>
      </c>
      <c r="P73" s="146">
        <v>43042</v>
      </c>
      <c r="Q73" s="6">
        <v>3</v>
      </c>
      <c r="R73" s="6">
        <v>3</v>
      </c>
      <c r="S73" s="6">
        <v>3</v>
      </c>
      <c r="T73" s="6">
        <v>2</v>
      </c>
      <c r="U73" s="6">
        <v>3</v>
      </c>
      <c r="V73" s="6" t="s">
        <v>178</v>
      </c>
      <c r="W73" s="6" t="s">
        <v>178</v>
      </c>
      <c r="X73" s="6">
        <v>3</v>
      </c>
      <c r="Y73" s="6" t="s">
        <v>178</v>
      </c>
      <c r="Z73" s="6" t="s">
        <v>178</v>
      </c>
      <c r="AA73" s="6" t="s">
        <v>178</v>
      </c>
      <c r="AB73" s="5" t="s">
        <v>179</v>
      </c>
      <c r="AC73" s="143" t="s">
        <v>1252</v>
      </c>
      <c r="AD73" s="148">
        <v>41698</v>
      </c>
      <c r="AE73" s="135">
        <v>2</v>
      </c>
      <c r="AF73" s="1" t="s">
        <v>201</v>
      </c>
    </row>
    <row r="74" spans="1:32" x14ac:dyDescent="0.25">
      <c r="A74" s="145" t="str">
        <f t="shared" si="2"/>
        <v>Ofsted Webpage</v>
      </c>
      <c r="B74" s="144">
        <v>52843</v>
      </c>
      <c r="C74" s="144">
        <v>10003586</v>
      </c>
      <c r="D74" s="26" t="s">
        <v>1402</v>
      </c>
      <c r="E74" s="26" t="s">
        <v>75</v>
      </c>
      <c r="F74" s="26" t="s">
        <v>76</v>
      </c>
      <c r="G74" s="26" t="s">
        <v>504</v>
      </c>
      <c r="H74" s="26" t="s">
        <v>214</v>
      </c>
      <c r="I74" s="26" t="s">
        <v>214</v>
      </c>
      <c r="J74" s="141">
        <v>10030708</v>
      </c>
      <c r="K74" s="2" t="s">
        <v>562</v>
      </c>
      <c r="L74" s="2" t="s">
        <v>177</v>
      </c>
      <c r="M74" s="2" t="s">
        <v>178</v>
      </c>
      <c r="N74" s="2">
        <v>42998</v>
      </c>
      <c r="O74" s="5">
        <v>43000</v>
      </c>
      <c r="P74" s="146">
        <v>43041</v>
      </c>
      <c r="Q74" s="6">
        <v>3</v>
      </c>
      <c r="R74" s="6">
        <v>3</v>
      </c>
      <c r="S74" s="6">
        <v>3</v>
      </c>
      <c r="T74" s="6">
        <v>3</v>
      </c>
      <c r="U74" s="6">
        <v>3</v>
      </c>
      <c r="V74" s="6" t="s">
        <v>178</v>
      </c>
      <c r="W74" s="6">
        <v>3</v>
      </c>
      <c r="X74" s="6" t="s">
        <v>178</v>
      </c>
      <c r="Y74" s="6" t="s">
        <v>178</v>
      </c>
      <c r="Z74" s="6" t="s">
        <v>178</v>
      </c>
      <c r="AA74" s="6" t="s">
        <v>178</v>
      </c>
      <c r="AB74" s="5" t="s">
        <v>179</v>
      </c>
      <c r="AC74" s="6">
        <v>10005149</v>
      </c>
      <c r="AD74" s="148">
        <v>42285</v>
      </c>
      <c r="AE74" s="135">
        <v>3</v>
      </c>
      <c r="AF74" s="1" t="s">
        <v>180</v>
      </c>
    </row>
    <row r="75" spans="1:32" x14ac:dyDescent="0.25">
      <c r="A75" s="145" t="str">
        <f t="shared" si="2"/>
        <v>Ofsted Webpage</v>
      </c>
      <c r="B75" s="144">
        <v>58929</v>
      </c>
      <c r="C75" s="144">
        <v>10026072</v>
      </c>
      <c r="D75" s="26" t="s">
        <v>1195</v>
      </c>
      <c r="E75" s="26" t="s">
        <v>80</v>
      </c>
      <c r="F75" s="26" t="s">
        <v>79</v>
      </c>
      <c r="G75" s="26" t="s">
        <v>254</v>
      </c>
      <c r="H75" s="26" t="s">
        <v>193</v>
      </c>
      <c r="I75" s="26" t="s">
        <v>193</v>
      </c>
      <c r="J75" s="141">
        <v>10037418</v>
      </c>
      <c r="K75" s="2" t="s">
        <v>475</v>
      </c>
      <c r="L75" s="2" t="s">
        <v>177</v>
      </c>
      <c r="M75" s="2" t="s">
        <v>178</v>
      </c>
      <c r="N75" s="2">
        <v>42997</v>
      </c>
      <c r="O75" s="5">
        <v>43000</v>
      </c>
      <c r="P75" s="146">
        <v>43041</v>
      </c>
      <c r="Q75" s="6">
        <v>4</v>
      </c>
      <c r="R75" s="6">
        <v>4</v>
      </c>
      <c r="S75" s="6">
        <v>4</v>
      </c>
      <c r="T75" s="6">
        <v>4</v>
      </c>
      <c r="U75" s="6">
        <v>4</v>
      </c>
      <c r="V75" s="6" t="s">
        <v>178</v>
      </c>
      <c r="W75" s="6" t="s">
        <v>178</v>
      </c>
      <c r="X75" s="6" t="s">
        <v>178</v>
      </c>
      <c r="Y75" s="6" t="s">
        <v>178</v>
      </c>
      <c r="Z75" s="6">
        <v>4</v>
      </c>
      <c r="AA75" s="6" t="s">
        <v>178</v>
      </c>
      <c r="AB75" s="5" t="s">
        <v>200</v>
      </c>
      <c r="AC75" s="6">
        <v>10005082</v>
      </c>
      <c r="AD75" s="148">
        <v>42419</v>
      </c>
      <c r="AE75" s="135">
        <v>3</v>
      </c>
      <c r="AF75" s="1" t="s">
        <v>201</v>
      </c>
    </row>
    <row r="76" spans="1:32" x14ac:dyDescent="0.25">
      <c r="A76" s="145" t="str">
        <f t="shared" si="2"/>
        <v>Ofsted Webpage</v>
      </c>
      <c r="B76" s="144">
        <v>50795</v>
      </c>
      <c r="C76" s="144">
        <v>10000831</v>
      </c>
      <c r="D76" s="26" t="s">
        <v>443</v>
      </c>
      <c r="E76" s="26" t="s">
        <v>78</v>
      </c>
      <c r="F76" s="26" t="s">
        <v>79</v>
      </c>
      <c r="G76" s="26" t="s">
        <v>316</v>
      </c>
      <c r="H76" s="26" t="s">
        <v>219</v>
      </c>
      <c r="I76" s="26" t="s">
        <v>219</v>
      </c>
      <c r="J76" s="141">
        <v>10039585</v>
      </c>
      <c r="K76" s="2" t="s">
        <v>183</v>
      </c>
      <c r="L76" s="2" t="s">
        <v>177</v>
      </c>
      <c r="M76" s="2" t="s">
        <v>178</v>
      </c>
      <c r="N76" s="2">
        <v>43004</v>
      </c>
      <c r="O76" s="5">
        <v>43007</v>
      </c>
      <c r="P76" s="146">
        <v>43041</v>
      </c>
      <c r="Q76" s="6">
        <v>2</v>
      </c>
      <c r="R76" s="6">
        <v>2</v>
      </c>
      <c r="S76" s="6">
        <v>2</v>
      </c>
      <c r="T76" s="6">
        <v>2</v>
      </c>
      <c r="U76" s="6">
        <v>2</v>
      </c>
      <c r="V76" s="6" t="s">
        <v>178</v>
      </c>
      <c r="W76" s="6" t="s">
        <v>178</v>
      </c>
      <c r="X76" s="6" t="s">
        <v>178</v>
      </c>
      <c r="Y76" s="6" t="s">
        <v>178</v>
      </c>
      <c r="Z76" s="6">
        <v>2</v>
      </c>
      <c r="AA76" s="6" t="s">
        <v>178</v>
      </c>
      <c r="AB76" s="5" t="s">
        <v>179</v>
      </c>
      <c r="AC76" s="6" t="s">
        <v>444</v>
      </c>
      <c r="AD76" s="148">
        <v>40445</v>
      </c>
      <c r="AE76" s="135">
        <v>2</v>
      </c>
      <c r="AF76" s="1" t="s">
        <v>180</v>
      </c>
    </row>
    <row r="77" spans="1:32" x14ac:dyDescent="0.25">
      <c r="A77" s="145" t="str">
        <f t="shared" si="2"/>
        <v>Ofsted Webpage</v>
      </c>
      <c r="B77" s="144">
        <v>51097</v>
      </c>
      <c r="C77" s="144">
        <v>10032017</v>
      </c>
      <c r="D77" s="26" t="s">
        <v>753</v>
      </c>
      <c r="E77" s="26" t="s">
        <v>77</v>
      </c>
      <c r="F77" s="26" t="s">
        <v>76</v>
      </c>
      <c r="G77" s="26" t="s">
        <v>213</v>
      </c>
      <c r="H77" s="26" t="s">
        <v>214</v>
      </c>
      <c r="I77" s="26" t="s">
        <v>214</v>
      </c>
      <c r="J77" s="141">
        <v>10037352</v>
      </c>
      <c r="K77" s="2" t="s">
        <v>2864</v>
      </c>
      <c r="L77" s="2" t="s">
        <v>206</v>
      </c>
      <c r="M77" s="2" t="s">
        <v>200</v>
      </c>
      <c r="N77" s="2">
        <v>43012</v>
      </c>
      <c r="O77" s="5">
        <v>43012</v>
      </c>
      <c r="P77" s="146">
        <v>43040</v>
      </c>
      <c r="Q77" s="6">
        <v>9</v>
      </c>
      <c r="R77" s="6" t="s">
        <v>178</v>
      </c>
      <c r="S77" s="6" t="s">
        <v>178</v>
      </c>
      <c r="T77" s="6" t="s">
        <v>178</v>
      </c>
      <c r="U77" s="6" t="s">
        <v>178</v>
      </c>
      <c r="V77" s="6" t="s">
        <v>178</v>
      </c>
      <c r="W77" s="6" t="s">
        <v>178</v>
      </c>
      <c r="X77" s="6" t="s">
        <v>178</v>
      </c>
      <c r="Y77" s="6" t="s">
        <v>178</v>
      </c>
      <c r="Z77" s="6" t="s">
        <v>178</v>
      </c>
      <c r="AA77" s="6" t="s">
        <v>178</v>
      </c>
      <c r="AB77" s="5" t="s">
        <v>179</v>
      </c>
      <c r="AC77" s="6" t="s">
        <v>754</v>
      </c>
      <c r="AD77" s="148">
        <v>41677</v>
      </c>
      <c r="AE77" s="135">
        <v>2</v>
      </c>
      <c r="AF77" s="1" t="s">
        <v>208</v>
      </c>
    </row>
    <row r="78" spans="1:32" x14ac:dyDescent="0.25">
      <c r="A78" s="145" t="str">
        <f t="shared" si="2"/>
        <v>Ofsted Webpage</v>
      </c>
      <c r="B78" s="144">
        <v>130655</v>
      </c>
      <c r="C78" s="144">
        <v>10003676</v>
      </c>
      <c r="D78" s="26" t="s">
        <v>624</v>
      </c>
      <c r="E78" s="26" t="s">
        <v>87</v>
      </c>
      <c r="F78" s="26" t="s">
        <v>82</v>
      </c>
      <c r="G78" s="26" t="s">
        <v>621</v>
      </c>
      <c r="H78" s="26" t="s">
        <v>198</v>
      </c>
      <c r="I78" s="26" t="s">
        <v>198</v>
      </c>
      <c r="J78" s="141">
        <v>10037373</v>
      </c>
      <c r="K78" s="2" t="s">
        <v>241</v>
      </c>
      <c r="L78" s="2" t="s">
        <v>206</v>
      </c>
      <c r="M78" s="2" t="s">
        <v>200</v>
      </c>
      <c r="N78" s="2">
        <v>43018</v>
      </c>
      <c r="O78" s="5">
        <v>43019</v>
      </c>
      <c r="P78" s="146">
        <v>43040</v>
      </c>
      <c r="Q78" s="6">
        <v>9</v>
      </c>
      <c r="R78" s="6" t="s">
        <v>178</v>
      </c>
      <c r="S78" s="6" t="s">
        <v>178</v>
      </c>
      <c r="T78" s="6" t="s">
        <v>178</v>
      </c>
      <c r="U78" s="6" t="s">
        <v>178</v>
      </c>
      <c r="V78" s="6" t="s">
        <v>178</v>
      </c>
      <c r="W78" s="6" t="s">
        <v>178</v>
      </c>
      <c r="X78" s="6" t="s">
        <v>178</v>
      </c>
      <c r="Y78" s="6" t="s">
        <v>178</v>
      </c>
      <c r="Z78" s="6" t="s">
        <v>178</v>
      </c>
      <c r="AA78" s="6" t="s">
        <v>178</v>
      </c>
      <c r="AB78" s="5" t="s">
        <v>179</v>
      </c>
      <c r="AC78" s="6" t="s">
        <v>625</v>
      </c>
      <c r="AD78" s="148">
        <v>41915</v>
      </c>
      <c r="AE78" s="135">
        <v>2</v>
      </c>
      <c r="AF78" s="1" t="s">
        <v>208</v>
      </c>
    </row>
    <row r="79" spans="1:32" x14ac:dyDescent="0.25">
      <c r="A79" s="145" t="str">
        <f t="shared" si="2"/>
        <v>Ofsted Webpage</v>
      </c>
      <c r="B79" s="144">
        <v>53774</v>
      </c>
      <c r="C79" s="144">
        <v>10002331</v>
      </c>
      <c r="D79" s="26" t="s">
        <v>2675</v>
      </c>
      <c r="E79" s="26" t="s">
        <v>78</v>
      </c>
      <c r="F79" s="26" t="s">
        <v>79</v>
      </c>
      <c r="G79" s="26" t="s">
        <v>590</v>
      </c>
      <c r="H79" s="26" t="s">
        <v>219</v>
      </c>
      <c r="I79" s="26" t="s">
        <v>219</v>
      </c>
      <c r="J79" s="141">
        <v>10037347</v>
      </c>
      <c r="K79" s="2" t="s">
        <v>205</v>
      </c>
      <c r="L79" s="2" t="s">
        <v>206</v>
      </c>
      <c r="M79" s="2" t="s">
        <v>200</v>
      </c>
      <c r="N79" s="2">
        <v>43012</v>
      </c>
      <c r="O79" s="5">
        <v>43013</v>
      </c>
      <c r="P79" s="146">
        <v>43040</v>
      </c>
      <c r="Q79" s="6">
        <v>9</v>
      </c>
      <c r="R79" s="6" t="s">
        <v>178</v>
      </c>
      <c r="S79" s="6" t="s">
        <v>178</v>
      </c>
      <c r="T79" s="6" t="s">
        <v>178</v>
      </c>
      <c r="U79" s="6" t="s">
        <v>178</v>
      </c>
      <c r="V79" s="6" t="s">
        <v>178</v>
      </c>
      <c r="W79" s="6" t="s">
        <v>178</v>
      </c>
      <c r="X79" s="6" t="s">
        <v>178</v>
      </c>
      <c r="Y79" s="6" t="s">
        <v>178</v>
      </c>
      <c r="Z79" s="6" t="s">
        <v>178</v>
      </c>
      <c r="AA79" s="6" t="s">
        <v>178</v>
      </c>
      <c r="AB79" s="5" t="s">
        <v>179</v>
      </c>
      <c r="AC79" s="6" t="s">
        <v>2676</v>
      </c>
      <c r="AD79" s="148">
        <v>41621</v>
      </c>
      <c r="AE79" s="135">
        <v>2</v>
      </c>
      <c r="AF79" s="1" t="s">
        <v>208</v>
      </c>
    </row>
    <row r="80" spans="1:32" x14ac:dyDescent="0.25">
      <c r="A80" s="145" t="str">
        <f t="shared" si="2"/>
        <v>Ofsted Webpage</v>
      </c>
      <c r="B80" s="144">
        <v>54719</v>
      </c>
      <c r="C80" s="144">
        <v>10006462</v>
      </c>
      <c r="D80" s="26" t="s">
        <v>957</v>
      </c>
      <c r="E80" s="26" t="s">
        <v>75</v>
      </c>
      <c r="F80" s="26" t="s">
        <v>76</v>
      </c>
      <c r="G80" s="26" t="s">
        <v>197</v>
      </c>
      <c r="H80" s="26" t="s">
        <v>198</v>
      </c>
      <c r="I80" s="26" t="s">
        <v>198</v>
      </c>
      <c r="J80" s="141">
        <v>10039739</v>
      </c>
      <c r="K80" s="2" t="s">
        <v>308</v>
      </c>
      <c r="L80" s="2" t="s">
        <v>244</v>
      </c>
      <c r="M80" s="2" t="s">
        <v>179</v>
      </c>
      <c r="N80" s="2">
        <v>43004</v>
      </c>
      <c r="O80" s="5">
        <v>43019</v>
      </c>
      <c r="P80" s="146">
        <v>43040</v>
      </c>
      <c r="Q80" s="6">
        <v>3</v>
      </c>
      <c r="R80" s="6">
        <v>3</v>
      </c>
      <c r="S80" s="6">
        <v>3</v>
      </c>
      <c r="T80" s="6">
        <v>2</v>
      </c>
      <c r="U80" s="6">
        <v>3</v>
      </c>
      <c r="V80" s="6" t="s">
        <v>178</v>
      </c>
      <c r="W80" s="6" t="s">
        <v>178</v>
      </c>
      <c r="X80" s="6">
        <v>3</v>
      </c>
      <c r="Y80" s="6" t="s">
        <v>178</v>
      </c>
      <c r="Z80" s="6" t="s">
        <v>178</v>
      </c>
      <c r="AA80" s="6" t="s">
        <v>178</v>
      </c>
      <c r="AB80" s="5" t="s">
        <v>179</v>
      </c>
      <c r="AC80" s="6" t="s">
        <v>958</v>
      </c>
      <c r="AD80" s="148">
        <v>41551</v>
      </c>
      <c r="AE80" s="135">
        <v>2</v>
      </c>
      <c r="AF80" s="1" t="s">
        <v>201</v>
      </c>
    </row>
    <row r="81" spans="1:32" x14ac:dyDescent="0.25">
      <c r="A81" s="145" t="str">
        <f t="shared" si="2"/>
        <v>Ofsted Webpage</v>
      </c>
      <c r="B81" s="144">
        <v>50128</v>
      </c>
      <c r="C81" s="144">
        <v>10002697</v>
      </c>
      <c r="D81" s="26" t="s">
        <v>1144</v>
      </c>
      <c r="E81" s="26" t="s">
        <v>75</v>
      </c>
      <c r="F81" s="26" t="s">
        <v>76</v>
      </c>
      <c r="G81" s="26" t="s">
        <v>447</v>
      </c>
      <c r="H81" s="26" t="s">
        <v>198</v>
      </c>
      <c r="I81" s="26" t="s">
        <v>198</v>
      </c>
      <c r="J81" s="141">
        <v>10037328</v>
      </c>
      <c r="K81" s="2" t="s">
        <v>251</v>
      </c>
      <c r="L81" s="2" t="s">
        <v>206</v>
      </c>
      <c r="M81" s="2" t="s">
        <v>200</v>
      </c>
      <c r="N81" s="2">
        <v>43011</v>
      </c>
      <c r="O81" s="5">
        <v>43012</v>
      </c>
      <c r="P81" s="146">
        <v>43040</v>
      </c>
      <c r="Q81" s="6">
        <v>9</v>
      </c>
      <c r="R81" s="6" t="s">
        <v>178</v>
      </c>
      <c r="S81" s="6" t="s">
        <v>178</v>
      </c>
      <c r="T81" s="6" t="s">
        <v>178</v>
      </c>
      <c r="U81" s="6" t="s">
        <v>178</v>
      </c>
      <c r="V81" s="6" t="s">
        <v>178</v>
      </c>
      <c r="W81" s="6" t="s">
        <v>178</v>
      </c>
      <c r="X81" s="6" t="s">
        <v>178</v>
      </c>
      <c r="Y81" s="6" t="s">
        <v>178</v>
      </c>
      <c r="Z81" s="6" t="s">
        <v>178</v>
      </c>
      <c r="AA81" s="6" t="s">
        <v>178</v>
      </c>
      <c r="AB81" s="5" t="s">
        <v>179</v>
      </c>
      <c r="AC81" s="6" t="s">
        <v>1145</v>
      </c>
      <c r="AD81" s="148">
        <v>41670</v>
      </c>
      <c r="AE81" s="135">
        <v>2</v>
      </c>
      <c r="AF81" s="1" t="s">
        <v>208</v>
      </c>
    </row>
    <row r="82" spans="1:32" x14ac:dyDescent="0.25">
      <c r="A82" s="145" t="str">
        <f t="shared" si="2"/>
        <v>Ofsted Webpage</v>
      </c>
      <c r="B82" s="144">
        <v>130759</v>
      </c>
      <c r="C82" s="144">
        <v>10002743</v>
      </c>
      <c r="D82" s="26" t="s">
        <v>212</v>
      </c>
      <c r="E82" s="26" t="s">
        <v>81</v>
      </c>
      <c r="F82" s="26" t="s">
        <v>82</v>
      </c>
      <c r="G82" s="26" t="s">
        <v>213</v>
      </c>
      <c r="H82" s="26" t="s">
        <v>214</v>
      </c>
      <c r="I82" s="26" t="s">
        <v>214</v>
      </c>
      <c r="J82" s="141">
        <v>10030741</v>
      </c>
      <c r="K82" s="2" t="s">
        <v>215</v>
      </c>
      <c r="L82" s="2" t="s">
        <v>177</v>
      </c>
      <c r="M82" s="2" t="s">
        <v>178</v>
      </c>
      <c r="N82" s="2">
        <v>42997</v>
      </c>
      <c r="O82" s="5">
        <v>43000</v>
      </c>
      <c r="P82" s="146">
        <v>43039</v>
      </c>
      <c r="Q82" s="6">
        <v>2</v>
      </c>
      <c r="R82" s="6">
        <v>2</v>
      </c>
      <c r="S82" s="6">
        <v>2</v>
      </c>
      <c r="T82" s="6">
        <v>2</v>
      </c>
      <c r="U82" s="6">
        <v>2</v>
      </c>
      <c r="V82" s="6" t="s">
        <v>178</v>
      </c>
      <c r="W82" s="6">
        <v>2</v>
      </c>
      <c r="X82" s="6">
        <v>2</v>
      </c>
      <c r="Y82" s="6" t="s">
        <v>178</v>
      </c>
      <c r="Z82" s="6">
        <v>2</v>
      </c>
      <c r="AA82" s="6">
        <v>2</v>
      </c>
      <c r="AB82" s="5" t="s">
        <v>179</v>
      </c>
      <c r="AC82" s="6">
        <v>10004759</v>
      </c>
      <c r="AD82" s="148">
        <v>42356</v>
      </c>
      <c r="AE82" s="135">
        <v>3</v>
      </c>
      <c r="AF82" s="1" t="s">
        <v>216</v>
      </c>
    </row>
    <row r="83" spans="1:32" x14ac:dyDescent="0.25">
      <c r="A83" s="145" t="str">
        <f t="shared" si="2"/>
        <v>Ofsted Webpage</v>
      </c>
      <c r="B83" s="141">
        <v>133785</v>
      </c>
      <c r="C83" s="141">
        <v>10000712</v>
      </c>
      <c r="D83" s="26" t="s">
        <v>221</v>
      </c>
      <c r="E83" s="26" t="s">
        <v>69</v>
      </c>
      <c r="F83" s="26" t="s">
        <v>222</v>
      </c>
      <c r="G83" s="26" t="s">
        <v>223</v>
      </c>
      <c r="H83" s="26" t="s">
        <v>193</v>
      </c>
      <c r="I83" s="26" t="s">
        <v>193</v>
      </c>
      <c r="J83" s="141">
        <v>10037421</v>
      </c>
      <c r="K83" s="2" t="s">
        <v>224</v>
      </c>
      <c r="L83" s="2" t="s">
        <v>177</v>
      </c>
      <c r="M83" s="2" t="s">
        <v>178</v>
      </c>
      <c r="N83" s="2">
        <v>43011</v>
      </c>
      <c r="O83" s="5">
        <v>43014</v>
      </c>
      <c r="P83" s="146">
        <v>43038</v>
      </c>
      <c r="Q83" s="6">
        <v>2</v>
      </c>
      <c r="R83" s="6">
        <v>2</v>
      </c>
      <c r="S83" s="6">
        <v>2</v>
      </c>
      <c r="T83" s="6">
        <v>1</v>
      </c>
      <c r="U83" s="6">
        <v>2</v>
      </c>
      <c r="V83" s="6" t="s">
        <v>178</v>
      </c>
      <c r="W83" s="6">
        <v>2</v>
      </c>
      <c r="X83" s="6">
        <v>2</v>
      </c>
      <c r="Y83" s="6" t="s">
        <v>178</v>
      </c>
      <c r="Z83" s="6">
        <v>2</v>
      </c>
      <c r="AA83" s="6" t="s">
        <v>178</v>
      </c>
      <c r="AB83" s="5" t="s">
        <v>179</v>
      </c>
      <c r="AC83" s="143" t="s">
        <v>225</v>
      </c>
      <c r="AD83" s="148">
        <v>40949</v>
      </c>
      <c r="AE83" s="135">
        <v>1</v>
      </c>
      <c r="AF83" s="1" t="s">
        <v>201</v>
      </c>
    </row>
    <row r="84" spans="1:32" x14ac:dyDescent="0.25">
      <c r="A84" s="145" t="str">
        <f t="shared" si="2"/>
        <v>Ofsted Webpage</v>
      </c>
      <c r="B84" s="141">
        <v>130837</v>
      </c>
      <c r="C84" s="141">
        <v>10006002</v>
      </c>
      <c r="D84" s="26" t="s">
        <v>257</v>
      </c>
      <c r="E84" s="26" t="s">
        <v>81</v>
      </c>
      <c r="F84" s="26" t="s">
        <v>82</v>
      </c>
      <c r="G84" s="26" t="s">
        <v>258</v>
      </c>
      <c r="H84" s="26" t="s">
        <v>193</v>
      </c>
      <c r="I84" s="26" t="s">
        <v>193</v>
      </c>
      <c r="J84" s="141">
        <v>10037376</v>
      </c>
      <c r="K84" s="2" t="s">
        <v>194</v>
      </c>
      <c r="L84" s="2" t="s">
        <v>177</v>
      </c>
      <c r="M84" s="2" t="s">
        <v>178</v>
      </c>
      <c r="N84" s="2">
        <v>42997</v>
      </c>
      <c r="O84" s="5">
        <v>43000</v>
      </c>
      <c r="P84" s="146">
        <v>43038</v>
      </c>
      <c r="Q84" s="6">
        <v>3</v>
      </c>
      <c r="R84" s="6">
        <v>3</v>
      </c>
      <c r="S84" s="6">
        <v>3</v>
      </c>
      <c r="T84" s="6">
        <v>2</v>
      </c>
      <c r="U84" s="6">
        <v>3</v>
      </c>
      <c r="V84" s="6" t="s">
        <v>178</v>
      </c>
      <c r="W84" s="6">
        <v>3</v>
      </c>
      <c r="X84" s="6">
        <v>2</v>
      </c>
      <c r="Y84" s="6" t="s">
        <v>178</v>
      </c>
      <c r="Z84" s="6">
        <v>3</v>
      </c>
      <c r="AA84" s="6">
        <v>2</v>
      </c>
      <c r="AB84" s="5" t="s">
        <v>179</v>
      </c>
      <c r="AC84" s="143" t="s">
        <v>259</v>
      </c>
      <c r="AD84" s="148">
        <v>42083</v>
      </c>
      <c r="AE84" s="135">
        <v>2</v>
      </c>
      <c r="AF84" s="1" t="s">
        <v>201</v>
      </c>
    </row>
    <row r="85" spans="1:32" x14ac:dyDescent="0.25">
      <c r="A85" s="145" t="str">
        <f t="shared" si="2"/>
        <v>Ofsted Webpage</v>
      </c>
      <c r="B85" s="144">
        <v>58791</v>
      </c>
      <c r="C85" s="144">
        <v>10024426</v>
      </c>
      <c r="D85" s="26" t="s">
        <v>260</v>
      </c>
      <c r="E85" s="26" t="s">
        <v>78</v>
      </c>
      <c r="F85" s="26" t="s">
        <v>79</v>
      </c>
      <c r="G85" s="26" t="s">
        <v>261</v>
      </c>
      <c r="H85" s="26" t="s">
        <v>219</v>
      </c>
      <c r="I85" s="26" t="s">
        <v>219</v>
      </c>
      <c r="J85" s="141">
        <v>10039584</v>
      </c>
      <c r="K85" s="2" t="s">
        <v>205</v>
      </c>
      <c r="L85" s="2" t="s">
        <v>206</v>
      </c>
      <c r="M85" s="2" t="s">
        <v>200</v>
      </c>
      <c r="N85" s="2">
        <v>43005</v>
      </c>
      <c r="O85" s="5">
        <v>43005</v>
      </c>
      <c r="P85" s="146">
        <v>43035</v>
      </c>
      <c r="Q85" s="6">
        <v>9</v>
      </c>
      <c r="R85" s="6" t="s">
        <v>178</v>
      </c>
      <c r="S85" s="6" t="s">
        <v>178</v>
      </c>
      <c r="T85" s="6" t="s">
        <v>178</v>
      </c>
      <c r="U85" s="6" t="s">
        <v>178</v>
      </c>
      <c r="V85" s="6" t="s">
        <v>178</v>
      </c>
      <c r="W85" s="6" t="s">
        <v>178</v>
      </c>
      <c r="X85" s="6" t="s">
        <v>178</v>
      </c>
      <c r="Y85" s="6" t="s">
        <v>178</v>
      </c>
      <c r="Z85" s="6" t="s">
        <v>178</v>
      </c>
      <c r="AA85" s="6" t="s">
        <v>178</v>
      </c>
      <c r="AB85" s="5" t="s">
        <v>179</v>
      </c>
      <c r="AC85" s="6" t="s">
        <v>262</v>
      </c>
      <c r="AD85" s="148">
        <v>41831</v>
      </c>
      <c r="AE85" s="135">
        <v>2</v>
      </c>
      <c r="AF85" s="1" t="s">
        <v>208</v>
      </c>
    </row>
    <row r="86" spans="1:32" x14ac:dyDescent="0.25">
      <c r="A86" s="145" t="str">
        <f t="shared" si="2"/>
        <v>Ofsted Webpage</v>
      </c>
      <c r="B86" s="144">
        <v>50227</v>
      </c>
      <c r="C86" s="144">
        <v>10002910</v>
      </c>
      <c r="D86" s="26" t="s">
        <v>249</v>
      </c>
      <c r="E86" s="26" t="s">
        <v>75</v>
      </c>
      <c r="F86" s="26" t="s">
        <v>76</v>
      </c>
      <c r="G86" s="26" t="s">
        <v>250</v>
      </c>
      <c r="H86" s="26" t="s">
        <v>175</v>
      </c>
      <c r="I86" s="26" t="s">
        <v>175</v>
      </c>
      <c r="J86" s="141">
        <v>10037351</v>
      </c>
      <c r="K86" s="2" t="s">
        <v>251</v>
      </c>
      <c r="L86" s="2" t="s">
        <v>206</v>
      </c>
      <c r="M86" s="2" t="s">
        <v>200</v>
      </c>
      <c r="N86" s="2">
        <v>43005</v>
      </c>
      <c r="O86" s="5">
        <v>43006</v>
      </c>
      <c r="P86" s="146">
        <v>43035</v>
      </c>
      <c r="Q86" s="6">
        <v>9</v>
      </c>
      <c r="R86" s="6" t="s">
        <v>178</v>
      </c>
      <c r="S86" s="6" t="s">
        <v>178</v>
      </c>
      <c r="T86" s="6" t="s">
        <v>178</v>
      </c>
      <c r="U86" s="6" t="s">
        <v>178</v>
      </c>
      <c r="V86" s="6" t="s">
        <v>178</v>
      </c>
      <c r="W86" s="6" t="s">
        <v>178</v>
      </c>
      <c r="X86" s="6" t="s">
        <v>178</v>
      </c>
      <c r="Y86" s="6" t="s">
        <v>178</v>
      </c>
      <c r="Z86" s="6" t="s">
        <v>178</v>
      </c>
      <c r="AA86" s="6" t="s">
        <v>178</v>
      </c>
      <c r="AB86" s="5" t="s">
        <v>179</v>
      </c>
      <c r="AC86" s="6" t="s">
        <v>252</v>
      </c>
      <c r="AD86" s="148">
        <v>41565</v>
      </c>
      <c r="AE86" s="135">
        <v>2</v>
      </c>
      <c r="AF86" s="1" t="s">
        <v>208</v>
      </c>
    </row>
    <row r="87" spans="1:32" x14ac:dyDescent="0.25">
      <c r="A87" s="145" t="str">
        <f t="shared" si="2"/>
        <v>Ofsted Webpage</v>
      </c>
      <c r="B87" s="144">
        <v>59094</v>
      </c>
      <c r="C87" s="144">
        <v>10034309</v>
      </c>
      <c r="D87" s="26" t="s">
        <v>229</v>
      </c>
      <c r="E87" s="26" t="s">
        <v>78</v>
      </c>
      <c r="F87" s="26" t="s">
        <v>79</v>
      </c>
      <c r="G87" s="26" t="s">
        <v>230</v>
      </c>
      <c r="H87" s="26" t="s">
        <v>187</v>
      </c>
      <c r="I87" s="26" t="s">
        <v>188</v>
      </c>
      <c r="J87" s="141">
        <v>10033381</v>
      </c>
      <c r="K87" s="2" t="s">
        <v>231</v>
      </c>
      <c r="L87" s="2" t="s">
        <v>206</v>
      </c>
      <c r="M87" s="2" t="s">
        <v>200</v>
      </c>
      <c r="N87" s="2">
        <v>43004</v>
      </c>
      <c r="O87" s="5">
        <v>43005</v>
      </c>
      <c r="P87" s="146">
        <v>43035</v>
      </c>
      <c r="Q87" s="6">
        <v>9</v>
      </c>
      <c r="R87" s="6" t="s">
        <v>178</v>
      </c>
      <c r="S87" s="6" t="s">
        <v>178</v>
      </c>
      <c r="T87" s="6" t="s">
        <v>178</v>
      </c>
      <c r="U87" s="6" t="s">
        <v>178</v>
      </c>
      <c r="V87" s="6" t="s">
        <v>178</v>
      </c>
      <c r="W87" s="6" t="s">
        <v>178</v>
      </c>
      <c r="X87" s="6" t="s">
        <v>178</v>
      </c>
      <c r="Y87" s="6" t="s">
        <v>178</v>
      </c>
      <c r="Z87" s="6" t="s">
        <v>178</v>
      </c>
      <c r="AA87" s="6" t="s">
        <v>178</v>
      </c>
      <c r="AB87" s="5" t="s">
        <v>179</v>
      </c>
      <c r="AC87" s="6" t="s">
        <v>232</v>
      </c>
      <c r="AD87" s="148">
        <v>41621</v>
      </c>
      <c r="AE87" s="135">
        <v>2</v>
      </c>
      <c r="AF87" s="1" t="s">
        <v>208</v>
      </c>
    </row>
    <row r="88" spans="1:32" x14ac:dyDescent="0.25">
      <c r="A88" s="145" t="str">
        <f t="shared" si="2"/>
        <v>Ofsted Webpage</v>
      </c>
      <c r="B88" s="144">
        <v>1237204</v>
      </c>
      <c r="C88" s="144">
        <v>10007706</v>
      </c>
      <c r="D88" s="26" t="s">
        <v>209</v>
      </c>
      <c r="E88" s="26" t="s">
        <v>78</v>
      </c>
      <c r="F88" s="26" t="s">
        <v>79</v>
      </c>
      <c r="G88" s="26" t="s">
        <v>210</v>
      </c>
      <c r="H88" s="26" t="s">
        <v>187</v>
      </c>
      <c r="I88" s="26" t="s">
        <v>188</v>
      </c>
      <c r="J88" s="141">
        <v>10037429</v>
      </c>
      <c r="K88" s="2" t="s">
        <v>211</v>
      </c>
      <c r="L88" s="2" t="s">
        <v>177</v>
      </c>
      <c r="M88" s="2" t="s">
        <v>178</v>
      </c>
      <c r="N88" s="2">
        <v>42998</v>
      </c>
      <c r="O88" s="5">
        <v>43000</v>
      </c>
      <c r="P88" s="146">
        <v>43035</v>
      </c>
      <c r="Q88" s="6">
        <v>4</v>
      </c>
      <c r="R88" s="6">
        <v>4</v>
      </c>
      <c r="S88" s="6">
        <v>4</v>
      </c>
      <c r="T88" s="6">
        <v>4</v>
      </c>
      <c r="U88" s="6">
        <v>4</v>
      </c>
      <c r="V88" s="6" t="s">
        <v>178</v>
      </c>
      <c r="W88" s="6" t="s">
        <v>178</v>
      </c>
      <c r="X88" s="6">
        <v>4</v>
      </c>
      <c r="Y88" s="6" t="s">
        <v>178</v>
      </c>
      <c r="Z88" s="6" t="s">
        <v>178</v>
      </c>
      <c r="AA88" s="6" t="s">
        <v>178</v>
      </c>
      <c r="AB88" s="5" t="s">
        <v>179</v>
      </c>
      <c r="AC88" s="6" t="s">
        <v>72</v>
      </c>
      <c r="AD88" s="148" t="s">
        <v>72</v>
      </c>
      <c r="AE88" s="135" t="s">
        <v>72</v>
      </c>
      <c r="AF88" s="1" t="s">
        <v>208</v>
      </c>
    </row>
    <row r="89" spans="1:32" x14ac:dyDescent="0.25">
      <c r="A89" s="145" t="str">
        <f t="shared" si="2"/>
        <v>Ofsted Webpage</v>
      </c>
      <c r="B89" s="144">
        <v>130476</v>
      </c>
      <c r="C89" s="144">
        <v>10002852</v>
      </c>
      <c r="D89" s="26" t="s">
        <v>191</v>
      </c>
      <c r="E89" s="26" t="s">
        <v>81</v>
      </c>
      <c r="F89" s="26" t="s">
        <v>82</v>
      </c>
      <c r="G89" s="26" t="s">
        <v>192</v>
      </c>
      <c r="H89" s="26" t="s">
        <v>193</v>
      </c>
      <c r="I89" s="26" t="s">
        <v>193</v>
      </c>
      <c r="J89" s="141">
        <v>10022584</v>
      </c>
      <c r="K89" s="2" t="s">
        <v>194</v>
      </c>
      <c r="L89" s="2" t="s">
        <v>177</v>
      </c>
      <c r="M89" s="2" t="s">
        <v>178</v>
      </c>
      <c r="N89" s="2">
        <v>42996</v>
      </c>
      <c r="O89" s="5">
        <v>42999</v>
      </c>
      <c r="P89" s="146">
        <v>43034</v>
      </c>
      <c r="Q89" s="6">
        <v>2</v>
      </c>
      <c r="R89" s="6">
        <v>2</v>
      </c>
      <c r="S89" s="6">
        <v>2</v>
      </c>
      <c r="T89" s="6">
        <v>2</v>
      </c>
      <c r="U89" s="6">
        <v>2</v>
      </c>
      <c r="V89" s="6" t="s">
        <v>178</v>
      </c>
      <c r="W89" s="6">
        <v>2</v>
      </c>
      <c r="X89" s="6" t="s">
        <v>178</v>
      </c>
      <c r="Y89" s="6" t="s">
        <v>178</v>
      </c>
      <c r="Z89" s="6">
        <v>2</v>
      </c>
      <c r="AA89" s="6" t="s">
        <v>178</v>
      </c>
      <c r="AB89" s="5" t="s">
        <v>179</v>
      </c>
      <c r="AC89" s="6" t="s">
        <v>195</v>
      </c>
      <c r="AD89" s="148">
        <v>41432</v>
      </c>
      <c r="AE89" s="135">
        <v>2</v>
      </c>
      <c r="AF89" s="1" t="s">
        <v>180</v>
      </c>
    </row>
    <row r="90" spans="1:32" x14ac:dyDescent="0.25">
      <c r="A90" s="145" t="str">
        <f t="shared" si="2"/>
        <v>Ofsted Webpage</v>
      </c>
      <c r="B90" s="144">
        <v>58362</v>
      </c>
      <c r="C90" s="144">
        <v>10009491</v>
      </c>
      <c r="D90" s="26" t="s">
        <v>217</v>
      </c>
      <c r="E90" s="26" t="s">
        <v>78</v>
      </c>
      <c r="F90" s="26" t="s">
        <v>79</v>
      </c>
      <c r="G90" s="26" t="s">
        <v>218</v>
      </c>
      <c r="H90" s="26" t="s">
        <v>219</v>
      </c>
      <c r="I90" s="26" t="s">
        <v>219</v>
      </c>
      <c r="J90" s="141">
        <v>10040411</v>
      </c>
      <c r="K90" s="2" t="s">
        <v>205</v>
      </c>
      <c r="L90" s="2" t="s">
        <v>206</v>
      </c>
      <c r="M90" s="2" t="s">
        <v>200</v>
      </c>
      <c r="N90" s="2">
        <v>42997</v>
      </c>
      <c r="O90" s="5">
        <v>42998</v>
      </c>
      <c r="P90" s="146">
        <v>43033</v>
      </c>
      <c r="Q90" s="6">
        <v>9</v>
      </c>
      <c r="R90" s="6" t="s">
        <v>178</v>
      </c>
      <c r="S90" s="6" t="s">
        <v>178</v>
      </c>
      <c r="T90" s="6" t="s">
        <v>178</v>
      </c>
      <c r="U90" s="6" t="s">
        <v>178</v>
      </c>
      <c r="V90" s="6" t="s">
        <v>178</v>
      </c>
      <c r="W90" s="6" t="s">
        <v>178</v>
      </c>
      <c r="X90" s="6" t="s">
        <v>178</v>
      </c>
      <c r="Y90" s="6" t="s">
        <v>178</v>
      </c>
      <c r="Z90" s="6" t="s">
        <v>178</v>
      </c>
      <c r="AA90" s="6" t="s">
        <v>178</v>
      </c>
      <c r="AB90" s="5" t="s">
        <v>179</v>
      </c>
      <c r="AC90" s="6" t="s">
        <v>220</v>
      </c>
      <c r="AD90" s="148">
        <v>41978</v>
      </c>
      <c r="AE90" s="135">
        <v>2</v>
      </c>
      <c r="AF90" s="1" t="s">
        <v>208</v>
      </c>
    </row>
    <row r="91" spans="1:32" x14ac:dyDescent="0.25">
      <c r="A91" s="145" t="str">
        <f t="shared" si="2"/>
        <v>Ofsted Webpage</v>
      </c>
      <c r="B91" s="144">
        <v>130757</v>
      </c>
      <c r="C91" s="144">
        <v>10005429</v>
      </c>
      <c r="D91" s="26" t="s">
        <v>226</v>
      </c>
      <c r="E91" s="26" t="s">
        <v>83</v>
      </c>
      <c r="F91" s="26" t="s">
        <v>82</v>
      </c>
      <c r="G91" s="26" t="s">
        <v>227</v>
      </c>
      <c r="H91" s="26" t="s">
        <v>214</v>
      </c>
      <c r="I91" s="26" t="s">
        <v>214</v>
      </c>
      <c r="J91" s="141">
        <v>10040628</v>
      </c>
      <c r="K91" s="2" t="s">
        <v>228</v>
      </c>
      <c r="L91" s="2" t="s">
        <v>177</v>
      </c>
      <c r="M91" s="2" t="s">
        <v>178</v>
      </c>
      <c r="N91" s="2">
        <v>42997</v>
      </c>
      <c r="O91" s="5">
        <v>43000</v>
      </c>
      <c r="P91" s="146">
        <v>43032</v>
      </c>
      <c r="Q91" s="6">
        <v>2</v>
      </c>
      <c r="R91" s="6">
        <v>2</v>
      </c>
      <c r="S91" s="6">
        <v>2</v>
      </c>
      <c r="T91" s="6">
        <v>2</v>
      </c>
      <c r="U91" s="6">
        <v>2</v>
      </c>
      <c r="V91" s="6" t="s">
        <v>178</v>
      </c>
      <c r="W91" s="6">
        <v>2</v>
      </c>
      <c r="X91" s="6" t="s">
        <v>178</v>
      </c>
      <c r="Y91" s="6" t="s">
        <v>178</v>
      </c>
      <c r="Z91" s="6">
        <v>3</v>
      </c>
      <c r="AA91" s="6" t="s">
        <v>178</v>
      </c>
      <c r="AB91" s="5" t="s">
        <v>179</v>
      </c>
      <c r="AC91" s="6">
        <v>10004758</v>
      </c>
      <c r="AD91" s="148">
        <v>42453</v>
      </c>
      <c r="AE91" s="135">
        <v>3</v>
      </c>
      <c r="AF91" s="1" t="s">
        <v>216</v>
      </c>
    </row>
    <row r="92" spans="1:32" x14ac:dyDescent="0.25">
      <c r="A92" s="145" t="str">
        <f t="shared" si="2"/>
        <v>Ofsted Webpage</v>
      </c>
      <c r="B92" s="144">
        <v>58472</v>
      </c>
      <c r="C92" s="144">
        <v>10010940</v>
      </c>
      <c r="D92" s="26" t="s">
        <v>243</v>
      </c>
      <c r="E92" s="26" t="s">
        <v>78</v>
      </c>
      <c r="F92" s="26" t="s">
        <v>79</v>
      </c>
      <c r="G92" s="26" t="s">
        <v>210</v>
      </c>
      <c r="H92" s="26" t="s">
        <v>187</v>
      </c>
      <c r="I92" s="26" t="s">
        <v>188</v>
      </c>
      <c r="J92" s="141">
        <v>10037380</v>
      </c>
      <c r="K92" s="2" t="s">
        <v>183</v>
      </c>
      <c r="L92" s="2" t="s">
        <v>244</v>
      </c>
      <c r="M92" s="2" t="s">
        <v>179</v>
      </c>
      <c r="N92" s="2">
        <v>42990</v>
      </c>
      <c r="O92" s="5">
        <v>42993</v>
      </c>
      <c r="P92" s="146">
        <v>43031</v>
      </c>
      <c r="Q92" s="6">
        <v>3</v>
      </c>
      <c r="R92" s="6">
        <v>3</v>
      </c>
      <c r="S92" s="6">
        <v>3</v>
      </c>
      <c r="T92" s="6">
        <v>2</v>
      </c>
      <c r="U92" s="6">
        <v>3</v>
      </c>
      <c r="V92" s="6" t="s">
        <v>178</v>
      </c>
      <c r="W92" s="6" t="s">
        <v>178</v>
      </c>
      <c r="X92" s="6">
        <v>2</v>
      </c>
      <c r="Y92" s="6" t="s">
        <v>178</v>
      </c>
      <c r="Z92" s="6">
        <v>3</v>
      </c>
      <c r="AA92" s="6" t="s">
        <v>178</v>
      </c>
      <c r="AB92" s="5" t="s">
        <v>179</v>
      </c>
      <c r="AC92" s="6" t="s">
        <v>245</v>
      </c>
      <c r="AD92" s="148">
        <v>41824</v>
      </c>
      <c r="AE92" s="135">
        <v>2</v>
      </c>
      <c r="AF92" s="1" t="s">
        <v>201</v>
      </c>
    </row>
    <row r="93" spans="1:32" x14ac:dyDescent="0.25">
      <c r="A93" s="145" t="str">
        <f t="shared" si="2"/>
        <v>Ofsted Webpage</v>
      </c>
      <c r="B93" s="144">
        <v>138966</v>
      </c>
      <c r="C93" s="144">
        <v>10039420</v>
      </c>
      <c r="D93" s="26" t="s">
        <v>173</v>
      </c>
      <c r="E93" s="26" t="s">
        <v>88</v>
      </c>
      <c r="F93" s="26" t="s">
        <v>74</v>
      </c>
      <c r="G93" s="26" t="s">
        <v>174</v>
      </c>
      <c r="H93" s="26" t="s">
        <v>175</v>
      </c>
      <c r="I93" s="26" t="s">
        <v>175</v>
      </c>
      <c r="J93" s="141">
        <v>10037410</v>
      </c>
      <c r="K93" s="2" t="s">
        <v>176</v>
      </c>
      <c r="L93" s="2" t="s">
        <v>177</v>
      </c>
      <c r="M93" s="2" t="s">
        <v>178</v>
      </c>
      <c r="N93" s="2">
        <v>42996</v>
      </c>
      <c r="O93" s="5">
        <v>42999</v>
      </c>
      <c r="P93" s="146">
        <v>43031</v>
      </c>
      <c r="Q93" s="6">
        <v>3</v>
      </c>
      <c r="R93" s="6">
        <v>3</v>
      </c>
      <c r="S93" s="6">
        <v>3</v>
      </c>
      <c r="T93" s="6">
        <v>3</v>
      </c>
      <c r="U93" s="6">
        <v>3</v>
      </c>
      <c r="V93" s="6" t="s">
        <v>178</v>
      </c>
      <c r="W93" s="6">
        <v>3</v>
      </c>
      <c r="X93" s="6" t="s">
        <v>178</v>
      </c>
      <c r="Y93" s="6" t="s">
        <v>178</v>
      </c>
      <c r="Z93" s="6" t="s">
        <v>178</v>
      </c>
      <c r="AA93" s="6">
        <v>2</v>
      </c>
      <c r="AB93" s="5" t="s">
        <v>179</v>
      </c>
      <c r="AC93" s="6">
        <v>10004818</v>
      </c>
      <c r="AD93" s="148">
        <v>42299</v>
      </c>
      <c r="AE93" s="135">
        <v>3</v>
      </c>
      <c r="AF93" s="1" t="s">
        <v>180</v>
      </c>
    </row>
    <row r="94" spans="1:32" x14ac:dyDescent="0.25">
      <c r="A94" s="145" t="str">
        <f t="shared" si="2"/>
        <v>Ofsted Webpage</v>
      </c>
      <c r="B94" s="141">
        <v>130809</v>
      </c>
      <c r="C94" s="141">
        <v>10001004</v>
      </c>
      <c r="D94" s="26" t="s">
        <v>253</v>
      </c>
      <c r="E94" s="26" t="s">
        <v>81</v>
      </c>
      <c r="F94" s="26" t="s">
        <v>82</v>
      </c>
      <c r="G94" s="26" t="s">
        <v>254</v>
      </c>
      <c r="H94" s="26" t="s">
        <v>193</v>
      </c>
      <c r="I94" s="26" t="s">
        <v>193</v>
      </c>
      <c r="J94" s="141">
        <v>10037406</v>
      </c>
      <c r="K94" s="2" t="s">
        <v>215</v>
      </c>
      <c r="L94" s="2" t="s">
        <v>177</v>
      </c>
      <c r="M94" s="2" t="s">
        <v>178</v>
      </c>
      <c r="N94" s="2">
        <v>43004</v>
      </c>
      <c r="O94" s="5">
        <v>43007</v>
      </c>
      <c r="P94" s="146">
        <v>43028</v>
      </c>
      <c r="Q94" s="6">
        <v>2</v>
      </c>
      <c r="R94" s="6">
        <v>2</v>
      </c>
      <c r="S94" s="6">
        <v>2</v>
      </c>
      <c r="T94" s="6">
        <v>2</v>
      </c>
      <c r="U94" s="6">
        <v>2</v>
      </c>
      <c r="V94" s="6" t="s">
        <v>178</v>
      </c>
      <c r="W94" s="6">
        <v>2</v>
      </c>
      <c r="X94" s="6">
        <v>2</v>
      </c>
      <c r="Y94" s="6" t="s">
        <v>178</v>
      </c>
      <c r="Z94" s="6">
        <v>2</v>
      </c>
      <c r="AA94" s="6">
        <v>2</v>
      </c>
      <c r="AB94" s="5" t="s">
        <v>179</v>
      </c>
      <c r="AC94" s="143">
        <v>10008495</v>
      </c>
      <c r="AD94" s="148">
        <v>42433</v>
      </c>
      <c r="AE94" s="135">
        <v>3</v>
      </c>
      <c r="AF94" s="1" t="s">
        <v>216</v>
      </c>
    </row>
    <row r="95" spans="1:32" x14ac:dyDescent="0.25">
      <c r="A95" s="145" t="str">
        <f t="shared" si="2"/>
        <v>Ofsted Webpage</v>
      </c>
      <c r="B95" s="144">
        <v>58277</v>
      </c>
      <c r="C95" s="144">
        <v>10018942</v>
      </c>
      <c r="D95" s="26" t="s">
        <v>255</v>
      </c>
      <c r="E95" s="26" t="s">
        <v>78</v>
      </c>
      <c r="F95" s="26" t="s">
        <v>79</v>
      </c>
      <c r="G95" s="26" t="s">
        <v>213</v>
      </c>
      <c r="H95" s="26" t="s">
        <v>214</v>
      </c>
      <c r="I95" s="26" t="s">
        <v>214</v>
      </c>
      <c r="J95" s="141">
        <v>10037341</v>
      </c>
      <c r="K95" s="2" t="s">
        <v>205</v>
      </c>
      <c r="L95" s="2" t="s">
        <v>206</v>
      </c>
      <c r="M95" s="2" t="s">
        <v>200</v>
      </c>
      <c r="N95" s="2">
        <v>43005</v>
      </c>
      <c r="O95" s="5">
        <v>43006</v>
      </c>
      <c r="P95" s="146">
        <v>43028</v>
      </c>
      <c r="Q95" s="6">
        <v>9</v>
      </c>
      <c r="R95" s="6" t="s">
        <v>178</v>
      </c>
      <c r="S95" s="6" t="s">
        <v>178</v>
      </c>
      <c r="T95" s="6" t="s">
        <v>178</v>
      </c>
      <c r="U95" s="6" t="s">
        <v>178</v>
      </c>
      <c r="V95" s="6" t="s">
        <v>178</v>
      </c>
      <c r="W95" s="6" t="s">
        <v>178</v>
      </c>
      <c r="X95" s="6" t="s">
        <v>178</v>
      </c>
      <c r="Y95" s="6" t="s">
        <v>178</v>
      </c>
      <c r="Z95" s="6" t="s">
        <v>178</v>
      </c>
      <c r="AA95" s="6" t="s">
        <v>178</v>
      </c>
      <c r="AB95" s="5" t="s">
        <v>179</v>
      </c>
      <c r="AC95" s="6" t="s">
        <v>256</v>
      </c>
      <c r="AD95" s="148">
        <v>41824</v>
      </c>
      <c r="AE95" s="135">
        <v>2</v>
      </c>
      <c r="AF95" s="1" t="s">
        <v>208</v>
      </c>
    </row>
    <row r="96" spans="1:32" x14ac:dyDescent="0.25">
      <c r="A96" s="145" t="str">
        <f t="shared" si="2"/>
        <v>Ofsted Webpage</v>
      </c>
      <c r="B96" s="144">
        <v>58177</v>
      </c>
      <c r="C96" s="144">
        <v>10001149</v>
      </c>
      <c r="D96" s="26" t="s">
        <v>181</v>
      </c>
      <c r="E96" s="26" t="s">
        <v>80</v>
      </c>
      <c r="F96" s="26" t="s">
        <v>79</v>
      </c>
      <c r="G96" s="26" t="s">
        <v>182</v>
      </c>
      <c r="H96" s="26" t="s">
        <v>175</v>
      </c>
      <c r="I96" s="26" t="s">
        <v>175</v>
      </c>
      <c r="J96" s="141">
        <v>10022581</v>
      </c>
      <c r="K96" s="2" t="s">
        <v>183</v>
      </c>
      <c r="L96" s="2" t="s">
        <v>177</v>
      </c>
      <c r="M96" s="2" t="s">
        <v>178</v>
      </c>
      <c r="N96" s="2">
        <v>42990</v>
      </c>
      <c r="O96" s="5">
        <v>42993</v>
      </c>
      <c r="P96" s="146">
        <v>43028</v>
      </c>
      <c r="Q96" s="6">
        <v>2</v>
      </c>
      <c r="R96" s="6">
        <v>2</v>
      </c>
      <c r="S96" s="6">
        <v>2</v>
      </c>
      <c r="T96" s="6">
        <v>1</v>
      </c>
      <c r="U96" s="6">
        <v>2</v>
      </c>
      <c r="V96" s="6" t="s">
        <v>178</v>
      </c>
      <c r="W96" s="6" t="s">
        <v>178</v>
      </c>
      <c r="X96" s="6">
        <v>2</v>
      </c>
      <c r="Y96" s="6">
        <v>3</v>
      </c>
      <c r="Z96" s="6">
        <v>2</v>
      </c>
      <c r="AA96" s="6" t="s">
        <v>178</v>
      </c>
      <c r="AB96" s="5" t="s">
        <v>179</v>
      </c>
      <c r="AC96" s="6" t="s">
        <v>184</v>
      </c>
      <c r="AD96" s="148">
        <v>41208</v>
      </c>
      <c r="AE96" s="135">
        <v>2</v>
      </c>
      <c r="AF96" s="1" t="s">
        <v>180</v>
      </c>
    </row>
    <row r="97" spans="1:32" x14ac:dyDescent="0.25">
      <c r="A97" s="145" t="str">
        <f t="shared" si="2"/>
        <v>Ofsted Webpage</v>
      </c>
      <c r="B97" s="144">
        <v>130414</v>
      </c>
      <c r="C97" s="144">
        <v>10004204</v>
      </c>
      <c r="D97" s="26" t="s">
        <v>233</v>
      </c>
      <c r="E97" s="26" t="s">
        <v>84</v>
      </c>
      <c r="F97" s="26" t="s">
        <v>76</v>
      </c>
      <c r="G97" s="26" t="s">
        <v>234</v>
      </c>
      <c r="H97" s="26" t="s">
        <v>175</v>
      </c>
      <c r="I97" s="26" t="s">
        <v>175</v>
      </c>
      <c r="J97" s="141">
        <v>10037396</v>
      </c>
      <c r="K97" s="2" t="s">
        <v>235</v>
      </c>
      <c r="L97" s="2" t="s">
        <v>177</v>
      </c>
      <c r="M97" s="2" t="s">
        <v>178</v>
      </c>
      <c r="N97" s="2">
        <v>43006</v>
      </c>
      <c r="O97" s="5">
        <v>43007</v>
      </c>
      <c r="P97" s="146">
        <v>43027</v>
      </c>
      <c r="Q97" s="6">
        <v>2</v>
      </c>
      <c r="R97" s="6">
        <v>2</v>
      </c>
      <c r="S97" s="6">
        <v>2</v>
      </c>
      <c r="T97" s="6">
        <v>2</v>
      </c>
      <c r="U97" s="6">
        <v>2</v>
      </c>
      <c r="V97" s="6" t="s">
        <v>178</v>
      </c>
      <c r="W97" s="6" t="s">
        <v>178</v>
      </c>
      <c r="X97" s="6">
        <v>2</v>
      </c>
      <c r="Y97" s="6" t="s">
        <v>178</v>
      </c>
      <c r="Z97" s="6" t="s">
        <v>178</v>
      </c>
      <c r="AA97" s="6" t="s">
        <v>178</v>
      </c>
      <c r="AB97" s="5" t="s">
        <v>179</v>
      </c>
      <c r="AC97" s="6">
        <v>10004667</v>
      </c>
      <c r="AD97" s="148">
        <v>42391</v>
      </c>
      <c r="AE97" s="135">
        <v>3</v>
      </c>
      <c r="AF97" s="1" t="s">
        <v>216</v>
      </c>
    </row>
    <row r="98" spans="1:32" x14ac:dyDescent="0.25">
      <c r="A98" s="145" t="str">
        <f t="shared" si="2"/>
        <v>Ofsted Webpage</v>
      </c>
      <c r="B98" s="132">
        <v>130519</v>
      </c>
      <c r="C98" s="132">
        <v>10005998</v>
      </c>
      <c r="D98" s="118" t="s">
        <v>239</v>
      </c>
      <c r="E98" s="118" t="s">
        <v>81</v>
      </c>
      <c r="F98" s="118" t="s">
        <v>82</v>
      </c>
      <c r="G98" s="118" t="s">
        <v>240</v>
      </c>
      <c r="H98" s="118" t="s">
        <v>238</v>
      </c>
      <c r="I98" s="118" t="s">
        <v>238</v>
      </c>
      <c r="J98" s="132">
        <v>10040550</v>
      </c>
      <c r="K98" s="118" t="s">
        <v>241</v>
      </c>
      <c r="L98" s="3" t="s">
        <v>206</v>
      </c>
      <c r="M98" s="3" t="s">
        <v>200</v>
      </c>
      <c r="N98" s="119">
        <v>42997</v>
      </c>
      <c r="O98" s="119">
        <v>42998</v>
      </c>
      <c r="P98" s="146">
        <v>43026</v>
      </c>
      <c r="Q98" s="120">
        <v>9</v>
      </c>
      <c r="R98" s="120" t="s">
        <v>178</v>
      </c>
      <c r="S98" s="120" t="s">
        <v>178</v>
      </c>
      <c r="T98" s="120" t="s">
        <v>178</v>
      </c>
      <c r="U98" s="120" t="s">
        <v>178</v>
      </c>
      <c r="V98" s="122" t="s">
        <v>178</v>
      </c>
      <c r="W98" s="122" t="s">
        <v>178</v>
      </c>
      <c r="X98" s="122" t="s">
        <v>178</v>
      </c>
      <c r="Y98" s="122" t="s">
        <v>178</v>
      </c>
      <c r="Z98" s="120" t="s">
        <v>178</v>
      </c>
      <c r="AA98" s="122" t="s">
        <v>178</v>
      </c>
      <c r="AB98" s="120" t="s">
        <v>179</v>
      </c>
      <c r="AC98" s="142" t="s">
        <v>242</v>
      </c>
      <c r="AD98" s="147">
        <v>42027</v>
      </c>
      <c r="AE98" s="120">
        <v>2</v>
      </c>
      <c r="AF98" s="118" t="s">
        <v>208</v>
      </c>
    </row>
    <row r="99" spans="1:32" x14ac:dyDescent="0.25">
      <c r="A99" s="145" t="str">
        <f t="shared" si="2"/>
        <v>Ofsted Webpage</v>
      </c>
      <c r="B99" s="141">
        <v>58719</v>
      </c>
      <c r="C99" s="141">
        <v>10010571</v>
      </c>
      <c r="D99" s="26" t="s">
        <v>196</v>
      </c>
      <c r="E99" s="26" t="s">
        <v>78</v>
      </c>
      <c r="F99" s="26" t="s">
        <v>79</v>
      </c>
      <c r="G99" s="26" t="s">
        <v>197</v>
      </c>
      <c r="H99" s="26" t="s">
        <v>198</v>
      </c>
      <c r="I99" s="26" t="s">
        <v>198</v>
      </c>
      <c r="J99" s="141">
        <v>10030750</v>
      </c>
      <c r="K99" s="2" t="s">
        <v>199</v>
      </c>
      <c r="L99" s="2" t="s">
        <v>177</v>
      </c>
      <c r="M99" s="2" t="s">
        <v>178</v>
      </c>
      <c r="N99" s="2">
        <v>42990</v>
      </c>
      <c r="O99" s="5">
        <v>42992</v>
      </c>
      <c r="P99" s="146">
        <v>43020</v>
      </c>
      <c r="Q99" s="6">
        <v>4</v>
      </c>
      <c r="R99" s="6">
        <v>4</v>
      </c>
      <c r="S99" s="6">
        <v>4</v>
      </c>
      <c r="T99" s="6">
        <v>3</v>
      </c>
      <c r="U99" s="6">
        <v>4</v>
      </c>
      <c r="V99" s="6" t="s">
        <v>178</v>
      </c>
      <c r="W99" s="6" t="s">
        <v>178</v>
      </c>
      <c r="X99" s="6">
        <v>3</v>
      </c>
      <c r="Y99" s="6" t="s">
        <v>178</v>
      </c>
      <c r="Z99" s="6">
        <v>4</v>
      </c>
      <c r="AA99" s="6" t="s">
        <v>178</v>
      </c>
      <c r="AB99" s="5" t="s">
        <v>200</v>
      </c>
      <c r="AC99" s="143">
        <v>10005075</v>
      </c>
      <c r="AD99" s="148">
        <v>42391</v>
      </c>
      <c r="AE99" s="135">
        <v>3</v>
      </c>
      <c r="AF99" s="1" t="s">
        <v>201</v>
      </c>
    </row>
    <row r="100" spans="1:32" x14ac:dyDescent="0.25">
      <c r="A100" s="145" t="str">
        <f t="shared" si="2"/>
        <v>Ofsted Webpage</v>
      </c>
      <c r="B100" s="144">
        <v>130492</v>
      </c>
      <c r="C100" s="144">
        <v>10003640</v>
      </c>
      <c r="D100" s="26" t="s">
        <v>236</v>
      </c>
      <c r="E100" s="26" t="s">
        <v>83</v>
      </c>
      <c r="F100" s="26" t="s">
        <v>82</v>
      </c>
      <c r="G100" s="26" t="s">
        <v>237</v>
      </c>
      <c r="H100" s="26" t="s">
        <v>238</v>
      </c>
      <c r="I100" s="26" t="s">
        <v>238</v>
      </c>
      <c r="J100" s="141">
        <v>10037399</v>
      </c>
      <c r="K100" s="2" t="s">
        <v>228</v>
      </c>
      <c r="L100" s="2" t="s">
        <v>177</v>
      </c>
      <c r="M100" s="2" t="s">
        <v>178</v>
      </c>
      <c r="N100" s="2">
        <v>42998</v>
      </c>
      <c r="O100" s="5">
        <v>43000</v>
      </c>
      <c r="P100" s="146">
        <v>43020</v>
      </c>
      <c r="Q100" s="6">
        <v>2</v>
      </c>
      <c r="R100" s="6">
        <v>2</v>
      </c>
      <c r="S100" s="6">
        <v>2</v>
      </c>
      <c r="T100" s="6">
        <v>2</v>
      </c>
      <c r="U100" s="6">
        <v>2</v>
      </c>
      <c r="V100" s="6" t="s">
        <v>178</v>
      </c>
      <c r="W100" s="6">
        <v>2</v>
      </c>
      <c r="X100" s="6" t="s">
        <v>178</v>
      </c>
      <c r="Y100" s="6" t="s">
        <v>178</v>
      </c>
      <c r="Z100" s="6" t="s">
        <v>178</v>
      </c>
      <c r="AA100" s="6" t="s">
        <v>178</v>
      </c>
      <c r="AB100" s="5" t="s">
        <v>179</v>
      </c>
      <c r="AC100" s="6">
        <v>10004690</v>
      </c>
      <c r="AD100" s="148">
        <v>42341</v>
      </c>
      <c r="AE100" s="135">
        <v>3</v>
      </c>
      <c r="AF100" s="1" t="s">
        <v>216</v>
      </c>
    </row>
    <row r="101" spans="1:32" x14ac:dyDescent="0.25">
      <c r="A101" s="145" t="str">
        <f t="shared" ref="A101:A103" si="3">HYPERLINK("http://www.ofsted.gov.uk/inspection-reports/find-inspection-report/provider/ELS/"&amp;B101,"Ofsted Webpage")</f>
        <v>Ofsted Webpage</v>
      </c>
      <c r="B101" s="144">
        <v>53422</v>
      </c>
      <c r="C101" s="144">
        <v>10004434</v>
      </c>
      <c r="D101" s="26" t="s">
        <v>185</v>
      </c>
      <c r="E101" s="26" t="s">
        <v>77</v>
      </c>
      <c r="F101" s="26" t="s">
        <v>76</v>
      </c>
      <c r="G101" s="26" t="s">
        <v>186</v>
      </c>
      <c r="H101" s="26" t="s">
        <v>187</v>
      </c>
      <c r="I101" s="26" t="s">
        <v>188</v>
      </c>
      <c r="J101" s="141">
        <v>10022480</v>
      </c>
      <c r="K101" s="2" t="s">
        <v>189</v>
      </c>
      <c r="L101" s="2" t="s">
        <v>177</v>
      </c>
      <c r="M101" s="2" t="s">
        <v>178</v>
      </c>
      <c r="N101" s="2">
        <v>42990</v>
      </c>
      <c r="O101" s="5">
        <v>42993</v>
      </c>
      <c r="P101" s="146">
        <v>43019</v>
      </c>
      <c r="Q101" s="6">
        <v>2</v>
      </c>
      <c r="R101" s="6">
        <v>2</v>
      </c>
      <c r="S101" s="6">
        <v>2</v>
      </c>
      <c r="T101" s="6">
        <v>2</v>
      </c>
      <c r="U101" s="6">
        <v>2</v>
      </c>
      <c r="V101" s="6" t="s">
        <v>178</v>
      </c>
      <c r="W101" s="6">
        <v>2</v>
      </c>
      <c r="X101" s="6" t="s">
        <v>178</v>
      </c>
      <c r="Y101" s="6" t="s">
        <v>178</v>
      </c>
      <c r="Z101" s="6" t="s">
        <v>178</v>
      </c>
      <c r="AA101" s="6" t="s">
        <v>178</v>
      </c>
      <c r="AB101" s="5" t="s">
        <v>179</v>
      </c>
      <c r="AC101" s="6" t="s">
        <v>190</v>
      </c>
      <c r="AD101" s="5">
        <v>41929</v>
      </c>
      <c r="AE101" s="135">
        <v>2</v>
      </c>
      <c r="AF101" s="1" t="s">
        <v>180</v>
      </c>
    </row>
    <row r="102" spans="1:32" x14ac:dyDescent="0.25">
      <c r="A102" s="145" t="str">
        <f t="shared" si="3"/>
        <v>Ofsted Webpage</v>
      </c>
      <c r="B102" s="144">
        <v>59172</v>
      </c>
      <c r="C102" s="144">
        <v>10013122</v>
      </c>
      <c r="D102" s="26" t="s">
        <v>246</v>
      </c>
      <c r="E102" s="26" t="s">
        <v>78</v>
      </c>
      <c r="F102" s="26" t="s">
        <v>79</v>
      </c>
      <c r="G102" s="26" t="s">
        <v>247</v>
      </c>
      <c r="H102" s="26" t="s">
        <v>238</v>
      </c>
      <c r="I102" s="26" t="s">
        <v>238</v>
      </c>
      <c r="J102" s="141">
        <v>10030737</v>
      </c>
      <c r="K102" s="2" t="s">
        <v>205</v>
      </c>
      <c r="L102" s="2" t="s">
        <v>206</v>
      </c>
      <c r="M102" s="2" t="s">
        <v>200</v>
      </c>
      <c r="N102" s="2">
        <v>42989</v>
      </c>
      <c r="O102" s="5">
        <v>42990</v>
      </c>
      <c r="P102" s="146">
        <v>43019</v>
      </c>
      <c r="Q102" s="6">
        <v>9</v>
      </c>
      <c r="R102" s="6" t="s">
        <v>178</v>
      </c>
      <c r="S102" s="6" t="s">
        <v>178</v>
      </c>
      <c r="T102" s="6" t="s">
        <v>178</v>
      </c>
      <c r="U102" s="6" t="s">
        <v>178</v>
      </c>
      <c r="V102" s="6" t="s">
        <v>178</v>
      </c>
      <c r="W102" s="6" t="s">
        <v>178</v>
      </c>
      <c r="X102" s="6" t="s">
        <v>178</v>
      </c>
      <c r="Y102" s="6" t="s">
        <v>178</v>
      </c>
      <c r="Z102" s="6" t="s">
        <v>178</v>
      </c>
      <c r="AA102" s="6" t="s">
        <v>178</v>
      </c>
      <c r="AB102" s="5" t="s">
        <v>179</v>
      </c>
      <c r="AC102" s="6" t="s">
        <v>248</v>
      </c>
      <c r="AD102" s="148">
        <v>41593</v>
      </c>
      <c r="AE102" s="135">
        <v>2</v>
      </c>
      <c r="AF102" s="1" t="s">
        <v>208</v>
      </c>
    </row>
    <row r="103" spans="1:32" x14ac:dyDescent="0.25">
      <c r="A103" s="145" t="str">
        <f t="shared" si="3"/>
        <v>Ofsted Webpage</v>
      </c>
      <c r="B103" s="144">
        <v>53574</v>
      </c>
      <c r="C103" s="144">
        <v>10004547</v>
      </c>
      <c r="D103" s="26" t="s">
        <v>202</v>
      </c>
      <c r="E103" s="26" t="s">
        <v>78</v>
      </c>
      <c r="F103" s="26" t="s">
        <v>79</v>
      </c>
      <c r="G103" s="26" t="s">
        <v>203</v>
      </c>
      <c r="H103" s="26" t="s">
        <v>204</v>
      </c>
      <c r="I103" s="26" t="s">
        <v>188</v>
      </c>
      <c r="J103" s="141">
        <v>10037337</v>
      </c>
      <c r="K103" s="2" t="s">
        <v>205</v>
      </c>
      <c r="L103" s="2" t="s">
        <v>206</v>
      </c>
      <c r="M103" s="2" t="s">
        <v>200</v>
      </c>
      <c r="N103" s="2">
        <v>42990</v>
      </c>
      <c r="O103" s="5">
        <v>42991</v>
      </c>
      <c r="P103" s="146">
        <v>43017</v>
      </c>
      <c r="Q103" s="6">
        <v>9</v>
      </c>
      <c r="R103" s="6" t="s">
        <v>178</v>
      </c>
      <c r="S103" s="6" t="s">
        <v>178</v>
      </c>
      <c r="T103" s="6" t="s">
        <v>178</v>
      </c>
      <c r="U103" s="6" t="s">
        <v>178</v>
      </c>
      <c r="V103" s="6" t="s">
        <v>178</v>
      </c>
      <c r="W103" s="6" t="s">
        <v>178</v>
      </c>
      <c r="X103" s="6" t="s">
        <v>178</v>
      </c>
      <c r="Y103" s="6" t="s">
        <v>178</v>
      </c>
      <c r="Z103" s="6" t="s">
        <v>178</v>
      </c>
      <c r="AA103" s="6" t="s">
        <v>178</v>
      </c>
      <c r="AB103" s="5" t="s">
        <v>179</v>
      </c>
      <c r="AC103" s="6" t="s">
        <v>207</v>
      </c>
      <c r="AD103" s="148">
        <v>41817</v>
      </c>
      <c r="AE103" s="135">
        <v>2</v>
      </c>
      <c r="AF103" s="1" t="s">
        <v>208</v>
      </c>
    </row>
  </sheetData>
  <autoFilter ref="A4:AF103">
    <sortState ref="A5:AF103">
      <sortCondition descending="1" ref="P4:P103"/>
    </sortState>
  </autoFilter>
  <pageMargins left="0.7" right="0.7" top="0.75" bottom="0.75" header="0.3" footer="0.3"/>
  <pageSetup paperSize="8" scale="3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C1318"/>
  <sheetViews>
    <sheetView zoomScaleNormal="100" workbookViewId="0">
      <pane ySplit="4" topLeftCell="A5" activePane="bottomLeft" state="frozen"/>
      <selection pane="bottomLeft"/>
    </sheetView>
  </sheetViews>
  <sheetFormatPr defaultColWidth="8" defaultRowHeight="13.2" x14ac:dyDescent="0.25"/>
  <cols>
    <col min="1" max="1" width="16.109375" style="131" customWidth="1"/>
    <col min="2" max="3" width="10.33203125" style="140" customWidth="1"/>
    <col min="4" max="4" width="57.6640625" style="46" customWidth="1"/>
    <col min="5" max="5" width="30.6640625" style="26" customWidth="1"/>
    <col min="6" max="6" width="53.33203125" style="26" customWidth="1"/>
    <col min="7" max="7" width="26.44140625" style="26" customWidth="1"/>
    <col min="8" max="8" width="23.33203125" style="26" customWidth="1"/>
    <col min="9" max="9" width="32.88671875" style="26" bestFit="1" customWidth="1"/>
    <col min="10" max="10" width="23.33203125" style="2" customWidth="1"/>
    <col min="11" max="11" width="23.33203125" style="26" customWidth="1"/>
    <col min="12" max="12" width="11.44140625" style="26" customWidth="1"/>
    <col min="13" max="13" width="88.109375" style="26" bestFit="1" customWidth="1"/>
    <col min="14" max="16" width="11.44140625" style="2" customWidth="1"/>
    <col min="17" max="17" width="12.109375" style="6" customWidth="1"/>
    <col min="18" max="21" width="10.33203125" style="6" customWidth="1"/>
    <col min="22" max="22" width="11.44140625" style="6" customWidth="1"/>
    <col min="23" max="23" width="11.44140625" style="5" customWidth="1"/>
    <col min="24" max="28" width="10.33203125" style="6" customWidth="1"/>
    <col min="29" max="29" width="15.88671875" style="6" customWidth="1"/>
    <col min="30" max="16384" width="8" style="1"/>
  </cols>
  <sheetData>
    <row r="1" spans="1:29" ht="20.399999999999999" x14ac:dyDescent="0.35">
      <c r="A1" s="24" t="s">
        <v>124</v>
      </c>
      <c r="B1" s="136"/>
      <c r="C1" s="137"/>
      <c r="D1" s="24"/>
      <c r="J1" s="26"/>
      <c r="W1" s="6"/>
    </row>
    <row r="2" spans="1:29" ht="15" x14ac:dyDescent="0.25">
      <c r="A2" s="14" t="str">
        <f>Cover!C12</f>
        <v>Inspections published by 31 December 2017</v>
      </c>
      <c r="B2" s="136"/>
      <c r="C2" s="138"/>
      <c r="D2" s="25"/>
      <c r="J2" s="26"/>
      <c r="W2" s="6"/>
    </row>
    <row r="3" spans="1:29" s="60" customFormat="1" x14ac:dyDescent="0.25">
      <c r="A3" s="61"/>
      <c r="B3" s="139"/>
      <c r="C3" s="139"/>
      <c r="D3" s="61"/>
      <c r="E3" s="61"/>
      <c r="F3" s="61"/>
      <c r="G3" s="61"/>
      <c r="H3" s="61"/>
      <c r="I3" s="61"/>
      <c r="J3" s="61"/>
      <c r="K3" s="61"/>
      <c r="L3" s="61"/>
      <c r="M3" s="61"/>
      <c r="N3" s="61"/>
      <c r="O3" s="61"/>
      <c r="P3" s="61"/>
      <c r="Q3" s="61"/>
      <c r="R3" s="61"/>
      <c r="S3" s="61"/>
      <c r="T3" s="61"/>
      <c r="U3" s="61"/>
      <c r="V3" s="61"/>
      <c r="W3" s="61"/>
      <c r="X3" s="61"/>
      <c r="Y3" s="61"/>
      <c r="Z3" s="61"/>
      <c r="AA3" s="61"/>
      <c r="AB3" s="61"/>
      <c r="AC3" s="61"/>
    </row>
    <row r="4" spans="1:29" s="8" customFormat="1" ht="126.75" customHeight="1" x14ac:dyDescent="0.25">
      <c r="A4" s="27" t="s">
        <v>51</v>
      </c>
      <c r="B4" s="27" t="s">
        <v>36</v>
      </c>
      <c r="C4" s="27" t="s">
        <v>49</v>
      </c>
      <c r="D4" s="27" t="s">
        <v>52</v>
      </c>
      <c r="E4" s="27" t="s">
        <v>53</v>
      </c>
      <c r="F4" s="27" t="s">
        <v>54</v>
      </c>
      <c r="G4" s="27" t="s">
        <v>55</v>
      </c>
      <c r="H4" s="27" t="s">
        <v>56</v>
      </c>
      <c r="I4" s="27" t="s">
        <v>123</v>
      </c>
      <c r="J4" s="27" t="s">
        <v>167</v>
      </c>
      <c r="K4" s="27" t="s">
        <v>168</v>
      </c>
      <c r="L4" s="27" t="s">
        <v>57</v>
      </c>
      <c r="M4" s="27" t="s">
        <v>58</v>
      </c>
      <c r="N4" s="28" t="s">
        <v>59</v>
      </c>
      <c r="O4" s="28" t="s">
        <v>60</v>
      </c>
      <c r="P4" s="23" t="s">
        <v>63</v>
      </c>
      <c r="Q4" s="17" t="s">
        <v>1</v>
      </c>
      <c r="R4" s="20" t="s">
        <v>0</v>
      </c>
      <c r="S4" s="20" t="s">
        <v>28</v>
      </c>
      <c r="T4" s="20" t="s">
        <v>29</v>
      </c>
      <c r="U4" s="20" t="s">
        <v>30</v>
      </c>
      <c r="V4" s="19" t="s">
        <v>61</v>
      </c>
      <c r="W4" s="29" t="s">
        <v>40</v>
      </c>
      <c r="X4" s="21" t="s">
        <v>41</v>
      </c>
      <c r="Y4" s="21" t="s">
        <v>42</v>
      </c>
      <c r="Z4" s="22" t="s">
        <v>66</v>
      </c>
      <c r="AA4" s="22" t="s">
        <v>65</v>
      </c>
      <c r="AB4" s="22" t="s">
        <v>43</v>
      </c>
      <c r="AC4" s="16" t="s">
        <v>64</v>
      </c>
    </row>
    <row r="5" spans="1:29" x14ac:dyDescent="0.25">
      <c r="A5" s="145" t="str">
        <f>HYPERLINK("http://www.ofsted.gov.uk/inspection-reports/find-inspection-report/provider/ELS/50009  ","Ofsted Webpage")</f>
        <v>Ofsted Webpage</v>
      </c>
      <c r="B5" s="151">
        <v>50009</v>
      </c>
      <c r="C5" s="151">
        <v>10009064</v>
      </c>
      <c r="D5" s="46" t="s">
        <v>603</v>
      </c>
      <c r="E5" s="26" t="s">
        <v>85</v>
      </c>
      <c r="F5" s="26" t="s">
        <v>86</v>
      </c>
      <c r="G5" s="26" t="s">
        <v>604</v>
      </c>
      <c r="H5" s="26" t="s">
        <v>287</v>
      </c>
      <c r="I5" s="26" t="s">
        <v>287</v>
      </c>
      <c r="J5" s="2" t="s">
        <v>72</v>
      </c>
      <c r="K5" s="141" t="s">
        <v>72</v>
      </c>
      <c r="L5" s="141">
        <v>10004842</v>
      </c>
      <c r="M5" s="26" t="s">
        <v>605</v>
      </c>
      <c r="N5" s="2">
        <v>42382</v>
      </c>
      <c r="O5" s="2">
        <v>42383</v>
      </c>
      <c r="P5" s="133">
        <v>42412</v>
      </c>
      <c r="Q5" s="6">
        <v>2</v>
      </c>
      <c r="R5" s="6">
        <v>2</v>
      </c>
      <c r="S5" s="6">
        <v>2</v>
      </c>
      <c r="T5" s="6">
        <v>2</v>
      </c>
      <c r="U5" s="6">
        <v>2</v>
      </c>
      <c r="V5" s="6" t="s">
        <v>606</v>
      </c>
      <c r="W5" s="5">
        <v>41088</v>
      </c>
      <c r="X5" s="6" t="s">
        <v>178</v>
      </c>
      <c r="Y5" s="6" t="s">
        <v>178</v>
      </c>
      <c r="Z5" s="6" t="s">
        <v>178</v>
      </c>
      <c r="AA5" s="6" t="s">
        <v>178</v>
      </c>
      <c r="AB5" s="6" t="s">
        <v>178</v>
      </c>
      <c r="AC5" s="6" t="s">
        <v>208</v>
      </c>
    </row>
    <row r="6" spans="1:29" x14ac:dyDescent="0.25">
      <c r="A6" s="145" t="str">
        <f>HYPERLINK("http://www.ofsted.gov.uk/inspection-reports/find-inspection-report/provider/ELS/50010  ","Ofsted Webpage")</f>
        <v>Ofsted Webpage</v>
      </c>
      <c r="B6" s="151">
        <v>50010</v>
      </c>
      <c r="C6" s="151">
        <v>10003959</v>
      </c>
      <c r="D6" s="46" t="s">
        <v>1807</v>
      </c>
      <c r="E6" s="26" t="s">
        <v>85</v>
      </c>
      <c r="F6" s="26" t="s">
        <v>86</v>
      </c>
      <c r="G6" s="26" t="s">
        <v>247</v>
      </c>
      <c r="H6" s="26" t="s">
        <v>238</v>
      </c>
      <c r="I6" s="26" t="s">
        <v>238</v>
      </c>
      <c r="J6" s="2" t="s">
        <v>72</v>
      </c>
      <c r="K6" s="141" t="s">
        <v>72</v>
      </c>
      <c r="L6" s="141">
        <v>10004843</v>
      </c>
      <c r="M6" s="26" t="s">
        <v>605</v>
      </c>
      <c r="N6" s="2">
        <v>42382</v>
      </c>
      <c r="O6" s="2">
        <v>42383</v>
      </c>
      <c r="P6" s="133">
        <v>42408</v>
      </c>
      <c r="Q6" s="6">
        <v>2</v>
      </c>
      <c r="R6" s="6">
        <v>2</v>
      </c>
      <c r="S6" s="6">
        <v>2</v>
      </c>
      <c r="T6" s="6">
        <v>2</v>
      </c>
      <c r="U6" s="6">
        <v>2</v>
      </c>
      <c r="V6" s="6" t="s">
        <v>1808</v>
      </c>
      <c r="W6" s="5">
        <v>40507</v>
      </c>
      <c r="X6" s="6" t="s">
        <v>178</v>
      </c>
      <c r="Y6" s="6" t="s">
        <v>178</v>
      </c>
      <c r="Z6" s="6" t="s">
        <v>178</v>
      </c>
      <c r="AA6" s="6" t="s">
        <v>178</v>
      </c>
      <c r="AB6" s="6" t="s">
        <v>178</v>
      </c>
      <c r="AC6" s="6" t="s">
        <v>208</v>
      </c>
    </row>
    <row r="7" spans="1:29" x14ac:dyDescent="0.25">
      <c r="A7" s="145" t="str">
        <f>HYPERLINK("http://www.ofsted.gov.uk/inspection-reports/find-inspection-report/provider/ELS/50012  ","Ofsted Webpage")</f>
        <v>Ofsted Webpage</v>
      </c>
      <c r="B7" s="151">
        <v>50012</v>
      </c>
      <c r="C7" s="151">
        <v>10003746</v>
      </c>
      <c r="D7" s="46" t="s">
        <v>1809</v>
      </c>
      <c r="E7" s="26" t="s">
        <v>85</v>
      </c>
      <c r="F7" s="26" t="s">
        <v>86</v>
      </c>
      <c r="G7" s="26" t="s">
        <v>421</v>
      </c>
      <c r="H7" s="26" t="s">
        <v>219</v>
      </c>
      <c r="I7" s="26" t="s">
        <v>219</v>
      </c>
      <c r="J7" s="2" t="s">
        <v>72</v>
      </c>
      <c r="K7" s="141" t="s">
        <v>72</v>
      </c>
      <c r="L7" s="141">
        <v>10004844</v>
      </c>
      <c r="M7" s="26" t="s">
        <v>605</v>
      </c>
      <c r="N7" s="2">
        <v>42396</v>
      </c>
      <c r="O7" s="2">
        <v>42397</v>
      </c>
      <c r="P7" s="133">
        <v>42431</v>
      </c>
      <c r="Q7" s="6">
        <v>1</v>
      </c>
      <c r="R7" s="6">
        <v>1</v>
      </c>
      <c r="S7" s="6">
        <v>1</v>
      </c>
      <c r="T7" s="6">
        <v>1</v>
      </c>
      <c r="U7" s="6">
        <v>1</v>
      </c>
      <c r="V7" s="6" t="s">
        <v>1810</v>
      </c>
      <c r="W7" s="5">
        <v>40485</v>
      </c>
      <c r="X7" s="6" t="s">
        <v>178</v>
      </c>
      <c r="Y7" s="6" t="s">
        <v>178</v>
      </c>
      <c r="Z7" s="6" t="s">
        <v>178</v>
      </c>
      <c r="AA7" s="6" t="s">
        <v>178</v>
      </c>
      <c r="AB7" s="6" t="s">
        <v>178</v>
      </c>
      <c r="AC7" s="6" t="s">
        <v>208</v>
      </c>
    </row>
    <row r="8" spans="1:29" x14ac:dyDescent="0.25">
      <c r="A8" s="145" t="str">
        <f>HYPERLINK("http://www.ofsted.gov.uk/inspection-reports/find-inspection-report/provider/ELS/50013  ","Ofsted Webpage")</f>
        <v>Ofsted Webpage</v>
      </c>
      <c r="B8" s="151">
        <v>50013</v>
      </c>
      <c r="C8" s="151">
        <v>10004365</v>
      </c>
      <c r="D8" s="46" t="s">
        <v>1811</v>
      </c>
      <c r="E8" s="26" t="s">
        <v>85</v>
      </c>
      <c r="F8" s="26" t="s">
        <v>86</v>
      </c>
      <c r="G8" s="26" t="s">
        <v>174</v>
      </c>
      <c r="H8" s="26" t="s">
        <v>175</v>
      </c>
      <c r="I8" s="26" t="s">
        <v>175</v>
      </c>
      <c r="J8" s="2" t="s">
        <v>72</v>
      </c>
      <c r="K8" s="141" t="s">
        <v>72</v>
      </c>
      <c r="L8" s="141">
        <v>10004845</v>
      </c>
      <c r="M8" s="26" t="s">
        <v>605</v>
      </c>
      <c r="N8" s="2">
        <v>42403</v>
      </c>
      <c r="O8" s="2">
        <v>42404</v>
      </c>
      <c r="P8" s="133">
        <v>42440</v>
      </c>
      <c r="Q8" s="6">
        <v>3</v>
      </c>
      <c r="R8" s="6">
        <v>3</v>
      </c>
      <c r="S8" s="6">
        <v>3</v>
      </c>
      <c r="T8" s="6">
        <v>3</v>
      </c>
      <c r="U8" s="6">
        <v>3</v>
      </c>
      <c r="V8" s="6" t="s">
        <v>1812</v>
      </c>
      <c r="W8" s="5">
        <v>41339</v>
      </c>
      <c r="X8" s="6" t="s">
        <v>178</v>
      </c>
      <c r="Y8" s="6" t="s">
        <v>178</v>
      </c>
      <c r="Z8" s="6" t="s">
        <v>178</v>
      </c>
      <c r="AA8" s="6" t="s">
        <v>178</v>
      </c>
      <c r="AB8" s="6" t="s">
        <v>178</v>
      </c>
      <c r="AC8" s="6" t="s">
        <v>208</v>
      </c>
    </row>
    <row r="9" spans="1:29" x14ac:dyDescent="0.25">
      <c r="A9" s="145" t="str">
        <f>HYPERLINK("http://www.ofsted.gov.uk/inspection-reports/find-inspection-report/provider/ELS/50029  ","Ofsted Webpage")</f>
        <v>Ofsted Webpage</v>
      </c>
      <c r="B9" s="151">
        <v>50029</v>
      </c>
      <c r="C9" s="151">
        <v>10009099</v>
      </c>
      <c r="D9" s="46" t="s">
        <v>1813</v>
      </c>
      <c r="E9" s="26" t="s">
        <v>85</v>
      </c>
      <c r="F9" s="26" t="s">
        <v>86</v>
      </c>
      <c r="G9" s="26" t="s">
        <v>299</v>
      </c>
      <c r="H9" s="26" t="s">
        <v>175</v>
      </c>
      <c r="I9" s="26" t="s">
        <v>175</v>
      </c>
      <c r="J9" s="2" t="s">
        <v>72</v>
      </c>
      <c r="K9" s="141" t="s">
        <v>72</v>
      </c>
      <c r="L9" s="141">
        <v>10004846</v>
      </c>
      <c r="M9" s="26" t="s">
        <v>605</v>
      </c>
      <c r="N9" s="2">
        <v>42298</v>
      </c>
      <c r="O9" s="2">
        <v>42299</v>
      </c>
      <c r="P9" s="133">
        <v>42321</v>
      </c>
      <c r="Q9" s="6">
        <v>1</v>
      </c>
      <c r="R9" s="6">
        <v>1</v>
      </c>
      <c r="S9" s="6">
        <v>1</v>
      </c>
      <c r="T9" s="6">
        <v>1</v>
      </c>
      <c r="U9" s="6">
        <v>1</v>
      </c>
      <c r="V9" s="6" t="s">
        <v>1814</v>
      </c>
      <c r="W9" s="5">
        <v>40611</v>
      </c>
      <c r="X9" s="6" t="s">
        <v>178</v>
      </c>
      <c r="Y9" s="6" t="s">
        <v>178</v>
      </c>
      <c r="Z9" s="6" t="s">
        <v>178</v>
      </c>
      <c r="AA9" s="6" t="s">
        <v>178</v>
      </c>
      <c r="AB9" s="6" t="s">
        <v>178</v>
      </c>
      <c r="AC9" s="6" t="s">
        <v>208</v>
      </c>
    </row>
    <row r="10" spans="1:29" x14ac:dyDescent="0.25">
      <c r="A10" s="145" t="str">
        <f>HYPERLINK("http://www.ofsted.gov.uk/inspection-reports/find-inspection-report/provider/ELS/50030  ","Ofsted Webpage")</f>
        <v>Ofsted Webpage</v>
      </c>
      <c r="B10" s="151">
        <v>50030</v>
      </c>
      <c r="C10" s="151">
        <v>10003425</v>
      </c>
      <c r="D10" s="46" t="s">
        <v>1815</v>
      </c>
      <c r="E10" s="26" t="s">
        <v>85</v>
      </c>
      <c r="F10" s="26" t="s">
        <v>86</v>
      </c>
      <c r="G10" s="26" t="s">
        <v>299</v>
      </c>
      <c r="H10" s="26" t="s">
        <v>175</v>
      </c>
      <c r="I10" s="26" t="s">
        <v>175</v>
      </c>
      <c r="J10" s="2" t="s">
        <v>72</v>
      </c>
      <c r="K10" s="141" t="s">
        <v>72</v>
      </c>
      <c r="L10" s="141">
        <v>10004847</v>
      </c>
      <c r="M10" s="26" t="s">
        <v>605</v>
      </c>
      <c r="N10" s="2">
        <v>42389</v>
      </c>
      <c r="O10" s="2">
        <v>42390</v>
      </c>
      <c r="P10" s="133">
        <v>42415</v>
      </c>
      <c r="Q10" s="6">
        <v>1</v>
      </c>
      <c r="R10" s="6">
        <v>1</v>
      </c>
      <c r="S10" s="6">
        <v>1</v>
      </c>
      <c r="T10" s="6">
        <v>1</v>
      </c>
      <c r="U10" s="6">
        <v>1</v>
      </c>
      <c r="V10" s="6" t="s">
        <v>1816</v>
      </c>
      <c r="W10" s="5">
        <v>40632</v>
      </c>
      <c r="X10" s="6" t="s">
        <v>178</v>
      </c>
      <c r="Y10" s="6" t="s">
        <v>178</v>
      </c>
      <c r="Z10" s="6" t="s">
        <v>178</v>
      </c>
      <c r="AA10" s="6" t="s">
        <v>178</v>
      </c>
      <c r="AB10" s="6" t="s">
        <v>178</v>
      </c>
      <c r="AC10" s="6" t="s">
        <v>208</v>
      </c>
    </row>
    <row r="11" spans="1:29" x14ac:dyDescent="0.25">
      <c r="A11" s="145" t="str">
        <f>HYPERLINK("http://www.ofsted.gov.uk/inspection-reports/find-inspection-report/provider/ELS/50031  ","Ofsted Webpage")</f>
        <v>Ofsted Webpage</v>
      </c>
      <c r="B11" s="151">
        <v>50031</v>
      </c>
      <c r="C11" s="151">
        <v>10002805</v>
      </c>
      <c r="D11" s="46" t="s">
        <v>1817</v>
      </c>
      <c r="E11" s="26" t="s">
        <v>85</v>
      </c>
      <c r="F11" s="26" t="s">
        <v>86</v>
      </c>
      <c r="G11" s="26" t="s">
        <v>421</v>
      </c>
      <c r="H11" s="26" t="s">
        <v>219</v>
      </c>
      <c r="I11" s="26" t="s">
        <v>219</v>
      </c>
      <c r="J11" s="2" t="s">
        <v>72</v>
      </c>
      <c r="K11" s="141" t="s">
        <v>72</v>
      </c>
      <c r="L11" s="141" t="s">
        <v>1818</v>
      </c>
      <c r="M11" s="26" t="s">
        <v>605</v>
      </c>
      <c r="N11" s="2">
        <v>40945</v>
      </c>
      <c r="O11" s="2">
        <v>40948</v>
      </c>
      <c r="P11" s="133">
        <v>40988</v>
      </c>
      <c r="Q11" s="6" t="s">
        <v>178</v>
      </c>
      <c r="R11" s="6" t="s">
        <v>178</v>
      </c>
      <c r="S11" s="6" t="s">
        <v>178</v>
      </c>
      <c r="T11" s="120" t="s">
        <v>178</v>
      </c>
      <c r="U11" s="6" t="s">
        <v>178</v>
      </c>
      <c r="V11" s="6" t="s">
        <v>72</v>
      </c>
      <c r="W11" s="5" t="s">
        <v>72</v>
      </c>
      <c r="X11" s="6" t="s">
        <v>72</v>
      </c>
      <c r="Y11" s="6" t="s">
        <v>72</v>
      </c>
      <c r="Z11" s="6" t="s">
        <v>72</v>
      </c>
      <c r="AA11" s="6" t="s">
        <v>72</v>
      </c>
      <c r="AB11" s="6" t="s">
        <v>72</v>
      </c>
      <c r="AC11" s="6" t="s">
        <v>208</v>
      </c>
    </row>
    <row r="12" spans="1:29" x14ac:dyDescent="0.25">
      <c r="A12" s="145" t="str">
        <f>HYPERLINK("http://www.ofsted.gov.uk/inspection-reports/find-inspection-report/provider/ELS/50032  ","Ofsted Webpage")</f>
        <v>Ofsted Webpage</v>
      </c>
      <c r="B12" s="151">
        <v>50032</v>
      </c>
      <c r="C12" s="151">
        <v>10008637</v>
      </c>
      <c r="D12" s="46" t="s">
        <v>1819</v>
      </c>
      <c r="E12" s="26" t="s">
        <v>85</v>
      </c>
      <c r="F12" s="26" t="s">
        <v>86</v>
      </c>
      <c r="G12" s="26" t="s">
        <v>223</v>
      </c>
      <c r="H12" s="26" t="s">
        <v>193</v>
      </c>
      <c r="I12" s="26" t="s">
        <v>193</v>
      </c>
      <c r="J12" s="2" t="s">
        <v>72</v>
      </c>
      <c r="K12" s="141" t="s">
        <v>72</v>
      </c>
      <c r="L12" s="141">
        <v>10004849</v>
      </c>
      <c r="M12" s="26" t="s">
        <v>605</v>
      </c>
      <c r="N12" s="2">
        <v>42326</v>
      </c>
      <c r="O12" s="2">
        <v>42327</v>
      </c>
      <c r="P12" s="133">
        <v>42348</v>
      </c>
      <c r="Q12" s="6">
        <v>1</v>
      </c>
      <c r="R12" s="6">
        <v>1</v>
      </c>
      <c r="S12" s="6">
        <v>1</v>
      </c>
      <c r="T12" s="6">
        <v>1</v>
      </c>
      <c r="U12" s="6">
        <v>1</v>
      </c>
      <c r="V12" s="6" t="s">
        <v>1820</v>
      </c>
      <c r="W12" s="5">
        <v>40688</v>
      </c>
      <c r="X12" s="6" t="s">
        <v>178</v>
      </c>
      <c r="Y12" s="6" t="s">
        <v>178</v>
      </c>
      <c r="Z12" s="6" t="s">
        <v>178</v>
      </c>
      <c r="AA12" s="6" t="s">
        <v>178</v>
      </c>
      <c r="AB12" s="6" t="s">
        <v>178</v>
      </c>
      <c r="AC12" s="6" t="s">
        <v>208</v>
      </c>
    </row>
    <row r="13" spans="1:29" x14ac:dyDescent="0.25">
      <c r="A13" s="145" t="str">
        <f>HYPERLINK("http://www.ofsted.gov.uk/inspection-reports/find-inspection-report/provider/ELS/50067  ","Ofsted Webpage")</f>
        <v>Ofsted Webpage</v>
      </c>
      <c r="B13" s="151">
        <v>50067</v>
      </c>
      <c r="C13" s="151">
        <v>10011264</v>
      </c>
      <c r="D13" s="46" t="s">
        <v>1679</v>
      </c>
      <c r="E13" s="26" t="s">
        <v>85</v>
      </c>
      <c r="F13" s="26" t="s">
        <v>86</v>
      </c>
      <c r="G13" s="26" t="s">
        <v>729</v>
      </c>
      <c r="H13" s="26" t="s">
        <v>287</v>
      </c>
      <c r="I13" s="26" t="s">
        <v>287</v>
      </c>
      <c r="J13" s="2" t="s">
        <v>72</v>
      </c>
      <c r="K13" s="141" t="s">
        <v>72</v>
      </c>
      <c r="L13" s="141">
        <v>10004850</v>
      </c>
      <c r="M13" s="26" t="s">
        <v>605</v>
      </c>
      <c r="N13" s="2">
        <v>42291</v>
      </c>
      <c r="O13" s="2">
        <v>42292</v>
      </c>
      <c r="P13" s="133">
        <v>42317</v>
      </c>
      <c r="Q13" s="6">
        <v>1</v>
      </c>
      <c r="R13" s="6">
        <v>1</v>
      </c>
      <c r="S13" s="6">
        <v>1</v>
      </c>
      <c r="T13" s="6">
        <v>1</v>
      </c>
      <c r="U13" s="6">
        <v>1</v>
      </c>
      <c r="V13" s="6" t="s">
        <v>1680</v>
      </c>
      <c r="W13" s="5">
        <v>40829</v>
      </c>
      <c r="X13" s="6" t="s">
        <v>178</v>
      </c>
      <c r="Y13" s="6" t="s">
        <v>178</v>
      </c>
      <c r="Z13" s="6" t="s">
        <v>178</v>
      </c>
      <c r="AA13" s="6" t="s">
        <v>178</v>
      </c>
      <c r="AB13" s="6" t="s">
        <v>178</v>
      </c>
      <c r="AC13" s="6" t="s">
        <v>208</v>
      </c>
    </row>
    <row r="14" spans="1:29" x14ac:dyDescent="0.25">
      <c r="A14" s="145" t="str">
        <f>HYPERLINK("http://www.ofsted.gov.uk/inspection-reports/find-inspection-report/provider/ELS/50070  ","Ofsted Webpage")</f>
        <v>Ofsted Webpage</v>
      </c>
      <c r="B14" s="151">
        <v>50070</v>
      </c>
      <c r="C14" s="151">
        <v>10012385</v>
      </c>
      <c r="D14" s="46" t="s">
        <v>1681</v>
      </c>
      <c r="E14" s="26" t="s">
        <v>85</v>
      </c>
      <c r="F14" s="26" t="s">
        <v>86</v>
      </c>
      <c r="G14" s="26" t="s">
        <v>474</v>
      </c>
      <c r="H14" s="26" t="s">
        <v>187</v>
      </c>
      <c r="I14" s="26" t="s">
        <v>188</v>
      </c>
      <c r="J14" s="2" t="s">
        <v>72</v>
      </c>
      <c r="K14" s="141" t="s">
        <v>72</v>
      </c>
      <c r="L14" s="141">
        <v>10011461</v>
      </c>
      <c r="M14" s="26" t="s">
        <v>605</v>
      </c>
      <c r="N14" s="2">
        <v>42473</v>
      </c>
      <c r="O14" s="2">
        <v>42474</v>
      </c>
      <c r="P14" s="133">
        <v>42493</v>
      </c>
      <c r="Q14" s="6">
        <v>1</v>
      </c>
      <c r="R14" s="6">
        <v>1</v>
      </c>
      <c r="S14" s="6">
        <v>1</v>
      </c>
      <c r="T14" s="6">
        <v>1</v>
      </c>
      <c r="U14" s="6">
        <v>1</v>
      </c>
      <c r="V14" s="6" t="s">
        <v>1682</v>
      </c>
      <c r="W14" s="5">
        <v>40506</v>
      </c>
      <c r="X14" s="6" t="s">
        <v>178</v>
      </c>
      <c r="Y14" s="6" t="s">
        <v>178</v>
      </c>
      <c r="Z14" s="6" t="s">
        <v>178</v>
      </c>
      <c r="AA14" s="6" t="s">
        <v>178</v>
      </c>
      <c r="AB14" s="6" t="s">
        <v>178</v>
      </c>
      <c r="AC14" s="6" t="s">
        <v>208</v>
      </c>
    </row>
    <row r="15" spans="1:29" x14ac:dyDescent="0.25">
      <c r="A15" s="145" t="str">
        <f>HYPERLINK("http://www.ofsted.gov.uk/inspection-reports/find-inspection-report/provider/ELS/50080  ","Ofsted Webpage")</f>
        <v>Ofsted Webpage</v>
      </c>
      <c r="B15" s="151">
        <v>50080</v>
      </c>
      <c r="C15" s="151">
        <v>10010584</v>
      </c>
      <c r="D15" s="46" t="s">
        <v>2537</v>
      </c>
      <c r="E15" s="26" t="s">
        <v>78</v>
      </c>
      <c r="F15" s="26" t="s">
        <v>79</v>
      </c>
      <c r="G15" s="26" t="s">
        <v>437</v>
      </c>
      <c r="H15" s="26" t="s">
        <v>214</v>
      </c>
      <c r="I15" s="26" t="s">
        <v>214</v>
      </c>
      <c r="J15" s="2">
        <v>42313</v>
      </c>
      <c r="K15" s="141">
        <v>1</v>
      </c>
      <c r="L15" s="141" t="s">
        <v>2538</v>
      </c>
      <c r="M15" s="26" t="s">
        <v>445</v>
      </c>
      <c r="N15" s="2">
        <v>40322</v>
      </c>
      <c r="O15" s="2">
        <v>40326</v>
      </c>
      <c r="P15" s="133">
        <v>40364</v>
      </c>
      <c r="Q15" s="6">
        <v>2</v>
      </c>
      <c r="R15" s="6">
        <v>2</v>
      </c>
      <c r="S15" s="6">
        <v>2</v>
      </c>
      <c r="T15" s="120" t="s">
        <v>178</v>
      </c>
      <c r="U15" s="6">
        <v>2</v>
      </c>
      <c r="V15" s="6" t="s">
        <v>2539</v>
      </c>
      <c r="W15" s="5">
        <v>39311</v>
      </c>
      <c r="X15" s="6">
        <v>3</v>
      </c>
      <c r="Y15" s="6">
        <v>3</v>
      </c>
      <c r="Z15" s="6">
        <v>3</v>
      </c>
      <c r="AA15" s="6" t="s">
        <v>178</v>
      </c>
      <c r="AB15" s="6">
        <v>3</v>
      </c>
      <c r="AC15" s="6" t="s">
        <v>216</v>
      </c>
    </row>
    <row r="16" spans="1:29" x14ac:dyDescent="0.25">
      <c r="A16" s="145" t="str">
        <f>HYPERLINK("http://www.ofsted.gov.uk/inspection-reports/find-inspection-report/provider/ELS/50082  ","Ofsted Webpage")</f>
        <v>Ofsted Webpage</v>
      </c>
      <c r="B16" s="151">
        <v>50082</v>
      </c>
      <c r="C16" s="151">
        <v>10000108</v>
      </c>
      <c r="D16" s="46" t="s">
        <v>2646</v>
      </c>
      <c r="E16" s="26" t="s">
        <v>78</v>
      </c>
      <c r="F16" s="26" t="s">
        <v>79</v>
      </c>
      <c r="G16" s="26" t="s">
        <v>324</v>
      </c>
      <c r="H16" s="26" t="s">
        <v>214</v>
      </c>
      <c r="I16" s="26" t="s">
        <v>214</v>
      </c>
      <c r="J16" s="2" t="s">
        <v>72</v>
      </c>
      <c r="K16" s="141" t="s">
        <v>72</v>
      </c>
      <c r="L16" s="141">
        <v>10004853</v>
      </c>
      <c r="M16" s="26" t="s">
        <v>211</v>
      </c>
      <c r="N16" s="2">
        <v>42388</v>
      </c>
      <c r="O16" s="2">
        <v>42390</v>
      </c>
      <c r="P16" s="133">
        <v>42430</v>
      </c>
      <c r="Q16" s="6">
        <v>2</v>
      </c>
      <c r="R16" s="6">
        <v>2</v>
      </c>
      <c r="S16" s="6">
        <v>2</v>
      </c>
      <c r="T16" s="6">
        <v>2</v>
      </c>
      <c r="U16" s="6">
        <v>2</v>
      </c>
      <c r="V16" s="6" t="s">
        <v>2647</v>
      </c>
      <c r="W16" s="5">
        <v>41117</v>
      </c>
      <c r="X16" s="6">
        <v>2</v>
      </c>
      <c r="Y16" s="6">
        <v>2</v>
      </c>
      <c r="Z16" s="6">
        <v>2</v>
      </c>
      <c r="AA16" s="6" t="s">
        <v>178</v>
      </c>
      <c r="AB16" s="6">
        <v>2</v>
      </c>
      <c r="AC16" s="6" t="s">
        <v>180</v>
      </c>
    </row>
    <row r="17" spans="1:29" x14ac:dyDescent="0.25">
      <c r="A17" s="145" t="str">
        <f>HYPERLINK("http://www.ofsted.gov.uk/inspection-reports/find-inspection-report/provider/ELS/50092  ","Ofsted Webpage")</f>
        <v>Ofsted Webpage</v>
      </c>
      <c r="B17" s="151">
        <v>50092</v>
      </c>
      <c r="C17" s="151">
        <v>10000673</v>
      </c>
      <c r="D17" s="46" t="s">
        <v>2550</v>
      </c>
      <c r="E17" s="26" t="s">
        <v>78</v>
      </c>
      <c r="F17" s="26" t="s">
        <v>79</v>
      </c>
      <c r="G17" s="26" t="s">
        <v>1249</v>
      </c>
      <c r="H17" s="26" t="s">
        <v>175</v>
      </c>
      <c r="I17" s="26" t="s">
        <v>175</v>
      </c>
      <c r="J17" s="2" t="s">
        <v>72</v>
      </c>
      <c r="K17" s="141" t="s">
        <v>72</v>
      </c>
      <c r="L17" s="141">
        <v>10011462</v>
      </c>
      <c r="M17" s="26" t="s">
        <v>211</v>
      </c>
      <c r="N17" s="2">
        <v>42556</v>
      </c>
      <c r="O17" s="2">
        <v>42559</v>
      </c>
      <c r="P17" s="133">
        <v>42597</v>
      </c>
      <c r="Q17" s="6">
        <v>3</v>
      </c>
      <c r="R17" s="6">
        <v>3</v>
      </c>
      <c r="S17" s="6">
        <v>3</v>
      </c>
      <c r="T17" s="6">
        <v>3</v>
      </c>
      <c r="U17" s="6">
        <v>3</v>
      </c>
      <c r="V17" s="6" t="s">
        <v>2551</v>
      </c>
      <c r="W17" s="5">
        <v>41194</v>
      </c>
      <c r="X17" s="6">
        <v>2</v>
      </c>
      <c r="Y17" s="6">
        <v>2</v>
      </c>
      <c r="Z17" s="6">
        <v>2</v>
      </c>
      <c r="AA17" s="6" t="s">
        <v>178</v>
      </c>
      <c r="AB17" s="6">
        <v>2</v>
      </c>
      <c r="AC17" s="6" t="s">
        <v>201</v>
      </c>
    </row>
    <row r="18" spans="1:29" x14ac:dyDescent="0.25">
      <c r="A18" s="145" t="str">
        <f>HYPERLINK("http://www.ofsted.gov.uk/inspection-reports/find-inspection-report/provider/ELS/50098  ","Ofsted Webpage")</f>
        <v>Ofsted Webpage</v>
      </c>
      <c r="B18" s="151">
        <v>50098</v>
      </c>
      <c r="C18" s="151">
        <v>10000941</v>
      </c>
      <c r="D18" s="46" t="s">
        <v>1387</v>
      </c>
      <c r="E18" s="26" t="s">
        <v>75</v>
      </c>
      <c r="F18" s="26" t="s">
        <v>76</v>
      </c>
      <c r="G18" s="26" t="s">
        <v>296</v>
      </c>
      <c r="H18" s="26" t="s">
        <v>287</v>
      </c>
      <c r="I18" s="26" t="s">
        <v>287</v>
      </c>
      <c r="J18" s="2" t="s">
        <v>72</v>
      </c>
      <c r="K18" s="141" t="s">
        <v>72</v>
      </c>
      <c r="L18" s="141">
        <v>10022597</v>
      </c>
      <c r="M18" s="26" t="s">
        <v>562</v>
      </c>
      <c r="N18" s="2">
        <v>42759</v>
      </c>
      <c r="O18" s="2">
        <v>42762</v>
      </c>
      <c r="P18" s="133">
        <v>42808</v>
      </c>
      <c r="Q18" s="6">
        <v>2</v>
      </c>
      <c r="R18" s="6">
        <v>2</v>
      </c>
      <c r="S18" s="6">
        <v>2</v>
      </c>
      <c r="T18" s="6">
        <v>2</v>
      </c>
      <c r="U18" s="6">
        <v>2</v>
      </c>
      <c r="V18" s="6" t="s">
        <v>1388</v>
      </c>
      <c r="W18" s="5">
        <v>42076</v>
      </c>
      <c r="X18" s="6">
        <v>3</v>
      </c>
      <c r="Y18" s="6">
        <v>3</v>
      </c>
      <c r="Z18" s="6">
        <v>3</v>
      </c>
      <c r="AA18" s="6" t="s">
        <v>178</v>
      </c>
      <c r="AB18" s="6">
        <v>3</v>
      </c>
      <c r="AC18" s="6" t="s">
        <v>216</v>
      </c>
    </row>
    <row r="19" spans="1:29" x14ac:dyDescent="0.25">
      <c r="A19" s="145" t="str">
        <f>HYPERLINK("http://www.ofsted.gov.uk/inspection-reports/find-inspection-report/provider/ELS/50099  ","Ofsted Webpage")</f>
        <v>Ofsted Webpage</v>
      </c>
      <c r="B19" s="151">
        <v>50099</v>
      </c>
      <c r="C19" s="151">
        <v>10000976</v>
      </c>
      <c r="D19" s="46" t="s">
        <v>803</v>
      </c>
      <c r="E19" s="26" t="s">
        <v>75</v>
      </c>
      <c r="F19" s="26" t="s">
        <v>76</v>
      </c>
      <c r="G19" s="26" t="s">
        <v>273</v>
      </c>
      <c r="H19" s="26" t="s">
        <v>219</v>
      </c>
      <c r="I19" s="26" t="s">
        <v>219</v>
      </c>
      <c r="J19" s="2" t="s">
        <v>72</v>
      </c>
      <c r="K19" s="141" t="s">
        <v>72</v>
      </c>
      <c r="L19" s="141">
        <v>10006631</v>
      </c>
      <c r="M19" s="26" t="s">
        <v>308</v>
      </c>
      <c r="N19" s="2">
        <v>42311</v>
      </c>
      <c r="O19" s="2">
        <v>42314</v>
      </c>
      <c r="P19" s="133">
        <v>42349</v>
      </c>
      <c r="Q19" s="6">
        <v>2</v>
      </c>
      <c r="R19" s="6">
        <v>2</v>
      </c>
      <c r="S19" s="6">
        <v>2</v>
      </c>
      <c r="T19" s="6">
        <v>2</v>
      </c>
      <c r="U19" s="6">
        <v>2</v>
      </c>
      <c r="V19" s="6" t="s">
        <v>804</v>
      </c>
      <c r="W19" s="5">
        <v>39738</v>
      </c>
      <c r="X19" s="6">
        <v>2</v>
      </c>
      <c r="Y19" s="6">
        <v>2</v>
      </c>
      <c r="Z19" s="6">
        <v>3</v>
      </c>
      <c r="AA19" s="6" t="s">
        <v>178</v>
      </c>
      <c r="AB19" s="6">
        <v>2</v>
      </c>
      <c r="AC19" s="6" t="s">
        <v>180</v>
      </c>
    </row>
    <row r="20" spans="1:29" x14ac:dyDescent="0.25">
      <c r="A20" s="145" t="str">
        <f>HYPERLINK("http://www.ofsted.gov.uk/inspection-reports/find-inspection-report/provider/ELS/50103  ","Ofsted Webpage")</f>
        <v>Ofsted Webpage</v>
      </c>
      <c r="B20" s="151">
        <v>50103</v>
      </c>
      <c r="C20" s="151">
        <v>10001055</v>
      </c>
      <c r="D20" s="46" t="s">
        <v>2655</v>
      </c>
      <c r="E20" s="26" t="s">
        <v>78</v>
      </c>
      <c r="F20" s="26" t="s">
        <v>79</v>
      </c>
      <c r="G20" s="26" t="s">
        <v>281</v>
      </c>
      <c r="H20" s="26" t="s">
        <v>193</v>
      </c>
      <c r="I20" s="26" t="s">
        <v>193</v>
      </c>
      <c r="J20" s="2" t="s">
        <v>72</v>
      </c>
      <c r="K20" s="141" t="s">
        <v>72</v>
      </c>
      <c r="L20" s="141">
        <v>10022588</v>
      </c>
      <c r="M20" s="26" t="s">
        <v>183</v>
      </c>
      <c r="N20" s="2">
        <v>42745</v>
      </c>
      <c r="O20" s="2">
        <v>42748</v>
      </c>
      <c r="P20" s="133">
        <v>42767</v>
      </c>
      <c r="Q20" s="6">
        <v>2</v>
      </c>
      <c r="R20" s="6">
        <v>2</v>
      </c>
      <c r="S20" s="6">
        <v>2</v>
      </c>
      <c r="T20" s="6">
        <v>2</v>
      </c>
      <c r="U20" s="6">
        <v>2</v>
      </c>
      <c r="V20" s="6" t="s">
        <v>2656</v>
      </c>
      <c r="W20" s="5">
        <v>41187</v>
      </c>
      <c r="X20" s="6">
        <v>2</v>
      </c>
      <c r="Y20" s="6">
        <v>2</v>
      </c>
      <c r="Z20" s="6">
        <v>2</v>
      </c>
      <c r="AA20" s="6" t="s">
        <v>178</v>
      </c>
      <c r="AB20" s="6">
        <v>2</v>
      </c>
      <c r="AC20" s="6" t="s">
        <v>180</v>
      </c>
    </row>
    <row r="21" spans="1:29" x14ac:dyDescent="0.25">
      <c r="A21" s="145" t="str">
        <f>HYPERLINK("http://www.ofsted.gov.uk/inspection-reports/find-inspection-report/provider/ELS/50116  ","Ofsted Webpage")</f>
        <v>Ofsted Webpage</v>
      </c>
      <c r="B21" s="151">
        <v>50116</v>
      </c>
      <c r="C21" s="151">
        <v>10001927</v>
      </c>
      <c r="D21" s="46" t="s">
        <v>2321</v>
      </c>
      <c r="E21" s="26" t="s">
        <v>78</v>
      </c>
      <c r="F21" s="26" t="s">
        <v>79</v>
      </c>
      <c r="G21" s="26" t="s">
        <v>324</v>
      </c>
      <c r="H21" s="26" t="s">
        <v>214</v>
      </c>
      <c r="I21" s="26" t="s">
        <v>214</v>
      </c>
      <c r="J21" s="2" t="s">
        <v>72</v>
      </c>
      <c r="K21" s="141" t="s">
        <v>72</v>
      </c>
      <c r="L21" s="141">
        <v>10022564</v>
      </c>
      <c r="M21" s="26" t="s">
        <v>211</v>
      </c>
      <c r="N21" s="2">
        <v>42906</v>
      </c>
      <c r="O21" s="2">
        <v>42909</v>
      </c>
      <c r="P21" s="119">
        <v>42944</v>
      </c>
      <c r="Q21" s="6">
        <v>3</v>
      </c>
      <c r="R21" s="6">
        <v>3</v>
      </c>
      <c r="S21" s="6">
        <v>3</v>
      </c>
      <c r="T21" s="6">
        <v>3</v>
      </c>
      <c r="U21" s="6">
        <v>3</v>
      </c>
      <c r="V21" s="6" t="s">
        <v>2322</v>
      </c>
      <c r="W21" s="5">
        <v>41873</v>
      </c>
      <c r="X21" s="6">
        <v>2</v>
      </c>
      <c r="Y21" s="6">
        <v>2</v>
      </c>
      <c r="Z21" s="6">
        <v>2</v>
      </c>
      <c r="AA21" s="6" t="s">
        <v>178</v>
      </c>
      <c r="AB21" s="6">
        <v>2</v>
      </c>
      <c r="AC21" s="6" t="s">
        <v>201</v>
      </c>
    </row>
    <row r="22" spans="1:29" x14ac:dyDescent="0.25">
      <c r="A22" s="145" t="str">
        <f>HYPERLINK("http://www.ofsted.gov.uk/inspection-reports/find-inspection-report/provider/ELS/50120  ","Ofsted Webpage")</f>
        <v>Ofsted Webpage</v>
      </c>
      <c r="B22" s="151">
        <v>50120</v>
      </c>
      <c r="C22" s="151">
        <v>10002131</v>
      </c>
      <c r="D22" s="46" t="s">
        <v>1262</v>
      </c>
      <c r="E22" s="26" t="s">
        <v>75</v>
      </c>
      <c r="F22" s="26" t="s">
        <v>76</v>
      </c>
      <c r="G22" s="26" t="s">
        <v>662</v>
      </c>
      <c r="H22" s="26" t="s">
        <v>219</v>
      </c>
      <c r="I22" s="26" t="s">
        <v>219</v>
      </c>
      <c r="J22" s="2">
        <v>42872</v>
      </c>
      <c r="K22" s="141">
        <v>1</v>
      </c>
      <c r="L22" s="141" t="s">
        <v>1263</v>
      </c>
      <c r="M22" s="26" t="s">
        <v>549</v>
      </c>
      <c r="N22" s="2">
        <v>40336</v>
      </c>
      <c r="O22" s="2">
        <v>40340</v>
      </c>
      <c r="P22" s="133">
        <v>40375</v>
      </c>
      <c r="Q22" s="6">
        <v>2</v>
      </c>
      <c r="R22" s="6">
        <v>2</v>
      </c>
      <c r="S22" s="6">
        <v>3</v>
      </c>
      <c r="T22" s="120" t="s">
        <v>178</v>
      </c>
      <c r="U22" s="6">
        <v>2</v>
      </c>
      <c r="V22" s="6" t="s">
        <v>1264</v>
      </c>
      <c r="W22" s="5">
        <v>39219</v>
      </c>
      <c r="X22" s="6">
        <v>2</v>
      </c>
      <c r="Y22" s="6" t="s">
        <v>178</v>
      </c>
      <c r="Z22" s="6" t="s">
        <v>178</v>
      </c>
      <c r="AA22" s="6" t="s">
        <v>178</v>
      </c>
      <c r="AB22" s="6">
        <v>2</v>
      </c>
      <c r="AC22" s="6" t="s">
        <v>180</v>
      </c>
    </row>
    <row r="23" spans="1:29" x14ac:dyDescent="0.25">
      <c r="A23" s="145" t="str">
        <f>HYPERLINK("http://www.ofsted.gov.uk/inspection-reports/find-inspection-report/provider/ELS/50124  ","Ofsted Webpage")</f>
        <v>Ofsted Webpage</v>
      </c>
      <c r="B23" s="151">
        <v>50124</v>
      </c>
      <c r="C23" s="151">
        <v>10008920</v>
      </c>
      <c r="D23" s="46" t="s">
        <v>1342</v>
      </c>
      <c r="E23" s="26" t="s">
        <v>77</v>
      </c>
      <c r="F23" s="26" t="s">
        <v>76</v>
      </c>
      <c r="G23" s="26" t="s">
        <v>261</v>
      </c>
      <c r="H23" s="26" t="s">
        <v>219</v>
      </c>
      <c r="I23" s="26" t="s">
        <v>219</v>
      </c>
      <c r="J23" s="2" t="s">
        <v>72</v>
      </c>
      <c r="K23" s="141" t="s">
        <v>72</v>
      </c>
      <c r="L23" s="141" t="s">
        <v>1343</v>
      </c>
      <c r="M23" s="26" t="s">
        <v>342</v>
      </c>
      <c r="N23" s="2">
        <v>41828</v>
      </c>
      <c r="O23" s="2">
        <v>41831</v>
      </c>
      <c r="P23" s="133">
        <v>41866</v>
      </c>
      <c r="Q23" s="6">
        <v>2</v>
      </c>
      <c r="R23" s="6">
        <v>2</v>
      </c>
      <c r="S23" s="6">
        <v>2</v>
      </c>
      <c r="T23" s="120" t="s">
        <v>178</v>
      </c>
      <c r="U23" s="6">
        <v>2</v>
      </c>
      <c r="V23" s="6" t="s">
        <v>1344</v>
      </c>
      <c r="W23" s="5">
        <v>41292</v>
      </c>
      <c r="X23" s="6">
        <v>3</v>
      </c>
      <c r="Y23" s="6">
        <v>3</v>
      </c>
      <c r="Z23" s="6">
        <v>3</v>
      </c>
      <c r="AA23" s="6" t="s">
        <v>178</v>
      </c>
      <c r="AB23" s="6">
        <v>3</v>
      </c>
      <c r="AC23" s="6" t="s">
        <v>216</v>
      </c>
    </row>
    <row r="24" spans="1:29" x14ac:dyDescent="0.25">
      <c r="A24" s="145" t="str">
        <f>HYPERLINK("http://www.ofsted.gov.uk/inspection-reports/find-inspection-report/provider/ELS/50126  ","Ofsted Webpage")</f>
        <v>Ofsted Webpage</v>
      </c>
      <c r="B24" s="151">
        <v>50126</v>
      </c>
      <c r="C24" s="151">
        <v>10026590</v>
      </c>
      <c r="D24" s="46" t="s">
        <v>2454</v>
      </c>
      <c r="E24" s="26" t="s">
        <v>78</v>
      </c>
      <c r="F24" s="26" t="s">
        <v>79</v>
      </c>
      <c r="G24" s="26" t="s">
        <v>775</v>
      </c>
      <c r="H24" s="26" t="s">
        <v>198</v>
      </c>
      <c r="I24" s="26" t="s">
        <v>198</v>
      </c>
      <c r="J24" s="2" t="s">
        <v>72</v>
      </c>
      <c r="K24" s="141" t="s">
        <v>72</v>
      </c>
      <c r="L24" s="141" t="s">
        <v>2455</v>
      </c>
      <c r="M24" s="26" t="s">
        <v>466</v>
      </c>
      <c r="N24" s="2">
        <v>42079</v>
      </c>
      <c r="O24" s="2">
        <v>42083</v>
      </c>
      <c r="P24" s="133">
        <v>42125</v>
      </c>
      <c r="Q24" s="6">
        <v>2</v>
      </c>
      <c r="R24" s="6">
        <v>2</v>
      </c>
      <c r="S24" s="6">
        <v>2</v>
      </c>
      <c r="T24" s="120" t="s">
        <v>178</v>
      </c>
      <c r="U24" s="6">
        <v>2</v>
      </c>
      <c r="V24" s="6" t="s">
        <v>2456</v>
      </c>
      <c r="W24" s="5">
        <v>40816</v>
      </c>
      <c r="X24" s="6">
        <v>2</v>
      </c>
      <c r="Y24" s="6">
        <v>2</v>
      </c>
      <c r="Z24" s="6">
        <v>2</v>
      </c>
      <c r="AA24" s="6" t="s">
        <v>178</v>
      </c>
      <c r="AB24" s="6">
        <v>2</v>
      </c>
      <c r="AC24" s="6" t="s">
        <v>180</v>
      </c>
    </row>
    <row r="25" spans="1:29" x14ac:dyDescent="0.25">
      <c r="A25" s="145" t="str">
        <f>HYPERLINK("http://www.ofsted.gov.uk/inspection-reports/find-inspection-report/provider/ELS/50128  ","Ofsted Webpage")</f>
        <v>Ofsted Webpage</v>
      </c>
      <c r="B25" s="151">
        <v>50128</v>
      </c>
      <c r="C25" s="151">
        <v>10002697</v>
      </c>
      <c r="D25" s="46" t="s">
        <v>1144</v>
      </c>
      <c r="E25" s="26" t="s">
        <v>75</v>
      </c>
      <c r="F25" s="26" t="s">
        <v>76</v>
      </c>
      <c r="G25" s="26" t="s">
        <v>447</v>
      </c>
      <c r="H25" s="26" t="s">
        <v>198</v>
      </c>
      <c r="I25" s="26" t="s">
        <v>198</v>
      </c>
      <c r="J25" s="2">
        <v>43012</v>
      </c>
      <c r="K25" s="141">
        <v>1</v>
      </c>
      <c r="L25" s="141" t="s">
        <v>1145</v>
      </c>
      <c r="M25" s="26" t="s">
        <v>549</v>
      </c>
      <c r="N25" s="2">
        <v>41666</v>
      </c>
      <c r="O25" s="2">
        <v>41670</v>
      </c>
      <c r="P25" s="133">
        <v>41705</v>
      </c>
      <c r="Q25" s="6">
        <v>2</v>
      </c>
      <c r="R25" s="6">
        <v>2</v>
      </c>
      <c r="S25" s="6">
        <v>2</v>
      </c>
      <c r="T25" s="120" t="s">
        <v>178</v>
      </c>
      <c r="U25" s="6">
        <v>2</v>
      </c>
      <c r="V25" s="6" t="s">
        <v>1146</v>
      </c>
      <c r="W25" s="5">
        <v>40949</v>
      </c>
      <c r="X25" s="6">
        <v>3</v>
      </c>
      <c r="Y25" s="6">
        <v>3</v>
      </c>
      <c r="Z25" s="6">
        <v>3</v>
      </c>
      <c r="AA25" s="6" t="s">
        <v>178</v>
      </c>
      <c r="AB25" s="6">
        <v>3</v>
      </c>
      <c r="AC25" s="6" t="s">
        <v>216</v>
      </c>
    </row>
    <row r="26" spans="1:29" x14ac:dyDescent="0.25">
      <c r="A26" s="145" t="str">
        <f>HYPERLINK("http://www.ofsted.gov.uk/inspection-reports/find-inspection-report/provider/ELS/50129  ","Ofsted Webpage")</f>
        <v>Ofsted Webpage</v>
      </c>
      <c r="B26" s="151">
        <v>50129</v>
      </c>
      <c r="C26" s="151">
        <v>10002704</v>
      </c>
      <c r="D26" s="46" t="s">
        <v>1211</v>
      </c>
      <c r="E26" s="26" t="s">
        <v>77</v>
      </c>
      <c r="F26" s="26" t="s">
        <v>76</v>
      </c>
      <c r="G26" s="26" t="s">
        <v>447</v>
      </c>
      <c r="H26" s="26" t="s">
        <v>198</v>
      </c>
      <c r="I26" s="26" t="s">
        <v>198</v>
      </c>
      <c r="J26" s="2" t="s">
        <v>72</v>
      </c>
      <c r="K26" s="141" t="s">
        <v>72</v>
      </c>
      <c r="L26" s="141">
        <v>10020151</v>
      </c>
      <c r="M26" s="26" t="s">
        <v>189</v>
      </c>
      <c r="N26" s="2">
        <v>42647</v>
      </c>
      <c r="O26" s="2">
        <v>42650</v>
      </c>
      <c r="P26" s="133">
        <v>42692</v>
      </c>
      <c r="Q26" s="6">
        <v>2</v>
      </c>
      <c r="R26" s="6">
        <v>1</v>
      </c>
      <c r="S26" s="6">
        <v>2</v>
      </c>
      <c r="T26" s="6">
        <v>2</v>
      </c>
      <c r="U26" s="6">
        <v>2</v>
      </c>
      <c r="V26" s="6" t="s">
        <v>1212</v>
      </c>
      <c r="W26" s="5">
        <v>40718</v>
      </c>
      <c r="X26" s="6">
        <v>2</v>
      </c>
      <c r="Y26" s="6">
        <v>2</v>
      </c>
      <c r="Z26" s="6">
        <v>3</v>
      </c>
      <c r="AA26" s="6" t="s">
        <v>178</v>
      </c>
      <c r="AB26" s="6">
        <v>3</v>
      </c>
      <c r="AC26" s="6" t="s">
        <v>180</v>
      </c>
    </row>
    <row r="27" spans="1:29" x14ac:dyDescent="0.25">
      <c r="A27" s="145" t="str">
        <f>HYPERLINK("http://www.ofsted.gov.uk/inspection-reports/find-inspection-report/provider/ELS/50133  ","Ofsted Webpage")</f>
        <v>Ofsted Webpage</v>
      </c>
      <c r="B27" s="151">
        <v>50133</v>
      </c>
      <c r="C27" s="151">
        <v>10003039</v>
      </c>
      <c r="D27" s="46" t="s">
        <v>1391</v>
      </c>
      <c r="E27" s="26" t="s">
        <v>75</v>
      </c>
      <c r="F27" s="26" t="s">
        <v>76</v>
      </c>
      <c r="G27" s="26" t="s">
        <v>1199</v>
      </c>
      <c r="H27" s="26" t="s">
        <v>287</v>
      </c>
      <c r="I27" s="26" t="s">
        <v>287</v>
      </c>
      <c r="J27" s="2">
        <v>42908</v>
      </c>
      <c r="K27" s="141">
        <v>1</v>
      </c>
      <c r="L27" s="141" t="s">
        <v>1392</v>
      </c>
      <c r="M27" s="26" t="s">
        <v>549</v>
      </c>
      <c r="N27" s="2">
        <v>41057</v>
      </c>
      <c r="O27" s="2">
        <v>41061</v>
      </c>
      <c r="P27" s="133">
        <v>41100</v>
      </c>
      <c r="Q27" s="6">
        <v>2</v>
      </c>
      <c r="R27" s="6">
        <v>2</v>
      </c>
      <c r="S27" s="6">
        <v>2</v>
      </c>
      <c r="T27" s="120" t="s">
        <v>178</v>
      </c>
      <c r="U27" s="6">
        <v>2</v>
      </c>
      <c r="V27" s="6" t="s">
        <v>1393</v>
      </c>
      <c r="W27" s="5">
        <v>39780</v>
      </c>
      <c r="X27" s="6">
        <v>3</v>
      </c>
      <c r="Y27" s="6">
        <v>3</v>
      </c>
      <c r="Z27" s="6">
        <v>3</v>
      </c>
      <c r="AA27" s="6" t="s">
        <v>178</v>
      </c>
      <c r="AB27" s="6">
        <v>3</v>
      </c>
      <c r="AC27" s="6" t="s">
        <v>216</v>
      </c>
    </row>
    <row r="28" spans="1:29" x14ac:dyDescent="0.25">
      <c r="A28" s="145" t="str">
        <f>HYPERLINK("http://www.ofsted.gov.uk/inspection-reports/find-inspection-report/provider/ELS/50162  ","Ofsted Webpage")</f>
        <v>Ofsted Webpage</v>
      </c>
      <c r="B28" s="151">
        <v>50162</v>
      </c>
      <c r="C28" s="151">
        <v>10009206</v>
      </c>
      <c r="D28" s="46" t="s">
        <v>1160</v>
      </c>
      <c r="E28" s="26" t="s">
        <v>75</v>
      </c>
      <c r="F28" s="26" t="s">
        <v>76</v>
      </c>
      <c r="G28" s="26" t="s">
        <v>884</v>
      </c>
      <c r="H28" s="26" t="s">
        <v>175</v>
      </c>
      <c r="I28" s="26" t="s">
        <v>175</v>
      </c>
      <c r="J28" s="2">
        <v>42438</v>
      </c>
      <c r="K28" s="141">
        <v>1</v>
      </c>
      <c r="L28" s="141" t="s">
        <v>1161</v>
      </c>
      <c r="M28" s="26" t="s">
        <v>549</v>
      </c>
      <c r="N28" s="2">
        <v>40322</v>
      </c>
      <c r="O28" s="2">
        <v>40326</v>
      </c>
      <c r="P28" s="133">
        <v>40365</v>
      </c>
      <c r="Q28" s="6">
        <v>2</v>
      </c>
      <c r="R28" s="6">
        <v>2</v>
      </c>
      <c r="S28" s="6">
        <v>2</v>
      </c>
      <c r="T28" s="120" t="s">
        <v>178</v>
      </c>
      <c r="U28" s="6">
        <v>2</v>
      </c>
      <c r="V28" s="6" t="s">
        <v>1162</v>
      </c>
      <c r="W28" s="5">
        <v>39198</v>
      </c>
      <c r="X28" s="6">
        <v>3</v>
      </c>
      <c r="Y28" s="6" t="s">
        <v>178</v>
      </c>
      <c r="Z28" s="6" t="s">
        <v>178</v>
      </c>
      <c r="AA28" s="6" t="s">
        <v>178</v>
      </c>
      <c r="AB28" s="6">
        <v>3</v>
      </c>
      <c r="AC28" s="6" t="s">
        <v>216</v>
      </c>
    </row>
    <row r="29" spans="1:29" x14ac:dyDescent="0.25">
      <c r="A29" s="145" t="str">
        <f>HYPERLINK("http://www.ofsted.gov.uk/inspection-reports/find-inspection-report/provider/ELS/50165  ","Ofsted Webpage")</f>
        <v>Ofsted Webpage</v>
      </c>
      <c r="B29" s="151">
        <v>50165</v>
      </c>
      <c r="C29" s="151">
        <v>10005926</v>
      </c>
      <c r="D29" s="46" t="s">
        <v>2697</v>
      </c>
      <c r="E29" s="26" t="s">
        <v>78</v>
      </c>
      <c r="F29" s="26" t="s">
        <v>79</v>
      </c>
      <c r="G29" s="26" t="s">
        <v>1281</v>
      </c>
      <c r="H29" s="26" t="s">
        <v>175</v>
      </c>
      <c r="I29" s="26" t="s">
        <v>175</v>
      </c>
      <c r="J29" s="2" t="s">
        <v>72</v>
      </c>
      <c r="K29" s="141" t="s">
        <v>72</v>
      </c>
      <c r="L29" s="141">
        <v>10011464</v>
      </c>
      <c r="M29" s="26" t="s">
        <v>183</v>
      </c>
      <c r="N29" s="2">
        <v>42661</v>
      </c>
      <c r="O29" s="2">
        <v>42664</v>
      </c>
      <c r="P29" s="133">
        <v>42704</v>
      </c>
      <c r="Q29" s="6">
        <v>3</v>
      </c>
      <c r="R29" s="6">
        <v>3</v>
      </c>
      <c r="S29" s="6">
        <v>3</v>
      </c>
      <c r="T29" s="6">
        <v>3</v>
      </c>
      <c r="U29" s="6">
        <v>3</v>
      </c>
      <c r="V29" s="6" t="s">
        <v>2698</v>
      </c>
      <c r="W29" s="5">
        <v>41215</v>
      </c>
      <c r="X29" s="6">
        <v>2</v>
      </c>
      <c r="Y29" s="6">
        <v>2</v>
      </c>
      <c r="Z29" s="6">
        <v>2</v>
      </c>
      <c r="AA29" s="6" t="s">
        <v>178</v>
      </c>
      <c r="AB29" s="6">
        <v>2</v>
      </c>
      <c r="AC29" s="6" t="s">
        <v>201</v>
      </c>
    </row>
    <row r="30" spans="1:29" x14ac:dyDescent="0.25">
      <c r="A30" s="145" t="str">
        <f>HYPERLINK("http://www.ofsted.gov.uk/inspection-reports/find-inspection-report/provider/ELS/50166  ","Ofsted Webpage")</f>
        <v>Ofsted Webpage</v>
      </c>
      <c r="B30" s="151">
        <v>50166</v>
      </c>
      <c r="C30" s="151">
        <v>10014196</v>
      </c>
      <c r="D30" s="46" t="s">
        <v>2481</v>
      </c>
      <c r="E30" s="26" t="s">
        <v>78</v>
      </c>
      <c r="F30" s="26" t="s">
        <v>79</v>
      </c>
      <c r="G30" s="26" t="s">
        <v>247</v>
      </c>
      <c r="H30" s="26" t="s">
        <v>238</v>
      </c>
      <c r="I30" s="26" t="s">
        <v>238</v>
      </c>
      <c r="J30" s="2">
        <v>42599</v>
      </c>
      <c r="K30" s="141">
        <v>1</v>
      </c>
      <c r="L30" s="141" t="s">
        <v>2482</v>
      </c>
      <c r="M30" s="26" t="s">
        <v>445</v>
      </c>
      <c r="N30" s="2">
        <v>40994</v>
      </c>
      <c r="O30" s="2">
        <v>40997</v>
      </c>
      <c r="P30" s="133">
        <v>41032</v>
      </c>
      <c r="Q30" s="6">
        <v>2</v>
      </c>
      <c r="R30" s="6">
        <v>2</v>
      </c>
      <c r="S30" s="6">
        <v>2</v>
      </c>
      <c r="T30" s="120" t="s">
        <v>178</v>
      </c>
      <c r="U30" s="6">
        <v>2</v>
      </c>
      <c r="V30" s="6" t="s">
        <v>2483</v>
      </c>
      <c r="W30" s="5">
        <v>39240</v>
      </c>
      <c r="X30" s="6">
        <v>2</v>
      </c>
      <c r="Y30" s="6">
        <v>2</v>
      </c>
      <c r="Z30" s="6">
        <v>2</v>
      </c>
      <c r="AA30" s="6" t="s">
        <v>178</v>
      </c>
      <c r="AB30" s="6">
        <v>2</v>
      </c>
      <c r="AC30" s="6" t="s">
        <v>180</v>
      </c>
    </row>
    <row r="31" spans="1:29" x14ac:dyDescent="0.25">
      <c r="A31" s="145" t="str">
        <f>HYPERLINK("http://www.ofsted.gov.uk/inspection-reports/find-inspection-report/provider/ELS/50168  ","Ofsted Webpage")</f>
        <v>Ofsted Webpage</v>
      </c>
      <c r="B31" s="151">
        <v>50168</v>
      </c>
      <c r="C31" s="151">
        <v>10004343</v>
      </c>
      <c r="D31" s="46" t="s">
        <v>309</v>
      </c>
      <c r="E31" s="26" t="s">
        <v>75</v>
      </c>
      <c r="F31" s="26" t="s">
        <v>76</v>
      </c>
      <c r="G31" s="26" t="s">
        <v>310</v>
      </c>
      <c r="H31" s="26" t="s">
        <v>204</v>
      </c>
      <c r="I31" s="26" t="s">
        <v>188</v>
      </c>
      <c r="J31" s="2" t="s">
        <v>72</v>
      </c>
      <c r="K31" s="141" t="s">
        <v>72</v>
      </c>
      <c r="L31" s="141">
        <v>10008480</v>
      </c>
      <c r="M31" s="26" t="s">
        <v>308</v>
      </c>
      <c r="N31" s="2">
        <v>42395</v>
      </c>
      <c r="O31" s="2">
        <v>42398</v>
      </c>
      <c r="P31" s="133">
        <v>42415</v>
      </c>
      <c r="Q31" s="6">
        <v>2</v>
      </c>
      <c r="R31" s="6">
        <v>2</v>
      </c>
      <c r="S31" s="6">
        <v>2</v>
      </c>
      <c r="T31" s="6">
        <v>1</v>
      </c>
      <c r="U31" s="6">
        <v>1</v>
      </c>
      <c r="V31" s="6" t="s">
        <v>311</v>
      </c>
      <c r="W31" s="5">
        <v>40578</v>
      </c>
      <c r="X31" s="6">
        <v>2</v>
      </c>
      <c r="Y31" s="6">
        <v>2</v>
      </c>
      <c r="Z31" s="6">
        <v>2</v>
      </c>
      <c r="AA31" s="6" t="s">
        <v>178</v>
      </c>
      <c r="AB31" s="6">
        <v>2</v>
      </c>
      <c r="AC31" s="6" t="s">
        <v>180</v>
      </c>
    </row>
    <row r="32" spans="1:29" x14ac:dyDescent="0.25">
      <c r="A32" s="145" t="str">
        <f>HYPERLINK("http://www.ofsted.gov.uk/inspection-reports/find-inspection-report/provider/ELS/50169  ","Ofsted Webpage")</f>
        <v>Ofsted Webpage</v>
      </c>
      <c r="B32" s="151">
        <v>50169</v>
      </c>
      <c r="C32" s="151">
        <v>10004376</v>
      </c>
      <c r="D32" s="46" t="s">
        <v>1141</v>
      </c>
      <c r="E32" s="26" t="s">
        <v>75</v>
      </c>
      <c r="F32" s="26" t="s">
        <v>76</v>
      </c>
      <c r="G32" s="26" t="s">
        <v>733</v>
      </c>
      <c r="H32" s="26" t="s">
        <v>219</v>
      </c>
      <c r="I32" s="26" t="s">
        <v>219</v>
      </c>
      <c r="J32" s="2">
        <v>42641</v>
      </c>
      <c r="K32" s="141">
        <v>1</v>
      </c>
      <c r="L32" s="141" t="s">
        <v>1142</v>
      </c>
      <c r="M32" s="26" t="s">
        <v>321</v>
      </c>
      <c r="N32" s="2">
        <v>41226</v>
      </c>
      <c r="O32" s="2">
        <v>41229</v>
      </c>
      <c r="P32" s="133">
        <v>41264</v>
      </c>
      <c r="Q32" s="6">
        <v>2</v>
      </c>
      <c r="R32" s="6">
        <v>2</v>
      </c>
      <c r="S32" s="6">
        <v>2</v>
      </c>
      <c r="T32" s="120" t="s">
        <v>178</v>
      </c>
      <c r="U32" s="6">
        <v>2</v>
      </c>
      <c r="V32" s="6" t="s">
        <v>1143</v>
      </c>
      <c r="W32" s="5">
        <v>39759</v>
      </c>
      <c r="X32" s="6">
        <v>3</v>
      </c>
      <c r="Y32" s="6">
        <v>3</v>
      </c>
      <c r="Z32" s="6">
        <v>3</v>
      </c>
      <c r="AA32" s="6" t="s">
        <v>178</v>
      </c>
      <c r="AB32" s="6">
        <v>3</v>
      </c>
      <c r="AC32" s="6" t="s">
        <v>216</v>
      </c>
    </row>
    <row r="33" spans="1:29" x14ac:dyDescent="0.25">
      <c r="A33" s="145" t="str">
        <f>HYPERLINK("http://www.ofsted.gov.uk/inspection-reports/find-inspection-report/provider/ELS/50170  ","Ofsted Webpage")</f>
        <v>Ofsted Webpage</v>
      </c>
      <c r="B33" s="151">
        <v>50170</v>
      </c>
      <c r="C33" s="151">
        <v>10004486</v>
      </c>
      <c r="D33" s="46" t="s">
        <v>1461</v>
      </c>
      <c r="E33" s="26" t="s">
        <v>77</v>
      </c>
      <c r="F33" s="26" t="s">
        <v>76</v>
      </c>
      <c r="G33" s="26" t="s">
        <v>441</v>
      </c>
      <c r="H33" s="26" t="s">
        <v>175</v>
      </c>
      <c r="I33" s="26" t="s">
        <v>175</v>
      </c>
      <c r="J33" s="2" t="s">
        <v>72</v>
      </c>
      <c r="K33" s="141" t="s">
        <v>72</v>
      </c>
      <c r="L33" s="141">
        <v>10022545</v>
      </c>
      <c r="M33" s="26" t="s">
        <v>189</v>
      </c>
      <c r="N33" s="2">
        <v>42864</v>
      </c>
      <c r="O33" s="2">
        <v>42867</v>
      </c>
      <c r="P33" s="133">
        <v>42935</v>
      </c>
      <c r="Q33" s="6">
        <v>3</v>
      </c>
      <c r="R33" s="6">
        <v>3</v>
      </c>
      <c r="S33" s="6">
        <v>3</v>
      </c>
      <c r="T33" s="6">
        <v>2</v>
      </c>
      <c r="U33" s="6">
        <v>3</v>
      </c>
      <c r="V33" s="6" t="s">
        <v>1462</v>
      </c>
      <c r="W33" s="5">
        <v>41761</v>
      </c>
      <c r="X33" s="6">
        <v>2</v>
      </c>
      <c r="Y33" s="6">
        <v>3</v>
      </c>
      <c r="Z33" s="6">
        <v>2</v>
      </c>
      <c r="AA33" s="6" t="s">
        <v>178</v>
      </c>
      <c r="AB33" s="6">
        <v>2</v>
      </c>
      <c r="AC33" s="6" t="s">
        <v>201</v>
      </c>
    </row>
    <row r="34" spans="1:29" x14ac:dyDescent="0.25">
      <c r="A34" s="145" t="str">
        <f>HYPERLINK("http://www.ofsted.gov.uk/inspection-reports/find-inspection-report/provider/ELS/50178  ","Ofsted Webpage")</f>
        <v>Ofsted Webpage</v>
      </c>
      <c r="B34" s="151">
        <v>50178</v>
      </c>
      <c r="C34" s="151">
        <v>10004733</v>
      </c>
      <c r="D34" s="46" t="s">
        <v>707</v>
      </c>
      <c r="E34" s="26" t="s">
        <v>75</v>
      </c>
      <c r="F34" s="26" t="s">
        <v>76</v>
      </c>
      <c r="G34" s="26" t="s">
        <v>504</v>
      </c>
      <c r="H34" s="26" t="s">
        <v>214</v>
      </c>
      <c r="I34" s="26" t="s">
        <v>214</v>
      </c>
      <c r="J34" s="2">
        <v>42641</v>
      </c>
      <c r="K34" s="141">
        <v>1</v>
      </c>
      <c r="L34" s="141" t="s">
        <v>708</v>
      </c>
      <c r="M34" s="26" t="s">
        <v>549</v>
      </c>
      <c r="N34" s="2">
        <v>40336</v>
      </c>
      <c r="O34" s="2">
        <v>40340</v>
      </c>
      <c r="P34" s="133">
        <v>40375</v>
      </c>
      <c r="Q34" s="6">
        <v>2</v>
      </c>
      <c r="R34" s="6">
        <v>2</v>
      </c>
      <c r="S34" s="6">
        <v>2</v>
      </c>
      <c r="T34" s="120" t="s">
        <v>178</v>
      </c>
      <c r="U34" s="6">
        <v>2</v>
      </c>
      <c r="V34" s="6" t="s">
        <v>709</v>
      </c>
      <c r="W34" s="5">
        <v>39199</v>
      </c>
      <c r="X34" s="6">
        <v>3</v>
      </c>
      <c r="Y34" s="6" t="s">
        <v>178</v>
      </c>
      <c r="Z34" s="6" t="s">
        <v>178</v>
      </c>
      <c r="AA34" s="6" t="s">
        <v>178</v>
      </c>
      <c r="AB34" s="6">
        <v>3</v>
      </c>
      <c r="AC34" s="6" t="s">
        <v>216</v>
      </c>
    </row>
    <row r="35" spans="1:29" x14ac:dyDescent="0.25">
      <c r="A35" s="145" t="str">
        <f>HYPERLINK("http://www.ofsted.gov.uk/inspection-reports/find-inspection-report/provider/ELS/50192  ","Ofsted Webpage")</f>
        <v>Ofsted Webpage</v>
      </c>
      <c r="B35" s="151">
        <v>50192</v>
      </c>
      <c r="C35" s="151">
        <v>10010523</v>
      </c>
      <c r="D35" s="46" t="s">
        <v>2720</v>
      </c>
      <c r="E35" s="26" t="s">
        <v>78</v>
      </c>
      <c r="F35" s="26" t="s">
        <v>79</v>
      </c>
      <c r="G35" s="26" t="s">
        <v>327</v>
      </c>
      <c r="H35" s="26" t="s">
        <v>193</v>
      </c>
      <c r="I35" s="26" t="s">
        <v>193</v>
      </c>
      <c r="J35" s="2" t="s">
        <v>72</v>
      </c>
      <c r="K35" s="141" t="s">
        <v>72</v>
      </c>
      <c r="L35" s="141">
        <v>10008481</v>
      </c>
      <c r="M35" s="26" t="s">
        <v>864</v>
      </c>
      <c r="N35" s="2">
        <v>42395</v>
      </c>
      <c r="O35" s="2">
        <v>42398</v>
      </c>
      <c r="P35" s="133">
        <v>42424</v>
      </c>
      <c r="Q35" s="6">
        <v>2</v>
      </c>
      <c r="R35" s="6">
        <v>2</v>
      </c>
      <c r="S35" s="6">
        <v>2</v>
      </c>
      <c r="T35" s="6">
        <v>2</v>
      </c>
      <c r="U35" s="6">
        <v>2</v>
      </c>
      <c r="V35" s="6" t="s">
        <v>2721</v>
      </c>
      <c r="W35" s="5">
        <v>41908</v>
      </c>
      <c r="X35" s="6">
        <v>3</v>
      </c>
      <c r="Y35" s="6">
        <v>3</v>
      </c>
      <c r="Z35" s="6">
        <v>3</v>
      </c>
      <c r="AA35" s="6" t="s">
        <v>178</v>
      </c>
      <c r="AB35" s="6">
        <v>3</v>
      </c>
      <c r="AC35" s="6" t="s">
        <v>216</v>
      </c>
    </row>
    <row r="36" spans="1:29" x14ac:dyDescent="0.25">
      <c r="A36" s="145" t="str">
        <f>HYPERLINK("http://www.ofsted.gov.uk/inspection-reports/find-inspection-report/provider/ELS/50193  ","Ofsted Webpage")</f>
        <v>Ofsted Webpage</v>
      </c>
      <c r="B36" s="151">
        <v>50193</v>
      </c>
      <c r="C36" s="151">
        <v>10005735</v>
      </c>
      <c r="D36" s="46" t="s">
        <v>2381</v>
      </c>
      <c r="E36" s="26" t="s">
        <v>78</v>
      </c>
      <c r="F36" s="26" t="s">
        <v>79</v>
      </c>
      <c r="G36" s="26" t="s">
        <v>477</v>
      </c>
      <c r="H36" s="26" t="s">
        <v>287</v>
      </c>
      <c r="I36" s="26" t="s">
        <v>287</v>
      </c>
      <c r="J36" s="2">
        <v>42943</v>
      </c>
      <c r="K36" s="141">
        <v>1</v>
      </c>
      <c r="L36" s="141" t="s">
        <v>2382</v>
      </c>
      <c r="M36" s="26" t="s">
        <v>333</v>
      </c>
      <c r="N36" s="2">
        <v>41673</v>
      </c>
      <c r="O36" s="2">
        <v>41677</v>
      </c>
      <c r="P36" s="133">
        <v>41709</v>
      </c>
      <c r="Q36" s="6">
        <v>2</v>
      </c>
      <c r="R36" s="6">
        <v>2</v>
      </c>
      <c r="S36" s="6">
        <v>2</v>
      </c>
      <c r="T36" s="120" t="s">
        <v>178</v>
      </c>
      <c r="U36" s="6">
        <v>2</v>
      </c>
      <c r="V36" s="6" t="s">
        <v>2383</v>
      </c>
      <c r="W36" s="5">
        <v>40893</v>
      </c>
      <c r="X36" s="6">
        <v>3</v>
      </c>
      <c r="Y36" s="6">
        <v>3</v>
      </c>
      <c r="Z36" s="6">
        <v>3</v>
      </c>
      <c r="AA36" s="6" t="s">
        <v>178</v>
      </c>
      <c r="AB36" s="6">
        <v>2</v>
      </c>
      <c r="AC36" s="6" t="s">
        <v>216</v>
      </c>
    </row>
    <row r="37" spans="1:29" x14ac:dyDescent="0.25">
      <c r="A37" s="145" t="str">
        <f>HYPERLINK("http://www.ofsted.gov.uk/inspection-reports/find-inspection-report/provider/ELS/50199  ","Ofsted Webpage")</f>
        <v>Ofsted Webpage</v>
      </c>
      <c r="B37" s="151">
        <v>50199</v>
      </c>
      <c r="C37" s="151">
        <v>10006086</v>
      </c>
      <c r="D37" s="46" t="s">
        <v>1795</v>
      </c>
      <c r="E37" s="26" t="s">
        <v>77</v>
      </c>
      <c r="F37" s="26" t="s">
        <v>76</v>
      </c>
      <c r="G37" s="26" t="s">
        <v>265</v>
      </c>
      <c r="H37" s="26" t="s">
        <v>204</v>
      </c>
      <c r="I37" s="26" t="s">
        <v>188</v>
      </c>
      <c r="J37" s="2" t="s">
        <v>72</v>
      </c>
      <c r="K37" s="141" t="s">
        <v>72</v>
      </c>
      <c r="L37" s="141">
        <v>10005153</v>
      </c>
      <c r="M37" s="26" t="s">
        <v>183</v>
      </c>
      <c r="N37" s="2">
        <v>42430</v>
      </c>
      <c r="O37" s="2">
        <v>42433</v>
      </c>
      <c r="P37" s="133">
        <v>42459</v>
      </c>
      <c r="Q37" s="6">
        <v>2</v>
      </c>
      <c r="R37" s="6">
        <v>2</v>
      </c>
      <c r="S37" s="6">
        <v>2</v>
      </c>
      <c r="T37" s="6">
        <v>2</v>
      </c>
      <c r="U37" s="6">
        <v>2</v>
      </c>
      <c r="V37" s="6" t="s">
        <v>1796</v>
      </c>
      <c r="W37" s="5">
        <v>40963</v>
      </c>
      <c r="X37" s="6">
        <v>2</v>
      </c>
      <c r="Y37" s="6">
        <v>2</v>
      </c>
      <c r="Z37" s="6">
        <v>3</v>
      </c>
      <c r="AA37" s="6" t="s">
        <v>178</v>
      </c>
      <c r="AB37" s="6">
        <v>2</v>
      </c>
      <c r="AC37" s="6" t="s">
        <v>180</v>
      </c>
    </row>
    <row r="38" spans="1:29" x14ac:dyDescent="0.25">
      <c r="A38" s="145" t="str">
        <f>HYPERLINK("http://www.ofsted.gov.uk/inspection-reports/find-inspection-report/provider/ELS/50202  ","Ofsted Webpage")</f>
        <v>Ofsted Webpage</v>
      </c>
      <c r="B38" s="151">
        <v>50202</v>
      </c>
      <c r="C38" s="151">
        <v>10006325</v>
      </c>
      <c r="D38" s="46" t="s">
        <v>1797</v>
      </c>
      <c r="E38" s="26" t="s">
        <v>77</v>
      </c>
      <c r="F38" s="26" t="s">
        <v>76</v>
      </c>
      <c r="G38" s="26" t="s">
        <v>1181</v>
      </c>
      <c r="H38" s="26" t="s">
        <v>193</v>
      </c>
      <c r="I38" s="26" t="s">
        <v>193</v>
      </c>
      <c r="J38" s="2" t="s">
        <v>72</v>
      </c>
      <c r="K38" s="141" t="s">
        <v>72</v>
      </c>
      <c r="L38" s="141" t="s">
        <v>1798</v>
      </c>
      <c r="M38" s="26" t="s">
        <v>549</v>
      </c>
      <c r="N38" s="2">
        <v>42116</v>
      </c>
      <c r="O38" s="2">
        <v>42118</v>
      </c>
      <c r="P38" s="133">
        <v>42157</v>
      </c>
      <c r="Q38" s="6">
        <v>3</v>
      </c>
      <c r="R38" s="6">
        <v>3</v>
      </c>
      <c r="S38" s="6">
        <v>3</v>
      </c>
      <c r="T38" s="120" t="s">
        <v>178</v>
      </c>
      <c r="U38" s="6">
        <v>2</v>
      </c>
      <c r="V38" s="6" t="s">
        <v>72</v>
      </c>
      <c r="W38" s="5" t="s">
        <v>72</v>
      </c>
      <c r="X38" s="6" t="s">
        <v>72</v>
      </c>
      <c r="Y38" s="6" t="s">
        <v>72</v>
      </c>
      <c r="Z38" s="6" t="s">
        <v>72</v>
      </c>
      <c r="AA38" s="6" t="s">
        <v>72</v>
      </c>
      <c r="AB38" s="6" t="s">
        <v>72</v>
      </c>
      <c r="AC38" s="6" t="s">
        <v>208</v>
      </c>
    </row>
    <row r="39" spans="1:29" x14ac:dyDescent="0.25">
      <c r="A39" s="145" t="str">
        <f>HYPERLINK("http://www.ofsted.gov.uk/inspection-reports/find-inspection-report/provider/ELS/50208  ","Ofsted Webpage")</f>
        <v>Ofsted Webpage</v>
      </c>
      <c r="B39" s="151">
        <v>50208</v>
      </c>
      <c r="C39" s="151">
        <v>10007432</v>
      </c>
      <c r="D39" s="46" t="s">
        <v>1304</v>
      </c>
      <c r="E39" s="26" t="s">
        <v>75</v>
      </c>
      <c r="F39" s="26" t="s">
        <v>76</v>
      </c>
      <c r="G39" s="26" t="s">
        <v>452</v>
      </c>
      <c r="H39" s="26" t="s">
        <v>219</v>
      </c>
      <c r="I39" s="26" t="s">
        <v>219</v>
      </c>
      <c r="J39" s="2" t="s">
        <v>72</v>
      </c>
      <c r="K39" s="141" t="s">
        <v>72</v>
      </c>
      <c r="L39" s="141">
        <v>10022533</v>
      </c>
      <c r="M39" s="26" t="s">
        <v>313</v>
      </c>
      <c r="N39" s="2">
        <v>42759</v>
      </c>
      <c r="O39" s="2">
        <v>42762</v>
      </c>
      <c r="P39" s="133">
        <v>42790</v>
      </c>
      <c r="Q39" s="6">
        <v>2</v>
      </c>
      <c r="R39" s="6">
        <v>2</v>
      </c>
      <c r="S39" s="6">
        <v>2</v>
      </c>
      <c r="T39" s="6">
        <v>2</v>
      </c>
      <c r="U39" s="6">
        <v>2</v>
      </c>
      <c r="V39" s="6">
        <v>10004865</v>
      </c>
      <c r="W39" s="5">
        <v>42321</v>
      </c>
      <c r="X39" s="6">
        <v>4</v>
      </c>
      <c r="Y39" s="6">
        <v>2</v>
      </c>
      <c r="Z39" s="6">
        <v>2</v>
      </c>
      <c r="AA39" s="6">
        <v>2</v>
      </c>
      <c r="AB39" s="6">
        <v>4</v>
      </c>
      <c r="AC39" s="6" t="s">
        <v>216</v>
      </c>
    </row>
    <row r="40" spans="1:29" x14ac:dyDescent="0.25">
      <c r="A40" s="145" t="str">
        <f>HYPERLINK("http://www.ofsted.gov.uk/inspection-reports/find-inspection-report/provider/ELS/50210  ","Ofsted Webpage")</f>
        <v>Ofsted Webpage</v>
      </c>
      <c r="B40" s="151">
        <v>50210</v>
      </c>
      <c r="C40" s="151">
        <v>10007635</v>
      </c>
      <c r="D40" s="46" t="s">
        <v>2991</v>
      </c>
      <c r="E40" s="26" t="s">
        <v>78</v>
      </c>
      <c r="F40" s="26" t="s">
        <v>79</v>
      </c>
      <c r="G40" s="26" t="s">
        <v>283</v>
      </c>
      <c r="H40" s="26" t="s">
        <v>175</v>
      </c>
      <c r="I40" s="26" t="s">
        <v>175</v>
      </c>
      <c r="J40" s="2" t="s">
        <v>72</v>
      </c>
      <c r="K40" s="141" t="s">
        <v>72</v>
      </c>
      <c r="L40" s="141" t="s">
        <v>2992</v>
      </c>
      <c r="M40" s="26" t="s">
        <v>333</v>
      </c>
      <c r="N40" s="2">
        <v>41254</v>
      </c>
      <c r="O40" s="2">
        <v>41257</v>
      </c>
      <c r="P40" s="119">
        <v>41297</v>
      </c>
      <c r="Q40" s="6">
        <v>3</v>
      </c>
      <c r="R40" s="6">
        <v>3</v>
      </c>
      <c r="S40" s="6">
        <v>3</v>
      </c>
      <c r="T40" s="120" t="s">
        <v>178</v>
      </c>
      <c r="U40" s="6">
        <v>3</v>
      </c>
      <c r="V40" s="6" t="s">
        <v>2993</v>
      </c>
      <c r="W40" s="5">
        <v>39892</v>
      </c>
      <c r="X40" s="6">
        <v>3</v>
      </c>
      <c r="Y40" s="6">
        <v>3</v>
      </c>
      <c r="Z40" s="6">
        <v>3</v>
      </c>
      <c r="AA40" s="6" t="s">
        <v>178</v>
      </c>
      <c r="AB40" s="6">
        <v>3</v>
      </c>
      <c r="AC40" s="6" t="s">
        <v>180</v>
      </c>
    </row>
    <row r="41" spans="1:29" x14ac:dyDescent="0.25">
      <c r="A41" s="145" t="str">
        <f>HYPERLINK("http://www.ofsted.gov.uk/inspection-reports/find-inspection-report/provider/ELS/50213  ","Ofsted Webpage")</f>
        <v>Ofsted Webpage</v>
      </c>
      <c r="B41" s="151">
        <v>50213</v>
      </c>
      <c r="C41" s="151">
        <v>10000703</v>
      </c>
      <c r="D41" s="46" t="s">
        <v>1251</v>
      </c>
      <c r="E41" s="26" t="s">
        <v>75</v>
      </c>
      <c r="F41" s="26" t="s">
        <v>76</v>
      </c>
      <c r="G41" s="26" t="s">
        <v>223</v>
      </c>
      <c r="H41" s="26" t="s">
        <v>193</v>
      </c>
      <c r="I41" s="26" t="s">
        <v>193</v>
      </c>
      <c r="J41" s="2" t="s">
        <v>72</v>
      </c>
      <c r="K41" s="141" t="s">
        <v>72</v>
      </c>
      <c r="L41" s="141">
        <v>10037350</v>
      </c>
      <c r="M41" s="26" t="s">
        <v>308</v>
      </c>
      <c r="N41" s="2">
        <v>43004</v>
      </c>
      <c r="O41" s="2">
        <v>43007</v>
      </c>
      <c r="P41" s="133">
        <v>43042</v>
      </c>
      <c r="Q41" s="6">
        <v>3</v>
      </c>
      <c r="R41" s="6">
        <v>3</v>
      </c>
      <c r="S41" s="6">
        <v>3</v>
      </c>
      <c r="T41" s="6">
        <v>2</v>
      </c>
      <c r="U41" s="6">
        <v>3</v>
      </c>
      <c r="V41" s="6" t="s">
        <v>1252</v>
      </c>
      <c r="W41" s="5">
        <v>41698</v>
      </c>
      <c r="X41" s="6">
        <v>2</v>
      </c>
      <c r="Y41" s="6">
        <v>2</v>
      </c>
      <c r="Z41" s="6">
        <v>2</v>
      </c>
      <c r="AA41" s="6" t="s">
        <v>178</v>
      </c>
      <c r="AB41" s="6">
        <v>2</v>
      </c>
      <c r="AC41" s="6" t="s">
        <v>201</v>
      </c>
    </row>
    <row r="42" spans="1:29" x14ac:dyDescent="0.25">
      <c r="A42" s="145" t="str">
        <f>HYPERLINK("http://www.ofsted.gov.uk/inspection-reports/find-inspection-report/provider/ELS/50215  ","Ofsted Webpage")</f>
        <v>Ofsted Webpage</v>
      </c>
      <c r="B42" s="151">
        <v>50215</v>
      </c>
      <c r="C42" s="151">
        <v>10001230</v>
      </c>
      <c r="D42" s="46" t="s">
        <v>1206</v>
      </c>
      <c r="E42" s="26" t="s">
        <v>77</v>
      </c>
      <c r="F42" s="26" t="s">
        <v>76</v>
      </c>
      <c r="G42" s="26" t="s">
        <v>914</v>
      </c>
      <c r="H42" s="26" t="s">
        <v>187</v>
      </c>
      <c r="I42" s="26" t="s">
        <v>188</v>
      </c>
      <c r="J42" s="2" t="s">
        <v>72</v>
      </c>
      <c r="K42" s="141" t="s">
        <v>72</v>
      </c>
      <c r="L42" s="141" t="s">
        <v>1207</v>
      </c>
      <c r="M42" s="26" t="s">
        <v>549</v>
      </c>
      <c r="N42" s="2">
        <v>41674</v>
      </c>
      <c r="O42" s="2">
        <v>41677</v>
      </c>
      <c r="P42" s="133">
        <v>41710</v>
      </c>
      <c r="Q42" s="6">
        <v>2</v>
      </c>
      <c r="R42" s="6">
        <v>2</v>
      </c>
      <c r="S42" s="6">
        <v>2</v>
      </c>
      <c r="T42" s="120" t="s">
        <v>178</v>
      </c>
      <c r="U42" s="6">
        <v>2</v>
      </c>
      <c r="V42" s="6" t="s">
        <v>1208</v>
      </c>
      <c r="W42" s="5">
        <v>40683</v>
      </c>
      <c r="X42" s="6">
        <v>3</v>
      </c>
      <c r="Y42" s="6">
        <v>3</v>
      </c>
      <c r="Z42" s="6">
        <v>3</v>
      </c>
      <c r="AA42" s="6" t="s">
        <v>178</v>
      </c>
      <c r="AB42" s="6">
        <v>3</v>
      </c>
      <c r="AC42" s="6" t="s">
        <v>216</v>
      </c>
    </row>
    <row r="43" spans="1:29" x14ac:dyDescent="0.25">
      <c r="A43" s="145" t="str">
        <f>HYPERLINK("http://www.ofsted.gov.uk/inspection-reports/find-inspection-report/provider/ELS/50216  ","Ofsted Webpage")</f>
        <v>Ofsted Webpage</v>
      </c>
      <c r="B43" s="151">
        <v>50216</v>
      </c>
      <c r="C43" s="151">
        <v>10001918</v>
      </c>
      <c r="D43" s="46" t="s">
        <v>692</v>
      </c>
      <c r="E43" s="26" t="s">
        <v>75</v>
      </c>
      <c r="F43" s="26" t="s">
        <v>76</v>
      </c>
      <c r="G43" s="26" t="s">
        <v>340</v>
      </c>
      <c r="H43" s="26" t="s">
        <v>214</v>
      </c>
      <c r="I43" s="26" t="s">
        <v>214</v>
      </c>
      <c r="J43" s="2" t="s">
        <v>72</v>
      </c>
      <c r="K43" s="141" t="s">
        <v>72</v>
      </c>
      <c r="L43" s="141">
        <v>10004866</v>
      </c>
      <c r="M43" s="26" t="s">
        <v>308</v>
      </c>
      <c r="N43" s="2">
        <v>42381</v>
      </c>
      <c r="O43" s="2">
        <v>42384</v>
      </c>
      <c r="P43" s="133">
        <v>42412</v>
      </c>
      <c r="Q43" s="6">
        <v>2</v>
      </c>
      <c r="R43" s="6">
        <v>2</v>
      </c>
      <c r="S43" s="6">
        <v>2</v>
      </c>
      <c r="T43" s="6">
        <v>2</v>
      </c>
      <c r="U43" s="6">
        <v>2</v>
      </c>
      <c r="V43" s="6" t="s">
        <v>693</v>
      </c>
      <c r="W43" s="5">
        <v>40585</v>
      </c>
      <c r="X43" s="6">
        <v>2</v>
      </c>
      <c r="Y43" s="6">
        <v>2</v>
      </c>
      <c r="Z43" s="6">
        <v>2</v>
      </c>
      <c r="AA43" s="6" t="s">
        <v>178</v>
      </c>
      <c r="AB43" s="6">
        <v>2</v>
      </c>
      <c r="AC43" s="6" t="s">
        <v>180</v>
      </c>
    </row>
    <row r="44" spans="1:29" x14ac:dyDescent="0.25">
      <c r="A44" s="145" t="str">
        <f>HYPERLINK("http://www.ofsted.gov.uk/inspection-reports/find-inspection-report/provider/ELS/50217  ","Ofsted Webpage")</f>
        <v>Ofsted Webpage</v>
      </c>
      <c r="B44" s="151">
        <v>50217</v>
      </c>
      <c r="C44" s="151">
        <v>10001928</v>
      </c>
      <c r="D44" s="46" t="s">
        <v>694</v>
      </c>
      <c r="E44" s="26" t="s">
        <v>75</v>
      </c>
      <c r="F44" s="26" t="s">
        <v>76</v>
      </c>
      <c r="G44" s="26" t="s">
        <v>324</v>
      </c>
      <c r="H44" s="26" t="s">
        <v>214</v>
      </c>
      <c r="I44" s="26" t="s">
        <v>214</v>
      </c>
      <c r="J44" s="2">
        <v>42908</v>
      </c>
      <c r="K44" s="141">
        <v>1</v>
      </c>
      <c r="L44" s="141" t="s">
        <v>695</v>
      </c>
      <c r="M44" s="26" t="s">
        <v>321</v>
      </c>
      <c r="N44" s="2">
        <v>41050</v>
      </c>
      <c r="O44" s="2">
        <v>41054</v>
      </c>
      <c r="P44" s="133">
        <v>41093</v>
      </c>
      <c r="Q44" s="6">
        <v>2</v>
      </c>
      <c r="R44" s="6">
        <v>2</v>
      </c>
      <c r="S44" s="6">
        <v>2</v>
      </c>
      <c r="T44" s="120" t="s">
        <v>178</v>
      </c>
      <c r="U44" s="6">
        <v>2</v>
      </c>
      <c r="V44" s="6" t="s">
        <v>696</v>
      </c>
      <c r="W44" s="5">
        <v>39206</v>
      </c>
      <c r="X44" s="6">
        <v>2</v>
      </c>
      <c r="Y44" s="6">
        <v>2</v>
      </c>
      <c r="Z44" s="6">
        <v>2</v>
      </c>
      <c r="AA44" s="6" t="s">
        <v>178</v>
      </c>
      <c r="AB44" s="6">
        <v>2</v>
      </c>
      <c r="AC44" s="6" t="s">
        <v>180</v>
      </c>
    </row>
    <row r="45" spans="1:29" x14ac:dyDescent="0.25">
      <c r="A45" s="145" t="str">
        <f>HYPERLINK("http://www.ofsted.gov.uk/inspection-reports/find-inspection-report/provider/ELS/50218  ","Ofsted Webpage")</f>
        <v>Ofsted Webpage</v>
      </c>
      <c r="B45" s="151">
        <v>50218</v>
      </c>
      <c r="C45" s="151">
        <v>10002054</v>
      </c>
      <c r="D45" s="46" t="s">
        <v>1154</v>
      </c>
      <c r="E45" s="26" t="s">
        <v>75</v>
      </c>
      <c r="F45" s="26" t="s">
        <v>76</v>
      </c>
      <c r="G45" s="26" t="s">
        <v>192</v>
      </c>
      <c r="H45" s="26" t="s">
        <v>193</v>
      </c>
      <c r="I45" s="26" t="s">
        <v>193</v>
      </c>
      <c r="J45" s="2">
        <v>42439</v>
      </c>
      <c r="K45" s="141">
        <v>1</v>
      </c>
      <c r="L45" s="141" t="s">
        <v>1155</v>
      </c>
      <c r="M45" s="26" t="s">
        <v>549</v>
      </c>
      <c r="N45" s="2">
        <v>40973</v>
      </c>
      <c r="O45" s="2">
        <v>40977</v>
      </c>
      <c r="P45" s="133">
        <v>41016</v>
      </c>
      <c r="Q45" s="6">
        <v>2</v>
      </c>
      <c r="R45" s="6">
        <v>2</v>
      </c>
      <c r="S45" s="6">
        <v>2</v>
      </c>
      <c r="T45" s="120" t="s">
        <v>178</v>
      </c>
      <c r="U45" s="6">
        <v>2</v>
      </c>
      <c r="V45" s="6" t="s">
        <v>1156</v>
      </c>
      <c r="W45" s="5">
        <v>39402</v>
      </c>
      <c r="X45" s="6">
        <v>3</v>
      </c>
      <c r="Y45" s="6">
        <v>2</v>
      </c>
      <c r="Z45" s="6">
        <v>3</v>
      </c>
      <c r="AA45" s="6" t="s">
        <v>178</v>
      </c>
      <c r="AB45" s="6">
        <v>3</v>
      </c>
      <c r="AC45" s="6" t="s">
        <v>216</v>
      </c>
    </row>
    <row r="46" spans="1:29" x14ac:dyDescent="0.25">
      <c r="A46" s="145" t="str">
        <f>HYPERLINK("http://www.ofsted.gov.uk/inspection-reports/find-inspection-report/provider/ELS/50219  ","Ofsted Webpage")</f>
        <v>Ofsted Webpage</v>
      </c>
      <c r="B46" s="151">
        <v>50219</v>
      </c>
      <c r="C46" s="151">
        <v>10002064</v>
      </c>
      <c r="D46" s="46" t="s">
        <v>1157</v>
      </c>
      <c r="E46" s="26" t="s">
        <v>75</v>
      </c>
      <c r="F46" s="26" t="s">
        <v>76</v>
      </c>
      <c r="G46" s="26" t="s">
        <v>586</v>
      </c>
      <c r="H46" s="26" t="s">
        <v>204</v>
      </c>
      <c r="I46" s="26" t="s">
        <v>188</v>
      </c>
      <c r="J46" s="2" t="s">
        <v>72</v>
      </c>
      <c r="K46" s="141" t="s">
        <v>72</v>
      </c>
      <c r="L46" s="141" t="s">
        <v>1158</v>
      </c>
      <c r="M46" s="26" t="s">
        <v>304</v>
      </c>
      <c r="N46" s="2">
        <v>42023</v>
      </c>
      <c r="O46" s="2">
        <v>42027</v>
      </c>
      <c r="P46" s="133">
        <v>42069</v>
      </c>
      <c r="Q46" s="6">
        <v>2</v>
      </c>
      <c r="R46" s="6">
        <v>2</v>
      </c>
      <c r="S46" s="6">
        <v>2</v>
      </c>
      <c r="T46" s="120" t="s">
        <v>178</v>
      </c>
      <c r="U46" s="6">
        <v>2</v>
      </c>
      <c r="V46" s="6" t="s">
        <v>1159</v>
      </c>
      <c r="W46" s="5">
        <v>41558</v>
      </c>
      <c r="X46" s="6">
        <v>3</v>
      </c>
      <c r="Y46" s="6">
        <v>2</v>
      </c>
      <c r="Z46" s="6">
        <v>3</v>
      </c>
      <c r="AA46" s="6" t="s">
        <v>178</v>
      </c>
      <c r="AB46" s="6">
        <v>3</v>
      </c>
      <c r="AC46" s="6" t="s">
        <v>216</v>
      </c>
    </row>
    <row r="47" spans="1:29" x14ac:dyDescent="0.25">
      <c r="A47" s="145" t="str">
        <f>HYPERLINK("http://www.ofsted.gov.uk/inspection-reports/find-inspection-report/provider/ELS/50221  ","Ofsted Webpage")</f>
        <v>Ofsted Webpage</v>
      </c>
      <c r="B47" s="151">
        <v>50221</v>
      </c>
      <c r="C47" s="151">
        <v>10003025</v>
      </c>
      <c r="D47" s="46" t="s">
        <v>558</v>
      </c>
      <c r="E47" s="26" t="s">
        <v>75</v>
      </c>
      <c r="F47" s="26" t="s">
        <v>76</v>
      </c>
      <c r="G47" s="26" t="s">
        <v>455</v>
      </c>
      <c r="H47" s="26" t="s">
        <v>193</v>
      </c>
      <c r="I47" s="26" t="s">
        <v>193</v>
      </c>
      <c r="J47" s="2" t="s">
        <v>72</v>
      </c>
      <c r="K47" s="141" t="s">
        <v>72</v>
      </c>
      <c r="L47" s="141">
        <v>10004868</v>
      </c>
      <c r="M47" s="26" t="s">
        <v>308</v>
      </c>
      <c r="N47" s="2">
        <v>42387</v>
      </c>
      <c r="O47" s="2">
        <v>42390</v>
      </c>
      <c r="P47" s="133">
        <v>42425</v>
      </c>
      <c r="Q47" s="6">
        <v>2</v>
      </c>
      <c r="R47" s="6">
        <v>2</v>
      </c>
      <c r="S47" s="6">
        <v>2</v>
      </c>
      <c r="T47" s="6">
        <v>2</v>
      </c>
      <c r="U47" s="6">
        <v>2</v>
      </c>
      <c r="V47" s="6" t="s">
        <v>559</v>
      </c>
      <c r="W47" s="5">
        <v>41075</v>
      </c>
      <c r="X47" s="6">
        <v>2</v>
      </c>
      <c r="Y47" s="6">
        <v>2</v>
      </c>
      <c r="Z47" s="6">
        <v>2</v>
      </c>
      <c r="AA47" s="6" t="s">
        <v>178</v>
      </c>
      <c r="AB47" s="6">
        <v>2</v>
      </c>
      <c r="AC47" s="6" t="s">
        <v>180</v>
      </c>
    </row>
    <row r="48" spans="1:29" x14ac:dyDescent="0.25">
      <c r="A48" s="145" t="str">
        <f>HYPERLINK("http://www.ofsted.gov.uk/inspection-reports/find-inspection-report/provider/ELS/50227  ","Ofsted Webpage")</f>
        <v>Ofsted Webpage</v>
      </c>
      <c r="B48" s="151">
        <v>50227</v>
      </c>
      <c r="C48" s="151">
        <v>10002910</v>
      </c>
      <c r="D48" s="46" t="s">
        <v>249</v>
      </c>
      <c r="E48" s="26" t="s">
        <v>75</v>
      </c>
      <c r="F48" s="26" t="s">
        <v>76</v>
      </c>
      <c r="G48" s="26" t="s">
        <v>250</v>
      </c>
      <c r="H48" s="26" t="s">
        <v>175</v>
      </c>
      <c r="I48" s="26" t="s">
        <v>175</v>
      </c>
      <c r="J48" s="2">
        <v>43006</v>
      </c>
      <c r="K48" s="141">
        <v>1</v>
      </c>
      <c r="L48" s="141" t="s">
        <v>252</v>
      </c>
      <c r="M48" s="26" t="s">
        <v>549</v>
      </c>
      <c r="N48" s="2">
        <v>41562</v>
      </c>
      <c r="O48" s="2">
        <v>41565</v>
      </c>
      <c r="P48" s="133">
        <v>41600</v>
      </c>
      <c r="Q48" s="6">
        <v>2</v>
      </c>
      <c r="R48" s="6">
        <v>2</v>
      </c>
      <c r="S48" s="6">
        <v>2</v>
      </c>
      <c r="T48" s="120" t="s">
        <v>178</v>
      </c>
      <c r="U48" s="6">
        <v>2</v>
      </c>
      <c r="V48" s="6" t="s">
        <v>550</v>
      </c>
      <c r="W48" s="5">
        <v>39388</v>
      </c>
      <c r="X48" s="6">
        <v>2</v>
      </c>
      <c r="Y48" s="6">
        <v>2</v>
      </c>
      <c r="Z48" s="6">
        <v>3</v>
      </c>
      <c r="AA48" s="6" t="s">
        <v>178</v>
      </c>
      <c r="AB48" s="6">
        <v>2</v>
      </c>
      <c r="AC48" s="6" t="s">
        <v>180</v>
      </c>
    </row>
    <row r="49" spans="1:29" x14ac:dyDescent="0.25">
      <c r="A49" s="145" t="str">
        <f>HYPERLINK("http://www.ofsted.gov.uk/inspection-reports/find-inspection-report/provider/ELS/50229  ","Ofsted Webpage")</f>
        <v>Ofsted Webpage</v>
      </c>
      <c r="B49" s="151">
        <v>50229</v>
      </c>
      <c r="C49" s="151">
        <v>10004727</v>
      </c>
      <c r="D49" s="46" t="s">
        <v>704</v>
      </c>
      <c r="E49" s="26" t="s">
        <v>75</v>
      </c>
      <c r="F49" s="26" t="s">
        <v>76</v>
      </c>
      <c r="G49" s="26" t="s">
        <v>705</v>
      </c>
      <c r="H49" s="26" t="s">
        <v>187</v>
      </c>
      <c r="I49" s="26" t="s">
        <v>188</v>
      </c>
      <c r="J49" s="2" t="s">
        <v>72</v>
      </c>
      <c r="K49" s="141" t="s">
        <v>72</v>
      </c>
      <c r="L49" s="141">
        <v>10022479</v>
      </c>
      <c r="M49" s="26" t="s">
        <v>308</v>
      </c>
      <c r="N49" s="2">
        <v>42892</v>
      </c>
      <c r="O49" s="2">
        <v>42895</v>
      </c>
      <c r="P49" s="133">
        <v>42928</v>
      </c>
      <c r="Q49" s="6">
        <v>3</v>
      </c>
      <c r="R49" s="6">
        <v>3</v>
      </c>
      <c r="S49" s="6">
        <v>3</v>
      </c>
      <c r="T49" s="6">
        <v>3</v>
      </c>
      <c r="U49" s="6">
        <v>3</v>
      </c>
      <c r="V49" s="6" t="s">
        <v>706</v>
      </c>
      <c r="W49" s="5">
        <v>41950</v>
      </c>
      <c r="X49" s="6">
        <v>2</v>
      </c>
      <c r="Y49" s="6">
        <v>2</v>
      </c>
      <c r="Z49" s="6">
        <v>2</v>
      </c>
      <c r="AA49" s="6" t="s">
        <v>178</v>
      </c>
      <c r="AB49" s="6">
        <v>2</v>
      </c>
      <c r="AC49" s="6" t="s">
        <v>201</v>
      </c>
    </row>
    <row r="50" spans="1:29" x14ac:dyDescent="0.25">
      <c r="A50" s="145" t="str">
        <f>HYPERLINK("http://www.ofsted.gov.uk/inspection-reports/find-inspection-report/provider/ELS/50230  ","Ofsted Webpage")</f>
        <v>Ofsted Webpage</v>
      </c>
      <c r="B50" s="151">
        <v>50230</v>
      </c>
      <c r="C50" s="151">
        <v>10000239</v>
      </c>
      <c r="D50" s="46" t="s">
        <v>1007</v>
      </c>
      <c r="E50" s="26" t="s">
        <v>77</v>
      </c>
      <c r="F50" s="26" t="s">
        <v>76</v>
      </c>
      <c r="G50" s="26" t="s">
        <v>299</v>
      </c>
      <c r="H50" s="26" t="s">
        <v>175</v>
      </c>
      <c r="I50" s="26" t="s">
        <v>175</v>
      </c>
      <c r="J50" s="2">
        <v>42634</v>
      </c>
      <c r="K50" s="141">
        <v>1</v>
      </c>
      <c r="L50" s="141" t="s">
        <v>1008</v>
      </c>
      <c r="M50" s="26" t="s">
        <v>321</v>
      </c>
      <c r="N50" s="2">
        <v>41058</v>
      </c>
      <c r="O50" s="2">
        <v>41061</v>
      </c>
      <c r="P50" s="133">
        <v>41100</v>
      </c>
      <c r="Q50" s="6">
        <v>2</v>
      </c>
      <c r="R50" s="6">
        <v>2</v>
      </c>
      <c r="S50" s="6">
        <v>2</v>
      </c>
      <c r="T50" s="120" t="s">
        <v>178</v>
      </c>
      <c r="U50" s="6">
        <v>2</v>
      </c>
      <c r="V50" s="6" t="s">
        <v>1009</v>
      </c>
      <c r="W50" s="5">
        <v>39262</v>
      </c>
      <c r="X50" s="6">
        <v>2</v>
      </c>
      <c r="Y50" s="6">
        <v>2</v>
      </c>
      <c r="Z50" s="6">
        <v>2</v>
      </c>
      <c r="AA50" s="6" t="s">
        <v>178</v>
      </c>
      <c r="AB50" s="6">
        <v>2</v>
      </c>
      <c r="AC50" s="6" t="s">
        <v>180</v>
      </c>
    </row>
    <row r="51" spans="1:29" x14ac:dyDescent="0.25">
      <c r="A51" s="145" t="str">
        <f>HYPERLINK("http://www.ofsted.gov.uk/inspection-reports/find-inspection-report/provider/ELS/50237  ","Ofsted Webpage")</f>
        <v>Ofsted Webpage</v>
      </c>
      <c r="B51" s="151">
        <v>50237</v>
      </c>
      <c r="C51" s="151">
        <v>10006335</v>
      </c>
      <c r="D51" s="46" t="s">
        <v>1417</v>
      </c>
      <c r="E51" s="26" t="s">
        <v>75</v>
      </c>
      <c r="F51" s="26" t="s">
        <v>76</v>
      </c>
      <c r="G51" s="26" t="s">
        <v>608</v>
      </c>
      <c r="H51" s="26" t="s">
        <v>238</v>
      </c>
      <c r="I51" s="26" t="s">
        <v>238</v>
      </c>
      <c r="J51" s="2" t="s">
        <v>72</v>
      </c>
      <c r="K51" s="141" t="s">
        <v>72</v>
      </c>
      <c r="L51" s="141">
        <v>10011466</v>
      </c>
      <c r="M51" s="26" t="s">
        <v>308</v>
      </c>
      <c r="N51" s="2">
        <v>42493</v>
      </c>
      <c r="O51" s="2">
        <v>42496</v>
      </c>
      <c r="P51" s="133">
        <v>42521</v>
      </c>
      <c r="Q51" s="6">
        <v>3</v>
      </c>
      <c r="R51" s="6">
        <v>3</v>
      </c>
      <c r="S51" s="6">
        <v>3</v>
      </c>
      <c r="T51" s="6">
        <v>3</v>
      </c>
      <c r="U51" s="6">
        <v>3</v>
      </c>
      <c r="V51" s="6" t="s">
        <v>1418</v>
      </c>
      <c r="W51" s="5">
        <v>40711</v>
      </c>
      <c r="X51" s="6">
        <v>2</v>
      </c>
      <c r="Y51" s="6">
        <v>2</v>
      </c>
      <c r="Z51" s="6">
        <v>2</v>
      </c>
      <c r="AA51" s="6" t="s">
        <v>178</v>
      </c>
      <c r="AB51" s="6">
        <v>2</v>
      </c>
      <c r="AC51" s="6" t="s">
        <v>201</v>
      </c>
    </row>
    <row r="52" spans="1:29" x14ac:dyDescent="0.25">
      <c r="A52" s="145" t="str">
        <f>HYPERLINK("http://www.ofsted.gov.uk/inspection-reports/find-inspection-report/provider/ELS/50243  ","Ofsted Webpage")</f>
        <v>Ofsted Webpage</v>
      </c>
      <c r="B52" s="151">
        <v>50243</v>
      </c>
      <c r="C52" s="151">
        <v>10007002</v>
      </c>
      <c r="D52" s="46" t="s">
        <v>2740</v>
      </c>
      <c r="E52" s="26" t="s">
        <v>78</v>
      </c>
      <c r="F52" s="26" t="s">
        <v>79</v>
      </c>
      <c r="G52" s="26" t="s">
        <v>640</v>
      </c>
      <c r="H52" s="26" t="s">
        <v>238</v>
      </c>
      <c r="I52" s="26" t="s">
        <v>238</v>
      </c>
      <c r="J52" s="2" t="s">
        <v>72</v>
      </c>
      <c r="K52" s="141" t="s">
        <v>72</v>
      </c>
      <c r="L52" s="141">
        <v>10019113</v>
      </c>
      <c r="M52" s="26" t="s">
        <v>211</v>
      </c>
      <c r="N52" s="2">
        <v>42555</v>
      </c>
      <c r="O52" s="2">
        <v>42558</v>
      </c>
      <c r="P52" s="133">
        <v>42585</v>
      </c>
      <c r="Q52" s="6">
        <v>2</v>
      </c>
      <c r="R52" s="6">
        <v>2</v>
      </c>
      <c r="S52" s="6">
        <v>2</v>
      </c>
      <c r="T52" s="6">
        <v>2</v>
      </c>
      <c r="U52" s="6">
        <v>2</v>
      </c>
      <c r="V52" s="6" t="s">
        <v>2741</v>
      </c>
      <c r="W52" s="5">
        <v>41775</v>
      </c>
      <c r="X52" s="6">
        <v>2</v>
      </c>
      <c r="Y52" s="6">
        <v>2</v>
      </c>
      <c r="Z52" s="6">
        <v>2</v>
      </c>
      <c r="AA52" s="6" t="s">
        <v>178</v>
      </c>
      <c r="AB52" s="6">
        <v>2</v>
      </c>
      <c r="AC52" s="6" t="s">
        <v>180</v>
      </c>
    </row>
    <row r="53" spans="1:29" x14ac:dyDescent="0.25">
      <c r="A53" s="145" t="str">
        <f>HYPERLINK("http://www.ofsted.gov.uk/inspection-reports/find-inspection-report/provider/ELS/50244  ","Ofsted Webpage")</f>
        <v>Ofsted Webpage</v>
      </c>
      <c r="B53" s="151">
        <v>50244</v>
      </c>
      <c r="C53" s="151">
        <v>10007013</v>
      </c>
      <c r="D53" s="46" t="s">
        <v>2511</v>
      </c>
      <c r="E53" s="26" t="s">
        <v>78</v>
      </c>
      <c r="F53" s="26" t="s">
        <v>79</v>
      </c>
      <c r="G53" s="26" t="s">
        <v>247</v>
      </c>
      <c r="H53" s="26" t="s">
        <v>238</v>
      </c>
      <c r="I53" s="26" t="s">
        <v>238</v>
      </c>
      <c r="J53" s="2">
        <v>42531</v>
      </c>
      <c r="K53" s="141">
        <v>1</v>
      </c>
      <c r="L53" s="141" t="s">
        <v>2512</v>
      </c>
      <c r="M53" s="26" t="s">
        <v>445</v>
      </c>
      <c r="N53" s="2">
        <v>40882</v>
      </c>
      <c r="O53" s="2">
        <v>40886</v>
      </c>
      <c r="P53" s="133">
        <v>40929</v>
      </c>
      <c r="Q53" s="6">
        <v>2</v>
      </c>
      <c r="R53" s="6">
        <v>2</v>
      </c>
      <c r="S53" s="6">
        <v>2</v>
      </c>
      <c r="T53" s="120" t="s">
        <v>178</v>
      </c>
      <c r="U53" s="6">
        <v>2</v>
      </c>
      <c r="V53" s="6" t="s">
        <v>2513</v>
      </c>
      <c r="W53" s="5">
        <v>39296</v>
      </c>
      <c r="X53" s="6">
        <v>2</v>
      </c>
      <c r="Y53" s="6">
        <v>2</v>
      </c>
      <c r="Z53" s="6">
        <v>2</v>
      </c>
      <c r="AA53" s="6" t="s">
        <v>178</v>
      </c>
      <c r="AB53" s="6">
        <v>2</v>
      </c>
      <c r="AC53" s="6" t="s">
        <v>180</v>
      </c>
    </row>
    <row r="54" spans="1:29" x14ac:dyDescent="0.25">
      <c r="A54" s="145" t="str">
        <f>HYPERLINK("http://www.ofsted.gov.uk/inspection-reports/find-inspection-report/provider/ELS/50245  ","Ofsted Webpage")</f>
        <v>Ofsted Webpage</v>
      </c>
      <c r="B54" s="151">
        <v>50245</v>
      </c>
      <c r="C54" s="151">
        <v>10007528</v>
      </c>
      <c r="D54" s="46" t="s">
        <v>726</v>
      </c>
      <c r="E54" s="26" t="s">
        <v>75</v>
      </c>
      <c r="F54" s="26" t="s">
        <v>76</v>
      </c>
      <c r="G54" s="26" t="s">
        <v>294</v>
      </c>
      <c r="H54" s="26" t="s">
        <v>198</v>
      </c>
      <c r="I54" s="26" t="s">
        <v>198</v>
      </c>
      <c r="J54" s="2" t="s">
        <v>72</v>
      </c>
      <c r="K54" s="141" t="s">
        <v>72</v>
      </c>
      <c r="L54" s="141">
        <v>10020100</v>
      </c>
      <c r="M54" s="26" t="s">
        <v>308</v>
      </c>
      <c r="N54" s="2">
        <v>42661</v>
      </c>
      <c r="O54" s="2">
        <v>42664</v>
      </c>
      <c r="P54" s="133">
        <v>42705</v>
      </c>
      <c r="Q54" s="6">
        <v>4</v>
      </c>
      <c r="R54" s="6">
        <v>4</v>
      </c>
      <c r="S54" s="6">
        <v>4</v>
      </c>
      <c r="T54" s="6">
        <v>3</v>
      </c>
      <c r="U54" s="6">
        <v>4</v>
      </c>
      <c r="V54" s="6" t="s">
        <v>727</v>
      </c>
      <c r="W54" s="5">
        <v>40627</v>
      </c>
      <c r="X54" s="6">
        <v>2</v>
      </c>
      <c r="Y54" s="6">
        <v>2</v>
      </c>
      <c r="Z54" s="6">
        <v>2</v>
      </c>
      <c r="AA54" s="6" t="s">
        <v>178</v>
      </c>
      <c r="AB54" s="6">
        <v>2</v>
      </c>
      <c r="AC54" s="6" t="s">
        <v>201</v>
      </c>
    </row>
    <row r="55" spans="1:29" x14ac:dyDescent="0.25">
      <c r="A55" s="145" t="str">
        <f>HYPERLINK("http://www.ofsted.gov.uk/inspection-reports/find-inspection-report/provider/ELS/50246  ","Ofsted Webpage")</f>
        <v>Ofsted Webpage</v>
      </c>
      <c r="B55" s="151">
        <v>50246</v>
      </c>
      <c r="C55" s="151">
        <v>10007567</v>
      </c>
      <c r="D55" s="46" t="s">
        <v>560</v>
      </c>
      <c r="E55" s="26" t="s">
        <v>75</v>
      </c>
      <c r="F55" s="26" t="s">
        <v>76</v>
      </c>
      <c r="G55" s="26" t="s">
        <v>561</v>
      </c>
      <c r="H55" s="26" t="s">
        <v>219</v>
      </c>
      <c r="I55" s="26" t="s">
        <v>219</v>
      </c>
      <c r="J55" s="2" t="s">
        <v>72</v>
      </c>
      <c r="K55" s="141" t="s">
        <v>72</v>
      </c>
      <c r="L55" s="141">
        <v>10011468</v>
      </c>
      <c r="M55" s="26" t="s">
        <v>562</v>
      </c>
      <c r="N55" s="2">
        <v>42556</v>
      </c>
      <c r="O55" s="2">
        <v>42559</v>
      </c>
      <c r="P55" s="133">
        <v>42590</v>
      </c>
      <c r="Q55" s="6">
        <v>2</v>
      </c>
      <c r="R55" s="6">
        <v>2</v>
      </c>
      <c r="S55" s="6">
        <v>2</v>
      </c>
      <c r="T55" s="6">
        <v>2</v>
      </c>
      <c r="U55" s="6">
        <v>2</v>
      </c>
      <c r="V55" s="6" t="s">
        <v>563</v>
      </c>
      <c r="W55" s="5">
        <v>41956</v>
      </c>
      <c r="X55" s="6">
        <v>3</v>
      </c>
      <c r="Y55" s="6">
        <v>3</v>
      </c>
      <c r="Z55" s="6">
        <v>2</v>
      </c>
      <c r="AA55" s="6" t="s">
        <v>178</v>
      </c>
      <c r="AB55" s="6">
        <v>3</v>
      </c>
      <c r="AC55" s="6" t="s">
        <v>216</v>
      </c>
    </row>
    <row r="56" spans="1:29" x14ac:dyDescent="0.25">
      <c r="A56" s="145" t="str">
        <f>HYPERLINK("http://www.ofsted.gov.uk/inspection-reports/find-inspection-report/provider/ELS/50257  ","Ofsted Webpage")</f>
        <v>Ofsted Webpage</v>
      </c>
      <c r="B56" s="151">
        <v>50257</v>
      </c>
      <c r="C56" s="151">
        <v>10000020</v>
      </c>
      <c r="D56" s="46" t="s">
        <v>1775</v>
      </c>
      <c r="E56" s="26" t="s">
        <v>78</v>
      </c>
      <c r="F56" s="26" t="s">
        <v>79</v>
      </c>
      <c r="G56" s="26" t="s">
        <v>546</v>
      </c>
      <c r="H56" s="26" t="s">
        <v>175</v>
      </c>
      <c r="I56" s="26" t="s">
        <v>175</v>
      </c>
      <c r="J56" s="2">
        <v>43042</v>
      </c>
      <c r="K56" s="141">
        <v>1</v>
      </c>
      <c r="L56" s="141" t="s">
        <v>1776</v>
      </c>
      <c r="M56" s="26" t="s">
        <v>333</v>
      </c>
      <c r="N56" s="2">
        <v>41855</v>
      </c>
      <c r="O56" s="2">
        <v>41859</v>
      </c>
      <c r="P56" s="133">
        <v>41911</v>
      </c>
      <c r="Q56" s="6">
        <v>2</v>
      </c>
      <c r="R56" s="6">
        <v>2</v>
      </c>
      <c r="S56" s="6">
        <v>2</v>
      </c>
      <c r="T56" s="120" t="s">
        <v>178</v>
      </c>
      <c r="U56" s="6">
        <v>2</v>
      </c>
      <c r="V56" s="6" t="s">
        <v>1777</v>
      </c>
      <c r="W56" s="5">
        <v>39710</v>
      </c>
      <c r="X56" s="6">
        <v>1</v>
      </c>
      <c r="Y56" s="6">
        <v>1</v>
      </c>
      <c r="Z56" s="6">
        <v>2</v>
      </c>
      <c r="AA56" s="6" t="s">
        <v>178</v>
      </c>
      <c r="AB56" s="6">
        <v>1</v>
      </c>
      <c r="AC56" s="6" t="s">
        <v>201</v>
      </c>
    </row>
    <row r="57" spans="1:29" x14ac:dyDescent="0.25">
      <c r="A57" s="145" t="str">
        <f>HYPERLINK("http://www.ofsted.gov.uk/inspection-reports/find-inspection-report/provider/ELS/50262  ","Ofsted Webpage")</f>
        <v>Ofsted Webpage</v>
      </c>
      <c r="B57" s="151">
        <v>50262</v>
      </c>
      <c r="C57" s="151">
        <v>10000028</v>
      </c>
      <c r="D57" s="46" t="s">
        <v>2397</v>
      </c>
      <c r="E57" s="26" t="s">
        <v>78</v>
      </c>
      <c r="F57" s="26" t="s">
        <v>79</v>
      </c>
      <c r="G57" s="26" t="s">
        <v>461</v>
      </c>
      <c r="H57" s="26" t="s">
        <v>187</v>
      </c>
      <c r="I57" s="26" t="s">
        <v>188</v>
      </c>
      <c r="J57" s="2" t="s">
        <v>72</v>
      </c>
      <c r="K57" s="141" t="s">
        <v>72</v>
      </c>
      <c r="L57" s="141">
        <v>10040419</v>
      </c>
      <c r="M57" s="26" t="s">
        <v>183</v>
      </c>
      <c r="N57" s="2">
        <v>42968</v>
      </c>
      <c r="O57" s="2">
        <v>42971</v>
      </c>
      <c r="P57" s="133">
        <v>43000</v>
      </c>
      <c r="Q57" s="6">
        <v>3</v>
      </c>
      <c r="R57" s="6">
        <v>3</v>
      </c>
      <c r="S57" s="6">
        <v>3</v>
      </c>
      <c r="T57" s="6">
        <v>3</v>
      </c>
      <c r="U57" s="6">
        <v>3</v>
      </c>
      <c r="V57" s="6" t="s">
        <v>2398</v>
      </c>
      <c r="W57" s="5">
        <v>41929</v>
      </c>
      <c r="X57" s="6">
        <v>2</v>
      </c>
      <c r="Y57" s="6">
        <v>2</v>
      </c>
      <c r="Z57" s="6">
        <v>2</v>
      </c>
      <c r="AA57" s="6" t="s">
        <v>178</v>
      </c>
      <c r="AB57" s="6">
        <v>2</v>
      </c>
      <c r="AC57" s="6" t="s">
        <v>201</v>
      </c>
    </row>
    <row r="58" spans="1:29" x14ac:dyDescent="0.25">
      <c r="A58" s="145" t="str">
        <f>HYPERLINK("http://www.ofsted.gov.uk/inspection-reports/find-inspection-report/provider/ELS/50303  ","Ofsted Webpage")</f>
        <v>Ofsted Webpage</v>
      </c>
      <c r="B58" s="151">
        <v>50303</v>
      </c>
      <c r="C58" s="151">
        <v>10000060</v>
      </c>
      <c r="D58" s="46" t="s">
        <v>2526</v>
      </c>
      <c r="E58" s="26" t="s">
        <v>78</v>
      </c>
      <c r="F58" s="26" t="s">
        <v>79</v>
      </c>
      <c r="G58" s="26" t="s">
        <v>775</v>
      </c>
      <c r="H58" s="26" t="s">
        <v>198</v>
      </c>
      <c r="I58" s="26" t="s">
        <v>198</v>
      </c>
      <c r="J58" s="2" t="s">
        <v>72</v>
      </c>
      <c r="K58" s="141" t="s">
        <v>72</v>
      </c>
      <c r="L58" s="141" t="s">
        <v>2527</v>
      </c>
      <c r="M58" s="26" t="s">
        <v>466</v>
      </c>
      <c r="N58" s="2">
        <v>41813</v>
      </c>
      <c r="O58" s="2">
        <v>41817</v>
      </c>
      <c r="P58" s="133">
        <v>41864</v>
      </c>
      <c r="Q58" s="6">
        <v>2</v>
      </c>
      <c r="R58" s="6">
        <v>2</v>
      </c>
      <c r="S58" s="6">
        <v>2</v>
      </c>
      <c r="T58" s="120" t="s">
        <v>178</v>
      </c>
      <c r="U58" s="6">
        <v>2</v>
      </c>
      <c r="V58" s="6" t="s">
        <v>2528</v>
      </c>
      <c r="W58" s="5">
        <v>40774</v>
      </c>
      <c r="X58" s="6">
        <v>2</v>
      </c>
      <c r="Y58" s="6">
        <v>2</v>
      </c>
      <c r="Z58" s="6">
        <v>2</v>
      </c>
      <c r="AA58" s="6" t="s">
        <v>178</v>
      </c>
      <c r="AB58" s="6">
        <v>2</v>
      </c>
      <c r="AC58" s="6" t="s">
        <v>180</v>
      </c>
    </row>
    <row r="59" spans="1:29" x14ac:dyDescent="0.25">
      <c r="A59" s="145" t="str">
        <f>HYPERLINK("http://www.ofsted.gov.uk/inspection-reports/find-inspection-report/provider/ELS/50304  ","Ofsted Webpage")</f>
        <v>Ofsted Webpage</v>
      </c>
      <c r="B59" s="151">
        <v>50304</v>
      </c>
      <c r="C59" s="151">
        <v>10000061</v>
      </c>
      <c r="D59" s="46" t="s">
        <v>2529</v>
      </c>
      <c r="E59" s="26" t="s">
        <v>78</v>
      </c>
      <c r="F59" s="26" t="s">
        <v>79</v>
      </c>
      <c r="G59" s="26" t="s">
        <v>530</v>
      </c>
      <c r="H59" s="26" t="s">
        <v>193</v>
      </c>
      <c r="I59" s="26" t="s">
        <v>193</v>
      </c>
      <c r="J59" s="2" t="s">
        <v>72</v>
      </c>
      <c r="K59" s="141" t="s">
        <v>72</v>
      </c>
      <c r="L59" s="141">
        <v>10004873</v>
      </c>
      <c r="M59" s="26" t="s">
        <v>864</v>
      </c>
      <c r="N59" s="2">
        <v>42388</v>
      </c>
      <c r="O59" s="2">
        <v>42391</v>
      </c>
      <c r="P59" s="133">
        <v>42416</v>
      </c>
      <c r="Q59" s="6">
        <v>2</v>
      </c>
      <c r="R59" s="6">
        <v>2</v>
      </c>
      <c r="S59" s="6">
        <v>2</v>
      </c>
      <c r="T59" s="6">
        <v>2</v>
      </c>
      <c r="U59" s="6">
        <v>2</v>
      </c>
      <c r="V59" s="6" t="s">
        <v>2530</v>
      </c>
      <c r="W59" s="5">
        <v>41915</v>
      </c>
      <c r="X59" s="6">
        <v>3</v>
      </c>
      <c r="Y59" s="6">
        <v>3</v>
      </c>
      <c r="Z59" s="6">
        <v>3</v>
      </c>
      <c r="AA59" s="6" t="s">
        <v>178</v>
      </c>
      <c r="AB59" s="6">
        <v>3</v>
      </c>
      <c r="AC59" s="6" t="s">
        <v>216</v>
      </c>
    </row>
    <row r="60" spans="1:29" x14ac:dyDescent="0.25">
      <c r="A60" s="145" t="str">
        <f>HYPERLINK("http://www.ofsted.gov.uk/inspection-reports/find-inspection-report/provider/ELS/50305  ","Ofsted Webpage")</f>
        <v>Ofsted Webpage</v>
      </c>
      <c r="B60" s="151">
        <v>50305</v>
      </c>
      <c r="C60" s="151">
        <v>10000191</v>
      </c>
      <c r="D60" s="46" t="s">
        <v>2531</v>
      </c>
      <c r="E60" s="26" t="s">
        <v>78</v>
      </c>
      <c r="F60" s="26" t="s">
        <v>79</v>
      </c>
      <c r="G60" s="26" t="s">
        <v>182</v>
      </c>
      <c r="H60" s="26" t="s">
        <v>175</v>
      </c>
      <c r="I60" s="26" t="s">
        <v>175</v>
      </c>
      <c r="J60" s="2" t="s">
        <v>72</v>
      </c>
      <c r="K60" s="141" t="s">
        <v>72</v>
      </c>
      <c r="L60" s="141" t="s">
        <v>2532</v>
      </c>
      <c r="M60" s="26" t="s">
        <v>342</v>
      </c>
      <c r="N60" s="2">
        <v>41849</v>
      </c>
      <c r="O60" s="2">
        <v>41852</v>
      </c>
      <c r="P60" s="133">
        <v>41899</v>
      </c>
      <c r="Q60" s="6">
        <v>2</v>
      </c>
      <c r="R60" s="6">
        <v>2</v>
      </c>
      <c r="S60" s="6">
        <v>2</v>
      </c>
      <c r="T60" s="120" t="s">
        <v>178</v>
      </c>
      <c r="U60" s="6">
        <v>2</v>
      </c>
      <c r="V60" s="6" t="s">
        <v>2533</v>
      </c>
      <c r="W60" s="5">
        <v>41313</v>
      </c>
      <c r="X60" s="6">
        <v>3</v>
      </c>
      <c r="Y60" s="6">
        <v>3</v>
      </c>
      <c r="Z60" s="6">
        <v>3</v>
      </c>
      <c r="AA60" s="6" t="s">
        <v>178</v>
      </c>
      <c r="AB60" s="6">
        <v>3</v>
      </c>
      <c r="AC60" s="6" t="s">
        <v>216</v>
      </c>
    </row>
    <row r="61" spans="1:29" x14ac:dyDescent="0.25">
      <c r="A61" s="145" t="str">
        <f>HYPERLINK("http://www.ofsted.gov.uk/inspection-reports/find-inspection-report/provider/ELS/50308  ","Ofsted Webpage")</f>
        <v>Ofsted Webpage</v>
      </c>
      <c r="B61" s="151">
        <v>50308</v>
      </c>
      <c r="C61" s="151">
        <v>10000248</v>
      </c>
      <c r="D61" s="46" t="s">
        <v>1683</v>
      </c>
      <c r="E61" s="26" t="s">
        <v>85</v>
      </c>
      <c r="F61" s="26" t="s">
        <v>86</v>
      </c>
      <c r="G61" s="26" t="s">
        <v>1186</v>
      </c>
      <c r="H61" s="26" t="s">
        <v>175</v>
      </c>
      <c r="I61" s="26" t="s">
        <v>175</v>
      </c>
      <c r="J61" s="2" t="s">
        <v>72</v>
      </c>
      <c r="K61" s="141" t="s">
        <v>72</v>
      </c>
      <c r="L61" s="141">
        <v>10004874</v>
      </c>
      <c r="M61" s="26" t="s">
        <v>605</v>
      </c>
      <c r="N61" s="2">
        <v>42298</v>
      </c>
      <c r="O61" s="2">
        <v>42299</v>
      </c>
      <c r="P61" s="133">
        <v>42325</v>
      </c>
      <c r="Q61" s="6">
        <v>2</v>
      </c>
      <c r="R61" s="6">
        <v>2</v>
      </c>
      <c r="S61" s="6">
        <v>2</v>
      </c>
      <c r="T61" s="6">
        <v>2</v>
      </c>
      <c r="U61" s="6">
        <v>2</v>
      </c>
      <c r="V61" s="6" t="s">
        <v>1684</v>
      </c>
      <c r="W61" s="5">
        <v>40939</v>
      </c>
      <c r="X61" s="6" t="s">
        <v>178</v>
      </c>
      <c r="Y61" s="6" t="s">
        <v>178</v>
      </c>
      <c r="Z61" s="6" t="s">
        <v>178</v>
      </c>
      <c r="AA61" s="6" t="s">
        <v>178</v>
      </c>
      <c r="AB61" s="6" t="s">
        <v>178</v>
      </c>
      <c r="AC61" s="6" t="s">
        <v>208</v>
      </c>
    </row>
    <row r="62" spans="1:29" x14ac:dyDescent="0.25">
      <c r="A62" s="145" t="str">
        <f>HYPERLINK("http://www.ofsted.gov.uk/inspection-reports/find-inspection-report/provider/ELS/50313  ","Ofsted Webpage")</f>
        <v>Ofsted Webpage</v>
      </c>
      <c r="B62" s="151">
        <v>50313</v>
      </c>
      <c r="C62" s="151">
        <v>10000080</v>
      </c>
      <c r="D62" s="46" t="s">
        <v>2535</v>
      </c>
      <c r="E62" s="26" t="s">
        <v>78</v>
      </c>
      <c r="F62" s="26" t="s">
        <v>79</v>
      </c>
      <c r="G62" s="26" t="s">
        <v>223</v>
      </c>
      <c r="H62" s="26" t="s">
        <v>193</v>
      </c>
      <c r="I62" s="26" t="s">
        <v>193</v>
      </c>
      <c r="J62" s="2" t="s">
        <v>72</v>
      </c>
      <c r="K62" s="141" t="s">
        <v>72</v>
      </c>
      <c r="L62" s="141">
        <v>10004875</v>
      </c>
      <c r="M62" s="26" t="s">
        <v>183</v>
      </c>
      <c r="N62" s="2">
        <v>42507</v>
      </c>
      <c r="O62" s="2">
        <v>42510</v>
      </c>
      <c r="P62" s="133">
        <v>42542</v>
      </c>
      <c r="Q62" s="6">
        <v>2</v>
      </c>
      <c r="R62" s="6">
        <v>2</v>
      </c>
      <c r="S62" s="6">
        <v>2</v>
      </c>
      <c r="T62" s="6">
        <v>2</v>
      </c>
      <c r="U62" s="6">
        <v>2</v>
      </c>
      <c r="V62" s="6" t="s">
        <v>2536</v>
      </c>
      <c r="W62" s="5">
        <v>41341</v>
      </c>
      <c r="X62" s="6">
        <v>2</v>
      </c>
      <c r="Y62" s="6">
        <v>2</v>
      </c>
      <c r="Z62" s="6">
        <v>2</v>
      </c>
      <c r="AA62" s="6" t="s">
        <v>178</v>
      </c>
      <c r="AB62" s="6">
        <v>2</v>
      </c>
      <c r="AC62" s="6" t="s">
        <v>180</v>
      </c>
    </row>
    <row r="63" spans="1:29" x14ac:dyDescent="0.25">
      <c r="A63" s="145" t="str">
        <f>HYPERLINK("http://www.ofsted.gov.uk/inspection-reports/find-inspection-report/provider/ELS/50314  ","Ofsted Webpage")</f>
        <v>Ofsted Webpage</v>
      </c>
      <c r="B63" s="151">
        <v>50314</v>
      </c>
      <c r="C63" s="151">
        <v>10009059</v>
      </c>
      <c r="D63" s="46" t="s">
        <v>2637</v>
      </c>
      <c r="E63" s="26" t="s">
        <v>78</v>
      </c>
      <c r="F63" s="26" t="s">
        <v>79</v>
      </c>
      <c r="G63" s="26" t="s">
        <v>1269</v>
      </c>
      <c r="H63" s="26" t="s">
        <v>204</v>
      </c>
      <c r="I63" s="26" t="s">
        <v>188</v>
      </c>
      <c r="J63" s="2" t="s">
        <v>72</v>
      </c>
      <c r="K63" s="141" t="s">
        <v>72</v>
      </c>
      <c r="L63" s="141" t="s">
        <v>2638</v>
      </c>
      <c r="M63" s="26" t="s">
        <v>466</v>
      </c>
      <c r="N63" s="2">
        <v>42177</v>
      </c>
      <c r="O63" s="2">
        <v>42181</v>
      </c>
      <c r="P63" s="133">
        <v>42207</v>
      </c>
      <c r="Q63" s="6">
        <v>2</v>
      </c>
      <c r="R63" s="6">
        <v>2</v>
      </c>
      <c r="S63" s="6">
        <v>2</v>
      </c>
      <c r="T63" s="120" t="s">
        <v>178</v>
      </c>
      <c r="U63" s="6">
        <v>2</v>
      </c>
      <c r="V63" s="6" t="s">
        <v>2639</v>
      </c>
      <c r="W63" s="5">
        <v>40942</v>
      </c>
      <c r="X63" s="6">
        <v>2</v>
      </c>
      <c r="Y63" s="6">
        <v>2</v>
      </c>
      <c r="Z63" s="6">
        <v>2</v>
      </c>
      <c r="AA63" s="6" t="s">
        <v>178</v>
      </c>
      <c r="AB63" s="6">
        <v>2</v>
      </c>
      <c r="AC63" s="6" t="s">
        <v>180</v>
      </c>
    </row>
    <row r="64" spans="1:29" x14ac:dyDescent="0.25">
      <c r="A64" s="145" t="str">
        <f>HYPERLINK("http://www.ofsted.gov.uk/inspection-reports/find-inspection-report/provider/ELS/50315  ","Ofsted Webpage")</f>
        <v>Ofsted Webpage</v>
      </c>
      <c r="B64" s="151">
        <v>50315</v>
      </c>
      <c r="C64" s="151">
        <v>10000082</v>
      </c>
      <c r="D64" s="46" t="s">
        <v>2521</v>
      </c>
      <c r="E64" s="26" t="s">
        <v>78</v>
      </c>
      <c r="F64" s="26" t="s">
        <v>79</v>
      </c>
      <c r="G64" s="26" t="s">
        <v>1269</v>
      </c>
      <c r="H64" s="26" t="s">
        <v>204</v>
      </c>
      <c r="I64" s="26" t="s">
        <v>188</v>
      </c>
      <c r="J64" s="2">
        <v>42788</v>
      </c>
      <c r="K64" s="141">
        <v>1</v>
      </c>
      <c r="L64" s="141" t="s">
        <v>2522</v>
      </c>
      <c r="M64" s="26" t="s">
        <v>333</v>
      </c>
      <c r="N64" s="2">
        <v>41407</v>
      </c>
      <c r="O64" s="2">
        <v>41411</v>
      </c>
      <c r="P64" s="119">
        <v>41445</v>
      </c>
      <c r="Q64" s="6">
        <v>2</v>
      </c>
      <c r="R64" s="6">
        <v>2</v>
      </c>
      <c r="S64" s="6">
        <v>2</v>
      </c>
      <c r="T64" s="120" t="s">
        <v>178</v>
      </c>
      <c r="U64" s="6">
        <v>2</v>
      </c>
      <c r="V64" s="6" t="s">
        <v>2523</v>
      </c>
      <c r="W64" s="5">
        <v>39898</v>
      </c>
      <c r="X64" s="6">
        <v>2</v>
      </c>
      <c r="Y64" s="6">
        <v>2</v>
      </c>
      <c r="Z64" s="6">
        <v>2</v>
      </c>
      <c r="AA64" s="6" t="s">
        <v>178</v>
      </c>
      <c r="AB64" s="6">
        <v>2</v>
      </c>
      <c r="AC64" s="6" t="s">
        <v>180</v>
      </c>
    </row>
    <row r="65" spans="1:29" x14ac:dyDescent="0.25">
      <c r="A65" s="145" t="str">
        <f>HYPERLINK("http://www.ofsted.gov.uk/inspection-reports/find-inspection-report/provider/ELS/50322  ","Ofsted Webpage")</f>
        <v>Ofsted Webpage</v>
      </c>
      <c r="B65" s="151">
        <v>50322</v>
      </c>
      <c r="C65" s="151">
        <v>10000099</v>
      </c>
      <c r="D65" s="46" t="s">
        <v>2644</v>
      </c>
      <c r="E65" s="26" t="s">
        <v>78</v>
      </c>
      <c r="F65" s="26" t="s">
        <v>79</v>
      </c>
      <c r="G65" s="26" t="s">
        <v>775</v>
      </c>
      <c r="H65" s="26" t="s">
        <v>198</v>
      </c>
      <c r="I65" s="26" t="s">
        <v>198</v>
      </c>
      <c r="J65" s="2">
        <v>42390</v>
      </c>
      <c r="K65" s="141">
        <v>1</v>
      </c>
      <c r="L65" s="141" t="s">
        <v>2645</v>
      </c>
      <c r="M65" s="26" t="s">
        <v>445</v>
      </c>
      <c r="N65" s="2">
        <v>40728</v>
      </c>
      <c r="O65" s="2">
        <v>40732</v>
      </c>
      <c r="P65" s="133">
        <v>40765</v>
      </c>
      <c r="Q65" s="6">
        <v>2</v>
      </c>
      <c r="R65" s="6">
        <v>2</v>
      </c>
      <c r="S65" s="6">
        <v>2</v>
      </c>
      <c r="T65" s="120" t="s">
        <v>178</v>
      </c>
      <c r="U65" s="6">
        <v>2</v>
      </c>
      <c r="V65" s="6" t="s">
        <v>72</v>
      </c>
      <c r="W65" s="5" t="s">
        <v>72</v>
      </c>
      <c r="X65" s="6" t="s">
        <v>72</v>
      </c>
      <c r="Y65" s="6" t="s">
        <v>72</v>
      </c>
      <c r="Z65" s="6" t="s">
        <v>72</v>
      </c>
      <c r="AA65" s="6" t="s">
        <v>72</v>
      </c>
      <c r="AB65" s="6" t="s">
        <v>72</v>
      </c>
      <c r="AC65" s="6" t="s">
        <v>208</v>
      </c>
    </row>
    <row r="66" spans="1:29" x14ac:dyDescent="0.25">
      <c r="A66" s="145" t="str">
        <f>HYPERLINK("http://www.ofsted.gov.uk/inspection-reports/find-inspection-report/provider/ELS/50349  ","Ofsted Webpage")</f>
        <v>Ofsted Webpage</v>
      </c>
      <c r="B66" s="151">
        <v>50349</v>
      </c>
      <c r="C66" s="151">
        <v>10007111</v>
      </c>
      <c r="D66" s="46" t="s">
        <v>2648</v>
      </c>
      <c r="E66" s="26" t="s">
        <v>78</v>
      </c>
      <c r="F66" s="26" t="s">
        <v>79</v>
      </c>
      <c r="G66" s="26" t="s">
        <v>662</v>
      </c>
      <c r="H66" s="26" t="s">
        <v>219</v>
      </c>
      <c r="I66" s="26" t="s">
        <v>219</v>
      </c>
      <c r="J66" s="2" t="s">
        <v>72</v>
      </c>
      <c r="K66" s="141" t="s">
        <v>72</v>
      </c>
      <c r="L66" s="141" t="s">
        <v>2649</v>
      </c>
      <c r="M66" s="26" t="s">
        <v>304</v>
      </c>
      <c r="N66" s="2">
        <v>41772</v>
      </c>
      <c r="O66" s="2">
        <v>41774</v>
      </c>
      <c r="P66" s="133">
        <v>41810</v>
      </c>
      <c r="Q66" s="6">
        <v>2</v>
      </c>
      <c r="R66" s="6">
        <v>2</v>
      </c>
      <c r="S66" s="6">
        <v>2</v>
      </c>
      <c r="T66" s="120" t="s">
        <v>178</v>
      </c>
      <c r="U66" s="6">
        <v>2</v>
      </c>
      <c r="V66" s="6" t="s">
        <v>2650</v>
      </c>
      <c r="W66" s="5">
        <v>41313</v>
      </c>
      <c r="X66" s="6">
        <v>3</v>
      </c>
      <c r="Y66" s="6">
        <v>3</v>
      </c>
      <c r="Z66" s="6">
        <v>3</v>
      </c>
      <c r="AA66" s="6" t="s">
        <v>178</v>
      </c>
      <c r="AB66" s="6">
        <v>3</v>
      </c>
      <c r="AC66" s="6" t="s">
        <v>216</v>
      </c>
    </row>
    <row r="67" spans="1:29" x14ac:dyDescent="0.25">
      <c r="A67" s="145" t="str">
        <f>HYPERLINK("http://www.ofsted.gov.uk/inspection-reports/find-inspection-report/provider/ELS/50376  ","Ofsted Webpage")</f>
        <v>Ofsted Webpage</v>
      </c>
      <c r="B67" s="151">
        <v>50376</v>
      </c>
      <c r="C67" s="151">
        <v>10000201</v>
      </c>
      <c r="D67" s="46" t="s">
        <v>1904</v>
      </c>
      <c r="E67" s="26" t="s">
        <v>78</v>
      </c>
      <c r="F67" s="26" t="s">
        <v>79</v>
      </c>
      <c r="G67" s="26" t="s">
        <v>247</v>
      </c>
      <c r="H67" s="26" t="s">
        <v>238</v>
      </c>
      <c r="I67" s="26" t="s">
        <v>238</v>
      </c>
      <c r="J67" s="2">
        <v>42411</v>
      </c>
      <c r="K67" s="141">
        <v>1</v>
      </c>
      <c r="L67" s="141" t="s">
        <v>1905</v>
      </c>
      <c r="M67" s="26" t="s">
        <v>445</v>
      </c>
      <c r="N67" s="2">
        <v>40518</v>
      </c>
      <c r="O67" s="2">
        <v>40522</v>
      </c>
      <c r="P67" s="133">
        <v>40562</v>
      </c>
      <c r="Q67" s="6">
        <v>2</v>
      </c>
      <c r="R67" s="6">
        <v>2</v>
      </c>
      <c r="S67" s="6">
        <v>2</v>
      </c>
      <c r="T67" s="120" t="s">
        <v>178</v>
      </c>
      <c r="U67" s="6">
        <v>2</v>
      </c>
      <c r="V67" s="6" t="s">
        <v>72</v>
      </c>
      <c r="W67" s="5" t="s">
        <v>72</v>
      </c>
      <c r="X67" s="6" t="s">
        <v>72</v>
      </c>
      <c r="Y67" s="6" t="s">
        <v>72</v>
      </c>
      <c r="Z67" s="6" t="s">
        <v>72</v>
      </c>
      <c r="AA67" s="6" t="s">
        <v>72</v>
      </c>
      <c r="AB67" s="6" t="s">
        <v>72</v>
      </c>
      <c r="AC67" s="6" t="s">
        <v>208</v>
      </c>
    </row>
    <row r="68" spans="1:29" x14ac:dyDescent="0.25">
      <c r="A68" s="145" t="str">
        <f>HYPERLINK("http://www.ofsted.gov.uk/inspection-reports/find-inspection-report/provider/ELS/50387  ","Ofsted Webpage")</f>
        <v>Ofsted Webpage</v>
      </c>
      <c r="B68" s="151">
        <v>50387</v>
      </c>
      <c r="C68" s="151">
        <v>10000238</v>
      </c>
      <c r="D68" s="46" t="s">
        <v>876</v>
      </c>
      <c r="E68" s="26" t="s">
        <v>77</v>
      </c>
      <c r="F68" s="26" t="s">
        <v>76</v>
      </c>
      <c r="G68" s="26" t="s">
        <v>640</v>
      </c>
      <c r="H68" s="26" t="s">
        <v>238</v>
      </c>
      <c r="I68" s="26" t="s">
        <v>238</v>
      </c>
      <c r="J68" s="2">
        <v>42879</v>
      </c>
      <c r="K68" s="141">
        <v>1</v>
      </c>
      <c r="L68" s="141" t="s">
        <v>877</v>
      </c>
      <c r="M68" s="26" t="s">
        <v>333</v>
      </c>
      <c r="N68" s="2">
        <v>41456</v>
      </c>
      <c r="O68" s="2">
        <v>41460</v>
      </c>
      <c r="P68" s="133">
        <v>41495</v>
      </c>
      <c r="Q68" s="6">
        <v>2</v>
      </c>
      <c r="R68" s="6">
        <v>2</v>
      </c>
      <c r="S68" s="6">
        <v>2</v>
      </c>
      <c r="T68" s="120" t="s">
        <v>178</v>
      </c>
      <c r="U68" s="6">
        <v>2</v>
      </c>
      <c r="V68" s="6" t="s">
        <v>878</v>
      </c>
      <c r="W68" s="5">
        <v>40403</v>
      </c>
      <c r="X68" s="6">
        <v>3</v>
      </c>
      <c r="Y68" s="6">
        <v>3</v>
      </c>
      <c r="Z68" s="6">
        <v>3</v>
      </c>
      <c r="AA68" s="6" t="s">
        <v>178</v>
      </c>
      <c r="AB68" s="6">
        <v>3</v>
      </c>
      <c r="AC68" s="6" t="s">
        <v>216</v>
      </c>
    </row>
    <row r="69" spans="1:29" x14ac:dyDescent="0.25">
      <c r="A69" s="145" t="str">
        <f>HYPERLINK("http://www.ofsted.gov.uk/inspection-reports/find-inspection-report/provider/ELS/50410  ","Ofsted Webpage")</f>
        <v>Ofsted Webpage</v>
      </c>
      <c r="B69" s="151">
        <v>50410</v>
      </c>
      <c r="C69" s="151">
        <v>10023918</v>
      </c>
      <c r="D69" s="46" t="s">
        <v>2425</v>
      </c>
      <c r="E69" s="26" t="s">
        <v>78</v>
      </c>
      <c r="F69" s="26" t="s">
        <v>79</v>
      </c>
      <c r="G69" s="26" t="s">
        <v>504</v>
      </c>
      <c r="H69" s="26" t="s">
        <v>214</v>
      </c>
      <c r="I69" s="26" t="s">
        <v>214</v>
      </c>
      <c r="J69" s="2" t="s">
        <v>72</v>
      </c>
      <c r="K69" s="141" t="s">
        <v>72</v>
      </c>
      <c r="L69" s="141">
        <v>10011469</v>
      </c>
      <c r="M69" s="26" t="s">
        <v>475</v>
      </c>
      <c r="N69" s="2">
        <v>42759</v>
      </c>
      <c r="O69" s="2">
        <v>42762</v>
      </c>
      <c r="P69" s="133">
        <v>42788</v>
      </c>
      <c r="Q69" s="6">
        <v>2</v>
      </c>
      <c r="R69" s="6">
        <v>3</v>
      </c>
      <c r="S69" s="6">
        <v>2</v>
      </c>
      <c r="T69" s="6">
        <v>2</v>
      </c>
      <c r="U69" s="6">
        <v>2</v>
      </c>
      <c r="V69" s="6" t="s">
        <v>2426</v>
      </c>
      <c r="W69" s="5">
        <v>42040</v>
      </c>
      <c r="X69" s="6">
        <v>3</v>
      </c>
      <c r="Y69" s="6">
        <v>3</v>
      </c>
      <c r="Z69" s="6">
        <v>3</v>
      </c>
      <c r="AA69" s="6" t="s">
        <v>178</v>
      </c>
      <c r="AB69" s="6">
        <v>3</v>
      </c>
      <c r="AC69" s="6" t="s">
        <v>216</v>
      </c>
    </row>
    <row r="70" spans="1:29" x14ac:dyDescent="0.25">
      <c r="A70" s="145" t="str">
        <f>HYPERLINK("http://www.ofsted.gov.uk/inspection-reports/find-inspection-report/provider/ELS/50411  ","Ofsted Webpage")</f>
        <v>Ofsted Webpage</v>
      </c>
      <c r="B70" s="151">
        <v>50411</v>
      </c>
      <c r="C70" s="151">
        <v>10000285</v>
      </c>
      <c r="D70" s="46" t="s">
        <v>2224</v>
      </c>
      <c r="E70" s="26" t="s">
        <v>78</v>
      </c>
      <c r="F70" s="26" t="s">
        <v>79</v>
      </c>
      <c r="G70" s="26" t="s">
        <v>247</v>
      </c>
      <c r="H70" s="26" t="s">
        <v>238</v>
      </c>
      <c r="I70" s="26" t="s">
        <v>238</v>
      </c>
      <c r="J70" s="2" t="s">
        <v>72</v>
      </c>
      <c r="K70" s="141" t="s">
        <v>72</v>
      </c>
      <c r="L70" s="141">
        <v>10030789</v>
      </c>
      <c r="M70" s="26" t="s">
        <v>211</v>
      </c>
      <c r="N70" s="2">
        <v>42906</v>
      </c>
      <c r="O70" s="2">
        <v>42909</v>
      </c>
      <c r="P70" s="133">
        <v>42940</v>
      </c>
      <c r="Q70" s="6">
        <v>2</v>
      </c>
      <c r="R70" s="6">
        <v>2</v>
      </c>
      <c r="S70" s="6">
        <v>2</v>
      </c>
      <c r="T70" s="6">
        <v>1</v>
      </c>
      <c r="U70" s="6">
        <v>2</v>
      </c>
      <c r="V70" s="6" t="s">
        <v>2225</v>
      </c>
      <c r="W70" s="5">
        <v>39339</v>
      </c>
      <c r="X70" s="6">
        <v>1</v>
      </c>
      <c r="Y70" s="6">
        <v>1</v>
      </c>
      <c r="Z70" s="6">
        <v>1</v>
      </c>
      <c r="AA70" s="6" t="s">
        <v>178</v>
      </c>
      <c r="AB70" s="6">
        <v>2</v>
      </c>
      <c r="AC70" s="6" t="s">
        <v>201</v>
      </c>
    </row>
    <row r="71" spans="1:29" x14ac:dyDescent="0.25">
      <c r="A71" s="145" t="str">
        <f>HYPERLINK("http://www.ofsted.gov.uk/inspection-reports/find-inspection-report/provider/ELS/50442  ","Ofsted Webpage")</f>
        <v>Ofsted Webpage</v>
      </c>
      <c r="B71" s="151">
        <v>50442</v>
      </c>
      <c r="C71" s="151">
        <v>10000348</v>
      </c>
      <c r="D71" s="46" t="s">
        <v>2230</v>
      </c>
      <c r="E71" s="26" t="s">
        <v>78</v>
      </c>
      <c r="F71" s="26" t="s">
        <v>79</v>
      </c>
      <c r="G71" s="26" t="s">
        <v>223</v>
      </c>
      <c r="H71" s="26" t="s">
        <v>193</v>
      </c>
      <c r="I71" s="26" t="s">
        <v>193</v>
      </c>
      <c r="J71" s="2" t="s">
        <v>72</v>
      </c>
      <c r="K71" s="141" t="s">
        <v>72</v>
      </c>
      <c r="L71" s="141">
        <v>10030711</v>
      </c>
      <c r="M71" s="26" t="s">
        <v>211</v>
      </c>
      <c r="N71" s="2">
        <v>42913</v>
      </c>
      <c r="O71" s="2">
        <v>42916</v>
      </c>
      <c r="P71" s="133">
        <v>42935</v>
      </c>
      <c r="Q71" s="6">
        <v>3</v>
      </c>
      <c r="R71" s="6">
        <v>3</v>
      </c>
      <c r="S71" s="6">
        <v>3</v>
      </c>
      <c r="T71" s="6">
        <v>3</v>
      </c>
      <c r="U71" s="6">
        <v>3</v>
      </c>
      <c r="V71" s="6" t="s">
        <v>2231</v>
      </c>
      <c r="W71" s="5">
        <v>42132</v>
      </c>
      <c r="X71" s="6">
        <v>2</v>
      </c>
      <c r="Y71" s="6">
        <v>2</v>
      </c>
      <c r="Z71" s="6">
        <v>2</v>
      </c>
      <c r="AA71" s="6" t="s">
        <v>178</v>
      </c>
      <c r="AB71" s="6">
        <v>2</v>
      </c>
      <c r="AC71" s="6" t="s">
        <v>201</v>
      </c>
    </row>
    <row r="72" spans="1:29" x14ac:dyDescent="0.25">
      <c r="A72" s="145" t="str">
        <f>HYPERLINK("http://www.ofsted.gov.uk/inspection-reports/find-inspection-report/provider/ELS/50525  ","Ofsted Webpage")</f>
        <v>Ofsted Webpage</v>
      </c>
      <c r="B72" s="151">
        <v>50525</v>
      </c>
      <c r="C72" s="151">
        <v>10008074</v>
      </c>
      <c r="D72" s="46" t="s">
        <v>1685</v>
      </c>
      <c r="E72" s="26" t="s">
        <v>85</v>
      </c>
      <c r="F72" s="26" t="s">
        <v>86</v>
      </c>
      <c r="G72" s="26" t="s">
        <v>1199</v>
      </c>
      <c r="H72" s="26" t="s">
        <v>287</v>
      </c>
      <c r="I72" s="26" t="s">
        <v>287</v>
      </c>
      <c r="J72" s="2" t="s">
        <v>72</v>
      </c>
      <c r="K72" s="141" t="s">
        <v>72</v>
      </c>
      <c r="L72" s="141">
        <v>10004879</v>
      </c>
      <c r="M72" s="26" t="s">
        <v>605</v>
      </c>
      <c r="N72" s="2">
        <v>42312</v>
      </c>
      <c r="O72" s="2">
        <v>42313</v>
      </c>
      <c r="P72" s="133">
        <v>42335</v>
      </c>
      <c r="Q72" s="6">
        <v>1</v>
      </c>
      <c r="R72" s="6">
        <v>1</v>
      </c>
      <c r="S72" s="6">
        <v>1</v>
      </c>
      <c r="T72" s="6">
        <v>1</v>
      </c>
      <c r="U72" s="6">
        <v>1</v>
      </c>
      <c r="V72" s="6" t="s">
        <v>1686</v>
      </c>
      <c r="W72" s="5">
        <v>40934</v>
      </c>
      <c r="X72" s="6" t="s">
        <v>178</v>
      </c>
      <c r="Y72" s="6" t="s">
        <v>178</v>
      </c>
      <c r="Z72" s="6" t="s">
        <v>178</v>
      </c>
      <c r="AA72" s="6" t="s">
        <v>178</v>
      </c>
      <c r="AB72" s="6" t="s">
        <v>178</v>
      </c>
      <c r="AC72" s="6" t="s">
        <v>208</v>
      </c>
    </row>
    <row r="73" spans="1:29" x14ac:dyDescent="0.25">
      <c r="A73" s="145" t="str">
        <f>HYPERLINK("http://www.ofsted.gov.uk/inspection-reports/find-inspection-report/provider/ELS/50527  ","Ofsted Webpage")</f>
        <v>Ofsted Webpage</v>
      </c>
      <c r="B73" s="151">
        <v>50527</v>
      </c>
      <c r="C73" s="151">
        <v>10000381</v>
      </c>
      <c r="D73" s="46" t="s">
        <v>1687</v>
      </c>
      <c r="E73" s="26" t="s">
        <v>85</v>
      </c>
      <c r="F73" s="26" t="s">
        <v>86</v>
      </c>
      <c r="G73" s="26" t="s">
        <v>379</v>
      </c>
      <c r="H73" s="26" t="s">
        <v>175</v>
      </c>
      <c r="I73" s="26" t="s">
        <v>175</v>
      </c>
      <c r="J73" s="2" t="s">
        <v>72</v>
      </c>
      <c r="K73" s="141" t="s">
        <v>72</v>
      </c>
      <c r="L73" s="141">
        <v>10004880</v>
      </c>
      <c r="M73" s="26" t="s">
        <v>605</v>
      </c>
      <c r="N73" s="2">
        <v>42319</v>
      </c>
      <c r="O73" s="2">
        <v>42320</v>
      </c>
      <c r="P73" s="133">
        <v>42341</v>
      </c>
      <c r="Q73" s="6">
        <v>1</v>
      </c>
      <c r="R73" s="6">
        <v>1</v>
      </c>
      <c r="S73" s="6">
        <v>1</v>
      </c>
      <c r="T73" s="6">
        <v>1</v>
      </c>
      <c r="U73" s="6">
        <v>1</v>
      </c>
      <c r="V73" s="6" t="s">
        <v>1688</v>
      </c>
      <c r="W73" s="5">
        <v>40920</v>
      </c>
      <c r="X73" s="6" t="s">
        <v>178</v>
      </c>
      <c r="Y73" s="6" t="s">
        <v>178</v>
      </c>
      <c r="Z73" s="6" t="s">
        <v>178</v>
      </c>
      <c r="AA73" s="6" t="s">
        <v>178</v>
      </c>
      <c r="AB73" s="6" t="s">
        <v>178</v>
      </c>
      <c r="AC73" s="6" t="s">
        <v>208</v>
      </c>
    </row>
    <row r="74" spans="1:29" x14ac:dyDescent="0.25">
      <c r="A74" s="145" t="str">
        <f>HYPERLINK("http://www.ofsted.gov.uk/inspection-reports/find-inspection-report/provider/ELS/50537  ","Ofsted Webpage")</f>
        <v>Ofsted Webpage</v>
      </c>
      <c r="B74" s="151">
        <v>50537</v>
      </c>
      <c r="C74" s="151">
        <v>10000417</v>
      </c>
      <c r="D74" s="46" t="s">
        <v>263</v>
      </c>
      <c r="E74" s="26" t="s">
        <v>78</v>
      </c>
      <c r="F74" s="26" t="s">
        <v>79</v>
      </c>
      <c r="G74" s="26" t="s">
        <v>230</v>
      </c>
      <c r="H74" s="26" t="s">
        <v>187</v>
      </c>
      <c r="I74" s="26" t="s">
        <v>188</v>
      </c>
      <c r="J74" s="2" t="s">
        <v>72</v>
      </c>
      <c r="K74" s="141" t="s">
        <v>72</v>
      </c>
      <c r="L74" s="141" t="s">
        <v>72</v>
      </c>
      <c r="M74" s="26" t="s">
        <v>72</v>
      </c>
      <c r="N74" s="2" t="s">
        <v>72</v>
      </c>
      <c r="O74" s="2" t="s">
        <v>72</v>
      </c>
      <c r="P74" s="133" t="s">
        <v>72</v>
      </c>
      <c r="Q74" s="6" t="s">
        <v>72</v>
      </c>
      <c r="R74" s="6" t="s">
        <v>72</v>
      </c>
      <c r="S74" s="6" t="s">
        <v>72</v>
      </c>
      <c r="T74" s="6" t="s">
        <v>72</v>
      </c>
      <c r="U74" s="6" t="s">
        <v>72</v>
      </c>
      <c r="V74" s="6" t="s">
        <v>72</v>
      </c>
      <c r="W74" s="5" t="s">
        <v>72</v>
      </c>
      <c r="X74" s="6" t="s">
        <v>72</v>
      </c>
      <c r="Y74" s="6" t="s">
        <v>72</v>
      </c>
      <c r="Z74" s="6" t="s">
        <v>72</v>
      </c>
      <c r="AA74" s="6" t="s">
        <v>72</v>
      </c>
      <c r="AB74" s="6" t="s">
        <v>72</v>
      </c>
      <c r="AC74" s="6" t="s">
        <v>72</v>
      </c>
    </row>
    <row r="75" spans="1:29" x14ac:dyDescent="0.25">
      <c r="A75" s="145" t="str">
        <f>HYPERLINK("http://www.ofsted.gov.uk/inspection-reports/find-inspection-report/provider/ELS/50544  ","Ofsted Webpage")</f>
        <v>Ofsted Webpage</v>
      </c>
      <c r="B75" s="151">
        <v>50544</v>
      </c>
      <c r="C75" s="151">
        <v>10000427</v>
      </c>
      <c r="D75" s="46" t="s">
        <v>2140</v>
      </c>
      <c r="E75" s="26" t="s">
        <v>78</v>
      </c>
      <c r="F75" s="26" t="s">
        <v>79</v>
      </c>
      <c r="G75" s="26" t="s">
        <v>237</v>
      </c>
      <c r="H75" s="26" t="s">
        <v>238</v>
      </c>
      <c r="I75" s="26" t="s">
        <v>238</v>
      </c>
      <c r="J75" s="2" t="s">
        <v>72</v>
      </c>
      <c r="K75" s="141" t="s">
        <v>72</v>
      </c>
      <c r="L75" s="141">
        <v>10004881</v>
      </c>
      <c r="M75" s="26" t="s">
        <v>183</v>
      </c>
      <c r="N75" s="2">
        <v>42402</v>
      </c>
      <c r="O75" s="2">
        <v>42405</v>
      </c>
      <c r="P75" s="133">
        <v>42438</v>
      </c>
      <c r="Q75" s="6">
        <v>2</v>
      </c>
      <c r="R75" s="6">
        <v>2</v>
      </c>
      <c r="S75" s="6">
        <v>2</v>
      </c>
      <c r="T75" s="6">
        <v>2</v>
      </c>
      <c r="U75" s="6">
        <v>2</v>
      </c>
      <c r="V75" s="6" t="s">
        <v>2141</v>
      </c>
      <c r="W75" s="5">
        <v>40137</v>
      </c>
      <c r="X75" s="6">
        <v>2</v>
      </c>
      <c r="Y75" s="6">
        <v>1</v>
      </c>
      <c r="Z75" s="6">
        <v>2</v>
      </c>
      <c r="AA75" s="6" t="s">
        <v>178</v>
      </c>
      <c r="AB75" s="6">
        <v>2</v>
      </c>
      <c r="AC75" s="6" t="s">
        <v>180</v>
      </c>
    </row>
    <row r="76" spans="1:29" x14ac:dyDescent="0.25">
      <c r="A76" s="145" t="str">
        <f>HYPERLINK("http://www.ofsted.gov.uk/inspection-reports/find-inspection-report/provider/ELS/50579  ","Ofsted Webpage")</f>
        <v>Ofsted Webpage</v>
      </c>
      <c r="B76" s="151">
        <v>50579</v>
      </c>
      <c r="C76" s="151">
        <v>10000470</v>
      </c>
      <c r="D76" s="46" t="s">
        <v>1032</v>
      </c>
      <c r="E76" s="26" t="s">
        <v>78</v>
      </c>
      <c r="F76" s="26" t="s">
        <v>79</v>
      </c>
      <c r="G76" s="26" t="s">
        <v>530</v>
      </c>
      <c r="H76" s="26" t="s">
        <v>193</v>
      </c>
      <c r="I76" s="26" t="s">
        <v>193</v>
      </c>
      <c r="J76" s="2" t="s">
        <v>72</v>
      </c>
      <c r="K76" s="141" t="s">
        <v>72</v>
      </c>
      <c r="L76" s="141" t="s">
        <v>1033</v>
      </c>
      <c r="M76" s="26" t="s">
        <v>333</v>
      </c>
      <c r="N76" s="2">
        <v>40883</v>
      </c>
      <c r="O76" s="2">
        <v>40886</v>
      </c>
      <c r="P76" s="133">
        <v>40926</v>
      </c>
      <c r="Q76" s="6">
        <v>1</v>
      </c>
      <c r="R76" s="6">
        <v>1</v>
      </c>
      <c r="S76" s="6">
        <v>1</v>
      </c>
      <c r="T76" s="120" t="s">
        <v>178</v>
      </c>
      <c r="U76" s="6">
        <v>1</v>
      </c>
      <c r="V76" s="6" t="s">
        <v>1034</v>
      </c>
      <c r="W76" s="5">
        <v>38989</v>
      </c>
      <c r="X76" s="6">
        <v>2</v>
      </c>
      <c r="Y76" s="6" t="s">
        <v>178</v>
      </c>
      <c r="Z76" s="6" t="s">
        <v>178</v>
      </c>
      <c r="AA76" s="6" t="s">
        <v>178</v>
      </c>
      <c r="AB76" s="6">
        <v>2</v>
      </c>
      <c r="AC76" s="6" t="s">
        <v>216</v>
      </c>
    </row>
    <row r="77" spans="1:29" x14ac:dyDescent="0.25">
      <c r="A77" s="145" t="str">
        <f>HYPERLINK("http://www.ofsted.gov.uk/inspection-reports/find-inspection-report/provider/ELS/50580  ","Ofsted Webpage")</f>
        <v>Ofsted Webpage</v>
      </c>
      <c r="B77" s="151">
        <v>50580</v>
      </c>
      <c r="C77" s="151">
        <v>10000476</v>
      </c>
      <c r="D77" s="46" t="s">
        <v>975</v>
      </c>
      <c r="E77" s="26" t="s">
        <v>77</v>
      </c>
      <c r="F77" s="26" t="s">
        <v>76</v>
      </c>
      <c r="G77" s="26" t="s">
        <v>273</v>
      </c>
      <c r="H77" s="26" t="s">
        <v>219</v>
      </c>
      <c r="I77" s="26" t="s">
        <v>219</v>
      </c>
      <c r="J77" s="2">
        <v>42383</v>
      </c>
      <c r="K77" s="141">
        <v>1</v>
      </c>
      <c r="L77" s="141" t="s">
        <v>976</v>
      </c>
      <c r="M77" s="26" t="s">
        <v>445</v>
      </c>
      <c r="N77" s="2">
        <v>40378</v>
      </c>
      <c r="O77" s="2">
        <v>40382</v>
      </c>
      <c r="P77" s="133">
        <v>40417</v>
      </c>
      <c r="Q77" s="6">
        <v>2</v>
      </c>
      <c r="R77" s="6">
        <v>2</v>
      </c>
      <c r="S77" s="6">
        <v>2</v>
      </c>
      <c r="T77" s="120" t="s">
        <v>178</v>
      </c>
      <c r="U77" s="6">
        <v>2</v>
      </c>
      <c r="V77" s="6" t="s">
        <v>977</v>
      </c>
      <c r="W77" s="5">
        <v>38835</v>
      </c>
      <c r="X77" s="6">
        <v>3</v>
      </c>
      <c r="Y77" s="6" t="s">
        <v>178</v>
      </c>
      <c r="Z77" s="6" t="s">
        <v>178</v>
      </c>
      <c r="AA77" s="6" t="s">
        <v>178</v>
      </c>
      <c r="AB77" s="6">
        <v>2</v>
      </c>
      <c r="AC77" s="6" t="s">
        <v>216</v>
      </c>
    </row>
    <row r="78" spans="1:29" x14ac:dyDescent="0.25">
      <c r="A78" s="145" t="str">
        <f>HYPERLINK("http://www.ofsted.gov.uk/inspection-reports/find-inspection-report/provider/ELS/50582  ","Ofsted Webpage")</f>
        <v>Ofsted Webpage</v>
      </c>
      <c r="B78" s="151">
        <v>50582</v>
      </c>
      <c r="C78" s="151">
        <v>10005781</v>
      </c>
      <c r="D78" s="46" t="s">
        <v>978</v>
      </c>
      <c r="E78" s="26" t="s">
        <v>77</v>
      </c>
      <c r="F78" s="26" t="s">
        <v>76</v>
      </c>
      <c r="G78" s="26" t="s">
        <v>723</v>
      </c>
      <c r="H78" s="26" t="s">
        <v>204</v>
      </c>
      <c r="I78" s="26" t="s">
        <v>188</v>
      </c>
      <c r="J78" s="2" t="s">
        <v>72</v>
      </c>
      <c r="K78" s="141" t="s">
        <v>72</v>
      </c>
      <c r="L78" s="141" t="s">
        <v>979</v>
      </c>
      <c r="M78" s="26" t="s">
        <v>342</v>
      </c>
      <c r="N78" s="2">
        <v>41800</v>
      </c>
      <c r="O78" s="2">
        <v>41802</v>
      </c>
      <c r="P78" s="119">
        <v>41835</v>
      </c>
      <c r="Q78" s="6">
        <v>2</v>
      </c>
      <c r="R78" s="6">
        <v>2</v>
      </c>
      <c r="S78" s="6">
        <v>2</v>
      </c>
      <c r="T78" s="120" t="s">
        <v>178</v>
      </c>
      <c r="U78" s="6">
        <v>2</v>
      </c>
      <c r="V78" s="6" t="s">
        <v>980</v>
      </c>
      <c r="W78" s="5">
        <v>41360</v>
      </c>
      <c r="X78" s="6">
        <v>3</v>
      </c>
      <c r="Y78" s="6">
        <v>2</v>
      </c>
      <c r="Z78" s="6">
        <v>3</v>
      </c>
      <c r="AA78" s="6" t="s">
        <v>178</v>
      </c>
      <c r="AB78" s="6">
        <v>3</v>
      </c>
      <c r="AC78" s="6" t="s">
        <v>216</v>
      </c>
    </row>
    <row r="79" spans="1:29" x14ac:dyDescent="0.25">
      <c r="A79" s="145" t="str">
        <f>HYPERLINK("http://www.ofsted.gov.uk/inspection-reports/find-inspection-report/provider/ELS/50584  ","Ofsted Webpage")</f>
        <v>Ofsted Webpage</v>
      </c>
      <c r="B79" s="151">
        <v>50584</v>
      </c>
      <c r="C79" s="151">
        <v>10000486</v>
      </c>
      <c r="D79" s="46" t="s">
        <v>1035</v>
      </c>
      <c r="E79" s="26" t="s">
        <v>78</v>
      </c>
      <c r="F79" s="26" t="s">
        <v>79</v>
      </c>
      <c r="G79" s="26" t="s">
        <v>319</v>
      </c>
      <c r="H79" s="26" t="s">
        <v>204</v>
      </c>
      <c r="I79" s="26" t="s">
        <v>188</v>
      </c>
      <c r="J79" s="2" t="s">
        <v>72</v>
      </c>
      <c r="K79" s="141" t="s">
        <v>72</v>
      </c>
      <c r="L79" s="141" t="s">
        <v>1036</v>
      </c>
      <c r="M79" s="26" t="s">
        <v>466</v>
      </c>
      <c r="N79" s="2">
        <v>42170</v>
      </c>
      <c r="O79" s="2">
        <v>42174</v>
      </c>
      <c r="P79" s="119">
        <v>42206</v>
      </c>
      <c r="Q79" s="6">
        <v>2</v>
      </c>
      <c r="R79" s="6">
        <v>2</v>
      </c>
      <c r="S79" s="6">
        <v>2</v>
      </c>
      <c r="T79" s="120" t="s">
        <v>178</v>
      </c>
      <c r="U79" s="6">
        <v>2</v>
      </c>
      <c r="V79" s="6" t="s">
        <v>1037</v>
      </c>
      <c r="W79" s="5">
        <v>40949</v>
      </c>
      <c r="X79" s="6">
        <v>2</v>
      </c>
      <c r="Y79" s="6">
        <v>2</v>
      </c>
      <c r="Z79" s="6">
        <v>2</v>
      </c>
      <c r="AA79" s="6" t="s">
        <v>178</v>
      </c>
      <c r="AB79" s="6">
        <v>2</v>
      </c>
      <c r="AC79" s="6" t="s">
        <v>180</v>
      </c>
    </row>
    <row r="80" spans="1:29" x14ac:dyDescent="0.25">
      <c r="A80" s="145" t="str">
        <f>HYPERLINK("http://www.ofsted.gov.uk/inspection-reports/find-inspection-report/provider/ELS/50585  ","Ofsted Webpage")</f>
        <v>Ofsted Webpage</v>
      </c>
      <c r="B80" s="151">
        <v>50585</v>
      </c>
      <c r="C80" s="151">
        <v>10000488</v>
      </c>
      <c r="D80" s="46" t="s">
        <v>1038</v>
      </c>
      <c r="E80" s="26" t="s">
        <v>78</v>
      </c>
      <c r="F80" s="26" t="s">
        <v>79</v>
      </c>
      <c r="G80" s="26" t="s">
        <v>319</v>
      </c>
      <c r="H80" s="26" t="s">
        <v>204</v>
      </c>
      <c r="I80" s="26" t="s">
        <v>188</v>
      </c>
      <c r="J80" s="2" t="s">
        <v>72</v>
      </c>
      <c r="K80" s="141" t="s">
        <v>72</v>
      </c>
      <c r="L80" s="141">
        <v>10004882</v>
      </c>
      <c r="M80" s="26" t="s">
        <v>864</v>
      </c>
      <c r="N80" s="2">
        <v>42339</v>
      </c>
      <c r="O80" s="2">
        <v>42342</v>
      </c>
      <c r="P80" s="133">
        <v>42373</v>
      </c>
      <c r="Q80" s="6">
        <v>2</v>
      </c>
      <c r="R80" s="6">
        <v>2</v>
      </c>
      <c r="S80" s="6">
        <v>2</v>
      </c>
      <c r="T80" s="6">
        <v>2</v>
      </c>
      <c r="U80" s="6">
        <v>2</v>
      </c>
      <c r="V80" s="6" t="s">
        <v>1039</v>
      </c>
      <c r="W80" s="5">
        <v>41838</v>
      </c>
      <c r="X80" s="6">
        <v>3</v>
      </c>
      <c r="Y80" s="6">
        <v>3</v>
      </c>
      <c r="Z80" s="6">
        <v>3</v>
      </c>
      <c r="AA80" s="6" t="s">
        <v>178</v>
      </c>
      <c r="AB80" s="6">
        <v>3</v>
      </c>
      <c r="AC80" s="6" t="s">
        <v>216</v>
      </c>
    </row>
    <row r="81" spans="1:29" x14ac:dyDescent="0.25">
      <c r="A81" s="145" t="str">
        <f>HYPERLINK("http://www.ofsted.gov.uk/inspection-reports/find-inspection-report/provider/ELS/50586  ","Ofsted Webpage")</f>
        <v>Ofsted Webpage</v>
      </c>
      <c r="B81" s="151">
        <v>50586</v>
      </c>
      <c r="C81" s="151">
        <v>10000494</v>
      </c>
      <c r="D81" s="46" t="s">
        <v>1785</v>
      </c>
      <c r="E81" s="26" t="s">
        <v>78</v>
      </c>
      <c r="F81" s="26" t="s">
        <v>79</v>
      </c>
      <c r="G81" s="26" t="s">
        <v>340</v>
      </c>
      <c r="H81" s="26" t="s">
        <v>214</v>
      </c>
      <c r="I81" s="26" t="s">
        <v>214</v>
      </c>
      <c r="J81" s="2" t="s">
        <v>72</v>
      </c>
      <c r="K81" s="141" t="s">
        <v>72</v>
      </c>
      <c r="L81" s="141" t="s">
        <v>1786</v>
      </c>
      <c r="M81" s="26" t="s">
        <v>333</v>
      </c>
      <c r="N81" s="2">
        <v>42065</v>
      </c>
      <c r="O81" s="2">
        <v>42069</v>
      </c>
      <c r="P81" s="133">
        <v>42101</v>
      </c>
      <c r="Q81" s="6">
        <v>2</v>
      </c>
      <c r="R81" s="6">
        <v>2</v>
      </c>
      <c r="S81" s="6">
        <v>2</v>
      </c>
      <c r="T81" s="120" t="s">
        <v>178</v>
      </c>
      <c r="U81" s="6">
        <v>2</v>
      </c>
      <c r="V81" s="6" t="s">
        <v>1787</v>
      </c>
      <c r="W81" s="5">
        <v>40865</v>
      </c>
      <c r="X81" s="6">
        <v>2</v>
      </c>
      <c r="Y81" s="6">
        <v>2</v>
      </c>
      <c r="Z81" s="6">
        <v>2</v>
      </c>
      <c r="AA81" s="6" t="s">
        <v>178</v>
      </c>
      <c r="AB81" s="6">
        <v>2</v>
      </c>
      <c r="AC81" s="6" t="s">
        <v>180</v>
      </c>
    </row>
    <row r="82" spans="1:29" x14ac:dyDescent="0.25">
      <c r="A82" s="145" t="str">
        <f>HYPERLINK("http://www.ofsted.gov.uk/inspection-reports/find-inspection-report/provider/ELS/50592  ","Ofsted Webpage")</f>
        <v>Ofsted Webpage</v>
      </c>
      <c r="B82" s="151">
        <v>50592</v>
      </c>
      <c r="C82" s="151">
        <v>10000501</v>
      </c>
      <c r="D82" s="46" t="s">
        <v>850</v>
      </c>
      <c r="E82" s="26" t="s">
        <v>80</v>
      </c>
      <c r="F82" s="26" t="s">
        <v>79</v>
      </c>
      <c r="G82" s="26" t="s">
        <v>851</v>
      </c>
      <c r="H82" s="26" t="s">
        <v>238</v>
      </c>
      <c r="I82" s="26" t="s">
        <v>238</v>
      </c>
      <c r="J82" s="2" t="s">
        <v>72</v>
      </c>
      <c r="K82" s="141" t="s">
        <v>72</v>
      </c>
      <c r="L82" s="141" t="s">
        <v>852</v>
      </c>
      <c r="M82" s="26" t="s">
        <v>333</v>
      </c>
      <c r="N82" s="2">
        <v>40343</v>
      </c>
      <c r="O82" s="2">
        <v>40347</v>
      </c>
      <c r="P82" s="133">
        <v>40374</v>
      </c>
      <c r="Q82" s="6">
        <v>1</v>
      </c>
      <c r="R82" s="6">
        <v>1</v>
      </c>
      <c r="S82" s="6">
        <v>1</v>
      </c>
      <c r="T82" s="120" t="s">
        <v>178</v>
      </c>
      <c r="U82" s="6">
        <v>2</v>
      </c>
      <c r="V82" s="6" t="s">
        <v>853</v>
      </c>
      <c r="W82" s="5">
        <v>39290</v>
      </c>
      <c r="X82" s="6">
        <v>2</v>
      </c>
      <c r="Y82" s="6">
        <v>2</v>
      </c>
      <c r="Z82" s="6">
        <v>2</v>
      </c>
      <c r="AA82" s="6" t="s">
        <v>178</v>
      </c>
      <c r="AB82" s="6">
        <v>2</v>
      </c>
      <c r="AC82" s="6" t="s">
        <v>216</v>
      </c>
    </row>
    <row r="83" spans="1:29" x14ac:dyDescent="0.25">
      <c r="A83" s="145" t="str">
        <f>HYPERLINK("http://www.ofsted.gov.uk/inspection-reports/find-inspection-report/provider/ELS/50604  ","Ofsted Webpage")</f>
        <v>Ofsted Webpage</v>
      </c>
      <c r="B83" s="151">
        <v>50604</v>
      </c>
      <c r="C83" s="151">
        <v>10000532</v>
      </c>
      <c r="D83" s="46" t="s">
        <v>981</v>
      </c>
      <c r="E83" s="26" t="s">
        <v>78</v>
      </c>
      <c r="F83" s="26" t="s">
        <v>79</v>
      </c>
      <c r="G83" s="26" t="s">
        <v>982</v>
      </c>
      <c r="H83" s="26" t="s">
        <v>175</v>
      </c>
      <c r="I83" s="26" t="s">
        <v>175</v>
      </c>
      <c r="J83" s="2" t="s">
        <v>72</v>
      </c>
      <c r="K83" s="141" t="s">
        <v>72</v>
      </c>
      <c r="L83" s="141">
        <v>10005151</v>
      </c>
      <c r="M83" s="26" t="s">
        <v>475</v>
      </c>
      <c r="N83" s="2">
        <v>42325</v>
      </c>
      <c r="O83" s="2">
        <v>42328</v>
      </c>
      <c r="P83" s="133">
        <v>42347</v>
      </c>
      <c r="Q83" s="6">
        <v>2</v>
      </c>
      <c r="R83" s="6">
        <v>2</v>
      </c>
      <c r="S83" s="6">
        <v>2</v>
      </c>
      <c r="T83" s="6">
        <v>2</v>
      </c>
      <c r="U83" s="6">
        <v>2</v>
      </c>
      <c r="V83" s="6" t="s">
        <v>983</v>
      </c>
      <c r="W83" s="5">
        <v>41838</v>
      </c>
      <c r="X83" s="6">
        <v>3</v>
      </c>
      <c r="Y83" s="6">
        <v>3</v>
      </c>
      <c r="Z83" s="6">
        <v>3</v>
      </c>
      <c r="AA83" s="6" t="s">
        <v>178</v>
      </c>
      <c r="AB83" s="6">
        <v>3</v>
      </c>
      <c r="AC83" s="6" t="s">
        <v>216</v>
      </c>
    </row>
    <row r="84" spans="1:29" x14ac:dyDescent="0.25">
      <c r="A84" s="145" t="str">
        <f>HYPERLINK("http://www.ofsted.gov.uk/inspection-reports/find-inspection-report/provider/ELS/50609  ","Ofsted Webpage")</f>
        <v>Ofsted Webpage</v>
      </c>
      <c r="B84" s="151">
        <v>50609</v>
      </c>
      <c r="C84" s="151">
        <v>10000538</v>
      </c>
      <c r="D84" s="46" t="s">
        <v>1147</v>
      </c>
      <c r="E84" s="26" t="s">
        <v>75</v>
      </c>
      <c r="F84" s="26" t="s">
        <v>76</v>
      </c>
      <c r="G84" s="26" t="s">
        <v>582</v>
      </c>
      <c r="H84" s="26" t="s">
        <v>187</v>
      </c>
      <c r="I84" s="26" t="s">
        <v>188</v>
      </c>
      <c r="J84" s="2" t="s">
        <v>72</v>
      </c>
      <c r="K84" s="141" t="s">
        <v>72</v>
      </c>
      <c r="L84" s="141">
        <v>10020192</v>
      </c>
      <c r="M84" s="26" t="s">
        <v>308</v>
      </c>
      <c r="N84" s="2">
        <v>42710</v>
      </c>
      <c r="O84" s="2">
        <v>42713</v>
      </c>
      <c r="P84" s="133">
        <v>42755</v>
      </c>
      <c r="Q84" s="6">
        <v>3</v>
      </c>
      <c r="R84" s="6">
        <v>3</v>
      </c>
      <c r="S84" s="6">
        <v>3</v>
      </c>
      <c r="T84" s="6">
        <v>3</v>
      </c>
      <c r="U84" s="6">
        <v>3</v>
      </c>
      <c r="V84" s="6" t="s">
        <v>1148</v>
      </c>
      <c r="W84" s="5">
        <v>41250</v>
      </c>
      <c r="X84" s="6">
        <v>2</v>
      </c>
      <c r="Y84" s="6">
        <v>2</v>
      </c>
      <c r="Z84" s="6">
        <v>2</v>
      </c>
      <c r="AA84" s="6" t="s">
        <v>178</v>
      </c>
      <c r="AB84" s="6">
        <v>2</v>
      </c>
      <c r="AC84" s="6" t="s">
        <v>201</v>
      </c>
    </row>
    <row r="85" spans="1:29" x14ac:dyDescent="0.25">
      <c r="A85" s="145" t="str">
        <f>HYPERLINK("http://www.ofsted.gov.uk/inspection-reports/find-inspection-report/provider/ELS/50621  ","Ofsted Webpage")</f>
        <v>Ofsted Webpage</v>
      </c>
      <c r="B85" s="151">
        <v>50621</v>
      </c>
      <c r="C85" s="151">
        <v>10000561</v>
      </c>
      <c r="D85" s="46" t="s">
        <v>984</v>
      </c>
      <c r="E85" s="26" t="s">
        <v>77</v>
      </c>
      <c r="F85" s="26" t="s">
        <v>76</v>
      </c>
      <c r="G85" s="26" t="s">
        <v>261</v>
      </c>
      <c r="H85" s="26" t="s">
        <v>219</v>
      </c>
      <c r="I85" s="26" t="s">
        <v>219</v>
      </c>
      <c r="J85" s="2">
        <v>42860</v>
      </c>
      <c r="K85" s="141">
        <v>1</v>
      </c>
      <c r="L85" s="141" t="s">
        <v>985</v>
      </c>
      <c r="M85" s="26" t="s">
        <v>466</v>
      </c>
      <c r="N85" s="2">
        <v>41226</v>
      </c>
      <c r="O85" s="2">
        <v>41229</v>
      </c>
      <c r="P85" s="133">
        <v>41264</v>
      </c>
      <c r="Q85" s="6">
        <v>2</v>
      </c>
      <c r="R85" s="6">
        <v>1</v>
      </c>
      <c r="S85" s="6">
        <v>2</v>
      </c>
      <c r="T85" s="120" t="s">
        <v>178</v>
      </c>
      <c r="U85" s="6">
        <v>2</v>
      </c>
      <c r="V85" s="6" t="s">
        <v>986</v>
      </c>
      <c r="W85" s="5">
        <v>39395</v>
      </c>
      <c r="X85" s="6">
        <v>2</v>
      </c>
      <c r="Y85" s="6">
        <v>2</v>
      </c>
      <c r="Z85" s="6">
        <v>2</v>
      </c>
      <c r="AA85" s="6" t="s">
        <v>178</v>
      </c>
      <c r="AB85" s="6">
        <v>2</v>
      </c>
      <c r="AC85" s="6" t="s">
        <v>180</v>
      </c>
    </row>
    <row r="86" spans="1:29" x14ac:dyDescent="0.25">
      <c r="A86" s="145" t="str">
        <f>HYPERLINK("http://www.ofsted.gov.uk/inspection-reports/find-inspection-report/provider/ELS/50656  ","Ofsted Webpage")</f>
        <v>Ofsted Webpage</v>
      </c>
      <c r="B86" s="151">
        <v>50656</v>
      </c>
      <c r="C86" s="151">
        <v>10000631</v>
      </c>
      <c r="D86" s="46" t="s">
        <v>2546</v>
      </c>
      <c r="E86" s="26" t="s">
        <v>78</v>
      </c>
      <c r="F86" s="26" t="s">
        <v>79</v>
      </c>
      <c r="G86" s="26" t="s">
        <v>223</v>
      </c>
      <c r="H86" s="26" t="s">
        <v>193</v>
      </c>
      <c r="I86" s="26" t="s">
        <v>193</v>
      </c>
      <c r="J86" s="2" t="s">
        <v>72</v>
      </c>
      <c r="K86" s="141" t="s">
        <v>72</v>
      </c>
      <c r="L86" s="141">
        <v>10022585</v>
      </c>
      <c r="M86" s="26" t="s">
        <v>211</v>
      </c>
      <c r="N86" s="2">
        <v>42766</v>
      </c>
      <c r="O86" s="2">
        <v>42768</v>
      </c>
      <c r="P86" s="133">
        <v>42794</v>
      </c>
      <c r="Q86" s="6">
        <v>2</v>
      </c>
      <c r="R86" s="6">
        <v>2</v>
      </c>
      <c r="S86" s="6">
        <v>2</v>
      </c>
      <c r="T86" s="6">
        <v>2</v>
      </c>
      <c r="U86" s="6">
        <v>2</v>
      </c>
      <c r="V86" s="6" t="s">
        <v>2547</v>
      </c>
      <c r="W86" s="5">
        <v>41571</v>
      </c>
      <c r="X86" s="6">
        <v>2</v>
      </c>
      <c r="Y86" s="6">
        <v>2</v>
      </c>
      <c r="Z86" s="6">
        <v>2</v>
      </c>
      <c r="AA86" s="6" t="s">
        <v>178</v>
      </c>
      <c r="AB86" s="6">
        <v>2</v>
      </c>
      <c r="AC86" s="6" t="s">
        <v>180</v>
      </c>
    </row>
    <row r="87" spans="1:29" x14ac:dyDescent="0.25">
      <c r="A87" s="145" t="str">
        <f>HYPERLINK("http://www.ofsted.gov.uk/inspection-reports/find-inspection-report/provider/ELS/50701  ","Ofsted Webpage")</f>
        <v>Ofsted Webpage</v>
      </c>
      <c r="B87" s="151">
        <v>50701</v>
      </c>
      <c r="C87" s="151">
        <v>10002011</v>
      </c>
      <c r="D87" s="46" t="s">
        <v>1689</v>
      </c>
      <c r="E87" s="26" t="s">
        <v>85</v>
      </c>
      <c r="F87" s="26" t="s">
        <v>86</v>
      </c>
      <c r="G87" s="26" t="s">
        <v>1249</v>
      </c>
      <c r="H87" s="26" t="s">
        <v>175</v>
      </c>
      <c r="I87" s="26" t="s">
        <v>175</v>
      </c>
      <c r="J87" s="2" t="s">
        <v>72</v>
      </c>
      <c r="K87" s="141" t="s">
        <v>72</v>
      </c>
      <c r="L87" s="141">
        <v>10004883</v>
      </c>
      <c r="M87" s="26" t="s">
        <v>605</v>
      </c>
      <c r="N87" s="2">
        <v>42340</v>
      </c>
      <c r="O87" s="2">
        <v>42341</v>
      </c>
      <c r="P87" s="133">
        <v>42381</v>
      </c>
      <c r="Q87" s="6">
        <v>1</v>
      </c>
      <c r="R87" s="6">
        <v>1</v>
      </c>
      <c r="S87" s="6">
        <v>1</v>
      </c>
      <c r="T87" s="6">
        <v>1</v>
      </c>
      <c r="U87" s="6">
        <v>1</v>
      </c>
      <c r="V87" s="6" t="s">
        <v>1690</v>
      </c>
      <c r="W87" s="5">
        <v>41031</v>
      </c>
      <c r="X87" s="6" t="s">
        <v>178</v>
      </c>
      <c r="Y87" s="6" t="s">
        <v>178</v>
      </c>
      <c r="Z87" s="6" t="s">
        <v>178</v>
      </c>
      <c r="AA87" s="6" t="s">
        <v>178</v>
      </c>
      <c r="AB87" s="6" t="s">
        <v>178</v>
      </c>
      <c r="AC87" s="6" t="s">
        <v>208</v>
      </c>
    </row>
    <row r="88" spans="1:29" x14ac:dyDescent="0.25">
      <c r="A88" s="145" t="str">
        <f>HYPERLINK("http://www.ofsted.gov.uk/inspection-reports/find-inspection-report/provider/ELS/50713  ","Ofsted Webpage")</f>
        <v>Ofsted Webpage</v>
      </c>
      <c r="B88" s="151">
        <v>50713</v>
      </c>
      <c r="C88" s="151">
        <v>10000715</v>
      </c>
      <c r="D88" s="46" t="s">
        <v>2552</v>
      </c>
      <c r="E88" s="26" t="s">
        <v>78</v>
      </c>
      <c r="F88" s="26" t="s">
        <v>79</v>
      </c>
      <c r="G88" s="26" t="s">
        <v>223</v>
      </c>
      <c r="H88" s="26" t="s">
        <v>193</v>
      </c>
      <c r="I88" s="26" t="s">
        <v>193</v>
      </c>
      <c r="J88" s="2" t="s">
        <v>72</v>
      </c>
      <c r="K88" s="141" t="s">
        <v>72</v>
      </c>
      <c r="L88" s="141" t="s">
        <v>2553</v>
      </c>
      <c r="M88" s="26" t="s">
        <v>2554</v>
      </c>
      <c r="N88" s="2">
        <v>42178</v>
      </c>
      <c r="O88" s="2">
        <v>42181</v>
      </c>
      <c r="P88" s="133">
        <v>42201</v>
      </c>
      <c r="Q88" s="6">
        <v>2</v>
      </c>
      <c r="R88" s="6">
        <v>2</v>
      </c>
      <c r="S88" s="6">
        <v>2</v>
      </c>
      <c r="T88" s="120" t="s">
        <v>178</v>
      </c>
      <c r="U88" s="6">
        <v>2</v>
      </c>
      <c r="V88" s="6" t="s">
        <v>2555</v>
      </c>
      <c r="W88" s="5">
        <v>41691</v>
      </c>
      <c r="X88" s="6">
        <v>3</v>
      </c>
      <c r="Y88" s="6">
        <v>3</v>
      </c>
      <c r="Z88" s="6">
        <v>3</v>
      </c>
      <c r="AA88" s="6" t="s">
        <v>178</v>
      </c>
      <c r="AB88" s="6">
        <v>3</v>
      </c>
      <c r="AC88" s="6" t="s">
        <v>216</v>
      </c>
    </row>
    <row r="89" spans="1:29" x14ac:dyDescent="0.25">
      <c r="A89" s="145" t="str">
        <f>HYPERLINK("http://www.ofsted.gov.uk/inspection-reports/find-inspection-report/provider/ELS/50729  ","Ofsted Webpage")</f>
        <v>Ofsted Webpage</v>
      </c>
      <c r="B89" s="151">
        <v>50729</v>
      </c>
      <c r="C89" s="151">
        <v>10006600</v>
      </c>
      <c r="D89" s="46" t="s">
        <v>1791</v>
      </c>
      <c r="E89" s="26" t="s">
        <v>78</v>
      </c>
      <c r="F89" s="26" t="s">
        <v>79</v>
      </c>
      <c r="G89" s="26" t="s">
        <v>967</v>
      </c>
      <c r="H89" s="26" t="s">
        <v>193</v>
      </c>
      <c r="I89" s="26" t="s">
        <v>193</v>
      </c>
      <c r="J89" s="2" t="s">
        <v>72</v>
      </c>
      <c r="K89" s="141" t="s">
        <v>72</v>
      </c>
      <c r="L89" s="141">
        <v>10020081</v>
      </c>
      <c r="M89" s="26" t="s">
        <v>183</v>
      </c>
      <c r="N89" s="2">
        <v>42647</v>
      </c>
      <c r="O89" s="2">
        <v>42650</v>
      </c>
      <c r="P89" s="133">
        <v>42690</v>
      </c>
      <c r="Q89" s="6">
        <v>3</v>
      </c>
      <c r="R89" s="6">
        <v>3</v>
      </c>
      <c r="S89" s="6">
        <v>3</v>
      </c>
      <c r="T89" s="6">
        <v>3</v>
      </c>
      <c r="U89" s="6">
        <v>3</v>
      </c>
      <c r="V89" s="6" t="s">
        <v>1792</v>
      </c>
      <c r="W89" s="5">
        <v>41033</v>
      </c>
      <c r="X89" s="6">
        <v>2</v>
      </c>
      <c r="Y89" s="6">
        <v>2</v>
      </c>
      <c r="Z89" s="6">
        <v>2</v>
      </c>
      <c r="AA89" s="6" t="s">
        <v>178</v>
      </c>
      <c r="AB89" s="6">
        <v>2</v>
      </c>
      <c r="AC89" s="6" t="s">
        <v>201</v>
      </c>
    </row>
    <row r="90" spans="1:29" x14ac:dyDescent="0.25">
      <c r="A90" s="145" t="str">
        <f>HYPERLINK("http://www.ofsted.gov.uk/inspection-reports/find-inspection-report/provider/ELS/50732  ","Ofsted Webpage")</f>
        <v>Ofsted Webpage</v>
      </c>
      <c r="B90" s="151">
        <v>50732</v>
      </c>
      <c r="C90" s="151">
        <v>10000748</v>
      </c>
      <c r="D90" s="46" t="s">
        <v>1253</v>
      </c>
      <c r="E90" s="26" t="s">
        <v>75</v>
      </c>
      <c r="F90" s="26" t="s">
        <v>76</v>
      </c>
      <c r="G90" s="26" t="s">
        <v>1254</v>
      </c>
      <c r="H90" s="26" t="s">
        <v>238</v>
      </c>
      <c r="I90" s="26" t="s">
        <v>238</v>
      </c>
      <c r="J90" s="2">
        <v>42293</v>
      </c>
      <c r="K90" s="141">
        <v>1</v>
      </c>
      <c r="L90" s="141" t="s">
        <v>1255</v>
      </c>
      <c r="M90" s="26" t="s">
        <v>549</v>
      </c>
      <c r="N90" s="2">
        <v>40210</v>
      </c>
      <c r="O90" s="2">
        <v>40214</v>
      </c>
      <c r="P90" s="133">
        <v>40249</v>
      </c>
      <c r="Q90" s="6">
        <v>2</v>
      </c>
      <c r="R90" s="6">
        <v>2</v>
      </c>
      <c r="S90" s="6">
        <v>2</v>
      </c>
      <c r="T90" s="120" t="s">
        <v>178</v>
      </c>
      <c r="U90" s="6">
        <v>2</v>
      </c>
      <c r="V90" s="6" t="s">
        <v>1256</v>
      </c>
      <c r="W90" s="5">
        <v>38667</v>
      </c>
      <c r="X90" s="6">
        <v>2</v>
      </c>
      <c r="Y90" s="6" t="s">
        <v>178</v>
      </c>
      <c r="Z90" s="6" t="s">
        <v>178</v>
      </c>
      <c r="AA90" s="6" t="s">
        <v>178</v>
      </c>
      <c r="AB90" s="6">
        <v>2</v>
      </c>
      <c r="AC90" s="6" t="s">
        <v>180</v>
      </c>
    </row>
    <row r="91" spans="1:29" x14ac:dyDescent="0.25">
      <c r="A91" s="145" t="str">
        <f>HYPERLINK("http://www.ofsted.gov.uk/inspection-reports/find-inspection-report/provider/ELS/50737  ","Ofsted Webpage")</f>
        <v>Ofsted Webpage</v>
      </c>
      <c r="B91" s="151">
        <v>50737</v>
      </c>
      <c r="C91" s="151">
        <v>10000755</v>
      </c>
      <c r="D91" s="46" t="s">
        <v>1257</v>
      </c>
      <c r="E91" s="26" t="s">
        <v>75</v>
      </c>
      <c r="F91" s="26" t="s">
        <v>76</v>
      </c>
      <c r="G91" s="26" t="s">
        <v>1258</v>
      </c>
      <c r="H91" s="26" t="s">
        <v>238</v>
      </c>
      <c r="I91" s="26" t="s">
        <v>238</v>
      </c>
      <c r="J91" s="2" t="s">
        <v>72</v>
      </c>
      <c r="K91" s="141" t="s">
        <v>72</v>
      </c>
      <c r="L91" s="141">
        <v>10022617</v>
      </c>
      <c r="M91" s="26" t="s">
        <v>308</v>
      </c>
      <c r="N91" s="2">
        <v>42913</v>
      </c>
      <c r="O91" s="2">
        <v>42921</v>
      </c>
      <c r="P91" s="133">
        <v>42986</v>
      </c>
      <c r="Q91" s="6">
        <v>3</v>
      </c>
      <c r="R91" s="6">
        <v>3</v>
      </c>
      <c r="S91" s="6">
        <v>3</v>
      </c>
      <c r="T91" s="6">
        <v>3</v>
      </c>
      <c r="U91" s="6">
        <v>3</v>
      </c>
      <c r="V91" s="6" t="s">
        <v>1259</v>
      </c>
      <c r="W91" s="5">
        <v>41313</v>
      </c>
      <c r="X91" s="6">
        <v>2</v>
      </c>
      <c r="Y91" s="6">
        <v>2</v>
      </c>
      <c r="Z91" s="6">
        <v>2</v>
      </c>
      <c r="AA91" s="6" t="s">
        <v>178</v>
      </c>
      <c r="AB91" s="6">
        <v>2</v>
      </c>
      <c r="AC91" s="6" t="s">
        <v>201</v>
      </c>
    </row>
    <row r="92" spans="1:29" x14ac:dyDescent="0.25">
      <c r="A92" s="145" t="str">
        <f>HYPERLINK("http://www.ofsted.gov.uk/inspection-reports/find-inspection-report/provider/ELS/50743  ","Ofsted Webpage")</f>
        <v>Ofsted Webpage</v>
      </c>
      <c r="B92" s="151">
        <v>50743</v>
      </c>
      <c r="C92" s="151">
        <v>10030748</v>
      </c>
      <c r="D92" s="46" t="s">
        <v>434</v>
      </c>
      <c r="E92" s="26" t="s">
        <v>78</v>
      </c>
      <c r="F92" s="26" t="s">
        <v>79</v>
      </c>
      <c r="G92" s="26" t="s">
        <v>299</v>
      </c>
      <c r="H92" s="26" t="s">
        <v>175</v>
      </c>
      <c r="I92" s="26" t="s">
        <v>175</v>
      </c>
      <c r="J92" s="2" t="s">
        <v>72</v>
      </c>
      <c r="K92" s="141" t="s">
        <v>72</v>
      </c>
      <c r="L92" s="141">
        <v>10020111</v>
      </c>
      <c r="M92" s="26" t="s">
        <v>211</v>
      </c>
      <c r="N92" s="2">
        <v>42653</v>
      </c>
      <c r="O92" s="2">
        <v>42655</v>
      </c>
      <c r="P92" s="133">
        <v>42702</v>
      </c>
      <c r="Q92" s="6">
        <v>4</v>
      </c>
      <c r="R92" s="6">
        <v>4</v>
      </c>
      <c r="S92" s="6">
        <v>3</v>
      </c>
      <c r="T92" s="6">
        <v>4</v>
      </c>
      <c r="U92" s="6">
        <v>4</v>
      </c>
      <c r="V92" s="6" t="s">
        <v>435</v>
      </c>
      <c r="W92" s="5">
        <v>41306</v>
      </c>
      <c r="X92" s="6">
        <v>2</v>
      </c>
      <c r="Y92" s="6">
        <v>2</v>
      </c>
      <c r="Z92" s="6">
        <v>2</v>
      </c>
      <c r="AA92" s="6" t="s">
        <v>178</v>
      </c>
      <c r="AB92" s="6">
        <v>3</v>
      </c>
      <c r="AC92" s="6" t="s">
        <v>201</v>
      </c>
    </row>
    <row r="93" spans="1:29" x14ac:dyDescent="0.25">
      <c r="A93" s="145" t="str">
        <f>HYPERLINK("http://www.ofsted.gov.uk/inspection-reports/find-inspection-report/provider/ELS/50766  ","Ofsted Webpage")</f>
        <v>Ofsted Webpage</v>
      </c>
      <c r="B93" s="151">
        <v>50766</v>
      </c>
      <c r="C93" s="151">
        <v>10000795</v>
      </c>
      <c r="D93" s="46" t="s">
        <v>1260</v>
      </c>
      <c r="E93" s="26" t="s">
        <v>75</v>
      </c>
      <c r="F93" s="26" t="s">
        <v>76</v>
      </c>
      <c r="G93" s="26" t="s">
        <v>640</v>
      </c>
      <c r="H93" s="26" t="s">
        <v>238</v>
      </c>
      <c r="I93" s="26" t="s">
        <v>238</v>
      </c>
      <c r="J93" s="2" t="s">
        <v>72</v>
      </c>
      <c r="K93" s="141" t="s">
        <v>72</v>
      </c>
      <c r="L93" s="141">
        <v>10022095</v>
      </c>
      <c r="M93" s="26" t="s">
        <v>308</v>
      </c>
      <c r="N93" s="2">
        <v>42696</v>
      </c>
      <c r="O93" s="2">
        <v>42699</v>
      </c>
      <c r="P93" s="133">
        <v>42741</v>
      </c>
      <c r="Q93" s="6">
        <v>3</v>
      </c>
      <c r="R93" s="6">
        <v>3</v>
      </c>
      <c r="S93" s="6">
        <v>3</v>
      </c>
      <c r="T93" s="6">
        <v>3</v>
      </c>
      <c r="U93" s="6">
        <v>3</v>
      </c>
      <c r="V93" s="6" t="s">
        <v>1261</v>
      </c>
      <c r="W93" s="5">
        <v>40312</v>
      </c>
      <c r="X93" s="6">
        <v>2</v>
      </c>
      <c r="Y93" s="6">
        <v>2</v>
      </c>
      <c r="Z93" s="6">
        <v>3</v>
      </c>
      <c r="AA93" s="6" t="s">
        <v>178</v>
      </c>
      <c r="AB93" s="6">
        <v>2</v>
      </c>
      <c r="AC93" s="6" t="s">
        <v>201</v>
      </c>
    </row>
    <row r="94" spans="1:29" x14ac:dyDescent="0.25">
      <c r="A94" s="145" t="str">
        <f>HYPERLINK("http://www.ofsted.gov.uk/inspection-reports/find-inspection-report/provider/ELS/50782  ","Ofsted Webpage")</f>
        <v>Ofsted Webpage</v>
      </c>
      <c r="B94" s="151">
        <v>50782</v>
      </c>
      <c r="C94" s="151">
        <v>10047306</v>
      </c>
      <c r="D94" s="46" t="s">
        <v>440</v>
      </c>
      <c r="E94" s="26" t="s">
        <v>77</v>
      </c>
      <c r="F94" s="26" t="s">
        <v>76</v>
      </c>
      <c r="G94" s="26" t="s">
        <v>441</v>
      </c>
      <c r="H94" s="26" t="s">
        <v>175</v>
      </c>
      <c r="I94" s="26" t="s">
        <v>175</v>
      </c>
      <c r="J94" s="2" t="s">
        <v>72</v>
      </c>
      <c r="K94" s="141" t="s">
        <v>72</v>
      </c>
      <c r="L94" s="141">
        <v>10004888</v>
      </c>
      <c r="M94" s="26" t="s">
        <v>199</v>
      </c>
      <c r="N94" s="2">
        <v>42296</v>
      </c>
      <c r="O94" s="2">
        <v>42299</v>
      </c>
      <c r="P94" s="133">
        <v>42338</v>
      </c>
      <c r="Q94" s="6">
        <v>2</v>
      </c>
      <c r="R94" s="6">
        <v>2</v>
      </c>
      <c r="S94" s="6">
        <v>2</v>
      </c>
      <c r="T94" s="6">
        <v>2</v>
      </c>
      <c r="U94" s="6">
        <v>2</v>
      </c>
      <c r="V94" s="6" t="s">
        <v>442</v>
      </c>
      <c r="W94" s="5">
        <v>41698</v>
      </c>
      <c r="X94" s="6">
        <v>3</v>
      </c>
      <c r="Y94" s="6">
        <v>3</v>
      </c>
      <c r="Z94" s="6">
        <v>3</v>
      </c>
      <c r="AA94" s="6" t="s">
        <v>178</v>
      </c>
      <c r="AB94" s="6">
        <v>3</v>
      </c>
      <c r="AC94" s="6" t="s">
        <v>216</v>
      </c>
    </row>
    <row r="95" spans="1:29" x14ac:dyDescent="0.25">
      <c r="A95" s="145" t="str">
        <f>HYPERLINK("http://www.ofsted.gov.uk/inspection-reports/find-inspection-report/provider/ELS/50795  ","Ofsted Webpage")</f>
        <v>Ofsted Webpage</v>
      </c>
      <c r="B95" s="151">
        <v>50795</v>
      </c>
      <c r="C95" s="151">
        <v>10000831</v>
      </c>
      <c r="D95" s="46" t="s">
        <v>443</v>
      </c>
      <c r="E95" s="26" t="s">
        <v>78</v>
      </c>
      <c r="F95" s="26" t="s">
        <v>79</v>
      </c>
      <c r="G95" s="26" t="s">
        <v>316</v>
      </c>
      <c r="H95" s="26" t="s">
        <v>219</v>
      </c>
      <c r="I95" s="26" t="s">
        <v>219</v>
      </c>
      <c r="J95" s="2" t="s">
        <v>72</v>
      </c>
      <c r="K95" s="141" t="s">
        <v>72</v>
      </c>
      <c r="L95" s="141">
        <v>10039585</v>
      </c>
      <c r="M95" s="26" t="s">
        <v>183</v>
      </c>
      <c r="N95" s="2">
        <v>43004</v>
      </c>
      <c r="O95" s="2">
        <v>43007</v>
      </c>
      <c r="P95" s="133">
        <v>43041</v>
      </c>
      <c r="Q95" s="6">
        <v>2</v>
      </c>
      <c r="R95" s="6">
        <v>2</v>
      </c>
      <c r="S95" s="6">
        <v>2</v>
      </c>
      <c r="T95" s="6">
        <v>2</v>
      </c>
      <c r="U95" s="6">
        <v>2</v>
      </c>
      <c r="V95" s="6" t="s">
        <v>444</v>
      </c>
      <c r="W95" s="5">
        <v>40445</v>
      </c>
      <c r="X95" s="6">
        <v>2</v>
      </c>
      <c r="Y95" s="6">
        <v>2</v>
      </c>
      <c r="Z95" s="6">
        <v>2</v>
      </c>
      <c r="AA95" s="6" t="s">
        <v>178</v>
      </c>
      <c r="AB95" s="6">
        <v>2</v>
      </c>
      <c r="AC95" s="6" t="s">
        <v>180</v>
      </c>
    </row>
    <row r="96" spans="1:29" x14ac:dyDescent="0.25">
      <c r="A96" s="145" t="str">
        <f>HYPERLINK("http://www.ofsted.gov.uk/inspection-reports/find-inspection-report/provider/ELS/50798  ","Ofsted Webpage")</f>
        <v>Ofsted Webpage</v>
      </c>
      <c r="B96" s="151">
        <v>50798</v>
      </c>
      <c r="C96" s="151">
        <v>10000834</v>
      </c>
      <c r="D96" s="46" t="s">
        <v>1376</v>
      </c>
      <c r="E96" s="26" t="s">
        <v>75</v>
      </c>
      <c r="F96" s="26" t="s">
        <v>76</v>
      </c>
      <c r="G96" s="26" t="s">
        <v>1088</v>
      </c>
      <c r="H96" s="26" t="s">
        <v>219</v>
      </c>
      <c r="I96" s="26" t="s">
        <v>219</v>
      </c>
      <c r="J96" s="2" t="s">
        <v>72</v>
      </c>
      <c r="K96" s="141" t="s">
        <v>72</v>
      </c>
      <c r="L96" s="141">
        <v>10004890</v>
      </c>
      <c r="M96" s="26" t="s">
        <v>308</v>
      </c>
      <c r="N96" s="2">
        <v>42409</v>
      </c>
      <c r="O96" s="2">
        <v>42412</v>
      </c>
      <c r="P96" s="133">
        <v>42438</v>
      </c>
      <c r="Q96" s="6">
        <v>3</v>
      </c>
      <c r="R96" s="6">
        <v>3</v>
      </c>
      <c r="S96" s="6">
        <v>3</v>
      </c>
      <c r="T96" s="6">
        <v>3</v>
      </c>
      <c r="U96" s="6">
        <v>3</v>
      </c>
      <c r="V96" s="6" t="s">
        <v>1377</v>
      </c>
      <c r="W96" s="5">
        <v>41236</v>
      </c>
      <c r="X96" s="6">
        <v>2</v>
      </c>
      <c r="Y96" s="6">
        <v>2</v>
      </c>
      <c r="Z96" s="6">
        <v>2</v>
      </c>
      <c r="AA96" s="6" t="s">
        <v>178</v>
      </c>
      <c r="AB96" s="6">
        <v>2</v>
      </c>
      <c r="AC96" s="6" t="s">
        <v>201</v>
      </c>
    </row>
    <row r="97" spans="1:29" x14ac:dyDescent="0.25">
      <c r="A97" s="145" t="str">
        <f>HYPERLINK("http://www.ofsted.gov.uk/inspection-reports/find-inspection-report/provider/ELS/50806  ","Ofsted Webpage")</f>
        <v>Ofsted Webpage</v>
      </c>
      <c r="B97" s="151">
        <v>50806</v>
      </c>
      <c r="C97" s="151">
        <v>10000850</v>
      </c>
      <c r="D97" s="46" t="s">
        <v>913</v>
      </c>
      <c r="E97" s="26" t="s">
        <v>75</v>
      </c>
      <c r="F97" s="26" t="s">
        <v>76</v>
      </c>
      <c r="G97" s="26" t="s">
        <v>914</v>
      </c>
      <c r="H97" s="26" t="s">
        <v>187</v>
      </c>
      <c r="I97" s="26" t="s">
        <v>188</v>
      </c>
      <c r="J97" s="2" t="s">
        <v>72</v>
      </c>
      <c r="K97" s="141" t="s">
        <v>72</v>
      </c>
      <c r="L97" s="141" t="s">
        <v>915</v>
      </c>
      <c r="M97" s="26" t="s">
        <v>549</v>
      </c>
      <c r="N97" s="2">
        <v>41723</v>
      </c>
      <c r="O97" s="2">
        <v>41725</v>
      </c>
      <c r="P97" s="133">
        <v>41757</v>
      </c>
      <c r="Q97" s="6">
        <v>2</v>
      </c>
      <c r="R97" s="6">
        <v>2</v>
      </c>
      <c r="S97" s="6">
        <v>2</v>
      </c>
      <c r="T97" s="120" t="s">
        <v>178</v>
      </c>
      <c r="U97" s="6">
        <v>2</v>
      </c>
      <c r="V97" s="6" t="s">
        <v>916</v>
      </c>
      <c r="W97" s="5">
        <v>40830</v>
      </c>
      <c r="X97" s="6">
        <v>3</v>
      </c>
      <c r="Y97" s="6">
        <v>3</v>
      </c>
      <c r="Z97" s="6">
        <v>2</v>
      </c>
      <c r="AA97" s="6" t="s">
        <v>178</v>
      </c>
      <c r="AB97" s="6">
        <v>2</v>
      </c>
      <c r="AC97" s="6" t="s">
        <v>216</v>
      </c>
    </row>
    <row r="98" spans="1:29" x14ac:dyDescent="0.25">
      <c r="A98" s="145" t="str">
        <f>HYPERLINK("http://www.ofsted.gov.uk/inspection-reports/find-inspection-report/provider/ELS/50809  ","Ofsted Webpage")</f>
        <v>Ofsted Webpage</v>
      </c>
      <c r="B98" s="151">
        <v>50809</v>
      </c>
      <c r="C98" s="151">
        <v>10000848</v>
      </c>
      <c r="D98" s="46" t="s">
        <v>974</v>
      </c>
      <c r="E98" s="26" t="s">
        <v>77</v>
      </c>
      <c r="F98" s="26" t="s">
        <v>76</v>
      </c>
      <c r="G98" s="26" t="s">
        <v>914</v>
      </c>
      <c r="H98" s="26" t="s">
        <v>187</v>
      </c>
      <c r="I98" s="26" t="s">
        <v>188</v>
      </c>
      <c r="J98" s="2" t="s">
        <v>72</v>
      </c>
      <c r="K98" s="141" t="s">
        <v>72</v>
      </c>
      <c r="L98" s="141">
        <v>10030671</v>
      </c>
      <c r="M98" s="26" t="s">
        <v>1001</v>
      </c>
      <c r="N98" s="2">
        <v>43053</v>
      </c>
      <c r="O98" s="2">
        <v>43056</v>
      </c>
      <c r="P98" s="133">
        <v>43088</v>
      </c>
      <c r="Q98" s="6">
        <v>2</v>
      </c>
      <c r="R98" s="6">
        <v>2</v>
      </c>
      <c r="S98" s="6">
        <v>2</v>
      </c>
      <c r="T98" s="6">
        <v>1</v>
      </c>
      <c r="U98" s="6">
        <v>2</v>
      </c>
      <c r="V98" s="6">
        <v>10005135</v>
      </c>
      <c r="W98" s="5">
        <v>42348</v>
      </c>
      <c r="X98" s="6">
        <v>3</v>
      </c>
      <c r="Y98" s="6">
        <v>3</v>
      </c>
      <c r="Z98" s="6">
        <v>3</v>
      </c>
      <c r="AA98" s="6">
        <v>2</v>
      </c>
      <c r="AB98" s="6">
        <v>3</v>
      </c>
      <c r="AC98" s="6" t="s">
        <v>216</v>
      </c>
    </row>
    <row r="99" spans="1:29" x14ac:dyDescent="0.25">
      <c r="A99" s="145" t="str">
        <f>HYPERLINK("http://www.ofsted.gov.uk/inspection-reports/find-inspection-report/provider/ELS/50827  ","Ofsted Webpage")</f>
        <v>Ofsted Webpage</v>
      </c>
      <c r="B99" s="151">
        <v>50827</v>
      </c>
      <c r="C99" s="151">
        <v>10000874</v>
      </c>
      <c r="D99" s="46" t="s">
        <v>446</v>
      </c>
      <c r="E99" s="26" t="s">
        <v>78</v>
      </c>
      <c r="F99" s="26" t="s">
        <v>79</v>
      </c>
      <c r="G99" s="26" t="s">
        <v>447</v>
      </c>
      <c r="H99" s="26" t="s">
        <v>198</v>
      </c>
      <c r="I99" s="26" t="s">
        <v>198</v>
      </c>
      <c r="J99" s="2" t="s">
        <v>72</v>
      </c>
      <c r="K99" s="141" t="s">
        <v>72</v>
      </c>
      <c r="L99" s="141">
        <v>10030676</v>
      </c>
      <c r="M99" s="26" t="s">
        <v>448</v>
      </c>
      <c r="N99" s="2">
        <v>42870</v>
      </c>
      <c r="O99" s="2">
        <v>42873</v>
      </c>
      <c r="P99" s="133">
        <v>42899</v>
      </c>
      <c r="Q99" s="6">
        <v>2</v>
      </c>
      <c r="R99" s="6">
        <v>2</v>
      </c>
      <c r="S99" s="6">
        <v>2</v>
      </c>
      <c r="T99" s="6">
        <v>2</v>
      </c>
      <c r="U99" s="6">
        <v>2</v>
      </c>
      <c r="V99" s="6">
        <v>10006354</v>
      </c>
      <c r="W99" s="5">
        <v>42334</v>
      </c>
      <c r="X99" s="6">
        <v>3</v>
      </c>
      <c r="Y99" s="6">
        <v>3</v>
      </c>
      <c r="Z99" s="6">
        <v>3</v>
      </c>
      <c r="AA99" s="6">
        <v>3</v>
      </c>
      <c r="AB99" s="6">
        <v>3</v>
      </c>
      <c r="AC99" s="6" t="s">
        <v>216</v>
      </c>
    </row>
    <row r="100" spans="1:29" x14ac:dyDescent="0.25">
      <c r="A100" s="145" t="str">
        <f>HYPERLINK("http://www.ofsted.gov.uk/inspection-reports/find-inspection-report/provider/ELS/50835  ","Ofsted Webpage")</f>
        <v>Ofsted Webpage</v>
      </c>
      <c r="B100" s="151">
        <v>50835</v>
      </c>
      <c r="C100" s="151">
        <v>10000883</v>
      </c>
      <c r="D100" s="46" t="s">
        <v>1382</v>
      </c>
      <c r="E100" s="26" t="s">
        <v>75</v>
      </c>
      <c r="F100" s="26" t="s">
        <v>76</v>
      </c>
      <c r="G100" s="26" t="s">
        <v>526</v>
      </c>
      <c r="H100" s="26" t="s">
        <v>219</v>
      </c>
      <c r="I100" s="26" t="s">
        <v>219</v>
      </c>
      <c r="J100" s="2">
        <v>42383</v>
      </c>
      <c r="K100" s="141">
        <v>1</v>
      </c>
      <c r="L100" s="141" t="s">
        <v>1383</v>
      </c>
      <c r="M100" s="26" t="s">
        <v>549</v>
      </c>
      <c r="N100" s="2">
        <v>40217</v>
      </c>
      <c r="O100" s="2">
        <v>40221</v>
      </c>
      <c r="P100" s="133">
        <v>40252</v>
      </c>
      <c r="Q100" s="6">
        <v>2</v>
      </c>
      <c r="R100" s="6">
        <v>2</v>
      </c>
      <c r="S100" s="6">
        <v>2</v>
      </c>
      <c r="T100" s="120" t="s">
        <v>178</v>
      </c>
      <c r="U100" s="6">
        <v>3</v>
      </c>
      <c r="V100" s="6" t="s">
        <v>1384</v>
      </c>
      <c r="W100" s="5">
        <v>38646</v>
      </c>
      <c r="X100" s="6">
        <v>2</v>
      </c>
      <c r="Y100" s="6" t="s">
        <v>178</v>
      </c>
      <c r="Z100" s="6" t="s">
        <v>178</v>
      </c>
      <c r="AA100" s="6" t="s">
        <v>178</v>
      </c>
      <c r="AB100" s="6">
        <v>2</v>
      </c>
      <c r="AC100" s="6" t="s">
        <v>180</v>
      </c>
    </row>
    <row r="101" spans="1:29" x14ac:dyDescent="0.25">
      <c r="A101" s="145" t="str">
        <f>HYPERLINK("http://www.ofsted.gov.uk/inspection-reports/find-inspection-report/provider/ELS/50846  ","Ofsted Webpage")</f>
        <v>Ofsted Webpage</v>
      </c>
      <c r="B101" s="151">
        <v>50846</v>
      </c>
      <c r="C101" s="151">
        <v>10000896</v>
      </c>
      <c r="D101" s="46" t="s">
        <v>1385</v>
      </c>
      <c r="E101" s="26" t="s">
        <v>75</v>
      </c>
      <c r="F101" s="26" t="s">
        <v>76</v>
      </c>
      <c r="G101" s="26" t="s">
        <v>361</v>
      </c>
      <c r="H101" s="26" t="s">
        <v>198</v>
      </c>
      <c r="I101" s="26" t="s">
        <v>198</v>
      </c>
      <c r="J101" s="2" t="s">
        <v>72</v>
      </c>
      <c r="K101" s="141" t="s">
        <v>72</v>
      </c>
      <c r="L101" s="141">
        <v>10004892</v>
      </c>
      <c r="M101" s="26" t="s">
        <v>308</v>
      </c>
      <c r="N101" s="2">
        <v>42422</v>
      </c>
      <c r="O101" s="2">
        <v>42425</v>
      </c>
      <c r="P101" s="133">
        <v>42464</v>
      </c>
      <c r="Q101" s="6">
        <v>2</v>
      </c>
      <c r="R101" s="6">
        <v>2</v>
      </c>
      <c r="S101" s="6">
        <v>2</v>
      </c>
      <c r="T101" s="6">
        <v>2</v>
      </c>
      <c r="U101" s="6">
        <v>2</v>
      </c>
      <c r="V101" s="6" t="s">
        <v>1386</v>
      </c>
      <c r="W101" s="5">
        <v>41026</v>
      </c>
      <c r="X101" s="6">
        <v>2</v>
      </c>
      <c r="Y101" s="6">
        <v>2</v>
      </c>
      <c r="Z101" s="6">
        <v>2</v>
      </c>
      <c r="AA101" s="6" t="s">
        <v>178</v>
      </c>
      <c r="AB101" s="6">
        <v>2</v>
      </c>
      <c r="AC101" s="6" t="s">
        <v>180</v>
      </c>
    </row>
    <row r="102" spans="1:29" x14ac:dyDescent="0.25">
      <c r="A102" s="145" t="str">
        <f>HYPERLINK("http://www.ofsted.gov.uk/inspection-reports/find-inspection-report/provider/ELS/50855  ","Ofsted Webpage")</f>
        <v>Ofsted Webpage</v>
      </c>
      <c r="B102" s="151">
        <v>50855</v>
      </c>
      <c r="C102" s="151">
        <v>10000915</v>
      </c>
      <c r="D102" s="46" t="s">
        <v>861</v>
      </c>
      <c r="E102" s="26" t="s">
        <v>80</v>
      </c>
      <c r="F102" s="26" t="s">
        <v>79</v>
      </c>
      <c r="G102" s="26" t="s">
        <v>768</v>
      </c>
      <c r="H102" s="26" t="s">
        <v>214</v>
      </c>
      <c r="I102" s="26" t="s">
        <v>214</v>
      </c>
      <c r="J102" s="2" t="s">
        <v>72</v>
      </c>
      <c r="K102" s="141" t="s">
        <v>72</v>
      </c>
      <c r="L102" s="141" t="s">
        <v>862</v>
      </c>
      <c r="M102" s="26" t="s">
        <v>445</v>
      </c>
      <c r="N102" s="2">
        <v>39272</v>
      </c>
      <c r="O102" s="2">
        <v>39275</v>
      </c>
      <c r="P102" s="133">
        <v>39308</v>
      </c>
      <c r="Q102" s="6">
        <v>1</v>
      </c>
      <c r="R102" s="6">
        <v>1</v>
      </c>
      <c r="S102" s="6">
        <v>1</v>
      </c>
      <c r="T102" s="120" t="s">
        <v>178</v>
      </c>
      <c r="U102" s="6">
        <v>1</v>
      </c>
      <c r="V102" s="6" t="s">
        <v>72</v>
      </c>
      <c r="W102" s="5" t="s">
        <v>72</v>
      </c>
      <c r="X102" s="6" t="s">
        <v>72</v>
      </c>
      <c r="Y102" s="6" t="s">
        <v>72</v>
      </c>
      <c r="Z102" s="6" t="s">
        <v>72</v>
      </c>
      <c r="AA102" s="6" t="s">
        <v>72</v>
      </c>
      <c r="AB102" s="6" t="s">
        <v>72</v>
      </c>
      <c r="AC102" s="6" t="s">
        <v>208</v>
      </c>
    </row>
    <row r="103" spans="1:29" x14ac:dyDescent="0.25">
      <c r="A103" s="145" t="str">
        <f>HYPERLINK("http://www.ofsted.gov.uk/inspection-reports/find-inspection-report/provider/ELS/50857  ","Ofsted Webpage")</f>
        <v>Ofsted Webpage</v>
      </c>
      <c r="B103" s="151">
        <v>50857</v>
      </c>
      <c r="C103" s="151">
        <v>10000929</v>
      </c>
      <c r="D103" s="46" t="s">
        <v>2651</v>
      </c>
      <c r="E103" s="26" t="s">
        <v>78</v>
      </c>
      <c r="F103" s="26" t="s">
        <v>79</v>
      </c>
      <c r="G103" s="26" t="s">
        <v>276</v>
      </c>
      <c r="H103" s="26" t="s">
        <v>193</v>
      </c>
      <c r="I103" s="26" t="s">
        <v>193</v>
      </c>
      <c r="J103" s="2" t="s">
        <v>72</v>
      </c>
      <c r="K103" s="141" t="s">
        <v>72</v>
      </c>
      <c r="L103" s="141">
        <v>10011471</v>
      </c>
      <c r="M103" s="26" t="s">
        <v>183</v>
      </c>
      <c r="N103" s="2">
        <v>42549</v>
      </c>
      <c r="O103" s="2">
        <v>42552</v>
      </c>
      <c r="P103" s="133">
        <v>42576</v>
      </c>
      <c r="Q103" s="6">
        <v>3</v>
      </c>
      <c r="R103" s="6">
        <v>3</v>
      </c>
      <c r="S103" s="6">
        <v>3</v>
      </c>
      <c r="T103" s="6">
        <v>3</v>
      </c>
      <c r="U103" s="6">
        <v>3</v>
      </c>
      <c r="V103" s="6" t="s">
        <v>2652</v>
      </c>
      <c r="W103" s="5">
        <v>41320</v>
      </c>
      <c r="X103" s="6">
        <v>2</v>
      </c>
      <c r="Y103" s="6">
        <v>2</v>
      </c>
      <c r="Z103" s="6">
        <v>2</v>
      </c>
      <c r="AA103" s="6" t="s">
        <v>178</v>
      </c>
      <c r="AB103" s="6">
        <v>2</v>
      </c>
      <c r="AC103" s="6" t="s">
        <v>201</v>
      </c>
    </row>
    <row r="104" spans="1:29" x14ac:dyDescent="0.25">
      <c r="A104" s="145" t="str">
        <f>HYPERLINK("http://www.ofsted.gov.uk/inspection-reports/find-inspection-report/provider/ELS/50858  ","Ofsted Webpage")</f>
        <v>Ofsted Webpage</v>
      </c>
      <c r="B104" s="151">
        <v>50858</v>
      </c>
      <c r="C104" s="151">
        <v>10000931</v>
      </c>
      <c r="D104" s="46" t="s">
        <v>987</v>
      </c>
      <c r="E104" s="26" t="s">
        <v>77</v>
      </c>
      <c r="F104" s="26" t="s">
        <v>76</v>
      </c>
      <c r="G104" s="26" t="s">
        <v>604</v>
      </c>
      <c r="H104" s="26" t="s">
        <v>287</v>
      </c>
      <c r="I104" s="26" t="s">
        <v>287</v>
      </c>
      <c r="J104" s="2">
        <v>42355</v>
      </c>
      <c r="K104" s="141">
        <v>1</v>
      </c>
      <c r="L104" s="141" t="s">
        <v>988</v>
      </c>
      <c r="M104" s="26" t="s">
        <v>445</v>
      </c>
      <c r="N104" s="2">
        <v>40393</v>
      </c>
      <c r="O104" s="2">
        <v>40396</v>
      </c>
      <c r="P104" s="133">
        <v>40434</v>
      </c>
      <c r="Q104" s="6">
        <v>2</v>
      </c>
      <c r="R104" s="6">
        <v>2</v>
      </c>
      <c r="S104" s="6">
        <v>2</v>
      </c>
      <c r="T104" s="120" t="s">
        <v>178</v>
      </c>
      <c r="U104" s="6">
        <v>2</v>
      </c>
      <c r="V104" s="6" t="s">
        <v>989</v>
      </c>
      <c r="W104" s="5">
        <v>38638</v>
      </c>
      <c r="X104" s="6">
        <v>1</v>
      </c>
      <c r="Y104" s="6" t="s">
        <v>178</v>
      </c>
      <c r="Z104" s="6" t="s">
        <v>178</v>
      </c>
      <c r="AA104" s="6" t="s">
        <v>178</v>
      </c>
      <c r="AB104" s="6">
        <v>1</v>
      </c>
      <c r="AC104" s="6" t="s">
        <v>201</v>
      </c>
    </row>
    <row r="105" spans="1:29" x14ac:dyDescent="0.25">
      <c r="A105" s="145" t="str">
        <f>HYPERLINK("http://www.ofsted.gov.uk/inspection-reports/find-inspection-report/provider/ELS/50888  ","Ofsted Webpage")</f>
        <v>Ofsted Webpage</v>
      </c>
      <c r="B105" s="151">
        <v>50888</v>
      </c>
      <c r="C105" s="151">
        <v>10009063</v>
      </c>
      <c r="D105" s="46" t="s">
        <v>748</v>
      </c>
      <c r="E105" s="26" t="s">
        <v>77</v>
      </c>
      <c r="F105" s="26" t="s">
        <v>76</v>
      </c>
      <c r="G105" s="26" t="s">
        <v>291</v>
      </c>
      <c r="H105" s="26" t="s">
        <v>175</v>
      </c>
      <c r="I105" s="26" t="s">
        <v>175</v>
      </c>
      <c r="J105" s="2">
        <v>42900</v>
      </c>
      <c r="K105" s="141">
        <v>1</v>
      </c>
      <c r="L105" s="141" t="s">
        <v>749</v>
      </c>
      <c r="M105" s="26" t="s">
        <v>549</v>
      </c>
      <c r="N105" s="2">
        <v>41673</v>
      </c>
      <c r="O105" s="2">
        <v>41675</v>
      </c>
      <c r="P105" s="133">
        <v>41710</v>
      </c>
      <c r="Q105" s="6">
        <v>2</v>
      </c>
      <c r="R105" s="6">
        <v>2</v>
      </c>
      <c r="S105" s="6">
        <v>2</v>
      </c>
      <c r="T105" s="120" t="s">
        <v>178</v>
      </c>
      <c r="U105" s="6">
        <v>2</v>
      </c>
      <c r="V105" s="6" t="s">
        <v>750</v>
      </c>
      <c r="W105" s="5">
        <v>39885</v>
      </c>
      <c r="X105" s="6">
        <v>2</v>
      </c>
      <c r="Y105" s="6">
        <v>2</v>
      </c>
      <c r="Z105" s="6">
        <v>2</v>
      </c>
      <c r="AA105" s="6" t="s">
        <v>178</v>
      </c>
      <c r="AB105" s="6">
        <v>2</v>
      </c>
      <c r="AC105" s="6" t="s">
        <v>180</v>
      </c>
    </row>
    <row r="106" spans="1:29" x14ac:dyDescent="0.25">
      <c r="A106" s="145" t="str">
        <f>HYPERLINK("http://www.ofsted.gov.uk/inspection-reports/find-inspection-report/provider/ELS/50893  ","Ofsted Webpage")</f>
        <v>Ofsted Webpage</v>
      </c>
      <c r="B106" s="151">
        <v>50893</v>
      </c>
      <c r="C106" s="151">
        <v>10000994</v>
      </c>
      <c r="D106" s="46" t="s">
        <v>2653</v>
      </c>
      <c r="E106" s="26" t="s">
        <v>78</v>
      </c>
      <c r="F106" s="26" t="s">
        <v>79</v>
      </c>
      <c r="G106" s="26" t="s">
        <v>855</v>
      </c>
      <c r="H106" s="26" t="s">
        <v>175</v>
      </c>
      <c r="I106" s="26" t="s">
        <v>175</v>
      </c>
      <c r="J106" s="2" t="s">
        <v>72</v>
      </c>
      <c r="K106" s="141" t="s">
        <v>72</v>
      </c>
      <c r="L106" s="141" t="s">
        <v>2654</v>
      </c>
      <c r="M106" s="26" t="s">
        <v>445</v>
      </c>
      <c r="N106" s="2">
        <v>39671</v>
      </c>
      <c r="O106" s="2">
        <v>39673</v>
      </c>
      <c r="P106" s="133">
        <v>39716</v>
      </c>
      <c r="Q106" s="6">
        <v>3</v>
      </c>
      <c r="R106" s="6">
        <v>4</v>
      </c>
      <c r="S106" s="6">
        <v>3</v>
      </c>
      <c r="T106" s="120" t="s">
        <v>178</v>
      </c>
      <c r="U106" s="6">
        <v>3</v>
      </c>
      <c r="V106" s="6" t="s">
        <v>72</v>
      </c>
      <c r="W106" s="5" t="s">
        <v>72</v>
      </c>
      <c r="X106" s="6" t="s">
        <v>72</v>
      </c>
      <c r="Y106" s="6" t="s">
        <v>72</v>
      </c>
      <c r="Z106" s="6" t="s">
        <v>72</v>
      </c>
      <c r="AA106" s="6" t="s">
        <v>72</v>
      </c>
      <c r="AB106" s="6" t="s">
        <v>72</v>
      </c>
      <c r="AC106" s="6" t="s">
        <v>208</v>
      </c>
    </row>
    <row r="107" spans="1:29" x14ac:dyDescent="0.25">
      <c r="A107" s="145" t="str">
        <f>HYPERLINK("http://www.ofsted.gov.uk/inspection-reports/find-inspection-report/provider/ELS/50898  ","Ofsted Webpage")</f>
        <v>Ofsted Webpage</v>
      </c>
      <c r="B107" s="151">
        <v>50898</v>
      </c>
      <c r="C107" s="151">
        <v>10001008</v>
      </c>
      <c r="D107" s="46" t="s">
        <v>805</v>
      </c>
      <c r="E107" s="26" t="s">
        <v>75</v>
      </c>
      <c r="F107" s="26" t="s">
        <v>76</v>
      </c>
      <c r="G107" s="26" t="s">
        <v>806</v>
      </c>
      <c r="H107" s="26" t="s">
        <v>238</v>
      </c>
      <c r="I107" s="26" t="s">
        <v>238</v>
      </c>
      <c r="J107" s="2">
        <v>42333</v>
      </c>
      <c r="K107" s="141">
        <v>1</v>
      </c>
      <c r="L107" s="141" t="s">
        <v>807</v>
      </c>
      <c r="M107" s="26" t="s">
        <v>549</v>
      </c>
      <c r="N107" s="2">
        <v>40252</v>
      </c>
      <c r="O107" s="2">
        <v>40256</v>
      </c>
      <c r="P107" s="133">
        <v>40319</v>
      </c>
      <c r="Q107" s="6">
        <v>2</v>
      </c>
      <c r="R107" s="6">
        <v>2</v>
      </c>
      <c r="S107" s="6">
        <v>2</v>
      </c>
      <c r="T107" s="120" t="s">
        <v>178</v>
      </c>
      <c r="U107" s="6">
        <v>2</v>
      </c>
      <c r="V107" s="6" t="s">
        <v>808</v>
      </c>
      <c r="W107" s="5">
        <v>38751</v>
      </c>
      <c r="X107" s="6">
        <v>2</v>
      </c>
      <c r="Y107" s="6" t="s">
        <v>178</v>
      </c>
      <c r="Z107" s="6" t="s">
        <v>178</v>
      </c>
      <c r="AA107" s="6" t="s">
        <v>178</v>
      </c>
      <c r="AB107" s="6">
        <v>2</v>
      </c>
      <c r="AC107" s="6" t="s">
        <v>180</v>
      </c>
    </row>
    <row r="108" spans="1:29" x14ac:dyDescent="0.25">
      <c r="A108" s="145" t="str">
        <f>HYPERLINK("http://www.ofsted.gov.uk/inspection-reports/find-inspection-report/provider/ELS/50936  ","Ofsted Webpage")</f>
        <v>Ofsted Webpage</v>
      </c>
      <c r="B108" s="151">
        <v>50936</v>
      </c>
      <c r="C108" s="151">
        <v>10030637</v>
      </c>
      <c r="D108" s="46" t="s">
        <v>1422</v>
      </c>
      <c r="E108" s="26" t="s">
        <v>80</v>
      </c>
      <c r="F108" s="26" t="s">
        <v>79</v>
      </c>
      <c r="G108" s="26" t="s">
        <v>254</v>
      </c>
      <c r="H108" s="26" t="s">
        <v>193</v>
      </c>
      <c r="I108" s="26" t="s">
        <v>193</v>
      </c>
      <c r="J108" s="2" t="s">
        <v>72</v>
      </c>
      <c r="K108" s="141" t="s">
        <v>72</v>
      </c>
      <c r="L108" s="141">
        <v>10022580</v>
      </c>
      <c r="M108" s="26" t="s">
        <v>183</v>
      </c>
      <c r="N108" s="2">
        <v>42767</v>
      </c>
      <c r="O108" s="2">
        <v>42775</v>
      </c>
      <c r="P108" s="133">
        <v>42810</v>
      </c>
      <c r="Q108" s="6">
        <v>1</v>
      </c>
      <c r="R108" s="6">
        <v>1</v>
      </c>
      <c r="S108" s="6">
        <v>1</v>
      </c>
      <c r="T108" s="6">
        <v>1</v>
      </c>
      <c r="U108" s="6">
        <v>1</v>
      </c>
      <c r="V108" s="6" t="s">
        <v>1423</v>
      </c>
      <c r="W108" s="5">
        <v>41201</v>
      </c>
      <c r="X108" s="6">
        <v>2</v>
      </c>
      <c r="Y108" s="6">
        <v>2</v>
      </c>
      <c r="Z108" s="6">
        <v>2</v>
      </c>
      <c r="AA108" s="6" t="s">
        <v>178</v>
      </c>
      <c r="AB108" s="6">
        <v>2</v>
      </c>
      <c r="AC108" s="6" t="s">
        <v>216</v>
      </c>
    </row>
    <row r="109" spans="1:29" x14ac:dyDescent="0.25">
      <c r="A109" s="145" t="str">
        <f>HYPERLINK("http://www.ofsted.gov.uk/inspection-reports/find-inspection-report/provider/ELS/50949  ","Ofsted Webpage")</f>
        <v>Ofsted Webpage</v>
      </c>
      <c r="B109" s="151">
        <v>50949</v>
      </c>
      <c r="C109" s="151">
        <v>10001078</v>
      </c>
      <c r="D109" s="46" t="s">
        <v>2660</v>
      </c>
      <c r="E109" s="26" t="s">
        <v>78</v>
      </c>
      <c r="F109" s="26" t="s">
        <v>79</v>
      </c>
      <c r="G109" s="26" t="s">
        <v>714</v>
      </c>
      <c r="H109" s="26" t="s">
        <v>204</v>
      </c>
      <c r="I109" s="26" t="s">
        <v>188</v>
      </c>
      <c r="J109" s="2">
        <v>42467</v>
      </c>
      <c r="K109" s="141">
        <v>1</v>
      </c>
      <c r="L109" s="141" t="s">
        <v>2661</v>
      </c>
      <c r="M109" s="26" t="s">
        <v>333</v>
      </c>
      <c r="N109" s="2">
        <v>40750</v>
      </c>
      <c r="O109" s="2">
        <v>40753</v>
      </c>
      <c r="P109" s="133">
        <v>40779</v>
      </c>
      <c r="Q109" s="6">
        <v>2</v>
      </c>
      <c r="R109" s="6">
        <v>2</v>
      </c>
      <c r="S109" s="6">
        <v>3</v>
      </c>
      <c r="T109" s="120" t="s">
        <v>178</v>
      </c>
      <c r="U109" s="6">
        <v>2</v>
      </c>
      <c r="V109" s="6" t="s">
        <v>2662</v>
      </c>
      <c r="W109" s="5">
        <v>38953</v>
      </c>
      <c r="X109" s="6">
        <v>2</v>
      </c>
      <c r="Y109" s="6" t="s">
        <v>178</v>
      </c>
      <c r="Z109" s="6" t="s">
        <v>178</v>
      </c>
      <c r="AA109" s="6" t="s">
        <v>178</v>
      </c>
      <c r="AB109" s="6">
        <v>2</v>
      </c>
      <c r="AC109" s="6" t="s">
        <v>180</v>
      </c>
    </row>
    <row r="110" spans="1:29" x14ac:dyDescent="0.25">
      <c r="A110" s="145" t="str">
        <f>HYPERLINK("http://www.ofsted.gov.uk/inspection-reports/find-inspection-report/provider/ELS/50958  ","Ofsted Webpage")</f>
        <v>Ofsted Webpage</v>
      </c>
      <c r="B110" s="151">
        <v>50958</v>
      </c>
      <c r="C110" s="151">
        <v>10001094</v>
      </c>
      <c r="D110" s="46" t="s">
        <v>809</v>
      </c>
      <c r="E110" s="26" t="s">
        <v>75</v>
      </c>
      <c r="F110" s="26" t="s">
        <v>76</v>
      </c>
      <c r="G110" s="26" t="s">
        <v>668</v>
      </c>
      <c r="H110" s="26" t="s">
        <v>187</v>
      </c>
      <c r="I110" s="26" t="s">
        <v>188</v>
      </c>
      <c r="J110" s="2" t="s">
        <v>72</v>
      </c>
      <c r="K110" s="141" t="s">
        <v>72</v>
      </c>
      <c r="L110" s="141">
        <v>10004896</v>
      </c>
      <c r="M110" s="26" t="s">
        <v>308</v>
      </c>
      <c r="N110" s="2">
        <v>42422</v>
      </c>
      <c r="O110" s="2">
        <v>42437</v>
      </c>
      <c r="P110" s="133">
        <v>42468</v>
      </c>
      <c r="Q110" s="6">
        <v>3</v>
      </c>
      <c r="R110" s="6">
        <v>3</v>
      </c>
      <c r="S110" s="6">
        <v>3</v>
      </c>
      <c r="T110" s="6">
        <v>3</v>
      </c>
      <c r="U110" s="6">
        <v>3</v>
      </c>
      <c r="V110" s="6" t="s">
        <v>810</v>
      </c>
      <c r="W110" s="5">
        <v>40641</v>
      </c>
      <c r="X110" s="6">
        <v>2</v>
      </c>
      <c r="Y110" s="6">
        <v>2</v>
      </c>
      <c r="Z110" s="6">
        <v>2</v>
      </c>
      <c r="AA110" s="6" t="s">
        <v>178</v>
      </c>
      <c r="AB110" s="6">
        <v>2</v>
      </c>
      <c r="AC110" s="6" t="s">
        <v>201</v>
      </c>
    </row>
    <row r="111" spans="1:29" x14ac:dyDescent="0.25">
      <c r="A111" s="145" t="str">
        <f>HYPERLINK("http://www.ofsted.gov.uk/inspection-reports/find-inspection-report/provider/ELS/50971  ","Ofsted Webpage")</f>
        <v>Ofsted Webpage</v>
      </c>
      <c r="B111" s="151">
        <v>50971</v>
      </c>
      <c r="C111" s="151">
        <v>10001123</v>
      </c>
      <c r="D111" s="46" t="s">
        <v>811</v>
      </c>
      <c r="E111" s="26" t="s">
        <v>75</v>
      </c>
      <c r="F111" s="26" t="s">
        <v>76</v>
      </c>
      <c r="G111" s="26" t="s">
        <v>604</v>
      </c>
      <c r="H111" s="26" t="s">
        <v>287</v>
      </c>
      <c r="I111" s="26" t="s">
        <v>287</v>
      </c>
      <c r="J111" s="2">
        <v>42517</v>
      </c>
      <c r="K111" s="141">
        <v>1</v>
      </c>
      <c r="L111" s="141" t="s">
        <v>812</v>
      </c>
      <c r="M111" s="26" t="s">
        <v>549</v>
      </c>
      <c r="N111" s="2">
        <v>40609</v>
      </c>
      <c r="O111" s="2">
        <v>40613</v>
      </c>
      <c r="P111" s="133">
        <v>40648</v>
      </c>
      <c r="Q111" s="6">
        <v>2</v>
      </c>
      <c r="R111" s="6">
        <v>2</v>
      </c>
      <c r="S111" s="6">
        <v>2</v>
      </c>
      <c r="T111" s="120" t="s">
        <v>178</v>
      </c>
      <c r="U111" s="6">
        <v>2</v>
      </c>
      <c r="V111" s="6" t="s">
        <v>813</v>
      </c>
      <c r="W111" s="5">
        <v>39052</v>
      </c>
      <c r="X111" s="6">
        <v>3</v>
      </c>
      <c r="Y111" s="6" t="s">
        <v>178</v>
      </c>
      <c r="Z111" s="6" t="s">
        <v>178</v>
      </c>
      <c r="AA111" s="6" t="s">
        <v>178</v>
      </c>
      <c r="AB111" s="6">
        <v>3</v>
      </c>
      <c r="AC111" s="6" t="s">
        <v>216</v>
      </c>
    </row>
    <row r="112" spans="1:29" x14ac:dyDescent="0.25">
      <c r="A112" s="145" t="str">
        <f>HYPERLINK("http://www.ofsted.gov.uk/inspection-reports/find-inspection-report/provider/ELS/50992  ","Ofsted Webpage")</f>
        <v>Ofsted Webpage</v>
      </c>
      <c r="B112" s="151">
        <v>50992</v>
      </c>
      <c r="C112" s="151">
        <v>10001145</v>
      </c>
      <c r="D112" s="46" t="s">
        <v>2663</v>
      </c>
      <c r="E112" s="26" t="s">
        <v>78</v>
      </c>
      <c r="F112" s="26" t="s">
        <v>79</v>
      </c>
      <c r="G112" s="26" t="s">
        <v>504</v>
      </c>
      <c r="H112" s="26" t="s">
        <v>214</v>
      </c>
      <c r="I112" s="26" t="s">
        <v>214</v>
      </c>
      <c r="J112" s="2" t="s">
        <v>72</v>
      </c>
      <c r="K112" s="141" t="s">
        <v>72</v>
      </c>
      <c r="L112" s="141">
        <v>10022565</v>
      </c>
      <c r="M112" s="26" t="s">
        <v>211</v>
      </c>
      <c r="N112" s="2">
        <v>42654</v>
      </c>
      <c r="O112" s="2">
        <v>42656</v>
      </c>
      <c r="P112" s="133">
        <v>42691</v>
      </c>
      <c r="Q112" s="6">
        <v>2</v>
      </c>
      <c r="R112" s="6">
        <v>2</v>
      </c>
      <c r="S112" s="6">
        <v>2</v>
      </c>
      <c r="T112" s="6">
        <v>2</v>
      </c>
      <c r="U112" s="6">
        <v>2</v>
      </c>
      <c r="V112" s="6" t="s">
        <v>2664</v>
      </c>
      <c r="W112" s="5">
        <v>41830</v>
      </c>
      <c r="X112" s="6">
        <v>2</v>
      </c>
      <c r="Y112" s="6">
        <v>2</v>
      </c>
      <c r="Z112" s="6">
        <v>2</v>
      </c>
      <c r="AA112" s="6" t="s">
        <v>178</v>
      </c>
      <c r="AB112" s="6">
        <v>2</v>
      </c>
      <c r="AC112" s="6" t="s">
        <v>180</v>
      </c>
    </row>
    <row r="113" spans="1:29" x14ac:dyDescent="0.25">
      <c r="A113" s="145" t="str">
        <f>HYPERLINK("http://www.ofsted.gov.uk/inspection-reports/find-inspection-report/provider/ELS/51002  ","Ofsted Webpage")</f>
        <v>Ofsted Webpage</v>
      </c>
      <c r="B113" s="151">
        <v>51002</v>
      </c>
      <c r="C113" s="151">
        <v>10006622</v>
      </c>
      <c r="D113" s="46" t="s">
        <v>2389</v>
      </c>
      <c r="E113" s="26" t="s">
        <v>78</v>
      </c>
      <c r="F113" s="26" t="s">
        <v>79</v>
      </c>
      <c r="G113" s="26" t="s">
        <v>458</v>
      </c>
      <c r="H113" s="26" t="s">
        <v>219</v>
      </c>
      <c r="I113" s="26" t="s">
        <v>219</v>
      </c>
      <c r="J113" s="2" t="s">
        <v>72</v>
      </c>
      <c r="K113" s="141" t="s">
        <v>72</v>
      </c>
      <c r="L113" s="141">
        <v>10011473</v>
      </c>
      <c r="M113" s="26" t="s">
        <v>183</v>
      </c>
      <c r="N113" s="2">
        <v>42514</v>
      </c>
      <c r="O113" s="2">
        <v>42517</v>
      </c>
      <c r="P113" s="133">
        <v>42544</v>
      </c>
      <c r="Q113" s="6">
        <v>2</v>
      </c>
      <c r="R113" s="6">
        <v>2</v>
      </c>
      <c r="S113" s="6">
        <v>2</v>
      </c>
      <c r="T113" s="6">
        <v>2</v>
      </c>
      <c r="U113" s="6">
        <v>2</v>
      </c>
      <c r="V113" s="6" t="s">
        <v>2390</v>
      </c>
      <c r="W113" s="5">
        <v>40207</v>
      </c>
      <c r="X113" s="6">
        <v>2</v>
      </c>
      <c r="Y113" s="6">
        <v>2</v>
      </c>
      <c r="Z113" s="6">
        <v>2</v>
      </c>
      <c r="AA113" s="6" t="s">
        <v>178</v>
      </c>
      <c r="AB113" s="6">
        <v>2</v>
      </c>
      <c r="AC113" s="6" t="s">
        <v>180</v>
      </c>
    </row>
    <row r="114" spans="1:29" x14ac:dyDescent="0.25">
      <c r="A114" s="145" t="str">
        <f>HYPERLINK("http://www.ofsted.gov.uk/inspection-reports/find-inspection-report/provider/ELS/51005  ","Ofsted Webpage")</f>
        <v>Ofsted Webpage</v>
      </c>
      <c r="B114" s="151">
        <v>51005</v>
      </c>
      <c r="C114" s="151">
        <v>10001174</v>
      </c>
      <c r="D114" s="46" t="s">
        <v>2149</v>
      </c>
      <c r="E114" s="26" t="s">
        <v>78</v>
      </c>
      <c r="F114" s="26" t="s">
        <v>79</v>
      </c>
      <c r="G114" s="26" t="s">
        <v>331</v>
      </c>
      <c r="H114" s="26" t="s">
        <v>214</v>
      </c>
      <c r="I114" s="26" t="s">
        <v>214</v>
      </c>
      <c r="J114" s="2" t="s">
        <v>72</v>
      </c>
      <c r="K114" s="141" t="s">
        <v>72</v>
      </c>
      <c r="L114" s="141">
        <v>10004899</v>
      </c>
      <c r="M114" s="26" t="s">
        <v>211</v>
      </c>
      <c r="N114" s="2">
        <v>42598</v>
      </c>
      <c r="O114" s="2">
        <v>42601</v>
      </c>
      <c r="P114" s="133">
        <v>42626</v>
      </c>
      <c r="Q114" s="6">
        <v>2</v>
      </c>
      <c r="R114" s="6">
        <v>2</v>
      </c>
      <c r="S114" s="6">
        <v>2</v>
      </c>
      <c r="T114" s="6">
        <v>2</v>
      </c>
      <c r="U114" s="6">
        <v>2</v>
      </c>
      <c r="V114" s="6" t="s">
        <v>2150</v>
      </c>
      <c r="W114" s="5">
        <v>41726</v>
      </c>
      <c r="X114" s="6">
        <v>2</v>
      </c>
      <c r="Y114" s="6">
        <v>2</v>
      </c>
      <c r="Z114" s="6">
        <v>2</v>
      </c>
      <c r="AA114" s="6" t="s">
        <v>178</v>
      </c>
      <c r="AB114" s="6">
        <v>2</v>
      </c>
      <c r="AC114" s="6" t="s">
        <v>180</v>
      </c>
    </row>
    <row r="115" spans="1:29" x14ac:dyDescent="0.25">
      <c r="A115" s="145" t="str">
        <f>HYPERLINK("http://www.ofsted.gov.uk/inspection-reports/find-inspection-report/provider/ELS/51025  ","Ofsted Webpage")</f>
        <v>Ofsted Webpage</v>
      </c>
      <c r="B115" s="151">
        <v>51025</v>
      </c>
      <c r="C115" s="151">
        <v>10001182</v>
      </c>
      <c r="D115" s="46" t="s">
        <v>2138</v>
      </c>
      <c r="E115" s="26" t="s">
        <v>78</v>
      </c>
      <c r="F115" s="26" t="s">
        <v>79</v>
      </c>
      <c r="G115" s="26" t="s">
        <v>914</v>
      </c>
      <c r="H115" s="26" t="s">
        <v>187</v>
      </c>
      <c r="I115" s="26" t="s">
        <v>188</v>
      </c>
      <c r="J115" s="2" t="s">
        <v>72</v>
      </c>
      <c r="K115" s="141" t="s">
        <v>72</v>
      </c>
      <c r="L115" s="141">
        <v>10008484</v>
      </c>
      <c r="M115" s="26" t="s">
        <v>448</v>
      </c>
      <c r="N115" s="2">
        <v>42395</v>
      </c>
      <c r="O115" s="2">
        <v>42398</v>
      </c>
      <c r="P115" s="133">
        <v>42416</v>
      </c>
      <c r="Q115" s="6">
        <v>2</v>
      </c>
      <c r="R115" s="6">
        <v>2</v>
      </c>
      <c r="S115" s="6">
        <v>2</v>
      </c>
      <c r="T115" s="6">
        <v>2</v>
      </c>
      <c r="U115" s="6">
        <v>2</v>
      </c>
      <c r="V115" s="6" t="s">
        <v>2139</v>
      </c>
      <c r="W115" s="5">
        <v>41824</v>
      </c>
      <c r="X115" s="6">
        <v>3</v>
      </c>
      <c r="Y115" s="6">
        <v>3</v>
      </c>
      <c r="Z115" s="6">
        <v>3</v>
      </c>
      <c r="AA115" s="6" t="s">
        <v>178</v>
      </c>
      <c r="AB115" s="6">
        <v>3</v>
      </c>
      <c r="AC115" s="6" t="s">
        <v>216</v>
      </c>
    </row>
    <row r="116" spans="1:29" x14ac:dyDescent="0.25">
      <c r="A116" s="145" t="str">
        <f>HYPERLINK("http://www.ofsted.gov.uk/inspection-reports/find-inspection-report/provider/ELS/51036  ","Ofsted Webpage")</f>
        <v>Ofsted Webpage</v>
      </c>
      <c r="B116" s="151">
        <v>51036</v>
      </c>
      <c r="C116" s="151">
        <v>10001193</v>
      </c>
      <c r="D116" s="46" t="s">
        <v>1424</v>
      </c>
      <c r="E116" s="26" t="s">
        <v>80</v>
      </c>
      <c r="F116" s="26" t="s">
        <v>79</v>
      </c>
      <c r="G116" s="26" t="s">
        <v>565</v>
      </c>
      <c r="H116" s="26" t="s">
        <v>193</v>
      </c>
      <c r="I116" s="26" t="s">
        <v>193</v>
      </c>
      <c r="J116" s="2" t="s">
        <v>72</v>
      </c>
      <c r="K116" s="141" t="s">
        <v>72</v>
      </c>
      <c r="L116" s="141">
        <v>10020124</v>
      </c>
      <c r="M116" s="26" t="s">
        <v>183</v>
      </c>
      <c r="N116" s="2">
        <v>42669</v>
      </c>
      <c r="O116" s="2">
        <v>42676</v>
      </c>
      <c r="P116" s="133">
        <v>42716</v>
      </c>
      <c r="Q116" s="6">
        <v>3</v>
      </c>
      <c r="R116" s="6">
        <v>3</v>
      </c>
      <c r="S116" s="6">
        <v>3</v>
      </c>
      <c r="T116" s="6">
        <v>3</v>
      </c>
      <c r="U116" s="6">
        <v>3</v>
      </c>
      <c r="V116" s="6" t="s">
        <v>1425</v>
      </c>
      <c r="W116" s="5">
        <v>41488</v>
      </c>
      <c r="X116" s="6">
        <v>2</v>
      </c>
      <c r="Y116" s="6">
        <v>3</v>
      </c>
      <c r="Z116" s="6">
        <v>2</v>
      </c>
      <c r="AA116" s="6" t="s">
        <v>178</v>
      </c>
      <c r="AB116" s="6">
        <v>2</v>
      </c>
      <c r="AC116" s="6" t="s">
        <v>201</v>
      </c>
    </row>
    <row r="117" spans="1:29" x14ac:dyDescent="0.25">
      <c r="A117" s="145" t="str">
        <f>HYPERLINK("http://www.ofsted.gov.uk/inspection-reports/find-inspection-report/provider/ELS/51072  ","Ofsted Webpage")</f>
        <v>Ofsted Webpage</v>
      </c>
      <c r="B117" s="151">
        <v>51072</v>
      </c>
      <c r="C117" s="151">
        <v>10001259</v>
      </c>
      <c r="D117" s="46" t="s">
        <v>2431</v>
      </c>
      <c r="E117" s="26" t="s">
        <v>78</v>
      </c>
      <c r="F117" s="26" t="s">
        <v>79</v>
      </c>
      <c r="G117" s="26" t="s">
        <v>1406</v>
      </c>
      <c r="H117" s="26" t="s">
        <v>287</v>
      </c>
      <c r="I117" s="26" t="s">
        <v>287</v>
      </c>
      <c r="J117" s="2" t="s">
        <v>72</v>
      </c>
      <c r="K117" s="141" t="s">
        <v>72</v>
      </c>
      <c r="L117" s="141" t="s">
        <v>2432</v>
      </c>
      <c r="M117" s="26" t="s">
        <v>333</v>
      </c>
      <c r="N117" s="2">
        <v>42065</v>
      </c>
      <c r="O117" s="2">
        <v>42069</v>
      </c>
      <c r="P117" s="133">
        <v>42108</v>
      </c>
      <c r="Q117" s="6">
        <v>2</v>
      </c>
      <c r="R117" s="6">
        <v>2</v>
      </c>
      <c r="S117" s="6">
        <v>2</v>
      </c>
      <c r="T117" s="120" t="s">
        <v>178</v>
      </c>
      <c r="U117" s="6">
        <v>2</v>
      </c>
      <c r="V117" s="6" t="s">
        <v>2433</v>
      </c>
      <c r="W117" s="5">
        <v>40326</v>
      </c>
      <c r="X117" s="6">
        <v>2</v>
      </c>
      <c r="Y117" s="6">
        <v>2</v>
      </c>
      <c r="Z117" s="6">
        <v>2</v>
      </c>
      <c r="AA117" s="6" t="s">
        <v>178</v>
      </c>
      <c r="AB117" s="6">
        <v>2</v>
      </c>
      <c r="AC117" s="6" t="s">
        <v>180</v>
      </c>
    </row>
    <row r="118" spans="1:29" x14ac:dyDescent="0.25">
      <c r="A118" s="145" t="str">
        <f>HYPERLINK("http://www.ofsted.gov.uk/inspection-reports/find-inspection-report/provider/ELS/51097  ","Ofsted Webpage")</f>
        <v>Ofsted Webpage</v>
      </c>
      <c r="B118" s="151">
        <v>51097</v>
      </c>
      <c r="C118" s="151">
        <v>10032017</v>
      </c>
      <c r="D118" s="46" t="s">
        <v>753</v>
      </c>
      <c r="E118" s="26" t="s">
        <v>77</v>
      </c>
      <c r="F118" s="26" t="s">
        <v>76</v>
      </c>
      <c r="G118" s="26" t="s">
        <v>213</v>
      </c>
      <c r="H118" s="26" t="s">
        <v>214</v>
      </c>
      <c r="I118" s="26" t="s">
        <v>214</v>
      </c>
      <c r="J118" s="2">
        <v>43012</v>
      </c>
      <c r="K118" s="141">
        <v>1</v>
      </c>
      <c r="L118" s="141" t="s">
        <v>754</v>
      </c>
      <c r="M118" s="26" t="s">
        <v>342</v>
      </c>
      <c r="N118" s="2">
        <v>41674</v>
      </c>
      <c r="O118" s="2">
        <v>41677</v>
      </c>
      <c r="P118" s="133">
        <v>41710</v>
      </c>
      <c r="Q118" s="6">
        <v>2</v>
      </c>
      <c r="R118" s="6">
        <v>2</v>
      </c>
      <c r="S118" s="6">
        <v>2</v>
      </c>
      <c r="T118" s="120" t="s">
        <v>178</v>
      </c>
      <c r="U118" s="6">
        <v>2</v>
      </c>
      <c r="V118" s="6" t="s">
        <v>755</v>
      </c>
      <c r="W118" s="5">
        <v>41180</v>
      </c>
      <c r="X118" s="6">
        <v>3</v>
      </c>
      <c r="Y118" s="6">
        <v>3</v>
      </c>
      <c r="Z118" s="6">
        <v>3</v>
      </c>
      <c r="AA118" s="6" t="s">
        <v>178</v>
      </c>
      <c r="AB118" s="6">
        <v>3</v>
      </c>
      <c r="AC118" s="6" t="s">
        <v>216</v>
      </c>
    </row>
    <row r="119" spans="1:29" x14ac:dyDescent="0.25">
      <c r="A119" s="145" t="str">
        <f>HYPERLINK("http://www.ofsted.gov.uk/inspection-reports/find-inspection-report/provider/ELS/51104  ","Ofsted Webpage")</f>
        <v>Ofsted Webpage</v>
      </c>
      <c r="B119" s="151">
        <v>51104</v>
      </c>
      <c r="C119" s="151">
        <v>10001310</v>
      </c>
      <c r="D119" s="46" t="s">
        <v>2434</v>
      </c>
      <c r="E119" s="26" t="s">
        <v>78</v>
      </c>
      <c r="F119" s="26" t="s">
        <v>79</v>
      </c>
      <c r="G119" s="26" t="s">
        <v>469</v>
      </c>
      <c r="H119" s="26" t="s">
        <v>187</v>
      </c>
      <c r="I119" s="26" t="s">
        <v>188</v>
      </c>
      <c r="J119" s="2" t="s">
        <v>72</v>
      </c>
      <c r="K119" s="141" t="s">
        <v>72</v>
      </c>
      <c r="L119" s="141" t="s">
        <v>2435</v>
      </c>
      <c r="M119" s="26" t="s">
        <v>342</v>
      </c>
      <c r="N119" s="2">
        <v>42016</v>
      </c>
      <c r="O119" s="2">
        <v>42020</v>
      </c>
      <c r="P119" s="133">
        <v>42058</v>
      </c>
      <c r="Q119" s="6">
        <v>2</v>
      </c>
      <c r="R119" s="6">
        <v>2</v>
      </c>
      <c r="S119" s="6">
        <v>2</v>
      </c>
      <c r="T119" s="120" t="s">
        <v>178</v>
      </c>
      <c r="U119" s="6">
        <v>2</v>
      </c>
      <c r="V119" s="6" t="s">
        <v>2436</v>
      </c>
      <c r="W119" s="5">
        <v>41474</v>
      </c>
      <c r="X119" s="6">
        <v>3</v>
      </c>
      <c r="Y119" s="6">
        <v>3</v>
      </c>
      <c r="Z119" s="6">
        <v>3</v>
      </c>
      <c r="AA119" s="6" t="s">
        <v>178</v>
      </c>
      <c r="AB119" s="6">
        <v>3</v>
      </c>
      <c r="AC119" s="6" t="s">
        <v>216</v>
      </c>
    </row>
    <row r="120" spans="1:29" x14ac:dyDescent="0.25">
      <c r="A120" s="145" t="str">
        <f>HYPERLINK("http://www.ofsted.gov.uk/inspection-reports/find-inspection-report/provider/ELS/51142  ","Ofsted Webpage")</f>
        <v>Ofsted Webpage</v>
      </c>
      <c r="B120" s="151">
        <v>51142</v>
      </c>
      <c r="C120" s="151">
        <v>10008159</v>
      </c>
      <c r="D120" s="46" t="s">
        <v>2439</v>
      </c>
      <c r="E120" s="26" t="s">
        <v>78</v>
      </c>
      <c r="F120" s="26" t="s">
        <v>79</v>
      </c>
      <c r="G120" s="26" t="s">
        <v>2440</v>
      </c>
      <c r="H120" s="26" t="s">
        <v>2441</v>
      </c>
      <c r="I120" s="26" t="s">
        <v>175</v>
      </c>
      <c r="J120" s="2" t="s">
        <v>72</v>
      </c>
      <c r="K120" s="141" t="s">
        <v>72</v>
      </c>
      <c r="L120" s="141" t="s">
        <v>2442</v>
      </c>
      <c r="M120" s="26" t="s">
        <v>342</v>
      </c>
      <c r="N120" s="2">
        <v>41869</v>
      </c>
      <c r="O120" s="2">
        <v>41873</v>
      </c>
      <c r="P120" s="133">
        <v>41911</v>
      </c>
      <c r="Q120" s="6">
        <v>2</v>
      </c>
      <c r="R120" s="6">
        <v>2</v>
      </c>
      <c r="S120" s="6">
        <v>2</v>
      </c>
      <c r="T120" s="120" t="s">
        <v>178</v>
      </c>
      <c r="U120" s="6">
        <v>2</v>
      </c>
      <c r="V120" s="6" t="s">
        <v>2443</v>
      </c>
      <c r="W120" s="5">
        <v>41327</v>
      </c>
      <c r="X120" s="6">
        <v>3</v>
      </c>
      <c r="Y120" s="6">
        <v>3</v>
      </c>
      <c r="Z120" s="6">
        <v>3</v>
      </c>
      <c r="AA120" s="6" t="s">
        <v>178</v>
      </c>
      <c r="AB120" s="6">
        <v>3</v>
      </c>
      <c r="AC120" s="6" t="s">
        <v>216</v>
      </c>
    </row>
    <row r="121" spans="1:29" x14ac:dyDescent="0.25">
      <c r="A121" s="145" t="str">
        <f>HYPERLINK("http://www.ofsted.gov.uk/inspection-reports/find-inspection-report/provider/ELS/51149  ","Ofsted Webpage")</f>
        <v>Ofsted Webpage</v>
      </c>
      <c r="B121" s="151">
        <v>51149</v>
      </c>
      <c r="C121" s="151">
        <v>10001394</v>
      </c>
      <c r="D121" s="46" t="s">
        <v>2233</v>
      </c>
      <c r="E121" s="26" t="s">
        <v>78</v>
      </c>
      <c r="F121" s="26" t="s">
        <v>79</v>
      </c>
      <c r="G121" s="26" t="s">
        <v>316</v>
      </c>
      <c r="H121" s="26" t="s">
        <v>219</v>
      </c>
      <c r="I121" s="26" t="s">
        <v>219</v>
      </c>
      <c r="J121" s="2">
        <v>42711</v>
      </c>
      <c r="K121" s="141">
        <v>1</v>
      </c>
      <c r="L121" s="141" t="s">
        <v>2234</v>
      </c>
      <c r="M121" s="26" t="s">
        <v>333</v>
      </c>
      <c r="N121" s="2">
        <v>40994</v>
      </c>
      <c r="O121" s="2">
        <v>40998</v>
      </c>
      <c r="P121" s="133">
        <v>41038</v>
      </c>
      <c r="Q121" s="6">
        <v>2</v>
      </c>
      <c r="R121" s="6">
        <v>2</v>
      </c>
      <c r="S121" s="6">
        <v>2</v>
      </c>
      <c r="T121" s="120" t="s">
        <v>178</v>
      </c>
      <c r="U121" s="6">
        <v>2</v>
      </c>
      <c r="V121" s="6" t="s">
        <v>2235</v>
      </c>
      <c r="W121" s="5">
        <v>39065</v>
      </c>
      <c r="X121" s="6">
        <v>2</v>
      </c>
      <c r="Y121" s="6" t="s">
        <v>178</v>
      </c>
      <c r="Z121" s="6" t="s">
        <v>178</v>
      </c>
      <c r="AA121" s="6" t="s">
        <v>178</v>
      </c>
      <c r="AB121" s="6">
        <v>1</v>
      </c>
      <c r="AC121" s="6" t="s">
        <v>180</v>
      </c>
    </row>
    <row r="122" spans="1:29" x14ac:dyDescent="0.25">
      <c r="A122" s="145" t="str">
        <f>HYPERLINK("http://www.ofsted.gov.uk/inspection-reports/find-inspection-report/provider/ELS/51170  ","Ofsted Webpage")</f>
        <v>Ofsted Webpage</v>
      </c>
      <c r="B122" s="151">
        <v>51170</v>
      </c>
      <c r="C122" s="151">
        <v>10001436</v>
      </c>
      <c r="D122" s="46" t="s">
        <v>1463</v>
      </c>
      <c r="E122" s="26" t="s">
        <v>77</v>
      </c>
      <c r="F122" s="26" t="s">
        <v>76</v>
      </c>
      <c r="G122" s="26" t="s">
        <v>296</v>
      </c>
      <c r="H122" s="26" t="s">
        <v>287</v>
      </c>
      <c r="I122" s="26" t="s">
        <v>287</v>
      </c>
      <c r="J122" s="2" t="s">
        <v>72</v>
      </c>
      <c r="K122" s="141" t="s">
        <v>72</v>
      </c>
      <c r="L122" s="141">
        <v>10030785</v>
      </c>
      <c r="M122" s="26" t="s">
        <v>189</v>
      </c>
      <c r="N122" s="2">
        <v>43018</v>
      </c>
      <c r="O122" s="2">
        <v>43021</v>
      </c>
      <c r="P122" s="133">
        <v>43063</v>
      </c>
      <c r="Q122" s="6">
        <v>1</v>
      </c>
      <c r="R122" s="6">
        <v>1</v>
      </c>
      <c r="S122" s="6">
        <v>1</v>
      </c>
      <c r="T122" s="6">
        <v>1</v>
      </c>
      <c r="U122" s="6">
        <v>1</v>
      </c>
      <c r="V122" s="6" t="s">
        <v>1464</v>
      </c>
      <c r="W122" s="5">
        <v>41243</v>
      </c>
      <c r="X122" s="6">
        <v>1</v>
      </c>
      <c r="Y122" s="6">
        <v>1</v>
      </c>
      <c r="Z122" s="6">
        <v>1</v>
      </c>
      <c r="AA122" s="6" t="s">
        <v>178</v>
      </c>
      <c r="AB122" s="6">
        <v>1</v>
      </c>
      <c r="AC122" s="6" t="s">
        <v>180</v>
      </c>
    </row>
    <row r="123" spans="1:29" x14ac:dyDescent="0.25">
      <c r="A123" s="145" t="str">
        <f>HYPERLINK("http://www.ofsted.gov.uk/inspection-reports/find-inspection-report/provider/ELS/51224  ","Ofsted Webpage")</f>
        <v>Ofsted Webpage</v>
      </c>
      <c r="B123" s="151">
        <v>51224</v>
      </c>
      <c r="C123" s="151">
        <v>10001539</v>
      </c>
      <c r="D123" s="46" t="s">
        <v>2393</v>
      </c>
      <c r="E123" s="26" t="s">
        <v>77</v>
      </c>
      <c r="F123" s="26" t="s">
        <v>76</v>
      </c>
      <c r="G123" s="26" t="s">
        <v>604</v>
      </c>
      <c r="H123" s="26" t="s">
        <v>287</v>
      </c>
      <c r="I123" s="26" t="s">
        <v>287</v>
      </c>
      <c r="J123" s="2" t="s">
        <v>72</v>
      </c>
      <c r="K123" s="141" t="s">
        <v>72</v>
      </c>
      <c r="L123" s="141">
        <v>10004903</v>
      </c>
      <c r="M123" s="26" t="s">
        <v>183</v>
      </c>
      <c r="N123" s="2">
        <v>42408</v>
      </c>
      <c r="O123" s="2">
        <v>42411</v>
      </c>
      <c r="P123" s="133">
        <v>42440</v>
      </c>
      <c r="Q123" s="6">
        <v>2</v>
      </c>
      <c r="R123" s="6">
        <v>2</v>
      </c>
      <c r="S123" s="6">
        <v>2</v>
      </c>
      <c r="T123" s="6">
        <v>2</v>
      </c>
      <c r="U123" s="6">
        <v>2</v>
      </c>
      <c r="V123" s="6" t="s">
        <v>2394</v>
      </c>
      <c r="W123" s="5">
        <v>41187</v>
      </c>
      <c r="X123" s="6">
        <v>2</v>
      </c>
      <c r="Y123" s="6">
        <v>2</v>
      </c>
      <c r="Z123" s="6">
        <v>2</v>
      </c>
      <c r="AA123" s="6" t="s">
        <v>178</v>
      </c>
      <c r="AB123" s="6">
        <v>2</v>
      </c>
      <c r="AC123" s="6" t="s">
        <v>180</v>
      </c>
    </row>
    <row r="124" spans="1:29" x14ac:dyDescent="0.25">
      <c r="A124" s="145" t="str">
        <f>HYPERLINK("http://www.ofsted.gov.uk/inspection-reports/find-inspection-report/provider/ELS/51259  ","Ofsted Webpage")</f>
        <v>Ofsted Webpage</v>
      </c>
      <c r="B124" s="151">
        <v>51259</v>
      </c>
      <c r="C124" s="151">
        <v>10001602</v>
      </c>
      <c r="D124" s="46" t="s">
        <v>2239</v>
      </c>
      <c r="E124" s="26" t="s">
        <v>78</v>
      </c>
      <c r="F124" s="26" t="s">
        <v>79</v>
      </c>
      <c r="G124" s="26" t="s">
        <v>230</v>
      </c>
      <c r="H124" s="26" t="s">
        <v>187</v>
      </c>
      <c r="I124" s="26" t="s">
        <v>188</v>
      </c>
      <c r="J124" s="2" t="s">
        <v>72</v>
      </c>
      <c r="K124" s="141" t="s">
        <v>72</v>
      </c>
      <c r="L124" s="141">
        <v>10022471</v>
      </c>
      <c r="M124" s="26" t="s">
        <v>183</v>
      </c>
      <c r="N124" s="2">
        <v>42787</v>
      </c>
      <c r="O124" s="2">
        <v>42790</v>
      </c>
      <c r="P124" s="133">
        <v>42828</v>
      </c>
      <c r="Q124" s="6">
        <v>3</v>
      </c>
      <c r="R124" s="6">
        <v>3</v>
      </c>
      <c r="S124" s="6">
        <v>3</v>
      </c>
      <c r="T124" s="6">
        <v>3</v>
      </c>
      <c r="U124" s="6">
        <v>3</v>
      </c>
      <c r="V124" s="6" t="s">
        <v>2240</v>
      </c>
      <c r="W124" s="5">
        <v>42020</v>
      </c>
      <c r="X124" s="6">
        <v>2</v>
      </c>
      <c r="Y124" s="6">
        <v>3</v>
      </c>
      <c r="Z124" s="6">
        <v>2</v>
      </c>
      <c r="AA124" s="6" t="s">
        <v>178</v>
      </c>
      <c r="AB124" s="6">
        <v>2</v>
      </c>
      <c r="AC124" s="6" t="s">
        <v>201</v>
      </c>
    </row>
    <row r="125" spans="1:29" x14ac:dyDescent="0.25">
      <c r="A125" s="145" t="str">
        <f>HYPERLINK("http://www.ofsted.gov.uk/inspection-reports/find-inspection-report/provider/ELS/51349  ","Ofsted Webpage")</f>
        <v>Ofsted Webpage</v>
      </c>
      <c r="B125" s="151">
        <v>51349</v>
      </c>
      <c r="C125" s="151">
        <v>10001695</v>
      </c>
      <c r="D125" s="46" t="s">
        <v>719</v>
      </c>
      <c r="E125" s="26" t="s">
        <v>75</v>
      </c>
      <c r="F125" s="26" t="s">
        <v>76</v>
      </c>
      <c r="G125" s="26" t="s">
        <v>491</v>
      </c>
      <c r="H125" s="26" t="s">
        <v>198</v>
      </c>
      <c r="I125" s="26" t="s">
        <v>198</v>
      </c>
      <c r="J125" s="2" t="s">
        <v>72</v>
      </c>
      <c r="K125" s="141" t="s">
        <v>72</v>
      </c>
      <c r="L125" s="141" t="s">
        <v>720</v>
      </c>
      <c r="M125" s="26" t="s">
        <v>304</v>
      </c>
      <c r="N125" s="2">
        <v>41960</v>
      </c>
      <c r="O125" s="2">
        <v>41964</v>
      </c>
      <c r="P125" s="133">
        <v>42018</v>
      </c>
      <c r="Q125" s="6">
        <v>2</v>
      </c>
      <c r="R125" s="6">
        <v>2</v>
      </c>
      <c r="S125" s="6">
        <v>2</v>
      </c>
      <c r="T125" s="120" t="s">
        <v>178</v>
      </c>
      <c r="U125" s="6">
        <v>2</v>
      </c>
      <c r="V125" s="6" t="s">
        <v>721</v>
      </c>
      <c r="W125" s="5">
        <v>41432</v>
      </c>
      <c r="X125" s="6">
        <v>3</v>
      </c>
      <c r="Y125" s="6">
        <v>3</v>
      </c>
      <c r="Z125" s="6">
        <v>3</v>
      </c>
      <c r="AA125" s="6" t="s">
        <v>178</v>
      </c>
      <c r="AB125" s="6">
        <v>3</v>
      </c>
      <c r="AC125" s="6" t="s">
        <v>216</v>
      </c>
    </row>
    <row r="126" spans="1:29" x14ac:dyDescent="0.25">
      <c r="A126" s="145" t="str">
        <f>HYPERLINK("http://www.ofsted.gov.uk/inspection-reports/find-inspection-report/provider/ELS/51359  ","Ofsted Webpage")</f>
        <v>Ofsted Webpage</v>
      </c>
      <c r="B126" s="151">
        <v>51359</v>
      </c>
      <c r="C126" s="151">
        <v>10008915</v>
      </c>
      <c r="D126" s="46" t="s">
        <v>917</v>
      </c>
      <c r="E126" s="26" t="s">
        <v>75</v>
      </c>
      <c r="F126" s="26" t="s">
        <v>76</v>
      </c>
      <c r="G126" s="26" t="s">
        <v>299</v>
      </c>
      <c r="H126" s="26" t="s">
        <v>175</v>
      </c>
      <c r="I126" s="26" t="s">
        <v>175</v>
      </c>
      <c r="J126" s="2" t="s">
        <v>72</v>
      </c>
      <c r="K126" s="141" t="s">
        <v>72</v>
      </c>
      <c r="L126" s="141">
        <v>10004904</v>
      </c>
      <c r="M126" s="26" t="s">
        <v>308</v>
      </c>
      <c r="N126" s="2">
        <v>42513</v>
      </c>
      <c r="O126" s="2">
        <v>42516</v>
      </c>
      <c r="P126" s="133">
        <v>42542</v>
      </c>
      <c r="Q126" s="6">
        <v>2</v>
      </c>
      <c r="R126" s="6">
        <v>2</v>
      </c>
      <c r="S126" s="6">
        <v>2</v>
      </c>
      <c r="T126" s="6">
        <v>2</v>
      </c>
      <c r="U126" s="6">
        <v>2</v>
      </c>
      <c r="V126" s="6" t="s">
        <v>918</v>
      </c>
      <c r="W126" s="5">
        <v>40352</v>
      </c>
      <c r="X126" s="6">
        <v>2</v>
      </c>
      <c r="Y126" s="6">
        <v>2</v>
      </c>
      <c r="Z126" s="6">
        <v>2</v>
      </c>
      <c r="AA126" s="6" t="s">
        <v>178</v>
      </c>
      <c r="AB126" s="6">
        <v>2</v>
      </c>
      <c r="AC126" s="6" t="s">
        <v>180</v>
      </c>
    </row>
    <row r="127" spans="1:29" x14ac:dyDescent="0.25">
      <c r="A127" s="145" t="str">
        <f>HYPERLINK("http://www.ofsted.gov.uk/inspection-reports/find-inspection-report/provider/ELS/51385  ","Ofsted Webpage")</f>
        <v>Ofsted Webpage</v>
      </c>
      <c r="B127" s="151">
        <v>51385</v>
      </c>
      <c r="C127" s="151">
        <v>10001723</v>
      </c>
      <c r="D127" s="46" t="s">
        <v>679</v>
      </c>
      <c r="E127" s="26" t="s">
        <v>75</v>
      </c>
      <c r="F127" s="26" t="s">
        <v>76</v>
      </c>
      <c r="G127" s="26" t="s">
        <v>276</v>
      </c>
      <c r="H127" s="26" t="s">
        <v>193</v>
      </c>
      <c r="I127" s="26" t="s">
        <v>193</v>
      </c>
      <c r="J127" s="2">
        <v>42803</v>
      </c>
      <c r="K127" s="141">
        <v>1</v>
      </c>
      <c r="L127" s="141" t="s">
        <v>680</v>
      </c>
      <c r="M127" s="26" t="s">
        <v>549</v>
      </c>
      <c r="N127" s="2">
        <v>41589</v>
      </c>
      <c r="O127" s="2">
        <v>41593</v>
      </c>
      <c r="P127" s="133">
        <v>41624</v>
      </c>
      <c r="Q127" s="6">
        <v>2</v>
      </c>
      <c r="R127" s="6">
        <v>2</v>
      </c>
      <c r="S127" s="6">
        <v>2</v>
      </c>
      <c r="T127" s="120" t="s">
        <v>178</v>
      </c>
      <c r="U127" s="6">
        <v>2</v>
      </c>
      <c r="V127" s="6" t="s">
        <v>681</v>
      </c>
      <c r="W127" s="5">
        <v>39360</v>
      </c>
      <c r="X127" s="6">
        <v>2</v>
      </c>
      <c r="Y127" s="6">
        <v>2</v>
      </c>
      <c r="Z127" s="6">
        <v>3</v>
      </c>
      <c r="AA127" s="6" t="s">
        <v>178</v>
      </c>
      <c r="AB127" s="6">
        <v>2</v>
      </c>
      <c r="AC127" s="6" t="s">
        <v>180</v>
      </c>
    </row>
    <row r="128" spans="1:29" x14ac:dyDescent="0.25">
      <c r="A128" s="145" t="str">
        <f>HYPERLINK("http://www.ofsted.gov.uk/inspection-reports/find-inspection-report/provider/ELS/51395  ","Ofsted Webpage")</f>
        <v>Ofsted Webpage</v>
      </c>
      <c r="B128" s="151">
        <v>51395</v>
      </c>
      <c r="C128" s="151">
        <v>10001736</v>
      </c>
      <c r="D128" s="46" t="s">
        <v>2144</v>
      </c>
      <c r="E128" s="26" t="s">
        <v>78</v>
      </c>
      <c r="F128" s="26" t="s">
        <v>79</v>
      </c>
      <c r="G128" s="26" t="s">
        <v>223</v>
      </c>
      <c r="H128" s="26" t="s">
        <v>193</v>
      </c>
      <c r="I128" s="26" t="s">
        <v>193</v>
      </c>
      <c r="J128" s="2" t="s">
        <v>72</v>
      </c>
      <c r="K128" s="141" t="s">
        <v>72</v>
      </c>
      <c r="L128" s="141" t="s">
        <v>2145</v>
      </c>
      <c r="M128" s="26" t="s">
        <v>445</v>
      </c>
      <c r="N128" s="2">
        <v>40673</v>
      </c>
      <c r="O128" s="2">
        <v>40676</v>
      </c>
      <c r="P128" s="133">
        <v>40714</v>
      </c>
      <c r="Q128" s="6">
        <v>1</v>
      </c>
      <c r="R128" s="6">
        <v>1</v>
      </c>
      <c r="S128" s="6">
        <v>2</v>
      </c>
      <c r="T128" s="120" t="s">
        <v>178</v>
      </c>
      <c r="U128" s="6">
        <v>1</v>
      </c>
      <c r="V128" s="6" t="s">
        <v>2146</v>
      </c>
      <c r="W128" s="5">
        <v>39402</v>
      </c>
      <c r="X128" s="6">
        <v>2</v>
      </c>
      <c r="Y128" s="6">
        <v>1</v>
      </c>
      <c r="Z128" s="6">
        <v>2</v>
      </c>
      <c r="AA128" s="6" t="s">
        <v>178</v>
      </c>
      <c r="AB128" s="6">
        <v>2</v>
      </c>
      <c r="AC128" s="6" t="s">
        <v>216</v>
      </c>
    </row>
    <row r="129" spans="1:29" x14ac:dyDescent="0.25">
      <c r="A129" s="145" t="str">
        <f>HYPERLINK("http://www.ofsted.gov.uk/inspection-reports/find-inspection-report/provider/ELS/51433  ","Ofsted Webpage")</f>
        <v>Ofsted Webpage</v>
      </c>
      <c r="B129" s="151">
        <v>51433</v>
      </c>
      <c r="C129" s="151">
        <v>10001786</v>
      </c>
      <c r="D129" s="46" t="s">
        <v>2147</v>
      </c>
      <c r="E129" s="26" t="s">
        <v>78</v>
      </c>
      <c r="F129" s="26" t="s">
        <v>79</v>
      </c>
      <c r="G129" s="26" t="s">
        <v>464</v>
      </c>
      <c r="H129" s="26" t="s">
        <v>198</v>
      </c>
      <c r="I129" s="26" t="s">
        <v>198</v>
      </c>
      <c r="J129" s="2" t="s">
        <v>72</v>
      </c>
      <c r="K129" s="141" t="s">
        <v>72</v>
      </c>
      <c r="L129" s="141">
        <v>10020135</v>
      </c>
      <c r="M129" s="26" t="s">
        <v>183</v>
      </c>
      <c r="N129" s="2">
        <v>42626</v>
      </c>
      <c r="O129" s="2">
        <v>42629</v>
      </c>
      <c r="P129" s="133">
        <v>42655</v>
      </c>
      <c r="Q129" s="6">
        <v>3</v>
      </c>
      <c r="R129" s="6">
        <v>3</v>
      </c>
      <c r="S129" s="6">
        <v>3</v>
      </c>
      <c r="T129" s="6">
        <v>2</v>
      </c>
      <c r="U129" s="6">
        <v>3</v>
      </c>
      <c r="V129" s="6" t="s">
        <v>2148</v>
      </c>
      <c r="W129" s="5">
        <v>41719</v>
      </c>
      <c r="X129" s="6">
        <v>2</v>
      </c>
      <c r="Y129" s="6">
        <v>2</v>
      </c>
      <c r="Z129" s="6">
        <v>2</v>
      </c>
      <c r="AA129" s="6" t="s">
        <v>178</v>
      </c>
      <c r="AB129" s="6">
        <v>2</v>
      </c>
      <c r="AC129" s="6" t="s">
        <v>201</v>
      </c>
    </row>
    <row r="130" spans="1:29" x14ac:dyDescent="0.25">
      <c r="A130" s="145" t="str">
        <f>HYPERLINK("http://www.ofsted.gov.uk/inspection-reports/find-inspection-report/provider/ELS/51435  ","Ofsted Webpage")</f>
        <v>Ofsted Webpage</v>
      </c>
      <c r="B130" s="151">
        <v>51435</v>
      </c>
      <c r="C130" s="151">
        <v>10001787</v>
      </c>
      <c r="D130" s="46" t="s">
        <v>756</v>
      </c>
      <c r="E130" s="26" t="s">
        <v>77</v>
      </c>
      <c r="F130" s="26" t="s">
        <v>76</v>
      </c>
      <c r="G130" s="26" t="s">
        <v>419</v>
      </c>
      <c r="H130" s="26" t="s">
        <v>287</v>
      </c>
      <c r="I130" s="26" t="s">
        <v>287</v>
      </c>
      <c r="J130" s="2" t="s">
        <v>72</v>
      </c>
      <c r="K130" s="141" t="s">
        <v>72</v>
      </c>
      <c r="L130" s="141">
        <v>10006595</v>
      </c>
      <c r="M130" s="26" t="s">
        <v>211</v>
      </c>
      <c r="N130" s="2">
        <v>42382</v>
      </c>
      <c r="O130" s="2">
        <v>42384</v>
      </c>
      <c r="P130" s="133">
        <v>42417</v>
      </c>
      <c r="Q130" s="6">
        <v>3</v>
      </c>
      <c r="R130" s="6">
        <v>3</v>
      </c>
      <c r="S130" s="6">
        <v>3</v>
      </c>
      <c r="T130" s="6">
        <v>3</v>
      </c>
      <c r="U130" s="6">
        <v>3</v>
      </c>
      <c r="V130" s="6" t="s">
        <v>757</v>
      </c>
      <c r="W130" s="5">
        <v>41341</v>
      </c>
      <c r="X130" s="6">
        <v>3</v>
      </c>
      <c r="Y130" s="6">
        <v>3</v>
      </c>
      <c r="Z130" s="6">
        <v>3</v>
      </c>
      <c r="AA130" s="6" t="s">
        <v>178</v>
      </c>
      <c r="AB130" s="6">
        <v>3</v>
      </c>
      <c r="AC130" s="6" t="s">
        <v>180</v>
      </c>
    </row>
    <row r="131" spans="1:29" x14ac:dyDescent="0.25">
      <c r="A131" s="145" t="str">
        <f>HYPERLINK("http://www.ofsted.gov.uk/inspection-reports/find-inspection-report/provider/ELS/51448  ","Ofsted Webpage")</f>
        <v>Ofsted Webpage</v>
      </c>
      <c r="B131" s="151">
        <v>51448</v>
      </c>
      <c r="C131" s="151">
        <v>10001800</v>
      </c>
      <c r="D131" s="46" t="s">
        <v>686</v>
      </c>
      <c r="E131" s="26" t="s">
        <v>75</v>
      </c>
      <c r="F131" s="26" t="s">
        <v>76</v>
      </c>
      <c r="G131" s="26" t="s">
        <v>687</v>
      </c>
      <c r="H131" s="26" t="s">
        <v>238</v>
      </c>
      <c r="I131" s="26" t="s">
        <v>238</v>
      </c>
      <c r="J131" s="2" t="s">
        <v>72</v>
      </c>
      <c r="K131" s="141" t="s">
        <v>72</v>
      </c>
      <c r="L131" s="141">
        <v>10011475</v>
      </c>
      <c r="M131" s="26" t="s">
        <v>308</v>
      </c>
      <c r="N131" s="2">
        <v>42514</v>
      </c>
      <c r="O131" s="2">
        <v>42517</v>
      </c>
      <c r="P131" s="133">
        <v>42550</v>
      </c>
      <c r="Q131" s="6">
        <v>3</v>
      </c>
      <c r="R131" s="6">
        <v>3</v>
      </c>
      <c r="S131" s="6">
        <v>3</v>
      </c>
      <c r="T131" s="6">
        <v>3</v>
      </c>
      <c r="U131" s="6">
        <v>3</v>
      </c>
      <c r="V131" s="6" t="s">
        <v>688</v>
      </c>
      <c r="W131" s="5">
        <v>40571</v>
      </c>
      <c r="X131" s="6">
        <v>2</v>
      </c>
      <c r="Y131" s="6">
        <v>2</v>
      </c>
      <c r="Z131" s="6">
        <v>2</v>
      </c>
      <c r="AA131" s="6" t="s">
        <v>178</v>
      </c>
      <c r="AB131" s="6">
        <v>2</v>
      </c>
      <c r="AC131" s="6" t="s">
        <v>201</v>
      </c>
    </row>
    <row r="132" spans="1:29" x14ac:dyDescent="0.25">
      <c r="A132" s="145" t="str">
        <f>HYPERLINK("http://www.ofsted.gov.uk/inspection-reports/find-inspection-report/provider/ELS/51459  ","Ofsted Webpage")</f>
        <v>Ofsted Webpage</v>
      </c>
      <c r="B132" s="151">
        <v>51459</v>
      </c>
      <c r="C132" s="151">
        <v>10001309</v>
      </c>
      <c r="D132" s="46" t="s">
        <v>2245</v>
      </c>
      <c r="E132" s="26" t="s">
        <v>78</v>
      </c>
      <c r="F132" s="26" t="s">
        <v>79</v>
      </c>
      <c r="G132" s="26" t="s">
        <v>276</v>
      </c>
      <c r="H132" s="26" t="s">
        <v>193</v>
      </c>
      <c r="I132" s="26" t="s">
        <v>193</v>
      </c>
      <c r="J132" s="2">
        <v>42425</v>
      </c>
      <c r="K132" s="141">
        <v>1</v>
      </c>
      <c r="L132" s="141" t="s">
        <v>2246</v>
      </c>
      <c r="M132" s="26" t="s">
        <v>445</v>
      </c>
      <c r="N132" s="2">
        <v>40119</v>
      </c>
      <c r="O132" s="2">
        <v>40123</v>
      </c>
      <c r="P132" s="133">
        <v>40165</v>
      </c>
      <c r="Q132" s="6">
        <v>2</v>
      </c>
      <c r="R132" s="6">
        <v>2</v>
      </c>
      <c r="S132" s="6">
        <v>2</v>
      </c>
      <c r="T132" s="120" t="s">
        <v>178</v>
      </c>
      <c r="U132" s="6">
        <v>2</v>
      </c>
      <c r="V132" s="6" t="s">
        <v>72</v>
      </c>
      <c r="W132" s="5" t="s">
        <v>72</v>
      </c>
      <c r="X132" s="6" t="s">
        <v>72</v>
      </c>
      <c r="Y132" s="6" t="s">
        <v>72</v>
      </c>
      <c r="Z132" s="6" t="s">
        <v>72</v>
      </c>
      <c r="AA132" s="6" t="s">
        <v>72</v>
      </c>
      <c r="AB132" s="6" t="s">
        <v>72</v>
      </c>
      <c r="AC132" s="6" t="s">
        <v>208</v>
      </c>
    </row>
    <row r="133" spans="1:29" x14ac:dyDescent="0.25">
      <c r="A133" s="145" t="str">
        <f>HYPERLINK("http://www.ofsted.gov.uk/inspection-reports/find-inspection-report/provider/ELS/51468  ","Ofsted Webpage")</f>
        <v>Ofsted Webpage</v>
      </c>
      <c r="B133" s="151">
        <v>51468</v>
      </c>
      <c r="C133" s="151">
        <v>10001828</v>
      </c>
      <c r="D133" s="46" t="s">
        <v>2154</v>
      </c>
      <c r="E133" s="26" t="s">
        <v>78</v>
      </c>
      <c r="F133" s="26" t="s">
        <v>79</v>
      </c>
      <c r="G133" s="26" t="s">
        <v>324</v>
      </c>
      <c r="H133" s="26" t="s">
        <v>214</v>
      </c>
      <c r="I133" s="26" t="s">
        <v>214</v>
      </c>
      <c r="J133" s="2" t="s">
        <v>72</v>
      </c>
      <c r="K133" s="141" t="s">
        <v>72</v>
      </c>
      <c r="L133" s="141">
        <v>10004907</v>
      </c>
      <c r="M133" s="26" t="s">
        <v>183</v>
      </c>
      <c r="N133" s="2">
        <v>42283</v>
      </c>
      <c r="O133" s="2">
        <v>42286</v>
      </c>
      <c r="P133" s="133">
        <v>42312</v>
      </c>
      <c r="Q133" s="6">
        <v>2</v>
      </c>
      <c r="R133" s="6">
        <v>2</v>
      </c>
      <c r="S133" s="6">
        <v>2</v>
      </c>
      <c r="T133" s="6">
        <v>2</v>
      </c>
      <c r="U133" s="6">
        <v>2</v>
      </c>
      <c r="V133" s="6" t="s">
        <v>2155</v>
      </c>
      <c r="W133" s="5">
        <v>40606</v>
      </c>
      <c r="X133" s="6">
        <v>2</v>
      </c>
      <c r="Y133" s="6">
        <v>2</v>
      </c>
      <c r="Z133" s="6">
        <v>2</v>
      </c>
      <c r="AA133" s="6" t="s">
        <v>178</v>
      </c>
      <c r="AB133" s="6">
        <v>2</v>
      </c>
      <c r="AC133" s="6" t="s">
        <v>180</v>
      </c>
    </row>
    <row r="134" spans="1:29" x14ac:dyDescent="0.25">
      <c r="A134" s="145" t="str">
        <f>HYPERLINK("http://www.ofsted.gov.uk/inspection-reports/find-inspection-report/provider/ELS/51469  ","Ofsted Webpage")</f>
        <v>Ofsted Webpage</v>
      </c>
      <c r="B134" s="151">
        <v>51469</v>
      </c>
      <c r="C134" s="151">
        <v>10001831</v>
      </c>
      <c r="D134" s="46" t="s">
        <v>2151</v>
      </c>
      <c r="E134" s="26" t="s">
        <v>78</v>
      </c>
      <c r="F134" s="26" t="s">
        <v>79</v>
      </c>
      <c r="G134" s="26" t="s">
        <v>608</v>
      </c>
      <c r="H134" s="26" t="s">
        <v>238</v>
      </c>
      <c r="I134" s="26" t="s">
        <v>238</v>
      </c>
      <c r="J134" s="2">
        <v>42467</v>
      </c>
      <c r="K134" s="141">
        <v>1</v>
      </c>
      <c r="L134" s="141" t="s">
        <v>2152</v>
      </c>
      <c r="M134" s="26" t="s">
        <v>333</v>
      </c>
      <c r="N134" s="2">
        <v>41120</v>
      </c>
      <c r="O134" s="2">
        <v>41124</v>
      </c>
      <c r="P134" s="133">
        <v>41159</v>
      </c>
      <c r="Q134" s="6">
        <v>2</v>
      </c>
      <c r="R134" s="6">
        <v>1</v>
      </c>
      <c r="S134" s="6">
        <v>2</v>
      </c>
      <c r="T134" s="120" t="s">
        <v>178</v>
      </c>
      <c r="U134" s="6">
        <v>2</v>
      </c>
      <c r="V134" s="6" t="s">
        <v>2153</v>
      </c>
      <c r="W134" s="5">
        <v>38898</v>
      </c>
      <c r="X134" s="6">
        <v>2</v>
      </c>
      <c r="Y134" s="6" t="s">
        <v>178</v>
      </c>
      <c r="Z134" s="6" t="s">
        <v>178</v>
      </c>
      <c r="AA134" s="6" t="s">
        <v>178</v>
      </c>
      <c r="AB134" s="6">
        <v>2</v>
      </c>
      <c r="AC134" s="6" t="s">
        <v>180</v>
      </c>
    </row>
    <row r="135" spans="1:29" x14ac:dyDescent="0.25">
      <c r="A135" s="145" t="str">
        <f>HYPERLINK("http://www.ofsted.gov.uk/inspection-reports/find-inspection-report/provider/ELS/51474  ","Ofsted Webpage")</f>
        <v>Ofsted Webpage</v>
      </c>
      <c r="B135" s="151">
        <v>51474</v>
      </c>
      <c r="C135" s="151">
        <v>10001848</v>
      </c>
      <c r="D135" s="46" t="s">
        <v>689</v>
      </c>
      <c r="E135" s="26" t="s">
        <v>75</v>
      </c>
      <c r="F135" s="26" t="s">
        <v>76</v>
      </c>
      <c r="G135" s="26" t="s">
        <v>628</v>
      </c>
      <c r="H135" s="26" t="s">
        <v>204</v>
      </c>
      <c r="I135" s="26" t="s">
        <v>188</v>
      </c>
      <c r="J135" s="2">
        <v>42439</v>
      </c>
      <c r="K135" s="141">
        <v>1</v>
      </c>
      <c r="L135" s="141" t="s">
        <v>690</v>
      </c>
      <c r="M135" s="26" t="s">
        <v>549</v>
      </c>
      <c r="N135" s="2">
        <v>40924</v>
      </c>
      <c r="O135" s="2">
        <v>40928</v>
      </c>
      <c r="P135" s="133">
        <v>40962</v>
      </c>
      <c r="Q135" s="6">
        <v>2</v>
      </c>
      <c r="R135" s="6">
        <v>2</v>
      </c>
      <c r="S135" s="6">
        <v>3</v>
      </c>
      <c r="T135" s="120" t="s">
        <v>178</v>
      </c>
      <c r="U135" s="6">
        <v>2</v>
      </c>
      <c r="V135" s="6" t="s">
        <v>691</v>
      </c>
      <c r="W135" s="5">
        <v>39423</v>
      </c>
      <c r="X135" s="6">
        <v>2</v>
      </c>
      <c r="Y135" s="6">
        <v>2</v>
      </c>
      <c r="Z135" s="6">
        <v>3</v>
      </c>
      <c r="AA135" s="6" t="s">
        <v>178</v>
      </c>
      <c r="AB135" s="6">
        <v>2</v>
      </c>
      <c r="AC135" s="6" t="s">
        <v>180</v>
      </c>
    </row>
    <row r="136" spans="1:29" x14ac:dyDescent="0.25">
      <c r="A136" s="145" t="str">
        <f>HYPERLINK("http://www.ofsted.gov.uk/inspection-reports/find-inspection-report/provider/ELS/51492  ","Ofsted Webpage")</f>
        <v>Ofsted Webpage</v>
      </c>
      <c r="B136" s="151">
        <v>51492</v>
      </c>
      <c r="C136" s="151">
        <v>10001869</v>
      </c>
      <c r="D136" s="46" t="s">
        <v>2156</v>
      </c>
      <c r="E136" s="26" t="s">
        <v>78</v>
      </c>
      <c r="F136" s="26" t="s">
        <v>79</v>
      </c>
      <c r="G136" s="26" t="s">
        <v>729</v>
      </c>
      <c r="H136" s="26" t="s">
        <v>287</v>
      </c>
      <c r="I136" s="26" t="s">
        <v>287</v>
      </c>
      <c r="J136" s="2" t="s">
        <v>72</v>
      </c>
      <c r="K136" s="141" t="s">
        <v>72</v>
      </c>
      <c r="L136" s="141" t="s">
        <v>2157</v>
      </c>
      <c r="M136" s="26" t="s">
        <v>445</v>
      </c>
      <c r="N136" s="2">
        <v>40099</v>
      </c>
      <c r="O136" s="2">
        <v>40102</v>
      </c>
      <c r="P136" s="119">
        <v>40136</v>
      </c>
      <c r="Q136" s="6">
        <v>1</v>
      </c>
      <c r="R136" s="6">
        <v>1</v>
      </c>
      <c r="S136" s="6">
        <v>2</v>
      </c>
      <c r="T136" s="120" t="s">
        <v>178</v>
      </c>
      <c r="U136" s="6">
        <v>1</v>
      </c>
      <c r="V136" s="6" t="s">
        <v>72</v>
      </c>
      <c r="W136" s="5" t="s">
        <v>72</v>
      </c>
      <c r="X136" s="6" t="s">
        <v>72</v>
      </c>
      <c r="Y136" s="6" t="s">
        <v>72</v>
      </c>
      <c r="Z136" s="6" t="s">
        <v>72</v>
      </c>
      <c r="AA136" s="6" t="s">
        <v>72</v>
      </c>
      <c r="AB136" s="6" t="s">
        <v>72</v>
      </c>
      <c r="AC136" s="6" t="s">
        <v>208</v>
      </c>
    </row>
    <row r="137" spans="1:29" x14ac:dyDescent="0.25">
      <c r="A137" s="145" t="str">
        <f>HYPERLINK("http://www.ofsted.gov.uk/inspection-reports/find-inspection-report/provider/ELS/51510  ","Ofsted Webpage")</f>
        <v>Ofsted Webpage</v>
      </c>
      <c r="B137" s="151">
        <v>51510</v>
      </c>
      <c r="C137" s="151">
        <v>10011058</v>
      </c>
      <c r="D137" s="46" t="s">
        <v>961</v>
      </c>
      <c r="E137" s="26" t="s">
        <v>80</v>
      </c>
      <c r="F137" s="26" t="s">
        <v>79</v>
      </c>
      <c r="G137" s="26" t="s">
        <v>261</v>
      </c>
      <c r="H137" s="26" t="s">
        <v>219</v>
      </c>
      <c r="I137" s="26" t="s">
        <v>219</v>
      </c>
      <c r="J137" s="2" t="s">
        <v>72</v>
      </c>
      <c r="K137" s="141" t="s">
        <v>72</v>
      </c>
      <c r="L137" s="141" t="s">
        <v>962</v>
      </c>
      <c r="M137" s="26" t="s">
        <v>466</v>
      </c>
      <c r="N137" s="2">
        <v>41232</v>
      </c>
      <c r="O137" s="2">
        <v>41235</v>
      </c>
      <c r="P137" s="133">
        <v>41268</v>
      </c>
      <c r="Q137" s="6">
        <v>1</v>
      </c>
      <c r="R137" s="6">
        <v>1</v>
      </c>
      <c r="S137" s="6">
        <v>1</v>
      </c>
      <c r="T137" s="120" t="s">
        <v>178</v>
      </c>
      <c r="U137" s="6">
        <v>1</v>
      </c>
      <c r="V137" s="6" t="s">
        <v>963</v>
      </c>
      <c r="W137" s="5">
        <v>40074</v>
      </c>
      <c r="X137" s="6">
        <v>3</v>
      </c>
      <c r="Y137" s="6">
        <v>2</v>
      </c>
      <c r="Z137" s="6">
        <v>3</v>
      </c>
      <c r="AA137" s="6" t="s">
        <v>178</v>
      </c>
      <c r="AB137" s="6">
        <v>3</v>
      </c>
      <c r="AC137" s="6" t="s">
        <v>216</v>
      </c>
    </row>
    <row r="138" spans="1:29" x14ac:dyDescent="0.25">
      <c r="A138" s="145" t="str">
        <f>HYPERLINK("http://www.ofsted.gov.uk/inspection-reports/find-inspection-report/provider/ELS/51525  ","Ofsted Webpage")</f>
        <v>Ofsted Webpage</v>
      </c>
      <c r="B138" s="151">
        <v>51525</v>
      </c>
      <c r="C138" s="151">
        <v>10007922</v>
      </c>
      <c r="D138" s="46" t="s">
        <v>759</v>
      </c>
      <c r="E138" s="26" t="s">
        <v>77</v>
      </c>
      <c r="F138" s="26" t="s">
        <v>76</v>
      </c>
      <c r="G138" s="26" t="s">
        <v>340</v>
      </c>
      <c r="H138" s="26" t="s">
        <v>214</v>
      </c>
      <c r="I138" s="26" t="s">
        <v>214</v>
      </c>
      <c r="J138" s="2">
        <v>42915</v>
      </c>
      <c r="K138" s="141">
        <v>1</v>
      </c>
      <c r="L138" s="141" t="s">
        <v>760</v>
      </c>
      <c r="M138" s="26" t="s">
        <v>342</v>
      </c>
      <c r="N138" s="2">
        <v>42080</v>
      </c>
      <c r="O138" s="2">
        <v>42082</v>
      </c>
      <c r="P138" s="133">
        <v>42118</v>
      </c>
      <c r="Q138" s="6">
        <v>2</v>
      </c>
      <c r="R138" s="6">
        <v>2</v>
      </c>
      <c r="S138" s="6">
        <v>2</v>
      </c>
      <c r="T138" s="120" t="s">
        <v>178</v>
      </c>
      <c r="U138" s="6">
        <v>2</v>
      </c>
      <c r="V138" s="6" t="s">
        <v>761</v>
      </c>
      <c r="W138" s="5">
        <v>41572</v>
      </c>
      <c r="X138" s="6">
        <v>3</v>
      </c>
      <c r="Y138" s="6">
        <v>2</v>
      </c>
      <c r="Z138" s="6">
        <v>2</v>
      </c>
      <c r="AA138" s="6" t="s">
        <v>178</v>
      </c>
      <c r="AB138" s="6">
        <v>3</v>
      </c>
      <c r="AC138" s="6" t="s">
        <v>216</v>
      </c>
    </row>
    <row r="139" spans="1:29" x14ac:dyDescent="0.25">
      <c r="A139" s="145" t="str">
        <f>HYPERLINK("http://www.ofsted.gov.uk/inspection-reports/find-inspection-report/provider/ELS/51535  ","Ofsted Webpage")</f>
        <v>Ofsted Webpage</v>
      </c>
      <c r="B139" s="151">
        <v>51535</v>
      </c>
      <c r="C139" s="151">
        <v>10001944</v>
      </c>
      <c r="D139" s="46" t="s">
        <v>1330</v>
      </c>
      <c r="E139" s="26" t="s">
        <v>77</v>
      </c>
      <c r="F139" s="26" t="s">
        <v>76</v>
      </c>
      <c r="G139" s="26" t="s">
        <v>586</v>
      </c>
      <c r="H139" s="26" t="s">
        <v>204</v>
      </c>
      <c r="I139" s="26" t="s">
        <v>188</v>
      </c>
      <c r="J139" s="2" t="s">
        <v>72</v>
      </c>
      <c r="K139" s="141" t="s">
        <v>72</v>
      </c>
      <c r="L139" s="141" t="s">
        <v>1331</v>
      </c>
      <c r="M139" s="26" t="s">
        <v>466</v>
      </c>
      <c r="N139" s="2">
        <v>41702</v>
      </c>
      <c r="O139" s="2">
        <v>41705</v>
      </c>
      <c r="P139" s="133">
        <v>41738</v>
      </c>
      <c r="Q139" s="6">
        <v>1</v>
      </c>
      <c r="R139" s="6">
        <v>1</v>
      </c>
      <c r="S139" s="6">
        <v>1</v>
      </c>
      <c r="T139" s="120" t="s">
        <v>178</v>
      </c>
      <c r="U139" s="6">
        <v>1</v>
      </c>
      <c r="V139" s="6" t="s">
        <v>1332</v>
      </c>
      <c r="W139" s="5">
        <v>40823</v>
      </c>
      <c r="X139" s="6">
        <v>3</v>
      </c>
      <c r="Y139" s="6">
        <v>3</v>
      </c>
      <c r="Z139" s="6">
        <v>3</v>
      </c>
      <c r="AA139" s="6" t="s">
        <v>178</v>
      </c>
      <c r="AB139" s="6">
        <v>3</v>
      </c>
      <c r="AC139" s="6" t="s">
        <v>216</v>
      </c>
    </row>
    <row r="140" spans="1:29" x14ac:dyDescent="0.25">
      <c r="A140" s="145" t="str">
        <f>HYPERLINK("http://www.ofsted.gov.uk/inspection-reports/find-inspection-report/provider/ELS/51540  ","Ofsted Webpage")</f>
        <v>Ofsted Webpage</v>
      </c>
      <c r="B140" s="151">
        <v>51540</v>
      </c>
      <c r="C140" s="151">
        <v>10001951</v>
      </c>
      <c r="D140" s="46" t="s">
        <v>1149</v>
      </c>
      <c r="E140" s="26" t="s">
        <v>75</v>
      </c>
      <c r="F140" s="26" t="s">
        <v>76</v>
      </c>
      <c r="G140" s="26" t="s">
        <v>802</v>
      </c>
      <c r="H140" s="26" t="s">
        <v>198</v>
      </c>
      <c r="I140" s="26" t="s">
        <v>198</v>
      </c>
      <c r="J140" s="2">
        <v>42795</v>
      </c>
      <c r="K140" s="141">
        <v>1</v>
      </c>
      <c r="L140" s="141" t="s">
        <v>1150</v>
      </c>
      <c r="M140" s="26" t="s">
        <v>549</v>
      </c>
      <c r="N140" s="2">
        <v>41386</v>
      </c>
      <c r="O140" s="2">
        <v>41390</v>
      </c>
      <c r="P140" s="133">
        <v>41429</v>
      </c>
      <c r="Q140" s="6">
        <v>2</v>
      </c>
      <c r="R140" s="6">
        <v>2</v>
      </c>
      <c r="S140" s="6">
        <v>2</v>
      </c>
      <c r="T140" s="120" t="s">
        <v>178</v>
      </c>
      <c r="U140" s="6">
        <v>2</v>
      </c>
      <c r="V140" s="6" t="s">
        <v>1151</v>
      </c>
      <c r="W140" s="5">
        <v>40683</v>
      </c>
      <c r="X140" s="6">
        <v>3</v>
      </c>
      <c r="Y140" s="6">
        <v>3</v>
      </c>
      <c r="Z140" s="6">
        <v>3</v>
      </c>
      <c r="AA140" s="6" t="s">
        <v>178</v>
      </c>
      <c r="AB140" s="6">
        <v>3</v>
      </c>
      <c r="AC140" s="6" t="s">
        <v>216</v>
      </c>
    </row>
    <row r="141" spans="1:29" x14ac:dyDescent="0.25">
      <c r="A141" s="145" t="str">
        <f>HYPERLINK("http://www.ofsted.gov.uk/inspection-reports/find-inspection-report/provider/ELS/51550  ","Ofsted Webpage")</f>
        <v>Ofsted Webpage</v>
      </c>
      <c r="B141" s="151">
        <v>51550</v>
      </c>
      <c r="C141" s="151">
        <v>10001967</v>
      </c>
      <c r="D141" s="46" t="s">
        <v>2325</v>
      </c>
      <c r="E141" s="26" t="s">
        <v>78</v>
      </c>
      <c r="F141" s="26" t="s">
        <v>79</v>
      </c>
      <c r="G141" s="26" t="s">
        <v>361</v>
      </c>
      <c r="H141" s="26" t="s">
        <v>198</v>
      </c>
      <c r="I141" s="26" t="s">
        <v>198</v>
      </c>
      <c r="J141" s="2" t="s">
        <v>72</v>
      </c>
      <c r="K141" s="141" t="s">
        <v>72</v>
      </c>
      <c r="L141" s="141" t="s">
        <v>2326</v>
      </c>
      <c r="M141" s="26" t="s">
        <v>333</v>
      </c>
      <c r="N141" s="2">
        <v>42073</v>
      </c>
      <c r="O141" s="2">
        <v>42076</v>
      </c>
      <c r="P141" s="119">
        <v>42115</v>
      </c>
      <c r="Q141" s="6">
        <v>2</v>
      </c>
      <c r="R141" s="6">
        <v>3</v>
      </c>
      <c r="S141" s="6">
        <v>2</v>
      </c>
      <c r="T141" s="120" t="s">
        <v>178</v>
      </c>
      <c r="U141" s="6">
        <v>2</v>
      </c>
      <c r="V141" s="6" t="s">
        <v>2327</v>
      </c>
      <c r="W141" s="5">
        <v>41074</v>
      </c>
      <c r="X141" s="6">
        <v>1</v>
      </c>
      <c r="Y141" s="6">
        <v>1</v>
      </c>
      <c r="Z141" s="6">
        <v>1</v>
      </c>
      <c r="AA141" s="6" t="s">
        <v>178</v>
      </c>
      <c r="AB141" s="6">
        <v>1</v>
      </c>
      <c r="AC141" s="6" t="s">
        <v>201</v>
      </c>
    </row>
    <row r="142" spans="1:29" x14ac:dyDescent="0.25">
      <c r="A142" s="145" t="str">
        <f>HYPERLINK("http://www.ofsted.gov.uk/inspection-reports/find-inspection-report/provider/ELS/51551  ","Ofsted Webpage")</f>
        <v>Ofsted Webpage</v>
      </c>
      <c r="B142" s="151">
        <v>51551</v>
      </c>
      <c r="C142" s="151">
        <v>10001971</v>
      </c>
      <c r="D142" s="46" t="s">
        <v>2328</v>
      </c>
      <c r="E142" s="26" t="s">
        <v>78</v>
      </c>
      <c r="F142" s="26" t="s">
        <v>79</v>
      </c>
      <c r="G142" s="26" t="s">
        <v>227</v>
      </c>
      <c r="H142" s="26" t="s">
        <v>214</v>
      </c>
      <c r="I142" s="26" t="s">
        <v>214</v>
      </c>
      <c r="J142" s="2" t="s">
        <v>72</v>
      </c>
      <c r="K142" s="141" t="s">
        <v>72</v>
      </c>
      <c r="L142" s="141">
        <v>10004910</v>
      </c>
      <c r="M142" s="26" t="s">
        <v>199</v>
      </c>
      <c r="N142" s="2">
        <v>42269</v>
      </c>
      <c r="O142" s="2">
        <v>42272</v>
      </c>
      <c r="P142" s="119">
        <v>42311</v>
      </c>
      <c r="Q142" s="6">
        <v>2</v>
      </c>
      <c r="R142" s="6">
        <v>2</v>
      </c>
      <c r="S142" s="6">
        <v>2</v>
      </c>
      <c r="T142" s="6">
        <v>2</v>
      </c>
      <c r="U142" s="6">
        <v>2</v>
      </c>
      <c r="V142" s="6" t="s">
        <v>2329</v>
      </c>
      <c r="W142" s="5">
        <v>41726</v>
      </c>
      <c r="X142" s="6">
        <v>3</v>
      </c>
      <c r="Y142" s="6">
        <v>3</v>
      </c>
      <c r="Z142" s="6">
        <v>3</v>
      </c>
      <c r="AA142" s="6" t="s">
        <v>178</v>
      </c>
      <c r="AB142" s="6">
        <v>3</v>
      </c>
      <c r="AC142" s="6" t="s">
        <v>216</v>
      </c>
    </row>
    <row r="143" spans="1:29" x14ac:dyDescent="0.25">
      <c r="A143" s="145" t="str">
        <f>HYPERLINK("http://www.ofsted.gov.uk/inspection-reports/find-inspection-report/provider/ELS/51573  ","Ofsted Webpage")</f>
        <v>Ofsted Webpage</v>
      </c>
      <c r="B143" s="151">
        <v>51573</v>
      </c>
      <c r="C143" s="151">
        <v>10028930</v>
      </c>
      <c r="D143" s="46" t="s">
        <v>859</v>
      </c>
      <c r="E143" s="26" t="s">
        <v>80</v>
      </c>
      <c r="F143" s="26" t="s">
        <v>79</v>
      </c>
      <c r="G143" s="26" t="s">
        <v>223</v>
      </c>
      <c r="H143" s="26" t="s">
        <v>193</v>
      </c>
      <c r="I143" s="26" t="s">
        <v>193</v>
      </c>
      <c r="J143" s="2" t="s">
        <v>72</v>
      </c>
      <c r="K143" s="141" t="s">
        <v>72</v>
      </c>
      <c r="L143" s="141">
        <v>10030712</v>
      </c>
      <c r="M143" s="26" t="s">
        <v>475</v>
      </c>
      <c r="N143" s="2">
        <v>42864</v>
      </c>
      <c r="O143" s="2">
        <v>42867</v>
      </c>
      <c r="P143" s="133">
        <v>42893</v>
      </c>
      <c r="Q143" s="6">
        <v>3</v>
      </c>
      <c r="R143" s="6">
        <v>3</v>
      </c>
      <c r="S143" s="6">
        <v>3</v>
      </c>
      <c r="T143" s="6">
        <v>2</v>
      </c>
      <c r="U143" s="6">
        <v>3</v>
      </c>
      <c r="V143" s="6" t="s">
        <v>860</v>
      </c>
      <c r="W143" s="5">
        <v>42139</v>
      </c>
      <c r="X143" s="6">
        <v>3</v>
      </c>
      <c r="Y143" s="6">
        <v>3</v>
      </c>
      <c r="Z143" s="6">
        <v>3</v>
      </c>
      <c r="AA143" s="6" t="s">
        <v>178</v>
      </c>
      <c r="AB143" s="6">
        <v>3</v>
      </c>
      <c r="AC143" s="6" t="s">
        <v>180</v>
      </c>
    </row>
    <row r="144" spans="1:29" x14ac:dyDescent="0.25">
      <c r="A144" s="145" t="str">
        <f>HYPERLINK("http://www.ofsted.gov.uk/inspection-reports/find-inspection-report/provider/ELS/51578  ","Ofsted Webpage")</f>
        <v>Ofsted Webpage</v>
      </c>
      <c r="B144" s="151">
        <v>51578</v>
      </c>
      <c r="C144" s="151">
        <v>10002008</v>
      </c>
      <c r="D144" s="46" t="s">
        <v>1152</v>
      </c>
      <c r="E144" s="26" t="s">
        <v>75</v>
      </c>
      <c r="F144" s="26" t="s">
        <v>76</v>
      </c>
      <c r="G144" s="26" t="s">
        <v>994</v>
      </c>
      <c r="H144" s="26" t="s">
        <v>187</v>
      </c>
      <c r="I144" s="26" t="s">
        <v>188</v>
      </c>
      <c r="J144" s="2" t="s">
        <v>72</v>
      </c>
      <c r="K144" s="141" t="s">
        <v>72</v>
      </c>
      <c r="L144" s="141">
        <v>10030658</v>
      </c>
      <c r="M144" s="26" t="s">
        <v>308</v>
      </c>
      <c r="N144" s="2">
        <v>42878</v>
      </c>
      <c r="O144" s="2">
        <v>42881</v>
      </c>
      <c r="P144" s="133">
        <v>42907</v>
      </c>
      <c r="Q144" s="6">
        <v>2</v>
      </c>
      <c r="R144" s="6">
        <v>2</v>
      </c>
      <c r="S144" s="6">
        <v>2</v>
      </c>
      <c r="T144" s="6">
        <v>2</v>
      </c>
      <c r="U144" s="6">
        <v>2</v>
      </c>
      <c r="V144" s="6" t="s">
        <v>1153</v>
      </c>
      <c r="W144" s="5">
        <v>42146</v>
      </c>
      <c r="X144" s="6">
        <v>2</v>
      </c>
      <c r="Y144" s="6">
        <v>2</v>
      </c>
      <c r="Z144" s="6">
        <v>2</v>
      </c>
      <c r="AA144" s="6" t="s">
        <v>178</v>
      </c>
      <c r="AB144" s="6">
        <v>2</v>
      </c>
      <c r="AC144" s="6" t="s">
        <v>180</v>
      </c>
    </row>
    <row r="145" spans="1:29" x14ac:dyDescent="0.25">
      <c r="A145" s="145" t="str">
        <f>HYPERLINK("http://www.ofsted.gov.uk/inspection-reports/find-inspection-report/provider/ELS/51579  ","Ofsted Webpage")</f>
        <v>Ofsted Webpage</v>
      </c>
      <c r="B145" s="151">
        <v>51579</v>
      </c>
      <c r="C145" s="151">
        <v>10002009</v>
      </c>
      <c r="D145" s="46" t="s">
        <v>1333</v>
      </c>
      <c r="E145" s="26" t="s">
        <v>77</v>
      </c>
      <c r="F145" s="26" t="s">
        <v>76</v>
      </c>
      <c r="G145" s="26" t="s">
        <v>994</v>
      </c>
      <c r="H145" s="26" t="s">
        <v>187</v>
      </c>
      <c r="I145" s="26" t="s">
        <v>188</v>
      </c>
      <c r="J145" s="2">
        <v>42515</v>
      </c>
      <c r="K145" s="141">
        <v>1</v>
      </c>
      <c r="L145" s="141" t="s">
        <v>1334</v>
      </c>
      <c r="M145" s="26" t="s">
        <v>445</v>
      </c>
      <c r="N145" s="2">
        <v>40673</v>
      </c>
      <c r="O145" s="2">
        <v>40676</v>
      </c>
      <c r="P145" s="133">
        <v>40710</v>
      </c>
      <c r="Q145" s="6">
        <v>2</v>
      </c>
      <c r="R145" s="6">
        <v>2</v>
      </c>
      <c r="S145" s="6">
        <v>2</v>
      </c>
      <c r="T145" s="120" t="s">
        <v>178</v>
      </c>
      <c r="U145" s="6">
        <v>2</v>
      </c>
      <c r="V145" s="6" t="s">
        <v>1335</v>
      </c>
      <c r="W145" s="5">
        <v>39388</v>
      </c>
      <c r="X145" s="6">
        <v>2</v>
      </c>
      <c r="Y145" s="6">
        <v>2</v>
      </c>
      <c r="Z145" s="6">
        <v>2</v>
      </c>
      <c r="AA145" s="6" t="s">
        <v>178</v>
      </c>
      <c r="AB145" s="6">
        <v>2</v>
      </c>
      <c r="AC145" s="6" t="s">
        <v>180</v>
      </c>
    </row>
    <row r="146" spans="1:29" x14ac:dyDescent="0.25">
      <c r="A146" s="145" t="str">
        <f>HYPERLINK("http://www.ofsted.gov.uk/inspection-reports/find-inspection-report/provider/ELS/51619  ","Ofsted Webpage")</f>
        <v>Ofsted Webpage</v>
      </c>
      <c r="B146" s="151">
        <v>51619</v>
      </c>
      <c r="C146" s="151">
        <v>10002073</v>
      </c>
      <c r="D146" s="46" t="s">
        <v>2556</v>
      </c>
      <c r="E146" s="26" t="s">
        <v>78</v>
      </c>
      <c r="F146" s="26" t="s">
        <v>79</v>
      </c>
      <c r="G146" s="26" t="s">
        <v>794</v>
      </c>
      <c r="H146" s="26" t="s">
        <v>175</v>
      </c>
      <c r="I146" s="26" t="s">
        <v>175</v>
      </c>
      <c r="J146" s="2" t="s">
        <v>72</v>
      </c>
      <c r="K146" s="141" t="s">
        <v>72</v>
      </c>
      <c r="L146" s="141">
        <v>10022538</v>
      </c>
      <c r="M146" s="26" t="s">
        <v>199</v>
      </c>
      <c r="N146" s="2">
        <v>42809</v>
      </c>
      <c r="O146" s="2">
        <v>42811</v>
      </c>
      <c r="P146" s="119">
        <v>42845</v>
      </c>
      <c r="Q146" s="6">
        <v>2</v>
      </c>
      <c r="R146" s="6">
        <v>2</v>
      </c>
      <c r="S146" s="6">
        <v>2</v>
      </c>
      <c r="T146" s="6">
        <v>2</v>
      </c>
      <c r="U146" s="6">
        <v>2</v>
      </c>
      <c r="V146" s="6" t="s">
        <v>2557</v>
      </c>
      <c r="W146" s="5">
        <v>42076</v>
      </c>
      <c r="X146" s="6">
        <v>3</v>
      </c>
      <c r="Y146" s="6">
        <v>3</v>
      </c>
      <c r="Z146" s="6">
        <v>3</v>
      </c>
      <c r="AA146" s="6" t="s">
        <v>178</v>
      </c>
      <c r="AB146" s="6">
        <v>3</v>
      </c>
      <c r="AC146" s="6" t="s">
        <v>216</v>
      </c>
    </row>
    <row r="147" spans="1:29" x14ac:dyDescent="0.25">
      <c r="A147" s="145" t="str">
        <f>HYPERLINK("http://www.ofsted.gov.uk/inspection-reports/find-inspection-report/provider/ELS/51623  ","Ofsted Webpage")</f>
        <v>Ofsted Webpage</v>
      </c>
      <c r="B147" s="151">
        <v>51623</v>
      </c>
      <c r="C147" s="151">
        <v>10002085</v>
      </c>
      <c r="D147" s="46" t="s">
        <v>2560</v>
      </c>
      <c r="E147" s="26" t="s">
        <v>78</v>
      </c>
      <c r="F147" s="26" t="s">
        <v>79</v>
      </c>
      <c r="G147" s="26" t="s">
        <v>254</v>
      </c>
      <c r="H147" s="26" t="s">
        <v>193</v>
      </c>
      <c r="I147" s="26" t="s">
        <v>193</v>
      </c>
      <c r="J147" s="2">
        <v>42810</v>
      </c>
      <c r="K147" s="141">
        <v>1</v>
      </c>
      <c r="L147" s="141" t="s">
        <v>2561</v>
      </c>
      <c r="M147" s="26" t="s">
        <v>466</v>
      </c>
      <c r="N147" s="2">
        <v>41443</v>
      </c>
      <c r="O147" s="2">
        <v>41446</v>
      </c>
      <c r="P147" s="133">
        <v>41481</v>
      </c>
      <c r="Q147" s="6">
        <v>2</v>
      </c>
      <c r="R147" s="6">
        <v>2</v>
      </c>
      <c r="S147" s="6">
        <v>2</v>
      </c>
      <c r="T147" s="120" t="s">
        <v>178</v>
      </c>
      <c r="U147" s="6">
        <v>2</v>
      </c>
      <c r="V147" s="6" t="s">
        <v>2562</v>
      </c>
      <c r="W147" s="5">
        <v>40388</v>
      </c>
      <c r="X147" s="6">
        <v>3</v>
      </c>
      <c r="Y147" s="6">
        <v>3</v>
      </c>
      <c r="Z147" s="6">
        <v>3</v>
      </c>
      <c r="AA147" s="6" t="s">
        <v>178</v>
      </c>
      <c r="AB147" s="6">
        <v>3</v>
      </c>
      <c r="AC147" s="6" t="s">
        <v>216</v>
      </c>
    </row>
    <row r="148" spans="1:29" x14ac:dyDescent="0.25">
      <c r="A148" s="145" t="str">
        <f>HYPERLINK("http://www.ofsted.gov.uk/inspection-reports/find-inspection-report/provider/ELS/51635  ","Ofsted Webpage")</f>
        <v>Ofsted Webpage</v>
      </c>
      <c r="B148" s="151">
        <v>51635</v>
      </c>
      <c r="C148" s="151">
        <v>10019812</v>
      </c>
      <c r="D148" s="46" t="s">
        <v>2901</v>
      </c>
      <c r="E148" s="26" t="s">
        <v>78</v>
      </c>
      <c r="F148" s="26" t="s">
        <v>79</v>
      </c>
      <c r="G148" s="26" t="s">
        <v>223</v>
      </c>
      <c r="H148" s="26" t="s">
        <v>193</v>
      </c>
      <c r="I148" s="26" t="s">
        <v>193</v>
      </c>
      <c r="J148" s="2" t="s">
        <v>72</v>
      </c>
      <c r="K148" s="141" t="s">
        <v>72</v>
      </c>
      <c r="L148" s="141" t="s">
        <v>72</v>
      </c>
      <c r="M148" s="26" t="s">
        <v>72</v>
      </c>
      <c r="N148" s="2" t="s">
        <v>72</v>
      </c>
      <c r="O148" s="2" t="s">
        <v>72</v>
      </c>
      <c r="P148" s="133" t="s">
        <v>72</v>
      </c>
      <c r="Q148" s="6" t="s">
        <v>72</v>
      </c>
      <c r="R148" s="6" t="s">
        <v>72</v>
      </c>
      <c r="S148" s="6" t="s">
        <v>72</v>
      </c>
      <c r="T148" s="6" t="s">
        <v>72</v>
      </c>
      <c r="U148" s="6" t="s">
        <v>72</v>
      </c>
      <c r="V148" s="6" t="s">
        <v>72</v>
      </c>
      <c r="W148" s="5" t="s">
        <v>72</v>
      </c>
      <c r="X148" s="6" t="s">
        <v>72</v>
      </c>
      <c r="Y148" s="6" t="s">
        <v>72</v>
      </c>
      <c r="Z148" s="6" t="s">
        <v>72</v>
      </c>
      <c r="AA148" s="6" t="s">
        <v>72</v>
      </c>
      <c r="AB148" s="6" t="s">
        <v>72</v>
      </c>
      <c r="AC148" s="6" t="s">
        <v>72</v>
      </c>
    </row>
    <row r="149" spans="1:29" x14ac:dyDescent="0.25">
      <c r="A149" s="145" t="str">
        <f>HYPERLINK("http://www.ofsted.gov.uk/inspection-reports/find-inspection-report/provider/ELS/51646  ","Ofsted Webpage")</f>
        <v>Ofsted Webpage</v>
      </c>
      <c r="B149" s="151">
        <v>51646</v>
      </c>
      <c r="C149" s="151">
        <v>10002118</v>
      </c>
      <c r="D149" s="46" t="s">
        <v>1336</v>
      </c>
      <c r="E149" s="26" t="s">
        <v>77</v>
      </c>
      <c r="F149" s="26" t="s">
        <v>76</v>
      </c>
      <c r="G149" s="26" t="s">
        <v>600</v>
      </c>
      <c r="H149" s="26" t="s">
        <v>175</v>
      </c>
      <c r="I149" s="26" t="s">
        <v>175</v>
      </c>
      <c r="J149" s="2" t="s">
        <v>72</v>
      </c>
      <c r="K149" s="141" t="s">
        <v>72</v>
      </c>
      <c r="L149" s="141" t="s">
        <v>1337</v>
      </c>
      <c r="M149" s="26" t="s">
        <v>549</v>
      </c>
      <c r="N149" s="2">
        <v>42018</v>
      </c>
      <c r="O149" s="2">
        <v>42020</v>
      </c>
      <c r="P149" s="133">
        <v>42055</v>
      </c>
      <c r="Q149" s="6">
        <v>1</v>
      </c>
      <c r="R149" s="6">
        <v>1</v>
      </c>
      <c r="S149" s="6">
        <v>1</v>
      </c>
      <c r="T149" s="120" t="s">
        <v>178</v>
      </c>
      <c r="U149" s="6">
        <v>1</v>
      </c>
      <c r="V149" s="6" t="s">
        <v>1338</v>
      </c>
      <c r="W149" s="5">
        <v>39927</v>
      </c>
      <c r="X149" s="6">
        <v>2</v>
      </c>
      <c r="Y149" s="6">
        <v>2</v>
      </c>
      <c r="Z149" s="6">
        <v>3</v>
      </c>
      <c r="AA149" s="6" t="s">
        <v>178</v>
      </c>
      <c r="AB149" s="6">
        <v>2</v>
      </c>
      <c r="AC149" s="6" t="s">
        <v>216</v>
      </c>
    </row>
    <row r="150" spans="1:29" x14ac:dyDescent="0.25">
      <c r="A150" s="145" t="str">
        <f>HYPERLINK("http://www.ofsted.gov.uk/inspection-reports/find-inspection-report/provider/ELS/51653  ","Ofsted Webpage")</f>
        <v>Ofsted Webpage</v>
      </c>
      <c r="B150" s="151">
        <v>51653</v>
      </c>
      <c r="C150" s="151">
        <v>10008919</v>
      </c>
      <c r="D150" s="46" t="s">
        <v>1163</v>
      </c>
      <c r="E150" s="26" t="s">
        <v>75</v>
      </c>
      <c r="F150" s="26" t="s">
        <v>76</v>
      </c>
      <c r="G150" s="26" t="s">
        <v>388</v>
      </c>
      <c r="H150" s="26" t="s">
        <v>187</v>
      </c>
      <c r="I150" s="26" t="s">
        <v>188</v>
      </c>
      <c r="J150" s="2" t="s">
        <v>72</v>
      </c>
      <c r="K150" s="141" t="s">
        <v>72</v>
      </c>
      <c r="L150" s="141">
        <v>10004911</v>
      </c>
      <c r="M150" s="26" t="s">
        <v>547</v>
      </c>
      <c r="N150" s="2">
        <v>42269</v>
      </c>
      <c r="O150" s="2">
        <v>42272</v>
      </c>
      <c r="P150" s="133">
        <v>42312</v>
      </c>
      <c r="Q150" s="6">
        <v>2</v>
      </c>
      <c r="R150" s="6">
        <v>2</v>
      </c>
      <c r="S150" s="6">
        <v>2</v>
      </c>
      <c r="T150" s="6">
        <v>2</v>
      </c>
      <c r="U150" s="6">
        <v>2</v>
      </c>
      <c r="V150" s="6" t="s">
        <v>1164</v>
      </c>
      <c r="W150" s="5">
        <v>41761</v>
      </c>
      <c r="X150" s="6">
        <v>3</v>
      </c>
      <c r="Y150" s="6">
        <v>3</v>
      </c>
      <c r="Z150" s="6">
        <v>3</v>
      </c>
      <c r="AA150" s="6" t="s">
        <v>178</v>
      </c>
      <c r="AB150" s="6">
        <v>3</v>
      </c>
      <c r="AC150" s="6" t="s">
        <v>216</v>
      </c>
    </row>
    <row r="151" spans="1:29" x14ac:dyDescent="0.25">
      <c r="A151" s="145" t="str">
        <f>HYPERLINK("http://www.ofsted.gov.uk/inspection-reports/find-inspection-report/provider/ELS/51686  ","Ofsted Webpage")</f>
        <v>Ofsted Webpage</v>
      </c>
      <c r="B151" s="151">
        <v>51686</v>
      </c>
      <c r="C151" s="151">
        <v>10000612</v>
      </c>
      <c r="D151" s="46" t="s">
        <v>2543</v>
      </c>
      <c r="E151" s="26" t="s">
        <v>78</v>
      </c>
      <c r="F151" s="26" t="s">
        <v>79</v>
      </c>
      <c r="G151" s="26" t="s">
        <v>871</v>
      </c>
      <c r="H151" s="26" t="s">
        <v>287</v>
      </c>
      <c r="I151" s="26" t="s">
        <v>287</v>
      </c>
      <c r="J151" s="2" t="s">
        <v>72</v>
      </c>
      <c r="K151" s="141" t="s">
        <v>72</v>
      </c>
      <c r="L151" s="141" t="s">
        <v>2544</v>
      </c>
      <c r="M151" s="26" t="s">
        <v>342</v>
      </c>
      <c r="N151" s="2">
        <v>41659</v>
      </c>
      <c r="O151" s="2">
        <v>41663</v>
      </c>
      <c r="P151" s="133">
        <v>41688</v>
      </c>
      <c r="Q151" s="6">
        <v>2</v>
      </c>
      <c r="R151" s="6">
        <v>2</v>
      </c>
      <c r="S151" s="6">
        <v>2</v>
      </c>
      <c r="T151" s="120" t="s">
        <v>178</v>
      </c>
      <c r="U151" s="6">
        <v>2</v>
      </c>
      <c r="V151" s="6" t="s">
        <v>2545</v>
      </c>
      <c r="W151" s="5">
        <v>41173</v>
      </c>
      <c r="X151" s="6">
        <v>3</v>
      </c>
      <c r="Y151" s="6">
        <v>3</v>
      </c>
      <c r="Z151" s="6">
        <v>3</v>
      </c>
      <c r="AA151" s="6" t="s">
        <v>178</v>
      </c>
      <c r="AB151" s="6">
        <v>3</v>
      </c>
      <c r="AC151" s="6" t="s">
        <v>216</v>
      </c>
    </row>
    <row r="152" spans="1:29" x14ac:dyDescent="0.25">
      <c r="A152" s="145" t="str">
        <f>HYPERLINK("http://www.ofsted.gov.uk/inspection-reports/find-inspection-report/provider/ELS/51688  ","Ofsted Webpage")</f>
        <v>Ofsted Webpage</v>
      </c>
      <c r="B152" s="151">
        <v>51688</v>
      </c>
      <c r="C152" s="151">
        <v>10002187</v>
      </c>
      <c r="D152" s="46" t="s">
        <v>1339</v>
      </c>
      <c r="E152" s="26" t="s">
        <v>77</v>
      </c>
      <c r="F152" s="26" t="s">
        <v>76</v>
      </c>
      <c r="G152" s="26" t="s">
        <v>802</v>
      </c>
      <c r="H152" s="26" t="s">
        <v>198</v>
      </c>
      <c r="I152" s="26" t="s">
        <v>198</v>
      </c>
      <c r="J152" s="2" t="s">
        <v>72</v>
      </c>
      <c r="K152" s="141" t="s">
        <v>72</v>
      </c>
      <c r="L152" s="141" t="s">
        <v>1340</v>
      </c>
      <c r="M152" s="26" t="s">
        <v>445</v>
      </c>
      <c r="N152" s="2">
        <v>41085</v>
      </c>
      <c r="O152" s="2">
        <v>41089</v>
      </c>
      <c r="P152" s="133">
        <v>41124</v>
      </c>
      <c r="Q152" s="6">
        <v>1</v>
      </c>
      <c r="R152" s="6">
        <v>1</v>
      </c>
      <c r="S152" s="6">
        <v>2</v>
      </c>
      <c r="T152" s="120" t="s">
        <v>178</v>
      </c>
      <c r="U152" s="6">
        <v>1</v>
      </c>
      <c r="V152" s="6" t="s">
        <v>1341</v>
      </c>
      <c r="W152" s="5">
        <v>39052</v>
      </c>
      <c r="X152" s="6">
        <v>2</v>
      </c>
      <c r="Y152" s="6" t="s">
        <v>178</v>
      </c>
      <c r="Z152" s="6" t="s">
        <v>178</v>
      </c>
      <c r="AA152" s="6" t="s">
        <v>178</v>
      </c>
      <c r="AB152" s="6">
        <v>2</v>
      </c>
      <c r="AC152" s="6" t="s">
        <v>216</v>
      </c>
    </row>
    <row r="153" spans="1:29" x14ac:dyDescent="0.25">
      <c r="A153" s="145" t="str">
        <f>HYPERLINK("http://www.ofsted.gov.uk/inspection-reports/find-inspection-report/provider/ELS/51693  ","Ofsted Webpage")</f>
        <v>Ofsted Webpage</v>
      </c>
      <c r="B153" s="151">
        <v>51693</v>
      </c>
      <c r="C153" s="151">
        <v>10025384</v>
      </c>
      <c r="D153" s="46" t="s">
        <v>2567</v>
      </c>
      <c r="E153" s="26" t="s">
        <v>78</v>
      </c>
      <c r="F153" s="26" t="s">
        <v>79</v>
      </c>
      <c r="G153" s="26" t="s">
        <v>223</v>
      </c>
      <c r="H153" s="26" t="s">
        <v>193</v>
      </c>
      <c r="I153" s="26" t="s">
        <v>193</v>
      </c>
      <c r="J153" s="2" t="s">
        <v>72</v>
      </c>
      <c r="K153" s="141" t="s">
        <v>72</v>
      </c>
      <c r="L153" s="141">
        <v>10011477</v>
      </c>
      <c r="M153" s="26" t="s">
        <v>211</v>
      </c>
      <c r="N153" s="2">
        <v>42507</v>
      </c>
      <c r="O153" s="2">
        <v>42510</v>
      </c>
      <c r="P153" s="133">
        <v>42542</v>
      </c>
      <c r="Q153" s="6">
        <v>2</v>
      </c>
      <c r="R153" s="6">
        <v>2</v>
      </c>
      <c r="S153" s="6">
        <v>2</v>
      </c>
      <c r="T153" s="6">
        <v>2</v>
      </c>
      <c r="U153" s="6">
        <v>2</v>
      </c>
      <c r="V153" s="6" t="s">
        <v>2568</v>
      </c>
      <c r="W153" s="5">
        <v>40186</v>
      </c>
      <c r="X153" s="6">
        <v>2</v>
      </c>
      <c r="Y153" s="6">
        <v>2</v>
      </c>
      <c r="Z153" s="6">
        <v>2</v>
      </c>
      <c r="AA153" s="6" t="s">
        <v>178</v>
      </c>
      <c r="AB153" s="6">
        <v>3</v>
      </c>
      <c r="AC153" s="6" t="s">
        <v>180</v>
      </c>
    </row>
    <row r="154" spans="1:29" x14ac:dyDescent="0.25">
      <c r="A154" s="145" t="str">
        <f>HYPERLINK("http://www.ofsted.gov.uk/inspection-reports/find-inspection-report/provider/ELS/51701  ","Ofsted Webpage")</f>
        <v>Ofsted Webpage</v>
      </c>
      <c r="B154" s="151">
        <v>51701</v>
      </c>
      <c r="C154" s="151">
        <v>10002214</v>
      </c>
      <c r="D154" s="46" t="s">
        <v>2665</v>
      </c>
      <c r="E154" s="26" t="s">
        <v>78</v>
      </c>
      <c r="F154" s="26" t="s">
        <v>79</v>
      </c>
      <c r="G154" s="26" t="s">
        <v>329</v>
      </c>
      <c r="H154" s="26" t="s">
        <v>175</v>
      </c>
      <c r="I154" s="26" t="s">
        <v>175</v>
      </c>
      <c r="J154" s="2">
        <v>42438</v>
      </c>
      <c r="K154" s="141">
        <v>1</v>
      </c>
      <c r="L154" s="141" t="s">
        <v>2666</v>
      </c>
      <c r="M154" s="26" t="s">
        <v>549</v>
      </c>
      <c r="N154" s="2">
        <v>40505</v>
      </c>
      <c r="O154" s="2">
        <v>40508</v>
      </c>
      <c r="P154" s="133">
        <v>40550</v>
      </c>
      <c r="Q154" s="6">
        <v>2</v>
      </c>
      <c r="R154" s="6">
        <v>2</v>
      </c>
      <c r="S154" s="6">
        <v>2</v>
      </c>
      <c r="T154" s="120" t="s">
        <v>178</v>
      </c>
      <c r="U154" s="6">
        <v>2</v>
      </c>
      <c r="V154" s="6" t="s">
        <v>2667</v>
      </c>
      <c r="W154" s="5">
        <v>39030</v>
      </c>
      <c r="X154" s="6">
        <v>2</v>
      </c>
      <c r="Y154" s="6" t="s">
        <v>178</v>
      </c>
      <c r="Z154" s="6" t="s">
        <v>178</v>
      </c>
      <c r="AA154" s="6" t="s">
        <v>178</v>
      </c>
      <c r="AB154" s="6">
        <v>2</v>
      </c>
      <c r="AC154" s="6" t="s">
        <v>180</v>
      </c>
    </row>
    <row r="155" spans="1:29" x14ac:dyDescent="0.25">
      <c r="A155" s="145" t="str">
        <f>HYPERLINK("http://www.ofsted.gov.uk/inspection-reports/find-inspection-report/provider/ELS/51708  ","Ofsted Webpage")</f>
        <v>Ofsted Webpage</v>
      </c>
      <c r="B155" s="151">
        <v>51708</v>
      </c>
      <c r="C155" s="151">
        <v>10002230</v>
      </c>
      <c r="D155" s="46" t="s">
        <v>2988</v>
      </c>
      <c r="E155" s="26" t="s">
        <v>78</v>
      </c>
      <c r="F155" s="26" t="s">
        <v>79</v>
      </c>
      <c r="G155" s="26" t="s">
        <v>2440</v>
      </c>
      <c r="H155" s="26" t="s">
        <v>2441</v>
      </c>
      <c r="I155" s="26" t="s">
        <v>2441</v>
      </c>
      <c r="J155" s="2" t="s">
        <v>72</v>
      </c>
      <c r="K155" s="141" t="s">
        <v>72</v>
      </c>
      <c r="L155" s="141" t="s">
        <v>72</v>
      </c>
      <c r="M155" s="26" t="s">
        <v>72</v>
      </c>
      <c r="N155" s="2" t="s">
        <v>72</v>
      </c>
      <c r="O155" s="2" t="s">
        <v>72</v>
      </c>
      <c r="P155" s="133" t="s">
        <v>72</v>
      </c>
      <c r="Q155" s="6" t="s">
        <v>72</v>
      </c>
      <c r="R155" s="6" t="s">
        <v>72</v>
      </c>
      <c r="S155" s="6" t="s">
        <v>72</v>
      </c>
      <c r="T155" s="6" t="s">
        <v>72</v>
      </c>
      <c r="U155" s="6" t="s">
        <v>72</v>
      </c>
      <c r="V155" s="6" t="s">
        <v>72</v>
      </c>
      <c r="W155" s="5" t="s">
        <v>72</v>
      </c>
      <c r="X155" s="6" t="s">
        <v>72</v>
      </c>
      <c r="Y155" s="6" t="s">
        <v>72</v>
      </c>
      <c r="Z155" s="6" t="s">
        <v>72</v>
      </c>
      <c r="AA155" s="6" t="s">
        <v>72</v>
      </c>
      <c r="AB155" s="6" t="s">
        <v>72</v>
      </c>
      <c r="AC155" s="6" t="s">
        <v>72</v>
      </c>
    </row>
    <row r="156" spans="1:29" x14ac:dyDescent="0.25">
      <c r="A156" s="145" t="str">
        <f>HYPERLINK("http://www.ofsted.gov.uk/inspection-reports/find-inspection-report/provider/ELS/51731  ","Ofsted Webpage")</f>
        <v>Ofsted Webpage</v>
      </c>
      <c r="B156" s="151">
        <v>51731</v>
      </c>
      <c r="C156" s="151">
        <v>10002269</v>
      </c>
      <c r="D156" s="46" t="s">
        <v>1691</v>
      </c>
      <c r="E156" s="26" t="s">
        <v>85</v>
      </c>
      <c r="F156" s="26" t="s">
        <v>86</v>
      </c>
      <c r="G156" s="26" t="s">
        <v>1288</v>
      </c>
      <c r="H156" s="26" t="s">
        <v>175</v>
      </c>
      <c r="I156" s="26" t="s">
        <v>175</v>
      </c>
      <c r="J156" s="2" t="s">
        <v>72</v>
      </c>
      <c r="K156" s="141" t="s">
        <v>72</v>
      </c>
      <c r="L156" s="141">
        <v>10004915</v>
      </c>
      <c r="M156" s="26" t="s">
        <v>605</v>
      </c>
      <c r="N156" s="2">
        <v>42438</v>
      </c>
      <c r="O156" s="2">
        <v>42439</v>
      </c>
      <c r="P156" s="133">
        <v>42480</v>
      </c>
      <c r="Q156" s="6">
        <v>1</v>
      </c>
      <c r="R156" s="6">
        <v>1</v>
      </c>
      <c r="S156" s="6">
        <v>1</v>
      </c>
      <c r="T156" s="6">
        <v>1</v>
      </c>
      <c r="U156" s="6">
        <v>1</v>
      </c>
      <c r="V156" s="6" t="s">
        <v>1692</v>
      </c>
      <c r="W156" s="5">
        <v>41060</v>
      </c>
      <c r="X156" s="6" t="s">
        <v>178</v>
      </c>
      <c r="Y156" s="6" t="s">
        <v>178</v>
      </c>
      <c r="Z156" s="6" t="s">
        <v>178</v>
      </c>
      <c r="AA156" s="6" t="s">
        <v>178</v>
      </c>
      <c r="AB156" s="6" t="s">
        <v>178</v>
      </c>
      <c r="AC156" s="6" t="s">
        <v>208</v>
      </c>
    </row>
    <row r="157" spans="1:29" x14ac:dyDescent="0.25">
      <c r="A157" s="145" t="str">
        <f>HYPERLINK("http://www.ofsted.gov.uk/inspection-reports/find-inspection-report/provider/ELS/51762  ","Ofsted Webpage")</f>
        <v>Ofsted Webpage</v>
      </c>
      <c r="B157" s="151">
        <v>51762</v>
      </c>
      <c r="C157" s="151">
        <v>10008227</v>
      </c>
      <c r="D157" s="46" t="s">
        <v>2982</v>
      </c>
      <c r="E157" s="26" t="s">
        <v>78</v>
      </c>
      <c r="F157" s="26" t="s">
        <v>79</v>
      </c>
      <c r="G157" s="26" t="s">
        <v>608</v>
      </c>
      <c r="H157" s="26" t="s">
        <v>238</v>
      </c>
      <c r="I157" s="26" t="s">
        <v>238</v>
      </c>
      <c r="J157" s="2" t="s">
        <v>72</v>
      </c>
      <c r="K157" s="141" t="s">
        <v>72</v>
      </c>
      <c r="L157" s="141" t="s">
        <v>2983</v>
      </c>
      <c r="M157" s="26" t="s">
        <v>2175</v>
      </c>
      <c r="N157" s="2">
        <v>38736</v>
      </c>
      <c r="O157" s="2">
        <v>38736</v>
      </c>
      <c r="P157" s="133">
        <v>38765</v>
      </c>
      <c r="Q157" s="6">
        <v>3</v>
      </c>
      <c r="R157" s="6" t="s">
        <v>178</v>
      </c>
      <c r="S157" s="6" t="s">
        <v>178</v>
      </c>
      <c r="T157" s="120" t="s">
        <v>178</v>
      </c>
      <c r="U157" s="6">
        <v>3</v>
      </c>
      <c r="V157" s="6" t="s">
        <v>72</v>
      </c>
      <c r="W157" s="5" t="s">
        <v>72</v>
      </c>
      <c r="X157" s="6" t="s">
        <v>72</v>
      </c>
      <c r="Y157" s="6" t="s">
        <v>72</v>
      </c>
      <c r="Z157" s="6" t="s">
        <v>72</v>
      </c>
      <c r="AA157" s="6" t="s">
        <v>72</v>
      </c>
      <c r="AB157" s="6" t="s">
        <v>72</v>
      </c>
      <c r="AC157" s="6" t="s">
        <v>208</v>
      </c>
    </row>
    <row r="158" spans="1:29" x14ac:dyDescent="0.25">
      <c r="A158" s="145" t="str">
        <f>HYPERLINK("http://www.ofsted.gov.uk/inspection-reports/find-inspection-report/provider/ELS/51766  ","Ofsted Webpage")</f>
        <v>Ofsted Webpage</v>
      </c>
      <c r="B158" s="151">
        <v>51766</v>
      </c>
      <c r="C158" s="151">
        <v>10002327</v>
      </c>
      <c r="D158" s="46" t="s">
        <v>1139</v>
      </c>
      <c r="E158" s="26" t="s">
        <v>75</v>
      </c>
      <c r="F158" s="26" t="s">
        <v>76</v>
      </c>
      <c r="G158" s="26" t="s">
        <v>477</v>
      </c>
      <c r="H158" s="26" t="s">
        <v>287</v>
      </c>
      <c r="I158" s="26" t="s">
        <v>287</v>
      </c>
      <c r="J158" s="2" t="s">
        <v>72</v>
      </c>
      <c r="K158" s="141" t="s">
        <v>72</v>
      </c>
      <c r="L158" s="141">
        <v>10020145</v>
      </c>
      <c r="M158" s="26" t="s">
        <v>562</v>
      </c>
      <c r="N158" s="2">
        <v>42710</v>
      </c>
      <c r="O158" s="2">
        <v>42713</v>
      </c>
      <c r="P158" s="133">
        <v>42768</v>
      </c>
      <c r="Q158" s="6">
        <v>4</v>
      </c>
      <c r="R158" s="6">
        <v>3</v>
      </c>
      <c r="S158" s="6">
        <v>3</v>
      </c>
      <c r="T158" s="6">
        <v>4</v>
      </c>
      <c r="U158" s="6">
        <v>4</v>
      </c>
      <c r="V158" s="6" t="s">
        <v>1140</v>
      </c>
      <c r="W158" s="5">
        <v>41957</v>
      </c>
      <c r="X158" s="6">
        <v>3</v>
      </c>
      <c r="Y158" s="6">
        <v>3</v>
      </c>
      <c r="Z158" s="6">
        <v>3</v>
      </c>
      <c r="AA158" s="6" t="s">
        <v>178</v>
      </c>
      <c r="AB158" s="6">
        <v>3</v>
      </c>
      <c r="AC158" s="6" t="s">
        <v>201</v>
      </c>
    </row>
    <row r="159" spans="1:29" x14ac:dyDescent="0.25">
      <c r="A159" s="145" t="str">
        <f>HYPERLINK("http://www.ofsted.gov.uk/inspection-reports/find-inspection-report/provider/ELS/51779  ","Ofsted Webpage")</f>
        <v>Ofsted Webpage</v>
      </c>
      <c r="B159" s="151">
        <v>51779</v>
      </c>
      <c r="C159" s="151">
        <v>10002078</v>
      </c>
      <c r="D159" s="46" t="s">
        <v>2558</v>
      </c>
      <c r="E159" s="26" t="s">
        <v>78</v>
      </c>
      <c r="F159" s="26" t="s">
        <v>79</v>
      </c>
      <c r="G159" s="26" t="s">
        <v>665</v>
      </c>
      <c r="H159" s="26" t="s">
        <v>175</v>
      </c>
      <c r="I159" s="26" t="s">
        <v>175</v>
      </c>
      <c r="J159" s="2" t="s">
        <v>72</v>
      </c>
      <c r="K159" s="141" t="s">
        <v>72</v>
      </c>
      <c r="L159" s="141" t="s">
        <v>2559</v>
      </c>
      <c r="M159" s="26" t="s">
        <v>466</v>
      </c>
      <c r="N159" s="2">
        <v>41821</v>
      </c>
      <c r="O159" s="2">
        <v>41824</v>
      </c>
      <c r="P159" s="119">
        <v>41859</v>
      </c>
      <c r="Q159" s="6">
        <v>2</v>
      </c>
      <c r="R159" s="6">
        <v>1</v>
      </c>
      <c r="S159" s="6">
        <v>2</v>
      </c>
      <c r="T159" s="120" t="s">
        <v>178</v>
      </c>
      <c r="U159" s="6">
        <v>2</v>
      </c>
      <c r="V159" s="6" t="s">
        <v>72</v>
      </c>
      <c r="W159" s="5" t="s">
        <v>72</v>
      </c>
      <c r="X159" s="6" t="s">
        <v>72</v>
      </c>
      <c r="Y159" s="6" t="s">
        <v>72</v>
      </c>
      <c r="Z159" s="6" t="s">
        <v>72</v>
      </c>
      <c r="AA159" s="6" t="s">
        <v>72</v>
      </c>
      <c r="AB159" s="6" t="s">
        <v>72</v>
      </c>
      <c r="AC159" s="6" t="s">
        <v>208</v>
      </c>
    </row>
    <row r="160" spans="1:29" x14ac:dyDescent="0.25">
      <c r="A160" s="145" t="str">
        <f>HYPERLINK("http://www.ofsted.gov.uk/inspection-reports/find-inspection-report/provider/ELS/51815  ","Ofsted Webpage")</f>
        <v>Ofsted Webpage</v>
      </c>
      <c r="B160" s="151">
        <v>51815</v>
      </c>
      <c r="C160" s="151">
        <v>10002407</v>
      </c>
      <c r="D160" s="46" t="s">
        <v>2447</v>
      </c>
      <c r="E160" s="26" t="s">
        <v>78</v>
      </c>
      <c r="F160" s="26" t="s">
        <v>79</v>
      </c>
      <c r="G160" s="26" t="s">
        <v>261</v>
      </c>
      <c r="H160" s="26" t="s">
        <v>219</v>
      </c>
      <c r="I160" s="26" t="s">
        <v>219</v>
      </c>
      <c r="J160" s="2" t="s">
        <v>72</v>
      </c>
      <c r="K160" s="141" t="s">
        <v>72</v>
      </c>
      <c r="L160" s="141" t="s">
        <v>2448</v>
      </c>
      <c r="M160" s="26" t="s">
        <v>445</v>
      </c>
      <c r="N160" s="2">
        <v>40728</v>
      </c>
      <c r="O160" s="2">
        <v>40732</v>
      </c>
      <c r="P160" s="133">
        <v>40767</v>
      </c>
      <c r="Q160" s="6">
        <v>1</v>
      </c>
      <c r="R160" s="6">
        <v>2</v>
      </c>
      <c r="S160" s="6">
        <v>1</v>
      </c>
      <c r="T160" s="120" t="s">
        <v>178</v>
      </c>
      <c r="U160" s="6">
        <v>1</v>
      </c>
      <c r="V160" s="6" t="s">
        <v>72</v>
      </c>
      <c r="W160" s="5" t="s">
        <v>72</v>
      </c>
      <c r="X160" s="6" t="s">
        <v>72</v>
      </c>
      <c r="Y160" s="6" t="s">
        <v>72</v>
      </c>
      <c r="Z160" s="6" t="s">
        <v>72</v>
      </c>
      <c r="AA160" s="6" t="s">
        <v>72</v>
      </c>
      <c r="AB160" s="6" t="s">
        <v>72</v>
      </c>
      <c r="AC160" s="6" t="s">
        <v>208</v>
      </c>
    </row>
    <row r="161" spans="1:29" x14ac:dyDescent="0.25">
      <c r="A161" s="145" t="str">
        <f>HYPERLINK("http://www.ofsted.gov.uk/inspection-reports/find-inspection-report/provider/ELS/51835  ","Ofsted Webpage")</f>
        <v>Ofsted Webpage</v>
      </c>
      <c r="B161" s="151">
        <v>51835</v>
      </c>
      <c r="C161" s="151">
        <v>10002463</v>
      </c>
      <c r="D161" s="46" t="s">
        <v>972</v>
      </c>
      <c r="E161" s="26" t="s">
        <v>80</v>
      </c>
      <c r="F161" s="26" t="s">
        <v>79</v>
      </c>
      <c r="G161" s="26" t="s">
        <v>254</v>
      </c>
      <c r="H161" s="26" t="s">
        <v>193</v>
      </c>
      <c r="I161" s="26" t="s">
        <v>193</v>
      </c>
      <c r="J161" s="2" t="s">
        <v>72</v>
      </c>
      <c r="K161" s="141" t="s">
        <v>72</v>
      </c>
      <c r="L161" s="141">
        <v>10030778</v>
      </c>
      <c r="M161" s="26" t="s">
        <v>211</v>
      </c>
      <c r="N161" s="2">
        <v>42871</v>
      </c>
      <c r="O161" s="2">
        <v>42873</v>
      </c>
      <c r="P161" s="133">
        <v>42898</v>
      </c>
      <c r="Q161" s="6">
        <v>2</v>
      </c>
      <c r="R161" s="6">
        <v>2</v>
      </c>
      <c r="S161" s="6">
        <v>2</v>
      </c>
      <c r="T161" s="6">
        <v>2</v>
      </c>
      <c r="U161" s="6">
        <v>2</v>
      </c>
      <c r="V161" s="6" t="s">
        <v>973</v>
      </c>
      <c r="W161" s="5">
        <v>40522</v>
      </c>
      <c r="X161" s="6">
        <v>1</v>
      </c>
      <c r="Y161" s="6">
        <v>1</v>
      </c>
      <c r="Z161" s="6">
        <v>1</v>
      </c>
      <c r="AA161" s="6" t="s">
        <v>178</v>
      </c>
      <c r="AB161" s="6">
        <v>1</v>
      </c>
      <c r="AC161" s="6" t="s">
        <v>201</v>
      </c>
    </row>
    <row r="162" spans="1:29" x14ac:dyDescent="0.25">
      <c r="A162" s="145" t="str">
        <f>HYPERLINK("http://www.ofsted.gov.uk/inspection-reports/find-inspection-report/provider/ELS/51841  ","Ofsted Webpage")</f>
        <v>Ofsted Webpage</v>
      </c>
      <c r="B162" s="151">
        <v>51841</v>
      </c>
      <c r="C162" s="151">
        <v>10002471</v>
      </c>
      <c r="D162" s="46" t="s">
        <v>1345</v>
      </c>
      <c r="E162" s="26" t="s">
        <v>77</v>
      </c>
      <c r="F162" s="26" t="s">
        <v>76</v>
      </c>
      <c r="G162" s="26" t="s">
        <v>213</v>
      </c>
      <c r="H162" s="26" t="s">
        <v>214</v>
      </c>
      <c r="I162" s="26" t="s">
        <v>214</v>
      </c>
      <c r="J162" s="2">
        <v>42439</v>
      </c>
      <c r="K162" s="141">
        <v>1</v>
      </c>
      <c r="L162" s="141" t="s">
        <v>1346</v>
      </c>
      <c r="M162" s="26" t="s">
        <v>445</v>
      </c>
      <c r="N162" s="2">
        <v>40253</v>
      </c>
      <c r="O162" s="2">
        <v>40256</v>
      </c>
      <c r="P162" s="133">
        <v>40295</v>
      </c>
      <c r="Q162" s="6">
        <v>2</v>
      </c>
      <c r="R162" s="6">
        <v>2</v>
      </c>
      <c r="S162" s="6">
        <v>1</v>
      </c>
      <c r="T162" s="120" t="s">
        <v>178</v>
      </c>
      <c r="U162" s="6">
        <v>2</v>
      </c>
      <c r="V162" s="6" t="s">
        <v>1347</v>
      </c>
      <c r="W162" s="5">
        <v>38667</v>
      </c>
      <c r="X162" s="6">
        <v>3</v>
      </c>
      <c r="Y162" s="6" t="s">
        <v>178</v>
      </c>
      <c r="Z162" s="6" t="s">
        <v>178</v>
      </c>
      <c r="AA162" s="6" t="s">
        <v>178</v>
      </c>
      <c r="AB162" s="6">
        <v>2</v>
      </c>
      <c r="AC162" s="6" t="s">
        <v>216</v>
      </c>
    </row>
    <row r="163" spans="1:29" x14ac:dyDescent="0.25">
      <c r="A163" s="145" t="str">
        <f>HYPERLINK("http://www.ofsted.gov.uk/inspection-reports/find-inspection-report/provider/ELS/51850  ","Ofsted Webpage")</f>
        <v>Ofsted Webpage</v>
      </c>
      <c r="B163" s="151">
        <v>51850</v>
      </c>
      <c r="C163" s="151">
        <v>10002483</v>
      </c>
      <c r="D163" s="46" t="s">
        <v>1203</v>
      </c>
      <c r="E163" s="26" t="s">
        <v>77</v>
      </c>
      <c r="F163" s="26" t="s">
        <v>76</v>
      </c>
      <c r="G163" s="26" t="s">
        <v>1204</v>
      </c>
      <c r="H163" s="26" t="s">
        <v>175</v>
      </c>
      <c r="I163" s="26" t="s">
        <v>175</v>
      </c>
      <c r="J163" s="2" t="s">
        <v>72</v>
      </c>
      <c r="K163" s="141" t="s">
        <v>72</v>
      </c>
      <c r="L163" s="141">
        <v>10017525</v>
      </c>
      <c r="M163" s="26" t="s">
        <v>189</v>
      </c>
      <c r="N163" s="2">
        <v>42696</v>
      </c>
      <c r="O163" s="2">
        <v>42699</v>
      </c>
      <c r="P163" s="133">
        <v>42747</v>
      </c>
      <c r="Q163" s="6">
        <v>2</v>
      </c>
      <c r="R163" s="6">
        <v>2</v>
      </c>
      <c r="S163" s="6">
        <v>2</v>
      </c>
      <c r="T163" s="6">
        <v>2</v>
      </c>
      <c r="U163" s="6">
        <v>2</v>
      </c>
      <c r="V163" s="6" t="s">
        <v>1205</v>
      </c>
      <c r="W163" s="5">
        <v>41586</v>
      </c>
      <c r="X163" s="6">
        <v>2</v>
      </c>
      <c r="Y163" s="6">
        <v>2</v>
      </c>
      <c r="Z163" s="6">
        <v>2</v>
      </c>
      <c r="AA163" s="6" t="s">
        <v>178</v>
      </c>
      <c r="AB163" s="6">
        <v>2</v>
      </c>
      <c r="AC163" s="6" t="s">
        <v>180</v>
      </c>
    </row>
    <row r="164" spans="1:29" x14ac:dyDescent="0.25">
      <c r="A164" s="145" t="str">
        <f>HYPERLINK("http://www.ofsted.gov.uk/inspection-reports/find-inspection-report/provider/ELS/51856  ","Ofsted Webpage")</f>
        <v>Ofsted Webpage</v>
      </c>
      <c r="B164" s="151">
        <v>51856</v>
      </c>
      <c r="C164" s="151">
        <v>10003915</v>
      </c>
      <c r="D164" s="46" t="s">
        <v>2353</v>
      </c>
      <c r="E164" s="26" t="s">
        <v>78</v>
      </c>
      <c r="F164" s="26" t="s">
        <v>79</v>
      </c>
      <c r="G164" s="26" t="s">
        <v>361</v>
      </c>
      <c r="H164" s="26" t="s">
        <v>198</v>
      </c>
      <c r="I164" s="26" t="s">
        <v>198</v>
      </c>
      <c r="J164" s="2">
        <v>42509</v>
      </c>
      <c r="K164" s="141">
        <v>1</v>
      </c>
      <c r="L164" s="141" t="s">
        <v>2354</v>
      </c>
      <c r="M164" s="26" t="s">
        <v>333</v>
      </c>
      <c r="N164" s="2">
        <v>41099</v>
      </c>
      <c r="O164" s="2">
        <v>41103</v>
      </c>
      <c r="P164" s="119">
        <v>41139</v>
      </c>
      <c r="Q164" s="6">
        <v>2</v>
      </c>
      <c r="R164" s="6">
        <v>2</v>
      </c>
      <c r="S164" s="6">
        <v>2</v>
      </c>
      <c r="T164" s="120" t="s">
        <v>178</v>
      </c>
      <c r="U164" s="6">
        <v>2</v>
      </c>
      <c r="V164" s="6" t="s">
        <v>2355</v>
      </c>
      <c r="W164" s="5">
        <v>39647</v>
      </c>
      <c r="X164" s="6">
        <v>2</v>
      </c>
      <c r="Y164" s="6">
        <v>3</v>
      </c>
      <c r="Z164" s="6">
        <v>2</v>
      </c>
      <c r="AA164" s="6" t="s">
        <v>178</v>
      </c>
      <c r="AB164" s="6">
        <v>2</v>
      </c>
      <c r="AC164" s="6" t="s">
        <v>180</v>
      </c>
    </row>
    <row r="165" spans="1:29" x14ac:dyDescent="0.25">
      <c r="A165" s="145" t="str">
        <f>HYPERLINK("http://www.ofsted.gov.uk/inspection-reports/find-inspection-report/provider/ELS/51859  ","Ofsted Webpage")</f>
        <v>Ofsted Webpage</v>
      </c>
      <c r="B165" s="151">
        <v>51859</v>
      </c>
      <c r="C165" s="151">
        <v>10037348</v>
      </c>
      <c r="D165" s="46" t="s">
        <v>1780</v>
      </c>
      <c r="E165" s="26" t="s">
        <v>78</v>
      </c>
      <c r="F165" s="26" t="s">
        <v>79</v>
      </c>
      <c r="G165" s="26" t="s">
        <v>1772</v>
      </c>
      <c r="H165" s="26" t="s">
        <v>198</v>
      </c>
      <c r="I165" s="26" t="s">
        <v>198</v>
      </c>
      <c r="J165" s="2" t="s">
        <v>72</v>
      </c>
      <c r="K165" s="141" t="s">
        <v>72</v>
      </c>
      <c r="L165" s="141" t="s">
        <v>1781</v>
      </c>
      <c r="M165" s="26" t="s">
        <v>445</v>
      </c>
      <c r="N165" s="2">
        <v>40449</v>
      </c>
      <c r="O165" s="2">
        <v>40452</v>
      </c>
      <c r="P165" s="133">
        <v>40487</v>
      </c>
      <c r="Q165" s="6">
        <v>1</v>
      </c>
      <c r="R165" s="6">
        <v>1</v>
      </c>
      <c r="S165" s="6">
        <v>2</v>
      </c>
      <c r="T165" s="120" t="s">
        <v>178</v>
      </c>
      <c r="U165" s="6">
        <v>1</v>
      </c>
      <c r="V165" s="6" t="s">
        <v>1782</v>
      </c>
      <c r="W165" s="5">
        <v>38870</v>
      </c>
      <c r="X165" s="6">
        <v>2</v>
      </c>
      <c r="Y165" s="6" t="s">
        <v>178</v>
      </c>
      <c r="Z165" s="6" t="s">
        <v>178</v>
      </c>
      <c r="AA165" s="6" t="s">
        <v>178</v>
      </c>
      <c r="AB165" s="6">
        <v>2</v>
      </c>
      <c r="AC165" s="6" t="s">
        <v>216</v>
      </c>
    </row>
    <row r="166" spans="1:29" x14ac:dyDescent="0.25">
      <c r="A166" s="145" t="str">
        <f>HYPERLINK("http://www.ofsted.gov.uk/inspection-reports/find-inspection-report/provider/ELS/51862  ","Ofsted Webpage")</f>
        <v>Ofsted Webpage</v>
      </c>
      <c r="B166" s="151">
        <v>51862</v>
      </c>
      <c r="C166" s="151">
        <v>10002424</v>
      </c>
      <c r="D166" s="46" t="s">
        <v>2451</v>
      </c>
      <c r="E166" s="26" t="s">
        <v>78</v>
      </c>
      <c r="F166" s="26" t="s">
        <v>79</v>
      </c>
      <c r="G166" s="26" t="s">
        <v>261</v>
      </c>
      <c r="H166" s="26" t="s">
        <v>219</v>
      </c>
      <c r="I166" s="26" t="s">
        <v>219</v>
      </c>
      <c r="J166" s="2">
        <v>42453</v>
      </c>
      <c r="K166" s="141">
        <v>1</v>
      </c>
      <c r="L166" s="141" t="s">
        <v>2452</v>
      </c>
      <c r="M166" s="26" t="s">
        <v>445</v>
      </c>
      <c r="N166" s="2">
        <v>40833</v>
      </c>
      <c r="O166" s="2">
        <v>40837</v>
      </c>
      <c r="P166" s="133">
        <v>40872</v>
      </c>
      <c r="Q166" s="6">
        <v>2</v>
      </c>
      <c r="R166" s="6">
        <v>2</v>
      </c>
      <c r="S166" s="6">
        <v>2</v>
      </c>
      <c r="T166" s="120" t="s">
        <v>178</v>
      </c>
      <c r="U166" s="6">
        <v>2</v>
      </c>
      <c r="V166" s="6" t="s">
        <v>2453</v>
      </c>
      <c r="W166" s="5">
        <v>38695</v>
      </c>
      <c r="X166" s="6">
        <v>2</v>
      </c>
      <c r="Y166" s="6" t="s">
        <v>178</v>
      </c>
      <c r="Z166" s="6" t="s">
        <v>178</v>
      </c>
      <c r="AA166" s="6" t="s">
        <v>178</v>
      </c>
      <c r="AB166" s="6">
        <v>2</v>
      </c>
      <c r="AC166" s="6" t="s">
        <v>180</v>
      </c>
    </row>
    <row r="167" spans="1:29" x14ac:dyDescent="0.25">
      <c r="A167" s="145" t="str">
        <f>HYPERLINK("http://www.ofsted.gov.uk/inspection-reports/find-inspection-report/provider/ELS/51873  ","Ofsted Webpage")</f>
        <v>Ofsted Webpage</v>
      </c>
      <c r="B167" s="151">
        <v>51873</v>
      </c>
      <c r="C167" s="151">
        <v>10010401</v>
      </c>
      <c r="D167" s="46" t="s">
        <v>1040</v>
      </c>
      <c r="E167" s="26" t="s">
        <v>78</v>
      </c>
      <c r="F167" s="26" t="s">
        <v>79</v>
      </c>
      <c r="G167" s="26" t="s">
        <v>640</v>
      </c>
      <c r="H167" s="26" t="s">
        <v>238</v>
      </c>
      <c r="I167" s="26" t="s">
        <v>238</v>
      </c>
      <c r="J167" s="2" t="s">
        <v>72</v>
      </c>
      <c r="K167" s="141" t="s">
        <v>72</v>
      </c>
      <c r="L167" s="141">
        <v>10030760</v>
      </c>
      <c r="M167" s="26" t="s">
        <v>183</v>
      </c>
      <c r="N167" s="2">
        <v>42845</v>
      </c>
      <c r="O167" s="2">
        <v>42851</v>
      </c>
      <c r="P167" s="133">
        <v>42877</v>
      </c>
      <c r="Q167" s="6">
        <v>3</v>
      </c>
      <c r="R167" s="6">
        <v>3</v>
      </c>
      <c r="S167" s="6">
        <v>3</v>
      </c>
      <c r="T167" s="6">
        <v>3</v>
      </c>
      <c r="U167" s="6">
        <v>3</v>
      </c>
      <c r="V167" s="6" t="s">
        <v>1041</v>
      </c>
      <c r="W167" s="5">
        <v>40031</v>
      </c>
      <c r="X167" s="6">
        <v>2</v>
      </c>
      <c r="Y167" s="6">
        <v>2</v>
      </c>
      <c r="Z167" s="6">
        <v>2</v>
      </c>
      <c r="AA167" s="6" t="s">
        <v>178</v>
      </c>
      <c r="AB167" s="6">
        <v>2</v>
      </c>
      <c r="AC167" s="6" t="s">
        <v>201</v>
      </c>
    </row>
    <row r="168" spans="1:29" x14ac:dyDescent="0.25">
      <c r="A168" s="145" t="str">
        <f>HYPERLINK("http://www.ofsted.gov.uk/inspection-reports/find-inspection-report/provider/ELS/51895  ","Ofsted Webpage")</f>
        <v>Ofsted Webpage</v>
      </c>
      <c r="B168" s="151">
        <v>51895</v>
      </c>
      <c r="C168" s="151">
        <v>10002565</v>
      </c>
      <c r="D168" s="46" t="s">
        <v>1042</v>
      </c>
      <c r="E168" s="26" t="s">
        <v>78</v>
      </c>
      <c r="F168" s="26" t="s">
        <v>79</v>
      </c>
      <c r="G168" s="26" t="s">
        <v>254</v>
      </c>
      <c r="H168" s="26" t="s">
        <v>193</v>
      </c>
      <c r="I168" s="26" t="s">
        <v>193</v>
      </c>
      <c r="J168" s="2" t="s">
        <v>72</v>
      </c>
      <c r="K168" s="141" t="s">
        <v>72</v>
      </c>
      <c r="L168" s="141">
        <v>10022589</v>
      </c>
      <c r="M168" s="26" t="s">
        <v>183</v>
      </c>
      <c r="N168" s="2">
        <v>42822</v>
      </c>
      <c r="O168" s="2">
        <v>42825</v>
      </c>
      <c r="P168" s="133">
        <v>42846</v>
      </c>
      <c r="Q168" s="6">
        <v>3</v>
      </c>
      <c r="R168" s="6">
        <v>3</v>
      </c>
      <c r="S168" s="6">
        <v>3</v>
      </c>
      <c r="T168" s="6">
        <v>2</v>
      </c>
      <c r="U168" s="6">
        <v>3</v>
      </c>
      <c r="V168" s="6" t="s">
        <v>1043</v>
      </c>
      <c r="W168" s="5">
        <v>41102</v>
      </c>
      <c r="X168" s="6">
        <v>2</v>
      </c>
      <c r="Y168" s="6">
        <v>1</v>
      </c>
      <c r="Z168" s="6">
        <v>2</v>
      </c>
      <c r="AA168" s="6" t="s">
        <v>178</v>
      </c>
      <c r="AB168" s="6">
        <v>3</v>
      </c>
      <c r="AC168" s="6" t="s">
        <v>201</v>
      </c>
    </row>
    <row r="169" spans="1:29" x14ac:dyDescent="0.25">
      <c r="A169" s="145" t="str">
        <f>HYPERLINK("http://www.ofsted.gov.uk/inspection-reports/find-inspection-report/provider/ELS/51905  ","Ofsted Webpage")</f>
        <v>Ofsted Webpage</v>
      </c>
      <c r="B169" s="151">
        <v>51905</v>
      </c>
      <c r="C169" s="151">
        <v>10002578</v>
      </c>
      <c r="D169" s="46" t="s">
        <v>1209</v>
      </c>
      <c r="E169" s="26" t="s">
        <v>77</v>
      </c>
      <c r="F169" s="26" t="s">
        <v>76</v>
      </c>
      <c r="G169" s="26" t="s">
        <v>526</v>
      </c>
      <c r="H169" s="26" t="s">
        <v>219</v>
      </c>
      <c r="I169" s="26" t="s">
        <v>219</v>
      </c>
      <c r="J169" s="2" t="s">
        <v>72</v>
      </c>
      <c r="K169" s="141" t="s">
        <v>72</v>
      </c>
      <c r="L169" s="141">
        <v>10022520</v>
      </c>
      <c r="M169" s="26" t="s">
        <v>356</v>
      </c>
      <c r="N169" s="2">
        <v>42758</v>
      </c>
      <c r="O169" s="2">
        <v>42760</v>
      </c>
      <c r="P169" s="133">
        <v>42787</v>
      </c>
      <c r="Q169" s="6">
        <v>2</v>
      </c>
      <c r="R169" s="6">
        <v>2</v>
      </c>
      <c r="S169" s="6">
        <v>2</v>
      </c>
      <c r="T169" s="6">
        <v>2</v>
      </c>
      <c r="U169" s="6">
        <v>2</v>
      </c>
      <c r="V169" s="6" t="s">
        <v>1210</v>
      </c>
      <c r="W169" s="5">
        <v>42167</v>
      </c>
      <c r="X169" s="6">
        <v>3</v>
      </c>
      <c r="Y169" s="6">
        <v>3</v>
      </c>
      <c r="Z169" s="6">
        <v>3</v>
      </c>
      <c r="AA169" s="6" t="s">
        <v>178</v>
      </c>
      <c r="AB169" s="6">
        <v>3</v>
      </c>
      <c r="AC169" s="6" t="s">
        <v>216</v>
      </c>
    </row>
    <row r="170" spans="1:29" x14ac:dyDescent="0.25">
      <c r="A170" s="145" t="str">
        <f>HYPERLINK("http://www.ofsted.gov.uk/inspection-reports/find-inspection-report/provider/ELS/51938  ","Ofsted Webpage")</f>
        <v>Ofsted Webpage</v>
      </c>
      <c r="B170" s="151">
        <v>51938</v>
      </c>
      <c r="C170" s="151">
        <v>10002639</v>
      </c>
      <c r="D170" s="46" t="s">
        <v>1268</v>
      </c>
      <c r="E170" s="26" t="s">
        <v>75</v>
      </c>
      <c r="F170" s="26" t="s">
        <v>76</v>
      </c>
      <c r="G170" s="26" t="s">
        <v>1269</v>
      </c>
      <c r="H170" s="26" t="s">
        <v>204</v>
      </c>
      <c r="I170" s="26" t="s">
        <v>188</v>
      </c>
      <c r="J170" s="2">
        <v>42432</v>
      </c>
      <c r="K170" s="141">
        <v>1</v>
      </c>
      <c r="L170" s="141" t="s">
        <v>1270</v>
      </c>
      <c r="M170" s="26" t="s">
        <v>549</v>
      </c>
      <c r="N170" s="2">
        <v>40469</v>
      </c>
      <c r="O170" s="2">
        <v>40473</v>
      </c>
      <c r="P170" s="133">
        <v>40508</v>
      </c>
      <c r="Q170" s="6">
        <v>2</v>
      </c>
      <c r="R170" s="6">
        <v>2</v>
      </c>
      <c r="S170" s="6">
        <v>3</v>
      </c>
      <c r="T170" s="120" t="s">
        <v>178</v>
      </c>
      <c r="U170" s="6">
        <v>2</v>
      </c>
      <c r="V170" s="6" t="s">
        <v>1271</v>
      </c>
      <c r="W170" s="5">
        <v>39052</v>
      </c>
      <c r="X170" s="6">
        <v>2</v>
      </c>
      <c r="Y170" s="6" t="s">
        <v>178</v>
      </c>
      <c r="Z170" s="6" t="s">
        <v>178</v>
      </c>
      <c r="AA170" s="6" t="s">
        <v>178</v>
      </c>
      <c r="AB170" s="6">
        <v>2</v>
      </c>
      <c r="AC170" s="6" t="s">
        <v>180</v>
      </c>
    </row>
    <row r="171" spans="1:29" x14ac:dyDescent="0.25">
      <c r="A171" s="145" t="str">
        <f>HYPERLINK("http://www.ofsted.gov.uk/inspection-reports/find-inspection-report/provider/ELS/51944  ","Ofsted Webpage")</f>
        <v>Ofsted Webpage</v>
      </c>
      <c r="B171" s="151">
        <v>51944</v>
      </c>
      <c r="C171" s="151">
        <v>10002618</v>
      </c>
      <c r="D171" s="46" t="s">
        <v>1044</v>
      </c>
      <c r="E171" s="26" t="s">
        <v>78</v>
      </c>
      <c r="F171" s="26" t="s">
        <v>79</v>
      </c>
      <c r="G171" s="26" t="s">
        <v>223</v>
      </c>
      <c r="H171" s="26" t="s">
        <v>193</v>
      </c>
      <c r="I171" s="26" t="s">
        <v>193</v>
      </c>
      <c r="J171" s="2" t="s">
        <v>72</v>
      </c>
      <c r="K171" s="141" t="s">
        <v>72</v>
      </c>
      <c r="L171" s="141" t="s">
        <v>1045</v>
      </c>
      <c r="M171" s="26" t="s">
        <v>466</v>
      </c>
      <c r="N171" s="2">
        <v>42023</v>
      </c>
      <c r="O171" s="2">
        <v>42027</v>
      </c>
      <c r="P171" s="133">
        <v>42066</v>
      </c>
      <c r="Q171" s="6">
        <v>2</v>
      </c>
      <c r="R171" s="6">
        <v>2</v>
      </c>
      <c r="S171" s="6">
        <v>2</v>
      </c>
      <c r="T171" s="120" t="s">
        <v>178</v>
      </c>
      <c r="U171" s="6">
        <v>2</v>
      </c>
      <c r="V171" s="6" t="s">
        <v>1046</v>
      </c>
      <c r="W171" s="5">
        <v>38967</v>
      </c>
      <c r="X171" s="6">
        <v>3</v>
      </c>
      <c r="Y171" s="6" t="s">
        <v>178</v>
      </c>
      <c r="Z171" s="6" t="s">
        <v>178</v>
      </c>
      <c r="AA171" s="6" t="s">
        <v>178</v>
      </c>
      <c r="AB171" s="6">
        <v>3</v>
      </c>
      <c r="AC171" s="6" t="s">
        <v>216</v>
      </c>
    </row>
    <row r="172" spans="1:29" x14ac:dyDescent="0.25">
      <c r="A172" s="145" t="str">
        <f>HYPERLINK("http://www.ofsted.gov.uk/inspection-reports/find-inspection-report/provider/ELS/51952  ","Ofsted Webpage")</f>
        <v>Ofsted Webpage</v>
      </c>
      <c r="B172" s="151">
        <v>51952</v>
      </c>
      <c r="C172" s="151">
        <v>10002655</v>
      </c>
      <c r="D172" s="46" t="s">
        <v>1047</v>
      </c>
      <c r="E172" s="26" t="s">
        <v>78</v>
      </c>
      <c r="F172" s="26" t="s">
        <v>79</v>
      </c>
      <c r="G172" s="26" t="s">
        <v>687</v>
      </c>
      <c r="H172" s="26" t="s">
        <v>238</v>
      </c>
      <c r="I172" s="26" t="s">
        <v>238</v>
      </c>
      <c r="J172" s="2" t="s">
        <v>72</v>
      </c>
      <c r="K172" s="141" t="s">
        <v>72</v>
      </c>
      <c r="L172" s="141" t="s">
        <v>1048</v>
      </c>
      <c r="M172" s="26" t="s">
        <v>445</v>
      </c>
      <c r="N172" s="2">
        <v>40595</v>
      </c>
      <c r="O172" s="2">
        <v>40599</v>
      </c>
      <c r="P172" s="133">
        <v>40634</v>
      </c>
      <c r="Q172" s="6">
        <v>1</v>
      </c>
      <c r="R172" s="6">
        <v>1</v>
      </c>
      <c r="S172" s="6">
        <v>1</v>
      </c>
      <c r="T172" s="120" t="s">
        <v>178</v>
      </c>
      <c r="U172" s="6">
        <v>1</v>
      </c>
      <c r="V172" s="6" t="s">
        <v>72</v>
      </c>
      <c r="W172" s="5" t="s">
        <v>72</v>
      </c>
      <c r="X172" s="6" t="s">
        <v>72</v>
      </c>
      <c r="Y172" s="6" t="s">
        <v>72</v>
      </c>
      <c r="Z172" s="6" t="s">
        <v>72</v>
      </c>
      <c r="AA172" s="6" t="s">
        <v>72</v>
      </c>
      <c r="AB172" s="6" t="s">
        <v>72</v>
      </c>
      <c r="AC172" s="6" t="s">
        <v>208</v>
      </c>
    </row>
    <row r="173" spans="1:29" x14ac:dyDescent="0.25">
      <c r="A173" s="145" t="str">
        <f>HYPERLINK("http://www.ofsted.gov.uk/inspection-reports/find-inspection-report/provider/ELS/51954  ","Ofsted Webpage")</f>
        <v>Ofsted Webpage</v>
      </c>
      <c r="B173" s="151">
        <v>51954</v>
      </c>
      <c r="C173" s="151">
        <v>10036952</v>
      </c>
      <c r="D173" s="46" t="s">
        <v>2249</v>
      </c>
      <c r="E173" s="26" t="s">
        <v>78</v>
      </c>
      <c r="F173" s="26" t="s">
        <v>79</v>
      </c>
      <c r="G173" s="26" t="s">
        <v>608</v>
      </c>
      <c r="H173" s="26" t="s">
        <v>238</v>
      </c>
      <c r="I173" s="26" t="s">
        <v>238</v>
      </c>
      <c r="J173" s="2">
        <v>42482</v>
      </c>
      <c r="K173" s="141">
        <v>1</v>
      </c>
      <c r="L173" s="141" t="s">
        <v>2250</v>
      </c>
      <c r="M173" s="26" t="s">
        <v>333</v>
      </c>
      <c r="N173" s="2">
        <v>41113</v>
      </c>
      <c r="O173" s="2">
        <v>41117</v>
      </c>
      <c r="P173" s="119">
        <v>41145</v>
      </c>
      <c r="Q173" s="6">
        <v>2</v>
      </c>
      <c r="R173" s="6">
        <v>2</v>
      </c>
      <c r="S173" s="6">
        <v>1</v>
      </c>
      <c r="T173" s="120" t="s">
        <v>178</v>
      </c>
      <c r="U173" s="6">
        <v>1</v>
      </c>
      <c r="V173" s="6" t="s">
        <v>2251</v>
      </c>
      <c r="W173" s="5">
        <v>38919</v>
      </c>
      <c r="X173" s="6">
        <v>2</v>
      </c>
      <c r="Y173" s="6" t="s">
        <v>178</v>
      </c>
      <c r="Z173" s="6" t="s">
        <v>178</v>
      </c>
      <c r="AA173" s="6" t="s">
        <v>178</v>
      </c>
      <c r="AB173" s="6">
        <v>2</v>
      </c>
      <c r="AC173" s="6" t="s">
        <v>180</v>
      </c>
    </row>
    <row r="174" spans="1:29" x14ac:dyDescent="0.25">
      <c r="A174" s="145" t="str">
        <f>HYPERLINK("http://www.ofsted.gov.uk/inspection-reports/find-inspection-report/provider/ELS/51961  ","Ofsted Webpage")</f>
        <v>Ofsted Webpage</v>
      </c>
      <c r="B174" s="151">
        <v>51961</v>
      </c>
      <c r="C174" s="151">
        <v>10012171</v>
      </c>
      <c r="D174" s="46" t="s">
        <v>1049</v>
      </c>
      <c r="E174" s="26" t="s">
        <v>78</v>
      </c>
      <c r="F174" s="26" t="s">
        <v>79</v>
      </c>
      <c r="G174" s="26" t="s">
        <v>775</v>
      </c>
      <c r="H174" s="26" t="s">
        <v>198</v>
      </c>
      <c r="I174" s="26" t="s">
        <v>198</v>
      </c>
      <c r="J174" s="2">
        <v>43068</v>
      </c>
      <c r="K174" s="141">
        <v>1</v>
      </c>
      <c r="L174" s="141" t="s">
        <v>1050</v>
      </c>
      <c r="M174" s="26" t="s">
        <v>466</v>
      </c>
      <c r="N174" s="2">
        <v>41960</v>
      </c>
      <c r="O174" s="2">
        <v>41963</v>
      </c>
      <c r="P174" s="133">
        <v>41998</v>
      </c>
      <c r="Q174" s="6">
        <v>2</v>
      </c>
      <c r="R174" s="6">
        <v>2</v>
      </c>
      <c r="S174" s="6">
        <v>2</v>
      </c>
      <c r="T174" s="120" t="s">
        <v>178</v>
      </c>
      <c r="U174" s="6">
        <v>2</v>
      </c>
      <c r="V174" s="6" t="s">
        <v>1051</v>
      </c>
      <c r="W174" s="5">
        <v>40872</v>
      </c>
      <c r="X174" s="6">
        <v>2</v>
      </c>
      <c r="Y174" s="6">
        <v>2</v>
      </c>
      <c r="Z174" s="6">
        <v>2</v>
      </c>
      <c r="AA174" s="6" t="s">
        <v>178</v>
      </c>
      <c r="AB174" s="6">
        <v>2</v>
      </c>
      <c r="AC174" s="6" t="s">
        <v>180</v>
      </c>
    </row>
    <row r="175" spans="1:29" x14ac:dyDescent="0.25">
      <c r="A175" s="145" t="str">
        <f>HYPERLINK("http://www.ofsted.gov.uk/inspection-reports/find-inspection-report/provider/ELS/52037  ","Ofsted Webpage")</f>
        <v>Ofsted Webpage</v>
      </c>
      <c r="B175" s="151">
        <v>52037</v>
      </c>
      <c r="C175" s="151">
        <v>10002767</v>
      </c>
      <c r="D175" s="46" t="s">
        <v>1213</v>
      </c>
      <c r="E175" s="26" t="s">
        <v>77</v>
      </c>
      <c r="F175" s="26" t="s">
        <v>76</v>
      </c>
      <c r="G175" s="26" t="s">
        <v>247</v>
      </c>
      <c r="H175" s="26" t="s">
        <v>238</v>
      </c>
      <c r="I175" s="26" t="s">
        <v>238</v>
      </c>
      <c r="J175" s="2" t="s">
        <v>72</v>
      </c>
      <c r="K175" s="141" t="s">
        <v>72</v>
      </c>
      <c r="L175" s="141">
        <v>10004925</v>
      </c>
      <c r="M175" s="26" t="s">
        <v>189</v>
      </c>
      <c r="N175" s="2">
        <v>42423</v>
      </c>
      <c r="O175" s="2">
        <v>42426</v>
      </c>
      <c r="P175" s="133">
        <v>42453</v>
      </c>
      <c r="Q175" s="6">
        <v>3</v>
      </c>
      <c r="R175" s="6">
        <v>3</v>
      </c>
      <c r="S175" s="6">
        <v>3</v>
      </c>
      <c r="T175" s="6">
        <v>2</v>
      </c>
      <c r="U175" s="6">
        <v>3</v>
      </c>
      <c r="V175" s="6" t="s">
        <v>1214</v>
      </c>
      <c r="W175" s="5">
        <v>41075</v>
      </c>
      <c r="X175" s="6">
        <v>2</v>
      </c>
      <c r="Y175" s="6">
        <v>2</v>
      </c>
      <c r="Z175" s="6">
        <v>2</v>
      </c>
      <c r="AA175" s="6" t="s">
        <v>178</v>
      </c>
      <c r="AB175" s="6">
        <v>2</v>
      </c>
      <c r="AC175" s="6" t="s">
        <v>201</v>
      </c>
    </row>
    <row r="176" spans="1:29" x14ac:dyDescent="0.25">
      <c r="A176" s="145" t="str">
        <f>HYPERLINK("http://www.ofsted.gov.uk/inspection-reports/find-inspection-report/provider/ELS/52093  ","Ofsted Webpage")</f>
        <v>Ofsted Webpage</v>
      </c>
      <c r="B176" s="151">
        <v>52093</v>
      </c>
      <c r="C176" s="151">
        <v>10002841</v>
      </c>
      <c r="D176" s="46" t="s">
        <v>2255</v>
      </c>
      <c r="E176" s="26" t="s">
        <v>78</v>
      </c>
      <c r="F176" s="26" t="s">
        <v>79</v>
      </c>
      <c r="G176" s="26" t="s">
        <v>294</v>
      </c>
      <c r="H176" s="26" t="s">
        <v>198</v>
      </c>
      <c r="I176" s="26" t="s">
        <v>198</v>
      </c>
      <c r="J176" s="2" t="s">
        <v>72</v>
      </c>
      <c r="K176" s="141" t="s">
        <v>72</v>
      </c>
      <c r="L176" s="141" t="s">
        <v>2256</v>
      </c>
      <c r="M176" s="26" t="s">
        <v>445</v>
      </c>
      <c r="N176" s="2">
        <v>40701</v>
      </c>
      <c r="O176" s="2">
        <v>40704</v>
      </c>
      <c r="P176" s="119">
        <v>40737</v>
      </c>
      <c r="Q176" s="6">
        <v>1</v>
      </c>
      <c r="R176" s="6">
        <v>1</v>
      </c>
      <c r="S176" s="6">
        <v>1</v>
      </c>
      <c r="T176" s="120" t="s">
        <v>178</v>
      </c>
      <c r="U176" s="6">
        <v>1</v>
      </c>
      <c r="V176" s="6" t="s">
        <v>72</v>
      </c>
      <c r="W176" s="5" t="s">
        <v>72</v>
      </c>
      <c r="X176" s="6" t="s">
        <v>72</v>
      </c>
      <c r="Y176" s="6" t="s">
        <v>72</v>
      </c>
      <c r="Z176" s="6" t="s">
        <v>72</v>
      </c>
      <c r="AA176" s="6" t="s">
        <v>72</v>
      </c>
      <c r="AB176" s="6" t="s">
        <v>72</v>
      </c>
      <c r="AC176" s="6" t="s">
        <v>208</v>
      </c>
    </row>
    <row r="177" spans="1:29" x14ac:dyDescent="0.25">
      <c r="A177" s="145" t="str">
        <f>HYPERLINK("http://www.ofsted.gov.uk/inspection-reports/find-inspection-report/provider/ELS/52094  ","Ofsted Webpage")</f>
        <v>Ofsted Webpage</v>
      </c>
      <c r="B177" s="151">
        <v>52094</v>
      </c>
      <c r="C177" s="151">
        <v>10002834</v>
      </c>
      <c r="D177" s="46" t="s">
        <v>2161</v>
      </c>
      <c r="E177" s="26" t="s">
        <v>78</v>
      </c>
      <c r="F177" s="26" t="s">
        <v>79</v>
      </c>
      <c r="G177" s="26" t="s">
        <v>586</v>
      </c>
      <c r="H177" s="26" t="s">
        <v>204</v>
      </c>
      <c r="I177" s="26" t="s">
        <v>188</v>
      </c>
      <c r="J177" s="2">
        <v>43034</v>
      </c>
      <c r="K177" s="141">
        <v>1</v>
      </c>
      <c r="L177" s="141" t="s">
        <v>2162</v>
      </c>
      <c r="M177" s="26" t="s">
        <v>333</v>
      </c>
      <c r="N177" s="2">
        <v>41589</v>
      </c>
      <c r="O177" s="2">
        <v>41592</v>
      </c>
      <c r="P177" s="133">
        <v>41621</v>
      </c>
      <c r="Q177" s="6">
        <v>2</v>
      </c>
      <c r="R177" s="6">
        <v>2</v>
      </c>
      <c r="S177" s="6">
        <v>2</v>
      </c>
      <c r="T177" s="120" t="s">
        <v>178</v>
      </c>
      <c r="U177" s="6">
        <v>2</v>
      </c>
      <c r="V177" s="6" t="s">
        <v>2163</v>
      </c>
      <c r="W177" s="5">
        <v>39681</v>
      </c>
      <c r="X177" s="6">
        <v>2</v>
      </c>
      <c r="Y177" s="6">
        <v>2</v>
      </c>
      <c r="Z177" s="6">
        <v>2</v>
      </c>
      <c r="AA177" s="6" t="s">
        <v>178</v>
      </c>
      <c r="AB177" s="6">
        <v>2</v>
      </c>
      <c r="AC177" s="6" t="s">
        <v>180</v>
      </c>
    </row>
    <row r="178" spans="1:29" x14ac:dyDescent="0.25">
      <c r="A178" s="145" t="str">
        <f>HYPERLINK("http://www.ofsted.gov.uk/inspection-reports/find-inspection-report/provider/ELS/52095  ","Ofsted Webpage")</f>
        <v>Ofsted Webpage</v>
      </c>
      <c r="B178" s="151">
        <v>52095</v>
      </c>
      <c r="C178" s="151">
        <v>10002850</v>
      </c>
      <c r="D178" s="46" t="s">
        <v>2158</v>
      </c>
      <c r="E178" s="26" t="s">
        <v>78</v>
      </c>
      <c r="F178" s="26" t="s">
        <v>79</v>
      </c>
      <c r="G178" s="26" t="s">
        <v>464</v>
      </c>
      <c r="H178" s="26" t="s">
        <v>198</v>
      </c>
      <c r="I178" s="26" t="s">
        <v>198</v>
      </c>
      <c r="J178" s="2">
        <v>42433</v>
      </c>
      <c r="K178" s="141">
        <v>1</v>
      </c>
      <c r="L178" s="141" t="s">
        <v>2159</v>
      </c>
      <c r="M178" s="26" t="s">
        <v>445</v>
      </c>
      <c r="N178" s="2">
        <v>40504</v>
      </c>
      <c r="O178" s="2">
        <v>40507</v>
      </c>
      <c r="P178" s="119">
        <v>40536</v>
      </c>
      <c r="Q178" s="6">
        <v>2</v>
      </c>
      <c r="R178" s="6">
        <v>2</v>
      </c>
      <c r="S178" s="6">
        <v>2</v>
      </c>
      <c r="T178" s="120" t="s">
        <v>178</v>
      </c>
      <c r="U178" s="6">
        <v>2</v>
      </c>
      <c r="V178" s="6" t="s">
        <v>2160</v>
      </c>
      <c r="W178" s="5">
        <v>39114</v>
      </c>
      <c r="X178" s="6">
        <v>3</v>
      </c>
      <c r="Y178" s="6" t="s">
        <v>178</v>
      </c>
      <c r="Z178" s="6" t="s">
        <v>178</v>
      </c>
      <c r="AA178" s="6" t="s">
        <v>178</v>
      </c>
      <c r="AB178" s="6">
        <v>3</v>
      </c>
      <c r="AC178" s="6" t="s">
        <v>216</v>
      </c>
    </row>
    <row r="179" spans="1:29" x14ac:dyDescent="0.25">
      <c r="A179" s="145" t="str">
        <f>HYPERLINK("http://www.ofsted.gov.uk/inspection-reports/find-inspection-report/provider/ELS/52104  ","Ofsted Webpage")</f>
        <v>Ofsted Webpage</v>
      </c>
      <c r="B179" s="151">
        <v>52104</v>
      </c>
      <c r="C179" s="151">
        <v>10002861</v>
      </c>
      <c r="D179" s="46" t="s">
        <v>1273</v>
      </c>
      <c r="E179" s="26" t="s">
        <v>75</v>
      </c>
      <c r="F179" s="26" t="s">
        <v>76</v>
      </c>
      <c r="G179" s="26" t="s">
        <v>1274</v>
      </c>
      <c r="H179" s="26" t="s">
        <v>238</v>
      </c>
      <c r="I179" s="26" t="s">
        <v>238</v>
      </c>
      <c r="J179" s="2">
        <v>42810</v>
      </c>
      <c r="K179" s="141">
        <v>1</v>
      </c>
      <c r="L179" s="141" t="s">
        <v>1275</v>
      </c>
      <c r="M179" s="26" t="s">
        <v>549</v>
      </c>
      <c r="N179" s="2">
        <v>41387</v>
      </c>
      <c r="O179" s="2">
        <v>41390</v>
      </c>
      <c r="P179" s="133">
        <v>41418</v>
      </c>
      <c r="Q179" s="6">
        <v>2</v>
      </c>
      <c r="R179" s="6">
        <v>1</v>
      </c>
      <c r="S179" s="6">
        <v>2</v>
      </c>
      <c r="T179" s="120" t="s">
        <v>178</v>
      </c>
      <c r="U179" s="6">
        <v>1</v>
      </c>
      <c r="V179" s="6" t="s">
        <v>1276</v>
      </c>
      <c r="W179" s="5">
        <v>39969</v>
      </c>
      <c r="X179" s="6">
        <v>2</v>
      </c>
      <c r="Y179" s="6">
        <v>2</v>
      </c>
      <c r="Z179" s="6">
        <v>2</v>
      </c>
      <c r="AA179" s="6" t="s">
        <v>178</v>
      </c>
      <c r="AB179" s="6">
        <v>2</v>
      </c>
      <c r="AC179" s="6" t="s">
        <v>180</v>
      </c>
    </row>
    <row r="180" spans="1:29" x14ac:dyDescent="0.25">
      <c r="A180" s="145" t="str">
        <f>HYPERLINK("http://www.ofsted.gov.uk/inspection-reports/find-inspection-report/provider/ELS/52116  ","Ofsted Webpage")</f>
        <v>Ofsted Webpage</v>
      </c>
      <c r="B180" s="151">
        <v>52116</v>
      </c>
      <c r="C180" s="151">
        <v>10002872</v>
      </c>
      <c r="D180" s="46" t="s">
        <v>543</v>
      </c>
      <c r="E180" s="26" t="s">
        <v>75</v>
      </c>
      <c r="F180" s="26" t="s">
        <v>76</v>
      </c>
      <c r="G180" s="26" t="s">
        <v>261</v>
      </c>
      <c r="H180" s="26" t="s">
        <v>219</v>
      </c>
      <c r="I180" s="26" t="s">
        <v>219</v>
      </c>
      <c r="J180" s="2" t="s">
        <v>72</v>
      </c>
      <c r="K180" s="141" t="s">
        <v>72</v>
      </c>
      <c r="L180" s="141">
        <v>10011482</v>
      </c>
      <c r="M180" s="26" t="s">
        <v>308</v>
      </c>
      <c r="N180" s="2">
        <v>42486</v>
      </c>
      <c r="O180" s="2">
        <v>42489</v>
      </c>
      <c r="P180" s="133">
        <v>42514</v>
      </c>
      <c r="Q180" s="6">
        <v>3</v>
      </c>
      <c r="R180" s="6">
        <v>3</v>
      </c>
      <c r="S180" s="6">
        <v>3</v>
      </c>
      <c r="T180" s="6">
        <v>3</v>
      </c>
      <c r="U180" s="6">
        <v>3</v>
      </c>
      <c r="V180" s="6" t="s">
        <v>544</v>
      </c>
      <c r="W180" s="5">
        <v>40354</v>
      </c>
      <c r="X180" s="6">
        <v>2</v>
      </c>
      <c r="Y180" s="6">
        <v>2</v>
      </c>
      <c r="Z180" s="6">
        <v>2</v>
      </c>
      <c r="AA180" s="6" t="s">
        <v>178</v>
      </c>
      <c r="AB180" s="6">
        <v>2</v>
      </c>
      <c r="AC180" s="6" t="s">
        <v>201</v>
      </c>
    </row>
    <row r="181" spans="1:29" x14ac:dyDescent="0.25">
      <c r="A181" s="145" t="str">
        <f>HYPERLINK("http://www.ofsted.gov.uk/inspection-reports/find-inspection-report/provider/ELS/52135  ","Ofsted Webpage")</f>
        <v>Ofsted Webpage</v>
      </c>
      <c r="B181" s="151">
        <v>52135</v>
      </c>
      <c r="C181" s="151">
        <v>10019114</v>
      </c>
      <c r="D181" s="46" t="s">
        <v>2165</v>
      </c>
      <c r="E181" s="26" t="s">
        <v>78</v>
      </c>
      <c r="F181" s="26" t="s">
        <v>79</v>
      </c>
      <c r="G181" s="26" t="s">
        <v>705</v>
      </c>
      <c r="H181" s="26" t="s">
        <v>187</v>
      </c>
      <c r="I181" s="26" t="s">
        <v>188</v>
      </c>
      <c r="J181" s="2" t="s">
        <v>72</v>
      </c>
      <c r="K181" s="141" t="s">
        <v>72</v>
      </c>
      <c r="L181" s="141" t="s">
        <v>2166</v>
      </c>
      <c r="M181" s="26" t="s">
        <v>466</v>
      </c>
      <c r="N181" s="2">
        <v>41724</v>
      </c>
      <c r="O181" s="2">
        <v>41725</v>
      </c>
      <c r="P181" s="133">
        <v>41757</v>
      </c>
      <c r="Q181" s="6">
        <v>2</v>
      </c>
      <c r="R181" s="6">
        <v>2</v>
      </c>
      <c r="S181" s="6">
        <v>2</v>
      </c>
      <c r="T181" s="120" t="s">
        <v>178</v>
      </c>
      <c r="U181" s="6">
        <v>2</v>
      </c>
      <c r="V181" s="6" t="s">
        <v>2167</v>
      </c>
      <c r="W181" s="5">
        <v>40382</v>
      </c>
      <c r="X181" s="6">
        <v>3</v>
      </c>
      <c r="Y181" s="6">
        <v>2</v>
      </c>
      <c r="Z181" s="6">
        <v>3</v>
      </c>
      <c r="AA181" s="6" t="s">
        <v>178</v>
      </c>
      <c r="AB181" s="6">
        <v>3</v>
      </c>
      <c r="AC181" s="6" t="s">
        <v>216</v>
      </c>
    </row>
    <row r="182" spans="1:29" x14ac:dyDescent="0.25">
      <c r="A182" s="145" t="str">
        <f>HYPERLINK("http://www.ofsted.gov.uk/inspection-reports/find-inspection-report/provider/ELS/52137  ","Ofsted Webpage")</f>
        <v>Ofsted Webpage</v>
      </c>
      <c r="B182" s="151">
        <v>52137</v>
      </c>
      <c r="C182" s="151">
        <v>10002916</v>
      </c>
      <c r="D182" s="46" t="s">
        <v>551</v>
      </c>
      <c r="E182" s="26" t="s">
        <v>75</v>
      </c>
      <c r="F182" s="26" t="s">
        <v>76</v>
      </c>
      <c r="G182" s="26" t="s">
        <v>552</v>
      </c>
      <c r="H182" s="26" t="s">
        <v>204</v>
      </c>
      <c r="I182" s="26" t="s">
        <v>188</v>
      </c>
      <c r="J182" s="2">
        <v>43062</v>
      </c>
      <c r="K182" s="141">
        <v>1</v>
      </c>
      <c r="L182" s="141" t="s">
        <v>553</v>
      </c>
      <c r="M182" s="26" t="s">
        <v>549</v>
      </c>
      <c r="N182" s="2">
        <v>41611</v>
      </c>
      <c r="O182" s="2">
        <v>41614</v>
      </c>
      <c r="P182" s="133">
        <v>41648</v>
      </c>
      <c r="Q182" s="6">
        <v>2</v>
      </c>
      <c r="R182" s="6">
        <v>2</v>
      </c>
      <c r="S182" s="6">
        <v>2</v>
      </c>
      <c r="T182" s="120" t="s">
        <v>178</v>
      </c>
      <c r="U182" s="6">
        <v>2</v>
      </c>
      <c r="V182" s="6" t="s">
        <v>554</v>
      </c>
      <c r="W182" s="5">
        <v>39423</v>
      </c>
      <c r="X182" s="6">
        <v>2</v>
      </c>
      <c r="Y182" s="6">
        <v>2</v>
      </c>
      <c r="Z182" s="6">
        <v>3</v>
      </c>
      <c r="AA182" s="6" t="s">
        <v>178</v>
      </c>
      <c r="AB182" s="6">
        <v>2</v>
      </c>
      <c r="AC182" s="6" t="s">
        <v>180</v>
      </c>
    </row>
    <row r="183" spans="1:29" x14ac:dyDescent="0.25">
      <c r="A183" s="145" t="str">
        <f>HYPERLINK("http://www.ofsted.gov.uk/inspection-reports/find-inspection-report/provider/ELS/52147  ","Ofsted Webpage")</f>
        <v>Ofsted Webpage</v>
      </c>
      <c r="B183" s="151">
        <v>52147</v>
      </c>
      <c r="C183" s="151">
        <v>10009600</v>
      </c>
      <c r="D183" s="46" t="s">
        <v>2168</v>
      </c>
      <c r="E183" s="26" t="s">
        <v>78</v>
      </c>
      <c r="F183" s="26" t="s">
        <v>79</v>
      </c>
      <c r="G183" s="26" t="s">
        <v>1281</v>
      </c>
      <c r="H183" s="26" t="s">
        <v>175</v>
      </c>
      <c r="I183" s="26" t="s">
        <v>175</v>
      </c>
      <c r="J183" s="2" t="s">
        <v>72</v>
      </c>
      <c r="K183" s="141" t="s">
        <v>72</v>
      </c>
      <c r="L183" s="141" t="s">
        <v>2169</v>
      </c>
      <c r="M183" s="26" t="s">
        <v>333</v>
      </c>
      <c r="N183" s="2">
        <v>41540</v>
      </c>
      <c r="O183" s="2">
        <v>41544</v>
      </c>
      <c r="P183" s="133">
        <v>41579</v>
      </c>
      <c r="Q183" s="6">
        <v>1</v>
      </c>
      <c r="R183" s="6">
        <v>2</v>
      </c>
      <c r="S183" s="6">
        <v>1</v>
      </c>
      <c r="T183" s="120" t="s">
        <v>178</v>
      </c>
      <c r="U183" s="6">
        <v>1</v>
      </c>
      <c r="V183" s="6" t="s">
        <v>2170</v>
      </c>
      <c r="W183" s="5">
        <v>39675</v>
      </c>
      <c r="X183" s="6">
        <v>2</v>
      </c>
      <c r="Y183" s="6">
        <v>2</v>
      </c>
      <c r="Z183" s="6">
        <v>2</v>
      </c>
      <c r="AA183" s="6" t="s">
        <v>178</v>
      </c>
      <c r="AB183" s="6">
        <v>2</v>
      </c>
      <c r="AC183" s="6" t="s">
        <v>216</v>
      </c>
    </row>
    <row r="184" spans="1:29" x14ac:dyDescent="0.25">
      <c r="A184" s="145" t="str">
        <f>HYPERLINK("http://www.ofsted.gov.uk/inspection-reports/find-inspection-report/provider/ELS/52157  ","Ofsted Webpage")</f>
        <v>Ofsted Webpage</v>
      </c>
      <c r="B184" s="151">
        <v>52157</v>
      </c>
      <c r="C184" s="151">
        <v>10009072</v>
      </c>
      <c r="D184" s="46" t="s">
        <v>1430</v>
      </c>
      <c r="E184" s="26" t="s">
        <v>80</v>
      </c>
      <c r="F184" s="26" t="s">
        <v>79</v>
      </c>
      <c r="G184" s="26" t="s">
        <v>383</v>
      </c>
      <c r="H184" s="26" t="s">
        <v>175</v>
      </c>
      <c r="I184" s="26" t="s">
        <v>175</v>
      </c>
      <c r="J184" s="2" t="s">
        <v>72</v>
      </c>
      <c r="K184" s="141" t="s">
        <v>72</v>
      </c>
      <c r="L184" s="141" t="s">
        <v>1431</v>
      </c>
      <c r="M184" s="26" t="s">
        <v>342</v>
      </c>
      <c r="N184" s="2">
        <v>41765</v>
      </c>
      <c r="O184" s="2">
        <v>41768</v>
      </c>
      <c r="P184" s="133">
        <v>41806</v>
      </c>
      <c r="Q184" s="6">
        <v>2</v>
      </c>
      <c r="R184" s="6">
        <v>2</v>
      </c>
      <c r="S184" s="6">
        <v>2</v>
      </c>
      <c r="T184" s="120" t="s">
        <v>178</v>
      </c>
      <c r="U184" s="6">
        <v>2</v>
      </c>
      <c r="V184" s="6" t="s">
        <v>1432</v>
      </c>
      <c r="W184" s="5">
        <v>41235</v>
      </c>
      <c r="X184" s="6">
        <v>3</v>
      </c>
      <c r="Y184" s="6">
        <v>2</v>
      </c>
      <c r="Z184" s="6">
        <v>3</v>
      </c>
      <c r="AA184" s="6" t="s">
        <v>178</v>
      </c>
      <c r="AB184" s="6">
        <v>3</v>
      </c>
      <c r="AC184" s="6" t="s">
        <v>216</v>
      </c>
    </row>
    <row r="185" spans="1:29" x14ac:dyDescent="0.25">
      <c r="A185" s="145" t="str">
        <f>HYPERLINK("http://www.ofsted.gov.uk/inspection-reports/find-inspection-report/provider/ELS/52163  ","Ofsted Webpage")</f>
        <v>Ofsted Webpage</v>
      </c>
      <c r="B185" s="151">
        <v>52163</v>
      </c>
      <c r="C185" s="151">
        <v>10002976</v>
      </c>
      <c r="D185" s="46" t="s">
        <v>2337</v>
      </c>
      <c r="E185" s="26" t="s">
        <v>78</v>
      </c>
      <c r="F185" s="26" t="s">
        <v>79</v>
      </c>
      <c r="G185" s="26" t="s">
        <v>258</v>
      </c>
      <c r="H185" s="26" t="s">
        <v>193</v>
      </c>
      <c r="I185" s="26" t="s">
        <v>193</v>
      </c>
      <c r="J185" s="2" t="s">
        <v>72</v>
      </c>
      <c r="K185" s="141" t="s">
        <v>72</v>
      </c>
      <c r="L185" s="141">
        <v>10030779</v>
      </c>
      <c r="M185" s="26" t="s">
        <v>211</v>
      </c>
      <c r="N185" s="2">
        <v>42913</v>
      </c>
      <c r="O185" s="2">
        <v>42916</v>
      </c>
      <c r="P185" s="119">
        <v>42947</v>
      </c>
      <c r="Q185" s="6">
        <v>2</v>
      </c>
      <c r="R185" s="6">
        <v>2</v>
      </c>
      <c r="S185" s="6">
        <v>2</v>
      </c>
      <c r="T185" s="6">
        <v>2</v>
      </c>
      <c r="U185" s="6">
        <v>2</v>
      </c>
      <c r="V185" s="6" t="s">
        <v>2338</v>
      </c>
      <c r="W185" s="5">
        <v>40466</v>
      </c>
      <c r="X185" s="6">
        <v>1</v>
      </c>
      <c r="Y185" s="6">
        <v>1</v>
      </c>
      <c r="Z185" s="6">
        <v>2</v>
      </c>
      <c r="AA185" s="6" t="s">
        <v>178</v>
      </c>
      <c r="AB185" s="6">
        <v>1</v>
      </c>
      <c r="AC185" s="6" t="s">
        <v>201</v>
      </c>
    </row>
    <row r="186" spans="1:29" x14ac:dyDescent="0.25">
      <c r="A186" s="145" t="str">
        <f>HYPERLINK("http://www.ofsted.gov.uk/inspection-reports/find-inspection-report/provider/ELS/52165  ","Ofsted Webpage")</f>
        <v>Ofsted Webpage</v>
      </c>
      <c r="B186" s="151">
        <v>52165</v>
      </c>
      <c r="C186" s="151">
        <v>10002979</v>
      </c>
      <c r="D186" s="46" t="s">
        <v>2339</v>
      </c>
      <c r="E186" s="26" t="s">
        <v>78</v>
      </c>
      <c r="F186" s="26" t="s">
        <v>79</v>
      </c>
      <c r="G186" s="26" t="s">
        <v>662</v>
      </c>
      <c r="H186" s="26" t="s">
        <v>219</v>
      </c>
      <c r="I186" s="26" t="s">
        <v>219</v>
      </c>
      <c r="J186" s="2">
        <v>42943</v>
      </c>
      <c r="K186" s="141">
        <v>1</v>
      </c>
      <c r="L186" s="141" t="s">
        <v>2340</v>
      </c>
      <c r="M186" s="26" t="s">
        <v>1325</v>
      </c>
      <c r="N186" s="2">
        <v>41176</v>
      </c>
      <c r="O186" s="2">
        <v>41180</v>
      </c>
      <c r="P186" s="119">
        <v>41215</v>
      </c>
      <c r="Q186" s="6">
        <v>2</v>
      </c>
      <c r="R186" s="6">
        <v>2</v>
      </c>
      <c r="S186" s="6">
        <v>2</v>
      </c>
      <c r="T186" s="120" t="s">
        <v>178</v>
      </c>
      <c r="U186" s="6">
        <v>2</v>
      </c>
      <c r="V186" s="6" t="s">
        <v>2341</v>
      </c>
      <c r="W186" s="5">
        <v>40718</v>
      </c>
      <c r="X186" s="6">
        <v>4</v>
      </c>
      <c r="Y186" s="6">
        <v>4</v>
      </c>
      <c r="Z186" s="6">
        <v>3</v>
      </c>
      <c r="AA186" s="6" t="s">
        <v>178</v>
      </c>
      <c r="AB186" s="6">
        <v>4</v>
      </c>
      <c r="AC186" s="6" t="s">
        <v>216</v>
      </c>
    </row>
    <row r="187" spans="1:29" x14ac:dyDescent="0.25">
      <c r="A187" s="145" t="str">
        <f>HYPERLINK("http://www.ofsted.gov.uk/inspection-reports/find-inspection-report/provider/ELS/52179  ","Ofsted Webpage")</f>
        <v>Ofsted Webpage</v>
      </c>
      <c r="B187" s="151">
        <v>52179</v>
      </c>
      <c r="C187" s="151">
        <v>10003026</v>
      </c>
      <c r="D187" s="46" t="s">
        <v>574</v>
      </c>
      <c r="E187" s="26" t="s">
        <v>77</v>
      </c>
      <c r="F187" s="26" t="s">
        <v>76</v>
      </c>
      <c r="G187" s="26" t="s">
        <v>455</v>
      </c>
      <c r="H187" s="26" t="s">
        <v>193</v>
      </c>
      <c r="I187" s="26" t="s">
        <v>193</v>
      </c>
      <c r="J187" s="2" t="s">
        <v>72</v>
      </c>
      <c r="K187" s="141" t="s">
        <v>72</v>
      </c>
      <c r="L187" s="141">
        <v>10005137</v>
      </c>
      <c r="M187" s="26" t="s">
        <v>211</v>
      </c>
      <c r="N187" s="2">
        <v>42424</v>
      </c>
      <c r="O187" s="2">
        <v>42431</v>
      </c>
      <c r="P187" s="133">
        <v>42460</v>
      </c>
      <c r="Q187" s="6">
        <v>1</v>
      </c>
      <c r="R187" s="6">
        <v>1</v>
      </c>
      <c r="S187" s="6">
        <v>1</v>
      </c>
      <c r="T187" s="6">
        <v>1</v>
      </c>
      <c r="U187" s="6">
        <v>1</v>
      </c>
      <c r="V187" s="6" t="s">
        <v>575</v>
      </c>
      <c r="W187" s="5">
        <v>40102</v>
      </c>
      <c r="X187" s="6">
        <v>2</v>
      </c>
      <c r="Y187" s="6">
        <v>2</v>
      </c>
      <c r="Z187" s="6">
        <v>2</v>
      </c>
      <c r="AA187" s="6" t="s">
        <v>178</v>
      </c>
      <c r="AB187" s="6">
        <v>2</v>
      </c>
      <c r="AC187" s="6" t="s">
        <v>216</v>
      </c>
    </row>
    <row r="188" spans="1:29" x14ac:dyDescent="0.25">
      <c r="A188" s="145" t="str">
        <f>HYPERLINK("http://www.ofsted.gov.uk/inspection-reports/find-inspection-report/provider/ELS/52210  ","Ofsted Webpage")</f>
        <v>Ofsted Webpage</v>
      </c>
      <c r="B188" s="151">
        <v>52210</v>
      </c>
      <c r="C188" s="151">
        <v>10003085</v>
      </c>
      <c r="D188" s="46" t="s">
        <v>2342</v>
      </c>
      <c r="E188" s="26" t="s">
        <v>78</v>
      </c>
      <c r="F188" s="26" t="s">
        <v>79</v>
      </c>
      <c r="G188" s="26" t="s">
        <v>213</v>
      </c>
      <c r="H188" s="26" t="s">
        <v>214</v>
      </c>
      <c r="I188" s="26" t="s">
        <v>214</v>
      </c>
      <c r="J188" s="2" t="s">
        <v>72</v>
      </c>
      <c r="K188" s="141" t="s">
        <v>72</v>
      </c>
      <c r="L188" s="141">
        <v>10022566</v>
      </c>
      <c r="M188" s="26" t="s">
        <v>211</v>
      </c>
      <c r="N188" s="2">
        <v>42703</v>
      </c>
      <c r="O188" s="2">
        <v>42705</v>
      </c>
      <c r="P188" s="119">
        <v>42739</v>
      </c>
      <c r="Q188" s="6">
        <v>3</v>
      </c>
      <c r="R188" s="6">
        <v>3</v>
      </c>
      <c r="S188" s="6">
        <v>3</v>
      </c>
      <c r="T188" s="6">
        <v>3</v>
      </c>
      <c r="U188" s="6">
        <v>3</v>
      </c>
      <c r="V188" s="6" t="s">
        <v>2343</v>
      </c>
      <c r="W188" s="5">
        <v>41810</v>
      </c>
      <c r="X188" s="6">
        <v>2</v>
      </c>
      <c r="Y188" s="6">
        <v>2</v>
      </c>
      <c r="Z188" s="6">
        <v>2</v>
      </c>
      <c r="AA188" s="6" t="s">
        <v>178</v>
      </c>
      <c r="AB188" s="6">
        <v>2</v>
      </c>
      <c r="AC188" s="6" t="s">
        <v>201</v>
      </c>
    </row>
    <row r="189" spans="1:29" x14ac:dyDescent="0.25">
      <c r="A189" s="145" t="str">
        <f>HYPERLINK("http://www.ofsted.gov.uk/inspection-reports/find-inspection-report/provider/ELS/52212  ","Ofsted Webpage")</f>
        <v>Ofsted Webpage</v>
      </c>
      <c r="B189" s="151">
        <v>52212</v>
      </c>
      <c r="C189" s="151">
        <v>10003093</v>
      </c>
      <c r="D189" s="46" t="s">
        <v>2344</v>
      </c>
      <c r="E189" s="26" t="s">
        <v>78</v>
      </c>
      <c r="F189" s="26" t="s">
        <v>79</v>
      </c>
      <c r="G189" s="26" t="s">
        <v>379</v>
      </c>
      <c r="H189" s="26" t="s">
        <v>175</v>
      </c>
      <c r="I189" s="26" t="s">
        <v>175</v>
      </c>
      <c r="J189" s="2" t="s">
        <v>72</v>
      </c>
      <c r="K189" s="141" t="s">
        <v>72</v>
      </c>
      <c r="L189" s="141">
        <v>10011566</v>
      </c>
      <c r="M189" s="26" t="s">
        <v>183</v>
      </c>
      <c r="N189" s="2">
        <v>42654</v>
      </c>
      <c r="O189" s="2">
        <v>42657</v>
      </c>
      <c r="P189" s="119">
        <v>42688</v>
      </c>
      <c r="Q189" s="6">
        <v>2</v>
      </c>
      <c r="R189" s="6">
        <v>2</v>
      </c>
      <c r="S189" s="6">
        <v>2</v>
      </c>
      <c r="T189" s="6">
        <v>2</v>
      </c>
      <c r="U189" s="6">
        <v>2</v>
      </c>
      <c r="V189" s="6" t="s">
        <v>2345</v>
      </c>
      <c r="W189" s="5">
        <v>41152</v>
      </c>
      <c r="X189" s="6">
        <v>1</v>
      </c>
      <c r="Y189" s="6">
        <v>1</v>
      </c>
      <c r="Z189" s="6">
        <v>2</v>
      </c>
      <c r="AA189" s="6" t="s">
        <v>178</v>
      </c>
      <c r="AB189" s="6">
        <v>1</v>
      </c>
      <c r="AC189" s="6" t="s">
        <v>201</v>
      </c>
    </row>
    <row r="190" spans="1:29" x14ac:dyDescent="0.25">
      <c r="A190" s="145" t="str">
        <f>HYPERLINK("http://www.ofsted.gov.uk/inspection-reports/find-inspection-report/provider/ELS/52377  ","Ofsted Webpage")</f>
        <v>Ofsted Webpage</v>
      </c>
      <c r="B190" s="151">
        <v>52377</v>
      </c>
      <c r="C190" s="151">
        <v>10011941</v>
      </c>
      <c r="D190" s="46" t="s">
        <v>330</v>
      </c>
      <c r="E190" s="26" t="s">
        <v>80</v>
      </c>
      <c r="F190" s="26" t="s">
        <v>79</v>
      </c>
      <c r="G190" s="26" t="s">
        <v>331</v>
      </c>
      <c r="H190" s="26" t="s">
        <v>214</v>
      </c>
      <c r="I190" s="26" t="s">
        <v>214</v>
      </c>
      <c r="J190" s="2" t="s">
        <v>72</v>
      </c>
      <c r="K190" s="141" t="s">
        <v>72</v>
      </c>
      <c r="L190" s="141" t="s">
        <v>332</v>
      </c>
      <c r="M190" s="26" t="s">
        <v>333</v>
      </c>
      <c r="N190" s="2">
        <v>40932</v>
      </c>
      <c r="O190" s="2">
        <v>40935</v>
      </c>
      <c r="P190" s="133">
        <v>40970</v>
      </c>
      <c r="Q190" s="6">
        <v>1</v>
      </c>
      <c r="R190" s="6">
        <v>1</v>
      </c>
      <c r="S190" s="6">
        <v>1</v>
      </c>
      <c r="T190" s="120" t="s">
        <v>178</v>
      </c>
      <c r="U190" s="6">
        <v>1</v>
      </c>
      <c r="V190" s="6" t="s">
        <v>334</v>
      </c>
      <c r="W190" s="5">
        <v>38968</v>
      </c>
      <c r="X190" s="6">
        <v>2</v>
      </c>
      <c r="Y190" s="6" t="s">
        <v>178</v>
      </c>
      <c r="Z190" s="6" t="s">
        <v>178</v>
      </c>
      <c r="AA190" s="6" t="s">
        <v>178</v>
      </c>
      <c r="AB190" s="6">
        <v>2</v>
      </c>
      <c r="AC190" s="6" t="s">
        <v>216</v>
      </c>
    </row>
    <row r="191" spans="1:29" x14ac:dyDescent="0.25">
      <c r="A191" s="145" t="str">
        <f>HYPERLINK("http://www.ofsted.gov.uk/inspection-reports/find-inspection-report/provider/ELS/52386  ","Ofsted Webpage")</f>
        <v>Ofsted Webpage</v>
      </c>
      <c r="B191" s="151">
        <v>52386</v>
      </c>
      <c r="C191" s="151">
        <v>10003162</v>
      </c>
      <c r="D191" s="46" t="s">
        <v>2990</v>
      </c>
      <c r="E191" s="26" t="s">
        <v>78</v>
      </c>
      <c r="F191" s="26" t="s">
        <v>79</v>
      </c>
      <c r="G191" s="26" t="s">
        <v>458</v>
      </c>
      <c r="H191" s="26" t="s">
        <v>219</v>
      </c>
      <c r="I191" s="26" t="s">
        <v>219</v>
      </c>
      <c r="J191" s="2" t="s">
        <v>72</v>
      </c>
      <c r="K191" s="141" t="s">
        <v>72</v>
      </c>
      <c r="L191" s="141" t="s">
        <v>459</v>
      </c>
      <c r="M191" s="26" t="s">
        <v>445</v>
      </c>
      <c r="N191" s="2">
        <v>39762</v>
      </c>
      <c r="O191" s="2">
        <v>39766</v>
      </c>
      <c r="P191" s="133">
        <v>39798</v>
      </c>
      <c r="Q191" s="6">
        <v>1</v>
      </c>
      <c r="R191" s="6">
        <v>1</v>
      </c>
      <c r="S191" s="6">
        <v>1</v>
      </c>
      <c r="T191" s="120" t="s">
        <v>178</v>
      </c>
      <c r="U191" s="6">
        <v>1</v>
      </c>
      <c r="V191" s="6" t="s">
        <v>72</v>
      </c>
      <c r="W191" s="5" t="s">
        <v>72</v>
      </c>
      <c r="X191" s="6" t="s">
        <v>72</v>
      </c>
      <c r="Y191" s="6" t="s">
        <v>72</v>
      </c>
      <c r="Z191" s="6" t="s">
        <v>72</v>
      </c>
      <c r="AA191" s="6" t="s">
        <v>72</v>
      </c>
      <c r="AB191" s="6" t="s">
        <v>72</v>
      </c>
      <c r="AC191" s="6" t="s">
        <v>208</v>
      </c>
    </row>
    <row r="192" spans="1:29" x14ac:dyDescent="0.25">
      <c r="A192" s="145" t="str">
        <f>HYPERLINK("http://www.ofsted.gov.uk/inspection-reports/find-inspection-report/provider/ELS/52395  ","Ofsted Webpage")</f>
        <v>Ofsted Webpage</v>
      </c>
      <c r="B192" s="151">
        <v>52395</v>
      </c>
      <c r="C192" s="151">
        <v>10003190</v>
      </c>
      <c r="D192" s="46" t="s">
        <v>460</v>
      </c>
      <c r="E192" s="26" t="s">
        <v>78</v>
      </c>
      <c r="F192" s="26" t="s">
        <v>79</v>
      </c>
      <c r="G192" s="26" t="s">
        <v>461</v>
      </c>
      <c r="H192" s="26" t="s">
        <v>187</v>
      </c>
      <c r="I192" s="26" t="s">
        <v>188</v>
      </c>
      <c r="J192" s="2" t="s">
        <v>72</v>
      </c>
      <c r="K192" s="141" t="s">
        <v>72</v>
      </c>
      <c r="L192" s="141">
        <v>10011484</v>
      </c>
      <c r="M192" s="26" t="s">
        <v>211</v>
      </c>
      <c r="N192" s="2">
        <v>42555</v>
      </c>
      <c r="O192" s="2">
        <v>42558</v>
      </c>
      <c r="P192" s="133">
        <v>42584</v>
      </c>
      <c r="Q192" s="6">
        <v>2</v>
      </c>
      <c r="R192" s="6">
        <v>2</v>
      </c>
      <c r="S192" s="6">
        <v>2</v>
      </c>
      <c r="T192" s="6">
        <v>2</v>
      </c>
      <c r="U192" s="6">
        <v>2</v>
      </c>
      <c r="V192" s="6" t="s">
        <v>462</v>
      </c>
      <c r="W192" s="5">
        <v>41228</v>
      </c>
      <c r="X192" s="6">
        <v>2</v>
      </c>
      <c r="Y192" s="6">
        <v>2</v>
      </c>
      <c r="Z192" s="6">
        <v>2</v>
      </c>
      <c r="AA192" s="6" t="s">
        <v>178</v>
      </c>
      <c r="AB192" s="6">
        <v>2</v>
      </c>
      <c r="AC192" s="6" t="s">
        <v>180</v>
      </c>
    </row>
    <row r="193" spans="1:29" x14ac:dyDescent="0.25">
      <c r="A193" s="145" t="str">
        <f>HYPERLINK("http://www.ofsted.gov.uk/inspection-reports/find-inspection-report/provider/ELS/52396  ","Ofsted Webpage")</f>
        <v>Ofsted Webpage</v>
      </c>
      <c r="B193" s="151">
        <v>52396</v>
      </c>
      <c r="C193" s="151">
        <v>10003192</v>
      </c>
      <c r="D193" s="46" t="s">
        <v>463</v>
      </c>
      <c r="E193" s="26" t="s">
        <v>78</v>
      </c>
      <c r="F193" s="26" t="s">
        <v>79</v>
      </c>
      <c r="G193" s="26" t="s">
        <v>464</v>
      </c>
      <c r="H193" s="26" t="s">
        <v>198</v>
      </c>
      <c r="I193" s="26" t="s">
        <v>198</v>
      </c>
      <c r="J193" s="2" t="s">
        <v>72</v>
      </c>
      <c r="K193" s="141" t="s">
        <v>72</v>
      </c>
      <c r="L193" s="141" t="s">
        <v>465</v>
      </c>
      <c r="M193" s="26" t="s">
        <v>466</v>
      </c>
      <c r="N193" s="2">
        <v>42087</v>
      </c>
      <c r="O193" s="2">
        <v>42090</v>
      </c>
      <c r="P193" s="133">
        <v>42124</v>
      </c>
      <c r="Q193" s="6">
        <v>2</v>
      </c>
      <c r="R193" s="6">
        <v>2</v>
      </c>
      <c r="S193" s="6">
        <v>2</v>
      </c>
      <c r="T193" s="120" t="s">
        <v>178</v>
      </c>
      <c r="U193" s="6">
        <v>2</v>
      </c>
      <c r="V193" s="6" t="s">
        <v>467</v>
      </c>
      <c r="W193" s="5">
        <v>40690</v>
      </c>
      <c r="X193" s="6">
        <v>2</v>
      </c>
      <c r="Y193" s="6">
        <v>2</v>
      </c>
      <c r="Z193" s="6">
        <v>2</v>
      </c>
      <c r="AA193" s="6" t="s">
        <v>178</v>
      </c>
      <c r="AB193" s="6">
        <v>2</v>
      </c>
      <c r="AC193" s="6" t="s">
        <v>180</v>
      </c>
    </row>
    <row r="194" spans="1:29" x14ac:dyDescent="0.25">
      <c r="A194" s="145" t="str">
        <f>HYPERLINK("http://www.ofsted.gov.uk/inspection-reports/find-inspection-report/provider/ELS/52402  ","Ofsted Webpage")</f>
        <v>Ofsted Webpage</v>
      </c>
      <c r="B194" s="151">
        <v>52402</v>
      </c>
      <c r="C194" s="151">
        <v>10003197</v>
      </c>
      <c r="D194" s="46" t="s">
        <v>468</v>
      </c>
      <c r="E194" s="26" t="s">
        <v>78</v>
      </c>
      <c r="F194" s="26" t="s">
        <v>79</v>
      </c>
      <c r="G194" s="26" t="s">
        <v>469</v>
      </c>
      <c r="H194" s="26" t="s">
        <v>187</v>
      </c>
      <c r="I194" s="26" t="s">
        <v>188</v>
      </c>
      <c r="J194" s="2">
        <v>42284</v>
      </c>
      <c r="K194" s="141">
        <v>1</v>
      </c>
      <c r="L194" s="141" t="s">
        <v>470</v>
      </c>
      <c r="M194" s="26" t="s">
        <v>445</v>
      </c>
      <c r="N194" s="2">
        <v>40190</v>
      </c>
      <c r="O194" s="2">
        <v>40193</v>
      </c>
      <c r="P194" s="133">
        <v>40228</v>
      </c>
      <c r="Q194" s="6">
        <v>2</v>
      </c>
      <c r="R194" s="6">
        <v>2</v>
      </c>
      <c r="S194" s="6">
        <v>3</v>
      </c>
      <c r="T194" s="120" t="s">
        <v>178</v>
      </c>
      <c r="U194" s="6">
        <v>2</v>
      </c>
      <c r="V194" s="6" t="s">
        <v>471</v>
      </c>
      <c r="W194" s="5">
        <v>38639</v>
      </c>
      <c r="X194" s="6">
        <v>2</v>
      </c>
      <c r="Y194" s="6" t="s">
        <v>178</v>
      </c>
      <c r="Z194" s="6" t="s">
        <v>178</v>
      </c>
      <c r="AA194" s="6" t="s">
        <v>178</v>
      </c>
      <c r="AB194" s="6">
        <v>2</v>
      </c>
      <c r="AC194" s="6" t="s">
        <v>180</v>
      </c>
    </row>
    <row r="195" spans="1:29" x14ac:dyDescent="0.25">
      <c r="A195" s="145" t="str">
        <f>HYPERLINK("http://www.ofsted.gov.uk/inspection-reports/find-inspection-report/provider/ELS/52403  ","Ofsted Webpage")</f>
        <v>Ofsted Webpage</v>
      </c>
      <c r="B195" s="151">
        <v>52403</v>
      </c>
      <c r="C195" s="151">
        <v>10003198</v>
      </c>
      <c r="D195" s="46" t="s">
        <v>1403</v>
      </c>
      <c r="E195" s="26" t="s">
        <v>75</v>
      </c>
      <c r="F195" s="26" t="s">
        <v>76</v>
      </c>
      <c r="G195" s="26" t="s">
        <v>469</v>
      </c>
      <c r="H195" s="26" t="s">
        <v>187</v>
      </c>
      <c r="I195" s="26" t="s">
        <v>188</v>
      </c>
      <c r="J195" s="2" t="s">
        <v>72</v>
      </c>
      <c r="K195" s="141" t="s">
        <v>72</v>
      </c>
      <c r="L195" s="141">
        <v>10020163</v>
      </c>
      <c r="M195" s="26" t="s">
        <v>308</v>
      </c>
      <c r="N195" s="2">
        <v>42703</v>
      </c>
      <c r="O195" s="2">
        <v>42706</v>
      </c>
      <c r="P195" s="133">
        <v>42748</v>
      </c>
      <c r="Q195" s="6">
        <v>3</v>
      </c>
      <c r="R195" s="6">
        <v>3</v>
      </c>
      <c r="S195" s="6">
        <v>3</v>
      </c>
      <c r="T195" s="6">
        <v>3</v>
      </c>
      <c r="U195" s="6">
        <v>3</v>
      </c>
      <c r="V195" s="6" t="s">
        <v>1404</v>
      </c>
      <c r="W195" s="5">
        <v>41075</v>
      </c>
      <c r="X195" s="6">
        <v>2</v>
      </c>
      <c r="Y195" s="6">
        <v>2</v>
      </c>
      <c r="Z195" s="6">
        <v>2</v>
      </c>
      <c r="AA195" s="6" t="s">
        <v>178</v>
      </c>
      <c r="AB195" s="6">
        <v>2</v>
      </c>
      <c r="AC195" s="6" t="s">
        <v>201</v>
      </c>
    </row>
    <row r="196" spans="1:29" x14ac:dyDescent="0.25">
      <c r="A196" s="145" t="str">
        <f>HYPERLINK("http://www.ofsted.gov.uk/inspection-reports/find-inspection-report/provider/ELS/52410  ","Ofsted Webpage")</f>
        <v>Ofsted Webpage</v>
      </c>
      <c r="B196" s="151">
        <v>52410</v>
      </c>
      <c r="C196" s="151">
        <v>10003206</v>
      </c>
      <c r="D196" s="46" t="s">
        <v>578</v>
      </c>
      <c r="E196" s="26" t="s">
        <v>77</v>
      </c>
      <c r="F196" s="26" t="s">
        <v>76</v>
      </c>
      <c r="G196" s="26" t="s">
        <v>469</v>
      </c>
      <c r="H196" s="26" t="s">
        <v>187</v>
      </c>
      <c r="I196" s="26" t="s">
        <v>188</v>
      </c>
      <c r="J196" s="2">
        <v>43055</v>
      </c>
      <c r="K196" s="141">
        <v>1</v>
      </c>
      <c r="L196" s="141" t="s">
        <v>579</v>
      </c>
      <c r="M196" s="26" t="s">
        <v>466</v>
      </c>
      <c r="N196" s="2">
        <v>41582</v>
      </c>
      <c r="O196" s="2">
        <v>41586</v>
      </c>
      <c r="P196" s="133">
        <v>41619</v>
      </c>
      <c r="Q196" s="6">
        <v>2</v>
      </c>
      <c r="R196" s="6">
        <v>2</v>
      </c>
      <c r="S196" s="6">
        <v>2</v>
      </c>
      <c r="T196" s="120" t="s">
        <v>178</v>
      </c>
      <c r="U196" s="6">
        <v>2</v>
      </c>
      <c r="V196" s="6" t="s">
        <v>580</v>
      </c>
      <c r="W196" s="5">
        <v>39507</v>
      </c>
      <c r="X196" s="6">
        <v>2</v>
      </c>
      <c r="Y196" s="6">
        <v>2</v>
      </c>
      <c r="Z196" s="6">
        <v>2</v>
      </c>
      <c r="AA196" s="6" t="s">
        <v>178</v>
      </c>
      <c r="AB196" s="6">
        <v>2</v>
      </c>
      <c r="AC196" s="6" t="s">
        <v>180</v>
      </c>
    </row>
    <row r="197" spans="1:29" x14ac:dyDescent="0.25">
      <c r="A197" s="145" t="str">
        <f>HYPERLINK("http://www.ofsted.gov.uk/inspection-reports/find-inspection-report/provider/ELS/52418  ","Ofsted Webpage")</f>
        <v>Ofsted Webpage</v>
      </c>
      <c r="B197" s="151">
        <v>52418</v>
      </c>
      <c r="C197" s="151">
        <v>10003219</v>
      </c>
      <c r="D197" s="46" t="s">
        <v>2569</v>
      </c>
      <c r="E197" s="26" t="s">
        <v>78</v>
      </c>
      <c r="F197" s="26" t="s">
        <v>79</v>
      </c>
      <c r="G197" s="26" t="s">
        <v>469</v>
      </c>
      <c r="H197" s="26" t="s">
        <v>187</v>
      </c>
      <c r="I197" s="26" t="s">
        <v>188</v>
      </c>
      <c r="J197" s="2" t="s">
        <v>72</v>
      </c>
      <c r="K197" s="141" t="s">
        <v>72</v>
      </c>
      <c r="L197" s="141">
        <v>10030659</v>
      </c>
      <c r="M197" s="26" t="s">
        <v>211</v>
      </c>
      <c r="N197" s="2">
        <v>42934</v>
      </c>
      <c r="O197" s="2">
        <v>42936</v>
      </c>
      <c r="P197" s="133">
        <v>42971</v>
      </c>
      <c r="Q197" s="6">
        <v>2</v>
      </c>
      <c r="R197" s="6">
        <v>2</v>
      </c>
      <c r="S197" s="6">
        <v>2</v>
      </c>
      <c r="T197" s="6">
        <v>2</v>
      </c>
      <c r="U197" s="6">
        <v>2</v>
      </c>
      <c r="V197" s="6" t="s">
        <v>2570</v>
      </c>
      <c r="W197" s="5">
        <v>42146</v>
      </c>
      <c r="X197" s="6">
        <v>2</v>
      </c>
      <c r="Y197" s="6">
        <v>2</v>
      </c>
      <c r="Z197" s="6">
        <v>2</v>
      </c>
      <c r="AA197" s="6" t="s">
        <v>178</v>
      </c>
      <c r="AB197" s="6">
        <v>2</v>
      </c>
      <c r="AC197" s="6" t="s">
        <v>180</v>
      </c>
    </row>
    <row r="198" spans="1:29" x14ac:dyDescent="0.25">
      <c r="A198" s="145" t="str">
        <f>HYPERLINK("http://www.ofsted.gov.uk/inspection-reports/find-inspection-report/provider/ELS/52434  ","Ofsted Webpage")</f>
        <v>Ofsted Webpage</v>
      </c>
      <c r="B198" s="151">
        <v>52434</v>
      </c>
      <c r="C198" s="151">
        <v>10003240</v>
      </c>
      <c r="D198" s="46" t="s">
        <v>2571</v>
      </c>
      <c r="E198" s="26" t="s">
        <v>78</v>
      </c>
      <c r="F198" s="26" t="s">
        <v>79</v>
      </c>
      <c r="G198" s="26" t="s">
        <v>2572</v>
      </c>
      <c r="H198" s="26" t="s">
        <v>497</v>
      </c>
      <c r="I198" s="26" t="s">
        <v>219</v>
      </c>
      <c r="J198" s="2" t="s">
        <v>72</v>
      </c>
      <c r="K198" s="141" t="s">
        <v>72</v>
      </c>
      <c r="L198" s="141" t="s">
        <v>2573</v>
      </c>
      <c r="M198" s="26" t="s">
        <v>333</v>
      </c>
      <c r="N198" s="2">
        <v>40959</v>
      </c>
      <c r="O198" s="2">
        <v>40963</v>
      </c>
      <c r="P198" s="133">
        <v>40998</v>
      </c>
      <c r="Q198" s="6">
        <v>1</v>
      </c>
      <c r="R198" s="6">
        <v>1</v>
      </c>
      <c r="S198" s="6">
        <v>1</v>
      </c>
      <c r="T198" s="120" t="s">
        <v>178</v>
      </c>
      <c r="U198" s="6">
        <v>1</v>
      </c>
      <c r="V198" s="6" t="s">
        <v>72</v>
      </c>
      <c r="W198" s="5" t="s">
        <v>72</v>
      </c>
      <c r="X198" s="6" t="s">
        <v>72</v>
      </c>
      <c r="Y198" s="6" t="s">
        <v>72</v>
      </c>
      <c r="Z198" s="6" t="s">
        <v>72</v>
      </c>
      <c r="AA198" s="6" t="s">
        <v>72</v>
      </c>
      <c r="AB198" s="6" t="s">
        <v>72</v>
      </c>
      <c r="AC198" s="6" t="s">
        <v>208</v>
      </c>
    </row>
    <row r="199" spans="1:29" x14ac:dyDescent="0.25">
      <c r="A199" s="145" t="str">
        <f>HYPERLINK("http://www.ofsted.gov.uk/inspection-reports/find-inspection-report/provider/ELS/52459  ","Ofsted Webpage")</f>
        <v>Ofsted Webpage</v>
      </c>
      <c r="B199" s="151">
        <v>52459</v>
      </c>
      <c r="C199" s="151">
        <v>10003289</v>
      </c>
      <c r="D199" s="46" t="s">
        <v>581</v>
      </c>
      <c r="E199" s="26" t="s">
        <v>78</v>
      </c>
      <c r="F199" s="26" t="s">
        <v>79</v>
      </c>
      <c r="G199" s="26" t="s">
        <v>582</v>
      </c>
      <c r="H199" s="26" t="s">
        <v>187</v>
      </c>
      <c r="I199" s="26" t="s">
        <v>188</v>
      </c>
      <c r="J199" s="2">
        <v>43012</v>
      </c>
      <c r="K199" s="141">
        <v>1</v>
      </c>
      <c r="L199" s="141" t="s">
        <v>583</v>
      </c>
      <c r="M199" s="26" t="s">
        <v>342</v>
      </c>
      <c r="N199" s="2">
        <v>41708</v>
      </c>
      <c r="O199" s="2">
        <v>41712</v>
      </c>
      <c r="P199" s="133">
        <v>41745</v>
      </c>
      <c r="Q199" s="6">
        <v>2</v>
      </c>
      <c r="R199" s="6">
        <v>2</v>
      </c>
      <c r="S199" s="6">
        <v>2</v>
      </c>
      <c r="T199" s="120" t="s">
        <v>178</v>
      </c>
      <c r="U199" s="6">
        <v>2</v>
      </c>
      <c r="V199" s="6" t="s">
        <v>584</v>
      </c>
      <c r="W199" s="5">
        <v>41334</v>
      </c>
      <c r="X199" s="6">
        <v>3</v>
      </c>
      <c r="Y199" s="6">
        <v>3</v>
      </c>
      <c r="Z199" s="6">
        <v>3</v>
      </c>
      <c r="AA199" s="6" t="s">
        <v>178</v>
      </c>
      <c r="AB199" s="6">
        <v>3</v>
      </c>
      <c r="AC199" s="6" t="s">
        <v>216</v>
      </c>
    </row>
    <row r="200" spans="1:29" x14ac:dyDescent="0.25">
      <c r="A200" s="145" t="str">
        <f>HYPERLINK("http://www.ofsted.gov.uk/inspection-reports/find-inspection-report/provider/ELS/52487  ","Ofsted Webpage")</f>
        <v>Ofsted Webpage</v>
      </c>
      <c r="B200" s="151">
        <v>52487</v>
      </c>
      <c r="C200" s="151">
        <v>10003347</v>
      </c>
      <c r="D200" s="46" t="s">
        <v>2678</v>
      </c>
      <c r="E200" s="26" t="s">
        <v>78</v>
      </c>
      <c r="F200" s="26" t="s">
        <v>79</v>
      </c>
      <c r="G200" s="26" t="s">
        <v>258</v>
      </c>
      <c r="H200" s="26" t="s">
        <v>193</v>
      </c>
      <c r="I200" s="26" t="s">
        <v>193</v>
      </c>
      <c r="J200" s="2">
        <v>42754</v>
      </c>
      <c r="K200" s="141">
        <v>1</v>
      </c>
      <c r="L200" s="141" t="s">
        <v>2679</v>
      </c>
      <c r="M200" s="26" t="s">
        <v>333</v>
      </c>
      <c r="N200" s="2">
        <v>41386</v>
      </c>
      <c r="O200" s="2">
        <v>41390</v>
      </c>
      <c r="P200" s="133">
        <v>41429</v>
      </c>
      <c r="Q200" s="6">
        <v>2</v>
      </c>
      <c r="R200" s="6">
        <v>2</v>
      </c>
      <c r="S200" s="6">
        <v>2</v>
      </c>
      <c r="T200" s="120" t="s">
        <v>178</v>
      </c>
      <c r="U200" s="6">
        <v>2</v>
      </c>
      <c r="V200" s="6" t="s">
        <v>2680</v>
      </c>
      <c r="W200" s="5">
        <v>40361</v>
      </c>
      <c r="X200" s="6">
        <v>3</v>
      </c>
      <c r="Y200" s="6">
        <v>3</v>
      </c>
      <c r="Z200" s="6">
        <v>3</v>
      </c>
      <c r="AA200" s="6" t="s">
        <v>178</v>
      </c>
      <c r="AB200" s="6">
        <v>3</v>
      </c>
      <c r="AC200" s="6" t="s">
        <v>216</v>
      </c>
    </row>
    <row r="201" spans="1:29" x14ac:dyDescent="0.25">
      <c r="A201" s="145" t="str">
        <f>HYPERLINK("http://www.ofsted.gov.uk/inspection-reports/find-inspection-report/provider/ELS/52489  ","Ofsted Webpage")</f>
        <v>Ofsted Webpage</v>
      </c>
      <c r="B201" s="151">
        <v>52489</v>
      </c>
      <c r="C201" s="151">
        <v>10003354</v>
      </c>
      <c r="D201" s="46" t="s">
        <v>2683</v>
      </c>
      <c r="E201" s="26" t="s">
        <v>78</v>
      </c>
      <c r="F201" s="26" t="s">
        <v>79</v>
      </c>
      <c r="G201" s="26" t="s">
        <v>261</v>
      </c>
      <c r="H201" s="26" t="s">
        <v>219</v>
      </c>
      <c r="I201" s="26" t="s">
        <v>219</v>
      </c>
      <c r="J201" s="2" t="s">
        <v>72</v>
      </c>
      <c r="K201" s="141" t="s">
        <v>72</v>
      </c>
      <c r="L201" s="141" t="s">
        <v>2684</v>
      </c>
      <c r="M201" s="26" t="s">
        <v>466</v>
      </c>
      <c r="N201" s="2">
        <v>41834</v>
      </c>
      <c r="O201" s="2">
        <v>41838</v>
      </c>
      <c r="P201" s="133">
        <v>41873</v>
      </c>
      <c r="Q201" s="6">
        <v>2</v>
      </c>
      <c r="R201" s="6">
        <v>2</v>
      </c>
      <c r="S201" s="6">
        <v>2</v>
      </c>
      <c r="T201" s="120" t="s">
        <v>178</v>
      </c>
      <c r="U201" s="6">
        <v>2</v>
      </c>
      <c r="V201" s="6" t="s">
        <v>2685</v>
      </c>
      <c r="W201" s="5">
        <v>40795</v>
      </c>
      <c r="X201" s="6">
        <v>2</v>
      </c>
      <c r="Y201" s="6">
        <v>2</v>
      </c>
      <c r="Z201" s="6">
        <v>2</v>
      </c>
      <c r="AA201" s="6" t="s">
        <v>178</v>
      </c>
      <c r="AB201" s="6">
        <v>2</v>
      </c>
      <c r="AC201" s="6" t="s">
        <v>180</v>
      </c>
    </row>
    <row r="202" spans="1:29" x14ac:dyDescent="0.25">
      <c r="A202" s="145" t="str">
        <f>HYPERLINK("http://www.ofsted.gov.uk/inspection-reports/find-inspection-report/provider/ELS/52529  ","Ofsted Webpage")</f>
        <v>Ofsted Webpage</v>
      </c>
      <c r="B202" s="151">
        <v>52529</v>
      </c>
      <c r="C202" s="151">
        <v>10034022</v>
      </c>
      <c r="D202" s="46" t="s">
        <v>2686</v>
      </c>
      <c r="E202" s="26" t="s">
        <v>78</v>
      </c>
      <c r="F202" s="26" t="s">
        <v>79</v>
      </c>
      <c r="G202" s="26" t="s">
        <v>590</v>
      </c>
      <c r="H202" s="26" t="s">
        <v>219</v>
      </c>
      <c r="I202" s="26" t="s">
        <v>219</v>
      </c>
      <c r="J202" s="2">
        <v>42907</v>
      </c>
      <c r="K202" s="141">
        <v>1</v>
      </c>
      <c r="L202" s="141" t="s">
        <v>2687</v>
      </c>
      <c r="M202" s="26" t="s">
        <v>466</v>
      </c>
      <c r="N202" s="2">
        <v>41387</v>
      </c>
      <c r="O202" s="2">
        <v>41390</v>
      </c>
      <c r="P202" s="133">
        <v>41431</v>
      </c>
      <c r="Q202" s="6">
        <v>2</v>
      </c>
      <c r="R202" s="6">
        <v>1</v>
      </c>
      <c r="S202" s="6">
        <v>2</v>
      </c>
      <c r="T202" s="120" t="s">
        <v>178</v>
      </c>
      <c r="U202" s="6">
        <v>2</v>
      </c>
      <c r="V202" s="6" t="s">
        <v>2688</v>
      </c>
      <c r="W202" s="5">
        <v>38855</v>
      </c>
      <c r="X202" s="6">
        <v>2</v>
      </c>
      <c r="Y202" s="6" t="s">
        <v>178</v>
      </c>
      <c r="Z202" s="6" t="s">
        <v>178</v>
      </c>
      <c r="AA202" s="6" t="s">
        <v>178</v>
      </c>
      <c r="AB202" s="6">
        <v>2</v>
      </c>
      <c r="AC202" s="6" t="s">
        <v>180</v>
      </c>
    </row>
    <row r="203" spans="1:29" x14ac:dyDescent="0.25">
      <c r="A203" s="145" t="str">
        <f>HYPERLINK("http://www.ofsted.gov.uk/inspection-reports/find-inspection-report/provider/ELS/52531  ","Ofsted Webpage")</f>
        <v>Ofsted Webpage</v>
      </c>
      <c r="B203" s="151">
        <v>52531</v>
      </c>
      <c r="C203" s="151">
        <v>10003382</v>
      </c>
      <c r="D203" s="46" t="s">
        <v>2689</v>
      </c>
      <c r="E203" s="26" t="s">
        <v>78</v>
      </c>
      <c r="F203" s="26" t="s">
        <v>79</v>
      </c>
      <c r="G203" s="26" t="s">
        <v>705</v>
      </c>
      <c r="H203" s="26" t="s">
        <v>187</v>
      </c>
      <c r="I203" s="26" t="s">
        <v>188</v>
      </c>
      <c r="J203" s="2" t="s">
        <v>72</v>
      </c>
      <c r="K203" s="141" t="s">
        <v>72</v>
      </c>
      <c r="L203" s="141">
        <v>10004933</v>
      </c>
      <c r="M203" s="26" t="s">
        <v>211</v>
      </c>
      <c r="N203" s="2">
        <v>42409</v>
      </c>
      <c r="O203" s="2">
        <v>42412</v>
      </c>
      <c r="P203" s="133">
        <v>42443</v>
      </c>
      <c r="Q203" s="6">
        <v>2</v>
      </c>
      <c r="R203" s="6">
        <v>2</v>
      </c>
      <c r="S203" s="6">
        <v>2</v>
      </c>
      <c r="T203" s="6">
        <v>2</v>
      </c>
      <c r="U203" s="6">
        <v>1</v>
      </c>
      <c r="V203" s="6" t="s">
        <v>2690</v>
      </c>
      <c r="W203" s="5">
        <v>40473</v>
      </c>
      <c r="X203" s="6">
        <v>1</v>
      </c>
      <c r="Y203" s="6">
        <v>1</v>
      </c>
      <c r="Z203" s="6">
        <v>2</v>
      </c>
      <c r="AA203" s="6" t="s">
        <v>178</v>
      </c>
      <c r="AB203" s="6">
        <v>1</v>
      </c>
      <c r="AC203" s="6" t="s">
        <v>201</v>
      </c>
    </row>
    <row r="204" spans="1:29" x14ac:dyDescent="0.25">
      <c r="A204" s="145" t="str">
        <f>HYPERLINK("http://www.ofsted.gov.uk/inspection-reports/find-inspection-report/provider/ELS/52533  ","Ofsted Webpage")</f>
        <v>Ofsted Webpage</v>
      </c>
      <c r="B204" s="151">
        <v>52533</v>
      </c>
      <c r="C204" s="151">
        <v>10003385</v>
      </c>
      <c r="D204" s="46" t="s">
        <v>2457</v>
      </c>
      <c r="E204" s="26" t="s">
        <v>78</v>
      </c>
      <c r="F204" s="26" t="s">
        <v>79</v>
      </c>
      <c r="G204" s="26" t="s">
        <v>302</v>
      </c>
      <c r="H204" s="26" t="s">
        <v>219</v>
      </c>
      <c r="I204" s="26" t="s">
        <v>219</v>
      </c>
      <c r="J204" s="2" t="s">
        <v>72</v>
      </c>
      <c r="K204" s="141" t="s">
        <v>72</v>
      </c>
      <c r="L204" s="141">
        <v>10037412</v>
      </c>
      <c r="M204" s="26" t="s">
        <v>199</v>
      </c>
      <c r="N204" s="2">
        <v>43053</v>
      </c>
      <c r="O204" s="2">
        <v>43056</v>
      </c>
      <c r="P204" s="133">
        <v>43089</v>
      </c>
      <c r="Q204" s="6">
        <v>2</v>
      </c>
      <c r="R204" s="6">
        <v>2</v>
      </c>
      <c r="S204" s="6">
        <v>2</v>
      </c>
      <c r="T204" s="6">
        <v>2</v>
      </c>
      <c r="U204" s="6">
        <v>2</v>
      </c>
      <c r="V204" s="6">
        <v>10004934</v>
      </c>
      <c r="W204" s="5">
        <v>42446</v>
      </c>
      <c r="X204" s="6">
        <v>3</v>
      </c>
      <c r="Y204" s="6">
        <v>3</v>
      </c>
      <c r="Z204" s="6">
        <v>3</v>
      </c>
      <c r="AA204" s="6">
        <v>3</v>
      </c>
      <c r="AB204" s="6">
        <v>3</v>
      </c>
      <c r="AC204" s="6" t="s">
        <v>216</v>
      </c>
    </row>
    <row r="205" spans="1:29" x14ac:dyDescent="0.25">
      <c r="A205" s="145" t="str">
        <f>HYPERLINK("http://www.ofsted.gov.uk/inspection-reports/find-inspection-report/provider/ELS/52540  ","Ofsted Webpage")</f>
        <v>Ofsted Webpage</v>
      </c>
      <c r="B205" s="151">
        <v>52540</v>
      </c>
      <c r="C205" s="151">
        <v>10003402</v>
      </c>
      <c r="D205" s="46" t="s">
        <v>2668</v>
      </c>
      <c r="E205" s="26" t="s">
        <v>78</v>
      </c>
      <c r="F205" s="26" t="s">
        <v>79</v>
      </c>
      <c r="G205" s="26" t="s">
        <v>590</v>
      </c>
      <c r="H205" s="26" t="s">
        <v>219</v>
      </c>
      <c r="I205" s="26" t="s">
        <v>219</v>
      </c>
      <c r="J205" s="2">
        <v>42704</v>
      </c>
      <c r="K205" s="141">
        <v>1</v>
      </c>
      <c r="L205" s="141" t="s">
        <v>2669</v>
      </c>
      <c r="M205" s="26" t="s">
        <v>445</v>
      </c>
      <c r="N205" s="2">
        <v>40239</v>
      </c>
      <c r="O205" s="2">
        <v>40242</v>
      </c>
      <c r="P205" s="133">
        <v>40267</v>
      </c>
      <c r="Q205" s="6">
        <v>2</v>
      </c>
      <c r="R205" s="6">
        <v>2</v>
      </c>
      <c r="S205" s="6">
        <v>2</v>
      </c>
      <c r="T205" s="120" t="s">
        <v>178</v>
      </c>
      <c r="U205" s="6">
        <v>2</v>
      </c>
      <c r="V205" s="6" t="s">
        <v>2670</v>
      </c>
      <c r="W205" s="5">
        <v>38597</v>
      </c>
      <c r="X205" s="6">
        <v>3</v>
      </c>
      <c r="Y205" s="6" t="s">
        <v>178</v>
      </c>
      <c r="Z205" s="6" t="s">
        <v>178</v>
      </c>
      <c r="AA205" s="6" t="s">
        <v>178</v>
      </c>
      <c r="AB205" s="6">
        <v>3</v>
      </c>
      <c r="AC205" s="6" t="s">
        <v>216</v>
      </c>
    </row>
    <row r="206" spans="1:29" x14ac:dyDescent="0.25">
      <c r="A206" s="145" t="str">
        <f>HYPERLINK("http://www.ofsted.gov.uk/inspection-reports/find-inspection-report/provider/ELS/52544  ","Ofsted Webpage")</f>
        <v>Ofsted Webpage</v>
      </c>
      <c r="B206" s="151">
        <v>52544</v>
      </c>
      <c r="C206" s="151">
        <v>10003407</v>
      </c>
      <c r="D206" s="46" t="s">
        <v>1134</v>
      </c>
      <c r="E206" s="26" t="s">
        <v>75</v>
      </c>
      <c r="F206" s="26" t="s">
        <v>76</v>
      </c>
      <c r="G206" s="26" t="s">
        <v>458</v>
      </c>
      <c r="H206" s="26" t="s">
        <v>219</v>
      </c>
      <c r="I206" s="26" t="s">
        <v>219</v>
      </c>
      <c r="J206" s="2" t="s">
        <v>72</v>
      </c>
      <c r="K206" s="141" t="s">
        <v>72</v>
      </c>
      <c r="L206" s="141">
        <v>10037336</v>
      </c>
      <c r="M206" s="26" t="s">
        <v>308</v>
      </c>
      <c r="N206" s="2">
        <v>43012</v>
      </c>
      <c r="O206" s="2">
        <v>43014</v>
      </c>
      <c r="P206" s="133">
        <v>43049</v>
      </c>
      <c r="Q206" s="6">
        <v>3</v>
      </c>
      <c r="R206" s="6">
        <v>3</v>
      </c>
      <c r="S206" s="6">
        <v>3</v>
      </c>
      <c r="T206" s="6">
        <v>3</v>
      </c>
      <c r="U206" s="6">
        <v>3</v>
      </c>
      <c r="V206" s="6" t="s">
        <v>1135</v>
      </c>
      <c r="W206" s="5">
        <v>41796</v>
      </c>
      <c r="X206" s="6">
        <v>2</v>
      </c>
      <c r="Y206" s="6">
        <v>2</v>
      </c>
      <c r="Z206" s="6">
        <v>2</v>
      </c>
      <c r="AA206" s="6" t="s">
        <v>178</v>
      </c>
      <c r="AB206" s="6">
        <v>2</v>
      </c>
      <c r="AC206" s="6" t="s">
        <v>201</v>
      </c>
    </row>
    <row r="207" spans="1:29" x14ac:dyDescent="0.25">
      <c r="A207" s="145" t="str">
        <f>HYPERLINK("http://www.ofsted.gov.uk/inspection-reports/find-inspection-report/provider/ELS/52550  ","Ofsted Webpage")</f>
        <v>Ofsted Webpage</v>
      </c>
      <c r="B207" s="151">
        <v>52550</v>
      </c>
      <c r="C207" s="151">
        <v>10001710</v>
      </c>
      <c r="D207" s="46" t="s">
        <v>922</v>
      </c>
      <c r="E207" s="26" t="s">
        <v>75</v>
      </c>
      <c r="F207" s="26" t="s">
        <v>76</v>
      </c>
      <c r="G207" s="26" t="s">
        <v>923</v>
      </c>
      <c r="H207" s="26" t="s">
        <v>198</v>
      </c>
      <c r="I207" s="26" t="s">
        <v>198</v>
      </c>
      <c r="J207" s="2">
        <v>42781</v>
      </c>
      <c r="K207" s="141">
        <v>1</v>
      </c>
      <c r="L207" s="141" t="s">
        <v>924</v>
      </c>
      <c r="M207" s="26" t="s">
        <v>549</v>
      </c>
      <c r="N207" s="2">
        <v>41219</v>
      </c>
      <c r="O207" s="2">
        <v>41222</v>
      </c>
      <c r="P207" s="133">
        <v>41257</v>
      </c>
      <c r="Q207" s="6">
        <v>2</v>
      </c>
      <c r="R207" s="6">
        <v>2</v>
      </c>
      <c r="S207" s="6">
        <v>2</v>
      </c>
      <c r="T207" s="120" t="s">
        <v>178</v>
      </c>
      <c r="U207" s="6">
        <v>2</v>
      </c>
      <c r="V207" s="6" t="s">
        <v>925</v>
      </c>
      <c r="W207" s="5">
        <v>39766</v>
      </c>
      <c r="X207" s="6">
        <v>3</v>
      </c>
      <c r="Y207" s="6">
        <v>3</v>
      </c>
      <c r="Z207" s="6">
        <v>3</v>
      </c>
      <c r="AA207" s="6" t="s">
        <v>178</v>
      </c>
      <c r="AB207" s="6">
        <v>3</v>
      </c>
      <c r="AC207" s="6" t="s">
        <v>216</v>
      </c>
    </row>
    <row r="208" spans="1:29" x14ac:dyDescent="0.25">
      <c r="A208" s="145" t="str">
        <f>HYPERLINK("http://www.ofsted.gov.uk/inspection-reports/find-inspection-report/provider/ELS/52563  ","Ofsted Webpage")</f>
        <v>Ofsted Webpage</v>
      </c>
      <c r="B208" s="151">
        <v>52563</v>
      </c>
      <c r="C208" s="151">
        <v>10003430</v>
      </c>
      <c r="D208" s="46" t="s">
        <v>585</v>
      </c>
      <c r="E208" s="26" t="s">
        <v>77</v>
      </c>
      <c r="F208" s="26" t="s">
        <v>76</v>
      </c>
      <c r="G208" s="26" t="s">
        <v>586</v>
      </c>
      <c r="H208" s="26" t="s">
        <v>204</v>
      </c>
      <c r="I208" s="26" t="s">
        <v>188</v>
      </c>
      <c r="J208" s="2">
        <v>42690</v>
      </c>
      <c r="K208" s="141">
        <v>1</v>
      </c>
      <c r="L208" s="141" t="s">
        <v>587</v>
      </c>
      <c r="M208" s="26" t="s">
        <v>466</v>
      </c>
      <c r="N208" s="2">
        <v>41169</v>
      </c>
      <c r="O208" s="2">
        <v>41173</v>
      </c>
      <c r="P208" s="133">
        <v>41208</v>
      </c>
      <c r="Q208" s="6">
        <v>2</v>
      </c>
      <c r="R208" s="6">
        <v>2</v>
      </c>
      <c r="S208" s="6">
        <v>2</v>
      </c>
      <c r="T208" s="120" t="s">
        <v>178</v>
      </c>
      <c r="U208" s="6">
        <v>2</v>
      </c>
      <c r="V208" s="6" t="s">
        <v>588</v>
      </c>
      <c r="W208" s="5">
        <v>40101</v>
      </c>
      <c r="X208" s="6">
        <v>3</v>
      </c>
      <c r="Y208" s="6">
        <v>3</v>
      </c>
      <c r="Z208" s="6">
        <v>3</v>
      </c>
      <c r="AA208" s="6" t="s">
        <v>178</v>
      </c>
      <c r="AB208" s="6">
        <v>3</v>
      </c>
      <c r="AC208" s="6" t="s">
        <v>216</v>
      </c>
    </row>
    <row r="209" spans="1:29" x14ac:dyDescent="0.25">
      <c r="A209" s="145" t="str">
        <f>HYPERLINK("http://www.ofsted.gov.uk/inspection-reports/find-inspection-report/provider/ELS/52587  ","Ofsted Webpage")</f>
        <v>Ofsted Webpage</v>
      </c>
      <c r="B209" s="151">
        <v>52587</v>
      </c>
      <c r="C209" s="151">
        <v>10003456</v>
      </c>
      <c r="D209" s="46" t="s">
        <v>2462</v>
      </c>
      <c r="E209" s="26" t="s">
        <v>78</v>
      </c>
      <c r="F209" s="26" t="s">
        <v>79</v>
      </c>
      <c r="G209" s="26" t="s">
        <v>247</v>
      </c>
      <c r="H209" s="26" t="s">
        <v>238</v>
      </c>
      <c r="I209" s="26" t="s">
        <v>238</v>
      </c>
      <c r="J209" s="2">
        <v>42496</v>
      </c>
      <c r="K209" s="141">
        <v>1</v>
      </c>
      <c r="L209" s="141" t="s">
        <v>2463</v>
      </c>
      <c r="M209" s="26" t="s">
        <v>333</v>
      </c>
      <c r="N209" s="2">
        <v>41085</v>
      </c>
      <c r="O209" s="2">
        <v>41089</v>
      </c>
      <c r="P209" s="133">
        <v>41115</v>
      </c>
      <c r="Q209" s="6">
        <v>2</v>
      </c>
      <c r="R209" s="6">
        <v>2</v>
      </c>
      <c r="S209" s="6">
        <v>2</v>
      </c>
      <c r="T209" s="120" t="s">
        <v>178</v>
      </c>
      <c r="U209" s="6">
        <v>2</v>
      </c>
      <c r="V209" s="6" t="s">
        <v>2464</v>
      </c>
      <c r="W209" s="5">
        <v>39640</v>
      </c>
      <c r="X209" s="6">
        <v>3</v>
      </c>
      <c r="Y209" s="6">
        <v>3</v>
      </c>
      <c r="Z209" s="6">
        <v>3</v>
      </c>
      <c r="AA209" s="6" t="s">
        <v>178</v>
      </c>
      <c r="AB209" s="6">
        <v>3</v>
      </c>
      <c r="AC209" s="6" t="s">
        <v>216</v>
      </c>
    </row>
    <row r="210" spans="1:29" x14ac:dyDescent="0.25">
      <c r="A210" s="145" t="str">
        <f>HYPERLINK("http://www.ofsted.gov.uk/inspection-reports/find-inspection-report/provider/ELS/52598  ","Ofsted Webpage")</f>
        <v>Ofsted Webpage</v>
      </c>
      <c r="B210" s="151">
        <v>52598</v>
      </c>
      <c r="C210" s="151">
        <v>10006710</v>
      </c>
      <c r="D210" s="46" t="s">
        <v>488</v>
      </c>
      <c r="E210" s="26" t="s">
        <v>78</v>
      </c>
      <c r="F210" s="26" t="s">
        <v>79</v>
      </c>
      <c r="G210" s="26" t="s">
        <v>375</v>
      </c>
      <c r="H210" s="26" t="s">
        <v>175</v>
      </c>
      <c r="I210" s="26" t="s">
        <v>175</v>
      </c>
      <c r="J210" s="2" t="s">
        <v>72</v>
      </c>
      <c r="K210" s="141" t="s">
        <v>72</v>
      </c>
      <c r="L210" s="141">
        <v>10004937</v>
      </c>
      <c r="M210" s="26" t="s">
        <v>448</v>
      </c>
      <c r="N210" s="2">
        <v>42345</v>
      </c>
      <c r="O210" s="2">
        <v>42348</v>
      </c>
      <c r="P210" s="133">
        <v>42380</v>
      </c>
      <c r="Q210" s="6">
        <v>2</v>
      </c>
      <c r="R210" s="6">
        <v>2</v>
      </c>
      <c r="S210" s="6">
        <v>2</v>
      </c>
      <c r="T210" s="6">
        <v>2</v>
      </c>
      <c r="U210" s="6">
        <v>2</v>
      </c>
      <c r="V210" s="6" t="s">
        <v>489</v>
      </c>
      <c r="W210" s="5">
        <v>41719</v>
      </c>
      <c r="X210" s="6">
        <v>3</v>
      </c>
      <c r="Y210" s="6">
        <v>3</v>
      </c>
      <c r="Z210" s="6">
        <v>3</v>
      </c>
      <c r="AA210" s="6" t="s">
        <v>178</v>
      </c>
      <c r="AB210" s="6">
        <v>3</v>
      </c>
      <c r="AC210" s="6" t="s">
        <v>216</v>
      </c>
    </row>
    <row r="211" spans="1:29" x14ac:dyDescent="0.25">
      <c r="A211" s="145" t="str">
        <f>HYPERLINK("http://www.ofsted.gov.uk/inspection-reports/find-inspection-report/provider/ELS/52627  ","Ofsted Webpage")</f>
        <v>Ofsted Webpage</v>
      </c>
      <c r="B211" s="151">
        <v>52627</v>
      </c>
      <c r="C211" s="151">
        <v>10003478</v>
      </c>
      <c r="D211" s="46" t="s">
        <v>2467</v>
      </c>
      <c r="E211" s="26" t="s">
        <v>78</v>
      </c>
      <c r="F211" s="26" t="s">
        <v>79</v>
      </c>
      <c r="G211" s="26" t="s">
        <v>299</v>
      </c>
      <c r="H211" s="26" t="s">
        <v>175</v>
      </c>
      <c r="I211" s="26" t="s">
        <v>175</v>
      </c>
      <c r="J211" s="2" t="s">
        <v>72</v>
      </c>
      <c r="K211" s="141" t="s">
        <v>72</v>
      </c>
      <c r="L211" s="141">
        <v>10011486</v>
      </c>
      <c r="M211" s="26" t="s">
        <v>211</v>
      </c>
      <c r="N211" s="2">
        <v>42542</v>
      </c>
      <c r="O211" s="2">
        <v>42545</v>
      </c>
      <c r="P211" s="119">
        <v>42578</v>
      </c>
      <c r="Q211" s="6">
        <v>2</v>
      </c>
      <c r="R211" s="6">
        <v>2</v>
      </c>
      <c r="S211" s="6">
        <v>2</v>
      </c>
      <c r="T211" s="6">
        <v>2</v>
      </c>
      <c r="U211" s="6">
        <v>2</v>
      </c>
      <c r="V211" s="6" t="s">
        <v>2468</v>
      </c>
      <c r="W211" s="5">
        <v>41446</v>
      </c>
      <c r="X211" s="6">
        <v>2</v>
      </c>
      <c r="Y211" s="6">
        <v>1</v>
      </c>
      <c r="Z211" s="6">
        <v>2</v>
      </c>
      <c r="AA211" s="6" t="s">
        <v>178</v>
      </c>
      <c r="AB211" s="6">
        <v>2</v>
      </c>
      <c r="AC211" s="6" t="s">
        <v>180</v>
      </c>
    </row>
    <row r="212" spans="1:29" x14ac:dyDescent="0.25">
      <c r="A212" s="145" t="str">
        <f>HYPERLINK("http://www.ofsted.gov.uk/inspection-reports/find-inspection-report/provider/ELS/52638  ","Ofsted Webpage")</f>
        <v>Ofsted Webpage</v>
      </c>
      <c r="B212" s="151">
        <v>52638</v>
      </c>
      <c r="C212" s="151">
        <v>10003490</v>
      </c>
      <c r="D212" s="46" t="s">
        <v>2257</v>
      </c>
      <c r="E212" s="26" t="s">
        <v>78</v>
      </c>
      <c r="F212" s="26" t="s">
        <v>79</v>
      </c>
      <c r="G212" s="26" t="s">
        <v>1199</v>
      </c>
      <c r="H212" s="26" t="s">
        <v>287</v>
      </c>
      <c r="I212" s="26" t="s">
        <v>287</v>
      </c>
      <c r="J212" s="2">
        <v>42915</v>
      </c>
      <c r="K212" s="141">
        <v>1</v>
      </c>
      <c r="L212" s="141" t="s">
        <v>2258</v>
      </c>
      <c r="M212" s="26" t="s">
        <v>333</v>
      </c>
      <c r="N212" s="2">
        <v>42052</v>
      </c>
      <c r="O212" s="2">
        <v>42055</v>
      </c>
      <c r="P212" s="119">
        <v>42088</v>
      </c>
      <c r="Q212" s="6">
        <v>2</v>
      </c>
      <c r="R212" s="6">
        <v>2</v>
      </c>
      <c r="S212" s="6">
        <v>2</v>
      </c>
      <c r="T212" s="120" t="s">
        <v>178</v>
      </c>
      <c r="U212" s="6">
        <v>2</v>
      </c>
      <c r="V212" s="6" t="s">
        <v>2259</v>
      </c>
      <c r="W212" s="5">
        <v>40137</v>
      </c>
      <c r="X212" s="6">
        <v>3</v>
      </c>
      <c r="Y212" s="6">
        <v>3</v>
      </c>
      <c r="Z212" s="6">
        <v>3</v>
      </c>
      <c r="AA212" s="6" t="s">
        <v>178</v>
      </c>
      <c r="AB212" s="6">
        <v>2</v>
      </c>
      <c r="AC212" s="6" t="s">
        <v>216</v>
      </c>
    </row>
    <row r="213" spans="1:29" x14ac:dyDescent="0.25">
      <c r="A213" s="145" t="str">
        <f>HYPERLINK("http://www.ofsted.gov.uk/inspection-reports/find-inspection-report/provider/ELS/52794  ","Ofsted Webpage")</f>
        <v>Ofsted Webpage</v>
      </c>
      <c r="B213" s="151">
        <v>52794</v>
      </c>
      <c r="C213" s="151">
        <v>10042190</v>
      </c>
      <c r="D213" s="46" t="s">
        <v>2460</v>
      </c>
      <c r="E213" s="26" t="s">
        <v>78</v>
      </c>
      <c r="F213" s="26" t="s">
        <v>79</v>
      </c>
      <c r="G213" s="26" t="s">
        <v>268</v>
      </c>
      <c r="H213" s="26" t="s">
        <v>175</v>
      </c>
      <c r="I213" s="26" t="s">
        <v>175</v>
      </c>
      <c r="J213" s="2" t="s">
        <v>72</v>
      </c>
      <c r="K213" s="141" t="s">
        <v>72</v>
      </c>
      <c r="L213" s="141">
        <v>10022553</v>
      </c>
      <c r="M213" s="26" t="s">
        <v>211</v>
      </c>
      <c r="N213" s="2">
        <v>42752</v>
      </c>
      <c r="O213" s="2">
        <v>42755</v>
      </c>
      <c r="P213" s="133">
        <v>42789</v>
      </c>
      <c r="Q213" s="6">
        <v>3</v>
      </c>
      <c r="R213" s="6">
        <v>3</v>
      </c>
      <c r="S213" s="6">
        <v>3</v>
      </c>
      <c r="T213" s="6">
        <v>2</v>
      </c>
      <c r="U213" s="6">
        <v>3</v>
      </c>
      <c r="V213" s="6" t="s">
        <v>2461</v>
      </c>
      <c r="W213" s="5">
        <v>41607</v>
      </c>
      <c r="X213" s="6">
        <v>2</v>
      </c>
      <c r="Y213" s="6">
        <v>2</v>
      </c>
      <c r="Z213" s="6">
        <v>2</v>
      </c>
      <c r="AA213" s="6" t="s">
        <v>178</v>
      </c>
      <c r="AB213" s="6">
        <v>2</v>
      </c>
      <c r="AC213" s="6" t="s">
        <v>201</v>
      </c>
    </row>
    <row r="214" spans="1:29" x14ac:dyDescent="0.25">
      <c r="A214" s="145" t="str">
        <f>HYPERLINK("http://www.ofsted.gov.uk/inspection-reports/find-inspection-report/provider/ELS/52804  ","Ofsted Webpage")</f>
        <v>Ofsted Webpage</v>
      </c>
      <c r="B214" s="151">
        <v>52804</v>
      </c>
      <c r="C214" s="151">
        <v>10003526</v>
      </c>
      <c r="D214" s="46" t="s">
        <v>1442</v>
      </c>
      <c r="E214" s="26" t="s">
        <v>78</v>
      </c>
      <c r="F214" s="26" t="s">
        <v>79</v>
      </c>
      <c r="G214" s="26" t="s">
        <v>665</v>
      </c>
      <c r="H214" s="26" t="s">
        <v>175</v>
      </c>
      <c r="I214" s="26" t="s">
        <v>175</v>
      </c>
      <c r="J214" s="2" t="s">
        <v>72</v>
      </c>
      <c r="K214" s="141" t="s">
        <v>72</v>
      </c>
      <c r="L214" s="141">
        <v>10020162</v>
      </c>
      <c r="M214" s="26" t="s">
        <v>189</v>
      </c>
      <c r="N214" s="2">
        <v>42695</v>
      </c>
      <c r="O214" s="2">
        <v>42698</v>
      </c>
      <c r="P214" s="133">
        <v>42740</v>
      </c>
      <c r="Q214" s="6">
        <v>2</v>
      </c>
      <c r="R214" s="6">
        <v>3</v>
      </c>
      <c r="S214" s="6">
        <v>2</v>
      </c>
      <c r="T214" s="6">
        <v>2</v>
      </c>
      <c r="U214" s="6">
        <v>2</v>
      </c>
      <c r="V214" s="6" t="s">
        <v>1443</v>
      </c>
      <c r="W214" s="5">
        <v>41257</v>
      </c>
      <c r="X214" s="6">
        <v>2</v>
      </c>
      <c r="Y214" s="6">
        <v>2</v>
      </c>
      <c r="Z214" s="6">
        <v>2</v>
      </c>
      <c r="AA214" s="6" t="s">
        <v>178</v>
      </c>
      <c r="AB214" s="6">
        <v>2</v>
      </c>
      <c r="AC214" s="6" t="s">
        <v>180</v>
      </c>
    </row>
    <row r="215" spans="1:29" x14ac:dyDescent="0.25">
      <c r="A215" s="145" t="str">
        <f>HYPERLINK("http://www.ofsted.gov.uk/inspection-reports/find-inspection-report/provider/ELS/52805  ","Ofsted Webpage")</f>
        <v>Ofsted Webpage</v>
      </c>
      <c r="B215" s="151">
        <v>52805</v>
      </c>
      <c r="C215" s="151">
        <v>10003529</v>
      </c>
      <c r="D215" s="46" t="s">
        <v>2260</v>
      </c>
      <c r="E215" s="26" t="s">
        <v>78</v>
      </c>
      <c r="F215" s="26" t="s">
        <v>79</v>
      </c>
      <c r="G215" s="26" t="s">
        <v>254</v>
      </c>
      <c r="H215" s="26" t="s">
        <v>193</v>
      </c>
      <c r="I215" s="26" t="s">
        <v>193</v>
      </c>
      <c r="J215" s="2" t="s">
        <v>72</v>
      </c>
      <c r="K215" s="141" t="s">
        <v>72</v>
      </c>
      <c r="L215" s="141">
        <v>10030747</v>
      </c>
      <c r="M215" s="26" t="s">
        <v>199</v>
      </c>
      <c r="N215" s="2">
        <v>42927</v>
      </c>
      <c r="O215" s="2">
        <v>42930</v>
      </c>
      <c r="P215" s="133">
        <v>42948</v>
      </c>
      <c r="Q215" s="6">
        <v>2</v>
      </c>
      <c r="R215" s="6">
        <v>2</v>
      </c>
      <c r="S215" s="6">
        <v>2</v>
      </c>
      <c r="T215" s="6">
        <v>2</v>
      </c>
      <c r="U215" s="6">
        <v>2</v>
      </c>
      <c r="V215" s="6">
        <v>10004939</v>
      </c>
      <c r="W215" s="5">
        <v>42433</v>
      </c>
      <c r="X215" s="6">
        <v>3</v>
      </c>
      <c r="Y215" s="6">
        <v>3</v>
      </c>
      <c r="Z215" s="6">
        <v>3</v>
      </c>
      <c r="AA215" s="6">
        <v>3</v>
      </c>
      <c r="AB215" s="6">
        <v>3</v>
      </c>
      <c r="AC215" s="6" t="s">
        <v>216</v>
      </c>
    </row>
    <row r="216" spans="1:29" x14ac:dyDescent="0.25">
      <c r="A216" s="145" t="str">
        <f>HYPERLINK("http://www.ofsted.gov.uk/inspection-reports/find-inspection-report/provider/ELS/52824  ","Ofsted Webpage")</f>
        <v>Ofsted Webpage</v>
      </c>
      <c r="B216" s="151">
        <v>52824</v>
      </c>
      <c r="C216" s="151">
        <v>10033723</v>
      </c>
      <c r="D216" s="46" t="s">
        <v>2261</v>
      </c>
      <c r="E216" s="26" t="s">
        <v>78</v>
      </c>
      <c r="F216" s="26" t="s">
        <v>79</v>
      </c>
      <c r="G216" s="26" t="s">
        <v>218</v>
      </c>
      <c r="H216" s="26" t="s">
        <v>219</v>
      </c>
      <c r="I216" s="26" t="s">
        <v>219</v>
      </c>
      <c r="J216" s="2">
        <v>42467</v>
      </c>
      <c r="K216" s="141">
        <v>1</v>
      </c>
      <c r="L216" s="141" t="s">
        <v>2262</v>
      </c>
      <c r="M216" s="26" t="s">
        <v>445</v>
      </c>
      <c r="N216" s="2">
        <v>40365</v>
      </c>
      <c r="O216" s="2">
        <v>40368</v>
      </c>
      <c r="P216" s="133">
        <v>40403</v>
      </c>
      <c r="Q216" s="6">
        <v>2</v>
      </c>
      <c r="R216" s="6">
        <v>2</v>
      </c>
      <c r="S216" s="6">
        <v>3</v>
      </c>
      <c r="T216" s="120" t="s">
        <v>178</v>
      </c>
      <c r="U216" s="6">
        <v>2</v>
      </c>
      <c r="V216" s="6" t="s">
        <v>2263</v>
      </c>
      <c r="W216" s="5">
        <v>38597</v>
      </c>
      <c r="X216" s="6">
        <v>2</v>
      </c>
      <c r="Y216" s="6" t="s">
        <v>178</v>
      </c>
      <c r="Z216" s="6" t="s">
        <v>178</v>
      </c>
      <c r="AA216" s="6" t="s">
        <v>178</v>
      </c>
      <c r="AB216" s="6">
        <v>2</v>
      </c>
      <c r="AC216" s="6" t="s">
        <v>180</v>
      </c>
    </row>
    <row r="217" spans="1:29" x14ac:dyDescent="0.25">
      <c r="A217" s="145" t="str">
        <f>HYPERLINK("http://www.ofsted.gov.uk/inspection-reports/find-inspection-report/provider/ELS/52836  ","Ofsted Webpage")</f>
        <v>Ofsted Webpage</v>
      </c>
      <c r="B217" s="151">
        <v>52836</v>
      </c>
      <c r="C217" s="151">
        <v>10003570</v>
      </c>
      <c r="D217" s="46" t="s">
        <v>1400</v>
      </c>
      <c r="E217" s="26" t="s">
        <v>75</v>
      </c>
      <c r="F217" s="26" t="s">
        <v>76</v>
      </c>
      <c r="G217" s="26" t="s">
        <v>218</v>
      </c>
      <c r="H217" s="26" t="s">
        <v>219</v>
      </c>
      <c r="I217" s="26" t="s">
        <v>219</v>
      </c>
      <c r="J217" s="2" t="s">
        <v>72</v>
      </c>
      <c r="K217" s="141" t="s">
        <v>72</v>
      </c>
      <c r="L217" s="141">
        <v>10011488</v>
      </c>
      <c r="M217" s="26" t="s">
        <v>308</v>
      </c>
      <c r="N217" s="2">
        <v>42535</v>
      </c>
      <c r="O217" s="2">
        <v>42538</v>
      </c>
      <c r="P217" s="133">
        <v>42578</v>
      </c>
      <c r="Q217" s="6">
        <v>2</v>
      </c>
      <c r="R217" s="6">
        <v>2</v>
      </c>
      <c r="S217" s="6">
        <v>2</v>
      </c>
      <c r="T217" s="6">
        <v>2</v>
      </c>
      <c r="U217" s="6">
        <v>2</v>
      </c>
      <c r="V217" s="6" t="s">
        <v>1401</v>
      </c>
      <c r="W217" s="5">
        <v>40354</v>
      </c>
      <c r="X217" s="6">
        <v>2</v>
      </c>
      <c r="Y217" s="6">
        <v>2</v>
      </c>
      <c r="Z217" s="6">
        <v>2</v>
      </c>
      <c r="AA217" s="6" t="s">
        <v>178</v>
      </c>
      <c r="AB217" s="6">
        <v>2</v>
      </c>
      <c r="AC217" s="6" t="s">
        <v>180</v>
      </c>
    </row>
    <row r="218" spans="1:29" x14ac:dyDescent="0.25">
      <c r="A218" s="145" t="str">
        <f>HYPERLINK("http://www.ofsted.gov.uk/inspection-reports/find-inspection-report/provider/ELS/52838  ","Ofsted Webpage")</f>
        <v>Ofsted Webpage</v>
      </c>
      <c r="B218" s="151">
        <v>52838</v>
      </c>
      <c r="C218" s="151">
        <v>10003571</v>
      </c>
      <c r="D218" s="46" t="s">
        <v>2267</v>
      </c>
      <c r="E218" s="26" t="s">
        <v>78</v>
      </c>
      <c r="F218" s="26" t="s">
        <v>79</v>
      </c>
      <c r="G218" s="26" t="s">
        <v>1199</v>
      </c>
      <c r="H218" s="26" t="s">
        <v>287</v>
      </c>
      <c r="I218" s="26" t="s">
        <v>287</v>
      </c>
      <c r="J218" s="2">
        <v>42383</v>
      </c>
      <c r="K218" s="141">
        <v>1</v>
      </c>
      <c r="L218" s="141" t="s">
        <v>2268</v>
      </c>
      <c r="M218" s="26" t="s">
        <v>445</v>
      </c>
      <c r="N218" s="2">
        <v>40253</v>
      </c>
      <c r="O218" s="2">
        <v>40256</v>
      </c>
      <c r="P218" s="133">
        <v>40295</v>
      </c>
      <c r="Q218" s="6">
        <v>2</v>
      </c>
      <c r="R218" s="6">
        <v>2</v>
      </c>
      <c r="S218" s="6">
        <v>2</v>
      </c>
      <c r="T218" s="120" t="s">
        <v>178</v>
      </c>
      <c r="U218" s="6">
        <v>2</v>
      </c>
      <c r="V218" s="6" t="s">
        <v>2269</v>
      </c>
      <c r="W218" s="5">
        <v>38666</v>
      </c>
      <c r="X218" s="6">
        <v>3</v>
      </c>
      <c r="Y218" s="6" t="s">
        <v>178</v>
      </c>
      <c r="Z218" s="6" t="s">
        <v>178</v>
      </c>
      <c r="AA218" s="6" t="s">
        <v>178</v>
      </c>
      <c r="AB218" s="6">
        <v>3</v>
      </c>
      <c r="AC218" s="6" t="s">
        <v>216</v>
      </c>
    </row>
    <row r="219" spans="1:29" x14ac:dyDescent="0.25">
      <c r="A219" s="145" t="str">
        <f>HYPERLINK("http://www.ofsted.gov.uk/inspection-reports/find-inspection-report/provider/ELS/52843  ","Ofsted Webpage")</f>
        <v>Ofsted Webpage</v>
      </c>
      <c r="B219" s="151">
        <v>52843</v>
      </c>
      <c r="C219" s="151">
        <v>10003586</v>
      </c>
      <c r="D219" s="46" t="s">
        <v>1402</v>
      </c>
      <c r="E219" s="26" t="s">
        <v>75</v>
      </c>
      <c r="F219" s="26" t="s">
        <v>76</v>
      </c>
      <c r="G219" s="26" t="s">
        <v>504</v>
      </c>
      <c r="H219" s="26" t="s">
        <v>214</v>
      </c>
      <c r="I219" s="26" t="s">
        <v>214</v>
      </c>
      <c r="J219" s="2" t="s">
        <v>72</v>
      </c>
      <c r="K219" s="141" t="s">
        <v>72</v>
      </c>
      <c r="L219" s="141">
        <v>10030708</v>
      </c>
      <c r="M219" s="26" t="s">
        <v>562</v>
      </c>
      <c r="N219" s="2">
        <v>42998</v>
      </c>
      <c r="O219" s="2">
        <v>43000</v>
      </c>
      <c r="P219" s="133">
        <v>43041</v>
      </c>
      <c r="Q219" s="6">
        <v>3</v>
      </c>
      <c r="R219" s="6">
        <v>3</v>
      </c>
      <c r="S219" s="6">
        <v>3</v>
      </c>
      <c r="T219" s="6">
        <v>3</v>
      </c>
      <c r="U219" s="6">
        <v>3</v>
      </c>
      <c r="V219" s="6">
        <v>10005149</v>
      </c>
      <c r="W219" s="5">
        <v>42285</v>
      </c>
      <c r="X219" s="6">
        <v>3</v>
      </c>
      <c r="Y219" s="6">
        <v>3</v>
      </c>
      <c r="Z219" s="6">
        <v>3</v>
      </c>
      <c r="AA219" s="6">
        <v>3</v>
      </c>
      <c r="AB219" s="6">
        <v>3</v>
      </c>
      <c r="AC219" s="6" t="s">
        <v>180</v>
      </c>
    </row>
    <row r="220" spans="1:29" x14ac:dyDescent="0.25">
      <c r="A220" s="145" t="str">
        <f>HYPERLINK("http://www.ofsted.gov.uk/inspection-reports/find-inspection-report/provider/ELS/52847  ","Ofsted Webpage")</f>
        <v>Ofsted Webpage</v>
      </c>
      <c r="B220" s="151">
        <v>52847</v>
      </c>
      <c r="C220" s="151">
        <v>10003593</v>
      </c>
      <c r="D220" s="46" t="s">
        <v>2270</v>
      </c>
      <c r="E220" s="26" t="s">
        <v>78</v>
      </c>
      <c r="F220" s="26" t="s">
        <v>79</v>
      </c>
      <c r="G220" s="26" t="s">
        <v>1088</v>
      </c>
      <c r="H220" s="26" t="s">
        <v>219</v>
      </c>
      <c r="I220" s="26" t="s">
        <v>219</v>
      </c>
      <c r="J220" s="2" t="s">
        <v>72</v>
      </c>
      <c r="K220" s="141" t="s">
        <v>72</v>
      </c>
      <c r="L220" s="141">
        <v>10011489</v>
      </c>
      <c r="M220" s="26" t="s">
        <v>183</v>
      </c>
      <c r="N220" s="2">
        <v>42465</v>
      </c>
      <c r="O220" s="2">
        <v>42468</v>
      </c>
      <c r="P220" s="133">
        <v>42500</v>
      </c>
      <c r="Q220" s="6">
        <v>3</v>
      </c>
      <c r="R220" s="6">
        <v>3</v>
      </c>
      <c r="S220" s="6">
        <v>3</v>
      </c>
      <c r="T220" s="6">
        <v>3</v>
      </c>
      <c r="U220" s="6">
        <v>3</v>
      </c>
      <c r="V220" s="6" t="s">
        <v>2271</v>
      </c>
      <c r="W220" s="5">
        <v>40256</v>
      </c>
      <c r="X220" s="6">
        <v>2</v>
      </c>
      <c r="Y220" s="6">
        <v>2</v>
      </c>
      <c r="Z220" s="6">
        <v>2</v>
      </c>
      <c r="AA220" s="6" t="s">
        <v>178</v>
      </c>
      <c r="AB220" s="6">
        <v>2</v>
      </c>
      <c r="AC220" s="6" t="s">
        <v>201</v>
      </c>
    </row>
    <row r="221" spans="1:29" x14ac:dyDescent="0.25">
      <c r="A221" s="145" t="str">
        <f>HYPERLINK("http://www.ofsted.gov.uk/inspection-reports/find-inspection-report/provider/ELS/52867  ","Ofsted Webpage")</f>
        <v>Ofsted Webpage</v>
      </c>
      <c r="B221" s="151">
        <v>52867</v>
      </c>
      <c r="C221" s="151">
        <v>10003688</v>
      </c>
      <c r="D221" s="46" t="s">
        <v>1444</v>
      </c>
      <c r="E221" s="26" t="s">
        <v>77</v>
      </c>
      <c r="F221" s="26" t="s">
        <v>76</v>
      </c>
      <c r="G221" s="26" t="s">
        <v>668</v>
      </c>
      <c r="H221" s="26" t="s">
        <v>187</v>
      </c>
      <c r="I221" s="26" t="s">
        <v>188</v>
      </c>
      <c r="J221" s="2">
        <v>42811</v>
      </c>
      <c r="K221" s="141">
        <v>1</v>
      </c>
      <c r="L221" s="141" t="s">
        <v>1445</v>
      </c>
      <c r="M221" s="26" t="s">
        <v>466</v>
      </c>
      <c r="N221" s="2">
        <v>41653</v>
      </c>
      <c r="O221" s="2">
        <v>41656</v>
      </c>
      <c r="P221" s="133">
        <v>41688</v>
      </c>
      <c r="Q221" s="6">
        <v>2</v>
      </c>
      <c r="R221" s="6">
        <v>2</v>
      </c>
      <c r="S221" s="6">
        <v>2</v>
      </c>
      <c r="T221" s="120" t="s">
        <v>178</v>
      </c>
      <c r="U221" s="6">
        <v>2</v>
      </c>
      <c r="V221" s="6" t="s">
        <v>1446</v>
      </c>
      <c r="W221" s="5">
        <v>41032</v>
      </c>
      <c r="X221" s="6">
        <v>3</v>
      </c>
      <c r="Y221" s="6">
        <v>3</v>
      </c>
      <c r="Z221" s="6">
        <v>3</v>
      </c>
      <c r="AA221" s="6" t="s">
        <v>178</v>
      </c>
      <c r="AB221" s="6">
        <v>3</v>
      </c>
      <c r="AC221" s="6" t="s">
        <v>216</v>
      </c>
    </row>
    <row r="222" spans="1:29" x14ac:dyDescent="0.25">
      <c r="A222" s="145" t="str">
        <f>HYPERLINK("http://www.ofsted.gov.uk/inspection-reports/find-inspection-report/provider/ELS/52870  ","Ofsted Webpage")</f>
        <v>Ofsted Webpage</v>
      </c>
      <c r="B222" s="151">
        <v>52870</v>
      </c>
      <c r="C222" s="151">
        <v>10003692</v>
      </c>
      <c r="D222" s="46" t="s">
        <v>820</v>
      </c>
      <c r="E222" s="26" t="s">
        <v>75</v>
      </c>
      <c r="F222" s="26" t="s">
        <v>76</v>
      </c>
      <c r="G222" s="26" t="s">
        <v>461</v>
      </c>
      <c r="H222" s="26" t="s">
        <v>187</v>
      </c>
      <c r="I222" s="26" t="s">
        <v>188</v>
      </c>
      <c r="J222" s="2" t="s">
        <v>72</v>
      </c>
      <c r="K222" s="141" t="s">
        <v>72</v>
      </c>
      <c r="L222" s="141" t="s">
        <v>821</v>
      </c>
      <c r="M222" s="26" t="s">
        <v>549</v>
      </c>
      <c r="N222" s="2">
        <v>41603</v>
      </c>
      <c r="O222" s="2">
        <v>41605</v>
      </c>
      <c r="P222" s="133">
        <v>41626</v>
      </c>
      <c r="Q222" s="6">
        <v>1</v>
      </c>
      <c r="R222" s="6">
        <v>1</v>
      </c>
      <c r="S222" s="6">
        <v>1</v>
      </c>
      <c r="T222" s="120" t="s">
        <v>178</v>
      </c>
      <c r="U222" s="6">
        <v>1</v>
      </c>
      <c r="V222" s="6" t="s">
        <v>822</v>
      </c>
      <c r="W222" s="5">
        <v>39353</v>
      </c>
      <c r="X222" s="6">
        <v>1</v>
      </c>
      <c r="Y222" s="6">
        <v>1</v>
      </c>
      <c r="Z222" s="6">
        <v>1</v>
      </c>
      <c r="AA222" s="6" t="s">
        <v>178</v>
      </c>
      <c r="AB222" s="6">
        <v>1</v>
      </c>
      <c r="AC222" s="6" t="s">
        <v>180</v>
      </c>
    </row>
    <row r="223" spans="1:29" x14ac:dyDescent="0.25">
      <c r="A223" s="145" t="str">
        <f>HYPERLINK("http://www.ofsted.gov.uk/inspection-reports/find-inspection-report/provider/ELS/52883  ","Ofsted Webpage")</f>
        <v>Ofsted Webpage</v>
      </c>
      <c r="B223" s="151">
        <v>52883</v>
      </c>
      <c r="C223" s="151">
        <v>10003709</v>
      </c>
      <c r="D223" s="46" t="s">
        <v>823</v>
      </c>
      <c r="E223" s="26" t="s">
        <v>75</v>
      </c>
      <c r="F223" s="26" t="s">
        <v>76</v>
      </c>
      <c r="G223" s="26" t="s">
        <v>824</v>
      </c>
      <c r="H223" s="26" t="s">
        <v>238</v>
      </c>
      <c r="I223" s="26" t="s">
        <v>238</v>
      </c>
      <c r="J223" s="2" t="s">
        <v>72</v>
      </c>
      <c r="K223" s="141" t="s">
        <v>72</v>
      </c>
      <c r="L223" s="141">
        <v>10004945</v>
      </c>
      <c r="M223" s="26" t="s">
        <v>308</v>
      </c>
      <c r="N223" s="2">
        <v>42380</v>
      </c>
      <c r="O223" s="2">
        <v>42384</v>
      </c>
      <c r="P223" s="133">
        <v>42405</v>
      </c>
      <c r="Q223" s="6">
        <v>2</v>
      </c>
      <c r="R223" s="6">
        <v>2</v>
      </c>
      <c r="S223" s="6">
        <v>2</v>
      </c>
      <c r="T223" s="6">
        <v>2</v>
      </c>
      <c r="U223" s="6">
        <v>2</v>
      </c>
      <c r="V223" s="6" t="s">
        <v>825</v>
      </c>
      <c r="W223" s="5">
        <v>41306</v>
      </c>
      <c r="X223" s="6">
        <v>2</v>
      </c>
      <c r="Y223" s="6">
        <v>2</v>
      </c>
      <c r="Z223" s="6">
        <v>2</v>
      </c>
      <c r="AA223" s="6" t="s">
        <v>178</v>
      </c>
      <c r="AB223" s="6">
        <v>2</v>
      </c>
      <c r="AC223" s="6" t="s">
        <v>180</v>
      </c>
    </row>
    <row r="224" spans="1:29" x14ac:dyDescent="0.25">
      <c r="A224" s="145" t="str">
        <f>HYPERLINK("http://www.ofsted.gov.uk/inspection-reports/find-inspection-report/provider/ELS/52888  ","Ofsted Webpage")</f>
        <v>Ofsted Webpage</v>
      </c>
      <c r="B224" s="151">
        <v>52888</v>
      </c>
      <c r="C224" s="151">
        <v>10013665</v>
      </c>
      <c r="D224" s="46" t="s">
        <v>2173</v>
      </c>
      <c r="E224" s="26" t="s">
        <v>78</v>
      </c>
      <c r="F224" s="26" t="s">
        <v>79</v>
      </c>
      <c r="G224" s="26" t="s">
        <v>714</v>
      </c>
      <c r="H224" s="26" t="s">
        <v>204</v>
      </c>
      <c r="I224" s="26" t="s">
        <v>188</v>
      </c>
      <c r="J224" s="2" t="s">
        <v>72</v>
      </c>
      <c r="K224" s="141" t="s">
        <v>72</v>
      </c>
      <c r="L224" s="141">
        <v>10030732</v>
      </c>
      <c r="M224" s="26" t="s">
        <v>211</v>
      </c>
      <c r="N224" s="2">
        <v>43032</v>
      </c>
      <c r="O224" s="2">
        <v>43035</v>
      </c>
      <c r="P224" s="133">
        <v>43070</v>
      </c>
      <c r="Q224" s="6">
        <v>4</v>
      </c>
      <c r="R224" s="6">
        <v>4</v>
      </c>
      <c r="S224" s="6">
        <v>4</v>
      </c>
      <c r="T224" s="6">
        <v>4</v>
      </c>
      <c r="U224" s="6">
        <v>4</v>
      </c>
      <c r="V224" s="6" t="s">
        <v>2174</v>
      </c>
      <c r="W224" s="5">
        <v>38772</v>
      </c>
      <c r="X224" s="6">
        <v>2</v>
      </c>
      <c r="Y224" s="6" t="s">
        <v>178</v>
      </c>
      <c r="Z224" s="6" t="s">
        <v>178</v>
      </c>
      <c r="AA224" s="6" t="s">
        <v>178</v>
      </c>
      <c r="AB224" s="6">
        <v>2</v>
      </c>
      <c r="AC224" s="6" t="s">
        <v>201</v>
      </c>
    </row>
    <row r="225" spans="1:29" x14ac:dyDescent="0.25">
      <c r="A225" s="145" t="str">
        <f>HYPERLINK("http://www.ofsted.gov.uk/inspection-reports/find-inspection-report/provider/ELS/52896  ","Ofsted Webpage")</f>
        <v>Ofsted Webpage</v>
      </c>
      <c r="B225" s="151">
        <v>52896</v>
      </c>
      <c r="C225" s="151">
        <v>10003724</v>
      </c>
      <c r="D225" s="46" t="s">
        <v>339</v>
      </c>
      <c r="E225" s="26" t="s">
        <v>80</v>
      </c>
      <c r="F225" s="26" t="s">
        <v>79</v>
      </c>
      <c r="G225" s="26" t="s">
        <v>340</v>
      </c>
      <c r="H225" s="26" t="s">
        <v>214</v>
      </c>
      <c r="I225" s="26" t="s">
        <v>214</v>
      </c>
      <c r="J225" s="2" t="s">
        <v>72</v>
      </c>
      <c r="K225" s="141" t="s">
        <v>72</v>
      </c>
      <c r="L225" s="141" t="s">
        <v>341</v>
      </c>
      <c r="M225" s="26" t="s">
        <v>342</v>
      </c>
      <c r="N225" s="2">
        <v>42114</v>
      </c>
      <c r="O225" s="2">
        <v>42118</v>
      </c>
      <c r="P225" s="133">
        <v>42144</v>
      </c>
      <c r="Q225" s="6">
        <v>1</v>
      </c>
      <c r="R225" s="6">
        <v>1</v>
      </c>
      <c r="S225" s="6">
        <v>1</v>
      </c>
      <c r="T225" s="120" t="s">
        <v>178</v>
      </c>
      <c r="U225" s="6">
        <v>1</v>
      </c>
      <c r="V225" s="6" t="s">
        <v>343</v>
      </c>
      <c r="W225" s="5">
        <v>41579</v>
      </c>
      <c r="X225" s="6">
        <v>3</v>
      </c>
      <c r="Y225" s="6">
        <v>3</v>
      </c>
      <c r="Z225" s="6">
        <v>3</v>
      </c>
      <c r="AA225" s="6" t="s">
        <v>178</v>
      </c>
      <c r="AB225" s="6">
        <v>3</v>
      </c>
      <c r="AC225" s="6" t="s">
        <v>216</v>
      </c>
    </row>
    <row r="226" spans="1:29" x14ac:dyDescent="0.25">
      <c r="A226" s="145" t="str">
        <f>HYPERLINK("http://www.ofsted.gov.uk/inspection-reports/find-inspection-report/provider/ELS/52902  ","Ofsted Webpage")</f>
        <v>Ofsted Webpage</v>
      </c>
      <c r="B226" s="151">
        <v>52902</v>
      </c>
      <c r="C226" s="151">
        <v>10003744</v>
      </c>
      <c r="D226" s="46" t="s">
        <v>2178</v>
      </c>
      <c r="E226" s="26" t="s">
        <v>78</v>
      </c>
      <c r="F226" s="26" t="s">
        <v>79</v>
      </c>
      <c r="G226" s="26" t="s">
        <v>213</v>
      </c>
      <c r="H226" s="26" t="s">
        <v>214</v>
      </c>
      <c r="I226" s="26" t="s">
        <v>214</v>
      </c>
      <c r="J226" s="2" t="s">
        <v>72</v>
      </c>
      <c r="K226" s="141" t="s">
        <v>72</v>
      </c>
      <c r="L226" s="141">
        <v>10030748</v>
      </c>
      <c r="M226" s="26" t="s">
        <v>199</v>
      </c>
      <c r="N226" s="2">
        <v>42948</v>
      </c>
      <c r="O226" s="2">
        <v>42951</v>
      </c>
      <c r="P226" s="133">
        <v>42979</v>
      </c>
      <c r="Q226" s="6">
        <v>2</v>
      </c>
      <c r="R226" s="6">
        <v>2</v>
      </c>
      <c r="S226" s="6">
        <v>2</v>
      </c>
      <c r="T226" s="6">
        <v>2</v>
      </c>
      <c r="U226" s="6">
        <v>2</v>
      </c>
      <c r="V226" s="6">
        <v>10004946</v>
      </c>
      <c r="W226" s="5">
        <v>42405</v>
      </c>
      <c r="X226" s="6">
        <v>3</v>
      </c>
      <c r="Y226" s="6">
        <v>3</v>
      </c>
      <c r="Z226" s="6">
        <v>3</v>
      </c>
      <c r="AA226" s="6">
        <v>3</v>
      </c>
      <c r="AB226" s="6">
        <v>3</v>
      </c>
      <c r="AC226" s="6" t="s">
        <v>216</v>
      </c>
    </row>
    <row r="227" spans="1:29" x14ac:dyDescent="0.25">
      <c r="A227" s="145" t="str">
        <f>HYPERLINK("http://www.ofsted.gov.uk/inspection-reports/find-inspection-report/provider/ELS/52923  ","Ofsted Webpage")</f>
        <v>Ofsted Webpage</v>
      </c>
      <c r="B227" s="151">
        <v>52923</v>
      </c>
      <c r="C227" s="151">
        <v>10003771</v>
      </c>
      <c r="D227" s="46" t="s">
        <v>1447</v>
      </c>
      <c r="E227" s="26" t="s">
        <v>77</v>
      </c>
      <c r="F227" s="26" t="s">
        <v>76</v>
      </c>
      <c r="G227" s="26" t="s">
        <v>851</v>
      </c>
      <c r="H227" s="26" t="s">
        <v>238</v>
      </c>
      <c r="I227" s="26" t="s">
        <v>238</v>
      </c>
      <c r="J227" s="2">
        <v>42572</v>
      </c>
      <c r="K227" s="141">
        <v>1</v>
      </c>
      <c r="L227" s="141" t="s">
        <v>1448</v>
      </c>
      <c r="M227" s="26" t="s">
        <v>445</v>
      </c>
      <c r="N227" s="2">
        <v>40805</v>
      </c>
      <c r="O227" s="2">
        <v>40808</v>
      </c>
      <c r="P227" s="133">
        <v>40836</v>
      </c>
      <c r="Q227" s="6">
        <v>2</v>
      </c>
      <c r="R227" s="6">
        <v>2</v>
      </c>
      <c r="S227" s="6">
        <v>2</v>
      </c>
      <c r="T227" s="120" t="s">
        <v>178</v>
      </c>
      <c r="U227" s="6">
        <v>2</v>
      </c>
      <c r="V227" s="6" t="s">
        <v>1449</v>
      </c>
      <c r="W227" s="5">
        <v>38694</v>
      </c>
      <c r="X227" s="6">
        <v>2</v>
      </c>
      <c r="Y227" s="6" t="s">
        <v>178</v>
      </c>
      <c r="Z227" s="6" t="s">
        <v>178</v>
      </c>
      <c r="AA227" s="6" t="s">
        <v>178</v>
      </c>
      <c r="AB227" s="6">
        <v>2</v>
      </c>
      <c r="AC227" s="6" t="s">
        <v>180</v>
      </c>
    </row>
    <row r="228" spans="1:29" x14ac:dyDescent="0.25">
      <c r="A228" s="145" t="str">
        <f>HYPERLINK("http://www.ofsted.gov.uk/inspection-reports/find-inspection-report/provider/ELS/52949  ","Ofsted Webpage")</f>
        <v>Ofsted Webpage</v>
      </c>
      <c r="B228" s="151">
        <v>52949</v>
      </c>
      <c r="C228" s="151">
        <v>10003808</v>
      </c>
      <c r="D228" s="46" t="s">
        <v>1450</v>
      </c>
      <c r="E228" s="26" t="s">
        <v>77</v>
      </c>
      <c r="F228" s="26" t="s">
        <v>76</v>
      </c>
      <c r="G228" s="26" t="s">
        <v>851</v>
      </c>
      <c r="H228" s="26" t="s">
        <v>238</v>
      </c>
      <c r="I228" s="26" t="s">
        <v>238</v>
      </c>
      <c r="J228" s="2" t="s">
        <v>72</v>
      </c>
      <c r="K228" s="141" t="s">
        <v>72</v>
      </c>
      <c r="L228" s="141" t="s">
        <v>1451</v>
      </c>
      <c r="M228" s="26" t="s">
        <v>333</v>
      </c>
      <c r="N228" s="2">
        <v>41015</v>
      </c>
      <c r="O228" s="2">
        <v>41019</v>
      </c>
      <c r="P228" s="133">
        <v>41057</v>
      </c>
      <c r="Q228" s="6">
        <v>1</v>
      </c>
      <c r="R228" s="6">
        <v>1</v>
      </c>
      <c r="S228" s="6">
        <v>1</v>
      </c>
      <c r="T228" s="120" t="s">
        <v>178</v>
      </c>
      <c r="U228" s="6">
        <v>1</v>
      </c>
      <c r="V228" s="6" t="s">
        <v>1452</v>
      </c>
      <c r="W228" s="5">
        <v>39066</v>
      </c>
      <c r="X228" s="6">
        <v>2</v>
      </c>
      <c r="Y228" s="6" t="s">
        <v>178</v>
      </c>
      <c r="Z228" s="6" t="s">
        <v>178</v>
      </c>
      <c r="AA228" s="6" t="s">
        <v>178</v>
      </c>
      <c r="AB228" s="6">
        <v>2</v>
      </c>
      <c r="AC228" s="6" t="s">
        <v>216</v>
      </c>
    </row>
    <row r="229" spans="1:29" x14ac:dyDescent="0.25">
      <c r="A229" s="145" t="str">
        <f>HYPERLINK("http://www.ofsted.gov.uk/inspection-reports/find-inspection-report/provider/ELS/52954  ","Ofsted Webpage")</f>
        <v>Ofsted Webpage</v>
      </c>
      <c r="B229" s="151">
        <v>52954</v>
      </c>
      <c r="C229" s="151">
        <v>10028742</v>
      </c>
      <c r="D229" s="46" t="s">
        <v>1215</v>
      </c>
      <c r="E229" s="26" t="s">
        <v>77</v>
      </c>
      <c r="F229" s="26" t="s">
        <v>76</v>
      </c>
      <c r="G229" s="26" t="s">
        <v>218</v>
      </c>
      <c r="H229" s="26" t="s">
        <v>219</v>
      </c>
      <c r="I229" s="26" t="s">
        <v>219</v>
      </c>
      <c r="J229" s="2">
        <v>42390</v>
      </c>
      <c r="K229" s="141">
        <v>1</v>
      </c>
      <c r="L229" s="141" t="s">
        <v>1216</v>
      </c>
      <c r="M229" s="26" t="s">
        <v>1217</v>
      </c>
      <c r="N229" s="2">
        <v>40351</v>
      </c>
      <c r="O229" s="2">
        <v>40354</v>
      </c>
      <c r="P229" s="133">
        <v>40389</v>
      </c>
      <c r="Q229" s="6">
        <v>2</v>
      </c>
      <c r="R229" s="6">
        <v>2</v>
      </c>
      <c r="S229" s="6">
        <v>3</v>
      </c>
      <c r="T229" s="120" t="s">
        <v>178</v>
      </c>
      <c r="U229" s="6">
        <v>2</v>
      </c>
      <c r="V229" s="6" t="s">
        <v>1218</v>
      </c>
      <c r="W229" s="5">
        <v>38870</v>
      </c>
      <c r="X229" s="6">
        <v>3</v>
      </c>
      <c r="Y229" s="6" t="s">
        <v>178</v>
      </c>
      <c r="Z229" s="6" t="s">
        <v>178</v>
      </c>
      <c r="AA229" s="6" t="s">
        <v>178</v>
      </c>
      <c r="AB229" s="6">
        <v>3</v>
      </c>
      <c r="AC229" s="6" t="s">
        <v>216</v>
      </c>
    </row>
    <row r="230" spans="1:29" x14ac:dyDescent="0.25">
      <c r="A230" s="145" t="str">
        <f>HYPERLINK("http://www.ofsted.gov.uk/inspection-reports/find-inspection-report/provider/ELS/52983  ","Ofsted Webpage")</f>
        <v>Ofsted Webpage</v>
      </c>
      <c r="B230" s="151">
        <v>52983</v>
      </c>
      <c r="C230" s="151">
        <v>10003841</v>
      </c>
      <c r="D230" s="46" t="s">
        <v>2014</v>
      </c>
      <c r="E230" s="26" t="s">
        <v>77</v>
      </c>
      <c r="F230" s="26" t="s">
        <v>76</v>
      </c>
      <c r="G230" s="26" t="s">
        <v>491</v>
      </c>
      <c r="H230" s="26" t="s">
        <v>198</v>
      </c>
      <c r="I230" s="26" t="s">
        <v>198</v>
      </c>
      <c r="J230" s="2">
        <v>42312</v>
      </c>
      <c r="K230" s="141">
        <v>1</v>
      </c>
      <c r="L230" s="141" t="s">
        <v>2015</v>
      </c>
      <c r="M230" s="26" t="s">
        <v>549</v>
      </c>
      <c r="N230" s="2">
        <v>40141</v>
      </c>
      <c r="O230" s="2">
        <v>40144</v>
      </c>
      <c r="P230" s="133">
        <v>40186</v>
      </c>
      <c r="Q230" s="6">
        <v>2</v>
      </c>
      <c r="R230" s="6">
        <v>2</v>
      </c>
      <c r="S230" s="6">
        <v>2</v>
      </c>
      <c r="T230" s="120" t="s">
        <v>178</v>
      </c>
      <c r="U230" s="6">
        <v>2</v>
      </c>
      <c r="V230" s="6" t="s">
        <v>2016</v>
      </c>
      <c r="W230" s="5">
        <v>38786</v>
      </c>
      <c r="X230" s="6">
        <v>3</v>
      </c>
      <c r="Y230" s="6" t="s">
        <v>178</v>
      </c>
      <c r="Z230" s="6" t="s">
        <v>178</v>
      </c>
      <c r="AA230" s="6" t="s">
        <v>178</v>
      </c>
      <c r="AB230" s="6">
        <v>3</v>
      </c>
      <c r="AC230" s="6" t="s">
        <v>216</v>
      </c>
    </row>
    <row r="231" spans="1:29" x14ac:dyDescent="0.25">
      <c r="A231" s="145" t="str">
        <f>HYPERLINK("http://www.ofsted.gov.uk/inspection-reports/find-inspection-report/provider/ELS/52985  ","Ofsted Webpage")</f>
        <v>Ofsted Webpage</v>
      </c>
      <c r="B231" s="151">
        <v>52985</v>
      </c>
      <c r="C231" s="151">
        <v>10003853</v>
      </c>
      <c r="D231" s="46" t="s">
        <v>826</v>
      </c>
      <c r="E231" s="26" t="s">
        <v>75</v>
      </c>
      <c r="F231" s="26" t="s">
        <v>76</v>
      </c>
      <c r="G231" s="26" t="s">
        <v>474</v>
      </c>
      <c r="H231" s="26" t="s">
        <v>187</v>
      </c>
      <c r="I231" s="26" t="s">
        <v>188</v>
      </c>
      <c r="J231" s="2">
        <v>42775</v>
      </c>
      <c r="K231" s="141">
        <v>1</v>
      </c>
      <c r="L231" s="141" t="s">
        <v>827</v>
      </c>
      <c r="M231" s="26" t="s">
        <v>549</v>
      </c>
      <c r="N231" s="2">
        <v>41379</v>
      </c>
      <c r="O231" s="2">
        <v>41383</v>
      </c>
      <c r="P231" s="133">
        <v>41417</v>
      </c>
      <c r="Q231" s="6">
        <v>2</v>
      </c>
      <c r="R231" s="6">
        <v>2</v>
      </c>
      <c r="S231" s="6">
        <v>2</v>
      </c>
      <c r="T231" s="120" t="s">
        <v>178</v>
      </c>
      <c r="U231" s="6">
        <v>2</v>
      </c>
      <c r="V231" s="6" t="s">
        <v>828</v>
      </c>
      <c r="W231" s="5">
        <v>39969</v>
      </c>
      <c r="X231" s="6">
        <v>3</v>
      </c>
      <c r="Y231" s="6">
        <v>3</v>
      </c>
      <c r="Z231" s="6">
        <v>3</v>
      </c>
      <c r="AA231" s="6" t="s">
        <v>178</v>
      </c>
      <c r="AB231" s="6">
        <v>3</v>
      </c>
      <c r="AC231" s="6" t="s">
        <v>216</v>
      </c>
    </row>
    <row r="232" spans="1:29" x14ac:dyDescent="0.25">
      <c r="A232" s="145" t="str">
        <f>HYPERLINK("http://www.ofsted.gov.uk/inspection-reports/find-inspection-report/provider/ELS/52994  ","Ofsted Webpage")</f>
        <v>Ofsted Webpage</v>
      </c>
      <c r="B232" s="151">
        <v>52994</v>
      </c>
      <c r="C232" s="151">
        <v>10003866</v>
      </c>
      <c r="D232" s="46" t="s">
        <v>829</v>
      </c>
      <c r="E232" s="26" t="s">
        <v>75</v>
      </c>
      <c r="F232" s="26" t="s">
        <v>76</v>
      </c>
      <c r="G232" s="26" t="s">
        <v>227</v>
      </c>
      <c r="H232" s="26" t="s">
        <v>214</v>
      </c>
      <c r="I232" s="26" t="s">
        <v>214</v>
      </c>
      <c r="J232" s="2" t="s">
        <v>72</v>
      </c>
      <c r="K232" s="141" t="s">
        <v>72</v>
      </c>
      <c r="L232" s="141" t="s">
        <v>830</v>
      </c>
      <c r="M232" s="26" t="s">
        <v>549</v>
      </c>
      <c r="N232" s="2">
        <v>41603</v>
      </c>
      <c r="O232" s="2">
        <v>41607</v>
      </c>
      <c r="P232" s="133">
        <v>41647</v>
      </c>
      <c r="Q232" s="6">
        <v>2</v>
      </c>
      <c r="R232" s="6">
        <v>2</v>
      </c>
      <c r="S232" s="6">
        <v>2</v>
      </c>
      <c r="T232" s="120" t="s">
        <v>178</v>
      </c>
      <c r="U232" s="6">
        <v>1</v>
      </c>
      <c r="V232" s="6" t="s">
        <v>831</v>
      </c>
      <c r="W232" s="5">
        <v>39843</v>
      </c>
      <c r="X232" s="6">
        <v>2</v>
      </c>
      <c r="Y232" s="6">
        <v>2</v>
      </c>
      <c r="Z232" s="6">
        <v>2</v>
      </c>
      <c r="AA232" s="6" t="s">
        <v>178</v>
      </c>
      <c r="AB232" s="6">
        <v>2</v>
      </c>
      <c r="AC232" s="6" t="s">
        <v>180</v>
      </c>
    </row>
    <row r="233" spans="1:29" x14ac:dyDescent="0.25">
      <c r="A233" s="145" t="str">
        <f>HYPERLINK("http://www.ofsted.gov.uk/inspection-reports/find-inspection-report/provider/ELS/52998  ","Ofsted Webpage")</f>
        <v>Ofsted Webpage</v>
      </c>
      <c r="B233" s="151">
        <v>52998</v>
      </c>
      <c r="C233" s="151">
        <v>10003872</v>
      </c>
      <c r="D233" s="46" t="s">
        <v>832</v>
      </c>
      <c r="E233" s="26" t="s">
        <v>75</v>
      </c>
      <c r="F233" s="26" t="s">
        <v>76</v>
      </c>
      <c r="G233" s="26" t="s">
        <v>768</v>
      </c>
      <c r="H233" s="26" t="s">
        <v>214</v>
      </c>
      <c r="I233" s="26" t="s">
        <v>214</v>
      </c>
      <c r="J233" s="2" t="s">
        <v>72</v>
      </c>
      <c r="K233" s="141" t="s">
        <v>72</v>
      </c>
      <c r="L233" s="141" t="s">
        <v>833</v>
      </c>
      <c r="M233" s="26" t="s">
        <v>549</v>
      </c>
      <c r="N233" s="2">
        <v>42135</v>
      </c>
      <c r="O233" s="2">
        <v>42139</v>
      </c>
      <c r="P233" s="133">
        <v>42170</v>
      </c>
      <c r="Q233" s="6">
        <v>2</v>
      </c>
      <c r="R233" s="6">
        <v>2</v>
      </c>
      <c r="S233" s="6">
        <v>2</v>
      </c>
      <c r="T233" s="120" t="s">
        <v>178</v>
      </c>
      <c r="U233" s="6">
        <v>2</v>
      </c>
      <c r="V233" s="6" t="s">
        <v>834</v>
      </c>
      <c r="W233" s="5">
        <v>41194</v>
      </c>
      <c r="X233" s="6">
        <v>2</v>
      </c>
      <c r="Y233" s="6">
        <v>2</v>
      </c>
      <c r="Z233" s="6">
        <v>2</v>
      </c>
      <c r="AA233" s="6" t="s">
        <v>178</v>
      </c>
      <c r="AB233" s="6">
        <v>2</v>
      </c>
      <c r="AC233" s="6" t="s">
        <v>180</v>
      </c>
    </row>
    <row r="234" spans="1:29" x14ac:dyDescent="0.25">
      <c r="A234" s="145" t="str">
        <f>HYPERLINK("http://www.ofsted.gov.uk/inspection-reports/find-inspection-report/provider/ELS/53010  ","Ofsted Webpage")</f>
        <v>Ofsted Webpage</v>
      </c>
      <c r="B234" s="151">
        <v>53010</v>
      </c>
      <c r="C234" s="151">
        <v>10003889</v>
      </c>
      <c r="D234" s="46" t="s">
        <v>2348</v>
      </c>
      <c r="E234" s="26" t="s">
        <v>78</v>
      </c>
      <c r="F234" s="26" t="s">
        <v>79</v>
      </c>
      <c r="G234" s="26" t="s">
        <v>582</v>
      </c>
      <c r="H234" s="26" t="s">
        <v>187</v>
      </c>
      <c r="I234" s="26" t="s">
        <v>188</v>
      </c>
      <c r="J234" s="2">
        <v>43027</v>
      </c>
      <c r="K234" s="141">
        <v>1</v>
      </c>
      <c r="L234" s="141" t="s">
        <v>2349</v>
      </c>
      <c r="M234" s="26" t="s">
        <v>466</v>
      </c>
      <c r="N234" s="2">
        <v>41540</v>
      </c>
      <c r="O234" s="2">
        <v>41543</v>
      </c>
      <c r="P234" s="133">
        <v>41578</v>
      </c>
      <c r="Q234" s="6">
        <v>2</v>
      </c>
      <c r="R234" s="6">
        <v>2</v>
      </c>
      <c r="S234" s="6">
        <v>2</v>
      </c>
      <c r="T234" s="120" t="s">
        <v>178</v>
      </c>
      <c r="U234" s="6">
        <v>2</v>
      </c>
      <c r="V234" s="6" t="s">
        <v>2350</v>
      </c>
      <c r="W234" s="5">
        <v>39541</v>
      </c>
      <c r="X234" s="6">
        <v>2</v>
      </c>
      <c r="Y234" s="6">
        <v>3</v>
      </c>
      <c r="Z234" s="6">
        <v>2</v>
      </c>
      <c r="AA234" s="6" t="s">
        <v>178</v>
      </c>
      <c r="AB234" s="6">
        <v>2</v>
      </c>
      <c r="AC234" s="6" t="s">
        <v>180</v>
      </c>
    </row>
    <row r="235" spans="1:29" x14ac:dyDescent="0.25">
      <c r="A235" s="145" t="str">
        <f>HYPERLINK("http://www.ofsted.gov.uk/inspection-reports/find-inspection-report/provider/ELS/53025  ","Ofsted Webpage")</f>
        <v>Ofsted Webpage</v>
      </c>
      <c r="B235" s="151">
        <v>53025</v>
      </c>
      <c r="C235" s="151">
        <v>10003909</v>
      </c>
      <c r="D235" s="46" t="s">
        <v>2351</v>
      </c>
      <c r="E235" s="26" t="s">
        <v>78</v>
      </c>
      <c r="F235" s="26" t="s">
        <v>79</v>
      </c>
      <c r="G235" s="26" t="s">
        <v>186</v>
      </c>
      <c r="H235" s="26" t="s">
        <v>187</v>
      </c>
      <c r="I235" s="26" t="s">
        <v>188</v>
      </c>
      <c r="J235" s="2" t="s">
        <v>72</v>
      </c>
      <c r="K235" s="141" t="s">
        <v>72</v>
      </c>
      <c r="L235" s="141">
        <v>10011491</v>
      </c>
      <c r="M235" s="26" t="s">
        <v>183</v>
      </c>
      <c r="N235" s="2">
        <v>42541</v>
      </c>
      <c r="O235" s="2">
        <v>42544</v>
      </c>
      <c r="P235" s="119">
        <v>42583</v>
      </c>
      <c r="Q235" s="6">
        <v>2</v>
      </c>
      <c r="R235" s="6">
        <v>2</v>
      </c>
      <c r="S235" s="6">
        <v>2</v>
      </c>
      <c r="T235" s="6">
        <v>2</v>
      </c>
      <c r="U235" s="6">
        <v>2</v>
      </c>
      <c r="V235" s="6" t="s">
        <v>2352</v>
      </c>
      <c r="W235" s="5">
        <v>41775</v>
      </c>
      <c r="X235" s="6">
        <v>2</v>
      </c>
      <c r="Y235" s="6">
        <v>2</v>
      </c>
      <c r="Z235" s="6">
        <v>2</v>
      </c>
      <c r="AA235" s="6" t="s">
        <v>178</v>
      </c>
      <c r="AB235" s="6">
        <v>2</v>
      </c>
      <c r="AC235" s="6" t="s">
        <v>180</v>
      </c>
    </row>
    <row r="236" spans="1:29" x14ac:dyDescent="0.25">
      <c r="A236" s="145" t="str">
        <f>HYPERLINK("http://www.ofsted.gov.uk/inspection-reports/find-inspection-report/provider/ELS/53032  ","Ofsted Webpage")</f>
        <v>Ofsted Webpage</v>
      </c>
      <c r="B236" s="151">
        <v>53032</v>
      </c>
      <c r="C236" s="151">
        <v>10003919</v>
      </c>
      <c r="D236" s="46" t="s">
        <v>2733</v>
      </c>
      <c r="E236" s="26" t="s">
        <v>78</v>
      </c>
      <c r="F236" s="26" t="s">
        <v>79</v>
      </c>
      <c r="G236" s="26" t="s">
        <v>477</v>
      </c>
      <c r="H236" s="26" t="s">
        <v>287</v>
      </c>
      <c r="I236" s="26" t="s">
        <v>287</v>
      </c>
      <c r="J236" s="2" t="s">
        <v>72</v>
      </c>
      <c r="K236" s="141" t="s">
        <v>72</v>
      </c>
      <c r="L236" s="141">
        <v>10004951</v>
      </c>
      <c r="M236" s="26" t="s">
        <v>199</v>
      </c>
      <c r="N236" s="2">
        <v>42395</v>
      </c>
      <c r="O236" s="2">
        <v>42398</v>
      </c>
      <c r="P236" s="133">
        <v>42422</v>
      </c>
      <c r="Q236" s="6">
        <v>2</v>
      </c>
      <c r="R236" s="6">
        <v>2</v>
      </c>
      <c r="S236" s="6">
        <v>2</v>
      </c>
      <c r="T236" s="6">
        <v>2</v>
      </c>
      <c r="U236" s="6">
        <v>2</v>
      </c>
      <c r="V236" s="6" t="s">
        <v>2734</v>
      </c>
      <c r="W236" s="5">
        <v>41873</v>
      </c>
      <c r="X236" s="6">
        <v>3</v>
      </c>
      <c r="Y236" s="6">
        <v>3</v>
      </c>
      <c r="Z236" s="6">
        <v>3</v>
      </c>
      <c r="AA236" s="6" t="s">
        <v>178</v>
      </c>
      <c r="AB236" s="6">
        <v>3</v>
      </c>
      <c r="AC236" s="6" t="s">
        <v>216</v>
      </c>
    </row>
    <row r="237" spans="1:29" x14ac:dyDescent="0.25">
      <c r="A237" s="145" t="str">
        <f>HYPERLINK("http://www.ofsted.gov.uk/inspection-reports/find-inspection-report/provider/ELS/53042  ","Ofsted Webpage")</f>
        <v>Ofsted Webpage</v>
      </c>
      <c r="B237" s="151">
        <v>53042</v>
      </c>
      <c r="C237" s="151">
        <v>10003932</v>
      </c>
      <c r="D237" s="46" t="s">
        <v>930</v>
      </c>
      <c r="E237" s="26" t="s">
        <v>75</v>
      </c>
      <c r="F237" s="26" t="s">
        <v>76</v>
      </c>
      <c r="G237" s="26" t="s">
        <v>213</v>
      </c>
      <c r="H237" s="26" t="s">
        <v>214</v>
      </c>
      <c r="I237" s="26" t="s">
        <v>214</v>
      </c>
      <c r="J237" s="2">
        <v>42488</v>
      </c>
      <c r="K237" s="141">
        <v>1</v>
      </c>
      <c r="L237" s="141" t="s">
        <v>931</v>
      </c>
      <c r="M237" s="26" t="s">
        <v>549</v>
      </c>
      <c r="N237" s="2">
        <v>41316</v>
      </c>
      <c r="O237" s="2">
        <v>41320</v>
      </c>
      <c r="P237" s="133">
        <v>41355</v>
      </c>
      <c r="Q237" s="6">
        <v>2</v>
      </c>
      <c r="R237" s="6">
        <v>2</v>
      </c>
      <c r="S237" s="6">
        <v>2</v>
      </c>
      <c r="T237" s="120" t="s">
        <v>178</v>
      </c>
      <c r="U237" s="6">
        <v>2</v>
      </c>
      <c r="V237" s="6" t="s">
        <v>932</v>
      </c>
      <c r="W237" s="5">
        <v>39969</v>
      </c>
      <c r="X237" s="6">
        <v>3</v>
      </c>
      <c r="Y237" s="6">
        <v>2</v>
      </c>
      <c r="Z237" s="6">
        <v>3</v>
      </c>
      <c r="AA237" s="6" t="s">
        <v>178</v>
      </c>
      <c r="AB237" s="6">
        <v>3</v>
      </c>
      <c r="AC237" s="6" t="s">
        <v>216</v>
      </c>
    </row>
    <row r="238" spans="1:29" x14ac:dyDescent="0.25">
      <c r="A238" s="145" t="str">
        <f>HYPERLINK("http://www.ofsted.gov.uk/inspection-reports/find-inspection-report/provider/ELS/53068  ","Ofsted Webpage")</f>
        <v>Ofsted Webpage</v>
      </c>
      <c r="B238" s="151">
        <v>53068</v>
      </c>
      <c r="C238" s="151">
        <v>10008354</v>
      </c>
      <c r="D238" s="46" t="s">
        <v>2578</v>
      </c>
      <c r="E238" s="26" t="s">
        <v>78</v>
      </c>
      <c r="F238" s="26" t="s">
        <v>79</v>
      </c>
      <c r="G238" s="26" t="s">
        <v>608</v>
      </c>
      <c r="H238" s="26" t="s">
        <v>238</v>
      </c>
      <c r="I238" s="26" t="s">
        <v>238</v>
      </c>
      <c r="J238" s="2" t="s">
        <v>72</v>
      </c>
      <c r="K238" s="141" t="s">
        <v>72</v>
      </c>
      <c r="L238" s="141" t="s">
        <v>2579</v>
      </c>
      <c r="M238" s="26" t="s">
        <v>466</v>
      </c>
      <c r="N238" s="2">
        <v>42185</v>
      </c>
      <c r="O238" s="2">
        <v>42188</v>
      </c>
      <c r="P238" s="133">
        <v>42216</v>
      </c>
      <c r="Q238" s="6">
        <v>2</v>
      </c>
      <c r="R238" s="6">
        <v>2</v>
      </c>
      <c r="S238" s="6">
        <v>2</v>
      </c>
      <c r="T238" s="120" t="s">
        <v>178</v>
      </c>
      <c r="U238" s="6">
        <v>2</v>
      </c>
      <c r="V238" s="6" t="s">
        <v>2580</v>
      </c>
      <c r="W238" s="5">
        <v>39540</v>
      </c>
      <c r="X238" s="6">
        <v>1</v>
      </c>
      <c r="Y238" s="6">
        <v>1</v>
      </c>
      <c r="Z238" s="6">
        <v>1</v>
      </c>
      <c r="AA238" s="6" t="s">
        <v>178</v>
      </c>
      <c r="AB238" s="6">
        <v>1</v>
      </c>
      <c r="AC238" s="6" t="s">
        <v>201</v>
      </c>
    </row>
    <row r="239" spans="1:29" x14ac:dyDescent="0.25">
      <c r="A239" s="145" t="str">
        <f>HYPERLINK("http://www.ofsted.gov.uk/inspection-reports/find-inspection-report/provider/ELS/53069  ","Ofsted Webpage")</f>
        <v>Ofsted Webpage</v>
      </c>
      <c r="B239" s="151">
        <v>53069</v>
      </c>
      <c r="C239" s="151">
        <v>10003728</v>
      </c>
      <c r="D239" s="46" t="s">
        <v>2176</v>
      </c>
      <c r="E239" s="26" t="s">
        <v>78</v>
      </c>
      <c r="F239" s="26" t="s">
        <v>79</v>
      </c>
      <c r="G239" s="26" t="s">
        <v>665</v>
      </c>
      <c r="H239" s="26" t="s">
        <v>175</v>
      </c>
      <c r="I239" s="26" t="s">
        <v>175</v>
      </c>
      <c r="J239" s="2" t="s">
        <v>72</v>
      </c>
      <c r="K239" s="141" t="s">
        <v>72</v>
      </c>
      <c r="L239" s="141">
        <v>10004952</v>
      </c>
      <c r="M239" s="26" t="s">
        <v>475</v>
      </c>
      <c r="N239" s="2">
        <v>42298</v>
      </c>
      <c r="O239" s="2">
        <v>42300</v>
      </c>
      <c r="P239" s="133">
        <v>42328</v>
      </c>
      <c r="Q239" s="6">
        <v>2</v>
      </c>
      <c r="R239" s="6">
        <v>2</v>
      </c>
      <c r="S239" s="6">
        <v>2</v>
      </c>
      <c r="T239" s="6">
        <v>2</v>
      </c>
      <c r="U239" s="6">
        <v>2</v>
      </c>
      <c r="V239" s="6" t="s">
        <v>2177</v>
      </c>
      <c r="W239" s="5">
        <v>41845</v>
      </c>
      <c r="X239" s="6">
        <v>3</v>
      </c>
      <c r="Y239" s="6">
        <v>3</v>
      </c>
      <c r="Z239" s="6">
        <v>3</v>
      </c>
      <c r="AA239" s="6" t="s">
        <v>178</v>
      </c>
      <c r="AB239" s="6">
        <v>3</v>
      </c>
      <c r="AC239" s="6" t="s">
        <v>216</v>
      </c>
    </row>
    <row r="240" spans="1:29" x14ac:dyDescent="0.25">
      <c r="A240" s="145" t="str">
        <f>HYPERLINK("http://www.ofsted.gov.uk/inspection-reports/find-inspection-report/provider/ELS/53073  ","Ofsted Webpage")</f>
        <v>Ofsted Webpage</v>
      </c>
      <c r="B240" s="151">
        <v>53073</v>
      </c>
      <c r="C240" s="151">
        <v>10003954</v>
      </c>
      <c r="D240" s="46" t="s">
        <v>933</v>
      </c>
      <c r="E240" s="26" t="s">
        <v>75</v>
      </c>
      <c r="F240" s="26" t="s">
        <v>76</v>
      </c>
      <c r="G240" s="26" t="s">
        <v>247</v>
      </c>
      <c r="H240" s="26" t="s">
        <v>238</v>
      </c>
      <c r="I240" s="26" t="s">
        <v>238</v>
      </c>
      <c r="J240" s="2">
        <v>42706</v>
      </c>
      <c r="K240" s="141">
        <v>1</v>
      </c>
      <c r="L240" s="141" t="s">
        <v>934</v>
      </c>
      <c r="M240" s="26" t="s">
        <v>549</v>
      </c>
      <c r="N240" s="2">
        <v>40294</v>
      </c>
      <c r="O240" s="2">
        <v>40298</v>
      </c>
      <c r="P240" s="133">
        <v>40339</v>
      </c>
      <c r="Q240" s="6">
        <v>2</v>
      </c>
      <c r="R240" s="6">
        <v>2</v>
      </c>
      <c r="S240" s="6">
        <v>2</v>
      </c>
      <c r="T240" s="120" t="s">
        <v>178</v>
      </c>
      <c r="U240" s="6">
        <v>2</v>
      </c>
      <c r="V240" s="6" t="s">
        <v>935</v>
      </c>
      <c r="W240" s="5">
        <v>39052</v>
      </c>
      <c r="X240" s="6">
        <v>3</v>
      </c>
      <c r="Y240" s="6" t="s">
        <v>178</v>
      </c>
      <c r="Z240" s="6" t="s">
        <v>178</v>
      </c>
      <c r="AA240" s="6" t="s">
        <v>178</v>
      </c>
      <c r="AB240" s="6">
        <v>3</v>
      </c>
      <c r="AC240" s="6" t="s">
        <v>216</v>
      </c>
    </row>
    <row r="241" spans="1:29" x14ac:dyDescent="0.25">
      <c r="A241" s="145" t="str">
        <f>HYPERLINK("http://www.ofsted.gov.uk/inspection-reports/find-inspection-report/provider/ELS/53094  ","Ofsted Webpage")</f>
        <v>Ofsted Webpage</v>
      </c>
      <c r="B241" s="151">
        <v>53094</v>
      </c>
      <c r="C241" s="151">
        <v>10003976</v>
      </c>
      <c r="D241" s="46" t="s">
        <v>2584</v>
      </c>
      <c r="E241" s="26" t="s">
        <v>78</v>
      </c>
      <c r="F241" s="26" t="s">
        <v>79</v>
      </c>
      <c r="G241" s="26" t="s">
        <v>516</v>
      </c>
      <c r="H241" s="26" t="s">
        <v>198</v>
      </c>
      <c r="I241" s="26" t="s">
        <v>198</v>
      </c>
      <c r="J241" s="2">
        <v>42291</v>
      </c>
      <c r="K241" s="141">
        <v>1</v>
      </c>
      <c r="L241" s="141" t="s">
        <v>2585</v>
      </c>
      <c r="M241" s="26" t="s">
        <v>445</v>
      </c>
      <c r="N241" s="2">
        <v>40252</v>
      </c>
      <c r="O241" s="2">
        <v>40256</v>
      </c>
      <c r="P241" s="133">
        <v>40284</v>
      </c>
      <c r="Q241" s="6">
        <v>2</v>
      </c>
      <c r="R241" s="6">
        <v>2</v>
      </c>
      <c r="S241" s="6">
        <v>3</v>
      </c>
      <c r="T241" s="120" t="s">
        <v>178</v>
      </c>
      <c r="U241" s="6">
        <v>2</v>
      </c>
      <c r="V241" s="6" t="s">
        <v>2586</v>
      </c>
      <c r="W241" s="5">
        <v>39422</v>
      </c>
      <c r="X241" s="6">
        <v>2</v>
      </c>
      <c r="Y241" s="6">
        <v>2</v>
      </c>
      <c r="Z241" s="6">
        <v>2</v>
      </c>
      <c r="AA241" s="6" t="s">
        <v>178</v>
      </c>
      <c r="AB241" s="6">
        <v>2</v>
      </c>
      <c r="AC241" s="6" t="s">
        <v>180</v>
      </c>
    </row>
    <row r="242" spans="1:29" x14ac:dyDescent="0.25">
      <c r="A242" s="145" t="str">
        <f>HYPERLINK("http://www.ofsted.gov.uk/inspection-reports/find-inspection-report/provider/ELS/53100  ","Ofsted Webpage")</f>
        <v>Ofsted Webpage</v>
      </c>
      <c r="B242" s="151">
        <v>53100</v>
      </c>
      <c r="C242" s="151">
        <v>10000143</v>
      </c>
      <c r="D242" s="46" t="s">
        <v>1136</v>
      </c>
      <c r="E242" s="26" t="s">
        <v>75</v>
      </c>
      <c r="F242" s="26" t="s">
        <v>76</v>
      </c>
      <c r="G242" s="26" t="s">
        <v>1137</v>
      </c>
      <c r="H242" s="26" t="s">
        <v>175</v>
      </c>
      <c r="I242" s="26" t="s">
        <v>175</v>
      </c>
      <c r="J242" s="2" t="s">
        <v>72</v>
      </c>
      <c r="K242" s="141" t="s">
        <v>72</v>
      </c>
      <c r="L242" s="141">
        <v>10020127</v>
      </c>
      <c r="M242" s="26" t="s">
        <v>308</v>
      </c>
      <c r="N242" s="2">
        <v>42710</v>
      </c>
      <c r="O242" s="2">
        <v>42713</v>
      </c>
      <c r="P242" s="133">
        <v>42755</v>
      </c>
      <c r="Q242" s="6">
        <v>2</v>
      </c>
      <c r="R242" s="6">
        <v>2</v>
      </c>
      <c r="S242" s="6">
        <v>2</v>
      </c>
      <c r="T242" s="6">
        <v>2</v>
      </c>
      <c r="U242" s="6">
        <v>2</v>
      </c>
      <c r="V242" s="6" t="s">
        <v>1138</v>
      </c>
      <c r="W242" s="5">
        <v>41390</v>
      </c>
      <c r="X242" s="6">
        <v>2</v>
      </c>
      <c r="Y242" s="6">
        <v>2</v>
      </c>
      <c r="Z242" s="6">
        <v>2</v>
      </c>
      <c r="AA242" s="6" t="s">
        <v>178</v>
      </c>
      <c r="AB242" s="6">
        <v>2</v>
      </c>
      <c r="AC242" s="6" t="s">
        <v>180</v>
      </c>
    </row>
    <row r="243" spans="1:29" x14ac:dyDescent="0.25">
      <c r="A243" s="145" t="str">
        <f>HYPERLINK("http://www.ofsted.gov.uk/inspection-reports/find-inspection-report/provider/ELS/53104  ","Ofsted Webpage")</f>
        <v>Ofsted Webpage</v>
      </c>
      <c r="B243" s="151">
        <v>53104</v>
      </c>
      <c r="C243" s="151">
        <v>10000146</v>
      </c>
      <c r="D243" s="46" t="s">
        <v>1248</v>
      </c>
      <c r="E243" s="26" t="s">
        <v>75</v>
      </c>
      <c r="F243" s="26" t="s">
        <v>76</v>
      </c>
      <c r="G243" s="26" t="s">
        <v>1249</v>
      </c>
      <c r="H243" s="26" t="s">
        <v>175</v>
      </c>
      <c r="I243" s="26" t="s">
        <v>175</v>
      </c>
      <c r="J243" s="2" t="s">
        <v>72</v>
      </c>
      <c r="K243" s="141" t="s">
        <v>72</v>
      </c>
      <c r="L243" s="141">
        <v>10011492</v>
      </c>
      <c r="M243" s="26" t="s">
        <v>308</v>
      </c>
      <c r="N243" s="2">
        <v>42506</v>
      </c>
      <c r="O243" s="2">
        <v>42509</v>
      </c>
      <c r="P243" s="133">
        <v>42544</v>
      </c>
      <c r="Q243" s="6">
        <v>3</v>
      </c>
      <c r="R243" s="6">
        <v>3</v>
      </c>
      <c r="S243" s="6">
        <v>3</v>
      </c>
      <c r="T243" s="6">
        <v>3</v>
      </c>
      <c r="U243" s="6">
        <v>3</v>
      </c>
      <c r="V243" s="6" t="s">
        <v>1250</v>
      </c>
      <c r="W243" s="5">
        <v>41453</v>
      </c>
      <c r="X243" s="6">
        <v>2</v>
      </c>
      <c r="Y243" s="6">
        <v>2</v>
      </c>
      <c r="Z243" s="6">
        <v>2</v>
      </c>
      <c r="AA243" s="6" t="s">
        <v>178</v>
      </c>
      <c r="AB243" s="6">
        <v>2</v>
      </c>
      <c r="AC243" s="6" t="s">
        <v>201</v>
      </c>
    </row>
    <row r="244" spans="1:29" x14ac:dyDescent="0.25">
      <c r="A244" s="145" t="str">
        <f>HYPERLINK("http://www.ofsted.gov.uk/inspection-reports/find-inspection-report/provider/ELS/53106  ","Ofsted Webpage")</f>
        <v>Ofsted Webpage</v>
      </c>
      <c r="B244" s="151">
        <v>53106</v>
      </c>
      <c r="C244" s="151">
        <v>10000863</v>
      </c>
      <c r="D244" s="46" t="s">
        <v>1378</v>
      </c>
      <c r="E244" s="26" t="s">
        <v>75</v>
      </c>
      <c r="F244" s="26" t="s">
        <v>76</v>
      </c>
      <c r="G244" s="26" t="s">
        <v>1379</v>
      </c>
      <c r="H244" s="26" t="s">
        <v>175</v>
      </c>
      <c r="I244" s="26" t="s">
        <v>175</v>
      </c>
      <c r="J244" s="2">
        <v>42816</v>
      </c>
      <c r="K244" s="141">
        <v>1</v>
      </c>
      <c r="L244" s="141" t="s">
        <v>1380</v>
      </c>
      <c r="M244" s="26" t="s">
        <v>549</v>
      </c>
      <c r="N244" s="2">
        <v>40987</v>
      </c>
      <c r="O244" s="2">
        <v>40991</v>
      </c>
      <c r="P244" s="133">
        <v>41030</v>
      </c>
      <c r="Q244" s="6">
        <v>2</v>
      </c>
      <c r="R244" s="6">
        <v>2</v>
      </c>
      <c r="S244" s="6">
        <v>2</v>
      </c>
      <c r="T244" s="120" t="s">
        <v>178</v>
      </c>
      <c r="U244" s="6">
        <v>2</v>
      </c>
      <c r="V244" s="6" t="s">
        <v>1381</v>
      </c>
      <c r="W244" s="5">
        <v>39934</v>
      </c>
      <c r="X244" s="6">
        <v>3</v>
      </c>
      <c r="Y244" s="6">
        <v>3</v>
      </c>
      <c r="Z244" s="6">
        <v>3</v>
      </c>
      <c r="AA244" s="6" t="s">
        <v>178</v>
      </c>
      <c r="AB244" s="6">
        <v>3</v>
      </c>
      <c r="AC244" s="6" t="s">
        <v>216</v>
      </c>
    </row>
    <row r="245" spans="1:29" x14ac:dyDescent="0.25">
      <c r="A245" s="145" t="str">
        <f>HYPERLINK("http://www.ofsted.gov.uk/inspection-reports/find-inspection-report/provider/ELS/53108  ","Ofsted Webpage")</f>
        <v>Ofsted Webpage</v>
      </c>
      <c r="B245" s="151">
        <v>53108</v>
      </c>
      <c r="C245" s="151">
        <v>10003987</v>
      </c>
      <c r="D245" s="46" t="s">
        <v>1389</v>
      </c>
      <c r="E245" s="26" t="s">
        <v>75</v>
      </c>
      <c r="F245" s="26" t="s">
        <v>76</v>
      </c>
      <c r="G245" s="26" t="s">
        <v>665</v>
      </c>
      <c r="H245" s="26" t="s">
        <v>175</v>
      </c>
      <c r="I245" s="26" t="s">
        <v>175</v>
      </c>
      <c r="J245" s="2" t="s">
        <v>72</v>
      </c>
      <c r="K245" s="141" t="s">
        <v>72</v>
      </c>
      <c r="L245" s="141">
        <v>10020118</v>
      </c>
      <c r="M245" s="26" t="s">
        <v>562</v>
      </c>
      <c r="N245" s="2">
        <v>42773</v>
      </c>
      <c r="O245" s="2">
        <v>42776</v>
      </c>
      <c r="P245" s="133">
        <v>42828</v>
      </c>
      <c r="Q245" s="6">
        <v>3</v>
      </c>
      <c r="R245" s="6">
        <v>3</v>
      </c>
      <c r="S245" s="6">
        <v>3</v>
      </c>
      <c r="T245" s="6">
        <v>3</v>
      </c>
      <c r="U245" s="6">
        <v>3</v>
      </c>
      <c r="V245" s="6" t="s">
        <v>1390</v>
      </c>
      <c r="W245" s="5">
        <v>42076</v>
      </c>
      <c r="X245" s="6">
        <v>3</v>
      </c>
      <c r="Y245" s="6">
        <v>3</v>
      </c>
      <c r="Z245" s="6">
        <v>2</v>
      </c>
      <c r="AA245" s="6" t="s">
        <v>178</v>
      </c>
      <c r="AB245" s="6">
        <v>3</v>
      </c>
      <c r="AC245" s="6" t="s">
        <v>180</v>
      </c>
    </row>
    <row r="246" spans="1:29" x14ac:dyDescent="0.25">
      <c r="A246" s="145" t="str">
        <f>HYPERLINK("http://www.ofsted.gov.uk/inspection-reports/find-inspection-report/provider/ELS/53110  ","Ofsted Webpage")</f>
        <v>Ofsted Webpage</v>
      </c>
      <c r="B246" s="151">
        <v>53110</v>
      </c>
      <c r="C246" s="151">
        <v>10003988</v>
      </c>
      <c r="D246" s="46" t="s">
        <v>814</v>
      </c>
      <c r="E246" s="26" t="s">
        <v>75</v>
      </c>
      <c r="F246" s="26" t="s">
        <v>76</v>
      </c>
      <c r="G246" s="26" t="s">
        <v>329</v>
      </c>
      <c r="H246" s="26" t="s">
        <v>175</v>
      </c>
      <c r="I246" s="26" t="s">
        <v>175</v>
      </c>
      <c r="J246" s="2">
        <v>42530</v>
      </c>
      <c r="K246" s="141">
        <v>1</v>
      </c>
      <c r="L246" s="141" t="s">
        <v>815</v>
      </c>
      <c r="M246" s="26" t="s">
        <v>549</v>
      </c>
      <c r="N246" s="2">
        <v>40672</v>
      </c>
      <c r="O246" s="2">
        <v>40676</v>
      </c>
      <c r="P246" s="133">
        <v>40714</v>
      </c>
      <c r="Q246" s="6">
        <v>2</v>
      </c>
      <c r="R246" s="6">
        <v>2</v>
      </c>
      <c r="S246" s="6">
        <v>3</v>
      </c>
      <c r="T246" s="120" t="s">
        <v>178</v>
      </c>
      <c r="U246" s="6">
        <v>2</v>
      </c>
      <c r="V246" s="6" t="s">
        <v>816</v>
      </c>
      <c r="W246" s="5">
        <v>39605</v>
      </c>
      <c r="X246" s="6">
        <v>3</v>
      </c>
      <c r="Y246" s="6">
        <v>3</v>
      </c>
      <c r="Z246" s="6">
        <v>3</v>
      </c>
      <c r="AA246" s="6" t="s">
        <v>178</v>
      </c>
      <c r="AB246" s="6">
        <v>3</v>
      </c>
      <c r="AC246" s="6" t="s">
        <v>216</v>
      </c>
    </row>
    <row r="247" spans="1:29" x14ac:dyDescent="0.25">
      <c r="A247" s="145" t="str">
        <f>HYPERLINK("http://www.ofsted.gov.uk/inspection-reports/find-inspection-report/provider/ELS/53112  ","Ofsted Webpage")</f>
        <v>Ofsted Webpage</v>
      </c>
      <c r="B247" s="151">
        <v>53112</v>
      </c>
      <c r="C247" s="151">
        <v>10003989</v>
      </c>
      <c r="D247" s="46" t="s">
        <v>682</v>
      </c>
      <c r="E247" s="26" t="s">
        <v>75</v>
      </c>
      <c r="F247" s="26" t="s">
        <v>76</v>
      </c>
      <c r="G247" s="26" t="s">
        <v>683</v>
      </c>
      <c r="H247" s="26" t="s">
        <v>175</v>
      </c>
      <c r="I247" s="26" t="s">
        <v>175</v>
      </c>
      <c r="J247" s="2">
        <v>42656</v>
      </c>
      <c r="K247" s="141">
        <v>1</v>
      </c>
      <c r="L247" s="141" t="s">
        <v>684</v>
      </c>
      <c r="M247" s="26" t="s">
        <v>549</v>
      </c>
      <c r="N247" s="2">
        <v>40336</v>
      </c>
      <c r="O247" s="2">
        <v>40340</v>
      </c>
      <c r="P247" s="133">
        <v>40375</v>
      </c>
      <c r="Q247" s="6">
        <v>2</v>
      </c>
      <c r="R247" s="6">
        <v>3</v>
      </c>
      <c r="S247" s="6">
        <v>2</v>
      </c>
      <c r="T247" s="120" t="s">
        <v>178</v>
      </c>
      <c r="U247" s="6">
        <v>2</v>
      </c>
      <c r="V247" s="6" t="s">
        <v>685</v>
      </c>
      <c r="W247" s="5">
        <v>38779</v>
      </c>
      <c r="X247" s="6">
        <v>2</v>
      </c>
      <c r="Y247" s="6" t="s">
        <v>178</v>
      </c>
      <c r="Z247" s="6" t="s">
        <v>178</v>
      </c>
      <c r="AA247" s="6" t="s">
        <v>178</v>
      </c>
      <c r="AB247" s="6">
        <v>2</v>
      </c>
      <c r="AC247" s="6" t="s">
        <v>180</v>
      </c>
    </row>
    <row r="248" spans="1:29" x14ac:dyDescent="0.25">
      <c r="A248" s="145" t="str">
        <f>HYPERLINK("http://www.ofsted.gov.uk/inspection-reports/find-inspection-report/provider/ELS/53116  ","Ofsted Webpage")</f>
        <v>Ofsted Webpage</v>
      </c>
      <c r="B248" s="151">
        <v>53116</v>
      </c>
      <c r="C248" s="151">
        <v>10002260</v>
      </c>
      <c r="D248" s="46" t="s">
        <v>1265</v>
      </c>
      <c r="E248" s="26" t="s">
        <v>75</v>
      </c>
      <c r="F248" s="26" t="s">
        <v>76</v>
      </c>
      <c r="G248" s="26" t="s">
        <v>1204</v>
      </c>
      <c r="H248" s="26" t="s">
        <v>175</v>
      </c>
      <c r="I248" s="26" t="s">
        <v>175</v>
      </c>
      <c r="J248" s="2" t="s">
        <v>72</v>
      </c>
      <c r="K248" s="141" t="s">
        <v>72</v>
      </c>
      <c r="L248" s="141" t="s">
        <v>1266</v>
      </c>
      <c r="M248" s="26" t="s">
        <v>321</v>
      </c>
      <c r="N248" s="2">
        <v>42087</v>
      </c>
      <c r="O248" s="2">
        <v>42090</v>
      </c>
      <c r="P248" s="133">
        <v>42132</v>
      </c>
      <c r="Q248" s="6">
        <v>2</v>
      </c>
      <c r="R248" s="6">
        <v>2</v>
      </c>
      <c r="S248" s="6">
        <v>2</v>
      </c>
      <c r="T248" s="120" t="s">
        <v>178</v>
      </c>
      <c r="U248" s="6">
        <v>2</v>
      </c>
      <c r="V248" s="6" t="s">
        <v>1267</v>
      </c>
      <c r="W248" s="5">
        <v>40634</v>
      </c>
      <c r="X248" s="6">
        <v>2</v>
      </c>
      <c r="Y248" s="6">
        <v>2</v>
      </c>
      <c r="Z248" s="6">
        <v>2</v>
      </c>
      <c r="AA248" s="6" t="s">
        <v>178</v>
      </c>
      <c r="AB248" s="6">
        <v>2</v>
      </c>
      <c r="AC248" s="6" t="s">
        <v>180</v>
      </c>
    </row>
    <row r="249" spans="1:29" x14ac:dyDescent="0.25">
      <c r="A249" s="145" t="str">
        <f>HYPERLINK("http://www.ofsted.gov.uk/inspection-reports/find-inspection-report/provider/ELS/53117  ","Ofsted Webpage")</f>
        <v>Ofsted Webpage</v>
      </c>
      <c r="B249" s="151">
        <v>53117</v>
      </c>
      <c r="C249" s="151">
        <v>10003990</v>
      </c>
      <c r="D249" s="46" t="s">
        <v>1284</v>
      </c>
      <c r="E249" s="26" t="s">
        <v>75</v>
      </c>
      <c r="F249" s="26" t="s">
        <v>76</v>
      </c>
      <c r="G249" s="26" t="s">
        <v>174</v>
      </c>
      <c r="H249" s="26" t="s">
        <v>175</v>
      </c>
      <c r="I249" s="26" t="s">
        <v>175</v>
      </c>
      <c r="J249" s="2">
        <v>42873</v>
      </c>
      <c r="K249" s="141">
        <v>1</v>
      </c>
      <c r="L249" s="141" t="s">
        <v>1285</v>
      </c>
      <c r="M249" s="26" t="s">
        <v>549</v>
      </c>
      <c r="N249" s="2">
        <v>41408</v>
      </c>
      <c r="O249" s="2">
        <v>41411</v>
      </c>
      <c r="P249" s="133">
        <v>41449</v>
      </c>
      <c r="Q249" s="6">
        <v>2</v>
      </c>
      <c r="R249" s="6">
        <v>2</v>
      </c>
      <c r="S249" s="6">
        <v>2</v>
      </c>
      <c r="T249" s="120" t="s">
        <v>178</v>
      </c>
      <c r="U249" s="6">
        <v>2</v>
      </c>
      <c r="V249" s="6" t="s">
        <v>1286</v>
      </c>
      <c r="W249" s="5">
        <v>39934</v>
      </c>
      <c r="X249" s="6">
        <v>3</v>
      </c>
      <c r="Y249" s="6">
        <v>3</v>
      </c>
      <c r="Z249" s="6">
        <v>3</v>
      </c>
      <c r="AA249" s="6" t="s">
        <v>178</v>
      </c>
      <c r="AB249" s="6">
        <v>3</v>
      </c>
      <c r="AC249" s="6" t="s">
        <v>216</v>
      </c>
    </row>
    <row r="250" spans="1:29" x14ac:dyDescent="0.25">
      <c r="A250" s="145" t="str">
        <f>HYPERLINK("http://www.ofsted.gov.uk/inspection-reports/find-inspection-report/provider/ELS/53121  ","Ofsted Webpage")</f>
        <v>Ofsted Webpage</v>
      </c>
      <c r="B250" s="151">
        <v>53121</v>
      </c>
      <c r="C250" s="151">
        <v>10002868</v>
      </c>
      <c r="D250" s="46" t="s">
        <v>1277</v>
      </c>
      <c r="E250" s="26" t="s">
        <v>75</v>
      </c>
      <c r="F250" s="26" t="s">
        <v>76</v>
      </c>
      <c r="G250" s="26" t="s">
        <v>855</v>
      </c>
      <c r="H250" s="26" t="s">
        <v>175</v>
      </c>
      <c r="I250" s="26" t="s">
        <v>175</v>
      </c>
      <c r="J250" s="2">
        <v>42691</v>
      </c>
      <c r="K250" s="141">
        <v>1</v>
      </c>
      <c r="L250" s="141" t="s">
        <v>1278</v>
      </c>
      <c r="M250" s="26" t="s">
        <v>549</v>
      </c>
      <c r="N250" s="2">
        <v>40350</v>
      </c>
      <c r="O250" s="2">
        <v>40354</v>
      </c>
      <c r="P250" s="133">
        <v>40389</v>
      </c>
      <c r="Q250" s="6">
        <v>2</v>
      </c>
      <c r="R250" s="6">
        <v>2</v>
      </c>
      <c r="S250" s="6">
        <v>2</v>
      </c>
      <c r="T250" s="120" t="s">
        <v>178</v>
      </c>
      <c r="U250" s="6">
        <v>1</v>
      </c>
      <c r="V250" s="6" t="s">
        <v>1279</v>
      </c>
      <c r="W250" s="5">
        <v>38786</v>
      </c>
      <c r="X250" s="6">
        <v>3</v>
      </c>
      <c r="Y250" s="6" t="s">
        <v>178</v>
      </c>
      <c r="Z250" s="6" t="s">
        <v>178</v>
      </c>
      <c r="AA250" s="6" t="s">
        <v>178</v>
      </c>
      <c r="AB250" s="6">
        <v>3</v>
      </c>
      <c r="AC250" s="6" t="s">
        <v>216</v>
      </c>
    </row>
    <row r="251" spans="1:29" x14ac:dyDescent="0.25">
      <c r="A251" s="145" t="str">
        <f>HYPERLINK("http://www.ofsted.gov.uk/inspection-reports/find-inspection-report/provider/ELS/53124  ","Ofsted Webpage")</f>
        <v>Ofsted Webpage</v>
      </c>
      <c r="B251" s="151">
        <v>53124</v>
      </c>
      <c r="C251" s="151">
        <v>10002859</v>
      </c>
      <c r="D251" s="46" t="s">
        <v>545</v>
      </c>
      <c r="E251" s="26" t="s">
        <v>75</v>
      </c>
      <c r="F251" s="26" t="s">
        <v>76</v>
      </c>
      <c r="G251" s="26" t="s">
        <v>546</v>
      </c>
      <c r="H251" s="26" t="s">
        <v>175</v>
      </c>
      <c r="I251" s="26" t="s">
        <v>175</v>
      </c>
      <c r="J251" s="2" t="s">
        <v>72</v>
      </c>
      <c r="K251" s="141" t="s">
        <v>72</v>
      </c>
      <c r="L251" s="141">
        <v>10008488</v>
      </c>
      <c r="M251" s="26" t="s">
        <v>547</v>
      </c>
      <c r="N251" s="2">
        <v>42675</v>
      </c>
      <c r="O251" s="2">
        <v>42678</v>
      </c>
      <c r="P251" s="133">
        <v>42716</v>
      </c>
      <c r="Q251" s="6">
        <v>2</v>
      </c>
      <c r="R251" s="6">
        <v>2</v>
      </c>
      <c r="S251" s="6">
        <v>2</v>
      </c>
      <c r="T251" s="6">
        <v>2</v>
      </c>
      <c r="U251" s="6">
        <v>2</v>
      </c>
      <c r="V251" s="6" t="s">
        <v>548</v>
      </c>
      <c r="W251" s="5">
        <v>41957</v>
      </c>
      <c r="X251" s="6">
        <v>3</v>
      </c>
      <c r="Y251" s="6">
        <v>3</v>
      </c>
      <c r="Z251" s="6">
        <v>3</v>
      </c>
      <c r="AA251" s="6" t="s">
        <v>178</v>
      </c>
      <c r="AB251" s="6">
        <v>3</v>
      </c>
      <c r="AC251" s="6" t="s">
        <v>216</v>
      </c>
    </row>
    <row r="252" spans="1:29" x14ac:dyDescent="0.25">
      <c r="A252" s="145" t="str">
        <f>HYPERLINK("http://www.ofsted.gov.uk/inspection-reports/find-inspection-report/provider/ELS/53127  ","Ofsted Webpage")</f>
        <v>Ofsted Webpage</v>
      </c>
      <c r="B252" s="151">
        <v>53127</v>
      </c>
      <c r="C252" s="151">
        <v>10003993</v>
      </c>
      <c r="D252" s="46" t="s">
        <v>555</v>
      </c>
      <c r="E252" s="26" t="s">
        <v>75</v>
      </c>
      <c r="F252" s="26" t="s">
        <v>76</v>
      </c>
      <c r="G252" s="26" t="s">
        <v>367</v>
      </c>
      <c r="H252" s="26" t="s">
        <v>175</v>
      </c>
      <c r="I252" s="26" t="s">
        <v>175</v>
      </c>
      <c r="J252" s="2">
        <v>43020</v>
      </c>
      <c r="K252" s="141">
        <v>1</v>
      </c>
      <c r="L252" s="141" t="s">
        <v>556</v>
      </c>
      <c r="M252" s="26" t="s">
        <v>321</v>
      </c>
      <c r="N252" s="2">
        <v>41925</v>
      </c>
      <c r="O252" s="2">
        <v>41929</v>
      </c>
      <c r="P252" s="133">
        <v>41977</v>
      </c>
      <c r="Q252" s="6">
        <v>2</v>
      </c>
      <c r="R252" s="6">
        <v>2</v>
      </c>
      <c r="S252" s="6">
        <v>2</v>
      </c>
      <c r="T252" s="120" t="s">
        <v>178</v>
      </c>
      <c r="U252" s="6">
        <v>2</v>
      </c>
      <c r="V252" s="6" t="s">
        <v>557</v>
      </c>
      <c r="W252" s="5">
        <v>41033</v>
      </c>
      <c r="X252" s="6">
        <v>3</v>
      </c>
      <c r="Y252" s="6">
        <v>3</v>
      </c>
      <c r="Z252" s="6">
        <v>2</v>
      </c>
      <c r="AA252" s="6" t="s">
        <v>178</v>
      </c>
      <c r="AB252" s="6">
        <v>3</v>
      </c>
      <c r="AC252" s="6" t="s">
        <v>216</v>
      </c>
    </row>
    <row r="253" spans="1:29" x14ac:dyDescent="0.25">
      <c r="A253" s="145" t="str">
        <f>HYPERLINK("http://www.ofsted.gov.uk/inspection-reports/find-inspection-report/provider/ELS/53129  ","Ofsted Webpage")</f>
        <v>Ofsted Webpage</v>
      </c>
      <c r="B253" s="151">
        <v>53129</v>
      </c>
      <c r="C253" s="151">
        <v>10003089</v>
      </c>
      <c r="D253" s="46" t="s">
        <v>1394</v>
      </c>
      <c r="E253" s="26" t="s">
        <v>75</v>
      </c>
      <c r="F253" s="26" t="s">
        <v>76</v>
      </c>
      <c r="G253" s="26" t="s">
        <v>375</v>
      </c>
      <c r="H253" s="26" t="s">
        <v>175</v>
      </c>
      <c r="I253" s="26" t="s">
        <v>175</v>
      </c>
      <c r="J253" s="2">
        <v>42383</v>
      </c>
      <c r="K253" s="141">
        <v>1</v>
      </c>
      <c r="L253" s="141" t="s">
        <v>1395</v>
      </c>
      <c r="M253" s="26" t="s">
        <v>549</v>
      </c>
      <c r="N253" s="2">
        <v>40588</v>
      </c>
      <c r="O253" s="2">
        <v>40592</v>
      </c>
      <c r="P253" s="133">
        <v>40627</v>
      </c>
      <c r="Q253" s="6">
        <v>2</v>
      </c>
      <c r="R253" s="6">
        <v>2</v>
      </c>
      <c r="S253" s="6">
        <v>2</v>
      </c>
      <c r="T253" s="120" t="s">
        <v>178</v>
      </c>
      <c r="U253" s="6">
        <v>2</v>
      </c>
      <c r="V253" s="6" t="s">
        <v>1396</v>
      </c>
      <c r="W253" s="5">
        <v>39220</v>
      </c>
      <c r="X253" s="6">
        <v>2</v>
      </c>
      <c r="Y253" s="6">
        <v>2</v>
      </c>
      <c r="Z253" s="6">
        <v>3</v>
      </c>
      <c r="AA253" s="6" t="s">
        <v>178</v>
      </c>
      <c r="AB253" s="6">
        <v>2</v>
      </c>
      <c r="AC253" s="6" t="s">
        <v>180</v>
      </c>
    </row>
    <row r="254" spans="1:29" x14ac:dyDescent="0.25">
      <c r="A254" s="145" t="str">
        <f>HYPERLINK("http://www.ofsted.gov.uk/inspection-reports/find-inspection-report/provider/ELS/53132  ","Ofsted Webpage")</f>
        <v>Ofsted Webpage</v>
      </c>
      <c r="B254" s="151">
        <v>53132</v>
      </c>
      <c r="C254" s="151">
        <v>10003165</v>
      </c>
      <c r="D254" s="46" t="s">
        <v>1397</v>
      </c>
      <c r="E254" s="26" t="s">
        <v>75</v>
      </c>
      <c r="F254" s="26" t="s">
        <v>76</v>
      </c>
      <c r="G254" s="26" t="s">
        <v>379</v>
      </c>
      <c r="H254" s="26" t="s">
        <v>175</v>
      </c>
      <c r="I254" s="26" t="s">
        <v>175</v>
      </c>
      <c r="J254" s="2" t="s">
        <v>72</v>
      </c>
      <c r="K254" s="141" t="s">
        <v>72</v>
      </c>
      <c r="L254" s="141" t="s">
        <v>1398</v>
      </c>
      <c r="M254" s="26" t="s">
        <v>549</v>
      </c>
      <c r="N254" s="2">
        <v>41974</v>
      </c>
      <c r="O254" s="2">
        <v>41978</v>
      </c>
      <c r="P254" s="133">
        <v>42018</v>
      </c>
      <c r="Q254" s="6">
        <v>2</v>
      </c>
      <c r="R254" s="6">
        <v>2</v>
      </c>
      <c r="S254" s="6">
        <v>2</v>
      </c>
      <c r="T254" s="120" t="s">
        <v>178</v>
      </c>
      <c r="U254" s="6">
        <v>2</v>
      </c>
      <c r="V254" s="6" t="s">
        <v>1399</v>
      </c>
      <c r="W254" s="5">
        <v>39787</v>
      </c>
      <c r="X254" s="6">
        <v>2</v>
      </c>
      <c r="Y254" s="6">
        <v>2</v>
      </c>
      <c r="Z254" s="6">
        <v>2</v>
      </c>
      <c r="AA254" s="6" t="s">
        <v>178</v>
      </c>
      <c r="AB254" s="6">
        <v>2</v>
      </c>
      <c r="AC254" s="6" t="s">
        <v>180</v>
      </c>
    </row>
    <row r="255" spans="1:29" x14ac:dyDescent="0.25">
      <c r="A255" s="145" t="str">
        <f>HYPERLINK("http://www.ofsted.gov.uk/inspection-reports/find-inspection-report/provider/ELS/53133  ","Ofsted Webpage")</f>
        <v>Ofsted Webpage</v>
      </c>
      <c r="B255" s="151">
        <v>53133</v>
      </c>
      <c r="C255" s="151">
        <v>10003414</v>
      </c>
      <c r="D255" s="46" t="s">
        <v>676</v>
      </c>
      <c r="E255" s="26" t="s">
        <v>75</v>
      </c>
      <c r="F255" s="26" t="s">
        <v>76</v>
      </c>
      <c r="G255" s="26" t="s">
        <v>299</v>
      </c>
      <c r="H255" s="26" t="s">
        <v>175</v>
      </c>
      <c r="I255" s="26" t="s">
        <v>175</v>
      </c>
      <c r="J255" s="2">
        <v>42432</v>
      </c>
      <c r="K255" s="141">
        <v>1</v>
      </c>
      <c r="L255" s="141" t="s">
        <v>677</v>
      </c>
      <c r="M255" s="26" t="s">
        <v>549</v>
      </c>
      <c r="N255" s="2">
        <v>40588</v>
      </c>
      <c r="O255" s="2">
        <v>40592</v>
      </c>
      <c r="P255" s="133">
        <v>40627</v>
      </c>
      <c r="Q255" s="6">
        <v>2</v>
      </c>
      <c r="R255" s="6">
        <v>2</v>
      </c>
      <c r="S255" s="6">
        <v>2</v>
      </c>
      <c r="T255" s="120" t="s">
        <v>178</v>
      </c>
      <c r="U255" s="6">
        <v>2</v>
      </c>
      <c r="V255" s="6" t="s">
        <v>678</v>
      </c>
      <c r="W255" s="5">
        <v>39003</v>
      </c>
      <c r="X255" s="6">
        <v>3</v>
      </c>
      <c r="Y255" s="6" t="s">
        <v>178</v>
      </c>
      <c r="Z255" s="6" t="s">
        <v>178</v>
      </c>
      <c r="AA255" s="6" t="s">
        <v>178</v>
      </c>
      <c r="AB255" s="6">
        <v>3</v>
      </c>
      <c r="AC255" s="6" t="s">
        <v>216</v>
      </c>
    </row>
    <row r="256" spans="1:29" x14ac:dyDescent="0.25">
      <c r="A256" s="145" t="str">
        <f>HYPERLINK("http://www.ofsted.gov.uk/inspection-reports/find-inspection-report/provider/ELS/53135  ","Ofsted Webpage")</f>
        <v>Ofsted Webpage</v>
      </c>
      <c r="B256" s="151">
        <v>53135</v>
      </c>
      <c r="C256" s="151">
        <v>10003995</v>
      </c>
      <c r="D256" s="46" t="s">
        <v>674</v>
      </c>
      <c r="E256" s="26" t="s">
        <v>75</v>
      </c>
      <c r="F256" s="26" t="s">
        <v>76</v>
      </c>
      <c r="G256" s="26" t="s">
        <v>234</v>
      </c>
      <c r="H256" s="26" t="s">
        <v>175</v>
      </c>
      <c r="I256" s="26" t="s">
        <v>175</v>
      </c>
      <c r="J256" s="2" t="s">
        <v>72</v>
      </c>
      <c r="K256" s="141" t="s">
        <v>72</v>
      </c>
      <c r="L256" s="141">
        <v>10005431</v>
      </c>
      <c r="M256" s="26" t="s">
        <v>308</v>
      </c>
      <c r="N256" s="2">
        <v>42283</v>
      </c>
      <c r="O256" s="2">
        <v>42286</v>
      </c>
      <c r="P256" s="133">
        <v>42325</v>
      </c>
      <c r="Q256" s="6">
        <v>2</v>
      </c>
      <c r="R256" s="6">
        <v>2</v>
      </c>
      <c r="S256" s="6">
        <v>2</v>
      </c>
      <c r="T256" s="6">
        <v>2</v>
      </c>
      <c r="U256" s="6">
        <v>2</v>
      </c>
      <c r="V256" s="6" t="s">
        <v>675</v>
      </c>
      <c r="W256" s="5">
        <v>40501</v>
      </c>
      <c r="X256" s="6">
        <v>2</v>
      </c>
      <c r="Y256" s="6">
        <v>2</v>
      </c>
      <c r="Z256" s="6">
        <v>3</v>
      </c>
      <c r="AA256" s="6" t="s">
        <v>178</v>
      </c>
      <c r="AB256" s="6">
        <v>2</v>
      </c>
      <c r="AC256" s="6" t="s">
        <v>180</v>
      </c>
    </row>
    <row r="257" spans="1:29" x14ac:dyDescent="0.25">
      <c r="A257" s="145" t="str">
        <f>HYPERLINK("http://www.ofsted.gov.uk/inspection-reports/find-inspection-report/provider/ELS/53137  ","Ofsted Webpage")</f>
        <v>Ofsted Webpage</v>
      </c>
      <c r="B257" s="151">
        <v>53137</v>
      </c>
      <c r="C257" s="151">
        <v>10003895</v>
      </c>
      <c r="D257" s="46" t="s">
        <v>926</v>
      </c>
      <c r="E257" s="26" t="s">
        <v>75</v>
      </c>
      <c r="F257" s="26" t="s">
        <v>76</v>
      </c>
      <c r="G257" s="26" t="s">
        <v>927</v>
      </c>
      <c r="H257" s="26" t="s">
        <v>175</v>
      </c>
      <c r="I257" s="26" t="s">
        <v>175</v>
      </c>
      <c r="J257" s="2">
        <v>43020</v>
      </c>
      <c r="K257" s="141">
        <v>1</v>
      </c>
      <c r="L257" s="141" t="s">
        <v>928</v>
      </c>
      <c r="M257" s="26" t="s">
        <v>549</v>
      </c>
      <c r="N257" s="2">
        <v>41673</v>
      </c>
      <c r="O257" s="2">
        <v>41677</v>
      </c>
      <c r="P257" s="133">
        <v>41712</v>
      </c>
      <c r="Q257" s="6">
        <v>2</v>
      </c>
      <c r="R257" s="6">
        <v>2</v>
      </c>
      <c r="S257" s="6">
        <v>2</v>
      </c>
      <c r="T257" s="120" t="s">
        <v>178</v>
      </c>
      <c r="U257" s="6">
        <v>2</v>
      </c>
      <c r="V257" s="6" t="s">
        <v>929</v>
      </c>
      <c r="W257" s="5">
        <v>40963</v>
      </c>
      <c r="X257" s="6">
        <v>3</v>
      </c>
      <c r="Y257" s="6">
        <v>3</v>
      </c>
      <c r="Z257" s="6">
        <v>3</v>
      </c>
      <c r="AA257" s="6" t="s">
        <v>178</v>
      </c>
      <c r="AB257" s="6">
        <v>2</v>
      </c>
      <c r="AC257" s="6" t="s">
        <v>216</v>
      </c>
    </row>
    <row r="258" spans="1:29" x14ac:dyDescent="0.25">
      <c r="A258" s="145" t="str">
        <f>HYPERLINK("http://www.ofsted.gov.uk/inspection-reports/find-inspection-report/provider/ELS/53139  ","Ofsted Webpage")</f>
        <v>Ofsted Webpage</v>
      </c>
      <c r="B258" s="151">
        <v>53139</v>
      </c>
      <c r="C258" s="151">
        <v>10003997</v>
      </c>
      <c r="D258" s="46" t="s">
        <v>936</v>
      </c>
      <c r="E258" s="26" t="s">
        <v>75</v>
      </c>
      <c r="F258" s="26" t="s">
        <v>76</v>
      </c>
      <c r="G258" s="26" t="s">
        <v>291</v>
      </c>
      <c r="H258" s="26" t="s">
        <v>175</v>
      </c>
      <c r="I258" s="26" t="s">
        <v>175</v>
      </c>
      <c r="J258" s="2" t="s">
        <v>72</v>
      </c>
      <c r="K258" s="141" t="s">
        <v>72</v>
      </c>
      <c r="L258" s="141">
        <v>10004960</v>
      </c>
      <c r="M258" s="26" t="s">
        <v>308</v>
      </c>
      <c r="N258" s="2">
        <v>42438</v>
      </c>
      <c r="O258" s="2">
        <v>42444</v>
      </c>
      <c r="P258" s="119">
        <v>42475</v>
      </c>
      <c r="Q258" s="6">
        <v>2</v>
      </c>
      <c r="R258" s="6">
        <v>2</v>
      </c>
      <c r="S258" s="6">
        <v>2</v>
      </c>
      <c r="T258" s="6">
        <v>2</v>
      </c>
      <c r="U258" s="6">
        <v>2</v>
      </c>
      <c r="V258" s="6" t="s">
        <v>937</v>
      </c>
      <c r="W258" s="5">
        <v>40340</v>
      </c>
      <c r="X258" s="6">
        <v>2</v>
      </c>
      <c r="Y258" s="6">
        <v>2</v>
      </c>
      <c r="Z258" s="6">
        <v>2</v>
      </c>
      <c r="AA258" s="6" t="s">
        <v>178</v>
      </c>
      <c r="AB258" s="6">
        <v>3</v>
      </c>
      <c r="AC258" s="6" t="s">
        <v>180</v>
      </c>
    </row>
    <row r="259" spans="1:29" x14ac:dyDescent="0.25">
      <c r="A259" s="145" t="str">
        <f>HYPERLINK("http://www.ofsted.gov.uk/inspection-reports/find-inspection-report/provider/ELS/53141  ","Ofsted Webpage")</f>
        <v>Ofsted Webpage</v>
      </c>
      <c r="B259" s="151">
        <v>53141</v>
      </c>
      <c r="C259" s="151">
        <v>10005412</v>
      </c>
      <c r="D259" s="46" t="s">
        <v>1173</v>
      </c>
      <c r="E259" s="26" t="s">
        <v>75</v>
      </c>
      <c r="F259" s="26" t="s">
        <v>76</v>
      </c>
      <c r="G259" s="26" t="s">
        <v>982</v>
      </c>
      <c r="H259" s="26" t="s">
        <v>175</v>
      </c>
      <c r="I259" s="26" t="s">
        <v>175</v>
      </c>
      <c r="J259" s="2" t="s">
        <v>72</v>
      </c>
      <c r="K259" s="141" t="s">
        <v>72</v>
      </c>
      <c r="L259" s="141" t="s">
        <v>1174</v>
      </c>
      <c r="M259" s="26" t="s">
        <v>549</v>
      </c>
      <c r="N259" s="2">
        <v>42086</v>
      </c>
      <c r="O259" s="2">
        <v>42090</v>
      </c>
      <c r="P259" s="133">
        <v>42132</v>
      </c>
      <c r="Q259" s="6">
        <v>2</v>
      </c>
      <c r="R259" s="6">
        <v>2</v>
      </c>
      <c r="S259" s="6">
        <v>2</v>
      </c>
      <c r="T259" s="120" t="s">
        <v>178</v>
      </c>
      <c r="U259" s="6">
        <v>2</v>
      </c>
      <c r="V259" s="6" t="s">
        <v>1175</v>
      </c>
      <c r="W259" s="5">
        <v>39885</v>
      </c>
      <c r="X259" s="6">
        <v>2</v>
      </c>
      <c r="Y259" s="6">
        <v>2</v>
      </c>
      <c r="Z259" s="6">
        <v>2</v>
      </c>
      <c r="AA259" s="6" t="s">
        <v>178</v>
      </c>
      <c r="AB259" s="6">
        <v>2</v>
      </c>
      <c r="AC259" s="6" t="s">
        <v>180</v>
      </c>
    </row>
    <row r="260" spans="1:29" x14ac:dyDescent="0.25">
      <c r="A260" s="145" t="str">
        <f>HYPERLINK("http://www.ofsted.gov.uk/inspection-reports/find-inspection-report/provider/ELS/53144  ","Ofsted Webpage")</f>
        <v>Ofsted Webpage</v>
      </c>
      <c r="B260" s="151">
        <v>53144</v>
      </c>
      <c r="C260" s="151">
        <v>10007362</v>
      </c>
      <c r="D260" s="46" t="s">
        <v>1280</v>
      </c>
      <c r="E260" s="26" t="s">
        <v>75</v>
      </c>
      <c r="F260" s="26" t="s">
        <v>76</v>
      </c>
      <c r="G260" s="26" t="s">
        <v>1281</v>
      </c>
      <c r="H260" s="26" t="s">
        <v>175</v>
      </c>
      <c r="I260" s="26" t="s">
        <v>175</v>
      </c>
      <c r="J260" s="2">
        <v>42383</v>
      </c>
      <c r="K260" s="141">
        <v>1</v>
      </c>
      <c r="L260" s="141" t="s">
        <v>1282</v>
      </c>
      <c r="M260" s="26" t="s">
        <v>549</v>
      </c>
      <c r="N260" s="2">
        <v>40315</v>
      </c>
      <c r="O260" s="2">
        <v>40319</v>
      </c>
      <c r="P260" s="133">
        <v>40357</v>
      </c>
      <c r="Q260" s="6">
        <v>2</v>
      </c>
      <c r="R260" s="6">
        <v>2</v>
      </c>
      <c r="S260" s="6">
        <v>2</v>
      </c>
      <c r="T260" s="120" t="s">
        <v>178</v>
      </c>
      <c r="U260" s="6">
        <v>2</v>
      </c>
      <c r="V260" s="6" t="s">
        <v>1283</v>
      </c>
      <c r="W260" s="5">
        <v>38863</v>
      </c>
      <c r="X260" s="6">
        <v>3</v>
      </c>
      <c r="Y260" s="6" t="s">
        <v>178</v>
      </c>
      <c r="Z260" s="6" t="s">
        <v>178</v>
      </c>
      <c r="AA260" s="6" t="s">
        <v>178</v>
      </c>
      <c r="AB260" s="6">
        <v>3</v>
      </c>
      <c r="AC260" s="6" t="s">
        <v>216</v>
      </c>
    </row>
    <row r="261" spans="1:29" x14ac:dyDescent="0.25">
      <c r="A261" s="145" t="str">
        <f>HYPERLINK("http://www.ofsted.gov.uk/inspection-reports/find-inspection-report/provider/ELS/53145  ","Ofsted Webpage")</f>
        <v>Ofsted Webpage</v>
      </c>
      <c r="B261" s="151">
        <v>53145</v>
      </c>
      <c r="C261" s="151">
        <v>10006042</v>
      </c>
      <c r="D261" s="46" t="s">
        <v>1409</v>
      </c>
      <c r="E261" s="26" t="s">
        <v>75</v>
      </c>
      <c r="F261" s="26" t="s">
        <v>76</v>
      </c>
      <c r="G261" s="26" t="s">
        <v>441</v>
      </c>
      <c r="H261" s="26" t="s">
        <v>175</v>
      </c>
      <c r="I261" s="26" t="s">
        <v>175</v>
      </c>
      <c r="J261" s="2">
        <v>42508</v>
      </c>
      <c r="K261" s="141">
        <v>1</v>
      </c>
      <c r="L261" s="141" t="s">
        <v>1410</v>
      </c>
      <c r="M261" s="26" t="s">
        <v>549</v>
      </c>
      <c r="N261" s="2">
        <v>40973</v>
      </c>
      <c r="O261" s="2">
        <v>40977</v>
      </c>
      <c r="P261" s="133">
        <v>41016</v>
      </c>
      <c r="Q261" s="6">
        <v>2</v>
      </c>
      <c r="R261" s="6">
        <v>2</v>
      </c>
      <c r="S261" s="6">
        <v>2</v>
      </c>
      <c r="T261" s="120" t="s">
        <v>178</v>
      </c>
      <c r="U261" s="6">
        <v>2</v>
      </c>
      <c r="V261" s="6" t="s">
        <v>1411</v>
      </c>
      <c r="W261" s="5">
        <v>39948</v>
      </c>
      <c r="X261" s="6">
        <v>3</v>
      </c>
      <c r="Y261" s="6">
        <v>3</v>
      </c>
      <c r="Z261" s="6">
        <v>3</v>
      </c>
      <c r="AA261" s="6" t="s">
        <v>178</v>
      </c>
      <c r="AB261" s="6">
        <v>3</v>
      </c>
      <c r="AC261" s="6" t="s">
        <v>216</v>
      </c>
    </row>
    <row r="262" spans="1:29" x14ac:dyDescent="0.25">
      <c r="A262" s="145" t="str">
        <f>HYPERLINK("http://www.ofsted.gov.uk/inspection-reports/find-inspection-report/provider/ELS/53146  ","Ofsted Webpage")</f>
        <v>Ofsted Webpage</v>
      </c>
      <c r="B262" s="151">
        <v>53146</v>
      </c>
      <c r="C262" s="151">
        <v>10004000</v>
      </c>
      <c r="D262" s="46" t="s">
        <v>954</v>
      </c>
      <c r="E262" s="26" t="s">
        <v>75</v>
      </c>
      <c r="F262" s="26" t="s">
        <v>76</v>
      </c>
      <c r="G262" s="26" t="s">
        <v>268</v>
      </c>
      <c r="H262" s="26" t="s">
        <v>175</v>
      </c>
      <c r="I262" s="26" t="s">
        <v>175</v>
      </c>
      <c r="J262" s="2">
        <v>42446</v>
      </c>
      <c r="K262" s="141">
        <v>1</v>
      </c>
      <c r="L262" s="141" t="s">
        <v>955</v>
      </c>
      <c r="M262" s="26" t="s">
        <v>549</v>
      </c>
      <c r="N262" s="2">
        <v>41815</v>
      </c>
      <c r="O262" s="2">
        <v>41817</v>
      </c>
      <c r="P262" s="133">
        <v>41858</v>
      </c>
      <c r="Q262" s="6">
        <v>2</v>
      </c>
      <c r="R262" s="6">
        <v>2</v>
      </c>
      <c r="S262" s="6">
        <v>2</v>
      </c>
      <c r="T262" s="120" t="s">
        <v>178</v>
      </c>
      <c r="U262" s="6">
        <v>2</v>
      </c>
      <c r="V262" s="6" t="s">
        <v>956</v>
      </c>
      <c r="W262" s="5">
        <v>38800</v>
      </c>
      <c r="X262" s="6">
        <v>3</v>
      </c>
      <c r="Y262" s="6" t="s">
        <v>178</v>
      </c>
      <c r="Z262" s="6" t="s">
        <v>178</v>
      </c>
      <c r="AA262" s="6" t="s">
        <v>178</v>
      </c>
      <c r="AB262" s="6">
        <v>2</v>
      </c>
      <c r="AC262" s="6" t="s">
        <v>216</v>
      </c>
    </row>
    <row r="263" spans="1:29" x14ac:dyDescent="0.25">
      <c r="A263" s="145" t="str">
        <f>HYPERLINK("http://www.ofsted.gov.uk/inspection-reports/find-inspection-report/provider/ELS/53150  ","Ofsted Webpage")</f>
        <v>Ofsted Webpage</v>
      </c>
      <c r="B263" s="151">
        <v>53150</v>
      </c>
      <c r="C263" s="151">
        <v>10007322</v>
      </c>
      <c r="D263" s="46" t="s">
        <v>1183</v>
      </c>
      <c r="E263" s="26" t="s">
        <v>75</v>
      </c>
      <c r="F263" s="26" t="s">
        <v>76</v>
      </c>
      <c r="G263" s="26" t="s">
        <v>794</v>
      </c>
      <c r="H263" s="26" t="s">
        <v>175</v>
      </c>
      <c r="I263" s="26" t="s">
        <v>175</v>
      </c>
      <c r="J263" s="2" t="s">
        <v>72</v>
      </c>
      <c r="K263" s="141" t="s">
        <v>72</v>
      </c>
      <c r="L263" s="141">
        <v>10011495</v>
      </c>
      <c r="M263" s="26" t="s">
        <v>308</v>
      </c>
      <c r="N263" s="2">
        <v>42542</v>
      </c>
      <c r="O263" s="2">
        <v>42545</v>
      </c>
      <c r="P263" s="133">
        <v>42592</v>
      </c>
      <c r="Q263" s="6">
        <v>2</v>
      </c>
      <c r="R263" s="6">
        <v>3</v>
      </c>
      <c r="S263" s="6">
        <v>2</v>
      </c>
      <c r="T263" s="6">
        <v>2</v>
      </c>
      <c r="U263" s="6">
        <v>2</v>
      </c>
      <c r="V263" s="6" t="s">
        <v>1184</v>
      </c>
      <c r="W263" s="5">
        <v>41075</v>
      </c>
      <c r="X263" s="6">
        <v>2</v>
      </c>
      <c r="Y263" s="6">
        <v>2</v>
      </c>
      <c r="Z263" s="6">
        <v>2</v>
      </c>
      <c r="AA263" s="6" t="s">
        <v>178</v>
      </c>
      <c r="AB263" s="6">
        <v>2</v>
      </c>
      <c r="AC263" s="6" t="s">
        <v>180</v>
      </c>
    </row>
    <row r="264" spans="1:29" x14ac:dyDescent="0.25">
      <c r="A264" s="145" t="str">
        <f>HYPERLINK("http://www.ofsted.gov.uk/inspection-reports/find-inspection-report/provider/ELS/53152  ","Ofsted Webpage")</f>
        <v>Ofsted Webpage</v>
      </c>
      <c r="B264" s="151">
        <v>53152</v>
      </c>
      <c r="C264" s="151">
        <v>10004002</v>
      </c>
      <c r="D264" s="46" t="s">
        <v>1185</v>
      </c>
      <c r="E264" s="26" t="s">
        <v>75</v>
      </c>
      <c r="F264" s="26" t="s">
        <v>76</v>
      </c>
      <c r="G264" s="26" t="s">
        <v>1186</v>
      </c>
      <c r="H264" s="26" t="s">
        <v>175</v>
      </c>
      <c r="I264" s="26" t="s">
        <v>175</v>
      </c>
      <c r="J264" s="2" t="s">
        <v>72</v>
      </c>
      <c r="K264" s="141" t="s">
        <v>72</v>
      </c>
      <c r="L264" s="141">
        <v>10004964</v>
      </c>
      <c r="M264" s="26" t="s">
        <v>313</v>
      </c>
      <c r="N264" s="2">
        <v>42430</v>
      </c>
      <c r="O264" s="2">
        <v>42433</v>
      </c>
      <c r="P264" s="133">
        <v>42472</v>
      </c>
      <c r="Q264" s="6">
        <v>2</v>
      </c>
      <c r="R264" s="6">
        <v>2</v>
      </c>
      <c r="S264" s="6">
        <v>2</v>
      </c>
      <c r="T264" s="6">
        <v>2</v>
      </c>
      <c r="U264" s="6">
        <v>2</v>
      </c>
      <c r="V264" s="6" t="s">
        <v>1187</v>
      </c>
      <c r="W264" s="5">
        <v>41985</v>
      </c>
      <c r="X264" s="6">
        <v>4</v>
      </c>
      <c r="Y264" s="6">
        <v>3</v>
      </c>
      <c r="Z264" s="6">
        <v>3</v>
      </c>
      <c r="AA264" s="6" t="s">
        <v>178</v>
      </c>
      <c r="AB264" s="6">
        <v>4</v>
      </c>
      <c r="AC264" s="6" t="s">
        <v>216</v>
      </c>
    </row>
    <row r="265" spans="1:29" x14ac:dyDescent="0.25">
      <c r="A265" s="145" t="str">
        <f>HYPERLINK("http://www.ofsted.gov.uk/inspection-reports/find-inspection-report/provider/ELS/53160  ","Ofsted Webpage")</f>
        <v>Ofsted Webpage</v>
      </c>
      <c r="B265" s="151">
        <v>53160</v>
      </c>
      <c r="C265" s="151">
        <v>10004013</v>
      </c>
      <c r="D265" s="46" t="s">
        <v>493</v>
      </c>
      <c r="E265" s="26" t="s">
        <v>78</v>
      </c>
      <c r="F265" s="26" t="s">
        <v>79</v>
      </c>
      <c r="G265" s="26" t="s">
        <v>283</v>
      </c>
      <c r="H265" s="26" t="s">
        <v>175</v>
      </c>
      <c r="I265" s="26" t="s">
        <v>175</v>
      </c>
      <c r="J265" s="2" t="s">
        <v>72</v>
      </c>
      <c r="K265" s="141" t="s">
        <v>72</v>
      </c>
      <c r="L265" s="141">
        <v>10022562</v>
      </c>
      <c r="M265" s="26" t="s">
        <v>211</v>
      </c>
      <c r="N265" s="2">
        <v>42899</v>
      </c>
      <c r="O265" s="2">
        <v>42902</v>
      </c>
      <c r="P265" s="133">
        <v>42941</v>
      </c>
      <c r="Q265" s="6">
        <v>3</v>
      </c>
      <c r="R265" s="6">
        <v>3</v>
      </c>
      <c r="S265" s="6">
        <v>3</v>
      </c>
      <c r="T265" s="6">
        <v>2</v>
      </c>
      <c r="U265" s="6">
        <v>3</v>
      </c>
      <c r="V265" s="6" t="s">
        <v>494</v>
      </c>
      <c r="W265" s="5">
        <v>41446</v>
      </c>
      <c r="X265" s="6">
        <v>2</v>
      </c>
      <c r="Y265" s="6">
        <v>2</v>
      </c>
      <c r="Z265" s="6">
        <v>2</v>
      </c>
      <c r="AA265" s="6" t="s">
        <v>178</v>
      </c>
      <c r="AB265" s="6">
        <v>2</v>
      </c>
      <c r="AC265" s="6" t="s">
        <v>201</v>
      </c>
    </row>
    <row r="266" spans="1:29" x14ac:dyDescent="0.25">
      <c r="A266" s="145" t="str">
        <f>HYPERLINK("http://www.ofsted.gov.uk/inspection-reports/find-inspection-report/provider/ELS/53201  ","Ofsted Webpage")</f>
        <v>Ofsted Webpage</v>
      </c>
      <c r="B266" s="151">
        <v>53201</v>
      </c>
      <c r="C266" s="151">
        <v>10004124</v>
      </c>
      <c r="D266" s="46" t="s">
        <v>938</v>
      </c>
      <c r="E266" s="26" t="s">
        <v>75</v>
      </c>
      <c r="F266" s="26" t="s">
        <v>76</v>
      </c>
      <c r="G266" s="26" t="s">
        <v>939</v>
      </c>
      <c r="H266" s="26" t="s">
        <v>287</v>
      </c>
      <c r="I266" s="26" t="s">
        <v>287</v>
      </c>
      <c r="J266" s="2">
        <v>43006</v>
      </c>
      <c r="K266" s="141">
        <v>1</v>
      </c>
      <c r="L266" s="141" t="s">
        <v>940</v>
      </c>
      <c r="M266" s="26" t="s">
        <v>321</v>
      </c>
      <c r="N266" s="2">
        <v>41911</v>
      </c>
      <c r="O266" s="2">
        <v>41915</v>
      </c>
      <c r="P266" s="119">
        <v>41950</v>
      </c>
      <c r="Q266" s="6">
        <v>2</v>
      </c>
      <c r="R266" s="6">
        <v>2</v>
      </c>
      <c r="S266" s="6">
        <v>2</v>
      </c>
      <c r="T266" s="120" t="s">
        <v>178</v>
      </c>
      <c r="U266" s="6">
        <v>2</v>
      </c>
      <c r="V266" s="6" t="s">
        <v>941</v>
      </c>
      <c r="W266" s="5">
        <v>41075</v>
      </c>
      <c r="X266" s="6">
        <v>3</v>
      </c>
      <c r="Y266" s="6">
        <v>3</v>
      </c>
      <c r="Z266" s="6">
        <v>3</v>
      </c>
      <c r="AA266" s="6" t="s">
        <v>178</v>
      </c>
      <c r="AB266" s="6">
        <v>3</v>
      </c>
      <c r="AC266" s="6" t="s">
        <v>216</v>
      </c>
    </row>
    <row r="267" spans="1:29" x14ac:dyDescent="0.25">
      <c r="A267" s="145" t="str">
        <f>HYPERLINK("http://www.ofsted.gov.uk/inspection-reports/find-inspection-report/provider/ELS/53230  ","Ofsted Webpage")</f>
        <v>Ofsted Webpage</v>
      </c>
      <c r="B267" s="151">
        <v>53230</v>
      </c>
      <c r="C267" s="151">
        <v>10004175</v>
      </c>
      <c r="D267" s="46" t="s">
        <v>942</v>
      </c>
      <c r="E267" s="26" t="s">
        <v>75</v>
      </c>
      <c r="F267" s="26" t="s">
        <v>76</v>
      </c>
      <c r="G267" s="26" t="s">
        <v>348</v>
      </c>
      <c r="H267" s="26" t="s">
        <v>238</v>
      </c>
      <c r="I267" s="26" t="s">
        <v>238</v>
      </c>
      <c r="J267" s="2">
        <v>42794</v>
      </c>
      <c r="K267" s="141">
        <v>1</v>
      </c>
      <c r="L267" s="141" t="s">
        <v>943</v>
      </c>
      <c r="M267" s="26" t="s">
        <v>549</v>
      </c>
      <c r="N267" s="2">
        <v>41568</v>
      </c>
      <c r="O267" s="2">
        <v>41572</v>
      </c>
      <c r="P267" s="119">
        <v>41607</v>
      </c>
      <c r="Q267" s="6">
        <v>2</v>
      </c>
      <c r="R267" s="6">
        <v>2</v>
      </c>
      <c r="S267" s="6">
        <v>2</v>
      </c>
      <c r="T267" s="120" t="s">
        <v>178</v>
      </c>
      <c r="U267" s="6">
        <v>2</v>
      </c>
      <c r="V267" s="6" t="s">
        <v>944</v>
      </c>
      <c r="W267" s="5">
        <v>39556</v>
      </c>
      <c r="X267" s="6">
        <v>2</v>
      </c>
      <c r="Y267" s="6">
        <v>2</v>
      </c>
      <c r="Z267" s="6">
        <v>2</v>
      </c>
      <c r="AA267" s="6" t="s">
        <v>178</v>
      </c>
      <c r="AB267" s="6">
        <v>2</v>
      </c>
      <c r="AC267" s="6" t="s">
        <v>180</v>
      </c>
    </row>
    <row r="268" spans="1:29" x14ac:dyDescent="0.25">
      <c r="A268" s="145" t="str">
        <f>HYPERLINK("http://www.ofsted.gov.uk/inspection-reports/find-inspection-report/provider/ELS/53233  ","Ofsted Webpage")</f>
        <v>Ofsted Webpage</v>
      </c>
      <c r="B268" s="151">
        <v>53233</v>
      </c>
      <c r="C268" s="151">
        <v>10004177</v>
      </c>
      <c r="D268" s="46" t="s">
        <v>2563</v>
      </c>
      <c r="E268" s="26" t="s">
        <v>78</v>
      </c>
      <c r="F268" s="26" t="s">
        <v>79</v>
      </c>
      <c r="G268" s="26" t="s">
        <v>348</v>
      </c>
      <c r="H268" s="26" t="s">
        <v>238</v>
      </c>
      <c r="I268" s="26" t="s">
        <v>238</v>
      </c>
      <c r="J268" s="2" t="s">
        <v>72</v>
      </c>
      <c r="K268" s="141" t="s">
        <v>72</v>
      </c>
      <c r="L268" s="141">
        <v>10004965</v>
      </c>
      <c r="M268" s="26" t="s">
        <v>199</v>
      </c>
      <c r="N268" s="2">
        <v>42647</v>
      </c>
      <c r="O268" s="2">
        <v>42650</v>
      </c>
      <c r="P268" s="133">
        <v>42685</v>
      </c>
      <c r="Q268" s="6">
        <v>3</v>
      </c>
      <c r="R268" s="6">
        <v>3</v>
      </c>
      <c r="S268" s="6">
        <v>3</v>
      </c>
      <c r="T268" s="6">
        <v>3</v>
      </c>
      <c r="U268" s="6">
        <v>3</v>
      </c>
      <c r="V268" s="6" t="s">
        <v>2564</v>
      </c>
      <c r="W268" s="5">
        <v>41971</v>
      </c>
      <c r="X268" s="6">
        <v>3</v>
      </c>
      <c r="Y268" s="6">
        <v>3</v>
      </c>
      <c r="Z268" s="6">
        <v>3</v>
      </c>
      <c r="AA268" s="6" t="s">
        <v>178</v>
      </c>
      <c r="AB268" s="6">
        <v>3</v>
      </c>
      <c r="AC268" s="6" t="s">
        <v>180</v>
      </c>
    </row>
    <row r="269" spans="1:29" x14ac:dyDescent="0.25">
      <c r="A269" s="145" t="str">
        <f>HYPERLINK("http://www.ofsted.gov.uk/inspection-reports/find-inspection-report/provider/ELS/53237  ","Ofsted Webpage")</f>
        <v>Ofsted Webpage</v>
      </c>
      <c r="B269" s="151">
        <v>53237</v>
      </c>
      <c r="C269" s="151">
        <v>10004181</v>
      </c>
      <c r="D269" s="46" t="s">
        <v>2694</v>
      </c>
      <c r="E269" s="26" t="s">
        <v>78</v>
      </c>
      <c r="F269" s="26" t="s">
        <v>79</v>
      </c>
      <c r="G269" s="26" t="s">
        <v>997</v>
      </c>
      <c r="H269" s="26" t="s">
        <v>238</v>
      </c>
      <c r="I269" s="26" t="s">
        <v>238</v>
      </c>
      <c r="J269" s="2">
        <v>42895</v>
      </c>
      <c r="K269" s="141">
        <v>1</v>
      </c>
      <c r="L269" s="141" t="s">
        <v>2695</v>
      </c>
      <c r="M269" s="26" t="s">
        <v>333</v>
      </c>
      <c r="N269" s="2">
        <v>41708</v>
      </c>
      <c r="O269" s="2">
        <v>41712</v>
      </c>
      <c r="P269" s="133">
        <v>41745</v>
      </c>
      <c r="Q269" s="6">
        <v>2</v>
      </c>
      <c r="R269" s="6">
        <v>2</v>
      </c>
      <c r="S269" s="6">
        <v>2</v>
      </c>
      <c r="T269" s="120" t="s">
        <v>178</v>
      </c>
      <c r="U269" s="6">
        <v>2</v>
      </c>
      <c r="V269" s="6" t="s">
        <v>2696</v>
      </c>
      <c r="W269" s="5">
        <v>38645</v>
      </c>
      <c r="X269" s="6">
        <v>1</v>
      </c>
      <c r="Y269" s="6" t="s">
        <v>178</v>
      </c>
      <c r="Z269" s="6" t="s">
        <v>178</v>
      </c>
      <c r="AA269" s="6" t="s">
        <v>178</v>
      </c>
      <c r="AB269" s="6">
        <v>1</v>
      </c>
      <c r="AC269" s="6" t="s">
        <v>201</v>
      </c>
    </row>
    <row r="270" spans="1:29" x14ac:dyDescent="0.25">
      <c r="A270" s="145" t="str">
        <f>HYPERLINK("http://www.ofsted.gov.uk/inspection-reports/find-inspection-report/provider/ELS/53259  ","Ofsted Webpage")</f>
        <v>Ofsted Webpage</v>
      </c>
      <c r="B270" s="151">
        <v>53259</v>
      </c>
      <c r="C270" s="151">
        <v>10004223</v>
      </c>
      <c r="D270" s="46" t="s">
        <v>2702</v>
      </c>
      <c r="E270" s="26" t="s">
        <v>78</v>
      </c>
      <c r="F270" s="26" t="s">
        <v>79</v>
      </c>
      <c r="G270" s="26" t="s">
        <v>254</v>
      </c>
      <c r="H270" s="26" t="s">
        <v>193</v>
      </c>
      <c r="I270" s="26" t="s">
        <v>193</v>
      </c>
      <c r="J270" s="2" t="s">
        <v>72</v>
      </c>
      <c r="K270" s="141" t="s">
        <v>72</v>
      </c>
      <c r="L270" s="141">
        <v>10030715</v>
      </c>
      <c r="M270" s="26" t="s">
        <v>211</v>
      </c>
      <c r="N270" s="2">
        <v>42850</v>
      </c>
      <c r="O270" s="2">
        <v>42852</v>
      </c>
      <c r="P270" s="133">
        <v>42877</v>
      </c>
      <c r="Q270" s="6">
        <v>3</v>
      </c>
      <c r="R270" s="6">
        <v>3</v>
      </c>
      <c r="S270" s="6">
        <v>3</v>
      </c>
      <c r="T270" s="6">
        <v>3</v>
      </c>
      <c r="U270" s="6">
        <v>3</v>
      </c>
      <c r="V270" s="6" t="s">
        <v>2703</v>
      </c>
      <c r="W270" s="5">
        <v>41621</v>
      </c>
      <c r="X270" s="6">
        <v>2</v>
      </c>
      <c r="Y270" s="6">
        <v>2</v>
      </c>
      <c r="Z270" s="6">
        <v>2</v>
      </c>
      <c r="AA270" s="6" t="s">
        <v>178</v>
      </c>
      <c r="AB270" s="6">
        <v>2</v>
      </c>
      <c r="AC270" s="6" t="s">
        <v>201</v>
      </c>
    </row>
    <row r="271" spans="1:29" x14ac:dyDescent="0.25">
      <c r="A271" s="145" t="str">
        <f>HYPERLINK("http://www.ofsted.gov.uk/inspection-reports/find-inspection-report/provider/ELS/53268  ","Ofsted Webpage")</f>
        <v>Ofsted Webpage</v>
      </c>
      <c r="B271" s="151">
        <v>53268</v>
      </c>
      <c r="C271" s="151">
        <v>10004240</v>
      </c>
      <c r="D271" s="46" t="s">
        <v>2469</v>
      </c>
      <c r="E271" s="26" t="s">
        <v>78</v>
      </c>
      <c r="F271" s="26" t="s">
        <v>79</v>
      </c>
      <c r="G271" s="26" t="s">
        <v>281</v>
      </c>
      <c r="H271" s="26" t="s">
        <v>193</v>
      </c>
      <c r="I271" s="26" t="s">
        <v>193</v>
      </c>
      <c r="J271" s="2" t="s">
        <v>72</v>
      </c>
      <c r="K271" s="141" t="s">
        <v>72</v>
      </c>
      <c r="L271" s="141">
        <v>10035682</v>
      </c>
      <c r="M271" s="26" t="s">
        <v>211</v>
      </c>
      <c r="N271" s="2">
        <v>42872</v>
      </c>
      <c r="O271" s="2">
        <v>42888</v>
      </c>
      <c r="P271" s="133">
        <v>42921</v>
      </c>
      <c r="Q271" s="6">
        <v>4</v>
      </c>
      <c r="R271" s="6">
        <v>4</v>
      </c>
      <c r="S271" s="6">
        <v>4</v>
      </c>
      <c r="T271" s="6">
        <v>4</v>
      </c>
      <c r="U271" s="6">
        <v>4</v>
      </c>
      <c r="V271" s="6" t="s">
        <v>2470</v>
      </c>
      <c r="W271" s="5">
        <v>41928</v>
      </c>
      <c r="X271" s="6">
        <v>2</v>
      </c>
      <c r="Y271" s="6">
        <v>2</v>
      </c>
      <c r="Z271" s="6">
        <v>2</v>
      </c>
      <c r="AA271" s="6" t="s">
        <v>178</v>
      </c>
      <c r="AB271" s="6">
        <v>2</v>
      </c>
      <c r="AC271" s="6" t="s">
        <v>201</v>
      </c>
    </row>
    <row r="272" spans="1:29" x14ac:dyDescent="0.25">
      <c r="A272" s="145" t="str">
        <f>HYPERLINK("http://www.ofsted.gov.uk/inspection-reports/find-inspection-report/provider/ELS/53280  ","Ofsted Webpage")</f>
        <v>Ofsted Webpage</v>
      </c>
      <c r="B272" s="151">
        <v>53280</v>
      </c>
      <c r="C272" s="151">
        <v>10004257</v>
      </c>
      <c r="D272" s="46" t="s">
        <v>2471</v>
      </c>
      <c r="E272" s="26" t="s">
        <v>78</v>
      </c>
      <c r="F272" s="26" t="s">
        <v>79</v>
      </c>
      <c r="G272" s="26" t="s">
        <v>469</v>
      </c>
      <c r="H272" s="26" t="s">
        <v>187</v>
      </c>
      <c r="I272" s="26" t="s">
        <v>188</v>
      </c>
      <c r="J272" s="2">
        <v>42698</v>
      </c>
      <c r="K272" s="141">
        <v>1</v>
      </c>
      <c r="L272" s="141" t="s">
        <v>2472</v>
      </c>
      <c r="M272" s="26" t="s">
        <v>466</v>
      </c>
      <c r="N272" s="2">
        <v>41254</v>
      </c>
      <c r="O272" s="2">
        <v>41257</v>
      </c>
      <c r="P272" s="133">
        <v>41291</v>
      </c>
      <c r="Q272" s="6">
        <v>2</v>
      </c>
      <c r="R272" s="6">
        <v>2</v>
      </c>
      <c r="S272" s="6">
        <v>2</v>
      </c>
      <c r="T272" s="120" t="s">
        <v>178</v>
      </c>
      <c r="U272" s="6">
        <v>2</v>
      </c>
      <c r="V272" s="6" t="s">
        <v>2473</v>
      </c>
      <c r="W272" s="5">
        <v>40620</v>
      </c>
      <c r="X272" s="6">
        <v>3</v>
      </c>
      <c r="Y272" s="6">
        <v>3</v>
      </c>
      <c r="Z272" s="6">
        <v>2</v>
      </c>
      <c r="AA272" s="6" t="s">
        <v>178</v>
      </c>
      <c r="AB272" s="6">
        <v>3</v>
      </c>
      <c r="AC272" s="6" t="s">
        <v>216</v>
      </c>
    </row>
    <row r="273" spans="1:29" x14ac:dyDescent="0.25">
      <c r="A273" s="145" t="str">
        <f>HYPERLINK("http://www.ofsted.gov.uk/inspection-reports/find-inspection-report/provider/ELS/53281  ","Ofsted Webpage")</f>
        <v>Ofsted Webpage</v>
      </c>
      <c r="B273" s="151">
        <v>53281</v>
      </c>
      <c r="C273" s="151">
        <v>10013073</v>
      </c>
      <c r="D273" s="46" t="s">
        <v>344</v>
      </c>
      <c r="E273" s="26" t="s">
        <v>80</v>
      </c>
      <c r="F273" s="26" t="s">
        <v>79</v>
      </c>
      <c r="G273" s="26" t="s">
        <v>345</v>
      </c>
      <c r="H273" s="26" t="s">
        <v>175</v>
      </c>
      <c r="I273" s="26" t="s">
        <v>175</v>
      </c>
      <c r="J273" s="2" t="s">
        <v>72</v>
      </c>
      <c r="K273" s="141" t="s">
        <v>72</v>
      </c>
      <c r="L273" s="141" t="s">
        <v>346</v>
      </c>
      <c r="M273" s="26" t="s">
        <v>333</v>
      </c>
      <c r="N273" s="2">
        <v>40469</v>
      </c>
      <c r="O273" s="2">
        <v>40473</v>
      </c>
      <c r="P273" s="133">
        <v>40508</v>
      </c>
      <c r="Q273" s="6">
        <v>2</v>
      </c>
      <c r="R273" s="6">
        <v>2</v>
      </c>
      <c r="S273" s="6">
        <v>2</v>
      </c>
      <c r="T273" s="120" t="s">
        <v>178</v>
      </c>
      <c r="U273" s="6">
        <v>2</v>
      </c>
      <c r="V273" s="6" t="s">
        <v>72</v>
      </c>
      <c r="W273" s="5" t="s">
        <v>72</v>
      </c>
      <c r="X273" s="6" t="s">
        <v>72</v>
      </c>
      <c r="Y273" s="6" t="s">
        <v>72</v>
      </c>
      <c r="Z273" s="6" t="s">
        <v>72</v>
      </c>
      <c r="AA273" s="6" t="s">
        <v>72</v>
      </c>
      <c r="AB273" s="6" t="s">
        <v>72</v>
      </c>
      <c r="AC273" s="6" t="s">
        <v>208</v>
      </c>
    </row>
    <row r="274" spans="1:29" x14ac:dyDescent="0.25">
      <c r="A274" s="145" t="str">
        <f>HYPERLINK("http://www.ofsted.gov.uk/inspection-reports/find-inspection-report/provider/ELS/53295  ","Ofsted Webpage")</f>
        <v>Ofsted Webpage</v>
      </c>
      <c r="B274" s="151">
        <v>53295</v>
      </c>
      <c r="C274" s="151">
        <v>10004285</v>
      </c>
      <c r="D274" s="46" t="s">
        <v>301</v>
      </c>
      <c r="E274" s="26" t="s">
        <v>75</v>
      </c>
      <c r="F274" s="26" t="s">
        <v>76</v>
      </c>
      <c r="G274" s="26" t="s">
        <v>302</v>
      </c>
      <c r="H274" s="26" t="s">
        <v>219</v>
      </c>
      <c r="I274" s="26" t="s">
        <v>219</v>
      </c>
      <c r="J274" s="2" t="s">
        <v>72</v>
      </c>
      <c r="K274" s="141" t="s">
        <v>72</v>
      </c>
      <c r="L274" s="141" t="s">
        <v>303</v>
      </c>
      <c r="M274" s="26" t="s">
        <v>304</v>
      </c>
      <c r="N274" s="2">
        <v>42178</v>
      </c>
      <c r="O274" s="2">
        <v>42181</v>
      </c>
      <c r="P274" s="119">
        <v>42213</v>
      </c>
      <c r="Q274" s="6">
        <v>2</v>
      </c>
      <c r="R274" s="6">
        <v>2</v>
      </c>
      <c r="S274" s="6">
        <v>2</v>
      </c>
      <c r="T274" s="120" t="s">
        <v>178</v>
      </c>
      <c r="U274" s="6">
        <v>2</v>
      </c>
      <c r="V274" s="6" t="s">
        <v>305</v>
      </c>
      <c r="W274" s="5">
        <v>41677</v>
      </c>
      <c r="X274" s="6">
        <v>3</v>
      </c>
      <c r="Y274" s="6">
        <v>3</v>
      </c>
      <c r="Z274" s="6">
        <v>3</v>
      </c>
      <c r="AA274" s="6" t="s">
        <v>178</v>
      </c>
      <c r="AB274" s="6">
        <v>3</v>
      </c>
      <c r="AC274" s="6" t="s">
        <v>216</v>
      </c>
    </row>
    <row r="275" spans="1:29" x14ac:dyDescent="0.25">
      <c r="A275" s="145" t="str">
        <f>HYPERLINK("http://www.ofsted.gov.uk/inspection-reports/find-inspection-report/provider/ELS/53305  ","Ofsted Webpage")</f>
        <v>Ofsted Webpage</v>
      </c>
      <c r="B275" s="151">
        <v>53305</v>
      </c>
      <c r="C275" s="151">
        <v>10004303</v>
      </c>
      <c r="D275" s="46" t="s">
        <v>2476</v>
      </c>
      <c r="E275" s="26" t="s">
        <v>78</v>
      </c>
      <c r="F275" s="26" t="s">
        <v>79</v>
      </c>
      <c r="G275" s="26" t="s">
        <v>824</v>
      </c>
      <c r="H275" s="26" t="s">
        <v>238</v>
      </c>
      <c r="I275" s="26" t="s">
        <v>238</v>
      </c>
      <c r="J275" s="2" t="s">
        <v>72</v>
      </c>
      <c r="K275" s="141" t="s">
        <v>72</v>
      </c>
      <c r="L275" s="141">
        <v>10005186</v>
      </c>
      <c r="M275" s="26" t="s">
        <v>199</v>
      </c>
      <c r="N275" s="2">
        <v>42311</v>
      </c>
      <c r="O275" s="2">
        <v>42314</v>
      </c>
      <c r="P275" s="133">
        <v>42347</v>
      </c>
      <c r="Q275" s="6">
        <v>2</v>
      </c>
      <c r="R275" s="6">
        <v>2</v>
      </c>
      <c r="S275" s="6">
        <v>2</v>
      </c>
      <c r="T275" s="6">
        <v>2</v>
      </c>
      <c r="U275" s="6">
        <v>2</v>
      </c>
      <c r="V275" s="6" t="s">
        <v>2477</v>
      </c>
      <c r="W275" s="5">
        <v>41712</v>
      </c>
      <c r="X275" s="6">
        <v>3</v>
      </c>
      <c r="Y275" s="6">
        <v>3</v>
      </c>
      <c r="Z275" s="6">
        <v>3</v>
      </c>
      <c r="AA275" s="6" t="s">
        <v>178</v>
      </c>
      <c r="AB275" s="6">
        <v>3</v>
      </c>
      <c r="AC275" s="6" t="s">
        <v>216</v>
      </c>
    </row>
    <row r="276" spans="1:29" x14ac:dyDescent="0.25">
      <c r="A276" s="145" t="str">
        <f>HYPERLINK("http://www.ofsted.gov.uk/inspection-reports/find-inspection-report/provider/ELS/53314  ","Ofsted Webpage")</f>
        <v>Ofsted Webpage</v>
      </c>
      <c r="B276" s="151">
        <v>53314</v>
      </c>
      <c r="C276" s="151">
        <v>10007214</v>
      </c>
      <c r="D276" s="46" t="s">
        <v>2984</v>
      </c>
      <c r="E276" s="26" t="s">
        <v>78</v>
      </c>
      <c r="F276" s="26" t="s">
        <v>79</v>
      </c>
      <c r="G276" s="26" t="s">
        <v>247</v>
      </c>
      <c r="H276" s="26" t="s">
        <v>238</v>
      </c>
      <c r="I276" s="26" t="s">
        <v>238</v>
      </c>
      <c r="J276" s="2" t="s">
        <v>72</v>
      </c>
      <c r="K276" s="141" t="s">
        <v>72</v>
      </c>
      <c r="L276" s="141" t="s">
        <v>2985</v>
      </c>
      <c r="M276" s="26" t="s">
        <v>445</v>
      </c>
      <c r="N276" s="2">
        <v>38800</v>
      </c>
      <c r="O276" s="2">
        <v>38800</v>
      </c>
      <c r="P276" s="133">
        <v>38842</v>
      </c>
      <c r="Q276" s="6" t="s">
        <v>178</v>
      </c>
      <c r="R276" s="6" t="s">
        <v>178</v>
      </c>
      <c r="S276" s="6" t="s">
        <v>178</v>
      </c>
      <c r="T276" s="6" t="s">
        <v>178</v>
      </c>
      <c r="U276" s="6" t="s">
        <v>178</v>
      </c>
      <c r="V276" s="6" t="s">
        <v>72</v>
      </c>
      <c r="W276" s="5" t="s">
        <v>72</v>
      </c>
      <c r="X276" s="6" t="s">
        <v>72</v>
      </c>
      <c r="Y276" s="6" t="s">
        <v>72</v>
      </c>
      <c r="Z276" s="6" t="s">
        <v>72</v>
      </c>
      <c r="AA276" s="6" t="s">
        <v>72</v>
      </c>
      <c r="AB276" s="6" t="s">
        <v>72</v>
      </c>
      <c r="AC276" s="6" t="s">
        <v>208</v>
      </c>
    </row>
    <row r="277" spans="1:29" x14ac:dyDescent="0.25">
      <c r="A277" s="145" t="str">
        <f>HYPERLINK("http://www.ofsted.gov.uk/inspection-reports/find-inspection-report/provider/ELS/53325  ","Ofsted Webpage")</f>
        <v>Ofsted Webpage</v>
      </c>
      <c r="B277" s="151">
        <v>53325</v>
      </c>
      <c r="C277" s="151">
        <v>10003996</v>
      </c>
      <c r="D277" s="46" t="s">
        <v>306</v>
      </c>
      <c r="E277" s="26" t="s">
        <v>75</v>
      </c>
      <c r="F277" s="26" t="s">
        <v>76</v>
      </c>
      <c r="G277" s="26" t="s">
        <v>307</v>
      </c>
      <c r="H277" s="26" t="s">
        <v>175</v>
      </c>
      <c r="I277" s="26" t="s">
        <v>175</v>
      </c>
      <c r="J277" s="2" t="s">
        <v>72</v>
      </c>
      <c r="K277" s="141" t="s">
        <v>72</v>
      </c>
      <c r="L277" s="141">
        <v>10037413</v>
      </c>
      <c r="M277" s="26" t="s">
        <v>562</v>
      </c>
      <c r="N277" s="2">
        <v>43052</v>
      </c>
      <c r="O277" s="2">
        <v>43055</v>
      </c>
      <c r="P277" s="133">
        <v>43091</v>
      </c>
      <c r="Q277" s="6">
        <v>3</v>
      </c>
      <c r="R277" s="6">
        <v>3</v>
      </c>
      <c r="S277" s="6">
        <v>3</v>
      </c>
      <c r="T277" s="6">
        <v>2</v>
      </c>
      <c r="U277" s="6">
        <v>3</v>
      </c>
      <c r="V277" s="6">
        <v>10004968</v>
      </c>
      <c r="W277" s="5">
        <v>42328</v>
      </c>
      <c r="X277" s="6">
        <v>3</v>
      </c>
      <c r="Y277" s="6">
        <v>3</v>
      </c>
      <c r="Z277" s="6">
        <v>3</v>
      </c>
      <c r="AA277" s="6">
        <v>3</v>
      </c>
      <c r="AB277" s="6">
        <v>3</v>
      </c>
      <c r="AC277" s="6" t="s">
        <v>180</v>
      </c>
    </row>
    <row r="278" spans="1:29" x14ac:dyDescent="0.25">
      <c r="A278" s="145" t="str">
        <f>HYPERLINK("http://www.ofsted.gov.uk/inspection-reports/find-inspection-report/provider/ELS/53330  ","Ofsted Webpage")</f>
        <v>Ofsted Webpage</v>
      </c>
      <c r="B278" s="151">
        <v>53330</v>
      </c>
      <c r="C278" s="151">
        <v>10004319</v>
      </c>
      <c r="D278" s="46" t="s">
        <v>1456</v>
      </c>
      <c r="E278" s="26" t="s">
        <v>77</v>
      </c>
      <c r="F278" s="26" t="s">
        <v>76</v>
      </c>
      <c r="G278" s="26" t="s">
        <v>230</v>
      </c>
      <c r="H278" s="26" t="s">
        <v>187</v>
      </c>
      <c r="I278" s="26" t="s">
        <v>188</v>
      </c>
      <c r="J278" s="2" t="s">
        <v>72</v>
      </c>
      <c r="K278" s="141" t="s">
        <v>72</v>
      </c>
      <c r="L278" s="141">
        <v>10005140</v>
      </c>
      <c r="M278" s="26" t="s">
        <v>475</v>
      </c>
      <c r="N278" s="2">
        <v>42689</v>
      </c>
      <c r="O278" s="2">
        <v>42692</v>
      </c>
      <c r="P278" s="133">
        <v>42725</v>
      </c>
      <c r="Q278" s="6">
        <v>2</v>
      </c>
      <c r="R278" s="6">
        <v>2</v>
      </c>
      <c r="S278" s="6">
        <v>2</v>
      </c>
      <c r="T278" s="6">
        <v>2</v>
      </c>
      <c r="U278" s="6">
        <v>2</v>
      </c>
      <c r="V278" s="6" t="s">
        <v>1457</v>
      </c>
      <c r="W278" s="5">
        <v>42048</v>
      </c>
      <c r="X278" s="6">
        <v>3</v>
      </c>
      <c r="Y278" s="6">
        <v>3</v>
      </c>
      <c r="Z278" s="6">
        <v>3</v>
      </c>
      <c r="AA278" s="6" t="s">
        <v>178</v>
      </c>
      <c r="AB278" s="6">
        <v>3</v>
      </c>
      <c r="AC278" s="6" t="s">
        <v>216</v>
      </c>
    </row>
    <row r="279" spans="1:29" x14ac:dyDescent="0.25">
      <c r="A279" s="145" t="str">
        <f>HYPERLINK("http://www.ofsted.gov.uk/inspection-reports/find-inspection-report/provider/ELS/53349  ","Ofsted Webpage")</f>
        <v>Ofsted Webpage</v>
      </c>
      <c r="B279" s="151">
        <v>53349</v>
      </c>
      <c r="C279" s="151">
        <v>10012892</v>
      </c>
      <c r="D279" s="46" t="s">
        <v>1054</v>
      </c>
      <c r="E279" s="26" t="s">
        <v>78</v>
      </c>
      <c r="F279" s="26" t="s">
        <v>79</v>
      </c>
      <c r="G279" s="26" t="s">
        <v>348</v>
      </c>
      <c r="H279" s="26" t="s">
        <v>238</v>
      </c>
      <c r="I279" s="26" t="s">
        <v>238</v>
      </c>
      <c r="J279" s="2">
        <v>42628</v>
      </c>
      <c r="K279" s="141">
        <v>1</v>
      </c>
      <c r="L279" s="141" t="s">
        <v>1055</v>
      </c>
      <c r="M279" s="26" t="s">
        <v>333</v>
      </c>
      <c r="N279" s="2">
        <v>40791</v>
      </c>
      <c r="O279" s="2">
        <v>40794</v>
      </c>
      <c r="P279" s="133">
        <v>40826</v>
      </c>
      <c r="Q279" s="6">
        <v>2</v>
      </c>
      <c r="R279" s="6">
        <v>2</v>
      </c>
      <c r="S279" s="6">
        <v>2</v>
      </c>
      <c r="T279" s="120" t="s">
        <v>178</v>
      </c>
      <c r="U279" s="6">
        <v>2</v>
      </c>
      <c r="V279" s="6" t="s">
        <v>1056</v>
      </c>
      <c r="W279" s="5">
        <v>39038</v>
      </c>
      <c r="X279" s="6">
        <v>2</v>
      </c>
      <c r="Y279" s="6" t="s">
        <v>178</v>
      </c>
      <c r="Z279" s="6" t="s">
        <v>178</v>
      </c>
      <c r="AA279" s="6" t="s">
        <v>178</v>
      </c>
      <c r="AB279" s="6">
        <v>2</v>
      </c>
      <c r="AC279" s="6" t="s">
        <v>180</v>
      </c>
    </row>
    <row r="280" spans="1:29" x14ac:dyDescent="0.25">
      <c r="A280" s="145" t="str">
        <f>HYPERLINK("http://www.ofsted.gov.uk/inspection-reports/find-inspection-report/provider/ELS/53373  ","Ofsted Webpage")</f>
        <v>Ofsted Webpage</v>
      </c>
      <c r="B280" s="151">
        <v>53373</v>
      </c>
      <c r="C280" s="151">
        <v>10004355</v>
      </c>
      <c r="D280" s="46" t="s">
        <v>1058</v>
      </c>
      <c r="E280" s="26" t="s">
        <v>78</v>
      </c>
      <c r="F280" s="26" t="s">
        <v>79</v>
      </c>
      <c r="G280" s="26" t="s">
        <v>276</v>
      </c>
      <c r="H280" s="26" t="s">
        <v>193</v>
      </c>
      <c r="I280" s="26" t="s">
        <v>193</v>
      </c>
      <c r="J280" s="2">
        <v>42908</v>
      </c>
      <c r="K280" s="141">
        <v>1</v>
      </c>
      <c r="L280" s="141" t="s">
        <v>1059</v>
      </c>
      <c r="M280" s="26" t="s">
        <v>333</v>
      </c>
      <c r="N280" s="2">
        <v>41596</v>
      </c>
      <c r="O280" s="2">
        <v>41600</v>
      </c>
      <c r="P280" s="119">
        <v>41627</v>
      </c>
      <c r="Q280" s="6">
        <v>2</v>
      </c>
      <c r="R280" s="6">
        <v>2</v>
      </c>
      <c r="S280" s="6">
        <v>2</v>
      </c>
      <c r="T280" s="120" t="s">
        <v>178</v>
      </c>
      <c r="U280" s="6">
        <v>2</v>
      </c>
      <c r="V280" s="6" t="s">
        <v>1060</v>
      </c>
      <c r="W280" s="5">
        <v>39521</v>
      </c>
      <c r="X280" s="6">
        <v>1</v>
      </c>
      <c r="Y280" s="6">
        <v>1</v>
      </c>
      <c r="Z280" s="6">
        <v>2</v>
      </c>
      <c r="AA280" s="6" t="s">
        <v>178</v>
      </c>
      <c r="AB280" s="6">
        <v>1</v>
      </c>
      <c r="AC280" s="6" t="s">
        <v>201</v>
      </c>
    </row>
    <row r="281" spans="1:29" x14ac:dyDescent="0.25">
      <c r="A281" s="145" t="str">
        <f>HYPERLINK("http://www.ofsted.gov.uk/inspection-reports/find-inspection-report/provider/ELS/53388  ","Ofsted Webpage")</f>
        <v>Ofsted Webpage</v>
      </c>
      <c r="B281" s="151">
        <v>53388</v>
      </c>
      <c r="C281" s="151">
        <v>10004370</v>
      </c>
      <c r="D281" s="46" t="s">
        <v>2633</v>
      </c>
      <c r="E281" s="26" t="s">
        <v>78</v>
      </c>
      <c r="F281" s="26" t="s">
        <v>79</v>
      </c>
      <c r="G281" s="26" t="s">
        <v>265</v>
      </c>
      <c r="H281" s="26" t="s">
        <v>204</v>
      </c>
      <c r="I281" s="26" t="s">
        <v>188</v>
      </c>
      <c r="J281" s="2">
        <v>42915</v>
      </c>
      <c r="K281" s="141">
        <v>1</v>
      </c>
      <c r="L281" s="141" t="s">
        <v>2634</v>
      </c>
      <c r="M281" s="26" t="s">
        <v>466</v>
      </c>
      <c r="N281" s="2">
        <v>41443</v>
      </c>
      <c r="O281" s="2">
        <v>41446</v>
      </c>
      <c r="P281" s="133">
        <v>41479</v>
      </c>
      <c r="Q281" s="6">
        <v>2</v>
      </c>
      <c r="R281" s="6">
        <v>2</v>
      </c>
      <c r="S281" s="6">
        <v>2</v>
      </c>
      <c r="T281" s="120" t="s">
        <v>178</v>
      </c>
      <c r="U281" s="6">
        <v>2</v>
      </c>
      <c r="V281" s="6" t="s">
        <v>2635</v>
      </c>
      <c r="W281" s="5">
        <v>40606</v>
      </c>
      <c r="X281" s="6">
        <v>3</v>
      </c>
      <c r="Y281" s="6">
        <v>3</v>
      </c>
      <c r="Z281" s="6">
        <v>3</v>
      </c>
      <c r="AA281" s="6" t="s">
        <v>178</v>
      </c>
      <c r="AB281" s="6">
        <v>3</v>
      </c>
      <c r="AC281" s="6" t="s">
        <v>216</v>
      </c>
    </row>
    <row r="282" spans="1:29" x14ac:dyDescent="0.25">
      <c r="A282" s="145" t="str">
        <f>HYPERLINK("http://www.ofsted.gov.uk/inspection-reports/find-inspection-report/provider/ELS/53392  ","Ofsted Webpage")</f>
        <v>Ofsted Webpage</v>
      </c>
      <c r="B282" s="151">
        <v>53392</v>
      </c>
      <c r="C282" s="151">
        <v>10004374</v>
      </c>
      <c r="D282" s="46" t="s">
        <v>1458</v>
      </c>
      <c r="E282" s="26" t="s">
        <v>77</v>
      </c>
      <c r="F282" s="26" t="s">
        <v>76</v>
      </c>
      <c r="G282" s="26" t="s">
        <v>733</v>
      </c>
      <c r="H282" s="26" t="s">
        <v>219</v>
      </c>
      <c r="I282" s="26" t="s">
        <v>219</v>
      </c>
      <c r="J282" s="2" t="s">
        <v>72</v>
      </c>
      <c r="K282" s="141" t="s">
        <v>72</v>
      </c>
      <c r="L282" s="141" t="s">
        <v>1459</v>
      </c>
      <c r="M282" s="26" t="s">
        <v>342</v>
      </c>
      <c r="N282" s="2">
        <v>41799</v>
      </c>
      <c r="O282" s="2">
        <v>41802</v>
      </c>
      <c r="P282" s="133">
        <v>41837</v>
      </c>
      <c r="Q282" s="6">
        <v>2</v>
      </c>
      <c r="R282" s="6">
        <v>2</v>
      </c>
      <c r="S282" s="6">
        <v>2</v>
      </c>
      <c r="T282" s="120" t="s">
        <v>178</v>
      </c>
      <c r="U282" s="6">
        <v>2</v>
      </c>
      <c r="V282" s="6" t="s">
        <v>1460</v>
      </c>
      <c r="W282" s="5">
        <v>41256</v>
      </c>
      <c r="X282" s="6">
        <v>3</v>
      </c>
      <c r="Y282" s="6">
        <v>3</v>
      </c>
      <c r="Z282" s="6">
        <v>3</v>
      </c>
      <c r="AA282" s="6" t="s">
        <v>178</v>
      </c>
      <c r="AB282" s="6">
        <v>3</v>
      </c>
      <c r="AC282" s="6" t="s">
        <v>216</v>
      </c>
    </row>
    <row r="283" spans="1:29" x14ac:dyDescent="0.25">
      <c r="A283" s="145" t="str">
        <f>HYPERLINK("http://www.ofsted.gov.uk/inspection-reports/find-inspection-report/provider/ELS/53403  ","Ofsted Webpage")</f>
        <v>Ofsted Webpage</v>
      </c>
      <c r="B283" s="151">
        <v>53403</v>
      </c>
      <c r="C283" s="151">
        <v>10024055</v>
      </c>
      <c r="D283" s="46" t="s">
        <v>2942</v>
      </c>
      <c r="E283" s="26" t="s">
        <v>75</v>
      </c>
      <c r="F283" s="26" t="s">
        <v>76</v>
      </c>
      <c r="G283" s="26" t="s">
        <v>324</v>
      </c>
      <c r="H283" s="26" t="s">
        <v>214</v>
      </c>
      <c r="I283" s="26" t="s">
        <v>214</v>
      </c>
      <c r="J283" s="2" t="s">
        <v>72</v>
      </c>
      <c r="K283" s="141" t="s">
        <v>72</v>
      </c>
      <c r="L283" s="141" t="s">
        <v>2943</v>
      </c>
      <c r="M283" s="26" t="s">
        <v>2944</v>
      </c>
      <c r="N283" s="2">
        <v>39129</v>
      </c>
      <c r="O283" s="2">
        <v>39129</v>
      </c>
      <c r="P283" s="133">
        <v>39233</v>
      </c>
      <c r="Q283" s="6">
        <v>2</v>
      </c>
      <c r="R283" s="6" t="s">
        <v>178</v>
      </c>
      <c r="S283" s="6" t="s">
        <v>178</v>
      </c>
      <c r="T283" s="120" t="s">
        <v>178</v>
      </c>
      <c r="U283" s="6">
        <v>2</v>
      </c>
      <c r="V283" s="6" t="s">
        <v>72</v>
      </c>
      <c r="W283" s="5" t="s">
        <v>72</v>
      </c>
      <c r="X283" s="6" t="s">
        <v>72</v>
      </c>
      <c r="Y283" s="6" t="s">
        <v>72</v>
      </c>
      <c r="Z283" s="6" t="s">
        <v>72</v>
      </c>
      <c r="AA283" s="6" t="s">
        <v>72</v>
      </c>
      <c r="AB283" s="6" t="s">
        <v>72</v>
      </c>
      <c r="AC283" s="6" t="s">
        <v>208</v>
      </c>
    </row>
    <row r="284" spans="1:29" x14ac:dyDescent="0.25">
      <c r="A284" s="145" t="str">
        <f>HYPERLINK("http://www.ofsted.gov.uk/inspection-reports/find-inspection-report/provider/ELS/53404  ","Ofsted Webpage")</f>
        <v>Ofsted Webpage</v>
      </c>
      <c r="B284" s="151">
        <v>53404</v>
      </c>
      <c r="C284" s="151">
        <v>10004399</v>
      </c>
      <c r="D284" s="46" t="s">
        <v>966</v>
      </c>
      <c r="E284" s="26" t="s">
        <v>80</v>
      </c>
      <c r="F284" s="26" t="s">
        <v>79</v>
      </c>
      <c r="G284" s="26" t="s">
        <v>967</v>
      </c>
      <c r="H284" s="26" t="s">
        <v>193</v>
      </c>
      <c r="I284" s="26" t="s">
        <v>193</v>
      </c>
      <c r="J284" s="2">
        <v>42383</v>
      </c>
      <c r="K284" s="141">
        <v>1</v>
      </c>
      <c r="L284" s="141" t="s">
        <v>968</v>
      </c>
      <c r="M284" s="26" t="s">
        <v>445</v>
      </c>
      <c r="N284" s="2">
        <v>41142</v>
      </c>
      <c r="O284" s="2">
        <v>41145</v>
      </c>
      <c r="P284" s="133">
        <v>41183</v>
      </c>
      <c r="Q284" s="6">
        <v>2</v>
      </c>
      <c r="R284" s="6">
        <v>2</v>
      </c>
      <c r="S284" s="6">
        <v>2</v>
      </c>
      <c r="T284" s="120" t="s">
        <v>178</v>
      </c>
      <c r="U284" s="6">
        <v>2</v>
      </c>
      <c r="V284" s="6" t="s">
        <v>969</v>
      </c>
      <c r="W284" s="5">
        <v>39346</v>
      </c>
      <c r="X284" s="6">
        <v>2</v>
      </c>
      <c r="Y284" s="6">
        <v>2</v>
      </c>
      <c r="Z284" s="6">
        <v>2</v>
      </c>
      <c r="AA284" s="6" t="s">
        <v>178</v>
      </c>
      <c r="AB284" s="6">
        <v>2</v>
      </c>
      <c r="AC284" s="6" t="s">
        <v>180</v>
      </c>
    </row>
    <row r="285" spans="1:29" x14ac:dyDescent="0.25">
      <c r="A285" s="145" t="str">
        <f>HYPERLINK("http://www.ofsted.gov.uk/inspection-reports/find-inspection-report/provider/ELS/53407  ","Ofsted Webpage")</f>
        <v>Ofsted Webpage</v>
      </c>
      <c r="B285" s="151">
        <v>53407</v>
      </c>
      <c r="C285" s="151">
        <v>10004404</v>
      </c>
      <c r="D285" s="46" t="s">
        <v>1061</v>
      </c>
      <c r="E285" s="26" t="s">
        <v>78</v>
      </c>
      <c r="F285" s="26" t="s">
        <v>79</v>
      </c>
      <c r="G285" s="26" t="s">
        <v>319</v>
      </c>
      <c r="H285" s="26" t="s">
        <v>204</v>
      </c>
      <c r="I285" s="26" t="s">
        <v>188</v>
      </c>
      <c r="J285" s="2" t="s">
        <v>72</v>
      </c>
      <c r="K285" s="141" t="s">
        <v>72</v>
      </c>
      <c r="L285" s="141">
        <v>10004970</v>
      </c>
      <c r="M285" s="26" t="s">
        <v>211</v>
      </c>
      <c r="N285" s="2">
        <v>42444</v>
      </c>
      <c r="O285" s="2">
        <v>42447</v>
      </c>
      <c r="P285" s="133">
        <v>42482</v>
      </c>
      <c r="Q285" s="6">
        <v>2</v>
      </c>
      <c r="R285" s="6">
        <v>2</v>
      </c>
      <c r="S285" s="6">
        <v>2</v>
      </c>
      <c r="T285" s="6">
        <v>2</v>
      </c>
      <c r="U285" s="6">
        <v>2</v>
      </c>
      <c r="V285" s="6" t="s">
        <v>1062</v>
      </c>
      <c r="W285" s="5">
        <v>41292</v>
      </c>
      <c r="X285" s="6">
        <v>2</v>
      </c>
      <c r="Y285" s="6">
        <v>2</v>
      </c>
      <c r="Z285" s="6">
        <v>2</v>
      </c>
      <c r="AA285" s="6" t="s">
        <v>178</v>
      </c>
      <c r="AB285" s="6">
        <v>2</v>
      </c>
      <c r="AC285" s="6" t="s">
        <v>180</v>
      </c>
    </row>
    <row r="286" spans="1:29" x14ac:dyDescent="0.25">
      <c r="A286" s="145" t="str">
        <f>HYPERLINK("http://www.ofsted.gov.uk/inspection-reports/find-inspection-report/provider/ELS/53411  ","Ofsted Webpage")</f>
        <v>Ofsted Webpage</v>
      </c>
      <c r="B286" s="151">
        <v>53411</v>
      </c>
      <c r="C286" s="151">
        <v>10004406</v>
      </c>
      <c r="D286" s="46" t="s">
        <v>1063</v>
      </c>
      <c r="E286" s="26" t="s">
        <v>78</v>
      </c>
      <c r="F286" s="26" t="s">
        <v>79</v>
      </c>
      <c r="G286" s="26" t="s">
        <v>247</v>
      </c>
      <c r="H286" s="26" t="s">
        <v>238</v>
      </c>
      <c r="I286" s="26" t="s">
        <v>238</v>
      </c>
      <c r="J286" s="2" t="s">
        <v>72</v>
      </c>
      <c r="K286" s="141" t="s">
        <v>72</v>
      </c>
      <c r="L286" s="141" t="s">
        <v>1064</v>
      </c>
      <c r="M286" s="26" t="s">
        <v>445</v>
      </c>
      <c r="N286" s="2">
        <v>40092</v>
      </c>
      <c r="O286" s="2">
        <v>40095</v>
      </c>
      <c r="P286" s="133">
        <v>40136</v>
      </c>
      <c r="Q286" s="6">
        <v>2</v>
      </c>
      <c r="R286" s="6">
        <v>2</v>
      </c>
      <c r="S286" s="6">
        <v>2</v>
      </c>
      <c r="T286" s="120" t="s">
        <v>178</v>
      </c>
      <c r="U286" s="6">
        <v>2</v>
      </c>
      <c r="V286" s="6" t="s">
        <v>72</v>
      </c>
      <c r="W286" s="5" t="s">
        <v>72</v>
      </c>
      <c r="X286" s="6" t="s">
        <v>72</v>
      </c>
      <c r="Y286" s="6" t="s">
        <v>72</v>
      </c>
      <c r="Z286" s="6" t="s">
        <v>72</v>
      </c>
      <c r="AA286" s="6" t="s">
        <v>72</v>
      </c>
      <c r="AB286" s="6" t="s">
        <v>72</v>
      </c>
      <c r="AC286" s="6" t="s">
        <v>208</v>
      </c>
    </row>
    <row r="287" spans="1:29" x14ac:dyDescent="0.25">
      <c r="A287" s="145" t="str">
        <f>HYPERLINK("http://www.ofsted.gov.uk/inspection-reports/find-inspection-report/provider/ELS/53422  ","Ofsted Webpage")</f>
        <v>Ofsted Webpage</v>
      </c>
      <c r="B287" s="151">
        <v>53422</v>
      </c>
      <c r="C287" s="151">
        <v>10004434</v>
      </c>
      <c r="D287" s="46" t="s">
        <v>185</v>
      </c>
      <c r="E287" s="26" t="s">
        <v>77</v>
      </c>
      <c r="F287" s="26" t="s">
        <v>76</v>
      </c>
      <c r="G287" s="26" t="s">
        <v>186</v>
      </c>
      <c r="H287" s="26" t="s">
        <v>187</v>
      </c>
      <c r="I287" s="26" t="s">
        <v>188</v>
      </c>
      <c r="J287" s="2" t="s">
        <v>72</v>
      </c>
      <c r="K287" s="141" t="s">
        <v>72</v>
      </c>
      <c r="L287" s="141">
        <v>10022480</v>
      </c>
      <c r="M287" s="26" t="s">
        <v>189</v>
      </c>
      <c r="N287" s="2">
        <v>42990</v>
      </c>
      <c r="O287" s="2">
        <v>42993</v>
      </c>
      <c r="P287" s="133">
        <v>43019</v>
      </c>
      <c r="Q287" s="6">
        <v>2</v>
      </c>
      <c r="R287" s="6">
        <v>2</v>
      </c>
      <c r="S287" s="6">
        <v>2</v>
      </c>
      <c r="T287" s="6">
        <v>2</v>
      </c>
      <c r="U287" s="6">
        <v>2</v>
      </c>
      <c r="V287" s="6" t="s">
        <v>190</v>
      </c>
      <c r="W287" s="5">
        <v>41929</v>
      </c>
      <c r="X287" s="6">
        <v>2</v>
      </c>
      <c r="Y287" s="6">
        <v>2</v>
      </c>
      <c r="Z287" s="6">
        <v>2</v>
      </c>
      <c r="AA287" s="6" t="s">
        <v>178</v>
      </c>
      <c r="AB287" s="6">
        <v>2</v>
      </c>
      <c r="AC287" s="6" t="s">
        <v>180</v>
      </c>
    </row>
    <row r="288" spans="1:29" x14ac:dyDescent="0.25">
      <c r="A288" s="145" t="str">
        <f>HYPERLINK("http://www.ofsted.gov.uk/inspection-reports/find-inspection-report/provider/ELS/53429  ","Ofsted Webpage")</f>
        <v>Ofsted Webpage</v>
      </c>
      <c r="B288" s="151">
        <v>53429</v>
      </c>
      <c r="C288" s="151">
        <v>10004440</v>
      </c>
      <c r="D288" s="46" t="s">
        <v>2691</v>
      </c>
      <c r="E288" s="26" t="s">
        <v>78</v>
      </c>
      <c r="F288" s="26" t="s">
        <v>79</v>
      </c>
      <c r="G288" s="26" t="s">
        <v>421</v>
      </c>
      <c r="H288" s="26" t="s">
        <v>219</v>
      </c>
      <c r="I288" s="26" t="s">
        <v>219</v>
      </c>
      <c r="J288" s="2" t="s">
        <v>72</v>
      </c>
      <c r="K288" s="141" t="s">
        <v>72</v>
      </c>
      <c r="L288" s="141">
        <v>10022522</v>
      </c>
      <c r="M288" s="26" t="s">
        <v>183</v>
      </c>
      <c r="N288" s="2">
        <v>42808</v>
      </c>
      <c r="O288" s="2">
        <v>42811</v>
      </c>
      <c r="P288" s="133">
        <v>42837</v>
      </c>
      <c r="Q288" s="6">
        <v>2</v>
      </c>
      <c r="R288" s="6">
        <v>2</v>
      </c>
      <c r="S288" s="6">
        <v>2</v>
      </c>
      <c r="T288" s="6">
        <v>2</v>
      </c>
      <c r="U288" s="6">
        <v>2</v>
      </c>
      <c r="V288" s="6" t="s">
        <v>2692</v>
      </c>
      <c r="W288" s="5">
        <v>41684</v>
      </c>
      <c r="X288" s="6">
        <v>2</v>
      </c>
      <c r="Y288" s="6">
        <v>2</v>
      </c>
      <c r="Z288" s="6">
        <v>2</v>
      </c>
      <c r="AA288" s="6" t="s">
        <v>178</v>
      </c>
      <c r="AB288" s="6">
        <v>2</v>
      </c>
      <c r="AC288" s="6" t="s">
        <v>180</v>
      </c>
    </row>
    <row r="289" spans="1:29" x14ac:dyDescent="0.25">
      <c r="A289" s="145" t="str">
        <f>HYPERLINK("http://www.ofsted.gov.uk/inspection-reports/find-inspection-report/provider/ELS/53432  ","Ofsted Webpage")</f>
        <v>Ofsted Webpage</v>
      </c>
      <c r="B289" s="151">
        <v>53432</v>
      </c>
      <c r="C289" s="151">
        <v>10004450</v>
      </c>
      <c r="D289" s="46" t="s">
        <v>1922</v>
      </c>
      <c r="E289" s="26" t="s">
        <v>85</v>
      </c>
      <c r="F289" s="26" t="s">
        <v>86</v>
      </c>
      <c r="G289" s="26" t="s">
        <v>546</v>
      </c>
      <c r="H289" s="26" t="s">
        <v>175</v>
      </c>
      <c r="I289" s="26" t="s">
        <v>175</v>
      </c>
      <c r="J289" s="2" t="s">
        <v>72</v>
      </c>
      <c r="K289" s="141" t="s">
        <v>72</v>
      </c>
      <c r="L289" s="141">
        <v>10004971</v>
      </c>
      <c r="M289" s="26" t="s">
        <v>605</v>
      </c>
      <c r="N289" s="2">
        <v>42284</v>
      </c>
      <c r="O289" s="2">
        <v>42285</v>
      </c>
      <c r="P289" s="133">
        <v>42319</v>
      </c>
      <c r="Q289" s="6">
        <v>1</v>
      </c>
      <c r="R289" s="6">
        <v>1</v>
      </c>
      <c r="S289" s="6">
        <v>1</v>
      </c>
      <c r="T289" s="6">
        <v>1</v>
      </c>
      <c r="U289" s="6">
        <v>2</v>
      </c>
      <c r="V289" s="6" t="s">
        <v>1923</v>
      </c>
      <c r="W289" s="5">
        <v>40703</v>
      </c>
      <c r="X289" s="6" t="s">
        <v>178</v>
      </c>
      <c r="Y289" s="6" t="s">
        <v>178</v>
      </c>
      <c r="Z289" s="6" t="s">
        <v>178</v>
      </c>
      <c r="AA289" s="6" t="s">
        <v>178</v>
      </c>
      <c r="AB289" s="6" t="s">
        <v>178</v>
      </c>
      <c r="AC289" s="6" t="s">
        <v>208</v>
      </c>
    </row>
    <row r="290" spans="1:29" x14ac:dyDescent="0.25">
      <c r="A290" s="145" t="str">
        <f>HYPERLINK("http://www.ofsted.gov.uk/inspection-reports/find-inspection-report/provider/ELS/53446  ","Ofsted Webpage")</f>
        <v>Ofsted Webpage</v>
      </c>
      <c r="B290" s="151">
        <v>53446</v>
      </c>
      <c r="C290" s="151">
        <v>10004484</v>
      </c>
      <c r="D290" s="46" t="s">
        <v>2272</v>
      </c>
      <c r="E290" s="26" t="s">
        <v>78</v>
      </c>
      <c r="F290" s="26" t="s">
        <v>79</v>
      </c>
      <c r="G290" s="26" t="s">
        <v>421</v>
      </c>
      <c r="H290" s="26" t="s">
        <v>219</v>
      </c>
      <c r="I290" s="26" t="s">
        <v>219</v>
      </c>
      <c r="J290" s="2" t="s">
        <v>72</v>
      </c>
      <c r="K290" s="141" t="s">
        <v>72</v>
      </c>
      <c r="L290" s="141">
        <v>10004972</v>
      </c>
      <c r="M290" s="26" t="s">
        <v>211</v>
      </c>
      <c r="N290" s="2">
        <v>42353</v>
      </c>
      <c r="O290" s="2">
        <v>42356</v>
      </c>
      <c r="P290" s="133">
        <v>42384</v>
      </c>
      <c r="Q290" s="6">
        <v>2</v>
      </c>
      <c r="R290" s="6">
        <v>2</v>
      </c>
      <c r="S290" s="6">
        <v>2</v>
      </c>
      <c r="T290" s="6">
        <v>2</v>
      </c>
      <c r="U290" s="6">
        <v>2</v>
      </c>
      <c r="V290" s="6" t="s">
        <v>2273</v>
      </c>
      <c r="W290" s="5">
        <v>39037</v>
      </c>
      <c r="X290" s="6">
        <v>3</v>
      </c>
      <c r="Y290" s="6" t="s">
        <v>178</v>
      </c>
      <c r="Z290" s="6" t="s">
        <v>178</v>
      </c>
      <c r="AA290" s="6" t="s">
        <v>178</v>
      </c>
      <c r="AB290" s="6">
        <v>3</v>
      </c>
      <c r="AC290" s="6" t="s">
        <v>216</v>
      </c>
    </row>
    <row r="291" spans="1:29" x14ac:dyDescent="0.25">
      <c r="A291" s="145" t="str">
        <f>HYPERLINK("http://www.ofsted.gov.uk/inspection-reports/find-inspection-report/provider/ELS/53451  ","Ofsted Webpage")</f>
        <v>Ofsted Webpage</v>
      </c>
      <c r="B291" s="151">
        <v>53451</v>
      </c>
      <c r="C291" s="151">
        <v>10004499</v>
      </c>
      <c r="D291" s="46" t="s">
        <v>2274</v>
      </c>
      <c r="E291" s="26" t="s">
        <v>78</v>
      </c>
      <c r="F291" s="26" t="s">
        <v>79</v>
      </c>
      <c r="G291" s="26" t="s">
        <v>461</v>
      </c>
      <c r="H291" s="26" t="s">
        <v>187</v>
      </c>
      <c r="I291" s="26" t="s">
        <v>188</v>
      </c>
      <c r="J291" s="2">
        <v>42446</v>
      </c>
      <c r="K291" s="141">
        <v>1</v>
      </c>
      <c r="L291" s="141" t="s">
        <v>2275</v>
      </c>
      <c r="M291" s="26" t="s">
        <v>445</v>
      </c>
      <c r="N291" s="2">
        <v>40071</v>
      </c>
      <c r="O291" s="2">
        <v>40074</v>
      </c>
      <c r="P291" s="133">
        <v>40137</v>
      </c>
      <c r="Q291" s="6">
        <v>2</v>
      </c>
      <c r="R291" s="6">
        <v>2</v>
      </c>
      <c r="S291" s="6">
        <v>2</v>
      </c>
      <c r="T291" s="120" t="s">
        <v>178</v>
      </c>
      <c r="U291" s="6">
        <v>2</v>
      </c>
      <c r="V291" s="6" t="s">
        <v>72</v>
      </c>
      <c r="W291" s="5" t="s">
        <v>72</v>
      </c>
      <c r="X291" s="6" t="s">
        <v>72</v>
      </c>
      <c r="Y291" s="6" t="s">
        <v>72</v>
      </c>
      <c r="Z291" s="6" t="s">
        <v>72</v>
      </c>
      <c r="AA291" s="6" t="s">
        <v>72</v>
      </c>
      <c r="AB291" s="6" t="s">
        <v>72</v>
      </c>
      <c r="AC291" s="6" t="s">
        <v>208</v>
      </c>
    </row>
    <row r="292" spans="1:29" x14ac:dyDescent="0.25">
      <c r="A292" s="145" t="str">
        <f>HYPERLINK("http://www.ofsted.gov.uk/inspection-reports/find-inspection-report/provider/ELS/53457  ","Ofsted Webpage")</f>
        <v>Ofsted Webpage</v>
      </c>
      <c r="B292" s="151">
        <v>53457</v>
      </c>
      <c r="C292" s="151">
        <v>10004512</v>
      </c>
      <c r="D292" s="46" t="s">
        <v>1191</v>
      </c>
      <c r="E292" s="26" t="s">
        <v>80</v>
      </c>
      <c r="F292" s="26" t="s">
        <v>79</v>
      </c>
      <c r="G292" s="26" t="s">
        <v>331</v>
      </c>
      <c r="H292" s="26" t="s">
        <v>214</v>
      </c>
      <c r="I292" s="26" t="s">
        <v>214</v>
      </c>
      <c r="J292" s="2" t="s">
        <v>72</v>
      </c>
      <c r="K292" s="141" t="s">
        <v>72</v>
      </c>
      <c r="L292" s="141">
        <v>10020177</v>
      </c>
      <c r="M292" s="26" t="s">
        <v>183</v>
      </c>
      <c r="N292" s="2">
        <v>42689</v>
      </c>
      <c r="O292" s="2">
        <v>42692</v>
      </c>
      <c r="P292" s="133">
        <v>42732</v>
      </c>
      <c r="Q292" s="6">
        <v>1</v>
      </c>
      <c r="R292" s="6">
        <v>1</v>
      </c>
      <c r="S292" s="6">
        <v>1</v>
      </c>
      <c r="T292" s="6">
        <v>1</v>
      </c>
      <c r="U292" s="6">
        <v>1</v>
      </c>
      <c r="V292" s="6" t="s">
        <v>1192</v>
      </c>
      <c r="W292" s="5">
        <v>40200</v>
      </c>
      <c r="X292" s="6">
        <v>1</v>
      </c>
      <c r="Y292" s="6">
        <v>1</v>
      </c>
      <c r="Z292" s="6">
        <v>1</v>
      </c>
      <c r="AA292" s="6" t="s">
        <v>178</v>
      </c>
      <c r="AB292" s="6">
        <v>1</v>
      </c>
      <c r="AC292" s="6" t="s">
        <v>180</v>
      </c>
    </row>
    <row r="293" spans="1:29" x14ac:dyDescent="0.25">
      <c r="A293" s="145" t="str">
        <f>HYPERLINK("http://www.ofsted.gov.uk/inspection-reports/find-inspection-report/provider/ELS/53465  ","Ofsted Webpage")</f>
        <v>Ofsted Webpage</v>
      </c>
      <c r="B293" s="151">
        <v>53465</v>
      </c>
      <c r="C293" s="151">
        <v>10004530</v>
      </c>
      <c r="D293" s="46" t="s">
        <v>1193</v>
      </c>
      <c r="E293" s="26" t="s">
        <v>80</v>
      </c>
      <c r="F293" s="26" t="s">
        <v>79</v>
      </c>
      <c r="G293" s="26" t="s">
        <v>608</v>
      </c>
      <c r="H293" s="26" t="s">
        <v>238</v>
      </c>
      <c r="I293" s="26" t="s">
        <v>238</v>
      </c>
      <c r="J293" s="2">
        <v>42437</v>
      </c>
      <c r="K293" s="141">
        <v>1</v>
      </c>
      <c r="L293" s="141" t="s">
        <v>1194</v>
      </c>
      <c r="M293" s="26" t="s">
        <v>445</v>
      </c>
      <c r="N293" s="2">
        <v>40190</v>
      </c>
      <c r="O293" s="2">
        <v>40193</v>
      </c>
      <c r="P293" s="133">
        <v>40234</v>
      </c>
      <c r="Q293" s="6">
        <v>2</v>
      </c>
      <c r="R293" s="6">
        <v>2</v>
      </c>
      <c r="S293" s="6">
        <v>3</v>
      </c>
      <c r="T293" s="120" t="s">
        <v>178</v>
      </c>
      <c r="U293" s="6">
        <v>2</v>
      </c>
      <c r="V293" s="6" t="s">
        <v>72</v>
      </c>
      <c r="W293" s="5" t="s">
        <v>72</v>
      </c>
      <c r="X293" s="6" t="s">
        <v>72</v>
      </c>
      <c r="Y293" s="6" t="s">
        <v>72</v>
      </c>
      <c r="Z293" s="6" t="s">
        <v>72</v>
      </c>
      <c r="AA293" s="6" t="s">
        <v>72</v>
      </c>
      <c r="AB293" s="6" t="s">
        <v>72</v>
      </c>
      <c r="AC293" s="6" t="s">
        <v>208</v>
      </c>
    </row>
    <row r="294" spans="1:29" x14ac:dyDescent="0.25">
      <c r="A294" s="145" t="str">
        <f>HYPERLINK("http://www.ofsted.gov.uk/inspection-reports/find-inspection-report/provider/ELS/53504  ","Ofsted Webpage")</f>
        <v>Ofsted Webpage</v>
      </c>
      <c r="B294" s="151">
        <v>53504</v>
      </c>
      <c r="C294" s="151">
        <v>10004601</v>
      </c>
      <c r="D294" s="46" t="s">
        <v>318</v>
      </c>
      <c r="E294" s="26" t="s">
        <v>75</v>
      </c>
      <c r="F294" s="26" t="s">
        <v>76</v>
      </c>
      <c r="G294" s="26" t="s">
        <v>319</v>
      </c>
      <c r="H294" s="26" t="s">
        <v>204</v>
      </c>
      <c r="I294" s="26" t="s">
        <v>188</v>
      </c>
      <c r="J294" s="2" t="s">
        <v>72</v>
      </c>
      <c r="K294" s="141" t="s">
        <v>72</v>
      </c>
      <c r="L294" s="141" t="s">
        <v>320</v>
      </c>
      <c r="M294" s="26" t="s">
        <v>321</v>
      </c>
      <c r="N294" s="2">
        <v>41778</v>
      </c>
      <c r="O294" s="2">
        <v>41782</v>
      </c>
      <c r="P294" s="133">
        <v>41815</v>
      </c>
      <c r="Q294" s="6">
        <v>2</v>
      </c>
      <c r="R294" s="6">
        <v>2</v>
      </c>
      <c r="S294" s="6">
        <v>2</v>
      </c>
      <c r="T294" s="120" t="s">
        <v>178</v>
      </c>
      <c r="U294" s="6">
        <v>2</v>
      </c>
      <c r="V294" s="6" t="s">
        <v>322</v>
      </c>
      <c r="W294" s="5">
        <v>39948</v>
      </c>
      <c r="X294" s="6">
        <v>2</v>
      </c>
      <c r="Y294" s="6">
        <v>2</v>
      </c>
      <c r="Z294" s="6">
        <v>2</v>
      </c>
      <c r="AA294" s="6" t="s">
        <v>178</v>
      </c>
      <c r="AB294" s="6">
        <v>2</v>
      </c>
      <c r="AC294" s="6" t="s">
        <v>180</v>
      </c>
    </row>
    <row r="295" spans="1:29" x14ac:dyDescent="0.25">
      <c r="A295" s="145" t="str">
        <f>HYPERLINK("http://www.ofsted.gov.uk/inspection-reports/find-inspection-report/provider/ELS/53508  ","Ofsted Webpage")</f>
        <v>Ofsted Webpage</v>
      </c>
      <c r="B295" s="151">
        <v>53508</v>
      </c>
      <c r="C295" s="151">
        <v>10004609</v>
      </c>
      <c r="D295" s="46" t="s">
        <v>1465</v>
      </c>
      <c r="E295" s="26" t="s">
        <v>77</v>
      </c>
      <c r="F295" s="26" t="s">
        <v>76</v>
      </c>
      <c r="G295" s="26" t="s">
        <v>291</v>
      </c>
      <c r="H295" s="26" t="s">
        <v>175</v>
      </c>
      <c r="I295" s="26" t="s">
        <v>175</v>
      </c>
      <c r="J295" s="2">
        <v>42677</v>
      </c>
      <c r="K295" s="141">
        <v>1</v>
      </c>
      <c r="L295" s="141" t="s">
        <v>1466</v>
      </c>
      <c r="M295" s="26" t="s">
        <v>549</v>
      </c>
      <c r="N295" s="2">
        <v>41318</v>
      </c>
      <c r="O295" s="2">
        <v>41320</v>
      </c>
      <c r="P295" s="133">
        <v>41355</v>
      </c>
      <c r="Q295" s="6">
        <v>2</v>
      </c>
      <c r="R295" s="6">
        <v>2</v>
      </c>
      <c r="S295" s="6">
        <v>2</v>
      </c>
      <c r="T295" s="120" t="s">
        <v>178</v>
      </c>
      <c r="U295" s="6">
        <v>1</v>
      </c>
      <c r="V295" s="6" t="s">
        <v>1467</v>
      </c>
      <c r="W295" s="5">
        <v>40137</v>
      </c>
      <c r="X295" s="6">
        <v>3</v>
      </c>
      <c r="Y295" s="6">
        <v>3</v>
      </c>
      <c r="Z295" s="6">
        <v>2</v>
      </c>
      <c r="AA295" s="6" t="s">
        <v>178</v>
      </c>
      <c r="AB295" s="6">
        <v>2</v>
      </c>
      <c r="AC295" s="6" t="s">
        <v>216</v>
      </c>
    </row>
    <row r="296" spans="1:29" x14ac:dyDescent="0.25">
      <c r="A296" s="145" t="str">
        <f>HYPERLINK("http://www.ofsted.gov.uk/inspection-reports/find-inspection-report/provider/ELS/53533  ","Ofsted Webpage")</f>
        <v>Ofsted Webpage</v>
      </c>
      <c r="B296" s="151">
        <v>53533</v>
      </c>
      <c r="C296" s="151">
        <v>10026702</v>
      </c>
      <c r="D296" s="46" t="s">
        <v>264</v>
      </c>
      <c r="E296" s="26" t="s">
        <v>80</v>
      </c>
      <c r="F296" s="26" t="s">
        <v>79</v>
      </c>
      <c r="G296" s="26" t="s">
        <v>265</v>
      </c>
      <c r="H296" s="26" t="s">
        <v>204</v>
      </c>
      <c r="I296" s="26" t="s">
        <v>188</v>
      </c>
      <c r="J296" s="2" t="s">
        <v>72</v>
      </c>
      <c r="K296" s="141" t="s">
        <v>72</v>
      </c>
      <c r="L296" s="141" t="s">
        <v>72</v>
      </c>
      <c r="M296" s="26" t="s">
        <v>72</v>
      </c>
      <c r="N296" s="2" t="s">
        <v>72</v>
      </c>
      <c r="O296" s="2" t="s">
        <v>72</v>
      </c>
      <c r="P296" s="133" t="s">
        <v>72</v>
      </c>
      <c r="Q296" s="6" t="s">
        <v>72</v>
      </c>
      <c r="R296" s="6" t="s">
        <v>72</v>
      </c>
      <c r="S296" s="6" t="s">
        <v>72</v>
      </c>
      <c r="T296" s="6" t="s">
        <v>72</v>
      </c>
      <c r="U296" s="6" t="s">
        <v>72</v>
      </c>
      <c r="V296" s="6" t="s">
        <v>72</v>
      </c>
      <c r="W296" s="5" t="s">
        <v>72</v>
      </c>
      <c r="X296" s="6" t="s">
        <v>72</v>
      </c>
      <c r="Y296" s="6" t="s">
        <v>72</v>
      </c>
      <c r="Z296" s="6" t="s">
        <v>72</v>
      </c>
      <c r="AA296" s="6" t="s">
        <v>72</v>
      </c>
      <c r="AB296" s="6" t="s">
        <v>72</v>
      </c>
      <c r="AC296" s="6" t="s">
        <v>72</v>
      </c>
    </row>
    <row r="297" spans="1:29" x14ac:dyDescent="0.25">
      <c r="A297" s="145" t="str">
        <f>HYPERLINK("http://www.ofsted.gov.uk/inspection-reports/find-inspection-report/provider/ELS/53534  ","Ofsted Webpage")</f>
        <v>Ofsted Webpage</v>
      </c>
      <c r="B297" s="151">
        <v>53534</v>
      </c>
      <c r="C297" s="151">
        <v>10004643</v>
      </c>
      <c r="D297" s="46" t="s">
        <v>2279</v>
      </c>
      <c r="E297" s="26" t="s">
        <v>78</v>
      </c>
      <c r="F297" s="26" t="s">
        <v>79</v>
      </c>
      <c r="G297" s="26" t="s">
        <v>504</v>
      </c>
      <c r="H297" s="26" t="s">
        <v>214</v>
      </c>
      <c r="I297" s="26" t="s">
        <v>214</v>
      </c>
      <c r="J297" s="2">
        <v>42712</v>
      </c>
      <c r="K297" s="141">
        <v>1</v>
      </c>
      <c r="L297" s="141" t="s">
        <v>2280</v>
      </c>
      <c r="M297" s="26" t="s">
        <v>333</v>
      </c>
      <c r="N297" s="2">
        <v>41254</v>
      </c>
      <c r="O297" s="2">
        <v>41257</v>
      </c>
      <c r="P297" s="133">
        <v>41297</v>
      </c>
      <c r="Q297" s="6">
        <v>2</v>
      </c>
      <c r="R297" s="6">
        <v>2</v>
      </c>
      <c r="S297" s="6">
        <v>2</v>
      </c>
      <c r="T297" s="120" t="s">
        <v>178</v>
      </c>
      <c r="U297" s="6">
        <v>2</v>
      </c>
      <c r="V297" s="6" t="s">
        <v>2281</v>
      </c>
      <c r="W297" s="5">
        <v>40417</v>
      </c>
      <c r="X297" s="6">
        <v>2</v>
      </c>
      <c r="Y297" s="6">
        <v>2</v>
      </c>
      <c r="Z297" s="6">
        <v>2</v>
      </c>
      <c r="AA297" s="6" t="s">
        <v>178</v>
      </c>
      <c r="AB297" s="6">
        <v>2</v>
      </c>
      <c r="AC297" s="6" t="s">
        <v>180</v>
      </c>
    </row>
    <row r="298" spans="1:29" x14ac:dyDescent="0.25">
      <c r="A298" s="145" t="str">
        <f>HYPERLINK("http://www.ofsted.gov.uk/inspection-reports/find-inspection-report/provider/ELS/53535  ","Ofsted Webpage")</f>
        <v>Ofsted Webpage</v>
      </c>
      <c r="B298" s="151">
        <v>53535</v>
      </c>
      <c r="C298" s="151">
        <v>10004645</v>
      </c>
      <c r="D298" s="46" t="s">
        <v>1468</v>
      </c>
      <c r="E298" s="26" t="s">
        <v>77</v>
      </c>
      <c r="F298" s="26" t="s">
        <v>76</v>
      </c>
      <c r="G298" s="26" t="s">
        <v>324</v>
      </c>
      <c r="H298" s="26" t="s">
        <v>214</v>
      </c>
      <c r="I298" s="26" t="s">
        <v>214</v>
      </c>
      <c r="J298" s="2" t="s">
        <v>72</v>
      </c>
      <c r="K298" s="141" t="s">
        <v>72</v>
      </c>
      <c r="L298" s="141">
        <v>10037356</v>
      </c>
      <c r="M298" s="26" t="s">
        <v>189</v>
      </c>
      <c r="N298" s="2">
        <v>43039</v>
      </c>
      <c r="O298" s="2">
        <v>43042</v>
      </c>
      <c r="P298" s="133">
        <v>43081</v>
      </c>
      <c r="Q298" s="6">
        <v>4</v>
      </c>
      <c r="R298" s="6">
        <v>4</v>
      </c>
      <c r="S298" s="6">
        <v>4</v>
      </c>
      <c r="T298" s="6">
        <v>4</v>
      </c>
      <c r="U298" s="6">
        <v>4</v>
      </c>
      <c r="V298" s="6" t="s">
        <v>1469</v>
      </c>
      <c r="W298" s="5">
        <v>41775</v>
      </c>
      <c r="X298" s="6">
        <v>2</v>
      </c>
      <c r="Y298" s="6">
        <v>2</v>
      </c>
      <c r="Z298" s="6">
        <v>2</v>
      </c>
      <c r="AA298" s="6" t="s">
        <v>178</v>
      </c>
      <c r="AB298" s="6">
        <v>2</v>
      </c>
      <c r="AC298" s="6" t="s">
        <v>201</v>
      </c>
    </row>
    <row r="299" spans="1:29" x14ac:dyDescent="0.25">
      <c r="A299" s="145" t="str">
        <f>HYPERLINK("http://www.ofsted.gov.uk/inspection-reports/find-inspection-report/provider/ELS/53545  ","Ofsted Webpage")</f>
        <v>Ofsted Webpage</v>
      </c>
      <c r="B299" s="151">
        <v>53545</v>
      </c>
      <c r="C299" s="151">
        <v>10004657</v>
      </c>
      <c r="D299" s="46" t="s">
        <v>312</v>
      </c>
      <c r="E299" s="26" t="s">
        <v>75</v>
      </c>
      <c r="F299" s="26" t="s">
        <v>76</v>
      </c>
      <c r="G299" s="26" t="s">
        <v>296</v>
      </c>
      <c r="H299" s="26" t="s">
        <v>287</v>
      </c>
      <c r="I299" s="26" t="s">
        <v>287</v>
      </c>
      <c r="J299" s="2" t="s">
        <v>72</v>
      </c>
      <c r="K299" s="141" t="s">
        <v>72</v>
      </c>
      <c r="L299" s="141">
        <v>10011497</v>
      </c>
      <c r="M299" s="26" t="s">
        <v>313</v>
      </c>
      <c r="N299" s="2">
        <v>42478</v>
      </c>
      <c r="O299" s="2">
        <v>42481</v>
      </c>
      <c r="P299" s="133">
        <v>42513</v>
      </c>
      <c r="Q299" s="6">
        <v>2</v>
      </c>
      <c r="R299" s="6">
        <v>2</v>
      </c>
      <c r="S299" s="6">
        <v>2</v>
      </c>
      <c r="T299" s="6">
        <v>2</v>
      </c>
      <c r="U299" s="6">
        <v>2</v>
      </c>
      <c r="V299" s="6" t="s">
        <v>314</v>
      </c>
      <c r="W299" s="5">
        <v>42027</v>
      </c>
      <c r="X299" s="6">
        <v>4</v>
      </c>
      <c r="Y299" s="6">
        <v>3</v>
      </c>
      <c r="Z299" s="6">
        <v>3</v>
      </c>
      <c r="AA299" s="6" t="s">
        <v>178</v>
      </c>
      <c r="AB299" s="6">
        <v>4</v>
      </c>
      <c r="AC299" s="6" t="s">
        <v>216</v>
      </c>
    </row>
    <row r="300" spans="1:29" x14ac:dyDescent="0.25">
      <c r="A300" s="145" t="str">
        <f>HYPERLINK("http://www.ofsted.gov.uk/inspection-reports/find-inspection-report/provider/ELS/53565  ","Ofsted Webpage")</f>
        <v>Ofsted Webpage</v>
      </c>
      <c r="B300" s="151">
        <v>53565</v>
      </c>
      <c r="C300" s="151">
        <v>10003256</v>
      </c>
      <c r="D300" s="46" t="s">
        <v>1476</v>
      </c>
      <c r="E300" s="26" t="s">
        <v>77</v>
      </c>
      <c r="F300" s="26" t="s">
        <v>76</v>
      </c>
      <c r="G300" s="26" t="s">
        <v>802</v>
      </c>
      <c r="H300" s="26" t="s">
        <v>198</v>
      </c>
      <c r="I300" s="26" t="s">
        <v>198</v>
      </c>
      <c r="J300" s="2" t="s">
        <v>72</v>
      </c>
      <c r="K300" s="141" t="s">
        <v>72</v>
      </c>
      <c r="L300" s="141" t="s">
        <v>1477</v>
      </c>
      <c r="M300" s="26" t="s">
        <v>342</v>
      </c>
      <c r="N300" s="2">
        <v>42157</v>
      </c>
      <c r="O300" s="2">
        <v>42160</v>
      </c>
      <c r="P300" s="133">
        <v>42195</v>
      </c>
      <c r="Q300" s="6">
        <v>2</v>
      </c>
      <c r="R300" s="6">
        <v>2</v>
      </c>
      <c r="S300" s="6">
        <v>2</v>
      </c>
      <c r="T300" s="120" t="s">
        <v>178</v>
      </c>
      <c r="U300" s="6">
        <v>2</v>
      </c>
      <c r="V300" s="6" t="s">
        <v>1478</v>
      </c>
      <c r="W300" s="5">
        <v>41691</v>
      </c>
      <c r="X300" s="6">
        <v>3</v>
      </c>
      <c r="Y300" s="6">
        <v>3</v>
      </c>
      <c r="Z300" s="6">
        <v>3</v>
      </c>
      <c r="AA300" s="6" t="s">
        <v>178</v>
      </c>
      <c r="AB300" s="6">
        <v>3</v>
      </c>
      <c r="AC300" s="6" t="s">
        <v>216</v>
      </c>
    </row>
    <row r="301" spans="1:29" x14ac:dyDescent="0.25">
      <c r="A301" s="145" t="str">
        <f>HYPERLINK("http://www.ofsted.gov.uk/inspection-reports/find-inspection-report/provider/ELS/53574  ","Ofsted Webpage")</f>
        <v>Ofsted Webpage</v>
      </c>
      <c r="B301" s="151">
        <v>53574</v>
      </c>
      <c r="C301" s="151">
        <v>10004547</v>
      </c>
      <c r="D301" s="46" t="s">
        <v>202</v>
      </c>
      <c r="E301" s="26" t="s">
        <v>78</v>
      </c>
      <c r="F301" s="26" t="s">
        <v>79</v>
      </c>
      <c r="G301" s="26" t="s">
        <v>203</v>
      </c>
      <c r="H301" s="26" t="s">
        <v>204</v>
      </c>
      <c r="I301" s="26" t="s">
        <v>188</v>
      </c>
      <c r="J301" s="2">
        <v>42991</v>
      </c>
      <c r="K301" s="141">
        <v>1</v>
      </c>
      <c r="L301" s="141" t="s">
        <v>207</v>
      </c>
      <c r="M301" s="26" t="s">
        <v>342</v>
      </c>
      <c r="N301" s="2">
        <v>41814</v>
      </c>
      <c r="O301" s="2">
        <v>41817</v>
      </c>
      <c r="P301" s="133">
        <v>41850</v>
      </c>
      <c r="Q301" s="6">
        <v>2</v>
      </c>
      <c r="R301" s="6">
        <v>2</v>
      </c>
      <c r="S301" s="6">
        <v>2</v>
      </c>
      <c r="T301" s="120" t="s">
        <v>178</v>
      </c>
      <c r="U301" s="6">
        <v>2</v>
      </c>
      <c r="V301" s="6" t="s">
        <v>2284</v>
      </c>
      <c r="W301" s="5">
        <v>41215</v>
      </c>
      <c r="X301" s="6">
        <v>3</v>
      </c>
      <c r="Y301" s="6">
        <v>3</v>
      </c>
      <c r="Z301" s="6">
        <v>3</v>
      </c>
      <c r="AA301" s="6" t="s">
        <v>178</v>
      </c>
      <c r="AB301" s="6">
        <v>3</v>
      </c>
      <c r="AC301" s="6" t="s">
        <v>216</v>
      </c>
    </row>
    <row r="302" spans="1:29" x14ac:dyDescent="0.25">
      <c r="A302" s="145" t="str">
        <f>HYPERLINK("http://www.ofsted.gov.uk/inspection-reports/find-inspection-report/provider/ELS/53575  ","Ofsted Webpage")</f>
        <v>Ofsted Webpage</v>
      </c>
      <c r="B302" s="151">
        <v>53575</v>
      </c>
      <c r="C302" s="151">
        <v>10004684</v>
      </c>
      <c r="D302" s="46" t="s">
        <v>697</v>
      </c>
      <c r="E302" s="26" t="s">
        <v>75</v>
      </c>
      <c r="F302" s="26" t="s">
        <v>76</v>
      </c>
      <c r="G302" s="26" t="s">
        <v>391</v>
      </c>
      <c r="H302" s="26" t="s">
        <v>187</v>
      </c>
      <c r="I302" s="26" t="s">
        <v>188</v>
      </c>
      <c r="J302" s="2" t="s">
        <v>72</v>
      </c>
      <c r="K302" s="141" t="s">
        <v>72</v>
      </c>
      <c r="L302" s="141">
        <v>10019054</v>
      </c>
      <c r="M302" s="26" t="s">
        <v>547</v>
      </c>
      <c r="N302" s="2">
        <v>42710</v>
      </c>
      <c r="O302" s="2">
        <v>42713</v>
      </c>
      <c r="P302" s="133">
        <v>42755</v>
      </c>
      <c r="Q302" s="6">
        <v>3</v>
      </c>
      <c r="R302" s="6">
        <v>3</v>
      </c>
      <c r="S302" s="6">
        <v>3</v>
      </c>
      <c r="T302" s="6">
        <v>3</v>
      </c>
      <c r="U302" s="6">
        <v>3</v>
      </c>
      <c r="V302" s="6" t="s">
        <v>698</v>
      </c>
      <c r="W302" s="5">
        <v>42125</v>
      </c>
      <c r="X302" s="6">
        <v>3</v>
      </c>
      <c r="Y302" s="6">
        <v>3</v>
      </c>
      <c r="Z302" s="6">
        <v>3</v>
      </c>
      <c r="AA302" s="6" t="s">
        <v>178</v>
      </c>
      <c r="AB302" s="6">
        <v>3</v>
      </c>
      <c r="AC302" s="6" t="s">
        <v>180</v>
      </c>
    </row>
    <row r="303" spans="1:29" x14ac:dyDescent="0.25">
      <c r="A303" s="145" t="str">
        <f>HYPERLINK("http://www.ofsted.gov.uk/inspection-reports/find-inspection-report/provider/ELS/53588  ","Ofsted Webpage")</f>
        <v>Ofsted Webpage</v>
      </c>
      <c r="B303" s="151">
        <v>53588</v>
      </c>
      <c r="C303" s="151">
        <v>10004692</v>
      </c>
      <c r="D303" s="46" t="s">
        <v>2185</v>
      </c>
      <c r="E303" s="26" t="s">
        <v>78</v>
      </c>
      <c r="F303" s="26" t="s">
        <v>79</v>
      </c>
      <c r="G303" s="26" t="s">
        <v>851</v>
      </c>
      <c r="H303" s="26" t="s">
        <v>238</v>
      </c>
      <c r="I303" s="26" t="s">
        <v>238</v>
      </c>
      <c r="J303" s="2" t="s">
        <v>72</v>
      </c>
      <c r="K303" s="141" t="s">
        <v>72</v>
      </c>
      <c r="L303" s="141">
        <v>10004979</v>
      </c>
      <c r="M303" s="26" t="s">
        <v>183</v>
      </c>
      <c r="N303" s="2">
        <v>42318</v>
      </c>
      <c r="O303" s="2">
        <v>42321</v>
      </c>
      <c r="P303" s="119">
        <v>42349</v>
      </c>
      <c r="Q303" s="6">
        <v>2</v>
      </c>
      <c r="R303" s="6">
        <v>2</v>
      </c>
      <c r="S303" s="6">
        <v>2</v>
      </c>
      <c r="T303" s="6">
        <v>2</v>
      </c>
      <c r="U303" s="6">
        <v>2</v>
      </c>
      <c r="V303" s="6" t="s">
        <v>2186</v>
      </c>
      <c r="W303" s="5">
        <v>41117</v>
      </c>
      <c r="X303" s="6">
        <v>2</v>
      </c>
      <c r="Y303" s="6">
        <v>2</v>
      </c>
      <c r="Z303" s="6">
        <v>2</v>
      </c>
      <c r="AA303" s="6" t="s">
        <v>178</v>
      </c>
      <c r="AB303" s="6">
        <v>2</v>
      </c>
      <c r="AC303" s="6" t="s">
        <v>180</v>
      </c>
    </row>
    <row r="304" spans="1:29" x14ac:dyDescent="0.25">
      <c r="A304" s="145" t="str">
        <f>HYPERLINK("http://www.ofsted.gov.uk/inspection-reports/find-inspection-report/provider/ELS/53589  ","Ofsted Webpage")</f>
        <v>Ofsted Webpage</v>
      </c>
      <c r="B304" s="151">
        <v>53589</v>
      </c>
      <c r="C304" s="151">
        <v>10004694</v>
      </c>
      <c r="D304" s="46" t="s">
        <v>699</v>
      </c>
      <c r="E304" s="26" t="s">
        <v>75</v>
      </c>
      <c r="F304" s="26" t="s">
        <v>76</v>
      </c>
      <c r="G304" s="26" t="s">
        <v>396</v>
      </c>
      <c r="H304" s="26" t="s">
        <v>187</v>
      </c>
      <c r="I304" s="26" t="s">
        <v>188</v>
      </c>
      <c r="J304" s="2" t="s">
        <v>72</v>
      </c>
      <c r="K304" s="141" t="s">
        <v>72</v>
      </c>
      <c r="L304" s="141">
        <v>10011498</v>
      </c>
      <c r="M304" s="26" t="s">
        <v>308</v>
      </c>
      <c r="N304" s="2">
        <v>42535</v>
      </c>
      <c r="O304" s="2">
        <v>42538</v>
      </c>
      <c r="P304" s="133">
        <v>42573</v>
      </c>
      <c r="Q304" s="6">
        <v>2</v>
      </c>
      <c r="R304" s="6">
        <v>2</v>
      </c>
      <c r="S304" s="6">
        <v>2</v>
      </c>
      <c r="T304" s="6">
        <v>2</v>
      </c>
      <c r="U304" s="6">
        <v>2</v>
      </c>
      <c r="V304" s="6" t="s">
        <v>700</v>
      </c>
      <c r="W304" s="5">
        <v>41355</v>
      </c>
      <c r="X304" s="6">
        <v>2</v>
      </c>
      <c r="Y304" s="6">
        <v>2</v>
      </c>
      <c r="Z304" s="6">
        <v>2</v>
      </c>
      <c r="AA304" s="6" t="s">
        <v>178</v>
      </c>
      <c r="AB304" s="6">
        <v>2</v>
      </c>
      <c r="AC304" s="6" t="s">
        <v>180</v>
      </c>
    </row>
    <row r="305" spans="1:29" x14ac:dyDescent="0.25">
      <c r="A305" s="145" t="str">
        <f>HYPERLINK("http://www.ofsted.gov.uk/inspection-reports/find-inspection-report/provider/ELS/53603  ","Ofsted Webpage")</f>
        <v>Ofsted Webpage</v>
      </c>
      <c r="B305" s="151">
        <v>53603</v>
      </c>
      <c r="C305" s="151">
        <v>10004714</v>
      </c>
      <c r="D305" s="46" t="s">
        <v>701</v>
      </c>
      <c r="E305" s="26" t="s">
        <v>75</v>
      </c>
      <c r="F305" s="26" t="s">
        <v>76</v>
      </c>
      <c r="G305" s="26" t="s">
        <v>203</v>
      </c>
      <c r="H305" s="26" t="s">
        <v>204</v>
      </c>
      <c r="I305" s="26" t="s">
        <v>188</v>
      </c>
      <c r="J305" s="2" t="s">
        <v>72</v>
      </c>
      <c r="K305" s="141" t="s">
        <v>72</v>
      </c>
      <c r="L305" s="141" t="s">
        <v>702</v>
      </c>
      <c r="M305" s="26" t="s">
        <v>333</v>
      </c>
      <c r="N305" s="2">
        <v>41407</v>
      </c>
      <c r="O305" s="2">
        <v>41411</v>
      </c>
      <c r="P305" s="133">
        <v>41445</v>
      </c>
      <c r="Q305" s="6">
        <v>2</v>
      </c>
      <c r="R305" s="6">
        <v>2</v>
      </c>
      <c r="S305" s="6">
        <v>2</v>
      </c>
      <c r="T305" s="120" t="s">
        <v>178</v>
      </c>
      <c r="U305" s="6">
        <v>2</v>
      </c>
      <c r="V305" s="6" t="s">
        <v>703</v>
      </c>
      <c r="W305" s="5">
        <v>39507</v>
      </c>
      <c r="X305" s="6">
        <v>2</v>
      </c>
      <c r="Y305" s="6">
        <v>2</v>
      </c>
      <c r="Z305" s="6">
        <v>2</v>
      </c>
      <c r="AA305" s="6" t="s">
        <v>178</v>
      </c>
      <c r="AB305" s="6">
        <v>2</v>
      </c>
      <c r="AC305" s="6" t="s">
        <v>180</v>
      </c>
    </row>
    <row r="306" spans="1:29" x14ac:dyDescent="0.25">
      <c r="A306" s="145" t="str">
        <f>HYPERLINK("http://www.ofsted.gov.uk/inspection-reports/find-inspection-report/provider/ELS/53611  ","Ofsted Webpage")</f>
        <v>Ofsted Webpage</v>
      </c>
      <c r="B306" s="151">
        <v>53611</v>
      </c>
      <c r="C306" s="151">
        <v>10004720</v>
      </c>
      <c r="D306" s="46" t="s">
        <v>2187</v>
      </c>
      <c r="E306" s="26" t="s">
        <v>78</v>
      </c>
      <c r="F306" s="26" t="s">
        <v>79</v>
      </c>
      <c r="G306" s="26" t="s">
        <v>247</v>
      </c>
      <c r="H306" s="26" t="s">
        <v>238</v>
      </c>
      <c r="I306" s="26" t="s">
        <v>238</v>
      </c>
      <c r="J306" s="2">
        <v>42572</v>
      </c>
      <c r="K306" s="141">
        <v>1</v>
      </c>
      <c r="L306" s="141" t="s">
        <v>2188</v>
      </c>
      <c r="M306" s="26" t="s">
        <v>466</v>
      </c>
      <c r="N306" s="2">
        <v>41428</v>
      </c>
      <c r="O306" s="2">
        <v>41432</v>
      </c>
      <c r="P306" s="133">
        <v>41463</v>
      </c>
      <c r="Q306" s="6">
        <v>2</v>
      </c>
      <c r="R306" s="6">
        <v>2</v>
      </c>
      <c r="S306" s="6">
        <v>2</v>
      </c>
      <c r="T306" s="120" t="s">
        <v>178</v>
      </c>
      <c r="U306" s="6">
        <v>2</v>
      </c>
      <c r="V306" s="6" t="s">
        <v>2189</v>
      </c>
      <c r="W306" s="5">
        <v>40221</v>
      </c>
      <c r="X306" s="6">
        <v>3</v>
      </c>
      <c r="Y306" s="6">
        <v>3</v>
      </c>
      <c r="Z306" s="6">
        <v>3</v>
      </c>
      <c r="AA306" s="6" t="s">
        <v>178</v>
      </c>
      <c r="AB306" s="6">
        <v>3</v>
      </c>
      <c r="AC306" s="6" t="s">
        <v>216</v>
      </c>
    </row>
    <row r="307" spans="1:29" x14ac:dyDescent="0.25">
      <c r="A307" s="145" t="str">
        <f>HYPERLINK("http://www.ofsted.gov.uk/inspection-reports/find-inspection-report/provider/ELS/53615  ","Ofsted Webpage")</f>
        <v>Ofsted Webpage</v>
      </c>
      <c r="B307" s="151">
        <v>53615</v>
      </c>
      <c r="C307" s="151">
        <v>10004723</v>
      </c>
      <c r="D307" s="46" t="s">
        <v>990</v>
      </c>
      <c r="E307" s="26" t="s">
        <v>77</v>
      </c>
      <c r="F307" s="26" t="s">
        <v>76</v>
      </c>
      <c r="G307" s="26" t="s">
        <v>237</v>
      </c>
      <c r="H307" s="26" t="s">
        <v>238</v>
      </c>
      <c r="I307" s="26" t="s">
        <v>238</v>
      </c>
      <c r="J307" s="2">
        <v>43041</v>
      </c>
      <c r="K307" s="141">
        <v>1</v>
      </c>
      <c r="L307" s="141" t="s">
        <v>991</v>
      </c>
      <c r="M307" s="26" t="s">
        <v>342</v>
      </c>
      <c r="N307" s="2">
        <v>42114</v>
      </c>
      <c r="O307" s="2">
        <v>42118</v>
      </c>
      <c r="P307" s="133">
        <v>42157</v>
      </c>
      <c r="Q307" s="6">
        <v>2</v>
      </c>
      <c r="R307" s="6">
        <v>2</v>
      </c>
      <c r="S307" s="6">
        <v>2</v>
      </c>
      <c r="T307" s="120" t="s">
        <v>178</v>
      </c>
      <c r="U307" s="6">
        <v>2</v>
      </c>
      <c r="V307" s="6" t="s">
        <v>992</v>
      </c>
      <c r="W307" s="5">
        <v>41593</v>
      </c>
      <c r="X307" s="6">
        <v>3</v>
      </c>
      <c r="Y307" s="6">
        <v>3</v>
      </c>
      <c r="Z307" s="6">
        <v>3</v>
      </c>
      <c r="AA307" s="6" t="s">
        <v>178</v>
      </c>
      <c r="AB307" s="6">
        <v>3</v>
      </c>
      <c r="AC307" s="6" t="s">
        <v>216</v>
      </c>
    </row>
    <row r="308" spans="1:29" x14ac:dyDescent="0.25">
      <c r="A308" s="145" t="str">
        <f>HYPERLINK("http://www.ofsted.gov.uk/inspection-reports/find-inspection-report/provider/ELS/53634  ","Ofsted Webpage")</f>
        <v>Ofsted Webpage</v>
      </c>
      <c r="B308" s="151">
        <v>53634</v>
      </c>
      <c r="C308" s="151">
        <v>10004738</v>
      </c>
      <c r="D308" s="46" t="s">
        <v>1924</v>
      </c>
      <c r="E308" s="26" t="s">
        <v>85</v>
      </c>
      <c r="F308" s="26" t="s">
        <v>86</v>
      </c>
      <c r="G308" s="26" t="s">
        <v>348</v>
      </c>
      <c r="H308" s="26" t="s">
        <v>238</v>
      </c>
      <c r="I308" s="26" t="s">
        <v>238</v>
      </c>
      <c r="J308" s="2" t="s">
        <v>72</v>
      </c>
      <c r="K308" s="141" t="s">
        <v>72</v>
      </c>
      <c r="L308" s="141">
        <v>10004981</v>
      </c>
      <c r="M308" s="26" t="s">
        <v>605</v>
      </c>
      <c r="N308" s="2">
        <v>42284</v>
      </c>
      <c r="O308" s="2">
        <v>42285</v>
      </c>
      <c r="P308" s="133">
        <v>42307</v>
      </c>
      <c r="Q308" s="6">
        <v>1</v>
      </c>
      <c r="R308" s="6">
        <v>1</v>
      </c>
      <c r="S308" s="6">
        <v>1</v>
      </c>
      <c r="T308" s="6">
        <v>1</v>
      </c>
      <c r="U308" s="6">
        <v>1</v>
      </c>
      <c r="V308" s="6" t="s">
        <v>1925</v>
      </c>
      <c r="W308" s="5">
        <v>40639</v>
      </c>
      <c r="X308" s="6" t="s">
        <v>178</v>
      </c>
      <c r="Y308" s="6" t="s">
        <v>178</v>
      </c>
      <c r="Z308" s="6" t="s">
        <v>178</v>
      </c>
      <c r="AA308" s="6" t="s">
        <v>178</v>
      </c>
      <c r="AB308" s="6" t="s">
        <v>178</v>
      </c>
      <c r="AC308" s="6" t="s">
        <v>208</v>
      </c>
    </row>
    <row r="309" spans="1:29" x14ac:dyDescent="0.25">
      <c r="A309" s="145" t="str">
        <f>HYPERLINK("http://www.ofsted.gov.uk/inspection-reports/find-inspection-report/provider/ELS/53644  ","Ofsted Webpage")</f>
        <v>Ofsted Webpage</v>
      </c>
      <c r="B309" s="151">
        <v>53644</v>
      </c>
      <c r="C309" s="151">
        <v>10004762</v>
      </c>
      <c r="D309" s="46" t="s">
        <v>722</v>
      </c>
      <c r="E309" s="26" t="s">
        <v>75</v>
      </c>
      <c r="F309" s="26" t="s">
        <v>76</v>
      </c>
      <c r="G309" s="26" t="s">
        <v>723</v>
      </c>
      <c r="H309" s="26" t="s">
        <v>204</v>
      </c>
      <c r="I309" s="26" t="s">
        <v>188</v>
      </c>
      <c r="J309" s="2" t="s">
        <v>72</v>
      </c>
      <c r="K309" s="141" t="s">
        <v>72</v>
      </c>
      <c r="L309" s="141" t="s">
        <v>724</v>
      </c>
      <c r="M309" s="26" t="s">
        <v>549</v>
      </c>
      <c r="N309" s="2">
        <v>41806</v>
      </c>
      <c r="O309" s="2">
        <v>41810</v>
      </c>
      <c r="P309" s="133">
        <v>41843</v>
      </c>
      <c r="Q309" s="6">
        <v>2</v>
      </c>
      <c r="R309" s="6">
        <v>2</v>
      </c>
      <c r="S309" s="6">
        <v>2</v>
      </c>
      <c r="T309" s="120" t="s">
        <v>178</v>
      </c>
      <c r="U309" s="6">
        <v>1</v>
      </c>
      <c r="V309" s="6" t="s">
        <v>725</v>
      </c>
      <c r="W309" s="5">
        <v>40984</v>
      </c>
      <c r="X309" s="6">
        <v>3</v>
      </c>
      <c r="Y309" s="6">
        <v>3</v>
      </c>
      <c r="Z309" s="6">
        <v>3</v>
      </c>
      <c r="AA309" s="6" t="s">
        <v>178</v>
      </c>
      <c r="AB309" s="6">
        <v>3</v>
      </c>
      <c r="AC309" s="6" t="s">
        <v>216</v>
      </c>
    </row>
    <row r="310" spans="1:29" x14ac:dyDescent="0.25">
      <c r="A310" s="145" t="str">
        <f>HYPERLINK("http://www.ofsted.gov.uk/inspection-reports/find-inspection-report/provider/ELS/53664  ","Ofsted Webpage")</f>
        <v>Ofsted Webpage</v>
      </c>
      <c r="B310" s="151">
        <v>53664</v>
      </c>
      <c r="C310" s="151">
        <v>10004791</v>
      </c>
      <c r="D310" s="46" t="s">
        <v>710</v>
      </c>
      <c r="E310" s="26" t="s">
        <v>75</v>
      </c>
      <c r="F310" s="26" t="s">
        <v>76</v>
      </c>
      <c r="G310" s="26" t="s">
        <v>437</v>
      </c>
      <c r="H310" s="26" t="s">
        <v>214</v>
      </c>
      <c r="I310" s="26" t="s">
        <v>214</v>
      </c>
      <c r="J310" s="2" t="s">
        <v>72</v>
      </c>
      <c r="K310" s="141" t="s">
        <v>72</v>
      </c>
      <c r="L310" s="141" t="s">
        <v>711</v>
      </c>
      <c r="M310" s="26" t="s">
        <v>549</v>
      </c>
      <c r="N310" s="2">
        <v>42039</v>
      </c>
      <c r="O310" s="2">
        <v>42041</v>
      </c>
      <c r="P310" s="133">
        <v>42076</v>
      </c>
      <c r="Q310" s="6">
        <v>2</v>
      </c>
      <c r="R310" s="6">
        <v>2</v>
      </c>
      <c r="S310" s="6">
        <v>2</v>
      </c>
      <c r="T310" s="120" t="s">
        <v>178</v>
      </c>
      <c r="U310" s="6">
        <v>2</v>
      </c>
      <c r="V310" s="6" t="s">
        <v>712</v>
      </c>
      <c r="W310" s="5">
        <v>39780</v>
      </c>
      <c r="X310" s="6">
        <v>2</v>
      </c>
      <c r="Y310" s="6">
        <v>2</v>
      </c>
      <c r="Z310" s="6">
        <v>2</v>
      </c>
      <c r="AA310" s="6" t="s">
        <v>178</v>
      </c>
      <c r="AB310" s="6">
        <v>2</v>
      </c>
      <c r="AC310" s="6" t="s">
        <v>180</v>
      </c>
    </row>
    <row r="311" spans="1:29" x14ac:dyDescent="0.25">
      <c r="A311" s="145" t="str">
        <f>HYPERLINK("http://www.ofsted.gov.uk/inspection-reports/find-inspection-report/provider/ELS/53671  ","Ofsted Webpage")</f>
        <v>Ofsted Webpage</v>
      </c>
      <c r="B311" s="151">
        <v>53671</v>
      </c>
      <c r="C311" s="151">
        <v>10004632</v>
      </c>
      <c r="D311" s="46" t="s">
        <v>2276</v>
      </c>
      <c r="E311" s="26" t="s">
        <v>78</v>
      </c>
      <c r="F311" s="26" t="s">
        <v>79</v>
      </c>
      <c r="G311" s="26" t="s">
        <v>437</v>
      </c>
      <c r="H311" s="26" t="s">
        <v>214</v>
      </c>
      <c r="I311" s="26" t="s">
        <v>214</v>
      </c>
      <c r="J311" s="2" t="s">
        <v>72</v>
      </c>
      <c r="K311" s="141" t="s">
        <v>72</v>
      </c>
      <c r="L311" s="141" t="s">
        <v>2277</v>
      </c>
      <c r="M311" s="26" t="s">
        <v>342</v>
      </c>
      <c r="N311" s="2">
        <v>42142</v>
      </c>
      <c r="O311" s="2">
        <v>42145</v>
      </c>
      <c r="P311" s="133">
        <v>42174</v>
      </c>
      <c r="Q311" s="6">
        <v>1</v>
      </c>
      <c r="R311" s="6">
        <v>1</v>
      </c>
      <c r="S311" s="6">
        <v>1</v>
      </c>
      <c r="T311" s="120" t="s">
        <v>178</v>
      </c>
      <c r="U311" s="6">
        <v>1</v>
      </c>
      <c r="V311" s="6" t="s">
        <v>2278</v>
      </c>
      <c r="W311" s="5">
        <v>41684</v>
      </c>
      <c r="X311" s="6">
        <v>3</v>
      </c>
      <c r="Y311" s="6">
        <v>3</v>
      </c>
      <c r="Z311" s="6">
        <v>2</v>
      </c>
      <c r="AA311" s="6" t="s">
        <v>178</v>
      </c>
      <c r="AB311" s="6">
        <v>3</v>
      </c>
      <c r="AC311" s="6" t="s">
        <v>216</v>
      </c>
    </row>
    <row r="312" spans="1:29" x14ac:dyDescent="0.25">
      <c r="A312" s="145" t="str">
        <f>HYPERLINK("http://www.ofsted.gov.uk/inspection-reports/find-inspection-report/provider/ELS/53674  ","Ofsted Webpage")</f>
        <v>Ofsted Webpage</v>
      </c>
      <c r="B312" s="151">
        <v>53674</v>
      </c>
      <c r="C312" s="151">
        <v>10004801</v>
      </c>
      <c r="D312" s="46" t="s">
        <v>1165</v>
      </c>
      <c r="E312" s="26" t="s">
        <v>75</v>
      </c>
      <c r="F312" s="26" t="s">
        <v>76</v>
      </c>
      <c r="G312" s="26" t="s">
        <v>331</v>
      </c>
      <c r="H312" s="26" t="s">
        <v>214</v>
      </c>
      <c r="I312" s="26" t="s">
        <v>214</v>
      </c>
      <c r="J312" s="2" t="s">
        <v>72</v>
      </c>
      <c r="K312" s="141" t="s">
        <v>72</v>
      </c>
      <c r="L312" s="141">
        <v>10037346</v>
      </c>
      <c r="M312" s="26" t="s">
        <v>308</v>
      </c>
      <c r="N312" s="2">
        <v>43024</v>
      </c>
      <c r="O312" s="2">
        <v>43027</v>
      </c>
      <c r="P312" s="133">
        <v>43063</v>
      </c>
      <c r="Q312" s="6">
        <v>2</v>
      </c>
      <c r="R312" s="6">
        <v>2</v>
      </c>
      <c r="S312" s="6">
        <v>2</v>
      </c>
      <c r="T312" s="6">
        <v>2</v>
      </c>
      <c r="U312" s="6">
        <v>2</v>
      </c>
      <c r="V312" s="6" t="s">
        <v>1166</v>
      </c>
      <c r="W312" s="5">
        <v>42139</v>
      </c>
      <c r="X312" s="6">
        <v>2</v>
      </c>
      <c r="Y312" s="6">
        <v>2</v>
      </c>
      <c r="Z312" s="6">
        <v>2</v>
      </c>
      <c r="AA312" s="6" t="s">
        <v>178</v>
      </c>
      <c r="AB312" s="6">
        <v>2</v>
      </c>
      <c r="AC312" s="6" t="s">
        <v>180</v>
      </c>
    </row>
    <row r="313" spans="1:29" x14ac:dyDescent="0.25">
      <c r="A313" s="145" t="str">
        <f>HYPERLINK("http://www.ofsted.gov.uk/inspection-reports/find-inspection-report/provider/ELS/53682  ","Ofsted Webpage")</f>
        <v>Ofsted Webpage</v>
      </c>
      <c r="B313" s="151">
        <v>53682</v>
      </c>
      <c r="C313" s="151">
        <v>10027272</v>
      </c>
      <c r="D313" s="46" t="s">
        <v>2193</v>
      </c>
      <c r="E313" s="26" t="s">
        <v>78</v>
      </c>
      <c r="F313" s="26" t="s">
        <v>79</v>
      </c>
      <c r="G313" s="26" t="s">
        <v>1181</v>
      </c>
      <c r="H313" s="26" t="s">
        <v>193</v>
      </c>
      <c r="I313" s="26" t="s">
        <v>193</v>
      </c>
      <c r="J313" s="2" t="s">
        <v>72</v>
      </c>
      <c r="K313" s="141" t="s">
        <v>72</v>
      </c>
      <c r="L313" s="141">
        <v>10004982</v>
      </c>
      <c r="M313" s="26" t="s">
        <v>183</v>
      </c>
      <c r="N313" s="2">
        <v>42562</v>
      </c>
      <c r="O313" s="2">
        <v>42565</v>
      </c>
      <c r="P313" s="133">
        <v>42597</v>
      </c>
      <c r="Q313" s="6">
        <v>1</v>
      </c>
      <c r="R313" s="6">
        <v>1</v>
      </c>
      <c r="S313" s="6">
        <v>1</v>
      </c>
      <c r="T313" s="6">
        <v>1</v>
      </c>
      <c r="U313" s="6">
        <v>1</v>
      </c>
      <c r="V313" s="6" t="s">
        <v>2194</v>
      </c>
      <c r="W313" s="5">
        <v>41614</v>
      </c>
      <c r="X313" s="6">
        <v>2</v>
      </c>
      <c r="Y313" s="6">
        <v>2</v>
      </c>
      <c r="Z313" s="6">
        <v>2</v>
      </c>
      <c r="AA313" s="6" t="s">
        <v>178</v>
      </c>
      <c r="AB313" s="6">
        <v>2</v>
      </c>
      <c r="AC313" s="6" t="s">
        <v>216</v>
      </c>
    </row>
    <row r="314" spans="1:29" x14ac:dyDescent="0.25">
      <c r="A314" s="145" t="str">
        <f>HYPERLINK("http://www.ofsted.gov.uk/inspection-reports/find-inspection-report/provider/ELS/53693  ","Ofsted Webpage")</f>
        <v>Ofsted Webpage</v>
      </c>
      <c r="B314" s="151">
        <v>53693</v>
      </c>
      <c r="C314" s="151">
        <v>10004819</v>
      </c>
      <c r="D314" s="46" t="s">
        <v>2195</v>
      </c>
      <c r="E314" s="26" t="s">
        <v>78</v>
      </c>
      <c r="F314" s="26" t="s">
        <v>79</v>
      </c>
      <c r="G314" s="26" t="s">
        <v>258</v>
      </c>
      <c r="H314" s="26" t="s">
        <v>193</v>
      </c>
      <c r="I314" s="26" t="s">
        <v>193</v>
      </c>
      <c r="J314" s="2" t="s">
        <v>72</v>
      </c>
      <c r="K314" s="141" t="s">
        <v>72</v>
      </c>
      <c r="L314" s="141">
        <v>10011499</v>
      </c>
      <c r="M314" s="26" t="s">
        <v>199</v>
      </c>
      <c r="N314" s="2">
        <v>42506</v>
      </c>
      <c r="O314" s="2">
        <v>42509</v>
      </c>
      <c r="P314" s="133">
        <v>42550</v>
      </c>
      <c r="Q314" s="6">
        <v>2</v>
      </c>
      <c r="R314" s="6">
        <v>2</v>
      </c>
      <c r="S314" s="6">
        <v>2</v>
      </c>
      <c r="T314" s="6">
        <v>2</v>
      </c>
      <c r="U314" s="6">
        <v>2</v>
      </c>
      <c r="V314" s="6" t="s">
        <v>2196</v>
      </c>
      <c r="W314" s="5">
        <v>42047</v>
      </c>
      <c r="X314" s="6">
        <v>3</v>
      </c>
      <c r="Y314" s="6">
        <v>3</v>
      </c>
      <c r="Z314" s="6">
        <v>3</v>
      </c>
      <c r="AA314" s="6" t="s">
        <v>178</v>
      </c>
      <c r="AB314" s="6">
        <v>3</v>
      </c>
      <c r="AC314" s="6" t="s">
        <v>216</v>
      </c>
    </row>
    <row r="315" spans="1:29" x14ac:dyDescent="0.25">
      <c r="A315" s="145" t="str">
        <f>HYPERLINK("http://www.ofsted.gov.uk/inspection-reports/find-inspection-report/provider/ELS/53697  ","Ofsted Webpage")</f>
        <v>Ofsted Webpage</v>
      </c>
      <c r="B315" s="151">
        <v>53697</v>
      </c>
      <c r="C315" s="151">
        <v>10012477</v>
      </c>
      <c r="D315" s="46" t="s">
        <v>2591</v>
      </c>
      <c r="E315" s="26" t="s">
        <v>78</v>
      </c>
      <c r="F315" s="26" t="s">
        <v>79</v>
      </c>
      <c r="G315" s="26" t="s">
        <v>526</v>
      </c>
      <c r="H315" s="26" t="s">
        <v>219</v>
      </c>
      <c r="I315" s="26" t="s">
        <v>219</v>
      </c>
      <c r="J315" s="2" t="s">
        <v>72</v>
      </c>
      <c r="K315" s="141" t="s">
        <v>72</v>
      </c>
      <c r="L315" s="141">
        <v>10004984</v>
      </c>
      <c r="M315" s="26" t="s">
        <v>475</v>
      </c>
      <c r="N315" s="2">
        <v>42689</v>
      </c>
      <c r="O315" s="2">
        <v>42692</v>
      </c>
      <c r="P315" s="119">
        <v>42726</v>
      </c>
      <c r="Q315" s="6">
        <v>2</v>
      </c>
      <c r="R315" s="6">
        <v>2</v>
      </c>
      <c r="S315" s="6">
        <v>2</v>
      </c>
      <c r="T315" s="6">
        <v>2</v>
      </c>
      <c r="U315" s="6">
        <v>2</v>
      </c>
      <c r="V315" s="6" t="s">
        <v>2592</v>
      </c>
      <c r="W315" s="5">
        <v>42041</v>
      </c>
      <c r="X315" s="6">
        <v>3</v>
      </c>
      <c r="Y315" s="6">
        <v>3</v>
      </c>
      <c r="Z315" s="6">
        <v>2</v>
      </c>
      <c r="AA315" s="6" t="s">
        <v>178</v>
      </c>
      <c r="AB315" s="6">
        <v>3</v>
      </c>
      <c r="AC315" s="6" t="s">
        <v>216</v>
      </c>
    </row>
    <row r="316" spans="1:29" x14ac:dyDescent="0.25">
      <c r="A316" s="145" t="str">
        <f>HYPERLINK("http://www.ofsted.gov.uk/inspection-reports/find-inspection-report/provider/ELS/53721  ","Ofsted Webpage")</f>
        <v>Ofsted Webpage</v>
      </c>
      <c r="B316" s="151">
        <v>53721</v>
      </c>
      <c r="C316" s="151">
        <v>10004856</v>
      </c>
      <c r="D316" s="46" t="s">
        <v>996</v>
      </c>
      <c r="E316" s="26" t="s">
        <v>78</v>
      </c>
      <c r="F316" s="26" t="s">
        <v>79</v>
      </c>
      <c r="G316" s="26" t="s">
        <v>997</v>
      </c>
      <c r="H316" s="26" t="s">
        <v>238</v>
      </c>
      <c r="I316" s="26" t="s">
        <v>238</v>
      </c>
      <c r="J316" s="2">
        <v>42383</v>
      </c>
      <c r="K316" s="141">
        <v>1</v>
      </c>
      <c r="L316" s="141" t="s">
        <v>998</v>
      </c>
      <c r="M316" s="26" t="s">
        <v>333</v>
      </c>
      <c r="N316" s="2">
        <v>40819</v>
      </c>
      <c r="O316" s="2">
        <v>40822</v>
      </c>
      <c r="P316" s="133">
        <v>40857</v>
      </c>
      <c r="Q316" s="6">
        <v>2</v>
      </c>
      <c r="R316" s="6">
        <v>2</v>
      </c>
      <c r="S316" s="6">
        <v>2</v>
      </c>
      <c r="T316" s="120" t="s">
        <v>178</v>
      </c>
      <c r="U316" s="6">
        <v>3</v>
      </c>
      <c r="V316" s="6" t="s">
        <v>999</v>
      </c>
      <c r="W316" s="5">
        <v>38919</v>
      </c>
      <c r="X316" s="6">
        <v>2</v>
      </c>
      <c r="Y316" s="6" t="s">
        <v>178</v>
      </c>
      <c r="Z316" s="6" t="s">
        <v>178</v>
      </c>
      <c r="AA316" s="6" t="s">
        <v>178</v>
      </c>
      <c r="AB316" s="6">
        <v>2</v>
      </c>
      <c r="AC316" s="6" t="s">
        <v>180</v>
      </c>
    </row>
    <row r="317" spans="1:29" x14ac:dyDescent="0.25">
      <c r="A317" s="145" t="str">
        <f>HYPERLINK("http://www.ofsted.gov.uk/inspection-reports/find-inspection-report/provider/ELS/53722  ","Ofsted Webpage")</f>
        <v>Ofsted Webpage</v>
      </c>
      <c r="B317" s="151">
        <v>53722</v>
      </c>
      <c r="C317" s="151">
        <v>10004858</v>
      </c>
      <c r="D317" s="46" t="s">
        <v>1167</v>
      </c>
      <c r="E317" s="26" t="s">
        <v>75</v>
      </c>
      <c r="F317" s="26" t="s">
        <v>76</v>
      </c>
      <c r="G317" s="26" t="s">
        <v>997</v>
      </c>
      <c r="H317" s="26" t="s">
        <v>238</v>
      </c>
      <c r="I317" s="26" t="s">
        <v>238</v>
      </c>
      <c r="J317" s="2" t="s">
        <v>72</v>
      </c>
      <c r="K317" s="141" t="s">
        <v>72</v>
      </c>
      <c r="L317" s="141">
        <v>10005432</v>
      </c>
      <c r="M317" s="26" t="s">
        <v>308</v>
      </c>
      <c r="N317" s="2">
        <v>42325</v>
      </c>
      <c r="O317" s="2">
        <v>42328</v>
      </c>
      <c r="P317" s="133">
        <v>42345</v>
      </c>
      <c r="Q317" s="6">
        <v>1</v>
      </c>
      <c r="R317" s="6">
        <v>1</v>
      </c>
      <c r="S317" s="6">
        <v>1</v>
      </c>
      <c r="T317" s="6">
        <v>1</v>
      </c>
      <c r="U317" s="6">
        <v>1</v>
      </c>
      <c r="V317" s="6" t="s">
        <v>1168</v>
      </c>
      <c r="W317" s="5">
        <v>39969</v>
      </c>
      <c r="X317" s="6">
        <v>1</v>
      </c>
      <c r="Y317" s="6">
        <v>1</v>
      </c>
      <c r="Z317" s="6">
        <v>1</v>
      </c>
      <c r="AA317" s="6" t="s">
        <v>178</v>
      </c>
      <c r="AB317" s="6">
        <v>1</v>
      </c>
      <c r="AC317" s="6" t="s">
        <v>180</v>
      </c>
    </row>
    <row r="318" spans="1:29" x14ac:dyDescent="0.25">
      <c r="A318" s="145" t="str">
        <f>HYPERLINK("http://www.ofsted.gov.uk/inspection-reports/find-inspection-report/provider/ELS/53729  ","Ofsted Webpage")</f>
        <v>Ofsted Webpage</v>
      </c>
      <c r="B318" s="151">
        <v>53729</v>
      </c>
      <c r="C318" s="151">
        <v>10004866</v>
      </c>
      <c r="D318" s="46" t="s">
        <v>2358</v>
      </c>
      <c r="E318" s="26" t="s">
        <v>78</v>
      </c>
      <c r="F318" s="26" t="s">
        <v>79</v>
      </c>
      <c r="G318" s="26" t="s">
        <v>223</v>
      </c>
      <c r="H318" s="26" t="s">
        <v>193</v>
      </c>
      <c r="I318" s="26" t="s">
        <v>193</v>
      </c>
      <c r="J318" s="2" t="s">
        <v>72</v>
      </c>
      <c r="K318" s="141" t="s">
        <v>72</v>
      </c>
      <c r="L318" s="141">
        <v>10030964</v>
      </c>
      <c r="M318" s="26" t="s">
        <v>211</v>
      </c>
      <c r="N318" s="2">
        <v>42949</v>
      </c>
      <c r="O318" s="2">
        <v>42965</v>
      </c>
      <c r="P318" s="133">
        <v>43003</v>
      </c>
      <c r="Q318" s="6">
        <v>3</v>
      </c>
      <c r="R318" s="6">
        <v>3</v>
      </c>
      <c r="S318" s="6">
        <v>3</v>
      </c>
      <c r="T318" s="6">
        <v>3</v>
      </c>
      <c r="U318" s="6">
        <v>3</v>
      </c>
      <c r="V318" s="6" t="s">
        <v>2359</v>
      </c>
      <c r="W318" s="5">
        <v>41670</v>
      </c>
      <c r="X318" s="6">
        <v>2</v>
      </c>
      <c r="Y318" s="6">
        <v>2</v>
      </c>
      <c r="Z318" s="6">
        <v>2</v>
      </c>
      <c r="AA318" s="6" t="s">
        <v>178</v>
      </c>
      <c r="AB318" s="6">
        <v>2</v>
      </c>
      <c r="AC318" s="6" t="s">
        <v>201</v>
      </c>
    </row>
    <row r="319" spans="1:29" x14ac:dyDescent="0.25">
      <c r="A319" s="145" t="str">
        <f>HYPERLINK("http://www.ofsted.gov.uk/inspection-reports/find-inspection-report/provider/ELS/53746  ","Ofsted Webpage")</f>
        <v>Ofsted Webpage</v>
      </c>
      <c r="B319" s="151">
        <v>53746</v>
      </c>
      <c r="C319" s="151">
        <v>10030688</v>
      </c>
      <c r="D319" s="46" t="s">
        <v>1000</v>
      </c>
      <c r="E319" s="26" t="s">
        <v>77</v>
      </c>
      <c r="F319" s="26" t="s">
        <v>76</v>
      </c>
      <c r="G319" s="26" t="s">
        <v>230</v>
      </c>
      <c r="H319" s="26" t="s">
        <v>187</v>
      </c>
      <c r="I319" s="26" t="s">
        <v>188</v>
      </c>
      <c r="J319" s="2" t="s">
        <v>72</v>
      </c>
      <c r="K319" s="141" t="s">
        <v>72</v>
      </c>
      <c r="L319" s="141">
        <v>10022493</v>
      </c>
      <c r="M319" s="26" t="s">
        <v>1001</v>
      </c>
      <c r="N319" s="2">
        <v>42808</v>
      </c>
      <c r="O319" s="2">
        <v>42811</v>
      </c>
      <c r="P319" s="133">
        <v>42835</v>
      </c>
      <c r="Q319" s="6">
        <v>2</v>
      </c>
      <c r="R319" s="6">
        <v>2</v>
      </c>
      <c r="S319" s="6">
        <v>2</v>
      </c>
      <c r="T319" s="6">
        <v>2</v>
      </c>
      <c r="U319" s="6">
        <v>2</v>
      </c>
      <c r="V319" s="6" t="s">
        <v>1002</v>
      </c>
      <c r="W319" s="5">
        <v>42090</v>
      </c>
      <c r="X319" s="6">
        <v>3</v>
      </c>
      <c r="Y319" s="6">
        <v>3</v>
      </c>
      <c r="Z319" s="6">
        <v>2</v>
      </c>
      <c r="AA319" s="6" t="s">
        <v>178</v>
      </c>
      <c r="AB319" s="6">
        <v>3</v>
      </c>
      <c r="AC319" s="6" t="s">
        <v>216</v>
      </c>
    </row>
    <row r="320" spans="1:29" x14ac:dyDescent="0.25">
      <c r="A320" s="145" t="str">
        <f>HYPERLINK("http://www.ofsted.gov.uk/inspection-reports/find-inspection-report/provider/ELS/53749  ","Ofsted Webpage")</f>
        <v>Ofsted Webpage</v>
      </c>
      <c r="B320" s="151">
        <v>53749</v>
      </c>
      <c r="C320" s="151">
        <v>10004895</v>
      </c>
      <c r="D320" s="46" t="s">
        <v>2360</v>
      </c>
      <c r="E320" s="26" t="s">
        <v>78</v>
      </c>
      <c r="F320" s="26" t="s">
        <v>79</v>
      </c>
      <c r="G320" s="26" t="s">
        <v>994</v>
      </c>
      <c r="H320" s="26" t="s">
        <v>187</v>
      </c>
      <c r="I320" s="26" t="s">
        <v>188</v>
      </c>
      <c r="J320" s="2" t="s">
        <v>72</v>
      </c>
      <c r="K320" s="141" t="s">
        <v>72</v>
      </c>
      <c r="L320" s="141" t="s">
        <v>2361</v>
      </c>
      <c r="M320" s="26" t="s">
        <v>342</v>
      </c>
      <c r="N320" s="2">
        <v>41821</v>
      </c>
      <c r="O320" s="2">
        <v>41824</v>
      </c>
      <c r="P320" s="133">
        <v>41857</v>
      </c>
      <c r="Q320" s="6">
        <v>2</v>
      </c>
      <c r="R320" s="6">
        <v>2</v>
      </c>
      <c r="S320" s="6">
        <v>2</v>
      </c>
      <c r="T320" s="120" t="s">
        <v>178</v>
      </c>
      <c r="U320" s="6">
        <v>2</v>
      </c>
      <c r="V320" s="6" t="s">
        <v>2362</v>
      </c>
      <c r="W320" s="5">
        <v>41327</v>
      </c>
      <c r="X320" s="6">
        <v>3</v>
      </c>
      <c r="Y320" s="6">
        <v>3</v>
      </c>
      <c r="Z320" s="6">
        <v>3</v>
      </c>
      <c r="AA320" s="6" t="s">
        <v>178</v>
      </c>
      <c r="AB320" s="6">
        <v>3</v>
      </c>
      <c r="AC320" s="6" t="s">
        <v>216</v>
      </c>
    </row>
    <row r="321" spans="1:29" x14ac:dyDescent="0.25">
      <c r="A321" s="145" t="str">
        <f>HYPERLINK("http://www.ofsted.gov.uk/inspection-reports/find-inspection-report/provider/ELS/53771  ","Ofsted Webpage")</f>
        <v>Ofsted Webpage</v>
      </c>
      <c r="B321" s="151">
        <v>53771</v>
      </c>
      <c r="C321" s="151">
        <v>10004943</v>
      </c>
      <c r="D321" s="46" t="s">
        <v>1926</v>
      </c>
      <c r="E321" s="26" t="s">
        <v>85</v>
      </c>
      <c r="F321" s="26" t="s">
        <v>86</v>
      </c>
      <c r="G321" s="26" t="s">
        <v>590</v>
      </c>
      <c r="H321" s="26" t="s">
        <v>219</v>
      </c>
      <c r="I321" s="26" t="s">
        <v>219</v>
      </c>
      <c r="J321" s="2" t="s">
        <v>72</v>
      </c>
      <c r="K321" s="141" t="s">
        <v>72</v>
      </c>
      <c r="L321" s="141">
        <v>10004985</v>
      </c>
      <c r="M321" s="26" t="s">
        <v>605</v>
      </c>
      <c r="N321" s="2">
        <v>42291</v>
      </c>
      <c r="O321" s="2">
        <v>42292</v>
      </c>
      <c r="P321" s="133">
        <v>42319</v>
      </c>
      <c r="Q321" s="6">
        <v>1</v>
      </c>
      <c r="R321" s="6">
        <v>1</v>
      </c>
      <c r="S321" s="6">
        <v>1</v>
      </c>
      <c r="T321" s="6">
        <v>1</v>
      </c>
      <c r="U321" s="6">
        <v>1</v>
      </c>
      <c r="V321" s="6" t="s">
        <v>1927</v>
      </c>
      <c r="W321" s="5">
        <v>40591</v>
      </c>
      <c r="X321" s="6" t="s">
        <v>178</v>
      </c>
      <c r="Y321" s="6" t="s">
        <v>178</v>
      </c>
      <c r="Z321" s="6" t="s">
        <v>178</v>
      </c>
      <c r="AA321" s="6" t="s">
        <v>178</v>
      </c>
      <c r="AB321" s="6" t="s">
        <v>178</v>
      </c>
      <c r="AC321" s="6" t="s">
        <v>208</v>
      </c>
    </row>
    <row r="322" spans="1:29" x14ac:dyDescent="0.25">
      <c r="A322" s="145" t="str">
        <f>HYPERLINK("http://www.ofsted.gov.uk/inspection-reports/find-inspection-report/provider/ELS/53774  ","Ofsted Webpage")</f>
        <v>Ofsted Webpage</v>
      </c>
      <c r="B322" s="151">
        <v>53774</v>
      </c>
      <c r="C322" s="151">
        <v>10002331</v>
      </c>
      <c r="D322" s="46" t="s">
        <v>2675</v>
      </c>
      <c r="E322" s="26" t="s">
        <v>78</v>
      </c>
      <c r="F322" s="26" t="s">
        <v>79</v>
      </c>
      <c r="G322" s="26" t="s">
        <v>590</v>
      </c>
      <c r="H322" s="26" t="s">
        <v>219</v>
      </c>
      <c r="I322" s="26" t="s">
        <v>219</v>
      </c>
      <c r="J322" s="2">
        <v>43013</v>
      </c>
      <c r="K322" s="141">
        <v>1</v>
      </c>
      <c r="L322" s="141" t="s">
        <v>2676</v>
      </c>
      <c r="M322" s="26" t="s">
        <v>466</v>
      </c>
      <c r="N322" s="2">
        <v>41619</v>
      </c>
      <c r="O322" s="2">
        <v>41621</v>
      </c>
      <c r="P322" s="119">
        <v>41661</v>
      </c>
      <c r="Q322" s="6">
        <v>2</v>
      </c>
      <c r="R322" s="6">
        <v>2</v>
      </c>
      <c r="S322" s="6">
        <v>2</v>
      </c>
      <c r="T322" s="120" t="s">
        <v>178</v>
      </c>
      <c r="U322" s="6">
        <v>2</v>
      </c>
      <c r="V322" s="6" t="s">
        <v>2677</v>
      </c>
      <c r="W322" s="5">
        <v>39906</v>
      </c>
      <c r="X322" s="6">
        <v>1</v>
      </c>
      <c r="Y322" s="6">
        <v>1</v>
      </c>
      <c r="Z322" s="6">
        <v>2</v>
      </c>
      <c r="AA322" s="6" t="s">
        <v>178</v>
      </c>
      <c r="AB322" s="6">
        <v>1</v>
      </c>
      <c r="AC322" s="6" t="s">
        <v>201</v>
      </c>
    </row>
    <row r="323" spans="1:29" x14ac:dyDescent="0.25">
      <c r="A323" s="145" t="str">
        <f>HYPERLINK("http://www.ofsted.gov.uk/inspection-reports/find-inspection-report/provider/ELS/53792  ","Ofsted Webpage")</f>
        <v>Ofsted Webpage</v>
      </c>
      <c r="B323" s="151">
        <v>53792</v>
      </c>
      <c r="C323" s="151">
        <v>10004977</v>
      </c>
      <c r="D323" s="46" t="s">
        <v>2367</v>
      </c>
      <c r="E323" s="26" t="s">
        <v>78</v>
      </c>
      <c r="F323" s="26" t="s">
        <v>79</v>
      </c>
      <c r="G323" s="26" t="s">
        <v>1222</v>
      </c>
      <c r="H323" s="26" t="s">
        <v>198</v>
      </c>
      <c r="I323" s="26" t="s">
        <v>198</v>
      </c>
      <c r="J323" s="2" t="s">
        <v>72</v>
      </c>
      <c r="K323" s="141" t="s">
        <v>72</v>
      </c>
      <c r="L323" s="141">
        <v>10030677</v>
      </c>
      <c r="M323" s="26" t="s">
        <v>864</v>
      </c>
      <c r="N323" s="2">
        <v>42871</v>
      </c>
      <c r="O323" s="2">
        <v>42874</v>
      </c>
      <c r="P323" s="133">
        <v>42895</v>
      </c>
      <c r="Q323" s="6">
        <v>2</v>
      </c>
      <c r="R323" s="6">
        <v>2</v>
      </c>
      <c r="S323" s="6">
        <v>2</v>
      </c>
      <c r="T323" s="6">
        <v>2</v>
      </c>
      <c r="U323" s="6">
        <v>2</v>
      </c>
      <c r="V323" s="6">
        <v>10004986</v>
      </c>
      <c r="W323" s="5">
        <v>42272</v>
      </c>
      <c r="X323" s="6">
        <v>3</v>
      </c>
      <c r="Y323" s="6">
        <v>3</v>
      </c>
      <c r="Z323" s="6">
        <v>3</v>
      </c>
      <c r="AA323" s="6">
        <v>2</v>
      </c>
      <c r="AB323" s="6">
        <v>3</v>
      </c>
      <c r="AC323" s="6" t="s">
        <v>216</v>
      </c>
    </row>
    <row r="324" spans="1:29" x14ac:dyDescent="0.25">
      <c r="A324" s="145" t="str">
        <f>HYPERLINK("http://www.ofsted.gov.uk/inspection-reports/find-inspection-report/provider/ELS/53861  ","Ofsted Webpage")</f>
        <v>Ofsted Webpage</v>
      </c>
      <c r="B324" s="151">
        <v>53861</v>
      </c>
      <c r="C324" s="151">
        <v>10005064</v>
      </c>
      <c r="D324" s="46" t="s">
        <v>1003</v>
      </c>
      <c r="E324" s="26" t="s">
        <v>77</v>
      </c>
      <c r="F324" s="26" t="s">
        <v>76</v>
      </c>
      <c r="G324" s="26" t="s">
        <v>1004</v>
      </c>
      <c r="H324" s="26" t="s">
        <v>219</v>
      </c>
      <c r="I324" s="26" t="s">
        <v>219</v>
      </c>
      <c r="J324" s="2">
        <v>43041</v>
      </c>
      <c r="K324" s="141">
        <v>1</v>
      </c>
      <c r="L324" s="141" t="s">
        <v>1005</v>
      </c>
      <c r="M324" s="26" t="s">
        <v>466</v>
      </c>
      <c r="N324" s="2">
        <v>41666</v>
      </c>
      <c r="O324" s="2">
        <v>41670</v>
      </c>
      <c r="P324" s="133">
        <v>41705</v>
      </c>
      <c r="Q324" s="6">
        <v>2</v>
      </c>
      <c r="R324" s="6">
        <v>2</v>
      </c>
      <c r="S324" s="6">
        <v>2</v>
      </c>
      <c r="T324" s="120" t="s">
        <v>178</v>
      </c>
      <c r="U324" s="6">
        <v>2</v>
      </c>
      <c r="V324" s="6" t="s">
        <v>1006</v>
      </c>
      <c r="W324" s="5">
        <v>40291</v>
      </c>
      <c r="X324" s="6">
        <v>2</v>
      </c>
      <c r="Y324" s="6">
        <v>2</v>
      </c>
      <c r="Z324" s="6">
        <v>2</v>
      </c>
      <c r="AA324" s="6" t="s">
        <v>178</v>
      </c>
      <c r="AB324" s="6">
        <v>2</v>
      </c>
      <c r="AC324" s="6" t="s">
        <v>180</v>
      </c>
    </row>
    <row r="325" spans="1:29" x14ac:dyDescent="0.25">
      <c r="A325" s="145" t="str">
        <f>HYPERLINK("http://www.ofsted.gov.uk/inspection-reports/find-inspection-report/provider/ELS/53865  ","Ofsted Webpage")</f>
        <v>Ofsted Webpage</v>
      </c>
      <c r="B325" s="151">
        <v>53865</v>
      </c>
      <c r="C325" s="151">
        <v>10005074</v>
      </c>
      <c r="D325" s="46" t="s">
        <v>909</v>
      </c>
      <c r="E325" s="26" t="s">
        <v>75</v>
      </c>
      <c r="F325" s="26" t="s">
        <v>76</v>
      </c>
      <c r="G325" s="26" t="s">
        <v>910</v>
      </c>
      <c r="H325" s="26" t="s">
        <v>287</v>
      </c>
      <c r="I325" s="26" t="s">
        <v>287</v>
      </c>
      <c r="J325" s="2">
        <v>42691</v>
      </c>
      <c r="K325" s="141">
        <v>1</v>
      </c>
      <c r="L325" s="141" t="s">
        <v>911</v>
      </c>
      <c r="M325" s="26" t="s">
        <v>549</v>
      </c>
      <c r="N325" s="2">
        <v>40826</v>
      </c>
      <c r="O325" s="2">
        <v>40830</v>
      </c>
      <c r="P325" s="133">
        <v>40865</v>
      </c>
      <c r="Q325" s="6">
        <v>2</v>
      </c>
      <c r="R325" s="6">
        <v>2</v>
      </c>
      <c r="S325" s="6">
        <v>2</v>
      </c>
      <c r="T325" s="120" t="s">
        <v>178</v>
      </c>
      <c r="U325" s="6">
        <v>2</v>
      </c>
      <c r="V325" s="6" t="s">
        <v>912</v>
      </c>
      <c r="W325" s="5">
        <v>39486</v>
      </c>
      <c r="X325" s="6">
        <v>3</v>
      </c>
      <c r="Y325" s="6">
        <v>3</v>
      </c>
      <c r="Z325" s="6">
        <v>3</v>
      </c>
      <c r="AA325" s="6" t="s">
        <v>178</v>
      </c>
      <c r="AB325" s="6">
        <v>3</v>
      </c>
      <c r="AC325" s="6" t="s">
        <v>216</v>
      </c>
    </row>
    <row r="326" spans="1:29" x14ac:dyDescent="0.25">
      <c r="A326" s="145" t="str">
        <f>HYPERLINK("http://www.ofsted.gov.uk/inspection-reports/find-inspection-report/provider/ELS/53875  ","Ofsted Webpage")</f>
        <v>Ofsted Webpage</v>
      </c>
      <c r="B326" s="151">
        <v>53875</v>
      </c>
      <c r="C326" s="151">
        <v>10008426</v>
      </c>
      <c r="D326" s="46" t="s">
        <v>2593</v>
      </c>
      <c r="E326" s="26" t="s">
        <v>78</v>
      </c>
      <c r="F326" s="26" t="s">
        <v>79</v>
      </c>
      <c r="G326" s="26" t="s">
        <v>802</v>
      </c>
      <c r="H326" s="26" t="s">
        <v>198</v>
      </c>
      <c r="I326" s="26" t="s">
        <v>198</v>
      </c>
      <c r="J326" s="2">
        <v>42846</v>
      </c>
      <c r="K326" s="141">
        <v>1</v>
      </c>
      <c r="L326" s="141" t="s">
        <v>2594</v>
      </c>
      <c r="M326" s="26" t="s">
        <v>466</v>
      </c>
      <c r="N326" s="2">
        <v>41471</v>
      </c>
      <c r="O326" s="2">
        <v>41474</v>
      </c>
      <c r="P326" s="133">
        <v>41509</v>
      </c>
      <c r="Q326" s="6">
        <v>2</v>
      </c>
      <c r="R326" s="6">
        <v>2</v>
      </c>
      <c r="S326" s="6">
        <v>2</v>
      </c>
      <c r="T326" s="120" t="s">
        <v>178</v>
      </c>
      <c r="U326" s="6">
        <v>2</v>
      </c>
      <c r="V326" s="6" t="s">
        <v>2595</v>
      </c>
      <c r="W326" s="5">
        <v>39535</v>
      </c>
      <c r="X326" s="6">
        <v>2</v>
      </c>
      <c r="Y326" s="6">
        <v>1</v>
      </c>
      <c r="Z326" s="6">
        <v>2</v>
      </c>
      <c r="AA326" s="6" t="s">
        <v>178</v>
      </c>
      <c r="AB326" s="6">
        <v>2</v>
      </c>
      <c r="AC326" s="6" t="s">
        <v>180</v>
      </c>
    </row>
    <row r="327" spans="1:29" x14ac:dyDescent="0.25">
      <c r="A327" s="145" t="str">
        <f>HYPERLINK("http://www.ofsted.gov.uk/inspection-reports/find-inspection-report/provider/ELS/53879  ","Ofsted Webpage")</f>
        <v>Ofsted Webpage</v>
      </c>
      <c r="B327" s="151">
        <v>53879</v>
      </c>
      <c r="C327" s="151">
        <v>10005089</v>
      </c>
      <c r="D327" s="46" t="s">
        <v>2596</v>
      </c>
      <c r="E327" s="26" t="s">
        <v>78</v>
      </c>
      <c r="F327" s="26" t="s">
        <v>79</v>
      </c>
      <c r="G327" s="26" t="s">
        <v>1128</v>
      </c>
      <c r="H327" s="26" t="s">
        <v>187</v>
      </c>
      <c r="I327" s="26" t="s">
        <v>188</v>
      </c>
      <c r="J327" s="2">
        <v>42552</v>
      </c>
      <c r="K327" s="141">
        <v>1</v>
      </c>
      <c r="L327" s="141" t="s">
        <v>2597</v>
      </c>
      <c r="M327" s="26" t="s">
        <v>445</v>
      </c>
      <c r="N327" s="2">
        <v>40855</v>
      </c>
      <c r="O327" s="2">
        <v>40858</v>
      </c>
      <c r="P327" s="133">
        <v>40892</v>
      </c>
      <c r="Q327" s="6">
        <v>2</v>
      </c>
      <c r="R327" s="6">
        <v>2</v>
      </c>
      <c r="S327" s="6">
        <v>1</v>
      </c>
      <c r="T327" s="120" t="s">
        <v>178</v>
      </c>
      <c r="U327" s="6">
        <v>2</v>
      </c>
      <c r="V327" s="6" t="s">
        <v>2598</v>
      </c>
      <c r="W327" s="5">
        <v>39374</v>
      </c>
      <c r="X327" s="6">
        <v>2</v>
      </c>
      <c r="Y327" s="6">
        <v>2</v>
      </c>
      <c r="Z327" s="6">
        <v>3</v>
      </c>
      <c r="AA327" s="6" t="s">
        <v>178</v>
      </c>
      <c r="AB327" s="6">
        <v>3</v>
      </c>
      <c r="AC327" s="6" t="s">
        <v>180</v>
      </c>
    </row>
    <row r="328" spans="1:29" x14ac:dyDescent="0.25">
      <c r="A328" s="145" t="str">
        <f>HYPERLINK("http://www.ofsted.gov.uk/inspection-reports/find-inspection-report/provider/ELS/53895  ","Ofsted Webpage")</f>
        <v>Ofsted Webpage</v>
      </c>
      <c r="B328" s="151">
        <v>53895</v>
      </c>
      <c r="C328" s="151">
        <v>10005101</v>
      </c>
      <c r="D328" s="46" t="s">
        <v>2599</v>
      </c>
      <c r="E328" s="26" t="s">
        <v>78</v>
      </c>
      <c r="F328" s="26" t="s">
        <v>79</v>
      </c>
      <c r="G328" s="26" t="s">
        <v>223</v>
      </c>
      <c r="H328" s="26" t="s">
        <v>193</v>
      </c>
      <c r="I328" s="26" t="s">
        <v>193</v>
      </c>
      <c r="J328" s="2" t="s">
        <v>72</v>
      </c>
      <c r="K328" s="141" t="s">
        <v>72</v>
      </c>
      <c r="L328" s="141">
        <v>10004989</v>
      </c>
      <c r="M328" s="26" t="s">
        <v>475</v>
      </c>
      <c r="N328" s="2">
        <v>42339</v>
      </c>
      <c r="O328" s="2">
        <v>42342</v>
      </c>
      <c r="P328" s="133">
        <v>42390</v>
      </c>
      <c r="Q328" s="6">
        <v>2</v>
      </c>
      <c r="R328" s="6">
        <v>2</v>
      </c>
      <c r="S328" s="6">
        <v>2</v>
      </c>
      <c r="T328" s="6">
        <v>2</v>
      </c>
      <c r="U328" s="6">
        <v>2</v>
      </c>
      <c r="V328" s="6" t="s">
        <v>2600</v>
      </c>
      <c r="W328" s="5">
        <v>41809</v>
      </c>
      <c r="X328" s="6">
        <v>3</v>
      </c>
      <c r="Y328" s="6">
        <v>3</v>
      </c>
      <c r="Z328" s="6">
        <v>3</v>
      </c>
      <c r="AA328" s="6" t="s">
        <v>178</v>
      </c>
      <c r="AB328" s="6">
        <v>3</v>
      </c>
      <c r="AC328" s="6" t="s">
        <v>216</v>
      </c>
    </row>
    <row r="329" spans="1:29" x14ac:dyDescent="0.25">
      <c r="A329" s="145" t="str">
        <f>HYPERLINK("http://www.ofsted.gov.uk/inspection-reports/find-inspection-report/provider/ELS/53927  ","Ofsted Webpage")</f>
        <v>Ofsted Webpage</v>
      </c>
      <c r="B329" s="151">
        <v>53927</v>
      </c>
      <c r="C329" s="151">
        <v>10005126</v>
      </c>
      <c r="D329" s="46" t="s">
        <v>1169</v>
      </c>
      <c r="E329" s="26" t="s">
        <v>75</v>
      </c>
      <c r="F329" s="26" t="s">
        <v>76</v>
      </c>
      <c r="G329" s="26" t="s">
        <v>775</v>
      </c>
      <c r="H329" s="26" t="s">
        <v>198</v>
      </c>
      <c r="I329" s="26" t="s">
        <v>198</v>
      </c>
      <c r="J329" s="2" t="s">
        <v>72</v>
      </c>
      <c r="K329" s="141" t="s">
        <v>72</v>
      </c>
      <c r="L329" s="141">
        <v>10011502</v>
      </c>
      <c r="M329" s="26" t="s">
        <v>308</v>
      </c>
      <c r="N329" s="2">
        <v>42486</v>
      </c>
      <c r="O329" s="2">
        <v>42489</v>
      </c>
      <c r="P329" s="133">
        <v>42528</v>
      </c>
      <c r="Q329" s="6">
        <v>2</v>
      </c>
      <c r="R329" s="6">
        <v>2</v>
      </c>
      <c r="S329" s="6">
        <v>2</v>
      </c>
      <c r="T329" s="6">
        <v>2</v>
      </c>
      <c r="U329" s="6">
        <v>2</v>
      </c>
      <c r="V329" s="6" t="s">
        <v>1170</v>
      </c>
      <c r="W329" s="5">
        <v>41593</v>
      </c>
      <c r="X329" s="6">
        <v>2</v>
      </c>
      <c r="Y329" s="6">
        <v>2</v>
      </c>
      <c r="Z329" s="6">
        <v>2</v>
      </c>
      <c r="AA329" s="6" t="s">
        <v>178</v>
      </c>
      <c r="AB329" s="6">
        <v>2</v>
      </c>
      <c r="AC329" s="6" t="s">
        <v>180</v>
      </c>
    </row>
    <row r="330" spans="1:29" x14ac:dyDescent="0.25">
      <c r="A330" s="145" t="str">
        <f>HYPERLINK("http://www.ofsted.gov.uk/inspection-reports/find-inspection-report/provider/ELS/53936  ","Ofsted Webpage")</f>
        <v>Ofsted Webpage</v>
      </c>
      <c r="B330" s="151">
        <v>53936</v>
      </c>
      <c r="C330" s="151">
        <v>10005143</v>
      </c>
      <c r="D330" s="46" t="s">
        <v>838</v>
      </c>
      <c r="E330" s="26" t="s">
        <v>75</v>
      </c>
      <c r="F330" s="26" t="s">
        <v>76</v>
      </c>
      <c r="G330" s="26" t="s">
        <v>516</v>
      </c>
      <c r="H330" s="26" t="s">
        <v>198</v>
      </c>
      <c r="I330" s="26" t="s">
        <v>198</v>
      </c>
      <c r="J330" s="2">
        <v>42853</v>
      </c>
      <c r="K330" s="141">
        <v>1</v>
      </c>
      <c r="L330" s="141" t="s">
        <v>839</v>
      </c>
      <c r="M330" s="26" t="s">
        <v>549</v>
      </c>
      <c r="N330" s="2">
        <v>42170</v>
      </c>
      <c r="O330" s="2">
        <v>42174</v>
      </c>
      <c r="P330" s="133">
        <v>42207</v>
      </c>
      <c r="Q330" s="6">
        <v>2</v>
      </c>
      <c r="R330" s="6">
        <v>2</v>
      </c>
      <c r="S330" s="6">
        <v>2</v>
      </c>
      <c r="T330" s="120" t="s">
        <v>178</v>
      </c>
      <c r="U330" s="6">
        <v>2</v>
      </c>
      <c r="V330" s="6" t="s">
        <v>840</v>
      </c>
      <c r="W330" s="5">
        <v>40970</v>
      </c>
      <c r="X330" s="6">
        <v>2</v>
      </c>
      <c r="Y330" s="6">
        <v>2</v>
      </c>
      <c r="Z330" s="6">
        <v>2</v>
      </c>
      <c r="AA330" s="6" t="s">
        <v>178</v>
      </c>
      <c r="AB330" s="6">
        <v>2</v>
      </c>
      <c r="AC330" s="6" t="s">
        <v>180</v>
      </c>
    </row>
    <row r="331" spans="1:29" x14ac:dyDescent="0.25">
      <c r="A331" s="145" t="str">
        <f>HYPERLINK("http://www.ofsted.gov.uk/inspection-reports/find-inspection-report/provider/ELS/53941  ","Ofsted Webpage")</f>
        <v>Ofsted Webpage</v>
      </c>
      <c r="B331" s="151">
        <v>53941</v>
      </c>
      <c r="C331" s="151">
        <v>10005157</v>
      </c>
      <c r="D331" s="46" t="s">
        <v>1171</v>
      </c>
      <c r="E331" s="26" t="s">
        <v>75</v>
      </c>
      <c r="F331" s="26" t="s">
        <v>76</v>
      </c>
      <c r="G331" s="26" t="s">
        <v>1004</v>
      </c>
      <c r="H331" s="26" t="s">
        <v>219</v>
      </c>
      <c r="I331" s="26" t="s">
        <v>219</v>
      </c>
      <c r="J331" s="2" t="s">
        <v>72</v>
      </c>
      <c r="K331" s="141" t="s">
        <v>72</v>
      </c>
      <c r="L331" s="141">
        <v>10004991</v>
      </c>
      <c r="M331" s="26" t="s">
        <v>308</v>
      </c>
      <c r="N331" s="2">
        <v>42422</v>
      </c>
      <c r="O331" s="2">
        <v>42425</v>
      </c>
      <c r="P331" s="133">
        <v>42444</v>
      </c>
      <c r="Q331" s="6">
        <v>2</v>
      </c>
      <c r="R331" s="6">
        <v>2</v>
      </c>
      <c r="S331" s="6">
        <v>2</v>
      </c>
      <c r="T331" s="6">
        <v>2</v>
      </c>
      <c r="U331" s="6">
        <v>2</v>
      </c>
      <c r="V331" s="6" t="s">
        <v>1172</v>
      </c>
      <c r="W331" s="5">
        <v>41585</v>
      </c>
      <c r="X331" s="6">
        <v>2</v>
      </c>
      <c r="Y331" s="6">
        <v>1</v>
      </c>
      <c r="Z331" s="6">
        <v>2</v>
      </c>
      <c r="AA331" s="6" t="s">
        <v>178</v>
      </c>
      <c r="AB331" s="6">
        <v>2</v>
      </c>
      <c r="AC331" s="6" t="s">
        <v>180</v>
      </c>
    </row>
    <row r="332" spans="1:29" x14ac:dyDescent="0.25">
      <c r="A332" s="145" t="str">
        <f>HYPERLINK("http://www.ofsted.gov.uk/inspection-reports/find-inspection-report/provider/ELS/53951  ","Ofsted Webpage")</f>
        <v>Ofsted Webpage</v>
      </c>
      <c r="B332" s="151">
        <v>53951</v>
      </c>
      <c r="C332" s="151">
        <v>10005172</v>
      </c>
      <c r="D332" s="46" t="s">
        <v>2603</v>
      </c>
      <c r="E332" s="26" t="s">
        <v>78</v>
      </c>
      <c r="F332" s="26" t="s">
        <v>79</v>
      </c>
      <c r="G332" s="26" t="s">
        <v>296</v>
      </c>
      <c r="H332" s="26" t="s">
        <v>287</v>
      </c>
      <c r="I332" s="26" t="s">
        <v>287</v>
      </c>
      <c r="J332" s="2">
        <v>42753</v>
      </c>
      <c r="K332" s="141">
        <v>1</v>
      </c>
      <c r="L332" s="141" t="s">
        <v>2604</v>
      </c>
      <c r="M332" s="26" t="s">
        <v>333</v>
      </c>
      <c r="N332" s="2">
        <v>40728</v>
      </c>
      <c r="O332" s="2">
        <v>40732</v>
      </c>
      <c r="P332" s="133">
        <v>40768</v>
      </c>
      <c r="Q332" s="6">
        <v>2</v>
      </c>
      <c r="R332" s="6">
        <v>2</v>
      </c>
      <c r="S332" s="6">
        <v>2</v>
      </c>
      <c r="T332" s="120" t="s">
        <v>178</v>
      </c>
      <c r="U332" s="6">
        <v>2</v>
      </c>
      <c r="V332" s="6" t="s">
        <v>2605</v>
      </c>
      <c r="W332" s="5">
        <v>38862</v>
      </c>
      <c r="X332" s="6">
        <v>2</v>
      </c>
      <c r="Y332" s="6" t="s">
        <v>178</v>
      </c>
      <c r="Z332" s="6" t="s">
        <v>178</v>
      </c>
      <c r="AA332" s="6" t="s">
        <v>178</v>
      </c>
      <c r="AB332" s="6">
        <v>2</v>
      </c>
      <c r="AC332" s="6" t="s">
        <v>180</v>
      </c>
    </row>
    <row r="333" spans="1:29" x14ac:dyDescent="0.25">
      <c r="A333" s="145" t="str">
        <f>HYPERLINK("http://www.ofsted.gov.uk/inspection-reports/find-inspection-report/provider/ELS/53981  ","Ofsted Webpage")</f>
        <v>Ofsted Webpage</v>
      </c>
      <c r="B333" s="151">
        <v>53981</v>
      </c>
      <c r="C333" s="151">
        <v>10021842</v>
      </c>
      <c r="D333" s="46" t="s">
        <v>2705</v>
      </c>
      <c r="E333" s="26" t="s">
        <v>78</v>
      </c>
      <c r="F333" s="26" t="s">
        <v>79</v>
      </c>
      <c r="G333" s="26" t="s">
        <v>542</v>
      </c>
      <c r="H333" s="26" t="s">
        <v>238</v>
      </c>
      <c r="I333" s="26" t="s">
        <v>238</v>
      </c>
      <c r="J333" s="2" t="s">
        <v>72</v>
      </c>
      <c r="K333" s="141" t="s">
        <v>72</v>
      </c>
      <c r="L333" s="141">
        <v>10022616</v>
      </c>
      <c r="M333" s="26" t="s">
        <v>448</v>
      </c>
      <c r="N333" s="2">
        <v>42800</v>
      </c>
      <c r="O333" s="2">
        <v>42803</v>
      </c>
      <c r="P333" s="133">
        <v>42838</v>
      </c>
      <c r="Q333" s="6">
        <v>3</v>
      </c>
      <c r="R333" s="6">
        <v>3</v>
      </c>
      <c r="S333" s="6">
        <v>3</v>
      </c>
      <c r="T333" s="6">
        <v>3</v>
      </c>
      <c r="U333" s="6">
        <v>3</v>
      </c>
      <c r="V333" s="6" t="s">
        <v>2706</v>
      </c>
      <c r="W333" s="5">
        <v>42125</v>
      </c>
      <c r="X333" s="6">
        <v>3</v>
      </c>
      <c r="Y333" s="6">
        <v>3</v>
      </c>
      <c r="Z333" s="6">
        <v>3</v>
      </c>
      <c r="AA333" s="6" t="s">
        <v>178</v>
      </c>
      <c r="AB333" s="6">
        <v>3</v>
      </c>
      <c r="AC333" s="6" t="s">
        <v>180</v>
      </c>
    </row>
    <row r="334" spans="1:29" x14ac:dyDescent="0.25">
      <c r="A334" s="145" t="str">
        <f>HYPERLINK("http://www.ofsted.gov.uk/inspection-reports/find-inspection-report/provider/ELS/53982  ","Ofsted Webpage")</f>
        <v>Ofsted Webpage</v>
      </c>
      <c r="B334" s="151">
        <v>53982</v>
      </c>
      <c r="C334" s="151">
        <v>10005237</v>
      </c>
      <c r="D334" s="46" t="s">
        <v>2953</v>
      </c>
      <c r="E334" s="26" t="s">
        <v>78</v>
      </c>
      <c r="F334" s="26" t="s">
        <v>79</v>
      </c>
      <c r="G334" s="26" t="s">
        <v>1249</v>
      </c>
      <c r="H334" s="26" t="s">
        <v>175</v>
      </c>
      <c r="I334" s="26" t="s">
        <v>175</v>
      </c>
      <c r="J334" s="2" t="s">
        <v>72</v>
      </c>
      <c r="K334" s="141" t="s">
        <v>72</v>
      </c>
      <c r="L334" s="141" t="s">
        <v>2954</v>
      </c>
      <c r="M334" s="26" t="s">
        <v>342</v>
      </c>
      <c r="N334" s="2">
        <v>42171</v>
      </c>
      <c r="O334" s="2">
        <v>42173</v>
      </c>
      <c r="P334" s="133">
        <v>42208</v>
      </c>
      <c r="Q334" s="6">
        <v>2</v>
      </c>
      <c r="R334" s="6">
        <v>2</v>
      </c>
      <c r="S334" s="6">
        <v>2</v>
      </c>
      <c r="T334" s="120" t="s">
        <v>178</v>
      </c>
      <c r="U334" s="6">
        <v>2</v>
      </c>
      <c r="V334" s="6" t="s">
        <v>2955</v>
      </c>
      <c r="W334" s="5">
        <v>41200</v>
      </c>
      <c r="X334" s="6">
        <v>3</v>
      </c>
      <c r="Y334" s="6">
        <v>2</v>
      </c>
      <c r="Z334" s="6">
        <v>3</v>
      </c>
      <c r="AA334" s="6" t="s">
        <v>178</v>
      </c>
      <c r="AB334" s="6">
        <v>3</v>
      </c>
      <c r="AC334" s="6" t="s">
        <v>216</v>
      </c>
    </row>
    <row r="335" spans="1:29" x14ac:dyDescent="0.25">
      <c r="A335" s="145" t="str">
        <f>HYPERLINK("http://www.ofsted.gov.uk/inspection-reports/find-inspection-report/provider/ELS/53992  ","Ofsted Webpage")</f>
        <v>Ofsted Webpage</v>
      </c>
      <c r="B335" s="151">
        <v>53992</v>
      </c>
      <c r="C335" s="151">
        <v>10005250</v>
      </c>
      <c r="D335" s="46" t="s">
        <v>2711</v>
      </c>
      <c r="E335" s="26" t="s">
        <v>78</v>
      </c>
      <c r="F335" s="26" t="s">
        <v>79</v>
      </c>
      <c r="G335" s="26" t="s">
        <v>530</v>
      </c>
      <c r="H335" s="26" t="s">
        <v>193</v>
      </c>
      <c r="I335" s="26" t="s">
        <v>193</v>
      </c>
      <c r="J335" s="2" t="s">
        <v>72</v>
      </c>
      <c r="K335" s="141" t="s">
        <v>72</v>
      </c>
      <c r="L335" s="141" t="s">
        <v>2712</v>
      </c>
      <c r="M335" s="26" t="s">
        <v>466</v>
      </c>
      <c r="N335" s="2">
        <v>42135</v>
      </c>
      <c r="O335" s="2">
        <v>42139</v>
      </c>
      <c r="P335" s="133">
        <v>42173</v>
      </c>
      <c r="Q335" s="6">
        <v>2</v>
      </c>
      <c r="R335" s="6">
        <v>2</v>
      </c>
      <c r="S335" s="6">
        <v>2</v>
      </c>
      <c r="T335" s="120" t="s">
        <v>178</v>
      </c>
      <c r="U335" s="6">
        <v>2</v>
      </c>
      <c r="V335" s="6" t="s">
        <v>2713</v>
      </c>
      <c r="W335" s="5">
        <v>40571</v>
      </c>
      <c r="X335" s="6">
        <v>2</v>
      </c>
      <c r="Y335" s="6">
        <v>2</v>
      </c>
      <c r="Z335" s="6">
        <v>2</v>
      </c>
      <c r="AA335" s="6" t="s">
        <v>178</v>
      </c>
      <c r="AB335" s="6">
        <v>2</v>
      </c>
      <c r="AC335" s="6" t="s">
        <v>180</v>
      </c>
    </row>
    <row r="336" spans="1:29" x14ac:dyDescent="0.25">
      <c r="A336" s="145" t="str">
        <f>HYPERLINK("http://www.ofsted.gov.uk/inspection-reports/find-inspection-report/provider/ELS/53998  ","Ofsted Webpage")</f>
        <v>Ofsted Webpage</v>
      </c>
      <c r="B336" s="151">
        <v>53998</v>
      </c>
      <c r="C336" s="151">
        <v>10005261</v>
      </c>
      <c r="D336" s="46" t="s">
        <v>2714</v>
      </c>
      <c r="E336" s="26" t="s">
        <v>78</v>
      </c>
      <c r="F336" s="26" t="s">
        <v>79</v>
      </c>
      <c r="G336" s="26" t="s">
        <v>447</v>
      </c>
      <c r="H336" s="26" t="s">
        <v>198</v>
      </c>
      <c r="I336" s="26" t="s">
        <v>198</v>
      </c>
      <c r="J336" s="2" t="s">
        <v>72</v>
      </c>
      <c r="K336" s="141" t="s">
        <v>72</v>
      </c>
      <c r="L336" s="141">
        <v>10020191</v>
      </c>
      <c r="M336" s="26" t="s">
        <v>211</v>
      </c>
      <c r="N336" s="2">
        <v>42612</v>
      </c>
      <c r="O336" s="2">
        <v>42615</v>
      </c>
      <c r="P336" s="133">
        <v>42647</v>
      </c>
      <c r="Q336" s="6">
        <v>2</v>
      </c>
      <c r="R336" s="6">
        <v>2</v>
      </c>
      <c r="S336" s="6">
        <v>2</v>
      </c>
      <c r="T336" s="6">
        <v>2</v>
      </c>
      <c r="U336" s="6">
        <v>2</v>
      </c>
      <c r="V336" s="6" t="s">
        <v>2715</v>
      </c>
      <c r="W336" s="5">
        <v>41621</v>
      </c>
      <c r="X336" s="6">
        <v>2</v>
      </c>
      <c r="Y336" s="6">
        <v>2</v>
      </c>
      <c r="Z336" s="6">
        <v>2</v>
      </c>
      <c r="AA336" s="6" t="s">
        <v>178</v>
      </c>
      <c r="AB336" s="6">
        <v>2</v>
      </c>
      <c r="AC336" s="6" t="s">
        <v>180</v>
      </c>
    </row>
    <row r="337" spans="1:29" x14ac:dyDescent="0.25">
      <c r="A337" s="145" t="str">
        <f>HYPERLINK("http://www.ofsted.gov.uk/inspection-reports/find-inspection-report/provider/ELS/54006  ","Ofsted Webpage")</f>
        <v>Ofsted Webpage</v>
      </c>
      <c r="B337" s="151">
        <v>54006</v>
      </c>
      <c r="C337" s="151">
        <v>10005264</v>
      </c>
      <c r="D337" s="46" t="s">
        <v>2484</v>
      </c>
      <c r="E337" s="26" t="s">
        <v>78</v>
      </c>
      <c r="F337" s="26" t="s">
        <v>79</v>
      </c>
      <c r="G337" s="26" t="s">
        <v>324</v>
      </c>
      <c r="H337" s="26" t="s">
        <v>214</v>
      </c>
      <c r="I337" s="26" t="s">
        <v>214</v>
      </c>
      <c r="J337" s="2">
        <v>42468</v>
      </c>
      <c r="K337" s="141">
        <v>1</v>
      </c>
      <c r="L337" s="141" t="s">
        <v>2485</v>
      </c>
      <c r="M337" s="26" t="s">
        <v>445</v>
      </c>
      <c r="N337" s="2">
        <v>40973</v>
      </c>
      <c r="O337" s="2">
        <v>40977</v>
      </c>
      <c r="P337" s="133">
        <v>41016</v>
      </c>
      <c r="Q337" s="6">
        <v>2</v>
      </c>
      <c r="R337" s="6">
        <v>2</v>
      </c>
      <c r="S337" s="6">
        <v>2</v>
      </c>
      <c r="T337" s="120" t="s">
        <v>178</v>
      </c>
      <c r="U337" s="6">
        <v>2</v>
      </c>
      <c r="V337" s="6" t="s">
        <v>2486</v>
      </c>
      <c r="W337" s="5">
        <v>39542</v>
      </c>
      <c r="X337" s="6">
        <v>2</v>
      </c>
      <c r="Y337" s="6">
        <v>2</v>
      </c>
      <c r="Z337" s="6">
        <v>2</v>
      </c>
      <c r="AA337" s="6" t="s">
        <v>178</v>
      </c>
      <c r="AB337" s="6">
        <v>2</v>
      </c>
      <c r="AC337" s="6" t="s">
        <v>180</v>
      </c>
    </row>
    <row r="338" spans="1:29" x14ac:dyDescent="0.25">
      <c r="A338" s="145" t="str">
        <f>HYPERLINK("http://www.ofsted.gov.uk/inspection-reports/find-inspection-report/provider/ELS/54008  ","Ofsted Webpage")</f>
        <v>Ofsted Webpage</v>
      </c>
      <c r="B338" s="151">
        <v>54008</v>
      </c>
      <c r="C338" s="151">
        <v>10005268</v>
      </c>
      <c r="D338" s="46" t="s">
        <v>2487</v>
      </c>
      <c r="E338" s="26" t="s">
        <v>78</v>
      </c>
      <c r="F338" s="26" t="s">
        <v>79</v>
      </c>
      <c r="G338" s="26" t="s">
        <v>223</v>
      </c>
      <c r="H338" s="26" t="s">
        <v>193</v>
      </c>
      <c r="I338" s="26" t="s">
        <v>193</v>
      </c>
      <c r="J338" s="2" t="s">
        <v>72</v>
      </c>
      <c r="K338" s="141" t="s">
        <v>72</v>
      </c>
      <c r="L338" s="141" t="s">
        <v>2488</v>
      </c>
      <c r="M338" s="26" t="s">
        <v>2175</v>
      </c>
      <c r="N338" s="2">
        <v>39030</v>
      </c>
      <c r="O338" s="2">
        <v>39030</v>
      </c>
      <c r="P338" s="133">
        <v>39073</v>
      </c>
      <c r="Q338" s="6">
        <v>1</v>
      </c>
      <c r="R338" s="6" t="s">
        <v>178</v>
      </c>
      <c r="S338" s="6" t="s">
        <v>178</v>
      </c>
      <c r="T338" s="120" t="s">
        <v>178</v>
      </c>
      <c r="U338" s="6">
        <v>1</v>
      </c>
      <c r="V338" s="6" t="s">
        <v>72</v>
      </c>
      <c r="W338" s="5" t="s">
        <v>72</v>
      </c>
      <c r="X338" s="6" t="s">
        <v>72</v>
      </c>
      <c r="Y338" s="6" t="s">
        <v>72</v>
      </c>
      <c r="Z338" s="6" t="s">
        <v>72</v>
      </c>
      <c r="AA338" s="6" t="s">
        <v>72</v>
      </c>
      <c r="AB338" s="6" t="s">
        <v>72</v>
      </c>
      <c r="AC338" s="6" t="s">
        <v>208</v>
      </c>
    </row>
    <row r="339" spans="1:29" x14ac:dyDescent="0.25">
      <c r="A339" s="145" t="str">
        <f>HYPERLINK("http://www.ofsted.gov.uk/inspection-reports/find-inspection-report/provider/ELS/54014  ","Ofsted Webpage")</f>
        <v>Ofsted Webpage</v>
      </c>
      <c r="B339" s="151">
        <v>54014</v>
      </c>
      <c r="C339" s="151">
        <v>10005277</v>
      </c>
      <c r="D339" s="46" t="s">
        <v>2724</v>
      </c>
      <c r="E339" s="26" t="s">
        <v>78</v>
      </c>
      <c r="F339" s="26" t="s">
        <v>79</v>
      </c>
      <c r="G339" s="26" t="s">
        <v>802</v>
      </c>
      <c r="H339" s="26" t="s">
        <v>198</v>
      </c>
      <c r="I339" s="26" t="s">
        <v>198</v>
      </c>
      <c r="J339" s="2" t="s">
        <v>72</v>
      </c>
      <c r="K339" s="141" t="s">
        <v>72</v>
      </c>
      <c r="L339" s="141" t="s">
        <v>2725</v>
      </c>
      <c r="M339" s="26" t="s">
        <v>445</v>
      </c>
      <c r="N339" s="2">
        <v>40749</v>
      </c>
      <c r="O339" s="2">
        <v>40753</v>
      </c>
      <c r="P339" s="133">
        <v>40791</v>
      </c>
      <c r="Q339" s="6">
        <v>1</v>
      </c>
      <c r="R339" s="6">
        <v>1</v>
      </c>
      <c r="S339" s="6">
        <v>2</v>
      </c>
      <c r="T339" s="120" t="s">
        <v>178</v>
      </c>
      <c r="U339" s="6">
        <v>1</v>
      </c>
      <c r="V339" s="6" t="s">
        <v>72</v>
      </c>
      <c r="W339" s="5" t="s">
        <v>72</v>
      </c>
      <c r="X339" s="6" t="s">
        <v>72</v>
      </c>
      <c r="Y339" s="6" t="s">
        <v>72</v>
      </c>
      <c r="Z339" s="6" t="s">
        <v>72</v>
      </c>
      <c r="AA339" s="6" t="s">
        <v>72</v>
      </c>
      <c r="AB339" s="6" t="s">
        <v>72</v>
      </c>
      <c r="AC339" s="6" t="s">
        <v>208</v>
      </c>
    </row>
    <row r="340" spans="1:29" x14ac:dyDescent="0.25">
      <c r="A340" s="145" t="str">
        <f>HYPERLINK("http://www.ofsted.gov.uk/inspection-reports/find-inspection-report/provider/ELS/54022  ","Ofsted Webpage")</f>
        <v>Ofsted Webpage</v>
      </c>
      <c r="B340" s="151">
        <v>54022</v>
      </c>
      <c r="C340" s="151">
        <v>10003375</v>
      </c>
      <c r="D340" s="46" t="s">
        <v>2490</v>
      </c>
      <c r="E340" s="26" t="s">
        <v>78</v>
      </c>
      <c r="F340" s="26" t="s">
        <v>79</v>
      </c>
      <c r="G340" s="26" t="s">
        <v>364</v>
      </c>
      <c r="H340" s="26" t="s">
        <v>219</v>
      </c>
      <c r="I340" s="26" t="s">
        <v>219</v>
      </c>
      <c r="J340" s="2" t="s">
        <v>72</v>
      </c>
      <c r="K340" s="141" t="s">
        <v>72</v>
      </c>
      <c r="L340" s="141" t="s">
        <v>2491</v>
      </c>
      <c r="M340" s="26" t="s">
        <v>466</v>
      </c>
      <c r="N340" s="2">
        <v>41568</v>
      </c>
      <c r="O340" s="2">
        <v>41572</v>
      </c>
      <c r="P340" s="133">
        <v>41607</v>
      </c>
      <c r="Q340" s="6">
        <v>1</v>
      </c>
      <c r="R340" s="6">
        <v>1</v>
      </c>
      <c r="S340" s="6">
        <v>1</v>
      </c>
      <c r="T340" s="120" t="s">
        <v>178</v>
      </c>
      <c r="U340" s="6">
        <v>1</v>
      </c>
      <c r="V340" s="6" t="s">
        <v>72</v>
      </c>
      <c r="W340" s="5" t="s">
        <v>72</v>
      </c>
      <c r="X340" s="6" t="s">
        <v>72</v>
      </c>
      <c r="Y340" s="6" t="s">
        <v>72</v>
      </c>
      <c r="Z340" s="6" t="s">
        <v>72</v>
      </c>
      <c r="AA340" s="6" t="s">
        <v>72</v>
      </c>
      <c r="AB340" s="6" t="s">
        <v>72</v>
      </c>
      <c r="AC340" s="6" t="s">
        <v>208</v>
      </c>
    </row>
    <row r="341" spans="1:29" x14ac:dyDescent="0.25">
      <c r="A341" s="145" t="str">
        <f>HYPERLINK("http://www.ofsted.gov.uk/inspection-reports/find-inspection-report/provider/ELS/54026  ","Ofsted Webpage")</f>
        <v>Ofsted Webpage</v>
      </c>
      <c r="B341" s="151">
        <v>54026</v>
      </c>
      <c r="C341" s="151">
        <v>10002264</v>
      </c>
      <c r="D341" s="46" t="s">
        <v>1200</v>
      </c>
      <c r="E341" s="26" t="s">
        <v>80</v>
      </c>
      <c r="F341" s="26" t="s">
        <v>79</v>
      </c>
      <c r="G341" s="26" t="s">
        <v>294</v>
      </c>
      <c r="H341" s="26" t="s">
        <v>198</v>
      </c>
      <c r="I341" s="26" t="s">
        <v>198</v>
      </c>
      <c r="J341" s="2">
        <v>42481</v>
      </c>
      <c r="K341" s="141">
        <v>1</v>
      </c>
      <c r="L341" s="141" t="s">
        <v>1201</v>
      </c>
      <c r="M341" s="26" t="s">
        <v>445</v>
      </c>
      <c r="N341" s="2">
        <v>40939</v>
      </c>
      <c r="O341" s="2">
        <v>40942</v>
      </c>
      <c r="P341" s="133">
        <v>41031</v>
      </c>
      <c r="Q341" s="6">
        <v>2</v>
      </c>
      <c r="R341" s="6">
        <v>1</v>
      </c>
      <c r="S341" s="6">
        <v>2</v>
      </c>
      <c r="T341" s="120" t="s">
        <v>178</v>
      </c>
      <c r="U341" s="6">
        <v>2</v>
      </c>
      <c r="V341" s="6" t="s">
        <v>1202</v>
      </c>
      <c r="W341" s="5">
        <v>39499</v>
      </c>
      <c r="X341" s="6">
        <v>3</v>
      </c>
      <c r="Y341" s="6">
        <v>2</v>
      </c>
      <c r="Z341" s="6">
        <v>2</v>
      </c>
      <c r="AA341" s="6" t="s">
        <v>178</v>
      </c>
      <c r="AB341" s="6">
        <v>3</v>
      </c>
      <c r="AC341" s="6" t="s">
        <v>216</v>
      </c>
    </row>
    <row r="342" spans="1:29" x14ac:dyDescent="0.25">
      <c r="A342" s="145" t="str">
        <f>HYPERLINK("http://www.ofsted.gov.uk/inspection-reports/find-inspection-report/provider/ELS/54038  ","Ofsted Webpage")</f>
        <v>Ofsted Webpage</v>
      </c>
      <c r="B342" s="151">
        <v>54038</v>
      </c>
      <c r="C342" s="151">
        <v>10005319</v>
      </c>
      <c r="D342" s="46" t="s">
        <v>2495</v>
      </c>
      <c r="E342" s="26" t="s">
        <v>78</v>
      </c>
      <c r="F342" s="26" t="s">
        <v>79</v>
      </c>
      <c r="G342" s="26" t="s">
        <v>590</v>
      </c>
      <c r="H342" s="26" t="s">
        <v>219</v>
      </c>
      <c r="I342" s="26" t="s">
        <v>219</v>
      </c>
      <c r="J342" s="2" t="s">
        <v>72</v>
      </c>
      <c r="K342" s="141" t="s">
        <v>72</v>
      </c>
      <c r="L342" s="141">
        <v>10011506</v>
      </c>
      <c r="M342" s="26" t="s">
        <v>183</v>
      </c>
      <c r="N342" s="2">
        <v>42548</v>
      </c>
      <c r="O342" s="2">
        <v>42551</v>
      </c>
      <c r="P342" s="133">
        <v>42585</v>
      </c>
      <c r="Q342" s="6">
        <v>2</v>
      </c>
      <c r="R342" s="6">
        <v>2</v>
      </c>
      <c r="S342" s="6">
        <v>2</v>
      </c>
      <c r="T342" s="6">
        <v>2</v>
      </c>
      <c r="U342" s="6">
        <v>2</v>
      </c>
      <c r="V342" s="6" t="s">
        <v>2496</v>
      </c>
      <c r="W342" s="5">
        <v>40347</v>
      </c>
      <c r="X342" s="6">
        <v>2</v>
      </c>
      <c r="Y342" s="6">
        <v>3</v>
      </c>
      <c r="Z342" s="6">
        <v>2</v>
      </c>
      <c r="AA342" s="6" t="s">
        <v>178</v>
      </c>
      <c r="AB342" s="6">
        <v>2</v>
      </c>
      <c r="AC342" s="6" t="s">
        <v>180</v>
      </c>
    </row>
    <row r="343" spans="1:29" x14ac:dyDescent="0.25">
      <c r="A343" s="145" t="str">
        <f>HYPERLINK("http://www.ofsted.gov.uk/inspection-reports/find-inspection-report/provider/ELS/54071  ","Ofsted Webpage")</f>
        <v>Ofsted Webpage</v>
      </c>
      <c r="B343" s="151">
        <v>54071</v>
      </c>
      <c r="C343" s="151">
        <v>10036345</v>
      </c>
      <c r="D343" s="46" t="s">
        <v>347</v>
      </c>
      <c r="E343" s="26" t="s">
        <v>77</v>
      </c>
      <c r="F343" s="26" t="s">
        <v>76</v>
      </c>
      <c r="G343" s="26" t="s">
        <v>348</v>
      </c>
      <c r="H343" s="26" t="s">
        <v>238</v>
      </c>
      <c r="I343" s="26" t="s">
        <v>238</v>
      </c>
      <c r="J343" s="2" t="s">
        <v>72</v>
      </c>
      <c r="K343" s="141" t="s">
        <v>72</v>
      </c>
      <c r="L343" s="141">
        <v>10030662</v>
      </c>
      <c r="M343" s="26" t="s">
        <v>189</v>
      </c>
      <c r="N343" s="2">
        <v>42871</v>
      </c>
      <c r="O343" s="2">
        <v>42874</v>
      </c>
      <c r="P343" s="133">
        <v>42909</v>
      </c>
      <c r="Q343" s="6">
        <v>2</v>
      </c>
      <c r="R343" s="6">
        <v>2</v>
      </c>
      <c r="S343" s="6">
        <v>2</v>
      </c>
      <c r="T343" s="6">
        <v>2</v>
      </c>
      <c r="U343" s="6">
        <v>2</v>
      </c>
      <c r="V343" s="6" t="s">
        <v>349</v>
      </c>
      <c r="W343" s="5">
        <v>41838</v>
      </c>
      <c r="X343" s="6">
        <v>2</v>
      </c>
      <c r="Y343" s="6">
        <v>2</v>
      </c>
      <c r="Z343" s="6">
        <v>2</v>
      </c>
      <c r="AA343" s="6" t="s">
        <v>178</v>
      </c>
      <c r="AB343" s="6">
        <v>2</v>
      </c>
      <c r="AC343" s="6" t="s">
        <v>180</v>
      </c>
    </row>
    <row r="344" spans="1:29" x14ac:dyDescent="0.25">
      <c r="A344" s="145" t="str">
        <f>HYPERLINK("http://www.ofsted.gov.uk/inspection-reports/find-inspection-report/provider/ELS/54075  ","Ofsted Webpage")</f>
        <v>Ofsted Webpage</v>
      </c>
      <c r="B344" s="151">
        <v>54075</v>
      </c>
      <c r="C344" s="151">
        <v>10005398</v>
      </c>
      <c r="D344" s="46" t="s">
        <v>315</v>
      </c>
      <c r="E344" s="26" t="s">
        <v>75</v>
      </c>
      <c r="F344" s="26" t="s">
        <v>76</v>
      </c>
      <c r="G344" s="26" t="s">
        <v>316</v>
      </c>
      <c r="H344" s="26" t="s">
        <v>219</v>
      </c>
      <c r="I344" s="26" t="s">
        <v>219</v>
      </c>
      <c r="J344" s="2" t="s">
        <v>72</v>
      </c>
      <c r="K344" s="141" t="s">
        <v>72</v>
      </c>
      <c r="L344" s="141">
        <v>10004996</v>
      </c>
      <c r="M344" s="26" t="s">
        <v>308</v>
      </c>
      <c r="N344" s="2">
        <v>42346</v>
      </c>
      <c r="O344" s="2">
        <v>42349</v>
      </c>
      <c r="P344" s="133">
        <v>42405</v>
      </c>
      <c r="Q344" s="6">
        <v>2</v>
      </c>
      <c r="R344" s="6">
        <v>2</v>
      </c>
      <c r="S344" s="6">
        <v>2</v>
      </c>
      <c r="T344" s="6">
        <v>2</v>
      </c>
      <c r="U344" s="6">
        <v>2</v>
      </c>
      <c r="V344" s="6" t="s">
        <v>317</v>
      </c>
      <c r="W344" s="5">
        <v>40872</v>
      </c>
      <c r="X344" s="6">
        <v>2</v>
      </c>
      <c r="Y344" s="6">
        <v>2</v>
      </c>
      <c r="Z344" s="6">
        <v>2</v>
      </c>
      <c r="AA344" s="6" t="s">
        <v>178</v>
      </c>
      <c r="AB344" s="6">
        <v>2</v>
      </c>
      <c r="AC344" s="6" t="s">
        <v>180</v>
      </c>
    </row>
    <row r="345" spans="1:29" x14ac:dyDescent="0.25">
      <c r="A345" s="145" t="str">
        <f>HYPERLINK("http://www.ofsted.gov.uk/inspection-reports/find-inspection-report/provider/ELS/54087  ","Ofsted Webpage")</f>
        <v>Ofsted Webpage</v>
      </c>
      <c r="B345" s="151">
        <v>54087</v>
      </c>
      <c r="C345" s="151">
        <v>10005413</v>
      </c>
      <c r="D345" s="46" t="s">
        <v>1176</v>
      </c>
      <c r="E345" s="26" t="s">
        <v>75</v>
      </c>
      <c r="F345" s="26" t="s">
        <v>76</v>
      </c>
      <c r="G345" s="26" t="s">
        <v>1085</v>
      </c>
      <c r="H345" s="26" t="s">
        <v>204</v>
      </c>
      <c r="I345" s="26" t="s">
        <v>188</v>
      </c>
      <c r="J345" s="2" t="s">
        <v>72</v>
      </c>
      <c r="K345" s="141" t="s">
        <v>72</v>
      </c>
      <c r="L345" s="141" t="s">
        <v>1177</v>
      </c>
      <c r="M345" s="26" t="s">
        <v>549</v>
      </c>
      <c r="N345" s="2">
        <v>41905</v>
      </c>
      <c r="O345" s="2">
        <v>41908</v>
      </c>
      <c r="P345" s="133">
        <v>41941</v>
      </c>
      <c r="Q345" s="6">
        <v>2</v>
      </c>
      <c r="R345" s="6">
        <v>2</v>
      </c>
      <c r="S345" s="6">
        <v>2</v>
      </c>
      <c r="T345" s="120" t="s">
        <v>178</v>
      </c>
      <c r="U345" s="6">
        <v>2</v>
      </c>
      <c r="V345" s="6" t="s">
        <v>1178</v>
      </c>
      <c r="W345" s="5">
        <v>39780</v>
      </c>
      <c r="X345" s="6">
        <v>2</v>
      </c>
      <c r="Y345" s="6">
        <v>3</v>
      </c>
      <c r="Z345" s="6">
        <v>2</v>
      </c>
      <c r="AA345" s="6" t="s">
        <v>178</v>
      </c>
      <c r="AB345" s="6">
        <v>2</v>
      </c>
      <c r="AC345" s="6" t="s">
        <v>180</v>
      </c>
    </row>
    <row r="346" spans="1:29" x14ac:dyDescent="0.25">
      <c r="A346" s="145" t="str">
        <f>HYPERLINK("http://www.ofsted.gov.uk/inspection-reports/find-inspection-report/provider/ELS/54096  ","Ofsted Webpage")</f>
        <v>Ofsted Webpage</v>
      </c>
      <c r="B346" s="151">
        <v>54096</v>
      </c>
      <c r="C346" s="151">
        <v>10005426</v>
      </c>
      <c r="D346" s="46" t="s">
        <v>2289</v>
      </c>
      <c r="E346" s="26" t="s">
        <v>78</v>
      </c>
      <c r="F346" s="26" t="s">
        <v>79</v>
      </c>
      <c r="G346" s="26" t="s">
        <v>361</v>
      </c>
      <c r="H346" s="26" t="s">
        <v>198</v>
      </c>
      <c r="I346" s="26" t="s">
        <v>198</v>
      </c>
      <c r="J346" s="2" t="s">
        <v>72</v>
      </c>
      <c r="K346" s="141" t="s">
        <v>72</v>
      </c>
      <c r="L346" s="141" t="s">
        <v>2290</v>
      </c>
      <c r="M346" s="26" t="s">
        <v>333</v>
      </c>
      <c r="N346" s="2">
        <v>40938</v>
      </c>
      <c r="O346" s="2">
        <v>40942</v>
      </c>
      <c r="P346" s="133">
        <v>40977</v>
      </c>
      <c r="Q346" s="6">
        <v>1</v>
      </c>
      <c r="R346" s="6">
        <v>1</v>
      </c>
      <c r="S346" s="6">
        <v>1</v>
      </c>
      <c r="T346" s="120" t="s">
        <v>178</v>
      </c>
      <c r="U346" s="6">
        <v>1</v>
      </c>
      <c r="V346" s="6" t="s">
        <v>2291</v>
      </c>
      <c r="W346" s="5">
        <v>38925</v>
      </c>
      <c r="X346" s="6">
        <v>2</v>
      </c>
      <c r="Y346" s="6" t="s">
        <v>178</v>
      </c>
      <c r="Z346" s="6" t="s">
        <v>178</v>
      </c>
      <c r="AA346" s="6" t="s">
        <v>178</v>
      </c>
      <c r="AB346" s="6">
        <v>2</v>
      </c>
      <c r="AC346" s="6" t="s">
        <v>216</v>
      </c>
    </row>
    <row r="347" spans="1:29" x14ac:dyDescent="0.25">
      <c r="A347" s="145" t="str">
        <f>HYPERLINK("http://www.ofsted.gov.uk/inspection-reports/find-inspection-report/provider/ELS/54113  ","Ofsted Webpage")</f>
        <v>Ofsted Webpage</v>
      </c>
      <c r="B347" s="151">
        <v>54113</v>
      </c>
      <c r="C347" s="151">
        <v>10005457</v>
      </c>
      <c r="D347" s="46" t="s">
        <v>2200</v>
      </c>
      <c r="E347" s="26" t="s">
        <v>78</v>
      </c>
      <c r="F347" s="26" t="s">
        <v>79</v>
      </c>
      <c r="G347" s="26" t="s">
        <v>452</v>
      </c>
      <c r="H347" s="26" t="s">
        <v>219</v>
      </c>
      <c r="I347" s="26" t="s">
        <v>219</v>
      </c>
      <c r="J347" s="2" t="s">
        <v>72</v>
      </c>
      <c r="K347" s="141" t="s">
        <v>72</v>
      </c>
      <c r="L347" s="141" t="s">
        <v>2201</v>
      </c>
      <c r="M347" s="26" t="s">
        <v>333</v>
      </c>
      <c r="N347" s="2">
        <v>41855</v>
      </c>
      <c r="O347" s="2">
        <v>41859</v>
      </c>
      <c r="P347" s="119">
        <v>41899</v>
      </c>
      <c r="Q347" s="6">
        <v>2</v>
      </c>
      <c r="R347" s="6">
        <v>2</v>
      </c>
      <c r="S347" s="6">
        <v>2</v>
      </c>
      <c r="T347" s="120" t="s">
        <v>178</v>
      </c>
      <c r="U347" s="6">
        <v>2</v>
      </c>
      <c r="V347" s="6" t="s">
        <v>2202</v>
      </c>
      <c r="W347" s="5">
        <v>41103</v>
      </c>
      <c r="X347" s="6">
        <v>3</v>
      </c>
      <c r="Y347" s="6">
        <v>3</v>
      </c>
      <c r="Z347" s="6">
        <v>3</v>
      </c>
      <c r="AA347" s="6" t="s">
        <v>178</v>
      </c>
      <c r="AB347" s="6">
        <v>3</v>
      </c>
      <c r="AC347" s="6" t="s">
        <v>216</v>
      </c>
    </row>
    <row r="348" spans="1:29" x14ac:dyDescent="0.25">
      <c r="A348" s="145" t="str">
        <f>HYPERLINK("http://www.ofsted.gov.uk/inspection-reports/find-inspection-report/provider/ELS/54137  ","Ofsted Webpage")</f>
        <v>Ofsted Webpage</v>
      </c>
      <c r="B348" s="151">
        <v>54137</v>
      </c>
      <c r="C348" s="151">
        <v>10005488</v>
      </c>
      <c r="D348" s="46" t="s">
        <v>2203</v>
      </c>
      <c r="E348" s="26" t="s">
        <v>78</v>
      </c>
      <c r="F348" s="26" t="s">
        <v>79</v>
      </c>
      <c r="G348" s="26" t="s">
        <v>455</v>
      </c>
      <c r="H348" s="26" t="s">
        <v>193</v>
      </c>
      <c r="I348" s="26" t="s">
        <v>193</v>
      </c>
      <c r="J348" s="2" t="s">
        <v>72</v>
      </c>
      <c r="K348" s="141" t="s">
        <v>72</v>
      </c>
      <c r="L348" s="141">
        <v>10011507</v>
      </c>
      <c r="M348" s="26" t="s">
        <v>183</v>
      </c>
      <c r="N348" s="2">
        <v>42591</v>
      </c>
      <c r="O348" s="2">
        <v>42594</v>
      </c>
      <c r="P348" s="119">
        <v>42619</v>
      </c>
      <c r="Q348" s="6">
        <v>2</v>
      </c>
      <c r="R348" s="6">
        <v>2</v>
      </c>
      <c r="S348" s="6">
        <v>2</v>
      </c>
      <c r="T348" s="6">
        <v>2</v>
      </c>
      <c r="U348" s="6">
        <v>2</v>
      </c>
      <c r="V348" s="6" t="s">
        <v>2204</v>
      </c>
      <c r="W348" s="5">
        <v>38666</v>
      </c>
      <c r="X348" s="6">
        <v>1</v>
      </c>
      <c r="Y348" s="6" t="s">
        <v>178</v>
      </c>
      <c r="Z348" s="6" t="s">
        <v>178</v>
      </c>
      <c r="AA348" s="6" t="s">
        <v>178</v>
      </c>
      <c r="AB348" s="6">
        <v>1</v>
      </c>
      <c r="AC348" s="6" t="s">
        <v>201</v>
      </c>
    </row>
    <row r="349" spans="1:29" x14ac:dyDescent="0.25">
      <c r="A349" s="145" t="str">
        <f>HYPERLINK("http://www.ofsted.gov.uk/inspection-reports/find-inspection-report/provider/ELS/54155  ","Ofsted Webpage")</f>
        <v>Ofsted Webpage</v>
      </c>
      <c r="B349" s="151">
        <v>54155</v>
      </c>
      <c r="C349" s="151">
        <v>10005509</v>
      </c>
      <c r="D349" s="46" t="s">
        <v>350</v>
      </c>
      <c r="E349" s="26" t="s">
        <v>78</v>
      </c>
      <c r="F349" s="26" t="s">
        <v>79</v>
      </c>
      <c r="G349" s="26" t="s">
        <v>351</v>
      </c>
      <c r="H349" s="26" t="s">
        <v>238</v>
      </c>
      <c r="I349" s="26" t="s">
        <v>238</v>
      </c>
      <c r="J349" s="2">
        <v>42417</v>
      </c>
      <c r="K349" s="141">
        <v>1</v>
      </c>
      <c r="L349" s="141" t="s">
        <v>353</v>
      </c>
      <c r="M349" s="26" t="s">
        <v>333</v>
      </c>
      <c r="N349" s="2">
        <v>41239</v>
      </c>
      <c r="O349" s="2">
        <v>41243</v>
      </c>
      <c r="P349" s="133">
        <v>41282</v>
      </c>
      <c r="Q349" s="6">
        <v>2</v>
      </c>
      <c r="R349" s="6">
        <v>2</v>
      </c>
      <c r="S349" s="6">
        <v>1</v>
      </c>
      <c r="T349" s="120" t="s">
        <v>178</v>
      </c>
      <c r="U349" s="6">
        <v>2</v>
      </c>
      <c r="V349" s="6" t="s">
        <v>354</v>
      </c>
      <c r="W349" s="5">
        <v>39897</v>
      </c>
      <c r="X349" s="6">
        <v>3</v>
      </c>
      <c r="Y349" s="6">
        <v>3</v>
      </c>
      <c r="Z349" s="6">
        <v>2</v>
      </c>
      <c r="AA349" s="6" t="s">
        <v>178</v>
      </c>
      <c r="AB349" s="6">
        <v>3</v>
      </c>
      <c r="AC349" s="6" t="s">
        <v>216</v>
      </c>
    </row>
    <row r="350" spans="1:29" x14ac:dyDescent="0.25">
      <c r="A350" s="145" t="str">
        <f>HYPERLINK("http://www.ofsted.gov.uk/inspection-reports/find-inspection-report/provider/ELS/54158  ","Ofsted Webpage")</f>
        <v>Ofsted Webpage</v>
      </c>
      <c r="B350" s="151">
        <v>54158</v>
      </c>
      <c r="C350" s="151">
        <v>10005514</v>
      </c>
      <c r="D350" s="46" t="s">
        <v>2205</v>
      </c>
      <c r="E350" s="26" t="s">
        <v>78</v>
      </c>
      <c r="F350" s="26" t="s">
        <v>79</v>
      </c>
      <c r="G350" s="26" t="s">
        <v>247</v>
      </c>
      <c r="H350" s="26" t="s">
        <v>238</v>
      </c>
      <c r="I350" s="26" t="s">
        <v>238</v>
      </c>
      <c r="J350" s="2" t="s">
        <v>72</v>
      </c>
      <c r="K350" s="141" t="s">
        <v>72</v>
      </c>
      <c r="L350" s="141">
        <v>10004998</v>
      </c>
      <c r="M350" s="26" t="s">
        <v>448</v>
      </c>
      <c r="N350" s="2">
        <v>42569</v>
      </c>
      <c r="O350" s="2">
        <v>42572</v>
      </c>
      <c r="P350" s="119">
        <v>42594</v>
      </c>
      <c r="Q350" s="6">
        <v>2</v>
      </c>
      <c r="R350" s="6">
        <v>2</v>
      </c>
      <c r="S350" s="6">
        <v>2</v>
      </c>
      <c r="T350" s="6">
        <v>2</v>
      </c>
      <c r="U350" s="6">
        <v>2</v>
      </c>
      <c r="V350" s="6" t="s">
        <v>2206</v>
      </c>
      <c r="W350" s="5">
        <v>41971</v>
      </c>
      <c r="X350" s="6">
        <v>3</v>
      </c>
      <c r="Y350" s="6">
        <v>3</v>
      </c>
      <c r="Z350" s="6">
        <v>3</v>
      </c>
      <c r="AA350" s="6" t="s">
        <v>178</v>
      </c>
      <c r="AB350" s="6">
        <v>3</v>
      </c>
      <c r="AC350" s="6" t="s">
        <v>216</v>
      </c>
    </row>
    <row r="351" spans="1:29" x14ac:dyDescent="0.25">
      <c r="A351" s="145" t="str">
        <f>HYPERLINK("http://www.ofsted.gov.uk/inspection-reports/find-inspection-report/provider/ELS/54167  ","Ofsted Webpage")</f>
        <v>Ofsted Webpage</v>
      </c>
      <c r="B351" s="151">
        <v>54167</v>
      </c>
      <c r="C351" s="151">
        <v>10005520</v>
      </c>
      <c r="D351" s="46" t="s">
        <v>1312</v>
      </c>
      <c r="E351" s="26" t="s">
        <v>80</v>
      </c>
      <c r="F351" s="26" t="s">
        <v>79</v>
      </c>
      <c r="G351" s="26" t="s">
        <v>340</v>
      </c>
      <c r="H351" s="26" t="s">
        <v>214</v>
      </c>
      <c r="I351" s="26" t="s">
        <v>214</v>
      </c>
      <c r="J351" s="2" t="s">
        <v>72</v>
      </c>
      <c r="K351" s="141" t="s">
        <v>72</v>
      </c>
      <c r="L351" s="141" t="s">
        <v>1313</v>
      </c>
      <c r="M351" s="26" t="s">
        <v>445</v>
      </c>
      <c r="N351" s="2">
        <v>40183</v>
      </c>
      <c r="O351" s="2">
        <v>40186</v>
      </c>
      <c r="P351" s="133">
        <v>40221</v>
      </c>
      <c r="Q351" s="6">
        <v>1</v>
      </c>
      <c r="R351" s="6">
        <v>1</v>
      </c>
      <c r="S351" s="6">
        <v>2</v>
      </c>
      <c r="T351" s="120" t="s">
        <v>178</v>
      </c>
      <c r="U351" s="6">
        <v>1</v>
      </c>
      <c r="V351" s="6" t="s">
        <v>1314</v>
      </c>
      <c r="W351" s="5">
        <v>38793</v>
      </c>
      <c r="X351" s="6">
        <v>3</v>
      </c>
      <c r="Y351" s="6" t="s">
        <v>178</v>
      </c>
      <c r="Z351" s="6" t="s">
        <v>178</v>
      </c>
      <c r="AA351" s="6" t="s">
        <v>178</v>
      </c>
      <c r="AB351" s="6">
        <v>3</v>
      </c>
      <c r="AC351" s="6" t="s">
        <v>216</v>
      </c>
    </row>
    <row r="352" spans="1:29" x14ac:dyDescent="0.25">
      <c r="A352" s="145" t="str">
        <f>HYPERLINK("http://www.ofsted.gov.uk/inspection-reports/find-inspection-report/provider/ELS/54175  ","Ofsted Webpage")</f>
        <v>Ofsted Webpage</v>
      </c>
      <c r="B352" s="151">
        <v>54175</v>
      </c>
      <c r="C352" s="151">
        <v>10005522</v>
      </c>
      <c r="D352" s="46" t="s">
        <v>358</v>
      </c>
      <c r="E352" s="26" t="s">
        <v>77</v>
      </c>
      <c r="F352" s="26" t="s">
        <v>76</v>
      </c>
      <c r="G352" s="26" t="s">
        <v>234</v>
      </c>
      <c r="H352" s="26" t="s">
        <v>175</v>
      </c>
      <c r="I352" s="26" t="s">
        <v>175</v>
      </c>
      <c r="J352" s="2" t="s">
        <v>72</v>
      </c>
      <c r="K352" s="141" t="s">
        <v>72</v>
      </c>
      <c r="L352" s="141">
        <v>10022540</v>
      </c>
      <c r="M352" s="26" t="s">
        <v>189</v>
      </c>
      <c r="N352" s="2">
        <v>42801</v>
      </c>
      <c r="O352" s="2">
        <v>42803</v>
      </c>
      <c r="P352" s="133">
        <v>42853</v>
      </c>
      <c r="Q352" s="6">
        <v>2</v>
      </c>
      <c r="R352" s="6">
        <v>2</v>
      </c>
      <c r="S352" s="6">
        <v>2</v>
      </c>
      <c r="T352" s="6">
        <v>2</v>
      </c>
      <c r="U352" s="6">
        <v>2</v>
      </c>
      <c r="V352" s="6" t="s">
        <v>359</v>
      </c>
      <c r="W352" s="5">
        <v>41970</v>
      </c>
      <c r="X352" s="6">
        <v>2</v>
      </c>
      <c r="Y352" s="6">
        <v>2</v>
      </c>
      <c r="Z352" s="6">
        <v>2</v>
      </c>
      <c r="AA352" s="6" t="s">
        <v>178</v>
      </c>
      <c r="AB352" s="6">
        <v>2</v>
      </c>
      <c r="AC352" s="6" t="s">
        <v>180</v>
      </c>
    </row>
    <row r="353" spans="1:29" x14ac:dyDescent="0.25">
      <c r="A353" s="145" t="str">
        <f>HYPERLINK("http://www.ofsted.gov.uk/inspection-reports/find-inspection-report/provider/ELS/54191  ","Ofsted Webpage")</f>
        <v>Ofsted Webpage</v>
      </c>
      <c r="B353" s="151">
        <v>54191</v>
      </c>
      <c r="C353" s="151">
        <v>10033441</v>
      </c>
      <c r="D353" s="46" t="s">
        <v>742</v>
      </c>
      <c r="E353" s="26" t="s">
        <v>80</v>
      </c>
      <c r="F353" s="26" t="s">
        <v>79</v>
      </c>
      <c r="G353" s="26" t="s">
        <v>447</v>
      </c>
      <c r="H353" s="26" t="s">
        <v>198</v>
      </c>
      <c r="I353" s="26" t="s">
        <v>198</v>
      </c>
      <c r="J353" s="2" t="s">
        <v>72</v>
      </c>
      <c r="K353" s="141" t="s">
        <v>72</v>
      </c>
      <c r="L353" s="141" t="s">
        <v>743</v>
      </c>
      <c r="M353" s="26" t="s">
        <v>333</v>
      </c>
      <c r="N353" s="2">
        <v>41981</v>
      </c>
      <c r="O353" s="2">
        <v>41985</v>
      </c>
      <c r="P353" s="133">
        <v>42025</v>
      </c>
      <c r="Q353" s="6">
        <v>1</v>
      </c>
      <c r="R353" s="6">
        <v>1</v>
      </c>
      <c r="S353" s="6">
        <v>1</v>
      </c>
      <c r="T353" s="120" t="s">
        <v>178</v>
      </c>
      <c r="U353" s="6">
        <v>1</v>
      </c>
      <c r="V353" s="6" t="s">
        <v>744</v>
      </c>
      <c r="W353" s="5">
        <v>39829</v>
      </c>
      <c r="X353" s="6">
        <v>2</v>
      </c>
      <c r="Y353" s="6">
        <v>2</v>
      </c>
      <c r="Z353" s="6">
        <v>3</v>
      </c>
      <c r="AA353" s="6" t="s">
        <v>178</v>
      </c>
      <c r="AB353" s="6">
        <v>2</v>
      </c>
      <c r="AC353" s="6" t="s">
        <v>216</v>
      </c>
    </row>
    <row r="354" spans="1:29" x14ac:dyDescent="0.25">
      <c r="A354" s="145" t="str">
        <f>HYPERLINK("http://www.ofsted.gov.uk/inspection-reports/find-inspection-report/provider/ELS/54194  ","Ofsted Webpage")</f>
        <v>Ofsted Webpage</v>
      </c>
      <c r="B354" s="151">
        <v>54194</v>
      </c>
      <c r="C354" s="151">
        <v>10005548</v>
      </c>
      <c r="D354" s="46" t="s">
        <v>1287</v>
      </c>
      <c r="E354" s="26" t="s">
        <v>75</v>
      </c>
      <c r="F354" s="26" t="s">
        <v>76</v>
      </c>
      <c r="G354" s="26" t="s">
        <v>1288</v>
      </c>
      <c r="H354" s="26" t="s">
        <v>175</v>
      </c>
      <c r="I354" s="26" t="s">
        <v>175</v>
      </c>
      <c r="J354" s="2" t="s">
        <v>72</v>
      </c>
      <c r="K354" s="141" t="s">
        <v>72</v>
      </c>
      <c r="L354" s="141" t="s">
        <v>1289</v>
      </c>
      <c r="M354" s="26" t="s">
        <v>321</v>
      </c>
      <c r="N354" s="2">
        <v>41758</v>
      </c>
      <c r="O354" s="2">
        <v>41761</v>
      </c>
      <c r="P354" s="133">
        <v>41800</v>
      </c>
      <c r="Q354" s="6">
        <v>2</v>
      </c>
      <c r="R354" s="6">
        <v>2</v>
      </c>
      <c r="S354" s="6">
        <v>2</v>
      </c>
      <c r="T354" s="120" t="s">
        <v>178</v>
      </c>
      <c r="U354" s="6">
        <v>2</v>
      </c>
      <c r="V354" s="6" t="s">
        <v>1290</v>
      </c>
      <c r="W354" s="5">
        <v>41089</v>
      </c>
      <c r="X354" s="6">
        <v>3</v>
      </c>
      <c r="Y354" s="6">
        <v>3</v>
      </c>
      <c r="Z354" s="6">
        <v>2</v>
      </c>
      <c r="AA354" s="6" t="s">
        <v>178</v>
      </c>
      <c r="AB354" s="6">
        <v>3</v>
      </c>
      <c r="AC354" s="6" t="s">
        <v>216</v>
      </c>
    </row>
    <row r="355" spans="1:29" x14ac:dyDescent="0.25">
      <c r="A355" s="145" t="str">
        <f>HYPERLINK("http://www.ofsted.gov.uk/inspection-reports/find-inspection-report/provider/ELS/54196  ","Ofsted Webpage")</f>
        <v>Ofsted Webpage</v>
      </c>
      <c r="B355" s="151">
        <v>54196</v>
      </c>
      <c r="C355" s="151">
        <v>10005549</v>
      </c>
      <c r="D355" s="46" t="s">
        <v>1291</v>
      </c>
      <c r="E355" s="26" t="s">
        <v>75</v>
      </c>
      <c r="F355" s="26" t="s">
        <v>76</v>
      </c>
      <c r="G355" s="26" t="s">
        <v>383</v>
      </c>
      <c r="H355" s="26" t="s">
        <v>175</v>
      </c>
      <c r="I355" s="26" t="s">
        <v>175</v>
      </c>
      <c r="J355" s="2" t="s">
        <v>72</v>
      </c>
      <c r="K355" s="141" t="s">
        <v>72</v>
      </c>
      <c r="L355" s="141">
        <v>10030695</v>
      </c>
      <c r="M355" s="26" t="s">
        <v>308</v>
      </c>
      <c r="N355" s="2">
        <v>42850</v>
      </c>
      <c r="O355" s="2">
        <v>42853</v>
      </c>
      <c r="P355" s="133">
        <v>42900</v>
      </c>
      <c r="Q355" s="6">
        <v>2</v>
      </c>
      <c r="R355" s="6">
        <v>2</v>
      </c>
      <c r="S355" s="6">
        <v>2</v>
      </c>
      <c r="T355" s="6">
        <v>2</v>
      </c>
      <c r="U355" s="6">
        <v>2</v>
      </c>
      <c r="V355" s="6" t="s">
        <v>1292</v>
      </c>
      <c r="W355" s="5">
        <v>42083</v>
      </c>
      <c r="X355" s="6">
        <v>2</v>
      </c>
      <c r="Y355" s="6">
        <v>2</v>
      </c>
      <c r="Z355" s="6">
        <v>2</v>
      </c>
      <c r="AA355" s="6" t="s">
        <v>178</v>
      </c>
      <c r="AB355" s="6">
        <v>2</v>
      </c>
      <c r="AC355" s="6" t="s">
        <v>180</v>
      </c>
    </row>
    <row r="356" spans="1:29" x14ac:dyDescent="0.25">
      <c r="A356" s="145" t="str">
        <f>HYPERLINK("http://www.ofsted.gov.uk/inspection-reports/find-inspection-report/provider/ELS/54215  ","Ofsted Webpage")</f>
        <v>Ofsted Webpage</v>
      </c>
      <c r="B356" s="151">
        <v>54215</v>
      </c>
      <c r="C356" s="151">
        <v>10025727</v>
      </c>
      <c r="D356" s="46" t="s">
        <v>2429</v>
      </c>
      <c r="E356" s="26" t="s">
        <v>78</v>
      </c>
      <c r="F356" s="26" t="s">
        <v>79</v>
      </c>
      <c r="G356" s="26" t="s">
        <v>299</v>
      </c>
      <c r="H356" s="26" t="s">
        <v>175</v>
      </c>
      <c r="I356" s="26" t="s">
        <v>175</v>
      </c>
      <c r="J356" s="2" t="s">
        <v>72</v>
      </c>
      <c r="K356" s="141" t="s">
        <v>72</v>
      </c>
      <c r="L356" s="141">
        <v>10004999</v>
      </c>
      <c r="M356" s="26" t="s">
        <v>864</v>
      </c>
      <c r="N356" s="2">
        <v>42318</v>
      </c>
      <c r="O356" s="2">
        <v>42321</v>
      </c>
      <c r="P356" s="133">
        <v>42338</v>
      </c>
      <c r="Q356" s="6">
        <v>2</v>
      </c>
      <c r="R356" s="6">
        <v>2</v>
      </c>
      <c r="S356" s="6">
        <v>2</v>
      </c>
      <c r="T356" s="6">
        <v>2</v>
      </c>
      <c r="U356" s="6">
        <v>2</v>
      </c>
      <c r="V356" s="6" t="s">
        <v>2430</v>
      </c>
      <c r="W356" s="5">
        <v>41810</v>
      </c>
      <c r="X356" s="6">
        <v>3</v>
      </c>
      <c r="Y356" s="6">
        <v>3</v>
      </c>
      <c r="Z356" s="6">
        <v>3</v>
      </c>
      <c r="AA356" s="6" t="s">
        <v>178</v>
      </c>
      <c r="AB356" s="6">
        <v>3</v>
      </c>
      <c r="AC356" s="6" t="s">
        <v>216</v>
      </c>
    </row>
    <row r="357" spans="1:29" x14ac:dyDescent="0.25">
      <c r="A357" s="145" t="str">
        <f>HYPERLINK("http://www.ofsted.gov.uk/inspection-reports/find-inspection-report/provider/ELS/54229  ","Ofsted Webpage")</f>
        <v>Ofsted Webpage</v>
      </c>
      <c r="B357" s="151">
        <v>54229</v>
      </c>
      <c r="C357" s="151">
        <v>10005586</v>
      </c>
      <c r="D357" s="46" t="s">
        <v>1293</v>
      </c>
      <c r="E357" s="26" t="s">
        <v>75</v>
      </c>
      <c r="F357" s="26" t="s">
        <v>76</v>
      </c>
      <c r="G357" s="26" t="s">
        <v>1294</v>
      </c>
      <c r="H357" s="26" t="s">
        <v>214</v>
      </c>
      <c r="I357" s="26" t="s">
        <v>214</v>
      </c>
      <c r="J357" s="2" t="s">
        <v>72</v>
      </c>
      <c r="K357" s="141" t="s">
        <v>72</v>
      </c>
      <c r="L357" s="141" t="s">
        <v>1295</v>
      </c>
      <c r="M357" s="26" t="s">
        <v>304</v>
      </c>
      <c r="N357" s="2">
        <v>42171</v>
      </c>
      <c r="O357" s="2">
        <v>42173</v>
      </c>
      <c r="P357" s="133">
        <v>42194</v>
      </c>
      <c r="Q357" s="6">
        <v>2</v>
      </c>
      <c r="R357" s="6">
        <v>2</v>
      </c>
      <c r="S357" s="6">
        <v>2</v>
      </c>
      <c r="T357" s="120" t="s">
        <v>178</v>
      </c>
      <c r="U357" s="6">
        <v>2</v>
      </c>
      <c r="V357" s="6" t="s">
        <v>1296</v>
      </c>
      <c r="W357" s="5">
        <v>41677</v>
      </c>
      <c r="X357" s="6">
        <v>3</v>
      </c>
      <c r="Y357" s="6">
        <v>2</v>
      </c>
      <c r="Z357" s="6">
        <v>2</v>
      </c>
      <c r="AA357" s="6" t="s">
        <v>178</v>
      </c>
      <c r="AB357" s="6">
        <v>3</v>
      </c>
      <c r="AC357" s="6" t="s">
        <v>216</v>
      </c>
    </row>
    <row r="358" spans="1:29" x14ac:dyDescent="0.25">
      <c r="A358" s="145" t="str">
        <f>HYPERLINK("http://www.ofsted.gov.uk/inspection-reports/find-inspection-report/provider/ELS/54232  ","Ofsted Webpage")</f>
        <v>Ofsted Webpage</v>
      </c>
      <c r="B358" s="151">
        <v>54232</v>
      </c>
      <c r="C358" s="151">
        <v>10005588</v>
      </c>
      <c r="D358" s="46" t="s">
        <v>2207</v>
      </c>
      <c r="E358" s="26" t="s">
        <v>78</v>
      </c>
      <c r="F358" s="26" t="s">
        <v>79</v>
      </c>
      <c r="G358" s="26" t="s">
        <v>687</v>
      </c>
      <c r="H358" s="26" t="s">
        <v>238</v>
      </c>
      <c r="I358" s="26" t="s">
        <v>238</v>
      </c>
      <c r="J358" s="2">
        <v>42488</v>
      </c>
      <c r="K358" s="141">
        <v>1</v>
      </c>
      <c r="L358" s="141" t="s">
        <v>2208</v>
      </c>
      <c r="M358" s="26" t="s">
        <v>466</v>
      </c>
      <c r="N358" s="2">
        <v>41372</v>
      </c>
      <c r="O358" s="2">
        <v>41376</v>
      </c>
      <c r="P358" s="119">
        <v>41409</v>
      </c>
      <c r="Q358" s="6">
        <v>2</v>
      </c>
      <c r="R358" s="6">
        <v>2</v>
      </c>
      <c r="S358" s="6">
        <v>2</v>
      </c>
      <c r="T358" s="120" t="s">
        <v>178</v>
      </c>
      <c r="U358" s="6">
        <v>2</v>
      </c>
      <c r="V358" s="6" t="s">
        <v>2209</v>
      </c>
      <c r="W358" s="5">
        <v>40116</v>
      </c>
      <c r="X358" s="6">
        <v>3</v>
      </c>
      <c r="Y358" s="6">
        <v>3</v>
      </c>
      <c r="Z358" s="6">
        <v>3</v>
      </c>
      <c r="AA358" s="6" t="s">
        <v>178</v>
      </c>
      <c r="AB358" s="6">
        <v>3</v>
      </c>
      <c r="AC358" s="6" t="s">
        <v>216</v>
      </c>
    </row>
    <row r="359" spans="1:29" x14ac:dyDescent="0.25">
      <c r="A359" s="145" t="str">
        <f>HYPERLINK("http://www.ofsted.gov.uk/inspection-reports/find-inspection-report/provider/ELS/54235  ","Ofsted Webpage")</f>
        <v>Ofsted Webpage</v>
      </c>
      <c r="B359" s="151">
        <v>54235</v>
      </c>
      <c r="C359" s="151">
        <v>10005599</v>
      </c>
      <c r="D359" s="46" t="s">
        <v>2210</v>
      </c>
      <c r="E359" s="26" t="s">
        <v>78</v>
      </c>
      <c r="F359" s="26" t="s">
        <v>79</v>
      </c>
      <c r="G359" s="26" t="s">
        <v>361</v>
      </c>
      <c r="H359" s="26" t="s">
        <v>198</v>
      </c>
      <c r="I359" s="26" t="s">
        <v>198</v>
      </c>
      <c r="J359" s="2" t="s">
        <v>72</v>
      </c>
      <c r="K359" s="141" t="s">
        <v>72</v>
      </c>
      <c r="L359" s="141" t="s">
        <v>2211</v>
      </c>
      <c r="M359" s="26" t="s">
        <v>333</v>
      </c>
      <c r="N359" s="2">
        <v>41694</v>
      </c>
      <c r="O359" s="2">
        <v>41698</v>
      </c>
      <c r="P359" s="119">
        <v>41731</v>
      </c>
      <c r="Q359" s="6">
        <v>2</v>
      </c>
      <c r="R359" s="6">
        <v>2</v>
      </c>
      <c r="S359" s="6">
        <v>2</v>
      </c>
      <c r="T359" s="120" t="s">
        <v>178</v>
      </c>
      <c r="U359" s="6">
        <v>1</v>
      </c>
      <c r="V359" s="6" t="s">
        <v>2212</v>
      </c>
      <c r="W359" s="5">
        <v>40144</v>
      </c>
      <c r="X359" s="6">
        <v>2</v>
      </c>
      <c r="Y359" s="6">
        <v>2</v>
      </c>
      <c r="Z359" s="6">
        <v>2</v>
      </c>
      <c r="AA359" s="6" t="s">
        <v>178</v>
      </c>
      <c r="AB359" s="6">
        <v>2</v>
      </c>
      <c r="AC359" s="6" t="s">
        <v>180</v>
      </c>
    </row>
    <row r="360" spans="1:29" x14ac:dyDescent="0.25">
      <c r="A360" s="145" t="str">
        <f>HYPERLINK("http://www.ofsted.gov.uk/inspection-reports/find-inspection-report/provider/ELS/54248  ","Ofsted Webpage")</f>
        <v>Ofsted Webpage</v>
      </c>
      <c r="B360" s="151">
        <v>54248</v>
      </c>
      <c r="C360" s="151">
        <v>10005642</v>
      </c>
      <c r="D360" s="46" t="s">
        <v>2374</v>
      </c>
      <c r="E360" s="26" t="s">
        <v>78</v>
      </c>
      <c r="F360" s="26" t="s">
        <v>79</v>
      </c>
      <c r="G360" s="26" t="s">
        <v>628</v>
      </c>
      <c r="H360" s="26" t="s">
        <v>204</v>
      </c>
      <c r="I360" s="26" t="s">
        <v>188</v>
      </c>
      <c r="J360" s="2" t="s">
        <v>72</v>
      </c>
      <c r="K360" s="141" t="s">
        <v>72</v>
      </c>
      <c r="L360" s="141" t="s">
        <v>2375</v>
      </c>
      <c r="M360" s="26" t="s">
        <v>2175</v>
      </c>
      <c r="N360" s="2">
        <v>38863</v>
      </c>
      <c r="O360" s="2">
        <v>38863</v>
      </c>
      <c r="P360" s="119">
        <v>38912</v>
      </c>
      <c r="Q360" s="6">
        <v>1</v>
      </c>
      <c r="R360" s="6" t="s">
        <v>178</v>
      </c>
      <c r="S360" s="6" t="s">
        <v>178</v>
      </c>
      <c r="T360" s="120" t="s">
        <v>178</v>
      </c>
      <c r="U360" s="6">
        <v>1</v>
      </c>
      <c r="V360" s="6" t="s">
        <v>72</v>
      </c>
      <c r="W360" s="5" t="s">
        <v>72</v>
      </c>
      <c r="X360" s="6" t="s">
        <v>72</v>
      </c>
      <c r="Y360" s="6" t="s">
        <v>72</v>
      </c>
      <c r="Z360" s="6" t="s">
        <v>72</v>
      </c>
      <c r="AA360" s="6" t="s">
        <v>72</v>
      </c>
      <c r="AB360" s="6" t="s">
        <v>72</v>
      </c>
      <c r="AC360" s="6" t="s">
        <v>208</v>
      </c>
    </row>
    <row r="361" spans="1:29" x14ac:dyDescent="0.25">
      <c r="A361" s="145" t="str">
        <f>HYPERLINK("http://www.ofsted.gov.uk/inspection-reports/find-inspection-report/provider/ELS/54249  ","Ofsted Webpage")</f>
        <v>Ofsted Webpage</v>
      </c>
      <c r="B361" s="151">
        <v>54249</v>
      </c>
      <c r="C361" s="151">
        <v>10006317</v>
      </c>
      <c r="D361" s="46" t="s">
        <v>2376</v>
      </c>
      <c r="E361" s="26" t="s">
        <v>78</v>
      </c>
      <c r="F361" s="26" t="s">
        <v>79</v>
      </c>
      <c r="G361" s="26" t="s">
        <v>240</v>
      </c>
      <c r="H361" s="26" t="s">
        <v>238</v>
      </c>
      <c r="I361" s="26" t="s">
        <v>238</v>
      </c>
      <c r="J361" s="2">
        <v>42489</v>
      </c>
      <c r="K361" s="141">
        <v>1</v>
      </c>
      <c r="L361" s="141" t="s">
        <v>2377</v>
      </c>
      <c r="M361" s="26" t="s">
        <v>466</v>
      </c>
      <c r="N361" s="2">
        <v>41226</v>
      </c>
      <c r="O361" s="2">
        <v>41229</v>
      </c>
      <c r="P361" s="119">
        <v>41262</v>
      </c>
      <c r="Q361" s="6">
        <v>2</v>
      </c>
      <c r="R361" s="6">
        <v>2</v>
      </c>
      <c r="S361" s="6">
        <v>2</v>
      </c>
      <c r="T361" s="120" t="s">
        <v>178</v>
      </c>
      <c r="U361" s="6">
        <v>2</v>
      </c>
      <c r="V361" s="6" t="s">
        <v>2378</v>
      </c>
      <c r="W361" s="5">
        <v>39373</v>
      </c>
      <c r="X361" s="6">
        <v>2</v>
      </c>
      <c r="Y361" s="6">
        <v>2</v>
      </c>
      <c r="Z361" s="6">
        <v>2</v>
      </c>
      <c r="AA361" s="6" t="s">
        <v>178</v>
      </c>
      <c r="AB361" s="6">
        <v>2</v>
      </c>
      <c r="AC361" s="6" t="s">
        <v>180</v>
      </c>
    </row>
    <row r="362" spans="1:29" x14ac:dyDescent="0.25">
      <c r="A362" s="145" t="str">
        <f>HYPERLINK("http://www.ofsted.gov.uk/inspection-reports/find-inspection-report/provider/ELS/54267  ","Ofsted Webpage")</f>
        <v>Ofsted Webpage</v>
      </c>
      <c r="B362" s="151">
        <v>54267</v>
      </c>
      <c r="C362" s="151">
        <v>10005671</v>
      </c>
      <c r="D362" s="46" t="s">
        <v>1297</v>
      </c>
      <c r="E362" s="26" t="s">
        <v>75</v>
      </c>
      <c r="F362" s="26" t="s">
        <v>76</v>
      </c>
      <c r="G362" s="26" t="s">
        <v>967</v>
      </c>
      <c r="H362" s="26" t="s">
        <v>193</v>
      </c>
      <c r="I362" s="26" t="s">
        <v>193</v>
      </c>
      <c r="J362" s="2" t="s">
        <v>72</v>
      </c>
      <c r="K362" s="141" t="s">
        <v>72</v>
      </c>
      <c r="L362" s="141">
        <v>10011508</v>
      </c>
      <c r="M362" s="26" t="s">
        <v>308</v>
      </c>
      <c r="N362" s="2">
        <v>42507</v>
      </c>
      <c r="O362" s="2">
        <v>42510</v>
      </c>
      <c r="P362" s="133">
        <v>42549</v>
      </c>
      <c r="Q362" s="6">
        <v>3</v>
      </c>
      <c r="R362" s="6">
        <v>2</v>
      </c>
      <c r="S362" s="6">
        <v>2</v>
      </c>
      <c r="T362" s="6">
        <v>3</v>
      </c>
      <c r="U362" s="6">
        <v>3</v>
      </c>
      <c r="V362" s="6" t="s">
        <v>1298</v>
      </c>
      <c r="W362" s="5">
        <v>40522</v>
      </c>
      <c r="X362" s="6">
        <v>2</v>
      </c>
      <c r="Y362" s="6">
        <v>2</v>
      </c>
      <c r="Z362" s="6">
        <v>3</v>
      </c>
      <c r="AA362" s="6" t="s">
        <v>178</v>
      </c>
      <c r="AB362" s="6">
        <v>2</v>
      </c>
      <c r="AC362" s="6" t="s">
        <v>201</v>
      </c>
    </row>
    <row r="363" spans="1:29" x14ac:dyDescent="0.25">
      <c r="A363" s="145" t="str">
        <f>HYPERLINK("http://www.ofsted.gov.uk/inspection-reports/find-inspection-report/provider/ELS/54277  ","Ofsted Webpage")</f>
        <v>Ofsted Webpage</v>
      </c>
      <c r="B363" s="151">
        <v>54277</v>
      </c>
      <c r="C363" s="151">
        <v>10033746</v>
      </c>
      <c r="D363" s="46" t="s">
        <v>2379</v>
      </c>
      <c r="E363" s="26" t="s">
        <v>78</v>
      </c>
      <c r="F363" s="26" t="s">
        <v>79</v>
      </c>
      <c r="G363" s="26" t="s">
        <v>1228</v>
      </c>
      <c r="H363" s="26" t="s">
        <v>193</v>
      </c>
      <c r="I363" s="26" t="s">
        <v>193</v>
      </c>
      <c r="J363" s="2" t="s">
        <v>72</v>
      </c>
      <c r="K363" s="141" t="s">
        <v>72</v>
      </c>
      <c r="L363" s="141">
        <v>10005001</v>
      </c>
      <c r="M363" s="26" t="s">
        <v>199</v>
      </c>
      <c r="N363" s="2">
        <v>42577</v>
      </c>
      <c r="O363" s="2">
        <v>42580</v>
      </c>
      <c r="P363" s="119">
        <v>42607</v>
      </c>
      <c r="Q363" s="6">
        <v>2</v>
      </c>
      <c r="R363" s="6">
        <v>2</v>
      </c>
      <c r="S363" s="6">
        <v>2</v>
      </c>
      <c r="T363" s="6">
        <v>2</v>
      </c>
      <c r="U363" s="6">
        <v>2</v>
      </c>
      <c r="V363" s="6" t="s">
        <v>2380</v>
      </c>
      <c r="W363" s="5">
        <v>41985</v>
      </c>
      <c r="X363" s="6">
        <v>3</v>
      </c>
      <c r="Y363" s="6">
        <v>3</v>
      </c>
      <c r="Z363" s="6">
        <v>3</v>
      </c>
      <c r="AA363" s="6" t="s">
        <v>178</v>
      </c>
      <c r="AB363" s="6">
        <v>3</v>
      </c>
      <c r="AC363" s="6" t="s">
        <v>216</v>
      </c>
    </row>
    <row r="364" spans="1:29" x14ac:dyDescent="0.25">
      <c r="A364" s="145" t="str">
        <f>HYPERLINK("http://www.ofsted.gov.uk/inspection-reports/find-inspection-report/provider/ELS/54317  ","Ofsted Webpage")</f>
        <v>Ofsted Webpage</v>
      </c>
      <c r="B364" s="151">
        <v>54317</v>
      </c>
      <c r="C364" s="151">
        <v>10005738</v>
      </c>
      <c r="D364" s="46" t="s">
        <v>835</v>
      </c>
      <c r="E364" s="26" t="s">
        <v>75</v>
      </c>
      <c r="F364" s="26" t="s">
        <v>76</v>
      </c>
      <c r="G364" s="26" t="s">
        <v>237</v>
      </c>
      <c r="H364" s="26" t="s">
        <v>238</v>
      </c>
      <c r="I364" s="26" t="s">
        <v>238</v>
      </c>
      <c r="J364" s="2" t="s">
        <v>72</v>
      </c>
      <c r="K364" s="141" t="s">
        <v>72</v>
      </c>
      <c r="L364" s="141">
        <v>10030734</v>
      </c>
      <c r="M364" s="26" t="s">
        <v>562</v>
      </c>
      <c r="N364" s="2">
        <v>42892</v>
      </c>
      <c r="O364" s="2">
        <v>42895</v>
      </c>
      <c r="P364" s="133">
        <v>42919</v>
      </c>
      <c r="Q364" s="6">
        <v>2</v>
      </c>
      <c r="R364" s="6">
        <v>2</v>
      </c>
      <c r="S364" s="6">
        <v>2</v>
      </c>
      <c r="T364" s="6">
        <v>2</v>
      </c>
      <c r="U364" s="6">
        <v>2</v>
      </c>
      <c r="V364" s="6">
        <v>10005002</v>
      </c>
      <c r="W364" s="5">
        <v>42293</v>
      </c>
      <c r="X364" s="6">
        <v>3</v>
      </c>
      <c r="Y364" s="6">
        <v>3</v>
      </c>
      <c r="Z364" s="6">
        <v>3</v>
      </c>
      <c r="AA364" s="6">
        <v>2</v>
      </c>
      <c r="AB364" s="6">
        <v>3</v>
      </c>
      <c r="AC364" s="6" t="s">
        <v>216</v>
      </c>
    </row>
    <row r="365" spans="1:29" x14ac:dyDescent="0.25">
      <c r="A365" s="145" t="str">
        <f>HYPERLINK("http://www.ofsted.gov.uk/inspection-reports/find-inspection-report/provider/ELS/54325  ","Ofsted Webpage")</f>
        <v>Ofsted Webpage</v>
      </c>
      <c r="B365" s="151">
        <v>54325</v>
      </c>
      <c r="C365" s="151">
        <v>10005744</v>
      </c>
      <c r="D365" s="46" t="s">
        <v>2609</v>
      </c>
      <c r="E365" s="26" t="s">
        <v>78</v>
      </c>
      <c r="F365" s="26" t="s">
        <v>79</v>
      </c>
      <c r="G365" s="26" t="s">
        <v>174</v>
      </c>
      <c r="H365" s="26" t="s">
        <v>175</v>
      </c>
      <c r="I365" s="26" t="s">
        <v>175</v>
      </c>
      <c r="J365" s="2">
        <v>42411</v>
      </c>
      <c r="K365" s="141">
        <v>1</v>
      </c>
      <c r="L365" s="141" t="s">
        <v>2610</v>
      </c>
      <c r="M365" s="26" t="s">
        <v>333</v>
      </c>
      <c r="N365" s="2">
        <v>41134</v>
      </c>
      <c r="O365" s="2">
        <v>41138</v>
      </c>
      <c r="P365" s="119">
        <v>41176</v>
      </c>
      <c r="Q365" s="6">
        <v>2</v>
      </c>
      <c r="R365" s="6">
        <v>1</v>
      </c>
      <c r="S365" s="6">
        <v>2</v>
      </c>
      <c r="T365" s="120" t="s">
        <v>178</v>
      </c>
      <c r="U365" s="6">
        <v>2</v>
      </c>
      <c r="V365" s="6" t="s">
        <v>2611</v>
      </c>
      <c r="W365" s="5">
        <v>39689</v>
      </c>
      <c r="X365" s="6">
        <v>3</v>
      </c>
      <c r="Y365" s="6">
        <v>3</v>
      </c>
      <c r="Z365" s="6">
        <v>2</v>
      </c>
      <c r="AA365" s="6" t="s">
        <v>178</v>
      </c>
      <c r="AB365" s="6">
        <v>3</v>
      </c>
      <c r="AC365" s="6" t="s">
        <v>216</v>
      </c>
    </row>
    <row r="366" spans="1:29" x14ac:dyDescent="0.25">
      <c r="A366" s="145" t="str">
        <f>HYPERLINK("http://www.ofsted.gov.uk/inspection-reports/find-inspection-report/provider/ELS/54333  ","Ofsted Webpage")</f>
        <v>Ofsted Webpage</v>
      </c>
      <c r="B366" s="151">
        <v>54333</v>
      </c>
      <c r="C366" s="151">
        <v>10005752</v>
      </c>
      <c r="D366" s="46" t="s">
        <v>2612</v>
      </c>
      <c r="E366" s="26" t="s">
        <v>78</v>
      </c>
      <c r="F366" s="26" t="s">
        <v>79</v>
      </c>
      <c r="G366" s="26" t="s">
        <v>464</v>
      </c>
      <c r="H366" s="26" t="s">
        <v>198</v>
      </c>
      <c r="I366" s="26" t="s">
        <v>198</v>
      </c>
      <c r="J366" s="2" t="s">
        <v>72</v>
      </c>
      <c r="K366" s="141" t="s">
        <v>72</v>
      </c>
      <c r="L366" s="141">
        <v>10005003</v>
      </c>
      <c r="M366" s="26" t="s">
        <v>864</v>
      </c>
      <c r="N366" s="2">
        <v>42297</v>
      </c>
      <c r="O366" s="2">
        <v>42300</v>
      </c>
      <c r="P366" s="133">
        <v>42321</v>
      </c>
      <c r="Q366" s="6">
        <v>2</v>
      </c>
      <c r="R366" s="6">
        <v>2</v>
      </c>
      <c r="S366" s="6">
        <v>2</v>
      </c>
      <c r="T366" s="6">
        <v>2</v>
      </c>
      <c r="U366" s="6">
        <v>2</v>
      </c>
      <c r="V366" s="6" t="s">
        <v>2613</v>
      </c>
      <c r="W366" s="5">
        <v>41803</v>
      </c>
      <c r="X366" s="6">
        <v>3</v>
      </c>
      <c r="Y366" s="6">
        <v>3</v>
      </c>
      <c r="Z366" s="6">
        <v>2</v>
      </c>
      <c r="AA366" s="6" t="s">
        <v>178</v>
      </c>
      <c r="AB366" s="6">
        <v>3</v>
      </c>
      <c r="AC366" s="6" t="s">
        <v>216</v>
      </c>
    </row>
    <row r="367" spans="1:29" x14ac:dyDescent="0.25">
      <c r="A367" s="145" t="str">
        <f>HYPERLINK("http://www.ofsted.gov.uk/inspection-reports/find-inspection-report/provider/ELS/54342  ","Ofsted Webpage")</f>
        <v>Ofsted Webpage</v>
      </c>
      <c r="B367" s="151">
        <v>54342</v>
      </c>
      <c r="C367" s="151">
        <v>10005775</v>
      </c>
      <c r="D367" s="46" t="s">
        <v>2616</v>
      </c>
      <c r="E367" s="26" t="s">
        <v>78</v>
      </c>
      <c r="F367" s="26" t="s">
        <v>79</v>
      </c>
      <c r="G367" s="26" t="s">
        <v>310</v>
      </c>
      <c r="H367" s="26" t="s">
        <v>204</v>
      </c>
      <c r="I367" s="26" t="s">
        <v>188</v>
      </c>
      <c r="J367" s="2">
        <v>42417</v>
      </c>
      <c r="K367" s="141">
        <v>1</v>
      </c>
      <c r="L367" s="141" t="s">
        <v>2617</v>
      </c>
      <c r="M367" s="26" t="s">
        <v>445</v>
      </c>
      <c r="N367" s="2">
        <v>40834</v>
      </c>
      <c r="O367" s="2">
        <v>40837</v>
      </c>
      <c r="P367" s="133">
        <v>40872</v>
      </c>
      <c r="Q367" s="6">
        <v>2</v>
      </c>
      <c r="R367" s="6">
        <v>2</v>
      </c>
      <c r="S367" s="6">
        <v>2</v>
      </c>
      <c r="T367" s="120" t="s">
        <v>178</v>
      </c>
      <c r="U367" s="6">
        <v>2</v>
      </c>
      <c r="V367" s="6" t="s">
        <v>2618</v>
      </c>
      <c r="W367" s="5">
        <v>39429</v>
      </c>
      <c r="X367" s="6">
        <v>3</v>
      </c>
      <c r="Y367" s="6">
        <v>3</v>
      </c>
      <c r="Z367" s="6">
        <v>3</v>
      </c>
      <c r="AA367" s="6" t="s">
        <v>178</v>
      </c>
      <c r="AB367" s="6">
        <v>3</v>
      </c>
      <c r="AC367" s="6" t="s">
        <v>216</v>
      </c>
    </row>
    <row r="368" spans="1:29" x14ac:dyDescent="0.25">
      <c r="A368" s="145" t="str">
        <f>HYPERLINK("http://www.ofsted.gov.uk/inspection-reports/find-inspection-report/provider/ELS/54349  ","Ofsted Webpage")</f>
        <v>Ofsted Webpage</v>
      </c>
      <c r="B368" s="151">
        <v>54349</v>
      </c>
      <c r="C368" s="151">
        <v>10002244</v>
      </c>
      <c r="D368" s="46" t="s">
        <v>836</v>
      </c>
      <c r="E368" s="26" t="s">
        <v>75</v>
      </c>
      <c r="F368" s="26" t="s">
        <v>76</v>
      </c>
      <c r="G368" s="26" t="s">
        <v>230</v>
      </c>
      <c r="H368" s="26" t="s">
        <v>187</v>
      </c>
      <c r="I368" s="26" t="s">
        <v>188</v>
      </c>
      <c r="J368" s="2" t="s">
        <v>72</v>
      </c>
      <c r="K368" s="141" t="s">
        <v>72</v>
      </c>
      <c r="L368" s="141">
        <v>10030666</v>
      </c>
      <c r="M368" s="26" t="s">
        <v>308</v>
      </c>
      <c r="N368" s="2">
        <v>42899</v>
      </c>
      <c r="O368" s="2">
        <v>42902</v>
      </c>
      <c r="P368" s="133">
        <v>42930</v>
      </c>
      <c r="Q368" s="6">
        <v>2</v>
      </c>
      <c r="R368" s="6">
        <v>2</v>
      </c>
      <c r="S368" s="6">
        <v>2</v>
      </c>
      <c r="T368" s="6">
        <v>2</v>
      </c>
      <c r="U368" s="6">
        <v>2</v>
      </c>
      <c r="V368" s="6" t="s">
        <v>837</v>
      </c>
      <c r="W368" s="5">
        <v>41677</v>
      </c>
      <c r="X368" s="6">
        <v>2</v>
      </c>
      <c r="Y368" s="6">
        <v>3</v>
      </c>
      <c r="Z368" s="6">
        <v>2</v>
      </c>
      <c r="AA368" s="6" t="s">
        <v>178</v>
      </c>
      <c r="AB368" s="6">
        <v>2</v>
      </c>
      <c r="AC368" s="6" t="s">
        <v>180</v>
      </c>
    </row>
    <row r="369" spans="1:29" x14ac:dyDescent="0.25">
      <c r="A369" s="145" t="str">
        <f>HYPERLINK("http://www.ofsted.gov.uk/inspection-reports/find-inspection-report/provider/ELS/54397  ","Ofsted Webpage")</f>
        <v>Ofsted Webpage</v>
      </c>
      <c r="B369" s="151">
        <v>54397</v>
      </c>
      <c r="C369" s="151">
        <v>10005883</v>
      </c>
      <c r="D369" s="46" t="s">
        <v>2716</v>
      </c>
      <c r="E369" s="26" t="s">
        <v>78</v>
      </c>
      <c r="F369" s="26" t="s">
        <v>79</v>
      </c>
      <c r="G369" s="26" t="s">
        <v>213</v>
      </c>
      <c r="H369" s="26" t="s">
        <v>214</v>
      </c>
      <c r="I369" s="26" t="s">
        <v>214</v>
      </c>
      <c r="J369" s="2" t="s">
        <v>72</v>
      </c>
      <c r="K369" s="141" t="s">
        <v>72</v>
      </c>
      <c r="L369" s="141">
        <v>10005005</v>
      </c>
      <c r="M369" s="26" t="s">
        <v>211</v>
      </c>
      <c r="N369" s="2">
        <v>42332</v>
      </c>
      <c r="O369" s="2">
        <v>42335</v>
      </c>
      <c r="P369" s="133">
        <v>42353</v>
      </c>
      <c r="Q369" s="6">
        <v>2</v>
      </c>
      <c r="R369" s="6">
        <v>2</v>
      </c>
      <c r="S369" s="6">
        <v>2</v>
      </c>
      <c r="T369" s="6">
        <v>2</v>
      </c>
      <c r="U369" s="6">
        <v>2</v>
      </c>
      <c r="V369" s="6" t="s">
        <v>2717</v>
      </c>
      <c r="W369" s="5">
        <v>41565</v>
      </c>
      <c r="X369" s="6">
        <v>2</v>
      </c>
      <c r="Y369" s="6">
        <v>2</v>
      </c>
      <c r="Z369" s="6">
        <v>2</v>
      </c>
      <c r="AA369" s="6" t="s">
        <v>178</v>
      </c>
      <c r="AB369" s="6">
        <v>2</v>
      </c>
      <c r="AC369" s="6" t="s">
        <v>180</v>
      </c>
    </row>
    <row r="370" spans="1:29" x14ac:dyDescent="0.25">
      <c r="A370" s="145" t="str">
        <f>HYPERLINK("http://www.ofsted.gov.uk/inspection-reports/find-inspection-report/provider/ELS/54402  ","Ofsted Webpage")</f>
        <v>Ofsted Webpage</v>
      </c>
      <c r="B370" s="151">
        <v>54402</v>
      </c>
      <c r="C370" s="151">
        <v>10005891</v>
      </c>
      <c r="D370" s="46" t="s">
        <v>2718</v>
      </c>
      <c r="E370" s="26" t="s">
        <v>78</v>
      </c>
      <c r="F370" s="26" t="s">
        <v>79</v>
      </c>
      <c r="G370" s="26" t="s">
        <v>1199</v>
      </c>
      <c r="H370" s="26" t="s">
        <v>287</v>
      </c>
      <c r="I370" s="26" t="s">
        <v>287</v>
      </c>
      <c r="J370" s="2" t="s">
        <v>72</v>
      </c>
      <c r="K370" s="141" t="s">
        <v>72</v>
      </c>
      <c r="L370" s="141">
        <v>10005382</v>
      </c>
      <c r="M370" s="26" t="s">
        <v>183</v>
      </c>
      <c r="N370" s="2">
        <v>42430</v>
      </c>
      <c r="O370" s="2">
        <v>42433</v>
      </c>
      <c r="P370" s="133">
        <v>42465</v>
      </c>
      <c r="Q370" s="6">
        <v>3</v>
      </c>
      <c r="R370" s="6">
        <v>3</v>
      </c>
      <c r="S370" s="6">
        <v>3</v>
      </c>
      <c r="T370" s="6">
        <v>3</v>
      </c>
      <c r="U370" s="6">
        <v>3</v>
      </c>
      <c r="V370" s="6" t="s">
        <v>2719</v>
      </c>
      <c r="W370" s="5">
        <v>40193</v>
      </c>
      <c r="X370" s="6">
        <v>1</v>
      </c>
      <c r="Y370" s="6">
        <v>1</v>
      </c>
      <c r="Z370" s="6">
        <v>2</v>
      </c>
      <c r="AA370" s="6" t="s">
        <v>178</v>
      </c>
      <c r="AB370" s="6">
        <v>1</v>
      </c>
      <c r="AC370" s="6" t="s">
        <v>201</v>
      </c>
    </row>
    <row r="371" spans="1:29" x14ac:dyDescent="0.25">
      <c r="A371" s="145" t="str">
        <f>HYPERLINK("http://www.ofsted.gov.uk/inspection-reports/find-inspection-report/provider/ELS/54409  ","Ofsted Webpage")</f>
        <v>Ofsted Webpage</v>
      </c>
      <c r="B371" s="151">
        <v>54409</v>
      </c>
      <c r="C371" s="151">
        <v>10005894</v>
      </c>
      <c r="D371" s="46" t="s">
        <v>2628</v>
      </c>
      <c r="E371" s="26" t="s">
        <v>78</v>
      </c>
      <c r="F371" s="26" t="s">
        <v>79</v>
      </c>
      <c r="G371" s="26" t="s">
        <v>849</v>
      </c>
      <c r="H371" s="26" t="s">
        <v>219</v>
      </c>
      <c r="I371" s="26" t="s">
        <v>219</v>
      </c>
      <c r="J371" s="2">
        <v>42425</v>
      </c>
      <c r="K371" s="141">
        <v>1</v>
      </c>
      <c r="L371" s="141" t="s">
        <v>2629</v>
      </c>
      <c r="M371" s="26" t="s">
        <v>445</v>
      </c>
      <c r="N371" s="2">
        <v>40602</v>
      </c>
      <c r="O371" s="2">
        <v>40606</v>
      </c>
      <c r="P371" s="133">
        <v>40637</v>
      </c>
      <c r="Q371" s="6">
        <v>2</v>
      </c>
      <c r="R371" s="6">
        <v>2</v>
      </c>
      <c r="S371" s="6">
        <v>2</v>
      </c>
      <c r="T371" s="120" t="s">
        <v>178</v>
      </c>
      <c r="U371" s="6">
        <v>2</v>
      </c>
      <c r="V371" s="6" t="s">
        <v>2630</v>
      </c>
      <c r="W371" s="5">
        <v>39115</v>
      </c>
      <c r="X371" s="6">
        <v>3</v>
      </c>
      <c r="Y371" s="6" t="s">
        <v>178</v>
      </c>
      <c r="Z371" s="6" t="s">
        <v>178</v>
      </c>
      <c r="AA371" s="6" t="s">
        <v>178</v>
      </c>
      <c r="AB371" s="6">
        <v>3</v>
      </c>
      <c r="AC371" s="6" t="s">
        <v>216</v>
      </c>
    </row>
    <row r="372" spans="1:29" x14ac:dyDescent="0.25">
      <c r="A372" s="145" t="str">
        <f>HYPERLINK("http://www.ofsted.gov.uk/inspection-reports/find-inspection-report/provider/ELS/54414  ","Ofsted Webpage")</f>
        <v>Ofsted Webpage</v>
      </c>
      <c r="B372" s="151">
        <v>54414</v>
      </c>
      <c r="C372" s="151">
        <v>10005897</v>
      </c>
      <c r="D372" s="46" t="s">
        <v>2726</v>
      </c>
      <c r="E372" s="26" t="s">
        <v>78</v>
      </c>
      <c r="F372" s="26" t="s">
        <v>79</v>
      </c>
      <c r="G372" s="26" t="s">
        <v>1379</v>
      </c>
      <c r="H372" s="26" t="s">
        <v>175</v>
      </c>
      <c r="I372" s="26" t="s">
        <v>175</v>
      </c>
      <c r="J372" s="2" t="s">
        <v>72</v>
      </c>
      <c r="K372" s="141" t="s">
        <v>72</v>
      </c>
      <c r="L372" s="141">
        <v>10022548</v>
      </c>
      <c r="M372" s="26" t="s">
        <v>183</v>
      </c>
      <c r="N372" s="2">
        <v>42780</v>
      </c>
      <c r="O372" s="2">
        <v>42783</v>
      </c>
      <c r="P372" s="133">
        <v>42802</v>
      </c>
      <c r="Q372" s="6">
        <v>2</v>
      </c>
      <c r="R372" s="6">
        <v>2</v>
      </c>
      <c r="S372" s="6">
        <v>2</v>
      </c>
      <c r="T372" s="6">
        <v>2</v>
      </c>
      <c r="U372" s="6">
        <v>2</v>
      </c>
      <c r="V372" s="6" t="s">
        <v>2727</v>
      </c>
      <c r="W372" s="5">
        <v>41705</v>
      </c>
      <c r="X372" s="6">
        <v>2</v>
      </c>
      <c r="Y372" s="6">
        <v>2</v>
      </c>
      <c r="Z372" s="6">
        <v>2</v>
      </c>
      <c r="AA372" s="6" t="s">
        <v>178</v>
      </c>
      <c r="AB372" s="6">
        <v>2</v>
      </c>
      <c r="AC372" s="6" t="s">
        <v>180</v>
      </c>
    </row>
    <row r="373" spans="1:29" x14ac:dyDescent="0.25">
      <c r="A373" s="145" t="str">
        <f>HYPERLINK("http://www.ofsted.gov.uk/inspection-reports/find-inspection-report/provider/ELS/54429  ","Ofsted Webpage")</f>
        <v>Ofsted Webpage</v>
      </c>
      <c r="B373" s="151">
        <v>54429</v>
      </c>
      <c r="C373" s="151">
        <v>10005916</v>
      </c>
      <c r="D373" s="46" t="s">
        <v>841</v>
      </c>
      <c r="E373" s="26" t="s">
        <v>75</v>
      </c>
      <c r="F373" s="26" t="s">
        <v>76</v>
      </c>
      <c r="G373" s="26" t="s">
        <v>364</v>
      </c>
      <c r="H373" s="26" t="s">
        <v>219</v>
      </c>
      <c r="I373" s="26" t="s">
        <v>219</v>
      </c>
      <c r="J373" s="2" t="s">
        <v>72</v>
      </c>
      <c r="K373" s="141" t="s">
        <v>72</v>
      </c>
      <c r="L373" s="141">
        <v>10011567</v>
      </c>
      <c r="M373" s="26" t="s">
        <v>308</v>
      </c>
      <c r="N373" s="2">
        <v>42542</v>
      </c>
      <c r="O373" s="2">
        <v>42545</v>
      </c>
      <c r="P373" s="133">
        <v>42584</v>
      </c>
      <c r="Q373" s="6">
        <v>3</v>
      </c>
      <c r="R373" s="6">
        <v>3</v>
      </c>
      <c r="S373" s="6">
        <v>3</v>
      </c>
      <c r="T373" s="6">
        <v>3</v>
      </c>
      <c r="U373" s="6">
        <v>3</v>
      </c>
      <c r="V373" s="6" t="s">
        <v>842</v>
      </c>
      <c r="W373" s="5">
        <v>40487</v>
      </c>
      <c r="X373" s="6">
        <v>2</v>
      </c>
      <c r="Y373" s="6">
        <v>2</v>
      </c>
      <c r="Z373" s="6">
        <v>3</v>
      </c>
      <c r="AA373" s="6" t="s">
        <v>178</v>
      </c>
      <c r="AB373" s="6">
        <v>2</v>
      </c>
      <c r="AC373" s="6" t="s">
        <v>201</v>
      </c>
    </row>
    <row r="374" spans="1:29" x14ac:dyDescent="0.25">
      <c r="A374" s="145" t="str">
        <f>HYPERLINK("http://www.ofsted.gov.uk/inspection-reports/find-inspection-report/provider/ELS/54434  ","Ofsted Webpage")</f>
        <v>Ofsted Webpage</v>
      </c>
      <c r="B374" s="151">
        <v>54434</v>
      </c>
      <c r="C374" s="151">
        <v>10005927</v>
      </c>
      <c r="D374" s="46" t="s">
        <v>1069</v>
      </c>
      <c r="E374" s="26" t="s">
        <v>78</v>
      </c>
      <c r="F374" s="26" t="s">
        <v>79</v>
      </c>
      <c r="G374" s="26" t="s">
        <v>458</v>
      </c>
      <c r="H374" s="26" t="s">
        <v>219</v>
      </c>
      <c r="I374" s="26" t="s">
        <v>219</v>
      </c>
      <c r="J374" s="2" t="s">
        <v>72</v>
      </c>
      <c r="K374" s="141" t="s">
        <v>72</v>
      </c>
      <c r="L374" s="141">
        <v>10030689</v>
      </c>
      <c r="M374" s="26" t="s">
        <v>183</v>
      </c>
      <c r="N374" s="2">
        <v>42899</v>
      </c>
      <c r="O374" s="2">
        <v>42902</v>
      </c>
      <c r="P374" s="133">
        <v>42934</v>
      </c>
      <c r="Q374" s="6">
        <v>2</v>
      </c>
      <c r="R374" s="6">
        <v>2</v>
      </c>
      <c r="S374" s="6">
        <v>2</v>
      </c>
      <c r="T374" s="6">
        <v>2</v>
      </c>
      <c r="U374" s="6">
        <v>2</v>
      </c>
      <c r="V374" s="6" t="s">
        <v>1070</v>
      </c>
      <c r="W374" s="5">
        <v>41292</v>
      </c>
      <c r="X374" s="6">
        <v>2</v>
      </c>
      <c r="Y374" s="6">
        <v>2</v>
      </c>
      <c r="Z374" s="6">
        <v>2</v>
      </c>
      <c r="AA374" s="6" t="s">
        <v>178</v>
      </c>
      <c r="AB374" s="6">
        <v>2</v>
      </c>
      <c r="AC374" s="6" t="s">
        <v>180</v>
      </c>
    </row>
    <row r="375" spans="1:29" x14ac:dyDescent="0.25">
      <c r="A375" s="145" t="str">
        <f>HYPERLINK("http://www.ofsted.gov.uk/inspection-reports/find-inspection-report/provider/ELS/54492  ","Ofsted Webpage")</f>
        <v>Ofsted Webpage</v>
      </c>
      <c r="B375" s="151">
        <v>54492</v>
      </c>
      <c r="C375" s="151">
        <v>10006000</v>
      </c>
      <c r="D375" s="46" t="s">
        <v>843</v>
      </c>
      <c r="E375" s="26" t="s">
        <v>75</v>
      </c>
      <c r="F375" s="26" t="s">
        <v>76</v>
      </c>
      <c r="G375" s="26" t="s">
        <v>783</v>
      </c>
      <c r="H375" s="26" t="s">
        <v>204</v>
      </c>
      <c r="I375" s="26" t="s">
        <v>188</v>
      </c>
      <c r="J375" s="2">
        <v>42768</v>
      </c>
      <c r="K375" s="141">
        <v>1</v>
      </c>
      <c r="L375" s="141" t="s">
        <v>844</v>
      </c>
      <c r="M375" s="26" t="s">
        <v>549</v>
      </c>
      <c r="N375" s="2">
        <v>41344</v>
      </c>
      <c r="O375" s="2">
        <v>41348</v>
      </c>
      <c r="P375" s="133">
        <v>41383</v>
      </c>
      <c r="Q375" s="6">
        <v>2</v>
      </c>
      <c r="R375" s="6">
        <v>2</v>
      </c>
      <c r="S375" s="6">
        <v>2</v>
      </c>
      <c r="T375" s="120" t="s">
        <v>178</v>
      </c>
      <c r="U375" s="6">
        <v>1</v>
      </c>
      <c r="V375" s="6" t="s">
        <v>845</v>
      </c>
      <c r="W375" s="5">
        <v>39948</v>
      </c>
      <c r="X375" s="6">
        <v>2</v>
      </c>
      <c r="Y375" s="6">
        <v>2</v>
      </c>
      <c r="Z375" s="6">
        <v>2</v>
      </c>
      <c r="AA375" s="6" t="s">
        <v>178</v>
      </c>
      <c r="AB375" s="6">
        <v>2</v>
      </c>
      <c r="AC375" s="6" t="s">
        <v>180</v>
      </c>
    </row>
    <row r="376" spans="1:29" x14ac:dyDescent="0.25">
      <c r="A376" s="145" t="str">
        <f>HYPERLINK("http://www.ofsted.gov.uk/inspection-reports/find-inspection-report/provider/ELS/54495  ","Ofsted Webpage")</f>
        <v>Ofsted Webpage</v>
      </c>
      <c r="B376" s="151">
        <v>54495</v>
      </c>
      <c r="C376" s="151">
        <v>10006005</v>
      </c>
      <c r="D376" s="46" t="s">
        <v>2369</v>
      </c>
      <c r="E376" s="26" t="s">
        <v>78</v>
      </c>
      <c r="F376" s="26" t="s">
        <v>79</v>
      </c>
      <c r="G376" s="26" t="s">
        <v>586</v>
      </c>
      <c r="H376" s="26" t="s">
        <v>204</v>
      </c>
      <c r="I376" s="26" t="s">
        <v>188</v>
      </c>
      <c r="J376" s="2" t="s">
        <v>72</v>
      </c>
      <c r="K376" s="141" t="s">
        <v>72</v>
      </c>
      <c r="L376" s="141" t="s">
        <v>2370</v>
      </c>
      <c r="M376" s="26" t="s">
        <v>342</v>
      </c>
      <c r="N376" s="2">
        <v>41834</v>
      </c>
      <c r="O376" s="2">
        <v>41838</v>
      </c>
      <c r="P376" s="119">
        <v>41871</v>
      </c>
      <c r="Q376" s="6">
        <v>1</v>
      </c>
      <c r="R376" s="6">
        <v>1</v>
      </c>
      <c r="S376" s="6">
        <v>1</v>
      </c>
      <c r="T376" s="120" t="s">
        <v>178</v>
      </c>
      <c r="U376" s="6">
        <v>1</v>
      </c>
      <c r="V376" s="6" t="s">
        <v>2371</v>
      </c>
      <c r="W376" s="5">
        <v>41348</v>
      </c>
      <c r="X376" s="6">
        <v>3</v>
      </c>
      <c r="Y376" s="6">
        <v>3</v>
      </c>
      <c r="Z376" s="6">
        <v>3</v>
      </c>
      <c r="AA376" s="6" t="s">
        <v>178</v>
      </c>
      <c r="AB376" s="6">
        <v>3</v>
      </c>
      <c r="AC376" s="6" t="s">
        <v>216</v>
      </c>
    </row>
    <row r="377" spans="1:29" x14ac:dyDescent="0.25">
      <c r="A377" s="145" t="str">
        <f>HYPERLINK("http://www.ofsted.gov.uk/inspection-reports/find-inspection-report/provider/ELS/54501  ","Ofsted Webpage")</f>
        <v>Ofsted Webpage</v>
      </c>
      <c r="B377" s="151">
        <v>54501</v>
      </c>
      <c r="C377" s="151">
        <v>10007872</v>
      </c>
      <c r="D377" s="46" t="s">
        <v>1075</v>
      </c>
      <c r="E377" s="26" t="s">
        <v>78</v>
      </c>
      <c r="F377" s="26" t="s">
        <v>79</v>
      </c>
      <c r="G377" s="26" t="s">
        <v>516</v>
      </c>
      <c r="H377" s="26" t="s">
        <v>198</v>
      </c>
      <c r="I377" s="26" t="s">
        <v>198</v>
      </c>
      <c r="J377" s="2">
        <v>42790</v>
      </c>
      <c r="K377" s="141">
        <v>1</v>
      </c>
      <c r="L377" s="141" t="s">
        <v>1076</v>
      </c>
      <c r="M377" s="26" t="s">
        <v>333</v>
      </c>
      <c r="N377" s="2">
        <v>41435</v>
      </c>
      <c r="O377" s="2">
        <v>41439</v>
      </c>
      <c r="P377" s="133">
        <v>41474</v>
      </c>
      <c r="Q377" s="6">
        <v>2</v>
      </c>
      <c r="R377" s="6">
        <v>2</v>
      </c>
      <c r="S377" s="6">
        <v>2</v>
      </c>
      <c r="T377" s="120" t="s">
        <v>178</v>
      </c>
      <c r="U377" s="6">
        <v>2</v>
      </c>
      <c r="V377" s="6" t="s">
        <v>1077</v>
      </c>
      <c r="W377" s="5">
        <v>39668</v>
      </c>
      <c r="X377" s="6">
        <v>2</v>
      </c>
      <c r="Y377" s="6">
        <v>2</v>
      </c>
      <c r="Z377" s="6">
        <v>2</v>
      </c>
      <c r="AA377" s="6" t="s">
        <v>178</v>
      </c>
      <c r="AB377" s="6">
        <v>2</v>
      </c>
      <c r="AC377" s="6" t="s">
        <v>180</v>
      </c>
    </row>
    <row r="378" spans="1:29" x14ac:dyDescent="0.25">
      <c r="A378" s="145" t="str">
        <f>HYPERLINK("http://www.ofsted.gov.uk/inspection-reports/find-inspection-report/provider/ELS/54504  ","Ofsted Webpage")</f>
        <v>Ofsted Webpage</v>
      </c>
      <c r="B378" s="151">
        <v>54504</v>
      </c>
      <c r="C378" s="151">
        <v>10010846</v>
      </c>
      <c r="D378" s="46" t="s">
        <v>2372</v>
      </c>
      <c r="E378" s="26" t="s">
        <v>78</v>
      </c>
      <c r="F378" s="26" t="s">
        <v>79</v>
      </c>
      <c r="G378" s="26" t="s">
        <v>230</v>
      </c>
      <c r="H378" s="26" t="s">
        <v>187</v>
      </c>
      <c r="I378" s="26" t="s">
        <v>188</v>
      </c>
      <c r="J378" s="2" t="s">
        <v>72</v>
      </c>
      <c r="K378" s="141" t="s">
        <v>72</v>
      </c>
      <c r="L378" s="141">
        <v>10022106</v>
      </c>
      <c r="M378" s="26" t="s">
        <v>211</v>
      </c>
      <c r="N378" s="2">
        <v>42710</v>
      </c>
      <c r="O378" s="2">
        <v>42713</v>
      </c>
      <c r="P378" s="119">
        <v>42754</v>
      </c>
      <c r="Q378" s="6">
        <v>4</v>
      </c>
      <c r="R378" s="6">
        <v>4</v>
      </c>
      <c r="S378" s="6">
        <v>4</v>
      </c>
      <c r="T378" s="6">
        <v>4</v>
      </c>
      <c r="U378" s="6">
        <v>4</v>
      </c>
      <c r="V378" s="6" t="s">
        <v>2373</v>
      </c>
      <c r="W378" s="5">
        <v>41957</v>
      </c>
      <c r="X378" s="6">
        <v>2</v>
      </c>
      <c r="Y378" s="6">
        <v>2</v>
      </c>
      <c r="Z378" s="6">
        <v>2</v>
      </c>
      <c r="AA378" s="6" t="s">
        <v>178</v>
      </c>
      <c r="AB378" s="6">
        <v>3</v>
      </c>
      <c r="AC378" s="6" t="s">
        <v>201</v>
      </c>
    </row>
    <row r="379" spans="1:29" x14ac:dyDescent="0.25">
      <c r="A379" s="145" t="str">
        <f>HYPERLINK("http://www.ofsted.gov.uk/inspection-reports/find-inspection-report/provider/ELS/54505  ","Ofsted Webpage")</f>
        <v>Ofsted Webpage</v>
      </c>
      <c r="B379" s="151">
        <v>54505</v>
      </c>
      <c r="C379" s="151">
        <v>10004748</v>
      </c>
      <c r="D379" s="46" t="s">
        <v>993</v>
      </c>
      <c r="E379" s="26" t="s">
        <v>77</v>
      </c>
      <c r="F379" s="26" t="s">
        <v>76</v>
      </c>
      <c r="G379" s="26" t="s">
        <v>994</v>
      </c>
      <c r="H379" s="26" t="s">
        <v>187</v>
      </c>
      <c r="I379" s="26" t="s">
        <v>188</v>
      </c>
      <c r="J379" s="2" t="s">
        <v>72</v>
      </c>
      <c r="K379" s="141" t="s">
        <v>72</v>
      </c>
      <c r="L379" s="141">
        <v>10011561</v>
      </c>
      <c r="M379" s="26" t="s">
        <v>183</v>
      </c>
      <c r="N379" s="2">
        <v>42542</v>
      </c>
      <c r="O379" s="2">
        <v>42545</v>
      </c>
      <c r="P379" s="133">
        <v>42580</v>
      </c>
      <c r="Q379" s="6">
        <v>2</v>
      </c>
      <c r="R379" s="6">
        <v>2</v>
      </c>
      <c r="S379" s="6">
        <v>2</v>
      </c>
      <c r="T379" s="6">
        <v>1</v>
      </c>
      <c r="U379" s="6">
        <v>2</v>
      </c>
      <c r="V379" s="6" t="s">
        <v>995</v>
      </c>
      <c r="W379" s="5">
        <v>40466</v>
      </c>
      <c r="X379" s="6">
        <v>2</v>
      </c>
      <c r="Y379" s="6">
        <v>2</v>
      </c>
      <c r="Z379" s="6">
        <v>2</v>
      </c>
      <c r="AA379" s="6" t="s">
        <v>178</v>
      </c>
      <c r="AB379" s="6">
        <v>2</v>
      </c>
      <c r="AC379" s="6" t="s">
        <v>180</v>
      </c>
    </row>
    <row r="380" spans="1:29" x14ac:dyDescent="0.25">
      <c r="A380" s="145" t="str">
        <f>HYPERLINK("http://www.ofsted.gov.uk/inspection-reports/find-inspection-report/provider/ELS/54509  ","Ofsted Webpage")</f>
        <v>Ofsted Webpage</v>
      </c>
      <c r="B380" s="151">
        <v>54509</v>
      </c>
      <c r="C380" s="151">
        <v>10006021</v>
      </c>
      <c r="D380" s="46" t="s">
        <v>846</v>
      </c>
      <c r="E380" s="26" t="s">
        <v>75</v>
      </c>
      <c r="F380" s="26" t="s">
        <v>76</v>
      </c>
      <c r="G380" s="26" t="s">
        <v>512</v>
      </c>
      <c r="H380" s="26" t="s">
        <v>219</v>
      </c>
      <c r="I380" s="26" t="s">
        <v>219</v>
      </c>
      <c r="J380" s="2">
        <v>42914</v>
      </c>
      <c r="K380" s="141">
        <v>1</v>
      </c>
      <c r="L380" s="141" t="s">
        <v>847</v>
      </c>
      <c r="M380" s="26" t="s">
        <v>549</v>
      </c>
      <c r="N380" s="2">
        <v>41401</v>
      </c>
      <c r="O380" s="2">
        <v>41404</v>
      </c>
      <c r="P380" s="133">
        <v>41442</v>
      </c>
      <c r="Q380" s="6">
        <v>2</v>
      </c>
      <c r="R380" s="6">
        <v>2</v>
      </c>
      <c r="S380" s="6">
        <v>2</v>
      </c>
      <c r="T380" s="120" t="s">
        <v>178</v>
      </c>
      <c r="U380" s="6">
        <v>3</v>
      </c>
      <c r="V380" s="6" t="s">
        <v>848</v>
      </c>
      <c r="W380" s="5">
        <v>39969</v>
      </c>
      <c r="X380" s="6">
        <v>3</v>
      </c>
      <c r="Y380" s="6">
        <v>3</v>
      </c>
      <c r="Z380" s="6">
        <v>2</v>
      </c>
      <c r="AA380" s="6" t="s">
        <v>178</v>
      </c>
      <c r="AB380" s="6">
        <v>3</v>
      </c>
      <c r="AC380" s="6" t="s">
        <v>216</v>
      </c>
    </row>
    <row r="381" spans="1:29" x14ac:dyDescent="0.25">
      <c r="A381" s="145" t="str">
        <f>HYPERLINK("http://www.ofsted.gov.uk/inspection-reports/find-inspection-report/provider/ELS/54510  ","Ofsted Webpage")</f>
        <v>Ofsted Webpage</v>
      </c>
      <c r="B381" s="151">
        <v>54510</v>
      </c>
      <c r="C381" s="151">
        <v>10005760</v>
      </c>
      <c r="D381" s="46" t="s">
        <v>2614</v>
      </c>
      <c r="E381" s="26" t="s">
        <v>78</v>
      </c>
      <c r="F381" s="26" t="s">
        <v>79</v>
      </c>
      <c r="G381" s="26" t="s">
        <v>512</v>
      </c>
      <c r="H381" s="26" t="s">
        <v>219</v>
      </c>
      <c r="I381" s="26" t="s">
        <v>219</v>
      </c>
      <c r="J381" s="2" t="s">
        <v>72</v>
      </c>
      <c r="K381" s="141" t="s">
        <v>72</v>
      </c>
      <c r="L381" s="141">
        <v>10020200</v>
      </c>
      <c r="M381" s="26" t="s">
        <v>211</v>
      </c>
      <c r="N381" s="2">
        <v>42669</v>
      </c>
      <c r="O381" s="2">
        <v>42692</v>
      </c>
      <c r="P381" s="133">
        <v>42738</v>
      </c>
      <c r="Q381" s="6">
        <v>2</v>
      </c>
      <c r="R381" s="6">
        <v>2</v>
      </c>
      <c r="S381" s="6">
        <v>2</v>
      </c>
      <c r="T381" s="6">
        <v>2</v>
      </c>
      <c r="U381" s="6">
        <v>2</v>
      </c>
      <c r="V381" s="6" t="s">
        <v>2615</v>
      </c>
      <c r="W381" s="5">
        <v>41243</v>
      </c>
      <c r="X381" s="6">
        <v>2</v>
      </c>
      <c r="Y381" s="6">
        <v>2</v>
      </c>
      <c r="Z381" s="6">
        <v>2</v>
      </c>
      <c r="AA381" s="6" t="s">
        <v>178</v>
      </c>
      <c r="AB381" s="6">
        <v>2</v>
      </c>
      <c r="AC381" s="6" t="s">
        <v>180</v>
      </c>
    </row>
    <row r="382" spans="1:29" x14ac:dyDescent="0.25">
      <c r="A382" s="145" t="str">
        <f>HYPERLINK("http://www.ofsted.gov.uk/inspection-reports/find-inspection-report/provider/ELS/54519  ","Ofsted Webpage")</f>
        <v>Ofsted Webpage</v>
      </c>
      <c r="B382" s="151">
        <v>54519</v>
      </c>
      <c r="C382" s="151">
        <v>10006029</v>
      </c>
      <c r="D382" s="46" t="s">
        <v>1405</v>
      </c>
      <c r="E382" s="26" t="s">
        <v>75</v>
      </c>
      <c r="F382" s="26" t="s">
        <v>76</v>
      </c>
      <c r="G382" s="26" t="s">
        <v>1406</v>
      </c>
      <c r="H382" s="26" t="s">
        <v>287</v>
      </c>
      <c r="I382" s="26" t="s">
        <v>287</v>
      </c>
      <c r="J382" s="2">
        <v>43040</v>
      </c>
      <c r="K382" s="141">
        <v>1</v>
      </c>
      <c r="L382" s="141" t="s">
        <v>1407</v>
      </c>
      <c r="M382" s="26" t="s">
        <v>549</v>
      </c>
      <c r="N382" s="2">
        <v>41918</v>
      </c>
      <c r="O382" s="2">
        <v>41922</v>
      </c>
      <c r="P382" s="133">
        <v>41955</v>
      </c>
      <c r="Q382" s="6">
        <v>2</v>
      </c>
      <c r="R382" s="6">
        <v>2</v>
      </c>
      <c r="S382" s="6">
        <v>2</v>
      </c>
      <c r="T382" s="120" t="s">
        <v>178</v>
      </c>
      <c r="U382" s="6">
        <v>2</v>
      </c>
      <c r="V382" s="6" t="s">
        <v>1408</v>
      </c>
      <c r="W382" s="5">
        <v>39759</v>
      </c>
      <c r="X382" s="6">
        <v>2</v>
      </c>
      <c r="Y382" s="6">
        <v>2</v>
      </c>
      <c r="Z382" s="6">
        <v>2</v>
      </c>
      <c r="AA382" s="6" t="s">
        <v>178</v>
      </c>
      <c r="AB382" s="6">
        <v>1</v>
      </c>
      <c r="AC382" s="6" t="s">
        <v>180</v>
      </c>
    </row>
    <row r="383" spans="1:29" x14ac:dyDescent="0.25">
      <c r="A383" s="145" t="str">
        <f>HYPERLINK("http://www.ofsted.gov.uk/inspection-reports/find-inspection-report/provider/ELS/54525  ","Ofsted Webpage")</f>
        <v>Ofsted Webpage</v>
      </c>
      <c r="B383" s="151">
        <v>54525</v>
      </c>
      <c r="C383" s="151">
        <v>10005222</v>
      </c>
      <c r="D383" s="46" t="s">
        <v>2704</v>
      </c>
      <c r="E383" s="26" t="s">
        <v>78</v>
      </c>
      <c r="F383" s="26" t="s">
        <v>79</v>
      </c>
      <c r="G383" s="26" t="s">
        <v>247</v>
      </c>
      <c r="H383" s="26" t="s">
        <v>238</v>
      </c>
      <c r="I383" s="26" t="s">
        <v>238</v>
      </c>
      <c r="J383" s="2" t="s">
        <v>72</v>
      </c>
      <c r="K383" s="141" t="s">
        <v>72</v>
      </c>
      <c r="L383" s="141" t="s">
        <v>72</v>
      </c>
      <c r="M383" s="26" t="s">
        <v>72</v>
      </c>
      <c r="N383" s="2" t="s">
        <v>72</v>
      </c>
      <c r="O383" s="2" t="s">
        <v>72</v>
      </c>
      <c r="P383" s="133" t="s">
        <v>72</v>
      </c>
      <c r="Q383" s="6" t="s">
        <v>72</v>
      </c>
      <c r="R383" s="6" t="s">
        <v>72</v>
      </c>
      <c r="S383" s="6" t="s">
        <v>72</v>
      </c>
      <c r="T383" s="6" t="s">
        <v>72</v>
      </c>
      <c r="U383" s="6" t="s">
        <v>72</v>
      </c>
      <c r="V383" s="6" t="s">
        <v>72</v>
      </c>
      <c r="W383" s="5" t="s">
        <v>72</v>
      </c>
      <c r="X383" s="6" t="s">
        <v>72</v>
      </c>
      <c r="Y383" s="6" t="s">
        <v>72</v>
      </c>
      <c r="Z383" s="6" t="s">
        <v>72</v>
      </c>
      <c r="AA383" s="6" t="s">
        <v>72</v>
      </c>
      <c r="AB383" s="6" t="s">
        <v>72</v>
      </c>
      <c r="AC383" s="6" t="s">
        <v>72</v>
      </c>
    </row>
    <row r="384" spans="1:29" x14ac:dyDescent="0.25">
      <c r="A384" s="145" t="str">
        <f>HYPERLINK("http://www.ofsted.gov.uk/inspection-reports/find-inspection-report/provider/ELS/54532  ","Ofsted Webpage")</f>
        <v>Ofsted Webpage</v>
      </c>
      <c r="B384" s="151">
        <v>54532</v>
      </c>
      <c r="C384" s="151">
        <v>10009091</v>
      </c>
      <c r="D384" s="46" t="s">
        <v>1078</v>
      </c>
      <c r="E384" s="26" t="s">
        <v>78</v>
      </c>
      <c r="F384" s="26" t="s">
        <v>79</v>
      </c>
      <c r="G384" s="26" t="s">
        <v>590</v>
      </c>
      <c r="H384" s="26" t="s">
        <v>219</v>
      </c>
      <c r="I384" s="26" t="s">
        <v>219</v>
      </c>
      <c r="J384" s="2" t="s">
        <v>72</v>
      </c>
      <c r="K384" s="141" t="s">
        <v>72</v>
      </c>
      <c r="L384" s="141" t="s">
        <v>1079</v>
      </c>
      <c r="M384" s="26" t="s">
        <v>333</v>
      </c>
      <c r="N384" s="2">
        <v>41806</v>
      </c>
      <c r="O384" s="2">
        <v>41810</v>
      </c>
      <c r="P384" s="133">
        <v>41845</v>
      </c>
      <c r="Q384" s="6">
        <v>2</v>
      </c>
      <c r="R384" s="6">
        <v>2</v>
      </c>
      <c r="S384" s="6">
        <v>2</v>
      </c>
      <c r="T384" s="120" t="s">
        <v>178</v>
      </c>
      <c r="U384" s="6">
        <v>2</v>
      </c>
      <c r="V384" s="6" t="s">
        <v>1080</v>
      </c>
      <c r="W384" s="5">
        <v>40563</v>
      </c>
      <c r="X384" s="6">
        <v>2</v>
      </c>
      <c r="Y384" s="6">
        <v>2</v>
      </c>
      <c r="Z384" s="6">
        <v>2</v>
      </c>
      <c r="AA384" s="6" t="s">
        <v>178</v>
      </c>
      <c r="AB384" s="6">
        <v>2</v>
      </c>
      <c r="AC384" s="6" t="s">
        <v>180</v>
      </c>
    </row>
    <row r="385" spans="1:29" x14ac:dyDescent="0.25">
      <c r="A385" s="145" t="str">
        <f>HYPERLINK("http://www.ofsted.gov.uk/inspection-reports/find-inspection-report/provider/ELS/54552  ","Ofsted Webpage")</f>
        <v>Ofsted Webpage</v>
      </c>
      <c r="B385" s="151">
        <v>54552</v>
      </c>
      <c r="C385" s="151">
        <v>10010548</v>
      </c>
      <c r="D385" s="46" t="s">
        <v>2497</v>
      </c>
      <c r="E385" s="26" t="s">
        <v>78</v>
      </c>
      <c r="F385" s="26" t="s">
        <v>79</v>
      </c>
      <c r="G385" s="26" t="s">
        <v>851</v>
      </c>
      <c r="H385" s="26" t="s">
        <v>238</v>
      </c>
      <c r="I385" s="26" t="s">
        <v>238</v>
      </c>
      <c r="J385" s="2" t="s">
        <v>72</v>
      </c>
      <c r="K385" s="141" t="s">
        <v>72</v>
      </c>
      <c r="L385" s="141">
        <v>10011510</v>
      </c>
      <c r="M385" s="26" t="s">
        <v>211</v>
      </c>
      <c r="N385" s="2">
        <v>42549</v>
      </c>
      <c r="O385" s="2">
        <v>42551</v>
      </c>
      <c r="P385" s="133">
        <v>42579</v>
      </c>
      <c r="Q385" s="6">
        <v>2</v>
      </c>
      <c r="R385" s="6">
        <v>1</v>
      </c>
      <c r="S385" s="6">
        <v>2</v>
      </c>
      <c r="T385" s="6">
        <v>2</v>
      </c>
      <c r="U385" s="6">
        <v>2</v>
      </c>
      <c r="V385" s="6" t="s">
        <v>2498</v>
      </c>
      <c r="W385" s="5">
        <v>40921</v>
      </c>
      <c r="X385" s="6">
        <v>2</v>
      </c>
      <c r="Y385" s="6">
        <v>1</v>
      </c>
      <c r="Z385" s="6">
        <v>2</v>
      </c>
      <c r="AA385" s="6" t="s">
        <v>178</v>
      </c>
      <c r="AB385" s="6">
        <v>2</v>
      </c>
      <c r="AC385" s="6" t="s">
        <v>180</v>
      </c>
    </row>
    <row r="386" spans="1:29" x14ac:dyDescent="0.25">
      <c r="A386" s="145" t="str">
        <f>HYPERLINK("http://www.ofsted.gov.uk/inspection-reports/find-inspection-report/provider/ELS/54562  ","Ofsted Webpage")</f>
        <v>Ofsted Webpage</v>
      </c>
      <c r="B386" s="151">
        <v>54562</v>
      </c>
      <c r="C386" s="151">
        <v>10006173</v>
      </c>
      <c r="D386" s="46" t="s">
        <v>2501</v>
      </c>
      <c r="E386" s="26" t="s">
        <v>78</v>
      </c>
      <c r="F386" s="26" t="s">
        <v>79</v>
      </c>
      <c r="G386" s="26" t="s">
        <v>651</v>
      </c>
      <c r="H386" s="26" t="s">
        <v>238</v>
      </c>
      <c r="I386" s="26" t="s">
        <v>238</v>
      </c>
      <c r="J386" s="2" t="s">
        <v>72</v>
      </c>
      <c r="K386" s="141" t="s">
        <v>72</v>
      </c>
      <c r="L386" s="141">
        <v>10005009</v>
      </c>
      <c r="M386" s="26" t="s">
        <v>211</v>
      </c>
      <c r="N386" s="2">
        <v>42402</v>
      </c>
      <c r="O386" s="2">
        <v>42405</v>
      </c>
      <c r="P386" s="133">
        <v>42431</v>
      </c>
      <c r="Q386" s="6">
        <v>2</v>
      </c>
      <c r="R386" s="6">
        <v>2</v>
      </c>
      <c r="S386" s="6">
        <v>2</v>
      </c>
      <c r="T386" s="6">
        <v>1</v>
      </c>
      <c r="U386" s="6">
        <v>2</v>
      </c>
      <c r="V386" s="6" t="s">
        <v>2502</v>
      </c>
      <c r="W386" s="5">
        <v>41257</v>
      </c>
      <c r="X386" s="6">
        <v>2</v>
      </c>
      <c r="Y386" s="6">
        <v>3</v>
      </c>
      <c r="Z386" s="6">
        <v>2</v>
      </c>
      <c r="AA386" s="6" t="s">
        <v>178</v>
      </c>
      <c r="AB386" s="6">
        <v>2</v>
      </c>
      <c r="AC386" s="6" t="s">
        <v>180</v>
      </c>
    </row>
    <row r="387" spans="1:29" x14ac:dyDescent="0.25">
      <c r="A387" s="145" t="str">
        <f>HYPERLINK("http://www.ofsted.gov.uk/inspection-reports/find-inspection-report/provider/ELS/54563  ","Ofsted Webpage")</f>
        <v>Ofsted Webpage</v>
      </c>
      <c r="B387" s="151">
        <v>54563</v>
      </c>
      <c r="C387" s="151">
        <v>10006175</v>
      </c>
      <c r="D387" s="46" t="s">
        <v>1412</v>
      </c>
      <c r="E387" s="26" t="s">
        <v>75</v>
      </c>
      <c r="F387" s="26" t="s">
        <v>76</v>
      </c>
      <c r="G387" s="26" t="s">
        <v>651</v>
      </c>
      <c r="H387" s="26" t="s">
        <v>238</v>
      </c>
      <c r="I387" s="26" t="s">
        <v>238</v>
      </c>
      <c r="J387" s="2" t="s">
        <v>72</v>
      </c>
      <c r="K387" s="141" t="s">
        <v>72</v>
      </c>
      <c r="L387" s="141">
        <v>10005010</v>
      </c>
      <c r="M387" s="26" t="s">
        <v>308</v>
      </c>
      <c r="N387" s="2">
        <v>42394</v>
      </c>
      <c r="O387" s="2">
        <v>42397</v>
      </c>
      <c r="P387" s="133">
        <v>42424</v>
      </c>
      <c r="Q387" s="6">
        <v>3</v>
      </c>
      <c r="R387" s="6">
        <v>3</v>
      </c>
      <c r="S387" s="6">
        <v>3</v>
      </c>
      <c r="T387" s="6">
        <v>3</v>
      </c>
      <c r="U387" s="6">
        <v>3</v>
      </c>
      <c r="V387" s="6" t="s">
        <v>1413</v>
      </c>
      <c r="W387" s="5">
        <v>40242</v>
      </c>
      <c r="X387" s="6">
        <v>2</v>
      </c>
      <c r="Y387" s="6">
        <v>2</v>
      </c>
      <c r="Z387" s="6">
        <v>2</v>
      </c>
      <c r="AA387" s="6" t="s">
        <v>178</v>
      </c>
      <c r="AB387" s="6">
        <v>2</v>
      </c>
      <c r="AC387" s="6" t="s">
        <v>201</v>
      </c>
    </row>
    <row r="388" spans="1:29" x14ac:dyDescent="0.25">
      <c r="A388" s="145" t="str">
        <f>HYPERLINK("http://www.ofsted.gov.uk/inspection-reports/find-inspection-report/provider/ELS/54584  ","Ofsted Webpage")</f>
        <v>Ofsted Webpage</v>
      </c>
      <c r="B388" s="151">
        <v>54584</v>
      </c>
      <c r="C388" s="151">
        <v>10006296</v>
      </c>
      <c r="D388" s="46" t="s">
        <v>1414</v>
      </c>
      <c r="E388" s="26" t="s">
        <v>75</v>
      </c>
      <c r="F388" s="26" t="s">
        <v>76</v>
      </c>
      <c r="G388" s="26" t="s">
        <v>254</v>
      </c>
      <c r="H388" s="26" t="s">
        <v>193</v>
      </c>
      <c r="I388" s="26" t="s">
        <v>193</v>
      </c>
      <c r="J388" s="2">
        <v>42794</v>
      </c>
      <c r="K388" s="141">
        <v>1</v>
      </c>
      <c r="L388" s="141" t="s">
        <v>1415</v>
      </c>
      <c r="M388" s="26" t="s">
        <v>549</v>
      </c>
      <c r="N388" s="2">
        <v>41232</v>
      </c>
      <c r="O388" s="2">
        <v>41236</v>
      </c>
      <c r="P388" s="133">
        <v>41276</v>
      </c>
      <c r="Q388" s="6">
        <v>2</v>
      </c>
      <c r="R388" s="6">
        <v>2</v>
      </c>
      <c r="S388" s="6">
        <v>2</v>
      </c>
      <c r="T388" s="120" t="s">
        <v>178</v>
      </c>
      <c r="U388" s="6">
        <v>1</v>
      </c>
      <c r="V388" s="6" t="s">
        <v>1416</v>
      </c>
      <c r="W388" s="5">
        <v>39871</v>
      </c>
      <c r="X388" s="6">
        <v>3</v>
      </c>
      <c r="Y388" s="6">
        <v>3</v>
      </c>
      <c r="Z388" s="6">
        <v>3</v>
      </c>
      <c r="AA388" s="6" t="s">
        <v>178</v>
      </c>
      <c r="AB388" s="6">
        <v>3</v>
      </c>
      <c r="AC388" s="6" t="s">
        <v>216</v>
      </c>
    </row>
    <row r="389" spans="1:29" x14ac:dyDescent="0.25">
      <c r="A389" s="145" t="str">
        <f>HYPERLINK("http://www.ofsted.gov.uk/inspection-reports/find-inspection-report/provider/ELS/54611  ","Ofsted Webpage")</f>
        <v>Ofsted Webpage</v>
      </c>
      <c r="B389" s="151">
        <v>54611</v>
      </c>
      <c r="C389" s="151">
        <v>10047049</v>
      </c>
      <c r="D389" s="46" t="s">
        <v>2869</v>
      </c>
      <c r="E389" s="26" t="s">
        <v>85</v>
      </c>
      <c r="F389" s="26" t="s">
        <v>86</v>
      </c>
      <c r="G389" s="26" t="s">
        <v>286</v>
      </c>
      <c r="H389" s="26" t="s">
        <v>287</v>
      </c>
      <c r="I389" s="26" t="s">
        <v>287</v>
      </c>
      <c r="J389" s="2" t="s">
        <v>72</v>
      </c>
      <c r="K389" s="141" t="s">
        <v>72</v>
      </c>
      <c r="L389" s="141" t="s">
        <v>2870</v>
      </c>
      <c r="M389" s="26" t="s">
        <v>605</v>
      </c>
      <c r="N389" s="2">
        <v>40519</v>
      </c>
      <c r="O389" s="2">
        <v>40520</v>
      </c>
      <c r="P389" s="133">
        <v>40562</v>
      </c>
      <c r="Q389" s="6" t="s">
        <v>178</v>
      </c>
      <c r="R389" s="6" t="s">
        <v>178</v>
      </c>
      <c r="S389" s="6" t="s">
        <v>178</v>
      </c>
      <c r="T389" s="120" t="s">
        <v>178</v>
      </c>
      <c r="U389" s="6" t="s">
        <v>178</v>
      </c>
      <c r="V389" s="6" t="s">
        <v>72</v>
      </c>
      <c r="W389" s="5" t="s">
        <v>72</v>
      </c>
      <c r="X389" s="6" t="s">
        <v>72</v>
      </c>
      <c r="Y389" s="6" t="s">
        <v>72</v>
      </c>
      <c r="Z389" s="6" t="s">
        <v>72</v>
      </c>
      <c r="AA389" s="6" t="s">
        <v>72</v>
      </c>
      <c r="AB389" s="6" t="s">
        <v>72</v>
      </c>
      <c r="AC389" s="6" t="s">
        <v>208</v>
      </c>
    </row>
    <row r="390" spans="1:29" x14ac:dyDescent="0.25">
      <c r="A390" s="145" t="str">
        <f>HYPERLINK("http://www.ofsted.gov.uk/inspection-reports/find-inspection-report/provider/ELS/54624  ","Ofsted Webpage")</f>
        <v>Ofsted Webpage</v>
      </c>
      <c r="B390" s="151">
        <v>54624</v>
      </c>
      <c r="C390" s="151">
        <v>10006332</v>
      </c>
      <c r="D390" s="46" t="s">
        <v>1799</v>
      </c>
      <c r="E390" s="26" t="s">
        <v>77</v>
      </c>
      <c r="F390" s="26" t="s">
        <v>76</v>
      </c>
      <c r="G390" s="26" t="s">
        <v>608</v>
      </c>
      <c r="H390" s="26" t="s">
        <v>238</v>
      </c>
      <c r="I390" s="26" t="s">
        <v>238</v>
      </c>
      <c r="J390" s="2">
        <v>42544</v>
      </c>
      <c r="K390" s="141">
        <v>1</v>
      </c>
      <c r="L390" s="141" t="s">
        <v>1800</v>
      </c>
      <c r="M390" s="26" t="s">
        <v>333</v>
      </c>
      <c r="N390" s="2">
        <v>41324</v>
      </c>
      <c r="O390" s="2">
        <v>41327</v>
      </c>
      <c r="P390" s="133">
        <v>41358</v>
      </c>
      <c r="Q390" s="6">
        <v>2</v>
      </c>
      <c r="R390" s="6">
        <v>2</v>
      </c>
      <c r="S390" s="6">
        <v>2</v>
      </c>
      <c r="T390" s="120" t="s">
        <v>178</v>
      </c>
      <c r="U390" s="6">
        <v>2</v>
      </c>
      <c r="V390" s="6" t="s">
        <v>1801</v>
      </c>
      <c r="W390" s="5">
        <v>40591</v>
      </c>
      <c r="X390" s="6">
        <v>3</v>
      </c>
      <c r="Y390" s="6">
        <v>3</v>
      </c>
      <c r="Z390" s="6">
        <v>3</v>
      </c>
      <c r="AA390" s="6" t="s">
        <v>178</v>
      </c>
      <c r="AB390" s="6">
        <v>3</v>
      </c>
      <c r="AC390" s="6" t="s">
        <v>216</v>
      </c>
    </row>
    <row r="391" spans="1:29" x14ac:dyDescent="0.25">
      <c r="A391" s="145" t="str">
        <f>HYPERLINK("http://www.ofsted.gov.uk/inspection-reports/find-inspection-report/provider/ELS/54630  ","Ofsted Webpage")</f>
        <v>Ofsted Webpage</v>
      </c>
      <c r="B391" s="151">
        <v>54630</v>
      </c>
      <c r="C391" s="151">
        <v>10006337</v>
      </c>
      <c r="D391" s="46" t="s">
        <v>713</v>
      </c>
      <c r="E391" s="26" t="s">
        <v>75</v>
      </c>
      <c r="F391" s="26" t="s">
        <v>76</v>
      </c>
      <c r="G391" s="26" t="s">
        <v>714</v>
      </c>
      <c r="H391" s="26" t="s">
        <v>204</v>
      </c>
      <c r="I391" s="26" t="s">
        <v>188</v>
      </c>
      <c r="J391" s="2" t="s">
        <v>72</v>
      </c>
      <c r="K391" s="141" t="s">
        <v>72</v>
      </c>
      <c r="L391" s="141" t="s">
        <v>715</v>
      </c>
      <c r="M391" s="26" t="s">
        <v>321</v>
      </c>
      <c r="N391" s="2">
        <v>41792</v>
      </c>
      <c r="O391" s="2">
        <v>41796</v>
      </c>
      <c r="P391" s="133">
        <v>41829</v>
      </c>
      <c r="Q391" s="6">
        <v>2</v>
      </c>
      <c r="R391" s="6">
        <v>2</v>
      </c>
      <c r="S391" s="6">
        <v>2</v>
      </c>
      <c r="T391" s="120" t="s">
        <v>178</v>
      </c>
      <c r="U391" s="6">
        <v>2</v>
      </c>
      <c r="V391" s="6" t="s">
        <v>716</v>
      </c>
      <c r="W391" s="5">
        <v>41033</v>
      </c>
      <c r="X391" s="6">
        <v>3</v>
      </c>
      <c r="Y391" s="6">
        <v>3</v>
      </c>
      <c r="Z391" s="6">
        <v>3</v>
      </c>
      <c r="AA391" s="6" t="s">
        <v>178</v>
      </c>
      <c r="AB391" s="6">
        <v>3</v>
      </c>
      <c r="AC391" s="6" t="s">
        <v>216</v>
      </c>
    </row>
    <row r="392" spans="1:29" x14ac:dyDescent="0.25">
      <c r="A392" s="145" t="str">
        <f>HYPERLINK("http://www.ofsted.gov.uk/inspection-reports/find-inspection-report/provider/ELS/54636  ","Ofsted Webpage")</f>
        <v>Ofsted Webpage</v>
      </c>
      <c r="B392" s="151">
        <v>54636</v>
      </c>
      <c r="C392" s="151">
        <v>10001473</v>
      </c>
      <c r="D392" s="46" t="s">
        <v>1419</v>
      </c>
      <c r="E392" s="26" t="s">
        <v>75</v>
      </c>
      <c r="F392" s="26" t="s">
        <v>76</v>
      </c>
      <c r="G392" s="26" t="s">
        <v>530</v>
      </c>
      <c r="H392" s="26" t="s">
        <v>193</v>
      </c>
      <c r="I392" s="26" t="s">
        <v>193</v>
      </c>
      <c r="J392" s="2" t="s">
        <v>72</v>
      </c>
      <c r="K392" s="141" t="s">
        <v>72</v>
      </c>
      <c r="L392" s="141">
        <v>10037417</v>
      </c>
      <c r="M392" s="26" t="s">
        <v>562</v>
      </c>
      <c r="N392" s="2">
        <v>43025</v>
      </c>
      <c r="O392" s="2">
        <v>43028</v>
      </c>
      <c r="P392" s="133">
        <v>43054</v>
      </c>
      <c r="Q392" s="6">
        <v>3</v>
      </c>
      <c r="R392" s="6">
        <v>3</v>
      </c>
      <c r="S392" s="6">
        <v>3</v>
      </c>
      <c r="T392" s="6">
        <v>3</v>
      </c>
      <c r="U392" s="6">
        <v>3</v>
      </c>
      <c r="V392" s="6">
        <v>10011511</v>
      </c>
      <c r="W392" s="5">
        <v>42489</v>
      </c>
      <c r="X392" s="6">
        <v>3</v>
      </c>
      <c r="Y392" s="6">
        <v>3</v>
      </c>
      <c r="Z392" s="6">
        <v>3</v>
      </c>
      <c r="AA392" s="6">
        <v>3</v>
      </c>
      <c r="AB392" s="6">
        <v>3</v>
      </c>
      <c r="AC392" s="6" t="s">
        <v>180</v>
      </c>
    </row>
    <row r="393" spans="1:29" x14ac:dyDescent="0.25">
      <c r="A393" s="145" t="str">
        <f>HYPERLINK("http://www.ofsted.gov.uk/inspection-reports/find-inspection-report/provider/ELS/54640  ","Ofsted Webpage")</f>
        <v>Ofsted Webpage</v>
      </c>
      <c r="B393" s="151">
        <v>54640</v>
      </c>
      <c r="C393" s="151">
        <v>10006365</v>
      </c>
      <c r="D393" s="46" t="s">
        <v>2296</v>
      </c>
      <c r="E393" s="26" t="s">
        <v>78</v>
      </c>
      <c r="F393" s="26" t="s">
        <v>79</v>
      </c>
      <c r="G393" s="26" t="s">
        <v>421</v>
      </c>
      <c r="H393" s="26" t="s">
        <v>219</v>
      </c>
      <c r="I393" s="26" t="s">
        <v>219</v>
      </c>
      <c r="J393" s="2" t="s">
        <v>72</v>
      </c>
      <c r="K393" s="141" t="s">
        <v>72</v>
      </c>
      <c r="L393" s="141">
        <v>10005012</v>
      </c>
      <c r="M393" s="26" t="s">
        <v>199</v>
      </c>
      <c r="N393" s="2">
        <v>42668</v>
      </c>
      <c r="O393" s="2">
        <v>42671</v>
      </c>
      <c r="P393" s="119">
        <v>42706</v>
      </c>
      <c r="Q393" s="6">
        <v>2</v>
      </c>
      <c r="R393" s="6">
        <v>2</v>
      </c>
      <c r="S393" s="6">
        <v>2</v>
      </c>
      <c r="T393" s="6">
        <v>2</v>
      </c>
      <c r="U393" s="6">
        <v>2</v>
      </c>
      <c r="V393" s="6" t="s">
        <v>2297</v>
      </c>
      <c r="W393" s="5">
        <v>42041</v>
      </c>
      <c r="X393" s="6">
        <v>3</v>
      </c>
      <c r="Y393" s="6">
        <v>2</v>
      </c>
      <c r="Z393" s="6">
        <v>3</v>
      </c>
      <c r="AA393" s="6" t="s">
        <v>178</v>
      </c>
      <c r="AB393" s="6">
        <v>3</v>
      </c>
      <c r="AC393" s="6" t="s">
        <v>216</v>
      </c>
    </row>
    <row r="394" spans="1:29" x14ac:dyDescent="0.25">
      <c r="A394" s="145" t="str">
        <f>HYPERLINK("http://www.ofsted.gov.uk/inspection-reports/find-inspection-report/provider/ELS/54649  ","Ofsted Webpage")</f>
        <v>Ofsted Webpage</v>
      </c>
      <c r="B394" s="151">
        <v>54649</v>
      </c>
      <c r="C394" s="151">
        <v>10006387</v>
      </c>
      <c r="D394" s="46" t="s">
        <v>2298</v>
      </c>
      <c r="E394" s="26" t="s">
        <v>78</v>
      </c>
      <c r="F394" s="26" t="s">
        <v>79</v>
      </c>
      <c r="G394" s="26" t="s">
        <v>324</v>
      </c>
      <c r="H394" s="26" t="s">
        <v>214</v>
      </c>
      <c r="I394" s="26" t="s">
        <v>214</v>
      </c>
      <c r="J394" s="2" t="s">
        <v>72</v>
      </c>
      <c r="K394" s="141" t="s">
        <v>72</v>
      </c>
      <c r="L394" s="141" t="s">
        <v>2299</v>
      </c>
      <c r="M394" s="26" t="s">
        <v>445</v>
      </c>
      <c r="N394" s="2">
        <v>40344</v>
      </c>
      <c r="O394" s="2">
        <v>40347</v>
      </c>
      <c r="P394" s="119">
        <v>40382</v>
      </c>
      <c r="Q394" s="6">
        <v>1</v>
      </c>
      <c r="R394" s="6">
        <v>1</v>
      </c>
      <c r="S394" s="6">
        <v>2</v>
      </c>
      <c r="T394" s="120" t="s">
        <v>178</v>
      </c>
      <c r="U394" s="6">
        <v>1</v>
      </c>
      <c r="V394" s="6" t="s">
        <v>72</v>
      </c>
      <c r="W394" s="5" t="s">
        <v>72</v>
      </c>
      <c r="X394" s="6" t="s">
        <v>72</v>
      </c>
      <c r="Y394" s="6" t="s">
        <v>72</v>
      </c>
      <c r="Z394" s="6" t="s">
        <v>72</v>
      </c>
      <c r="AA394" s="6" t="s">
        <v>72</v>
      </c>
      <c r="AB394" s="6" t="s">
        <v>72</v>
      </c>
      <c r="AC394" s="6" t="s">
        <v>208</v>
      </c>
    </row>
    <row r="395" spans="1:29" x14ac:dyDescent="0.25">
      <c r="A395" s="145" t="str">
        <f>HYPERLINK("http://www.ofsted.gov.uk/inspection-reports/find-inspection-report/provider/ELS/54657  ","Ofsted Webpage")</f>
        <v>Ofsted Webpage</v>
      </c>
      <c r="B395" s="151">
        <v>54657</v>
      </c>
      <c r="C395" s="151">
        <v>10006399</v>
      </c>
      <c r="D395" s="46" t="s">
        <v>945</v>
      </c>
      <c r="E395" s="26" t="s">
        <v>75</v>
      </c>
      <c r="F395" s="26" t="s">
        <v>76</v>
      </c>
      <c r="G395" s="26" t="s">
        <v>419</v>
      </c>
      <c r="H395" s="26" t="s">
        <v>287</v>
      </c>
      <c r="I395" s="26" t="s">
        <v>287</v>
      </c>
      <c r="J395" s="2" t="s">
        <v>72</v>
      </c>
      <c r="K395" s="141" t="s">
        <v>72</v>
      </c>
      <c r="L395" s="141" t="s">
        <v>946</v>
      </c>
      <c r="M395" s="26" t="s">
        <v>304</v>
      </c>
      <c r="N395" s="2">
        <v>41722</v>
      </c>
      <c r="O395" s="2">
        <v>41726</v>
      </c>
      <c r="P395" s="119">
        <v>41766</v>
      </c>
      <c r="Q395" s="6">
        <v>2</v>
      </c>
      <c r="R395" s="6">
        <v>2</v>
      </c>
      <c r="S395" s="6">
        <v>2</v>
      </c>
      <c r="T395" s="120" t="s">
        <v>178</v>
      </c>
      <c r="U395" s="6">
        <v>2</v>
      </c>
      <c r="V395" s="6" t="s">
        <v>947</v>
      </c>
      <c r="W395" s="5">
        <v>41292</v>
      </c>
      <c r="X395" s="6">
        <v>3</v>
      </c>
      <c r="Y395" s="6">
        <v>3</v>
      </c>
      <c r="Z395" s="6">
        <v>3</v>
      </c>
      <c r="AA395" s="6" t="s">
        <v>178</v>
      </c>
      <c r="AB395" s="6">
        <v>3</v>
      </c>
      <c r="AC395" s="6" t="s">
        <v>216</v>
      </c>
    </row>
    <row r="396" spans="1:29" x14ac:dyDescent="0.25">
      <c r="A396" s="145" t="str">
        <f>HYPERLINK("http://www.ofsted.gov.uk/inspection-reports/find-inspection-report/provider/ELS/54664  ","Ofsted Webpage")</f>
        <v>Ofsted Webpage</v>
      </c>
      <c r="B396" s="151">
        <v>54664</v>
      </c>
      <c r="C396" s="151">
        <v>10043685</v>
      </c>
      <c r="D396" s="46" t="s">
        <v>2300</v>
      </c>
      <c r="E396" s="26" t="s">
        <v>78</v>
      </c>
      <c r="F396" s="26" t="s">
        <v>79</v>
      </c>
      <c r="G396" s="26" t="s">
        <v>447</v>
      </c>
      <c r="H396" s="26" t="s">
        <v>198</v>
      </c>
      <c r="I396" s="26" t="s">
        <v>198</v>
      </c>
      <c r="J396" s="2" t="s">
        <v>72</v>
      </c>
      <c r="K396" s="141" t="s">
        <v>72</v>
      </c>
      <c r="L396" s="141" t="s">
        <v>2301</v>
      </c>
      <c r="M396" s="26" t="s">
        <v>445</v>
      </c>
      <c r="N396" s="2">
        <v>40078</v>
      </c>
      <c r="O396" s="2">
        <v>40081</v>
      </c>
      <c r="P396" s="119">
        <v>40143</v>
      </c>
      <c r="Q396" s="6">
        <v>1</v>
      </c>
      <c r="R396" s="6">
        <v>1</v>
      </c>
      <c r="S396" s="6">
        <v>2</v>
      </c>
      <c r="T396" s="120" t="s">
        <v>178</v>
      </c>
      <c r="U396" s="6">
        <v>1</v>
      </c>
      <c r="V396" s="6" t="s">
        <v>2302</v>
      </c>
      <c r="W396" s="5">
        <v>38608</v>
      </c>
      <c r="X396" s="6">
        <v>1</v>
      </c>
      <c r="Y396" s="6" t="s">
        <v>178</v>
      </c>
      <c r="Z396" s="6" t="s">
        <v>178</v>
      </c>
      <c r="AA396" s="6" t="s">
        <v>178</v>
      </c>
      <c r="AB396" s="6">
        <v>1</v>
      </c>
      <c r="AC396" s="6" t="s">
        <v>180</v>
      </c>
    </row>
    <row r="397" spans="1:29" x14ac:dyDescent="0.25">
      <c r="A397" s="145" t="str">
        <f>HYPERLINK("http://www.ofsted.gov.uk/inspection-reports/find-inspection-report/provider/ELS/54666  ","Ofsted Webpage")</f>
        <v>Ofsted Webpage</v>
      </c>
      <c r="B397" s="151">
        <v>54666</v>
      </c>
      <c r="C397" s="151">
        <v>10006407</v>
      </c>
      <c r="D397" s="46" t="s">
        <v>948</v>
      </c>
      <c r="E397" s="26" t="s">
        <v>75</v>
      </c>
      <c r="F397" s="26" t="s">
        <v>76</v>
      </c>
      <c r="G397" s="26" t="s">
        <v>265</v>
      </c>
      <c r="H397" s="26" t="s">
        <v>204</v>
      </c>
      <c r="I397" s="26" t="s">
        <v>188</v>
      </c>
      <c r="J397" s="2" t="s">
        <v>72</v>
      </c>
      <c r="K397" s="141" t="s">
        <v>72</v>
      </c>
      <c r="L397" s="141" t="s">
        <v>949</v>
      </c>
      <c r="M397" s="26" t="s">
        <v>549</v>
      </c>
      <c r="N397" s="2">
        <v>41967</v>
      </c>
      <c r="O397" s="2">
        <v>41971</v>
      </c>
      <c r="P397" s="133">
        <v>41997</v>
      </c>
      <c r="Q397" s="6">
        <v>2</v>
      </c>
      <c r="R397" s="6">
        <v>2</v>
      </c>
      <c r="S397" s="6">
        <v>2</v>
      </c>
      <c r="T397" s="120" t="s">
        <v>178</v>
      </c>
      <c r="U397" s="6">
        <v>2</v>
      </c>
      <c r="V397" s="6" t="s">
        <v>950</v>
      </c>
      <c r="W397" s="5">
        <v>39780</v>
      </c>
      <c r="X397" s="6">
        <v>2</v>
      </c>
      <c r="Y397" s="6">
        <v>2</v>
      </c>
      <c r="Z397" s="6">
        <v>3</v>
      </c>
      <c r="AA397" s="6" t="s">
        <v>178</v>
      </c>
      <c r="AB397" s="6">
        <v>2</v>
      </c>
      <c r="AC397" s="6" t="s">
        <v>180</v>
      </c>
    </row>
    <row r="398" spans="1:29" x14ac:dyDescent="0.25">
      <c r="A398" s="145" t="str">
        <f>HYPERLINK("http://www.ofsted.gov.uk/inspection-reports/find-inspection-report/provider/ELS/54668  ","Ofsted Webpage")</f>
        <v>Ofsted Webpage</v>
      </c>
      <c r="B398" s="151">
        <v>54668</v>
      </c>
      <c r="C398" s="151">
        <v>10006408</v>
      </c>
      <c r="D398" s="46" t="s">
        <v>2303</v>
      </c>
      <c r="E398" s="26" t="s">
        <v>78</v>
      </c>
      <c r="F398" s="26" t="s">
        <v>79</v>
      </c>
      <c r="G398" s="26" t="s">
        <v>265</v>
      </c>
      <c r="H398" s="26" t="s">
        <v>204</v>
      </c>
      <c r="I398" s="26" t="s">
        <v>188</v>
      </c>
      <c r="J398" s="2">
        <v>42816</v>
      </c>
      <c r="K398" s="141">
        <v>1</v>
      </c>
      <c r="L398" s="141" t="s">
        <v>2304</v>
      </c>
      <c r="M398" s="26" t="s">
        <v>466</v>
      </c>
      <c r="N398" s="2">
        <v>41303</v>
      </c>
      <c r="O398" s="2">
        <v>41306</v>
      </c>
      <c r="P398" s="119">
        <v>41339</v>
      </c>
      <c r="Q398" s="6">
        <v>2</v>
      </c>
      <c r="R398" s="6">
        <v>2</v>
      </c>
      <c r="S398" s="6">
        <v>2</v>
      </c>
      <c r="T398" s="120" t="s">
        <v>178</v>
      </c>
      <c r="U398" s="6">
        <v>2</v>
      </c>
      <c r="V398" s="6" t="s">
        <v>2305</v>
      </c>
      <c r="W398" s="5">
        <v>40718</v>
      </c>
      <c r="X398" s="6">
        <v>3</v>
      </c>
      <c r="Y398" s="6">
        <v>3</v>
      </c>
      <c r="Z398" s="6">
        <v>3</v>
      </c>
      <c r="AA398" s="6" t="s">
        <v>178</v>
      </c>
      <c r="AB398" s="6">
        <v>3</v>
      </c>
      <c r="AC398" s="6" t="s">
        <v>216</v>
      </c>
    </row>
    <row r="399" spans="1:29" x14ac:dyDescent="0.25">
      <c r="A399" s="145" t="str">
        <f>HYPERLINK("http://www.ofsted.gov.uk/inspection-reports/find-inspection-report/provider/ELS/54684  ","Ofsted Webpage")</f>
        <v>Ofsted Webpage</v>
      </c>
      <c r="B399" s="151">
        <v>54684</v>
      </c>
      <c r="C399" s="151">
        <v>10006426</v>
      </c>
      <c r="D399" s="46" t="s">
        <v>951</v>
      </c>
      <c r="E399" s="26" t="s">
        <v>75</v>
      </c>
      <c r="F399" s="26" t="s">
        <v>76</v>
      </c>
      <c r="G399" s="26" t="s">
        <v>421</v>
      </c>
      <c r="H399" s="26" t="s">
        <v>219</v>
      </c>
      <c r="I399" s="26" t="s">
        <v>219</v>
      </c>
      <c r="J399" s="2">
        <v>42501</v>
      </c>
      <c r="K399" s="141">
        <v>1</v>
      </c>
      <c r="L399" s="141" t="s">
        <v>952</v>
      </c>
      <c r="M399" s="26" t="s">
        <v>549</v>
      </c>
      <c r="N399" s="2">
        <v>40511</v>
      </c>
      <c r="O399" s="2">
        <v>40515</v>
      </c>
      <c r="P399" s="119">
        <v>40556</v>
      </c>
      <c r="Q399" s="6">
        <v>2</v>
      </c>
      <c r="R399" s="6">
        <v>2</v>
      </c>
      <c r="S399" s="6">
        <v>2</v>
      </c>
      <c r="T399" s="120" t="s">
        <v>178</v>
      </c>
      <c r="U399" s="6">
        <v>2</v>
      </c>
      <c r="V399" s="6" t="s">
        <v>953</v>
      </c>
      <c r="W399" s="5">
        <v>39108</v>
      </c>
      <c r="X399" s="6">
        <v>3</v>
      </c>
      <c r="Y399" s="6" t="s">
        <v>178</v>
      </c>
      <c r="Z399" s="6" t="s">
        <v>178</v>
      </c>
      <c r="AA399" s="6" t="s">
        <v>178</v>
      </c>
      <c r="AB399" s="6">
        <v>3</v>
      </c>
      <c r="AC399" s="6" t="s">
        <v>216</v>
      </c>
    </row>
    <row r="400" spans="1:29" x14ac:dyDescent="0.25">
      <c r="A400" s="145" t="str">
        <f>HYPERLINK("http://www.ofsted.gov.uk/inspection-reports/find-inspection-report/provider/ELS/54698  ","Ofsted Webpage")</f>
        <v>Ofsted Webpage</v>
      </c>
      <c r="B400" s="151">
        <v>54698</v>
      </c>
      <c r="C400" s="151">
        <v>10006438</v>
      </c>
      <c r="D400" s="46" t="s">
        <v>2306</v>
      </c>
      <c r="E400" s="26" t="s">
        <v>78</v>
      </c>
      <c r="F400" s="26" t="s">
        <v>79</v>
      </c>
      <c r="G400" s="26" t="s">
        <v>268</v>
      </c>
      <c r="H400" s="26" t="s">
        <v>175</v>
      </c>
      <c r="I400" s="26" t="s">
        <v>175</v>
      </c>
      <c r="J400" s="2" t="s">
        <v>72</v>
      </c>
      <c r="K400" s="141" t="s">
        <v>72</v>
      </c>
      <c r="L400" s="141">
        <v>10022547</v>
      </c>
      <c r="M400" s="26" t="s">
        <v>211</v>
      </c>
      <c r="N400" s="2">
        <v>42787</v>
      </c>
      <c r="O400" s="2">
        <v>42790</v>
      </c>
      <c r="P400" s="119">
        <v>42821</v>
      </c>
      <c r="Q400" s="6">
        <v>2</v>
      </c>
      <c r="R400" s="6">
        <v>2</v>
      </c>
      <c r="S400" s="6">
        <v>2</v>
      </c>
      <c r="T400" s="6">
        <v>2</v>
      </c>
      <c r="U400" s="6">
        <v>2</v>
      </c>
      <c r="V400" s="6" t="s">
        <v>2307</v>
      </c>
      <c r="W400" s="5">
        <v>41726</v>
      </c>
      <c r="X400" s="6">
        <v>2</v>
      </c>
      <c r="Y400" s="6">
        <v>3</v>
      </c>
      <c r="Z400" s="6">
        <v>2</v>
      </c>
      <c r="AA400" s="6" t="s">
        <v>178</v>
      </c>
      <c r="AB400" s="6">
        <v>2</v>
      </c>
      <c r="AC400" s="6" t="s">
        <v>180</v>
      </c>
    </row>
    <row r="401" spans="1:29" x14ac:dyDescent="0.25">
      <c r="A401" s="145" t="str">
        <f>HYPERLINK("http://www.ofsted.gov.uk/inspection-reports/find-inspection-report/provider/ELS/54714  ","Ofsted Webpage")</f>
        <v>Ofsted Webpage</v>
      </c>
      <c r="B401" s="151">
        <v>54714</v>
      </c>
      <c r="C401" s="151">
        <v>10006458</v>
      </c>
      <c r="D401" s="46" t="s">
        <v>1802</v>
      </c>
      <c r="E401" s="26" t="s">
        <v>77</v>
      </c>
      <c r="F401" s="26" t="s">
        <v>76</v>
      </c>
      <c r="G401" s="26" t="s">
        <v>474</v>
      </c>
      <c r="H401" s="26" t="s">
        <v>187</v>
      </c>
      <c r="I401" s="26" t="s">
        <v>188</v>
      </c>
      <c r="J401" s="2">
        <v>43011</v>
      </c>
      <c r="K401" s="141">
        <v>1</v>
      </c>
      <c r="L401" s="141" t="s">
        <v>1803</v>
      </c>
      <c r="M401" s="26" t="s">
        <v>549</v>
      </c>
      <c r="N401" s="2">
        <v>41661</v>
      </c>
      <c r="O401" s="2">
        <v>41663</v>
      </c>
      <c r="P401" s="133">
        <v>41696</v>
      </c>
      <c r="Q401" s="6">
        <v>2</v>
      </c>
      <c r="R401" s="6">
        <v>2</v>
      </c>
      <c r="S401" s="6">
        <v>2</v>
      </c>
      <c r="T401" s="120" t="s">
        <v>178</v>
      </c>
      <c r="U401" s="6">
        <v>2</v>
      </c>
      <c r="V401" s="6" t="s">
        <v>1804</v>
      </c>
      <c r="W401" s="5">
        <v>39478</v>
      </c>
      <c r="X401" s="6">
        <v>2</v>
      </c>
      <c r="Y401" s="6">
        <v>2</v>
      </c>
      <c r="Z401" s="6">
        <v>3</v>
      </c>
      <c r="AA401" s="6" t="s">
        <v>178</v>
      </c>
      <c r="AB401" s="6">
        <v>2</v>
      </c>
      <c r="AC401" s="6" t="s">
        <v>180</v>
      </c>
    </row>
    <row r="402" spans="1:29" x14ac:dyDescent="0.25">
      <c r="A402" s="145" t="str">
        <f>HYPERLINK("http://www.ofsted.gov.uk/inspection-reports/find-inspection-report/provider/ELS/54719  ","Ofsted Webpage")</f>
        <v>Ofsted Webpage</v>
      </c>
      <c r="B402" s="151">
        <v>54719</v>
      </c>
      <c r="C402" s="151">
        <v>10006462</v>
      </c>
      <c r="D402" s="46" t="s">
        <v>957</v>
      </c>
      <c r="E402" s="26" t="s">
        <v>75</v>
      </c>
      <c r="F402" s="26" t="s">
        <v>76</v>
      </c>
      <c r="G402" s="26" t="s">
        <v>197</v>
      </c>
      <c r="H402" s="26" t="s">
        <v>198</v>
      </c>
      <c r="I402" s="26" t="s">
        <v>198</v>
      </c>
      <c r="J402" s="2" t="s">
        <v>72</v>
      </c>
      <c r="K402" s="141" t="s">
        <v>72</v>
      </c>
      <c r="L402" s="141">
        <v>10039739</v>
      </c>
      <c r="M402" s="26" t="s">
        <v>308</v>
      </c>
      <c r="N402" s="2">
        <v>43004</v>
      </c>
      <c r="O402" s="2">
        <v>43019</v>
      </c>
      <c r="P402" s="133">
        <v>43040</v>
      </c>
      <c r="Q402" s="6">
        <v>3</v>
      </c>
      <c r="R402" s="6">
        <v>3</v>
      </c>
      <c r="S402" s="6">
        <v>3</v>
      </c>
      <c r="T402" s="6">
        <v>2</v>
      </c>
      <c r="U402" s="6">
        <v>3</v>
      </c>
      <c r="V402" s="6" t="s">
        <v>958</v>
      </c>
      <c r="W402" s="5">
        <v>41551</v>
      </c>
      <c r="X402" s="6">
        <v>2</v>
      </c>
      <c r="Y402" s="6">
        <v>2</v>
      </c>
      <c r="Z402" s="6">
        <v>2</v>
      </c>
      <c r="AA402" s="6" t="s">
        <v>178</v>
      </c>
      <c r="AB402" s="6">
        <v>2</v>
      </c>
      <c r="AC402" s="6" t="s">
        <v>201</v>
      </c>
    </row>
    <row r="403" spans="1:29" x14ac:dyDescent="0.25">
      <c r="A403" s="145" t="str">
        <f>HYPERLINK("http://www.ofsted.gov.uk/inspection-reports/find-inspection-report/provider/ELS/54725  ","Ofsted Webpage")</f>
        <v>Ofsted Webpage</v>
      </c>
      <c r="B403" s="151">
        <v>54725</v>
      </c>
      <c r="C403" s="151">
        <v>10037945</v>
      </c>
      <c r="D403" s="46" t="s">
        <v>449</v>
      </c>
      <c r="E403" s="26" t="s">
        <v>78</v>
      </c>
      <c r="F403" s="26" t="s">
        <v>79</v>
      </c>
      <c r="G403" s="26" t="s">
        <v>247</v>
      </c>
      <c r="H403" s="26" t="s">
        <v>238</v>
      </c>
      <c r="I403" s="26" t="s">
        <v>238</v>
      </c>
      <c r="J403" s="2" t="s">
        <v>72</v>
      </c>
      <c r="K403" s="141" t="s">
        <v>72</v>
      </c>
      <c r="L403" s="141">
        <v>10030767</v>
      </c>
      <c r="M403" s="26" t="s">
        <v>211</v>
      </c>
      <c r="N403" s="2">
        <v>42906</v>
      </c>
      <c r="O403" s="2">
        <v>42909</v>
      </c>
      <c r="P403" s="133">
        <v>42947</v>
      </c>
      <c r="Q403" s="6">
        <v>3</v>
      </c>
      <c r="R403" s="6">
        <v>3</v>
      </c>
      <c r="S403" s="6">
        <v>3</v>
      </c>
      <c r="T403" s="6">
        <v>3</v>
      </c>
      <c r="U403" s="6">
        <v>3</v>
      </c>
      <c r="V403" s="6" t="s">
        <v>450</v>
      </c>
      <c r="W403" s="5">
        <v>41712</v>
      </c>
      <c r="X403" s="6">
        <v>2</v>
      </c>
      <c r="Y403" s="6">
        <v>2</v>
      </c>
      <c r="Z403" s="6">
        <v>2</v>
      </c>
      <c r="AA403" s="6" t="s">
        <v>178</v>
      </c>
      <c r="AB403" s="6">
        <v>2</v>
      </c>
      <c r="AC403" s="6" t="s">
        <v>201</v>
      </c>
    </row>
    <row r="404" spans="1:29" x14ac:dyDescent="0.25">
      <c r="A404" s="145" t="str">
        <f>HYPERLINK("http://www.ofsted.gov.uk/inspection-reports/find-inspection-report/provider/ELS/54726  ","Ofsted Webpage")</f>
        <v>Ofsted Webpage</v>
      </c>
      <c r="B404" s="151">
        <v>54726</v>
      </c>
      <c r="C404" s="151">
        <v>10006472</v>
      </c>
      <c r="D404" s="46" t="s">
        <v>2213</v>
      </c>
      <c r="E404" s="26" t="s">
        <v>78</v>
      </c>
      <c r="F404" s="26" t="s">
        <v>79</v>
      </c>
      <c r="G404" s="26" t="s">
        <v>247</v>
      </c>
      <c r="H404" s="26" t="s">
        <v>238</v>
      </c>
      <c r="I404" s="26" t="s">
        <v>238</v>
      </c>
      <c r="J404" s="2" t="s">
        <v>72</v>
      </c>
      <c r="K404" s="141" t="s">
        <v>72</v>
      </c>
      <c r="L404" s="141">
        <v>10022629</v>
      </c>
      <c r="M404" s="26" t="s">
        <v>475</v>
      </c>
      <c r="N404" s="2">
        <v>42786</v>
      </c>
      <c r="O404" s="2">
        <v>42789</v>
      </c>
      <c r="P404" s="119">
        <v>42818</v>
      </c>
      <c r="Q404" s="6">
        <v>2</v>
      </c>
      <c r="R404" s="6">
        <v>2</v>
      </c>
      <c r="S404" s="6">
        <v>2</v>
      </c>
      <c r="T404" s="6">
        <v>2</v>
      </c>
      <c r="U404" s="6">
        <v>2</v>
      </c>
      <c r="V404" s="6" t="s">
        <v>2214</v>
      </c>
      <c r="W404" s="5">
        <v>42174</v>
      </c>
      <c r="X404" s="6">
        <v>3</v>
      </c>
      <c r="Y404" s="6">
        <v>3</v>
      </c>
      <c r="Z404" s="6">
        <v>3</v>
      </c>
      <c r="AA404" s="6" t="s">
        <v>178</v>
      </c>
      <c r="AB404" s="6">
        <v>3</v>
      </c>
      <c r="AC404" s="6" t="s">
        <v>216</v>
      </c>
    </row>
    <row r="405" spans="1:29" x14ac:dyDescent="0.25">
      <c r="A405" s="145" t="str">
        <f>HYPERLINK("http://www.ofsted.gov.uk/inspection-reports/find-inspection-report/provider/ELS/54739  ","Ofsted Webpage")</f>
        <v>Ofsted Webpage</v>
      </c>
      <c r="B405" s="151">
        <v>54739</v>
      </c>
      <c r="C405" s="151">
        <v>10006495</v>
      </c>
      <c r="D405" s="46" t="s">
        <v>959</v>
      </c>
      <c r="E405" s="26" t="s">
        <v>75</v>
      </c>
      <c r="F405" s="26" t="s">
        <v>76</v>
      </c>
      <c r="G405" s="26" t="s">
        <v>611</v>
      </c>
      <c r="H405" s="26" t="s">
        <v>238</v>
      </c>
      <c r="I405" s="26" t="s">
        <v>238</v>
      </c>
      <c r="J405" s="2" t="s">
        <v>72</v>
      </c>
      <c r="K405" s="141" t="s">
        <v>72</v>
      </c>
      <c r="L405" s="141">
        <v>10017751</v>
      </c>
      <c r="M405" s="26" t="s">
        <v>308</v>
      </c>
      <c r="N405" s="2">
        <v>42478</v>
      </c>
      <c r="O405" s="2">
        <v>42481</v>
      </c>
      <c r="P405" s="133">
        <v>42509</v>
      </c>
      <c r="Q405" s="6">
        <v>3</v>
      </c>
      <c r="R405" s="6">
        <v>3</v>
      </c>
      <c r="S405" s="6">
        <v>3</v>
      </c>
      <c r="T405" s="6">
        <v>3</v>
      </c>
      <c r="U405" s="6">
        <v>3</v>
      </c>
      <c r="V405" s="6" t="s">
        <v>960</v>
      </c>
      <c r="W405" s="5">
        <v>40676</v>
      </c>
      <c r="X405" s="6">
        <v>2</v>
      </c>
      <c r="Y405" s="6">
        <v>2</v>
      </c>
      <c r="Z405" s="6">
        <v>2</v>
      </c>
      <c r="AA405" s="6" t="s">
        <v>178</v>
      </c>
      <c r="AB405" s="6">
        <v>2</v>
      </c>
      <c r="AC405" s="6" t="s">
        <v>201</v>
      </c>
    </row>
    <row r="406" spans="1:29" x14ac:dyDescent="0.25">
      <c r="A406" s="145" t="str">
        <f>HYPERLINK("http://www.ofsted.gov.uk/inspection-reports/find-inspection-report/provider/ELS/54755  ","Ofsted Webpage")</f>
        <v>Ofsted Webpage</v>
      </c>
      <c r="B406" s="151">
        <v>54755</v>
      </c>
      <c r="C406" s="151">
        <v>10006517</v>
      </c>
      <c r="D406" s="46" t="s">
        <v>2217</v>
      </c>
      <c r="E406" s="26" t="s">
        <v>78</v>
      </c>
      <c r="F406" s="26" t="s">
        <v>79</v>
      </c>
      <c r="G406" s="26" t="s">
        <v>203</v>
      </c>
      <c r="H406" s="26" t="s">
        <v>204</v>
      </c>
      <c r="I406" s="26" t="s">
        <v>188</v>
      </c>
      <c r="J406" s="2" t="s">
        <v>72</v>
      </c>
      <c r="K406" s="141" t="s">
        <v>72</v>
      </c>
      <c r="L406" s="141">
        <v>10005017</v>
      </c>
      <c r="M406" s="26" t="s">
        <v>183</v>
      </c>
      <c r="N406" s="2">
        <v>42339</v>
      </c>
      <c r="O406" s="2">
        <v>42342</v>
      </c>
      <c r="P406" s="119">
        <v>42369</v>
      </c>
      <c r="Q406" s="6">
        <v>2</v>
      </c>
      <c r="R406" s="6">
        <v>2</v>
      </c>
      <c r="S406" s="6">
        <v>2</v>
      </c>
      <c r="T406" s="6">
        <v>2</v>
      </c>
      <c r="U406" s="6">
        <v>2</v>
      </c>
      <c r="V406" s="6" t="s">
        <v>2218</v>
      </c>
      <c r="W406" s="5">
        <v>41432</v>
      </c>
      <c r="X406" s="6">
        <v>2</v>
      </c>
      <c r="Y406" s="6">
        <v>2</v>
      </c>
      <c r="Z406" s="6">
        <v>2</v>
      </c>
      <c r="AA406" s="6" t="s">
        <v>178</v>
      </c>
      <c r="AB406" s="6">
        <v>2</v>
      </c>
      <c r="AC406" s="6" t="s">
        <v>180</v>
      </c>
    </row>
    <row r="407" spans="1:29" x14ac:dyDescent="0.25">
      <c r="A407" s="145" t="str">
        <f>HYPERLINK("http://www.ofsted.gov.uk/inspection-reports/find-inspection-report/provider/ELS/54758  ","Ofsted Webpage")</f>
        <v>Ofsted Webpage</v>
      </c>
      <c r="B407" s="151">
        <v>54758</v>
      </c>
      <c r="C407" s="151">
        <v>10006521</v>
      </c>
      <c r="D407" s="46" t="s">
        <v>1805</v>
      </c>
      <c r="E407" s="26" t="s">
        <v>77</v>
      </c>
      <c r="F407" s="26" t="s">
        <v>76</v>
      </c>
      <c r="G407" s="26" t="s">
        <v>265</v>
      </c>
      <c r="H407" s="26" t="s">
        <v>204</v>
      </c>
      <c r="I407" s="26" t="s">
        <v>188</v>
      </c>
      <c r="J407" s="2" t="s">
        <v>72</v>
      </c>
      <c r="K407" s="141" t="s">
        <v>72</v>
      </c>
      <c r="L407" s="141">
        <v>10005132</v>
      </c>
      <c r="M407" s="26" t="s">
        <v>211</v>
      </c>
      <c r="N407" s="2">
        <v>42556</v>
      </c>
      <c r="O407" s="2">
        <v>42559</v>
      </c>
      <c r="P407" s="133">
        <v>42585</v>
      </c>
      <c r="Q407" s="6">
        <v>3</v>
      </c>
      <c r="R407" s="6">
        <v>3</v>
      </c>
      <c r="S407" s="6">
        <v>3</v>
      </c>
      <c r="T407" s="6">
        <v>3</v>
      </c>
      <c r="U407" s="6">
        <v>3</v>
      </c>
      <c r="V407" s="6" t="s">
        <v>1806</v>
      </c>
      <c r="W407" s="5">
        <v>40620</v>
      </c>
      <c r="X407" s="6">
        <v>2</v>
      </c>
      <c r="Y407" s="6">
        <v>2</v>
      </c>
      <c r="Z407" s="6">
        <v>2</v>
      </c>
      <c r="AA407" s="6" t="s">
        <v>178</v>
      </c>
      <c r="AB407" s="6">
        <v>2</v>
      </c>
      <c r="AC407" s="6" t="s">
        <v>201</v>
      </c>
    </row>
    <row r="408" spans="1:29" x14ac:dyDescent="0.25">
      <c r="A408" s="145" t="str">
        <f>HYPERLINK("http://www.ofsted.gov.uk/inspection-reports/find-inspection-report/provider/ELS/54774  ","Ofsted Webpage")</f>
        <v>Ofsted Webpage</v>
      </c>
      <c r="B408" s="151">
        <v>54774</v>
      </c>
      <c r="C408" s="151">
        <v>10006547</v>
      </c>
      <c r="D408" s="46" t="s">
        <v>717</v>
      </c>
      <c r="E408" s="26" t="s">
        <v>75</v>
      </c>
      <c r="F408" s="26" t="s">
        <v>76</v>
      </c>
      <c r="G408" s="26" t="s">
        <v>281</v>
      </c>
      <c r="H408" s="26" t="s">
        <v>193</v>
      </c>
      <c r="I408" s="26" t="s">
        <v>193</v>
      </c>
      <c r="J408" s="2" t="s">
        <v>72</v>
      </c>
      <c r="K408" s="141" t="s">
        <v>72</v>
      </c>
      <c r="L408" s="141">
        <v>10005018</v>
      </c>
      <c r="M408" s="26" t="s">
        <v>308</v>
      </c>
      <c r="N408" s="2">
        <v>42444</v>
      </c>
      <c r="O408" s="2">
        <v>42447</v>
      </c>
      <c r="P408" s="133">
        <v>42478</v>
      </c>
      <c r="Q408" s="6">
        <v>2</v>
      </c>
      <c r="R408" s="6">
        <v>2</v>
      </c>
      <c r="S408" s="6">
        <v>2</v>
      </c>
      <c r="T408" s="6">
        <v>2</v>
      </c>
      <c r="U408" s="6">
        <v>2</v>
      </c>
      <c r="V408" s="6" t="s">
        <v>718</v>
      </c>
      <c r="W408" s="5">
        <v>40501</v>
      </c>
      <c r="X408" s="6">
        <v>2</v>
      </c>
      <c r="Y408" s="6">
        <v>2</v>
      </c>
      <c r="Z408" s="6">
        <v>2</v>
      </c>
      <c r="AA408" s="6" t="s">
        <v>178</v>
      </c>
      <c r="AB408" s="6">
        <v>2</v>
      </c>
      <c r="AC408" s="6" t="s">
        <v>180</v>
      </c>
    </row>
    <row r="409" spans="1:29" x14ac:dyDescent="0.25">
      <c r="A409" s="145" t="str">
        <f>HYPERLINK("http://www.ofsted.gov.uk/inspection-reports/find-inspection-report/provider/ELS/54780  ","Ofsted Webpage")</f>
        <v>Ofsted Webpage</v>
      </c>
      <c r="B409" s="151">
        <v>54780</v>
      </c>
      <c r="C409" s="151">
        <v>10011159</v>
      </c>
      <c r="D409" s="46" t="s">
        <v>2897</v>
      </c>
      <c r="E409" s="26" t="s">
        <v>78</v>
      </c>
      <c r="F409" s="26" t="s">
        <v>79</v>
      </c>
      <c r="G409" s="26" t="s">
        <v>526</v>
      </c>
      <c r="H409" s="26" t="s">
        <v>219</v>
      </c>
      <c r="I409" s="26" t="s">
        <v>219</v>
      </c>
      <c r="J409" s="2" t="s">
        <v>72</v>
      </c>
      <c r="K409" s="141" t="s">
        <v>72</v>
      </c>
      <c r="L409" s="141" t="s">
        <v>72</v>
      </c>
      <c r="M409" s="26" t="s">
        <v>72</v>
      </c>
      <c r="N409" s="2" t="s">
        <v>72</v>
      </c>
      <c r="O409" s="2" t="s">
        <v>72</v>
      </c>
      <c r="P409" s="133" t="s">
        <v>72</v>
      </c>
      <c r="Q409" s="6" t="s">
        <v>72</v>
      </c>
      <c r="R409" s="6" t="s">
        <v>72</v>
      </c>
      <c r="S409" s="6" t="s">
        <v>72</v>
      </c>
      <c r="T409" s="6" t="s">
        <v>72</v>
      </c>
      <c r="U409" s="6" t="s">
        <v>72</v>
      </c>
      <c r="V409" s="6" t="s">
        <v>72</v>
      </c>
      <c r="W409" s="5" t="s">
        <v>72</v>
      </c>
      <c r="X409" s="6" t="s">
        <v>72</v>
      </c>
      <c r="Y409" s="6" t="s">
        <v>72</v>
      </c>
      <c r="Z409" s="6" t="s">
        <v>72</v>
      </c>
      <c r="AA409" s="6" t="s">
        <v>72</v>
      </c>
      <c r="AB409" s="6" t="s">
        <v>72</v>
      </c>
      <c r="AC409" s="6" t="s">
        <v>72</v>
      </c>
    </row>
    <row r="410" spans="1:29" x14ac:dyDescent="0.25">
      <c r="A410" s="145" t="str">
        <f>HYPERLINK("http://www.ofsted.gov.uk/inspection-reports/find-inspection-report/provider/ELS/54785  ","Ofsted Webpage")</f>
        <v>Ofsted Webpage</v>
      </c>
      <c r="B410" s="151">
        <v>54785</v>
      </c>
      <c r="C410" s="151">
        <v>10006559</v>
      </c>
      <c r="D410" s="46" t="s">
        <v>1327</v>
      </c>
      <c r="E410" s="26" t="s">
        <v>80</v>
      </c>
      <c r="F410" s="26" t="s">
        <v>79</v>
      </c>
      <c r="G410" s="26" t="s">
        <v>1199</v>
      </c>
      <c r="H410" s="26" t="s">
        <v>287</v>
      </c>
      <c r="I410" s="26" t="s">
        <v>287</v>
      </c>
      <c r="J410" s="2" t="s">
        <v>72</v>
      </c>
      <c r="K410" s="141" t="s">
        <v>72</v>
      </c>
      <c r="L410" s="141" t="s">
        <v>1328</v>
      </c>
      <c r="M410" s="26" t="s">
        <v>333</v>
      </c>
      <c r="N410" s="2">
        <v>41666</v>
      </c>
      <c r="O410" s="2">
        <v>41670</v>
      </c>
      <c r="P410" s="133">
        <v>41701</v>
      </c>
      <c r="Q410" s="6">
        <v>2</v>
      </c>
      <c r="R410" s="6">
        <v>2</v>
      </c>
      <c r="S410" s="6">
        <v>2</v>
      </c>
      <c r="T410" s="120" t="s">
        <v>178</v>
      </c>
      <c r="U410" s="6">
        <v>2</v>
      </c>
      <c r="V410" s="6" t="s">
        <v>1329</v>
      </c>
      <c r="W410" s="5">
        <v>39409</v>
      </c>
      <c r="X410" s="6">
        <v>2</v>
      </c>
      <c r="Y410" s="6">
        <v>2</v>
      </c>
      <c r="Z410" s="6">
        <v>3</v>
      </c>
      <c r="AA410" s="6" t="s">
        <v>178</v>
      </c>
      <c r="AB410" s="6">
        <v>2</v>
      </c>
      <c r="AC410" s="6" t="s">
        <v>180</v>
      </c>
    </row>
    <row r="411" spans="1:29" x14ac:dyDescent="0.25">
      <c r="A411" s="145" t="str">
        <f>HYPERLINK("http://www.ofsted.gov.uk/inspection-reports/find-inspection-report/provider/ELS/54803  ","Ofsted Webpage")</f>
        <v>Ofsted Webpage</v>
      </c>
      <c r="B411" s="151">
        <v>54803</v>
      </c>
      <c r="C411" s="151">
        <v>10006574</v>
      </c>
      <c r="D411" s="46" t="s">
        <v>2221</v>
      </c>
      <c r="E411" s="26" t="s">
        <v>78</v>
      </c>
      <c r="F411" s="26" t="s">
        <v>79</v>
      </c>
      <c r="G411" s="26" t="s">
        <v>705</v>
      </c>
      <c r="H411" s="26" t="s">
        <v>187</v>
      </c>
      <c r="I411" s="26" t="s">
        <v>188</v>
      </c>
      <c r="J411" s="2" t="s">
        <v>72</v>
      </c>
      <c r="K411" s="141" t="s">
        <v>72</v>
      </c>
      <c r="L411" s="141" t="s">
        <v>2222</v>
      </c>
      <c r="M411" s="26" t="s">
        <v>466</v>
      </c>
      <c r="N411" s="2">
        <v>41982</v>
      </c>
      <c r="O411" s="2">
        <v>41984</v>
      </c>
      <c r="P411" s="119">
        <v>42020</v>
      </c>
      <c r="Q411" s="6">
        <v>1</v>
      </c>
      <c r="R411" s="6">
        <v>1</v>
      </c>
      <c r="S411" s="6">
        <v>1</v>
      </c>
      <c r="T411" s="120" t="s">
        <v>178</v>
      </c>
      <c r="U411" s="6">
        <v>1</v>
      </c>
      <c r="V411" s="6" t="s">
        <v>2223</v>
      </c>
      <c r="W411" s="5">
        <v>39463</v>
      </c>
      <c r="X411" s="6">
        <v>1</v>
      </c>
      <c r="Y411" s="6">
        <v>1</v>
      </c>
      <c r="Z411" s="6">
        <v>1</v>
      </c>
      <c r="AA411" s="6" t="s">
        <v>178</v>
      </c>
      <c r="AB411" s="6">
        <v>1</v>
      </c>
      <c r="AC411" s="6" t="s">
        <v>180</v>
      </c>
    </row>
    <row r="412" spans="1:29" x14ac:dyDescent="0.25">
      <c r="A412" s="145" t="str">
        <f>HYPERLINK("http://www.ofsted.gov.uk/inspection-reports/find-inspection-report/provider/ELS/54805  ","Ofsted Webpage")</f>
        <v>Ofsted Webpage</v>
      </c>
      <c r="B412" s="151">
        <v>54805</v>
      </c>
      <c r="C412" s="151">
        <v>10033440</v>
      </c>
      <c r="D412" s="46" t="s">
        <v>736</v>
      </c>
      <c r="E412" s="26" t="s">
        <v>80</v>
      </c>
      <c r="F412" s="26" t="s">
        <v>79</v>
      </c>
      <c r="G412" s="26" t="s">
        <v>261</v>
      </c>
      <c r="H412" s="26" t="s">
        <v>219</v>
      </c>
      <c r="I412" s="26" t="s">
        <v>219</v>
      </c>
      <c r="J412" s="2">
        <v>42943</v>
      </c>
      <c r="K412" s="141">
        <v>1</v>
      </c>
      <c r="L412" s="141" t="s">
        <v>737</v>
      </c>
      <c r="M412" s="26" t="s">
        <v>333</v>
      </c>
      <c r="N412" s="2">
        <v>41330</v>
      </c>
      <c r="O412" s="2">
        <v>41334</v>
      </c>
      <c r="P412" s="133">
        <v>41373</v>
      </c>
      <c r="Q412" s="6">
        <v>2</v>
      </c>
      <c r="R412" s="6">
        <v>2</v>
      </c>
      <c r="S412" s="6">
        <v>2</v>
      </c>
      <c r="T412" s="120" t="s">
        <v>178</v>
      </c>
      <c r="U412" s="6">
        <v>2</v>
      </c>
      <c r="V412" s="6" t="s">
        <v>738</v>
      </c>
      <c r="W412" s="5">
        <v>39892</v>
      </c>
      <c r="X412" s="6">
        <v>3</v>
      </c>
      <c r="Y412" s="6">
        <v>2</v>
      </c>
      <c r="Z412" s="6">
        <v>3</v>
      </c>
      <c r="AA412" s="6" t="s">
        <v>178</v>
      </c>
      <c r="AB412" s="6">
        <v>3</v>
      </c>
      <c r="AC412" s="6" t="s">
        <v>216</v>
      </c>
    </row>
    <row r="413" spans="1:29" x14ac:dyDescent="0.25">
      <c r="A413" s="145" t="str">
        <f>HYPERLINK("http://www.ofsted.gov.uk/inspection-reports/find-inspection-report/provider/ELS/54810  ","Ofsted Webpage")</f>
        <v>Ofsted Webpage</v>
      </c>
      <c r="B413" s="151">
        <v>54810</v>
      </c>
      <c r="C413" s="151">
        <v>10000565</v>
      </c>
      <c r="D413" s="46" t="s">
        <v>2386</v>
      </c>
      <c r="E413" s="26" t="s">
        <v>78</v>
      </c>
      <c r="F413" s="26" t="s">
        <v>79</v>
      </c>
      <c r="G413" s="26" t="s">
        <v>331</v>
      </c>
      <c r="H413" s="26" t="s">
        <v>214</v>
      </c>
      <c r="I413" s="26" t="s">
        <v>214</v>
      </c>
      <c r="J413" s="2">
        <v>42849</v>
      </c>
      <c r="K413" s="141">
        <v>1</v>
      </c>
      <c r="L413" s="141" t="s">
        <v>2387</v>
      </c>
      <c r="M413" s="26" t="s">
        <v>466</v>
      </c>
      <c r="N413" s="2">
        <v>41254</v>
      </c>
      <c r="O413" s="2">
        <v>41256</v>
      </c>
      <c r="P413" s="133">
        <v>41296</v>
      </c>
      <c r="Q413" s="6">
        <v>2</v>
      </c>
      <c r="R413" s="6">
        <v>2</v>
      </c>
      <c r="S413" s="6">
        <v>2</v>
      </c>
      <c r="T413" s="120" t="s">
        <v>178</v>
      </c>
      <c r="U413" s="6">
        <v>2</v>
      </c>
      <c r="V413" s="6" t="s">
        <v>2388</v>
      </c>
      <c r="W413" s="5">
        <v>40389</v>
      </c>
      <c r="X413" s="6">
        <v>3</v>
      </c>
      <c r="Y413" s="6">
        <v>3</v>
      </c>
      <c r="Z413" s="6">
        <v>3</v>
      </c>
      <c r="AA413" s="6" t="s">
        <v>178</v>
      </c>
      <c r="AB413" s="6">
        <v>3</v>
      </c>
      <c r="AC413" s="6" t="s">
        <v>216</v>
      </c>
    </row>
    <row r="414" spans="1:29" x14ac:dyDescent="0.25">
      <c r="A414" s="145" t="str">
        <f>HYPERLINK("http://www.ofsted.gov.uk/inspection-reports/find-inspection-report/provider/ELS/54838  ","Ofsted Webpage")</f>
        <v>Ofsted Webpage</v>
      </c>
      <c r="B414" s="151">
        <v>54838</v>
      </c>
      <c r="C414" s="151">
        <v>10000446</v>
      </c>
      <c r="D414" s="46" t="s">
        <v>2264</v>
      </c>
      <c r="E414" s="26" t="s">
        <v>78</v>
      </c>
      <c r="F414" s="26" t="s">
        <v>79</v>
      </c>
      <c r="G414" s="26" t="s">
        <v>348</v>
      </c>
      <c r="H414" s="26" t="s">
        <v>238</v>
      </c>
      <c r="I414" s="26" t="s">
        <v>238</v>
      </c>
      <c r="J414" s="2">
        <v>42348</v>
      </c>
      <c r="K414" s="141">
        <v>1</v>
      </c>
      <c r="L414" s="141" t="s">
        <v>2265</v>
      </c>
      <c r="M414" s="26" t="s">
        <v>333</v>
      </c>
      <c r="N414" s="2">
        <v>40315</v>
      </c>
      <c r="O414" s="2">
        <v>40319</v>
      </c>
      <c r="P414" s="133">
        <v>40357</v>
      </c>
      <c r="Q414" s="6">
        <v>2</v>
      </c>
      <c r="R414" s="6">
        <v>2</v>
      </c>
      <c r="S414" s="6">
        <v>2</v>
      </c>
      <c r="T414" s="120" t="s">
        <v>178</v>
      </c>
      <c r="U414" s="6">
        <v>2</v>
      </c>
      <c r="V414" s="6" t="s">
        <v>2266</v>
      </c>
      <c r="W414" s="5">
        <v>38617</v>
      </c>
      <c r="X414" s="6">
        <v>2</v>
      </c>
      <c r="Y414" s="6" t="s">
        <v>178</v>
      </c>
      <c r="Z414" s="6" t="s">
        <v>178</v>
      </c>
      <c r="AA414" s="6" t="s">
        <v>178</v>
      </c>
      <c r="AB414" s="6">
        <v>2</v>
      </c>
      <c r="AC414" s="6" t="s">
        <v>180</v>
      </c>
    </row>
    <row r="415" spans="1:29" x14ac:dyDescent="0.25">
      <c r="A415" s="145" t="str">
        <f>HYPERLINK("http://www.ofsted.gov.uk/inspection-reports/find-inspection-report/provider/ELS/54842  ","Ofsted Webpage")</f>
        <v>Ofsted Webpage</v>
      </c>
      <c r="B415" s="151">
        <v>54842</v>
      </c>
      <c r="C415" s="151">
        <v>10002527</v>
      </c>
      <c r="D415" s="46" t="s">
        <v>1428</v>
      </c>
      <c r="E415" s="26" t="s">
        <v>80</v>
      </c>
      <c r="F415" s="26" t="s">
        <v>79</v>
      </c>
      <c r="G415" s="26" t="s">
        <v>283</v>
      </c>
      <c r="H415" s="26" t="s">
        <v>175</v>
      </c>
      <c r="I415" s="26" t="s">
        <v>175</v>
      </c>
      <c r="J415" s="2" t="s">
        <v>72</v>
      </c>
      <c r="K415" s="141" t="s">
        <v>72</v>
      </c>
      <c r="L415" s="141">
        <v>10034207</v>
      </c>
      <c r="M415" s="26" t="s">
        <v>183</v>
      </c>
      <c r="N415" s="2">
        <v>42822</v>
      </c>
      <c r="O415" s="2">
        <v>42825</v>
      </c>
      <c r="P415" s="133">
        <v>42900</v>
      </c>
      <c r="Q415" s="6">
        <v>1</v>
      </c>
      <c r="R415" s="6">
        <v>1</v>
      </c>
      <c r="S415" s="6">
        <v>1</v>
      </c>
      <c r="T415" s="6">
        <v>1</v>
      </c>
      <c r="U415" s="6">
        <v>1</v>
      </c>
      <c r="V415" s="6" t="s">
        <v>1429</v>
      </c>
      <c r="W415" s="5">
        <v>40445</v>
      </c>
      <c r="X415" s="6">
        <v>1</v>
      </c>
      <c r="Y415" s="6">
        <v>1</v>
      </c>
      <c r="Z415" s="6">
        <v>1</v>
      </c>
      <c r="AA415" s="6" t="s">
        <v>178</v>
      </c>
      <c r="AB415" s="6">
        <v>1</v>
      </c>
      <c r="AC415" s="6" t="s">
        <v>180</v>
      </c>
    </row>
    <row r="416" spans="1:29" x14ac:dyDescent="0.25">
      <c r="A416" s="145" t="str">
        <f>HYPERLINK("http://www.ofsted.gov.uk/inspection-reports/find-inspection-report/provider/ELS/54859  ","Ofsted Webpage")</f>
        <v>Ofsted Webpage</v>
      </c>
      <c r="B416" s="151">
        <v>54859</v>
      </c>
      <c r="C416" s="151">
        <v>10002869</v>
      </c>
      <c r="D416" s="46" t="s">
        <v>1928</v>
      </c>
      <c r="E416" s="26" t="s">
        <v>85</v>
      </c>
      <c r="F416" s="26" t="s">
        <v>86</v>
      </c>
      <c r="G416" s="26" t="s">
        <v>906</v>
      </c>
      <c r="H416" s="26" t="s">
        <v>238</v>
      </c>
      <c r="I416" s="26" t="s">
        <v>238</v>
      </c>
      <c r="J416" s="2" t="s">
        <v>72</v>
      </c>
      <c r="K416" s="141" t="s">
        <v>72</v>
      </c>
      <c r="L416" s="141">
        <v>10005020</v>
      </c>
      <c r="M416" s="26" t="s">
        <v>605</v>
      </c>
      <c r="N416" s="2">
        <v>42333</v>
      </c>
      <c r="O416" s="2">
        <v>42334</v>
      </c>
      <c r="P416" s="133">
        <v>42368</v>
      </c>
      <c r="Q416" s="6">
        <v>1</v>
      </c>
      <c r="R416" s="6">
        <v>1</v>
      </c>
      <c r="S416" s="6">
        <v>1</v>
      </c>
      <c r="T416" s="6">
        <v>1</v>
      </c>
      <c r="U416" s="6">
        <v>1</v>
      </c>
      <c r="V416" s="6" t="s">
        <v>1929</v>
      </c>
      <c r="W416" s="5">
        <v>40835</v>
      </c>
      <c r="X416" s="6" t="s">
        <v>178</v>
      </c>
      <c r="Y416" s="6" t="s">
        <v>178</v>
      </c>
      <c r="Z416" s="6" t="s">
        <v>178</v>
      </c>
      <c r="AA416" s="6" t="s">
        <v>178</v>
      </c>
      <c r="AB416" s="6" t="s">
        <v>178</v>
      </c>
      <c r="AC416" s="6" t="s">
        <v>208</v>
      </c>
    </row>
    <row r="417" spans="1:29" x14ac:dyDescent="0.25">
      <c r="A417" s="145" t="str">
        <f>HYPERLINK("http://www.ofsted.gov.uk/inspection-reports/find-inspection-report/provider/ELS/54860  ","Ofsted Webpage")</f>
        <v>Ofsted Webpage</v>
      </c>
      <c r="B417" s="151">
        <v>54860</v>
      </c>
      <c r="C417" s="151">
        <v>10002896</v>
      </c>
      <c r="D417" s="46" t="s">
        <v>2164</v>
      </c>
      <c r="E417" s="26" t="s">
        <v>77</v>
      </c>
      <c r="F417" s="26" t="s">
        <v>76</v>
      </c>
      <c r="G417" s="26" t="s">
        <v>546</v>
      </c>
      <c r="H417" s="26" t="s">
        <v>175</v>
      </c>
      <c r="I417" s="26" t="s">
        <v>175</v>
      </c>
      <c r="J417" s="2" t="s">
        <v>72</v>
      </c>
      <c r="K417" s="141" t="s">
        <v>72</v>
      </c>
      <c r="L417" s="141">
        <v>10030700</v>
      </c>
      <c r="M417" s="26" t="s">
        <v>1001</v>
      </c>
      <c r="N417" s="2">
        <v>42892</v>
      </c>
      <c r="O417" s="2">
        <v>42894</v>
      </c>
      <c r="P417" s="133">
        <v>42926</v>
      </c>
      <c r="Q417" s="6">
        <v>2</v>
      </c>
      <c r="R417" s="6">
        <v>2</v>
      </c>
      <c r="S417" s="6">
        <v>2</v>
      </c>
      <c r="T417" s="6">
        <v>2</v>
      </c>
      <c r="U417" s="6">
        <v>2</v>
      </c>
      <c r="V417" s="6">
        <v>10005021</v>
      </c>
      <c r="W417" s="5">
        <v>42313</v>
      </c>
      <c r="X417" s="6">
        <v>3</v>
      </c>
      <c r="Y417" s="6">
        <v>3</v>
      </c>
      <c r="Z417" s="6">
        <v>3</v>
      </c>
      <c r="AA417" s="6">
        <v>2</v>
      </c>
      <c r="AB417" s="6">
        <v>3</v>
      </c>
      <c r="AC417" s="6" t="s">
        <v>216</v>
      </c>
    </row>
    <row r="418" spans="1:29" x14ac:dyDescent="0.25">
      <c r="A418" s="145" t="str">
        <f>HYPERLINK("http://www.ofsted.gov.uk/inspection-reports/find-inspection-report/provider/ELS/54873  ","Ofsted Webpage")</f>
        <v>Ofsted Webpage</v>
      </c>
      <c r="B418" s="151">
        <v>54873</v>
      </c>
      <c r="C418" s="151">
        <v>10003748</v>
      </c>
      <c r="D418" s="46" t="s">
        <v>2699</v>
      </c>
      <c r="E418" s="26" t="s">
        <v>78</v>
      </c>
      <c r="F418" s="26" t="s">
        <v>79</v>
      </c>
      <c r="G418" s="26" t="s">
        <v>1310</v>
      </c>
      <c r="H418" s="26" t="s">
        <v>238</v>
      </c>
      <c r="I418" s="26" t="s">
        <v>238</v>
      </c>
      <c r="J418" s="2">
        <v>42901</v>
      </c>
      <c r="K418" s="141">
        <v>1</v>
      </c>
      <c r="L418" s="141" t="s">
        <v>2700</v>
      </c>
      <c r="M418" s="26" t="s">
        <v>466</v>
      </c>
      <c r="N418" s="2">
        <v>41813</v>
      </c>
      <c r="O418" s="2">
        <v>41817</v>
      </c>
      <c r="P418" s="119">
        <v>41867</v>
      </c>
      <c r="Q418" s="6">
        <v>2</v>
      </c>
      <c r="R418" s="6">
        <v>2</v>
      </c>
      <c r="S418" s="6">
        <v>2</v>
      </c>
      <c r="T418" s="120" t="s">
        <v>178</v>
      </c>
      <c r="U418" s="6">
        <v>2</v>
      </c>
      <c r="V418" s="6" t="s">
        <v>2701</v>
      </c>
      <c r="W418" s="5">
        <v>40921</v>
      </c>
      <c r="X418" s="6">
        <v>2</v>
      </c>
      <c r="Y418" s="6">
        <v>2</v>
      </c>
      <c r="Z418" s="6">
        <v>2</v>
      </c>
      <c r="AA418" s="6" t="s">
        <v>178</v>
      </c>
      <c r="AB418" s="6">
        <v>2</v>
      </c>
      <c r="AC418" s="6" t="s">
        <v>180</v>
      </c>
    </row>
    <row r="419" spans="1:29" x14ac:dyDescent="0.25">
      <c r="A419" s="145" t="str">
        <f>HYPERLINK("http://www.ofsted.gov.uk/inspection-reports/find-inspection-report/provider/ELS/54877  ","Ofsted Webpage")</f>
        <v>Ofsted Webpage</v>
      </c>
      <c r="B419" s="151">
        <v>54877</v>
      </c>
      <c r="C419" s="151">
        <v>10006734</v>
      </c>
      <c r="D419" s="46" t="s">
        <v>1908</v>
      </c>
      <c r="E419" s="26" t="s">
        <v>77</v>
      </c>
      <c r="F419" s="26" t="s">
        <v>76</v>
      </c>
      <c r="G419" s="26" t="s">
        <v>294</v>
      </c>
      <c r="H419" s="26" t="s">
        <v>198</v>
      </c>
      <c r="I419" s="26" t="s">
        <v>198</v>
      </c>
      <c r="J419" s="2">
        <v>42530</v>
      </c>
      <c r="K419" s="141">
        <v>1</v>
      </c>
      <c r="L419" s="141" t="s">
        <v>1909</v>
      </c>
      <c r="M419" s="26" t="s">
        <v>549</v>
      </c>
      <c r="N419" s="2">
        <v>41198</v>
      </c>
      <c r="O419" s="2">
        <v>41200</v>
      </c>
      <c r="P419" s="133">
        <v>41235</v>
      </c>
      <c r="Q419" s="6">
        <v>2</v>
      </c>
      <c r="R419" s="6">
        <v>2</v>
      </c>
      <c r="S419" s="6">
        <v>2</v>
      </c>
      <c r="T419" s="120" t="s">
        <v>178</v>
      </c>
      <c r="U419" s="6">
        <v>2</v>
      </c>
      <c r="V419" s="6" t="s">
        <v>1910</v>
      </c>
      <c r="W419" s="5">
        <v>40130</v>
      </c>
      <c r="X419" s="6">
        <v>3</v>
      </c>
      <c r="Y419" s="6">
        <v>2</v>
      </c>
      <c r="Z419" s="6">
        <v>3</v>
      </c>
      <c r="AA419" s="6" t="s">
        <v>178</v>
      </c>
      <c r="AB419" s="6">
        <v>3</v>
      </c>
      <c r="AC419" s="6" t="s">
        <v>216</v>
      </c>
    </row>
    <row r="420" spans="1:29" x14ac:dyDescent="0.25">
      <c r="A420" s="145" t="str">
        <f>HYPERLINK("http://www.ofsted.gov.uk/inspection-reports/find-inspection-report/provider/ELS/54895  ","Ofsted Webpage")</f>
        <v>Ofsted Webpage</v>
      </c>
      <c r="B420" s="151">
        <v>54895</v>
      </c>
      <c r="C420" s="151">
        <v>10006571</v>
      </c>
      <c r="D420" s="46" t="s">
        <v>2621</v>
      </c>
      <c r="E420" s="26" t="s">
        <v>78</v>
      </c>
      <c r="F420" s="26" t="s">
        <v>79</v>
      </c>
      <c r="G420" s="26" t="s">
        <v>849</v>
      </c>
      <c r="H420" s="26" t="s">
        <v>219</v>
      </c>
      <c r="I420" s="26" t="s">
        <v>219</v>
      </c>
      <c r="J420" s="2">
        <v>42747</v>
      </c>
      <c r="K420" s="141">
        <v>1</v>
      </c>
      <c r="L420" s="141" t="s">
        <v>2622</v>
      </c>
      <c r="M420" s="26" t="s">
        <v>333</v>
      </c>
      <c r="N420" s="2">
        <v>41351</v>
      </c>
      <c r="O420" s="2">
        <v>41354</v>
      </c>
      <c r="P420" s="133">
        <v>41393</v>
      </c>
      <c r="Q420" s="6">
        <v>2</v>
      </c>
      <c r="R420" s="6">
        <v>1</v>
      </c>
      <c r="S420" s="6">
        <v>2</v>
      </c>
      <c r="T420" s="120" t="s">
        <v>178</v>
      </c>
      <c r="U420" s="6">
        <v>2</v>
      </c>
      <c r="V420" s="6" t="s">
        <v>2623</v>
      </c>
      <c r="W420" s="5">
        <v>39542</v>
      </c>
      <c r="X420" s="6">
        <v>2</v>
      </c>
      <c r="Y420" s="6">
        <v>2</v>
      </c>
      <c r="Z420" s="6">
        <v>2</v>
      </c>
      <c r="AA420" s="6" t="s">
        <v>178</v>
      </c>
      <c r="AB420" s="6">
        <v>2</v>
      </c>
      <c r="AC420" s="6" t="s">
        <v>180</v>
      </c>
    </row>
    <row r="421" spans="1:29" x14ac:dyDescent="0.25">
      <c r="A421" s="145" t="str">
        <f>HYPERLINK("http://www.ofsted.gov.uk/inspection-reports/find-inspection-report/provider/ELS/54916  ","Ofsted Webpage")</f>
        <v>Ofsted Webpage</v>
      </c>
      <c r="B421" s="151">
        <v>54916</v>
      </c>
      <c r="C421" s="151">
        <v>10006797</v>
      </c>
      <c r="D421" s="46" t="s">
        <v>2626</v>
      </c>
      <c r="E421" s="26" t="s">
        <v>78</v>
      </c>
      <c r="F421" s="26" t="s">
        <v>79</v>
      </c>
      <c r="G421" s="26" t="s">
        <v>218</v>
      </c>
      <c r="H421" s="26" t="s">
        <v>219</v>
      </c>
      <c r="I421" s="26" t="s">
        <v>219</v>
      </c>
      <c r="J421" s="2" t="s">
        <v>72</v>
      </c>
      <c r="K421" s="141" t="s">
        <v>72</v>
      </c>
      <c r="L421" s="141">
        <v>10020096</v>
      </c>
      <c r="M421" s="26" t="s">
        <v>183</v>
      </c>
      <c r="N421" s="2">
        <v>42654</v>
      </c>
      <c r="O421" s="2">
        <v>42657</v>
      </c>
      <c r="P421" s="133">
        <v>42697</v>
      </c>
      <c r="Q421" s="6">
        <v>2</v>
      </c>
      <c r="R421" s="6">
        <v>2</v>
      </c>
      <c r="S421" s="6">
        <v>2</v>
      </c>
      <c r="T421" s="6">
        <v>2</v>
      </c>
      <c r="U421" s="6">
        <v>2</v>
      </c>
      <c r="V421" s="6" t="s">
        <v>2627</v>
      </c>
      <c r="W421" s="5">
        <v>41565</v>
      </c>
      <c r="X421" s="6">
        <v>2</v>
      </c>
      <c r="Y421" s="6">
        <v>2</v>
      </c>
      <c r="Z421" s="6">
        <v>2</v>
      </c>
      <c r="AA421" s="6" t="s">
        <v>178</v>
      </c>
      <c r="AB421" s="6">
        <v>2</v>
      </c>
      <c r="AC421" s="6" t="s">
        <v>180</v>
      </c>
    </row>
    <row r="422" spans="1:29" x14ac:dyDescent="0.25">
      <c r="A422" s="145" t="str">
        <f>HYPERLINK("http://www.ofsted.gov.uk/inspection-reports/find-inspection-report/provider/ELS/54946  ","Ofsted Webpage")</f>
        <v>Ofsted Webpage</v>
      </c>
      <c r="B422" s="151">
        <v>54946</v>
      </c>
      <c r="C422" s="151">
        <v>10006845</v>
      </c>
      <c r="D422" s="46" t="s">
        <v>2728</v>
      </c>
      <c r="E422" s="26" t="s">
        <v>78</v>
      </c>
      <c r="F422" s="26" t="s">
        <v>79</v>
      </c>
      <c r="G422" s="26" t="s">
        <v>914</v>
      </c>
      <c r="H422" s="26" t="s">
        <v>187</v>
      </c>
      <c r="I422" s="26" t="s">
        <v>188</v>
      </c>
      <c r="J422" s="2" t="s">
        <v>72</v>
      </c>
      <c r="K422" s="141" t="s">
        <v>72</v>
      </c>
      <c r="L422" s="141">
        <v>10005023</v>
      </c>
      <c r="M422" s="26" t="s">
        <v>475</v>
      </c>
      <c r="N422" s="2">
        <v>42710</v>
      </c>
      <c r="O422" s="2">
        <v>42713</v>
      </c>
      <c r="P422" s="133">
        <v>42754</v>
      </c>
      <c r="Q422" s="6">
        <v>3</v>
      </c>
      <c r="R422" s="6">
        <v>3</v>
      </c>
      <c r="S422" s="6">
        <v>3</v>
      </c>
      <c r="T422" s="6">
        <v>3</v>
      </c>
      <c r="U422" s="6">
        <v>3</v>
      </c>
      <c r="V422" s="6" t="s">
        <v>2729</v>
      </c>
      <c r="W422" s="5">
        <v>42027</v>
      </c>
      <c r="X422" s="6">
        <v>3</v>
      </c>
      <c r="Y422" s="6">
        <v>2</v>
      </c>
      <c r="Z422" s="6">
        <v>2</v>
      </c>
      <c r="AA422" s="6" t="s">
        <v>178</v>
      </c>
      <c r="AB422" s="6">
        <v>3</v>
      </c>
      <c r="AC422" s="6" t="s">
        <v>180</v>
      </c>
    </row>
    <row r="423" spans="1:29" x14ac:dyDescent="0.25">
      <c r="A423" s="145" t="str">
        <f>HYPERLINK("http://www.ofsted.gov.uk/inspection-reports/find-inspection-report/provider/ELS/54947  ","Ofsted Webpage")</f>
        <v>Ofsted Webpage</v>
      </c>
      <c r="B423" s="151">
        <v>54947</v>
      </c>
      <c r="C423" s="151">
        <v>10006847</v>
      </c>
      <c r="D423" s="46" t="s">
        <v>2730</v>
      </c>
      <c r="E423" s="26" t="s">
        <v>78</v>
      </c>
      <c r="F423" s="26" t="s">
        <v>79</v>
      </c>
      <c r="G423" s="26" t="s">
        <v>247</v>
      </c>
      <c r="H423" s="26" t="s">
        <v>238</v>
      </c>
      <c r="I423" s="26" t="s">
        <v>238</v>
      </c>
      <c r="J423" s="2" t="s">
        <v>72</v>
      </c>
      <c r="K423" s="141" t="s">
        <v>72</v>
      </c>
      <c r="L423" s="141" t="s">
        <v>2731</v>
      </c>
      <c r="M423" s="26" t="s">
        <v>333</v>
      </c>
      <c r="N423" s="2">
        <v>42163</v>
      </c>
      <c r="O423" s="2">
        <v>42167</v>
      </c>
      <c r="P423" s="133">
        <v>42200</v>
      </c>
      <c r="Q423" s="6">
        <v>2</v>
      </c>
      <c r="R423" s="6">
        <v>2</v>
      </c>
      <c r="S423" s="6">
        <v>2</v>
      </c>
      <c r="T423" s="120" t="s">
        <v>178</v>
      </c>
      <c r="U423" s="6">
        <v>2</v>
      </c>
      <c r="V423" s="6" t="s">
        <v>2732</v>
      </c>
      <c r="W423" s="5">
        <v>40368</v>
      </c>
      <c r="X423" s="6">
        <v>2</v>
      </c>
      <c r="Y423" s="6">
        <v>2</v>
      </c>
      <c r="Z423" s="6">
        <v>2</v>
      </c>
      <c r="AA423" s="6" t="s">
        <v>178</v>
      </c>
      <c r="AB423" s="6">
        <v>2</v>
      </c>
      <c r="AC423" s="6" t="s">
        <v>180</v>
      </c>
    </row>
    <row r="424" spans="1:29" x14ac:dyDescent="0.25">
      <c r="A424" s="145" t="str">
        <f>HYPERLINK("http://www.ofsted.gov.uk/inspection-reports/find-inspection-report/provider/ELS/54956  ","Ofsted Webpage")</f>
        <v>Ofsted Webpage</v>
      </c>
      <c r="B424" s="131">
        <v>54956</v>
      </c>
      <c r="C424" s="131">
        <v>10008699</v>
      </c>
      <c r="D424" s="46" t="s">
        <v>2403</v>
      </c>
      <c r="E424" s="26" t="s">
        <v>78</v>
      </c>
      <c r="F424" s="26" t="s">
        <v>79</v>
      </c>
      <c r="G424" s="26" t="s">
        <v>474</v>
      </c>
      <c r="H424" s="26" t="s">
        <v>187</v>
      </c>
      <c r="I424" s="26" t="s">
        <v>188</v>
      </c>
      <c r="J424" s="2">
        <v>42537</v>
      </c>
      <c r="K424" s="141">
        <f>0+1</f>
        <v>1</v>
      </c>
      <c r="L424" s="26" t="s">
        <v>2404</v>
      </c>
      <c r="M424" s="26" t="s">
        <v>445</v>
      </c>
      <c r="N424" s="2">
        <v>40918</v>
      </c>
      <c r="O424" s="2">
        <v>40921</v>
      </c>
      <c r="P424" s="2">
        <v>40955</v>
      </c>
      <c r="Q424" s="6">
        <v>2</v>
      </c>
      <c r="R424" s="6">
        <v>2</v>
      </c>
      <c r="S424" s="6">
        <v>2</v>
      </c>
      <c r="T424" s="120" t="s">
        <v>178</v>
      </c>
      <c r="U424" s="6">
        <v>2</v>
      </c>
      <c r="V424" s="6" t="s">
        <v>2405</v>
      </c>
      <c r="W424" s="5">
        <v>38989</v>
      </c>
      <c r="X424" s="6">
        <v>2</v>
      </c>
      <c r="Y424" s="6" t="s">
        <v>178</v>
      </c>
      <c r="Z424" s="6" t="s">
        <v>178</v>
      </c>
      <c r="AA424" s="6" t="s">
        <v>178</v>
      </c>
      <c r="AB424" s="6">
        <v>2</v>
      </c>
      <c r="AC424" s="6" t="s">
        <v>180</v>
      </c>
    </row>
    <row r="425" spans="1:29" x14ac:dyDescent="0.25">
      <c r="A425" s="145" t="str">
        <f>HYPERLINK("http://www.ofsted.gov.uk/inspection-reports/find-inspection-report/provider/ELS/54969  ","Ofsted Webpage")</f>
        <v>Ofsted Webpage</v>
      </c>
      <c r="B425" s="151">
        <v>54969</v>
      </c>
      <c r="C425" s="151">
        <v>10019155</v>
      </c>
      <c r="D425" s="46" t="s">
        <v>482</v>
      </c>
      <c r="E425" s="26" t="s">
        <v>78</v>
      </c>
      <c r="F425" s="26" t="s">
        <v>79</v>
      </c>
      <c r="G425" s="26" t="s">
        <v>223</v>
      </c>
      <c r="H425" s="26" t="s">
        <v>193</v>
      </c>
      <c r="I425" s="26" t="s">
        <v>193</v>
      </c>
      <c r="J425" s="2" t="s">
        <v>72</v>
      </c>
      <c r="K425" s="141" t="s">
        <v>72</v>
      </c>
      <c r="L425" s="141">
        <v>10030727</v>
      </c>
      <c r="M425" s="26" t="s">
        <v>183</v>
      </c>
      <c r="N425" s="2">
        <v>42899</v>
      </c>
      <c r="O425" s="2">
        <v>42902</v>
      </c>
      <c r="P425" s="133">
        <v>42926</v>
      </c>
      <c r="Q425" s="6">
        <v>3</v>
      </c>
      <c r="R425" s="6">
        <v>3</v>
      </c>
      <c r="S425" s="6">
        <v>3</v>
      </c>
      <c r="T425" s="6">
        <v>3</v>
      </c>
      <c r="U425" s="6">
        <v>3</v>
      </c>
      <c r="V425" s="6" t="s">
        <v>483</v>
      </c>
      <c r="W425" s="5">
        <v>41600</v>
      </c>
      <c r="X425" s="6">
        <v>2</v>
      </c>
      <c r="Y425" s="6">
        <v>2</v>
      </c>
      <c r="Z425" s="6">
        <v>2</v>
      </c>
      <c r="AA425" s="6" t="s">
        <v>178</v>
      </c>
      <c r="AB425" s="6">
        <v>2</v>
      </c>
      <c r="AC425" s="6" t="s">
        <v>201</v>
      </c>
    </row>
    <row r="426" spans="1:29" x14ac:dyDescent="0.25">
      <c r="A426" s="145" t="str">
        <f>HYPERLINK("http://www.ofsted.gov.uk/inspection-reports/find-inspection-report/provider/ELS/54975  ","Ofsted Webpage")</f>
        <v>Ofsted Webpage</v>
      </c>
      <c r="B426" s="151">
        <v>54975</v>
      </c>
      <c r="C426" s="151">
        <v>10006907</v>
      </c>
      <c r="D426" s="46" t="s">
        <v>728</v>
      </c>
      <c r="E426" s="26" t="s">
        <v>75</v>
      </c>
      <c r="F426" s="26" t="s">
        <v>76</v>
      </c>
      <c r="G426" s="26" t="s">
        <v>729</v>
      </c>
      <c r="H426" s="26" t="s">
        <v>287</v>
      </c>
      <c r="I426" s="26" t="s">
        <v>287</v>
      </c>
      <c r="J426" s="2">
        <v>42894</v>
      </c>
      <c r="K426" s="141">
        <v>1</v>
      </c>
      <c r="L426" s="141" t="s">
        <v>730</v>
      </c>
      <c r="M426" s="26" t="s">
        <v>549</v>
      </c>
      <c r="N426" s="2">
        <v>41317</v>
      </c>
      <c r="O426" s="2">
        <v>41320</v>
      </c>
      <c r="P426" s="133">
        <v>41355</v>
      </c>
      <c r="Q426" s="6">
        <v>2</v>
      </c>
      <c r="R426" s="6">
        <v>2</v>
      </c>
      <c r="S426" s="6">
        <v>2</v>
      </c>
      <c r="T426" s="120" t="s">
        <v>178</v>
      </c>
      <c r="U426" s="6">
        <v>2</v>
      </c>
      <c r="V426" s="6" t="s">
        <v>731</v>
      </c>
      <c r="W426" s="5">
        <v>39934</v>
      </c>
      <c r="X426" s="6">
        <v>3</v>
      </c>
      <c r="Y426" s="6">
        <v>3</v>
      </c>
      <c r="Z426" s="6">
        <v>3</v>
      </c>
      <c r="AA426" s="6" t="s">
        <v>178</v>
      </c>
      <c r="AB426" s="6">
        <v>3</v>
      </c>
      <c r="AC426" s="6" t="s">
        <v>216</v>
      </c>
    </row>
    <row r="427" spans="1:29" x14ac:dyDescent="0.25">
      <c r="A427" s="145" t="str">
        <f>HYPERLINK("http://www.ofsted.gov.uk/inspection-reports/find-inspection-report/provider/ELS/55015  ","Ofsted Webpage")</f>
        <v>Ofsted Webpage</v>
      </c>
      <c r="B427" s="151">
        <v>55015</v>
      </c>
      <c r="C427" s="151">
        <v>10006942</v>
      </c>
      <c r="D427" s="46" t="s">
        <v>2136</v>
      </c>
      <c r="E427" s="26" t="s">
        <v>78</v>
      </c>
      <c r="F427" s="26" t="s">
        <v>79</v>
      </c>
      <c r="G427" s="26" t="s">
        <v>1222</v>
      </c>
      <c r="H427" s="26" t="s">
        <v>198</v>
      </c>
      <c r="I427" s="26" t="s">
        <v>198</v>
      </c>
      <c r="J427" s="2" t="s">
        <v>72</v>
      </c>
      <c r="K427" s="141" t="s">
        <v>72</v>
      </c>
      <c r="L427" s="141" t="s">
        <v>2137</v>
      </c>
      <c r="M427" s="26" t="s">
        <v>445</v>
      </c>
      <c r="N427" s="2">
        <v>40155</v>
      </c>
      <c r="O427" s="2">
        <v>40158</v>
      </c>
      <c r="P427" s="119">
        <v>40196</v>
      </c>
      <c r="Q427" s="6">
        <v>1</v>
      </c>
      <c r="R427" s="6">
        <v>1</v>
      </c>
      <c r="S427" s="6">
        <v>2</v>
      </c>
      <c r="T427" s="120" t="s">
        <v>178</v>
      </c>
      <c r="U427" s="6">
        <v>1</v>
      </c>
      <c r="V427" s="6" t="s">
        <v>72</v>
      </c>
      <c r="W427" s="5" t="s">
        <v>72</v>
      </c>
      <c r="X427" s="6" t="s">
        <v>72</v>
      </c>
      <c r="Y427" s="6" t="s">
        <v>72</v>
      </c>
      <c r="Z427" s="6" t="s">
        <v>72</v>
      </c>
      <c r="AA427" s="6" t="s">
        <v>72</v>
      </c>
      <c r="AB427" s="6" t="s">
        <v>72</v>
      </c>
      <c r="AC427" s="6" t="s">
        <v>208</v>
      </c>
    </row>
    <row r="428" spans="1:29" x14ac:dyDescent="0.25">
      <c r="A428" s="145" t="str">
        <f>HYPERLINK("http://www.ofsted.gov.uk/inspection-reports/find-inspection-report/provider/ELS/55022  ","Ofsted Webpage")</f>
        <v>Ofsted Webpage</v>
      </c>
      <c r="B428" s="151">
        <v>55022</v>
      </c>
      <c r="C428" s="151">
        <v>10021755</v>
      </c>
      <c r="D428" s="46" t="s">
        <v>2006</v>
      </c>
      <c r="E428" s="26" t="s">
        <v>77</v>
      </c>
      <c r="F428" s="26" t="s">
        <v>76</v>
      </c>
      <c r="G428" s="26" t="s">
        <v>535</v>
      </c>
      <c r="H428" s="26" t="s">
        <v>238</v>
      </c>
      <c r="I428" s="26" t="s">
        <v>238</v>
      </c>
      <c r="J428" s="2" t="s">
        <v>72</v>
      </c>
      <c r="K428" s="141" t="s">
        <v>72</v>
      </c>
      <c r="L428" s="141">
        <v>10030735</v>
      </c>
      <c r="M428" s="26" t="s">
        <v>189</v>
      </c>
      <c r="N428" s="2">
        <v>42863</v>
      </c>
      <c r="O428" s="2">
        <v>42866</v>
      </c>
      <c r="P428" s="133">
        <v>42894</v>
      </c>
      <c r="Q428" s="6">
        <v>2</v>
      </c>
      <c r="R428" s="6">
        <v>2</v>
      </c>
      <c r="S428" s="6">
        <v>2</v>
      </c>
      <c r="T428" s="6">
        <v>2</v>
      </c>
      <c r="U428" s="6">
        <v>2</v>
      </c>
      <c r="V428" s="6" t="s">
        <v>2007</v>
      </c>
      <c r="W428" s="5">
        <v>41257</v>
      </c>
      <c r="X428" s="6">
        <v>2</v>
      </c>
      <c r="Y428" s="6">
        <v>2</v>
      </c>
      <c r="Z428" s="6">
        <v>2</v>
      </c>
      <c r="AA428" s="6" t="s">
        <v>178</v>
      </c>
      <c r="AB428" s="6">
        <v>2</v>
      </c>
      <c r="AC428" s="6" t="s">
        <v>180</v>
      </c>
    </row>
    <row r="429" spans="1:29" x14ac:dyDescent="0.25">
      <c r="A429" s="145" t="str">
        <f>HYPERLINK("http://www.ofsted.gov.uk/inspection-reports/find-inspection-report/provider/ELS/55045  ","Ofsted Webpage")</f>
        <v>Ofsted Webpage</v>
      </c>
      <c r="B429" s="151">
        <v>55045</v>
      </c>
      <c r="C429" s="151">
        <v>10006987</v>
      </c>
      <c r="D429" s="46" t="s">
        <v>2008</v>
      </c>
      <c r="E429" s="26" t="s">
        <v>77</v>
      </c>
      <c r="F429" s="26" t="s">
        <v>76</v>
      </c>
      <c r="G429" s="26" t="s">
        <v>1254</v>
      </c>
      <c r="H429" s="26" t="s">
        <v>238</v>
      </c>
      <c r="I429" s="26" t="s">
        <v>238</v>
      </c>
      <c r="J429" s="2" t="s">
        <v>72</v>
      </c>
      <c r="K429" s="141" t="s">
        <v>72</v>
      </c>
      <c r="L429" s="141" t="s">
        <v>2009</v>
      </c>
      <c r="M429" s="26" t="s">
        <v>466</v>
      </c>
      <c r="N429" s="2">
        <v>42037</v>
      </c>
      <c r="O429" s="2">
        <v>42041</v>
      </c>
      <c r="P429" s="133">
        <v>42075</v>
      </c>
      <c r="Q429" s="6">
        <v>2</v>
      </c>
      <c r="R429" s="6">
        <v>2</v>
      </c>
      <c r="S429" s="6">
        <v>2</v>
      </c>
      <c r="T429" s="120" t="s">
        <v>178</v>
      </c>
      <c r="U429" s="6">
        <v>1</v>
      </c>
      <c r="V429" s="6" t="s">
        <v>2010</v>
      </c>
      <c r="W429" s="5">
        <v>40627</v>
      </c>
      <c r="X429" s="6">
        <v>2</v>
      </c>
      <c r="Y429" s="6">
        <v>2</v>
      </c>
      <c r="Z429" s="6">
        <v>2</v>
      </c>
      <c r="AA429" s="6" t="s">
        <v>178</v>
      </c>
      <c r="AB429" s="6">
        <v>1</v>
      </c>
      <c r="AC429" s="6" t="s">
        <v>180</v>
      </c>
    </row>
    <row r="430" spans="1:29" x14ac:dyDescent="0.25">
      <c r="A430" s="145" t="str">
        <f>HYPERLINK("http://www.ofsted.gov.uk/inspection-reports/find-inspection-report/provider/ELS/55051  ","Ofsted Webpage")</f>
        <v>Ofsted Webpage</v>
      </c>
      <c r="B430" s="151">
        <v>55051</v>
      </c>
      <c r="C430" s="151">
        <v>10022627</v>
      </c>
      <c r="D430" s="46" t="s">
        <v>1913</v>
      </c>
      <c r="E430" s="26" t="s">
        <v>77</v>
      </c>
      <c r="F430" s="26" t="s">
        <v>76</v>
      </c>
      <c r="G430" s="26" t="s">
        <v>1914</v>
      </c>
      <c r="H430" s="26" t="s">
        <v>497</v>
      </c>
      <c r="I430" s="26" t="s">
        <v>193</v>
      </c>
      <c r="J430" s="2" t="s">
        <v>72</v>
      </c>
      <c r="K430" s="141" t="s">
        <v>72</v>
      </c>
      <c r="L430" s="141" t="s">
        <v>1915</v>
      </c>
      <c r="M430" s="26" t="s">
        <v>333</v>
      </c>
      <c r="N430" s="2">
        <v>41463</v>
      </c>
      <c r="O430" s="2">
        <v>41467</v>
      </c>
      <c r="P430" s="133">
        <v>41502</v>
      </c>
      <c r="Q430" s="6">
        <v>1</v>
      </c>
      <c r="R430" s="6">
        <v>1</v>
      </c>
      <c r="S430" s="6">
        <v>1</v>
      </c>
      <c r="T430" s="120" t="s">
        <v>178</v>
      </c>
      <c r="U430" s="6">
        <v>1</v>
      </c>
      <c r="V430" s="6" t="s">
        <v>1916</v>
      </c>
      <c r="W430" s="5">
        <v>39619</v>
      </c>
      <c r="X430" s="6">
        <v>2</v>
      </c>
      <c r="Y430" s="6">
        <v>2</v>
      </c>
      <c r="Z430" s="6">
        <v>2</v>
      </c>
      <c r="AA430" s="6" t="s">
        <v>178</v>
      </c>
      <c r="AB430" s="6">
        <v>2</v>
      </c>
      <c r="AC430" s="6" t="s">
        <v>216</v>
      </c>
    </row>
    <row r="431" spans="1:29" x14ac:dyDescent="0.25">
      <c r="A431" s="145" t="str">
        <f>HYPERLINK("http://www.ofsted.gov.uk/inspection-reports/find-inspection-report/provider/ELS/55053  ","Ofsted Webpage")</f>
        <v>Ofsted Webpage</v>
      </c>
      <c r="B431" s="151">
        <v>55053</v>
      </c>
      <c r="C431" s="151">
        <v>10006986</v>
      </c>
      <c r="D431" s="46" t="s">
        <v>2631</v>
      </c>
      <c r="E431" s="26" t="s">
        <v>78</v>
      </c>
      <c r="F431" s="26" t="s">
        <v>79</v>
      </c>
      <c r="G431" s="26" t="s">
        <v>307</v>
      </c>
      <c r="H431" s="26" t="s">
        <v>175</v>
      </c>
      <c r="I431" s="26" t="s">
        <v>175</v>
      </c>
      <c r="J431" s="2" t="s">
        <v>72</v>
      </c>
      <c r="K431" s="141" t="s">
        <v>72</v>
      </c>
      <c r="L431" s="141">
        <v>10020097</v>
      </c>
      <c r="M431" s="26" t="s">
        <v>475</v>
      </c>
      <c r="N431" s="2">
        <v>42675</v>
      </c>
      <c r="O431" s="2">
        <v>42678</v>
      </c>
      <c r="P431" s="133">
        <v>42716</v>
      </c>
      <c r="Q431" s="6">
        <v>2</v>
      </c>
      <c r="R431" s="6">
        <v>2</v>
      </c>
      <c r="S431" s="6">
        <v>2</v>
      </c>
      <c r="T431" s="6">
        <v>2</v>
      </c>
      <c r="U431" s="6">
        <v>2</v>
      </c>
      <c r="V431" s="6" t="s">
        <v>2632</v>
      </c>
      <c r="W431" s="5">
        <v>42062</v>
      </c>
      <c r="X431" s="6">
        <v>3</v>
      </c>
      <c r="Y431" s="6">
        <v>3</v>
      </c>
      <c r="Z431" s="6">
        <v>3</v>
      </c>
      <c r="AA431" s="6" t="s">
        <v>178</v>
      </c>
      <c r="AB431" s="6">
        <v>3</v>
      </c>
      <c r="AC431" s="6" t="s">
        <v>216</v>
      </c>
    </row>
    <row r="432" spans="1:29" x14ac:dyDescent="0.25">
      <c r="A432" s="145" t="str">
        <f>HYPERLINK("http://www.ofsted.gov.uk/inspection-reports/find-inspection-report/provider/ELS/55072  ","Ofsted Webpage")</f>
        <v>Ofsted Webpage</v>
      </c>
      <c r="B432" s="151">
        <v>55072</v>
      </c>
      <c r="C432" s="151">
        <v>10007015</v>
      </c>
      <c r="D432" s="46" t="s">
        <v>2514</v>
      </c>
      <c r="E432" s="26" t="s">
        <v>78</v>
      </c>
      <c r="F432" s="26" t="s">
        <v>79</v>
      </c>
      <c r="G432" s="26" t="s">
        <v>340</v>
      </c>
      <c r="H432" s="26" t="s">
        <v>214</v>
      </c>
      <c r="I432" s="26" t="s">
        <v>214</v>
      </c>
      <c r="J432" s="2" t="s">
        <v>72</v>
      </c>
      <c r="K432" s="141" t="s">
        <v>72</v>
      </c>
      <c r="L432" s="141" t="s">
        <v>2515</v>
      </c>
      <c r="M432" s="26" t="s">
        <v>445</v>
      </c>
      <c r="N432" s="2">
        <v>40134</v>
      </c>
      <c r="O432" s="2">
        <v>40137</v>
      </c>
      <c r="P432" s="133">
        <v>40185</v>
      </c>
      <c r="Q432" s="6">
        <v>1</v>
      </c>
      <c r="R432" s="6">
        <v>1</v>
      </c>
      <c r="S432" s="6">
        <v>1</v>
      </c>
      <c r="T432" s="120" t="s">
        <v>178</v>
      </c>
      <c r="U432" s="6">
        <v>1</v>
      </c>
      <c r="V432" s="6" t="s">
        <v>72</v>
      </c>
      <c r="W432" s="5" t="s">
        <v>72</v>
      </c>
      <c r="X432" s="6" t="s">
        <v>72</v>
      </c>
      <c r="Y432" s="6" t="s">
        <v>72</v>
      </c>
      <c r="Z432" s="6" t="s">
        <v>72</v>
      </c>
      <c r="AA432" s="6" t="s">
        <v>72</v>
      </c>
      <c r="AB432" s="6" t="s">
        <v>72</v>
      </c>
      <c r="AC432" s="6" t="s">
        <v>208</v>
      </c>
    </row>
    <row r="433" spans="1:29" x14ac:dyDescent="0.25">
      <c r="A433" s="145" t="str">
        <f>HYPERLINK("http://www.ofsted.gov.uk/inspection-reports/find-inspection-report/provider/ELS/55074  ","Ofsted Webpage")</f>
        <v>Ofsted Webpage</v>
      </c>
      <c r="B433" s="151">
        <v>55074</v>
      </c>
      <c r="C433" s="151">
        <v>10007320</v>
      </c>
      <c r="D433" s="46" t="s">
        <v>2017</v>
      </c>
      <c r="E433" s="26" t="s">
        <v>77</v>
      </c>
      <c r="F433" s="26" t="s">
        <v>76</v>
      </c>
      <c r="G433" s="26" t="s">
        <v>982</v>
      </c>
      <c r="H433" s="26" t="s">
        <v>175</v>
      </c>
      <c r="I433" s="26" t="s">
        <v>175</v>
      </c>
      <c r="J433" s="2" t="s">
        <v>72</v>
      </c>
      <c r="K433" s="141" t="s">
        <v>72</v>
      </c>
      <c r="L433" s="141">
        <v>10011555</v>
      </c>
      <c r="M433" s="26" t="s">
        <v>211</v>
      </c>
      <c r="N433" s="2">
        <v>42472</v>
      </c>
      <c r="O433" s="2">
        <v>42475</v>
      </c>
      <c r="P433" s="133">
        <v>42502</v>
      </c>
      <c r="Q433" s="6">
        <v>2</v>
      </c>
      <c r="R433" s="6">
        <v>2</v>
      </c>
      <c r="S433" s="6">
        <v>2</v>
      </c>
      <c r="T433" s="6">
        <v>2</v>
      </c>
      <c r="U433" s="6">
        <v>2</v>
      </c>
      <c r="V433" s="6" t="s">
        <v>2018</v>
      </c>
      <c r="W433" s="5">
        <v>41187</v>
      </c>
      <c r="X433" s="6">
        <v>2</v>
      </c>
      <c r="Y433" s="6">
        <v>2</v>
      </c>
      <c r="Z433" s="6">
        <v>2</v>
      </c>
      <c r="AA433" s="6" t="s">
        <v>178</v>
      </c>
      <c r="AB433" s="6">
        <v>2</v>
      </c>
      <c r="AC433" s="6" t="s">
        <v>180</v>
      </c>
    </row>
    <row r="434" spans="1:29" x14ac:dyDescent="0.25">
      <c r="A434" s="145" t="str">
        <f>HYPERLINK("http://www.ofsted.gov.uk/inspection-reports/find-inspection-report/provider/ELS/55112  ","Ofsted Webpage")</f>
        <v>Ofsted Webpage</v>
      </c>
      <c r="B434" s="151">
        <v>55112</v>
      </c>
      <c r="C434" s="151">
        <v>10007070</v>
      </c>
      <c r="D434" s="46" t="s">
        <v>1917</v>
      </c>
      <c r="E434" s="26" t="s">
        <v>77</v>
      </c>
      <c r="F434" s="26" t="s">
        <v>76</v>
      </c>
      <c r="G434" s="26" t="s">
        <v>1085</v>
      </c>
      <c r="H434" s="26" t="s">
        <v>204</v>
      </c>
      <c r="I434" s="26" t="s">
        <v>188</v>
      </c>
      <c r="J434" s="2" t="s">
        <v>72</v>
      </c>
      <c r="K434" s="141" t="s">
        <v>72</v>
      </c>
      <c r="L434" s="141" t="s">
        <v>1918</v>
      </c>
      <c r="M434" s="26" t="s">
        <v>333</v>
      </c>
      <c r="N434" s="2">
        <v>41498</v>
      </c>
      <c r="O434" s="2">
        <v>41502</v>
      </c>
      <c r="P434" s="133">
        <v>41537</v>
      </c>
      <c r="Q434" s="6">
        <v>2</v>
      </c>
      <c r="R434" s="6">
        <v>2</v>
      </c>
      <c r="S434" s="6">
        <v>2</v>
      </c>
      <c r="T434" s="120" t="s">
        <v>178</v>
      </c>
      <c r="U434" s="6">
        <v>2</v>
      </c>
      <c r="V434" s="6" t="s">
        <v>1919</v>
      </c>
      <c r="W434" s="5">
        <v>39346</v>
      </c>
      <c r="X434" s="6">
        <v>2</v>
      </c>
      <c r="Y434" s="6">
        <v>2</v>
      </c>
      <c r="Z434" s="6">
        <v>2</v>
      </c>
      <c r="AA434" s="6" t="s">
        <v>178</v>
      </c>
      <c r="AB434" s="6">
        <v>2</v>
      </c>
      <c r="AC434" s="6" t="s">
        <v>180</v>
      </c>
    </row>
    <row r="435" spans="1:29" x14ac:dyDescent="0.25">
      <c r="A435" s="145" t="str">
        <f>HYPERLINK("http://www.ofsted.gov.uk/inspection-reports/find-inspection-report/provider/ELS/55113  ","Ofsted Webpage")</f>
        <v>Ofsted Webpage</v>
      </c>
      <c r="B435" s="151">
        <v>55113</v>
      </c>
      <c r="C435" s="151">
        <v>10004589</v>
      </c>
      <c r="D435" s="46" t="s">
        <v>2308</v>
      </c>
      <c r="E435" s="26" t="s">
        <v>78</v>
      </c>
      <c r="F435" s="26" t="s">
        <v>79</v>
      </c>
      <c r="G435" s="26" t="s">
        <v>906</v>
      </c>
      <c r="H435" s="26" t="s">
        <v>238</v>
      </c>
      <c r="I435" s="26" t="s">
        <v>238</v>
      </c>
      <c r="J435" s="2" t="s">
        <v>72</v>
      </c>
      <c r="K435" s="141" t="s">
        <v>72</v>
      </c>
      <c r="L435" s="141">
        <v>10030738</v>
      </c>
      <c r="M435" s="26" t="s">
        <v>211</v>
      </c>
      <c r="N435" s="2">
        <v>42928</v>
      </c>
      <c r="O435" s="2">
        <v>42930</v>
      </c>
      <c r="P435" s="119">
        <v>42969</v>
      </c>
      <c r="Q435" s="6">
        <v>1</v>
      </c>
      <c r="R435" s="6">
        <v>1</v>
      </c>
      <c r="S435" s="6">
        <v>1</v>
      </c>
      <c r="T435" s="6">
        <v>1</v>
      </c>
      <c r="U435" s="6">
        <v>1</v>
      </c>
      <c r="V435" s="6" t="s">
        <v>2309</v>
      </c>
      <c r="W435" s="5">
        <v>41571</v>
      </c>
      <c r="X435" s="6">
        <v>2</v>
      </c>
      <c r="Y435" s="6">
        <v>2</v>
      </c>
      <c r="Z435" s="6">
        <v>2</v>
      </c>
      <c r="AA435" s="6" t="s">
        <v>178</v>
      </c>
      <c r="AB435" s="6">
        <v>2</v>
      </c>
      <c r="AC435" s="6" t="s">
        <v>216</v>
      </c>
    </row>
    <row r="436" spans="1:29" x14ac:dyDescent="0.25">
      <c r="A436" s="145" t="str">
        <f>HYPERLINK("http://www.ofsted.gov.uk/inspection-reports/find-inspection-report/provider/ELS/55115  ","Ofsted Webpage")</f>
        <v>Ofsted Webpage</v>
      </c>
      <c r="B436" s="151">
        <v>55115</v>
      </c>
      <c r="C436" s="151">
        <v>10004123</v>
      </c>
      <c r="D436" s="46" t="s">
        <v>1440</v>
      </c>
      <c r="E436" s="26" t="s">
        <v>80</v>
      </c>
      <c r="F436" s="26" t="s">
        <v>79</v>
      </c>
      <c r="G436" s="26" t="s">
        <v>939</v>
      </c>
      <c r="H436" s="26" t="s">
        <v>287</v>
      </c>
      <c r="I436" s="26" t="s">
        <v>287</v>
      </c>
      <c r="J436" s="2" t="s">
        <v>72</v>
      </c>
      <c r="K436" s="141" t="s">
        <v>72</v>
      </c>
      <c r="L436" s="141">
        <v>10008491</v>
      </c>
      <c r="M436" s="26" t="s">
        <v>183</v>
      </c>
      <c r="N436" s="2">
        <v>42430</v>
      </c>
      <c r="O436" s="2">
        <v>42433</v>
      </c>
      <c r="P436" s="133">
        <v>42453</v>
      </c>
      <c r="Q436" s="6">
        <v>2</v>
      </c>
      <c r="R436" s="6">
        <v>2</v>
      </c>
      <c r="S436" s="6">
        <v>2</v>
      </c>
      <c r="T436" s="6">
        <v>2</v>
      </c>
      <c r="U436" s="6">
        <v>2</v>
      </c>
      <c r="V436" s="6" t="s">
        <v>1441</v>
      </c>
      <c r="W436" s="5">
        <v>40620</v>
      </c>
      <c r="X436" s="6">
        <v>2</v>
      </c>
      <c r="Y436" s="6">
        <v>2</v>
      </c>
      <c r="Z436" s="6">
        <v>2</v>
      </c>
      <c r="AA436" s="6" t="s">
        <v>178</v>
      </c>
      <c r="AB436" s="6">
        <v>2</v>
      </c>
      <c r="AC436" s="6" t="s">
        <v>180</v>
      </c>
    </row>
    <row r="437" spans="1:29" x14ac:dyDescent="0.25">
      <c r="A437" s="145" t="str">
        <f>HYPERLINK("http://www.ofsted.gov.uk/inspection-reports/find-inspection-report/provider/ELS/55131  ","Ofsted Webpage")</f>
        <v>Ofsted Webpage</v>
      </c>
      <c r="B437" s="151">
        <v>55131</v>
      </c>
      <c r="C437" s="151">
        <v>10007100</v>
      </c>
      <c r="D437" s="46" t="s">
        <v>2011</v>
      </c>
      <c r="E437" s="26" t="s">
        <v>77</v>
      </c>
      <c r="F437" s="26" t="s">
        <v>76</v>
      </c>
      <c r="G437" s="26" t="s">
        <v>203</v>
      </c>
      <c r="H437" s="26" t="s">
        <v>204</v>
      </c>
      <c r="I437" s="26" t="s">
        <v>188</v>
      </c>
      <c r="J437" s="2">
        <v>42383</v>
      </c>
      <c r="K437" s="141">
        <v>1</v>
      </c>
      <c r="L437" s="141" t="s">
        <v>2012</v>
      </c>
      <c r="M437" s="26" t="s">
        <v>445</v>
      </c>
      <c r="N437" s="2">
        <v>41142</v>
      </c>
      <c r="O437" s="2">
        <v>41145</v>
      </c>
      <c r="P437" s="133">
        <v>41178</v>
      </c>
      <c r="Q437" s="6">
        <v>2</v>
      </c>
      <c r="R437" s="6">
        <v>2</v>
      </c>
      <c r="S437" s="6">
        <v>2</v>
      </c>
      <c r="T437" s="120" t="s">
        <v>178</v>
      </c>
      <c r="U437" s="6">
        <v>2</v>
      </c>
      <c r="V437" s="6" t="s">
        <v>2013</v>
      </c>
      <c r="W437" s="5">
        <v>39507</v>
      </c>
      <c r="X437" s="6">
        <v>2</v>
      </c>
      <c r="Y437" s="6">
        <v>2</v>
      </c>
      <c r="Z437" s="6">
        <v>2</v>
      </c>
      <c r="AA437" s="6" t="s">
        <v>178</v>
      </c>
      <c r="AB437" s="6">
        <v>2</v>
      </c>
      <c r="AC437" s="6" t="s">
        <v>180</v>
      </c>
    </row>
    <row r="438" spans="1:29" x14ac:dyDescent="0.25">
      <c r="A438" s="145" t="str">
        <f>HYPERLINK("http://www.ofsted.gov.uk/inspection-reports/find-inspection-report/provider/ELS/55149  ","Ofsted Webpage")</f>
        <v>Ofsted Webpage</v>
      </c>
      <c r="B438" s="131">
        <v>55149</v>
      </c>
      <c r="C438" s="131">
        <v>10007123</v>
      </c>
      <c r="D438" s="46" t="s">
        <v>2310</v>
      </c>
      <c r="E438" s="26" t="s">
        <v>78</v>
      </c>
      <c r="F438" s="26" t="s">
        <v>79</v>
      </c>
      <c r="G438" s="26" t="s">
        <v>1199</v>
      </c>
      <c r="H438" s="26" t="s">
        <v>287</v>
      </c>
      <c r="I438" s="26" t="s">
        <v>287</v>
      </c>
      <c r="J438" s="2" t="s">
        <v>72</v>
      </c>
      <c r="K438" s="26" t="s">
        <v>72</v>
      </c>
      <c r="L438" s="26" t="s">
        <v>2311</v>
      </c>
      <c r="M438" s="26" t="s">
        <v>333</v>
      </c>
      <c r="N438" s="2">
        <v>41176</v>
      </c>
      <c r="O438" s="2">
        <v>41180</v>
      </c>
      <c r="P438" s="2">
        <v>41215</v>
      </c>
      <c r="Q438" s="6">
        <v>2</v>
      </c>
      <c r="R438" s="6">
        <v>2</v>
      </c>
      <c r="S438" s="6">
        <v>2</v>
      </c>
      <c r="T438" s="120" t="s">
        <v>178</v>
      </c>
      <c r="U438" s="6">
        <v>2</v>
      </c>
      <c r="V438" s="6" t="s">
        <v>2312</v>
      </c>
      <c r="W438" s="5">
        <v>40101</v>
      </c>
      <c r="X438" s="6">
        <v>3</v>
      </c>
      <c r="Y438" s="6">
        <v>3</v>
      </c>
      <c r="Z438" s="6">
        <v>3</v>
      </c>
      <c r="AA438" s="6" t="s">
        <v>178</v>
      </c>
      <c r="AB438" s="6">
        <v>3</v>
      </c>
      <c r="AC438" s="6" t="s">
        <v>216</v>
      </c>
    </row>
    <row r="439" spans="1:29" x14ac:dyDescent="0.25">
      <c r="A439" s="145" t="str">
        <f>HYPERLINK("http://www.ofsted.gov.uk/inspection-reports/find-inspection-report/provider/ELS/55230  ","Ofsted Webpage")</f>
        <v>Ofsted Webpage</v>
      </c>
      <c r="B439" s="131">
        <v>55230</v>
      </c>
      <c r="C439" s="131">
        <v>10009450</v>
      </c>
      <c r="D439" s="46" t="s">
        <v>2318</v>
      </c>
      <c r="E439" s="26" t="s">
        <v>78</v>
      </c>
      <c r="F439" s="26" t="s">
        <v>79</v>
      </c>
      <c r="G439" s="26" t="s">
        <v>1406</v>
      </c>
      <c r="H439" s="26" t="s">
        <v>287</v>
      </c>
      <c r="I439" s="26" t="s">
        <v>287</v>
      </c>
      <c r="J439" s="2" t="s">
        <v>72</v>
      </c>
      <c r="K439" s="26" t="s">
        <v>72</v>
      </c>
      <c r="L439" s="144">
        <v>10011517</v>
      </c>
      <c r="M439" s="26" t="s">
        <v>211</v>
      </c>
      <c r="N439" s="2">
        <v>42675</v>
      </c>
      <c r="O439" s="2">
        <v>42678</v>
      </c>
      <c r="P439" s="2">
        <v>42713</v>
      </c>
      <c r="Q439" s="6">
        <v>2</v>
      </c>
      <c r="R439" s="6">
        <v>2</v>
      </c>
      <c r="S439" s="6">
        <v>2</v>
      </c>
      <c r="T439" s="6">
        <v>2</v>
      </c>
      <c r="U439" s="6">
        <v>2</v>
      </c>
      <c r="V439" s="6" t="s">
        <v>72</v>
      </c>
      <c r="W439" s="5" t="s">
        <v>72</v>
      </c>
      <c r="X439" s="6" t="s">
        <v>72</v>
      </c>
      <c r="Y439" s="6" t="s">
        <v>72</v>
      </c>
      <c r="Z439" s="6" t="s">
        <v>72</v>
      </c>
      <c r="AA439" s="6" t="s">
        <v>72</v>
      </c>
      <c r="AB439" s="6" t="s">
        <v>72</v>
      </c>
      <c r="AC439" s="6" t="s">
        <v>208</v>
      </c>
    </row>
    <row r="440" spans="1:29" x14ac:dyDescent="0.25">
      <c r="A440" s="145" t="str">
        <f>HYPERLINK("http://www.ofsted.gov.uk/inspection-reports/find-inspection-report/provider/ELS/55241  ","Ofsted Webpage")</f>
        <v>Ofsted Webpage</v>
      </c>
      <c r="B440" s="151">
        <v>55241</v>
      </c>
      <c r="C440" s="151">
        <v>10003161</v>
      </c>
      <c r="D440" s="46" t="s">
        <v>1783</v>
      </c>
      <c r="E440" s="26" t="s">
        <v>78</v>
      </c>
      <c r="F440" s="26" t="s">
        <v>79</v>
      </c>
      <c r="G440" s="26" t="s">
        <v>1772</v>
      </c>
      <c r="H440" s="26" t="s">
        <v>198</v>
      </c>
      <c r="I440" s="26" t="s">
        <v>198</v>
      </c>
      <c r="J440" s="2" t="s">
        <v>72</v>
      </c>
      <c r="K440" s="141" t="s">
        <v>72</v>
      </c>
      <c r="L440" s="141">
        <v>10005441</v>
      </c>
      <c r="M440" s="26" t="s">
        <v>183</v>
      </c>
      <c r="N440" s="2">
        <v>42437</v>
      </c>
      <c r="O440" s="2">
        <v>42440</v>
      </c>
      <c r="P440" s="119">
        <v>42465</v>
      </c>
      <c r="Q440" s="6">
        <v>2</v>
      </c>
      <c r="R440" s="6">
        <v>2</v>
      </c>
      <c r="S440" s="6">
        <v>2</v>
      </c>
      <c r="T440" s="6">
        <v>2</v>
      </c>
      <c r="U440" s="6">
        <v>2</v>
      </c>
      <c r="V440" s="6" t="s">
        <v>1784</v>
      </c>
      <c r="W440" s="5">
        <v>40025</v>
      </c>
      <c r="X440" s="6">
        <v>2</v>
      </c>
      <c r="Y440" s="6">
        <v>3</v>
      </c>
      <c r="Z440" s="6">
        <v>2</v>
      </c>
      <c r="AA440" s="6" t="s">
        <v>178</v>
      </c>
      <c r="AB440" s="6">
        <v>2</v>
      </c>
      <c r="AC440" s="6" t="s">
        <v>180</v>
      </c>
    </row>
    <row r="441" spans="1:29" x14ac:dyDescent="0.25">
      <c r="A441" s="145" t="str">
        <f>HYPERLINK("http://www.ofsted.gov.uk/inspection-reports/find-inspection-report/provider/ELS/55247  ","Ofsted Webpage")</f>
        <v>Ofsted Webpage</v>
      </c>
      <c r="B441" s="151">
        <v>55247</v>
      </c>
      <c r="C441" s="151">
        <v>10007291</v>
      </c>
      <c r="D441" s="46" t="s">
        <v>1179</v>
      </c>
      <c r="E441" s="26" t="s">
        <v>75</v>
      </c>
      <c r="F441" s="26" t="s">
        <v>76</v>
      </c>
      <c r="G441" s="26" t="s">
        <v>1128</v>
      </c>
      <c r="H441" s="26" t="s">
        <v>187</v>
      </c>
      <c r="I441" s="26" t="s">
        <v>188</v>
      </c>
      <c r="J441" s="2" t="s">
        <v>72</v>
      </c>
      <c r="K441" s="141" t="s">
        <v>72</v>
      </c>
      <c r="L441" s="141">
        <v>10030673</v>
      </c>
      <c r="M441" s="26" t="s">
        <v>313</v>
      </c>
      <c r="N441" s="2">
        <v>42815</v>
      </c>
      <c r="O441" s="2">
        <v>42818</v>
      </c>
      <c r="P441" s="133">
        <v>42907</v>
      </c>
      <c r="Q441" s="6">
        <v>3</v>
      </c>
      <c r="R441" s="6">
        <v>3</v>
      </c>
      <c r="S441" s="6">
        <v>3</v>
      </c>
      <c r="T441" s="6">
        <v>3</v>
      </c>
      <c r="U441" s="6">
        <v>3</v>
      </c>
      <c r="V441" s="6">
        <v>10005028</v>
      </c>
      <c r="W441" s="5">
        <v>42314</v>
      </c>
      <c r="X441" s="6">
        <v>4</v>
      </c>
      <c r="Y441" s="6">
        <v>3</v>
      </c>
      <c r="Z441" s="6">
        <v>3</v>
      </c>
      <c r="AA441" s="6">
        <v>3</v>
      </c>
      <c r="AB441" s="6">
        <v>4</v>
      </c>
      <c r="AC441" s="6" t="s">
        <v>216</v>
      </c>
    </row>
    <row r="442" spans="1:29" x14ac:dyDescent="0.25">
      <c r="A442" s="145" t="str">
        <f>HYPERLINK("http://www.ofsted.gov.uk/inspection-reports/find-inspection-report/provider/ELS/55255  ","Ofsted Webpage")</f>
        <v>Ofsted Webpage</v>
      </c>
      <c r="B442" s="151">
        <v>55255</v>
      </c>
      <c r="C442" s="151">
        <v>10010616</v>
      </c>
      <c r="D442" s="46" t="s">
        <v>2746</v>
      </c>
      <c r="E442" s="26" t="s">
        <v>80</v>
      </c>
      <c r="F442" s="26" t="s">
        <v>79</v>
      </c>
      <c r="G442" s="26" t="s">
        <v>1181</v>
      </c>
      <c r="H442" s="26" t="s">
        <v>193</v>
      </c>
      <c r="I442" s="26" t="s">
        <v>193</v>
      </c>
      <c r="J442" s="2" t="s">
        <v>72</v>
      </c>
      <c r="K442" s="141" t="s">
        <v>72</v>
      </c>
      <c r="L442" s="141">
        <v>10022593</v>
      </c>
      <c r="M442" s="26" t="s">
        <v>211</v>
      </c>
      <c r="N442" s="2">
        <v>42801</v>
      </c>
      <c r="O442" s="2">
        <v>42803</v>
      </c>
      <c r="P442" s="133">
        <v>42831</v>
      </c>
      <c r="Q442" s="6">
        <v>3</v>
      </c>
      <c r="R442" s="6">
        <v>3</v>
      </c>
      <c r="S442" s="6">
        <v>3</v>
      </c>
      <c r="T442" s="6">
        <v>3</v>
      </c>
      <c r="U442" s="6">
        <v>3</v>
      </c>
      <c r="V442" s="6" t="s">
        <v>72</v>
      </c>
      <c r="W442" s="5" t="s">
        <v>72</v>
      </c>
      <c r="X442" s="6" t="s">
        <v>72</v>
      </c>
      <c r="Y442" s="6" t="s">
        <v>72</v>
      </c>
      <c r="Z442" s="6" t="s">
        <v>72</v>
      </c>
      <c r="AA442" s="6" t="s">
        <v>72</v>
      </c>
      <c r="AB442" s="6" t="s">
        <v>72</v>
      </c>
      <c r="AC442" s="6" t="s">
        <v>208</v>
      </c>
    </row>
    <row r="443" spans="1:29" x14ac:dyDescent="0.25">
      <c r="A443" s="145" t="str">
        <f>HYPERLINK("http://www.ofsted.gov.uk/inspection-reports/find-inspection-report/provider/ELS/55258  ","Ofsted Webpage")</f>
        <v>Ofsted Webpage</v>
      </c>
      <c r="B443" s="151">
        <v>55258</v>
      </c>
      <c r="C443" s="151">
        <v>10007318</v>
      </c>
      <c r="D443" s="46" t="s">
        <v>1180</v>
      </c>
      <c r="E443" s="26" t="s">
        <v>75</v>
      </c>
      <c r="F443" s="26" t="s">
        <v>76</v>
      </c>
      <c r="G443" s="26" t="s">
        <v>1181</v>
      </c>
      <c r="H443" s="26" t="s">
        <v>193</v>
      </c>
      <c r="I443" s="26" t="s">
        <v>193</v>
      </c>
      <c r="J443" s="2" t="s">
        <v>72</v>
      </c>
      <c r="K443" s="141" t="s">
        <v>72</v>
      </c>
      <c r="L443" s="141">
        <v>10022060</v>
      </c>
      <c r="M443" s="26" t="s">
        <v>308</v>
      </c>
      <c r="N443" s="2">
        <v>42660</v>
      </c>
      <c r="O443" s="2">
        <v>42663</v>
      </c>
      <c r="P443" s="133">
        <v>42704</v>
      </c>
      <c r="Q443" s="6">
        <v>2</v>
      </c>
      <c r="R443" s="6">
        <v>2</v>
      </c>
      <c r="S443" s="6">
        <v>2</v>
      </c>
      <c r="T443" s="6">
        <v>2</v>
      </c>
      <c r="U443" s="6">
        <v>2</v>
      </c>
      <c r="V443" s="6" t="s">
        <v>1182</v>
      </c>
      <c r="W443" s="5">
        <v>41250</v>
      </c>
      <c r="X443" s="6">
        <v>1</v>
      </c>
      <c r="Y443" s="6">
        <v>1</v>
      </c>
      <c r="Z443" s="6">
        <v>1</v>
      </c>
      <c r="AA443" s="6" t="s">
        <v>178</v>
      </c>
      <c r="AB443" s="6">
        <v>1</v>
      </c>
      <c r="AC443" s="6" t="s">
        <v>201</v>
      </c>
    </row>
    <row r="444" spans="1:29" x14ac:dyDescent="0.25">
      <c r="A444" s="145" t="str">
        <f>HYPERLINK("http://www.ofsted.gov.uk/inspection-reports/find-inspection-report/provider/ELS/55276  ","Ofsted Webpage")</f>
        <v>Ofsted Webpage</v>
      </c>
      <c r="B444" s="151">
        <v>55276</v>
      </c>
      <c r="C444" s="151">
        <v>10007348</v>
      </c>
      <c r="D444" s="46" t="s">
        <v>1188</v>
      </c>
      <c r="E444" s="26" t="s">
        <v>75</v>
      </c>
      <c r="F444" s="26" t="s">
        <v>76</v>
      </c>
      <c r="G444" s="26" t="s">
        <v>258</v>
      </c>
      <c r="H444" s="26" t="s">
        <v>193</v>
      </c>
      <c r="I444" s="26" t="s">
        <v>193</v>
      </c>
      <c r="J444" s="2">
        <v>42439</v>
      </c>
      <c r="K444" s="141">
        <v>1</v>
      </c>
      <c r="L444" s="141" t="s">
        <v>1189</v>
      </c>
      <c r="M444" s="26" t="s">
        <v>549</v>
      </c>
      <c r="N444" s="2">
        <v>40686</v>
      </c>
      <c r="O444" s="2">
        <v>40690</v>
      </c>
      <c r="P444" s="133">
        <v>40728</v>
      </c>
      <c r="Q444" s="6">
        <v>2</v>
      </c>
      <c r="R444" s="6">
        <v>2</v>
      </c>
      <c r="S444" s="6">
        <v>2</v>
      </c>
      <c r="T444" s="120" t="s">
        <v>178</v>
      </c>
      <c r="U444" s="6">
        <v>3</v>
      </c>
      <c r="V444" s="6" t="s">
        <v>1190</v>
      </c>
      <c r="W444" s="5">
        <v>39367</v>
      </c>
      <c r="X444" s="6">
        <v>3</v>
      </c>
      <c r="Y444" s="6">
        <v>3</v>
      </c>
      <c r="Z444" s="6">
        <v>3</v>
      </c>
      <c r="AA444" s="6" t="s">
        <v>178</v>
      </c>
      <c r="AB444" s="6">
        <v>3</v>
      </c>
      <c r="AC444" s="6" t="s">
        <v>216</v>
      </c>
    </row>
    <row r="445" spans="1:29" x14ac:dyDescent="0.25">
      <c r="A445" s="145" t="str">
        <f>HYPERLINK("http://www.ofsted.gov.uk/inspection-reports/find-inspection-report/provider/ELS/55287  ","Ofsted Webpage")</f>
        <v>Ofsted Webpage</v>
      </c>
      <c r="B445" s="151">
        <v>55287</v>
      </c>
      <c r="C445" s="151">
        <v>10008986</v>
      </c>
      <c r="D445" s="46" t="s">
        <v>1299</v>
      </c>
      <c r="E445" s="26" t="s">
        <v>75</v>
      </c>
      <c r="F445" s="26" t="s">
        <v>76</v>
      </c>
      <c r="G445" s="26" t="s">
        <v>421</v>
      </c>
      <c r="H445" s="26" t="s">
        <v>219</v>
      </c>
      <c r="I445" s="26" t="s">
        <v>219</v>
      </c>
      <c r="J445" s="2" t="s">
        <v>72</v>
      </c>
      <c r="K445" s="141" t="s">
        <v>72</v>
      </c>
      <c r="L445" s="141">
        <v>10005155</v>
      </c>
      <c r="M445" s="26" t="s">
        <v>547</v>
      </c>
      <c r="N445" s="2">
        <v>42661</v>
      </c>
      <c r="O445" s="2">
        <v>42664</v>
      </c>
      <c r="P445" s="133">
        <v>42691</v>
      </c>
      <c r="Q445" s="6">
        <v>3</v>
      </c>
      <c r="R445" s="6">
        <v>3</v>
      </c>
      <c r="S445" s="6">
        <v>3</v>
      </c>
      <c r="T445" s="6">
        <v>2</v>
      </c>
      <c r="U445" s="6">
        <v>3</v>
      </c>
      <c r="V445" s="6" t="s">
        <v>1300</v>
      </c>
      <c r="W445" s="5">
        <v>41922</v>
      </c>
      <c r="X445" s="6">
        <v>3</v>
      </c>
      <c r="Y445" s="6">
        <v>3</v>
      </c>
      <c r="Z445" s="6">
        <v>3</v>
      </c>
      <c r="AA445" s="6" t="s">
        <v>178</v>
      </c>
      <c r="AB445" s="6">
        <v>3</v>
      </c>
      <c r="AC445" s="6" t="s">
        <v>180</v>
      </c>
    </row>
    <row r="446" spans="1:29" x14ac:dyDescent="0.25">
      <c r="A446" s="145" t="str">
        <f>HYPERLINK("http://www.ofsted.gov.uk/inspection-reports/find-inspection-report/provider/ELS/55294  ","Ofsted Webpage")</f>
        <v>Ofsted Webpage</v>
      </c>
      <c r="B446" s="151">
        <v>55294</v>
      </c>
      <c r="C446" s="151">
        <v>10007375</v>
      </c>
      <c r="D446" s="46" t="s">
        <v>2747</v>
      </c>
      <c r="E446" s="26" t="s">
        <v>78</v>
      </c>
      <c r="F446" s="26" t="s">
        <v>79</v>
      </c>
      <c r="G446" s="26" t="s">
        <v>331</v>
      </c>
      <c r="H446" s="26" t="s">
        <v>214</v>
      </c>
      <c r="I446" s="26" t="s">
        <v>214</v>
      </c>
      <c r="J446" s="2" t="s">
        <v>72</v>
      </c>
      <c r="K446" s="141" t="s">
        <v>72</v>
      </c>
      <c r="L446" s="141">
        <v>10026233</v>
      </c>
      <c r="M446" s="26" t="s">
        <v>211</v>
      </c>
      <c r="N446" s="2">
        <v>42801</v>
      </c>
      <c r="O446" s="2">
        <v>42804</v>
      </c>
      <c r="P446" s="133">
        <v>42829</v>
      </c>
      <c r="Q446" s="6">
        <v>2</v>
      </c>
      <c r="R446" s="6">
        <v>2</v>
      </c>
      <c r="S446" s="6">
        <v>2</v>
      </c>
      <c r="T446" s="6">
        <v>2</v>
      </c>
      <c r="U446" s="6">
        <v>2</v>
      </c>
      <c r="V446" s="6" t="s">
        <v>2748</v>
      </c>
      <c r="W446" s="5">
        <v>42069</v>
      </c>
      <c r="X446" s="6">
        <v>2</v>
      </c>
      <c r="Y446" s="6">
        <v>2</v>
      </c>
      <c r="Z446" s="6">
        <v>2</v>
      </c>
      <c r="AA446" s="6" t="s">
        <v>178</v>
      </c>
      <c r="AB446" s="6">
        <v>2</v>
      </c>
      <c r="AC446" s="6" t="s">
        <v>180</v>
      </c>
    </row>
    <row r="447" spans="1:29" x14ac:dyDescent="0.25">
      <c r="A447" s="145" t="str">
        <f>HYPERLINK("http://www.ofsted.gov.uk/inspection-reports/find-inspection-report/provider/ELS/55295  ","Ofsted Webpage")</f>
        <v>Ofsted Webpage</v>
      </c>
      <c r="B447" s="151">
        <v>55295</v>
      </c>
      <c r="C447" s="151">
        <v>10007377</v>
      </c>
      <c r="D447" s="46" t="s">
        <v>2749</v>
      </c>
      <c r="E447" s="26" t="s">
        <v>78</v>
      </c>
      <c r="F447" s="26" t="s">
        <v>79</v>
      </c>
      <c r="G447" s="26" t="s">
        <v>421</v>
      </c>
      <c r="H447" s="26" t="s">
        <v>219</v>
      </c>
      <c r="I447" s="26" t="s">
        <v>219</v>
      </c>
      <c r="J447" s="2" t="s">
        <v>72</v>
      </c>
      <c r="K447" s="141" t="s">
        <v>72</v>
      </c>
      <c r="L447" s="141" t="s">
        <v>2750</v>
      </c>
      <c r="M447" s="26" t="s">
        <v>466</v>
      </c>
      <c r="N447" s="2">
        <v>42079</v>
      </c>
      <c r="O447" s="2">
        <v>42083</v>
      </c>
      <c r="P447" s="133">
        <v>42117</v>
      </c>
      <c r="Q447" s="6">
        <v>2</v>
      </c>
      <c r="R447" s="6">
        <v>2</v>
      </c>
      <c r="S447" s="6">
        <v>2</v>
      </c>
      <c r="T447" s="120" t="s">
        <v>178</v>
      </c>
      <c r="U447" s="6">
        <v>2</v>
      </c>
      <c r="V447" s="6" t="s">
        <v>2751</v>
      </c>
      <c r="W447" s="5">
        <v>40017</v>
      </c>
      <c r="X447" s="6">
        <v>2</v>
      </c>
      <c r="Y447" s="6">
        <v>2</v>
      </c>
      <c r="Z447" s="6">
        <v>2</v>
      </c>
      <c r="AA447" s="6" t="s">
        <v>178</v>
      </c>
      <c r="AB447" s="6">
        <v>2</v>
      </c>
      <c r="AC447" s="6" t="s">
        <v>180</v>
      </c>
    </row>
    <row r="448" spans="1:29" x14ac:dyDescent="0.25">
      <c r="A448" s="145" t="str">
        <f>HYPERLINK("http://www.ofsted.gov.uk/inspection-reports/find-inspection-report/provider/ELS/55306  ","Ofsted Webpage")</f>
        <v>Ofsted Webpage</v>
      </c>
      <c r="B448" s="151">
        <v>55306</v>
      </c>
      <c r="C448" s="151">
        <v>10007396</v>
      </c>
      <c r="D448" s="46" t="s">
        <v>2019</v>
      </c>
      <c r="E448" s="26" t="s">
        <v>78</v>
      </c>
      <c r="F448" s="26" t="s">
        <v>79</v>
      </c>
      <c r="G448" s="26" t="s">
        <v>604</v>
      </c>
      <c r="H448" s="26" t="s">
        <v>287</v>
      </c>
      <c r="I448" s="26" t="s">
        <v>287</v>
      </c>
      <c r="J448" s="2" t="s">
        <v>72</v>
      </c>
      <c r="K448" s="141" t="s">
        <v>72</v>
      </c>
      <c r="L448" s="141">
        <v>10021354</v>
      </c>
      <c r="M448" s="26" t="s">
        <v>211</v>
      </c>
      <c r="N448" s="2">
        <v>42626</v>
      </c>
      <c r="O448" s="2">
        <v>42629</v>
      </c>
      <c r="P448" s="133">
        <v>42649</v>
      </c>
      <c r="Q448" s="6">
        <v>3</v>
      </c>
      <c r="R448" s="6">
        <v>3</v>
      </c>
      <c r="S448" s="6">
        <v>3</v>
      </c>
      <c r="T448" s="6">
        <v>3</v>
      </c>
      <c r="U448" s="6">
        <v>3</v>
      </c>
      <c r="V448" s="6" t="s">
        <v>2020</v>
      </c>
      <c r="W448" s="5">
        <v>41726</v>
      </c>
      <c r="X448" s="6">
        <v>2</v>
      </c>
      <c r="Y448" s="6">
        <v>2</v>
      </c>
      <c r="Z448" s="6">
        <v>2</v>
      </c>
      <c r="AA448" s="6" t="s">
        <v>178</v>
      </c>
      <c r="AB448" s="6">
        <v>2</v>
      </c>
      <c r="AC448" s="6" t="s">
        <v>201</v>
      </c>
    </row>
    <row r="449" spans="1:29" x14ac:dyDescent="0.25">
      <c r="A449" s="145" t="str">
        <f>HYPERLINK("http://www.ofsted.gov.uk/inspection-reports/find-inspection-report/provider/ELS/55307  ","Ofsted Webpage")</f>
        <v>Ofsted Webpage</v>
      </c>
      <c r="B449" s="151">
        <v>55307</v>
      </c>
      <c r="C449" s="151">
        <v>10007398</v>
      </c>
      <c r="D449" s="46" t="s">
        <v>1301</v>
      </c>
      <c r="E449" s="26" t="s">
        <v>75</v>
      </c>
      <c r="F449" s="26" t="s">
        <v>76</v>
      </c>
      <c r="G449" s="26" t="s">
        <v>849</v>
      </c>
      <c r="H449" s="26" t="s">
        <v>219</v>
      </c>
      <c r="I449" s="26" t="s">
        <v>219</v>
      </c>
      <c r="J449" s="2">
        <v>42334</v>
      </c>
      <c r="K449" s="141">
        <v>1</v>
      </c>
      <c r="L449" s="141" t="s">
        <v>1302</v>
      </c>
      <c r="M449" s="26" t="s">
        <v>549</v>
      </c>
      <c r="N449" s="2">
        <v>41247</v>
      </c>
      <c r="O449" s="2">
        <v>41249</v>
      </c>
      <c r="P449" s="133">
        <v>41285</v>
      </c>
      <c r="Q449" s="6">
        <v>2</v>
      </c>
      <c r="R449" s="6">
        <v>2</v>
      </c>
      <c r="S449" s="6">
        <v>2</v>
      </c>
      <c r="T449" s="120" t="s">
        <v>178</v>
      </c>
      <c r="U449" s="6">
        <v>2</v>
      </c>
      <c r="V449" s="6" t="s">
        <v>1303</v>
      </c>
      <c r="W449" s="5">
        <v>39108</v>
      </c>
      <c r="X449" s="6">
        <v>2</v>
      </c>
      <c r="Y449" s="6" t="s">
        <v>178</v>
      </c>
      <c r="Z449" s="6" t="s">
        <v>178</v>
      </c>
      <c r="AA449" s="6" t="s">
        <v>178</v>
      </c>
      <c r="AB449" s="6">
        <v>2</v>
      </c>
      <c r="AC449" s="6" t="s">
        <v>180</v>
      </c>
    </row>
    <row r="450" spans="1:29" x14ac:dyDescent="0.25">
      <c r="A450" s="145" t="str">
        <f>HYPERLINK("http://www.ofsted.gov.uk/inspection-reports/find-inspection-report/provider/ELS/55308  ","Ofsted Webpage")</f>
        <v>Ofsted Webpage</v>
      </c>
      <c r="B450" s="151">
        <v>55308</v>
      </c>
      <c r="C450" s="151">
        <v>10007402</v>
      </c>
      <c r="D450" s="46" t="s">
        <v>1470</v>
      </c>
      <c r="E450" s="26" t="s">
        <v>77</v>
      </c>
      <c r="F450" s="26" t="s">
        <v>76</v>
      </c>
      <c r="G450" s="26" t="s">
        <v>849</v>
      </c>
      <c r="H450" s="26" t="s">
        <v>219</v>
      </c>
      <c r="I450" s="26" t="s">
        <v>219</v>
      </c>
      <c r="J450" s="2">
        <v>42853</v>
      </c>
      <c r="K450" s="141">
        <v>1</v>
      </c>
      <c r="L450" s="141" t="s">
        <v>1471</v>
      </c>
      <c r="M450" s="26" t="s">
        <v>466</v>
      </c>
      <c r="N450" s="2">
        <v>41407</v>
      </c>
      <c r="O450" s="2">
        <v>41411</v>
      </c>
      <c r="P450" s="133">
        <v>41449</v>
      </c>
      <c r="Q450" s="6">
        <v>2</v>
      </c>
      <c r="R450" s="6">
        <v>2</v>
      </c>
      <c r="S450" s="6">
        <v>2</v>
      </c>
      <c r="T450" s="120" t="s">
        <v>178</v>
      </c>
      <c r="U450" s="6">
        <v>2</v>
      </c>
      <c r="V450" s="6" t="s">
        <v>1472</v>
      </c>
      <c r="W450" s="5">
        <v>39577</v>
      </c>
      <c r="X450" s="6">
        <v>2</v>
      </c>
      <c r="Y450" s="6">
        <v>2</v>
      </c>
      <c r="Z450" s="6">
        <v>2</v>
      </c>
      <c r="AA450" s="6" t="s">
        <v>178</v>
      </c>
      <c r="AB450" s="6">
        <v>2</v>
      </c>
      <c r="AC450" s="6" t="s">
        <v>180</v>
      </c>
    </row>
    <row r="451" spans="1:29" x14ac:dyDescent="0.25">
      <c r="A451" s="145" t="str">
        <f>HYPERLINK("http://www.ofsted.gov.uk/inspection-reports/find-inspection-report/provider/ELS/55353  ","Ofsted Webpage")</f>
        <v>Ofsted Webpage</v>
      </c>
      <c r="B451" s="151">
        <v>55353</v>
      </c>
      <c r="C451" s="151">
        <v>10001464</v>
      </c>
      <c r="D451" s="46" t="s">
        <v>1305</v>
      </c>
      <c r="E451" s="26" t="s">
        <v>75</v>
      </c>
      <c r="F451" s="26" t="s">
        <v>76</v>
      </c>
      <c r="G451" s="26" t="s">
        <v>283</v>
      </c>
      <c r="H451" s="26" t="s">
        <v>175</v>
      </c>
      <c r="I451" s="26" t="s">
        <v>175</v>
      </c>
      <c r="J451" s="2" t="s">
        <v>72</v>
      </c>
      <c r="K451" s="141" t="s">
        <v>72</v>
      </c>
      <c r="L451" s="141">
        <v>10005032</v>
      </c>
      <c r="M451" s="26" t="s">
        <v>308</v>
      </c>
      <c r="N451" s="2">
        <v>42444</v>
      </c>
      <c r="O451" s="2">
        <v>42447</v>
      </c>
      <c r="P451" s="133">
        <v>42486</v>
      </c>
      <c r="Q451" s="6">
        <v>2</v>
      </c>
      <c r="R451" s="6">
        <v>2</v>
      </c>
      <c r="S451" s="6">
        <v>2</v>
      </c>
      <c r="T451" s="6">
        <v>2</v>
      </c>
      <c r="U451" s="6">
        <v>2</v>
      </c>
      <c r="V451" s="6" t="s">
        <v>1306</v>
      </c>
      <c r="W451" s="5">
        <v>40823</v>
      </c>
      <c r="X451" s="6">
        <v>2</v>
      </c>
      <c r="Y451" s="6">
        <v>3</v>
      </c>
      <c r="Z451" s="6">
        <v>2</v>
      </c>
      <c r="AA451" s="6" t="s">
        <v>178</v>
      </c>
      <c r="AB451" s="6">
        <v>2</v>
      </c>
      <c r="AC451" s="6" t="s">
        <v>180</v>
      </c>
    </row>
    <row r="452" spans="1:29" x14ac:dyDescent="0.25">
      <c r="A452" s="145" t="str">
        <f>HYPERLINK("http://www.ofsted.gov.uk/inspection-reports/find-inspection-report/provider/ELS/55363  ","Ofsted Webpage")</f>
        <v>Ofsted Webpage</v>
      </c>
      <c r="B452" s="151">
        <v>55363</v>
      </c>
      <c r="C452" s="151">
        <v>10008023</v>
      </c>
      <c r="D452" s="46" t="s">
        <v>870</v>
      </c>
      <c r="E452" s="26" t="s">
        <v>80</v>
      </c>
      <c r="F452" s="26" t="s">
        <v>79</v>
      </c>
      <c r="G452" s="26" t="s">
        <v>871</v>
      </c>
      <c r="H452" s="26" t="s">
        <v>287</v>
      </c>
      <c r="I452" s="26" t="s">
        <v>287</v>
      </c>
      <c r="J452" s="2" t="s">
        <v>72</v>
      </c>
      <c r="K452" s="141" t="s">
        <v>72</v>
      </c>
      <c r="L452" s="141" t="s">
        <v>872</v>
      </c>
      <c r="M452" s="26" t="s">
        <v>342</v>
      </c>
      <c r="N452" s="2">
        <v>42185</v>
      </c>
      <c r="O452" s="2">
        <v>42188</v>
      </c>
      <c r="P452" s="133">
        <v>42207</v>
      </c>
      <c r="Q452" s="6">
        <v>2</v>
      </c>
      <c r="R452" s="6">
        <v>2</v>
      </c>
      <c r="S452" s="6">
        <v>2</v>
      </c>
      <c r="T452" s="120" t="s">
        <v>178</v>
      </c>
      <c r="U452" s="6">
        <v>2</v>
      </c>
      <c r="V452" s="6" t="s">
        <v>873</v>
      </c>
      <c r="W452" s="5">
        <v>40970</v>
      </c>
      <c r="X452" s="6">
        <v>3</v>
      </c>
      <c r="Y452" s="6">
        <v>3</v>
      </c>
      <c r="Z452" s="6">
        <v>3</v>
      </c>
      <c r="AA452" s="6" t="s">
        <v>178</v>
      </c>
      <c r="AB452" s="6">
        <v>3</v>
      </c>
      <c r="AC452" s="6" t="s">
        <v>216</v>
      </c>
    </row>
    <row r="453" spans="1:29" x14ac:dyDescent="0.25">
      <c r="A453" s="145" t="str">
        <f>HYPERLINK("http://www.ofsted.gov.uk/inspection-reports/find-inspection-report/provider/ELS/55378  ","Ofsted Webpage")</f>
        <v>Ofsted Webpage</v>
      </c>
      <c r="B453" s="151">
        <v>55378</v>
      </c>
      <c r="C453" s="151">
        <v>10007502</v>
      </c>
      <c r="D453" s="46" t="s">
        <v>1307</v>
      </c>
      <c r="E453" s="26" t="s">
        <v>75</v>
      </c>
      <c r="F453" s="26" t="s">
        <v>76</v>
      </c>
      <c r="G453" s="26" t="s">
        <v>542</v>
      </c>
      <c r="H453" s="26" t="s">
        <v>238</v>
      </c>
      <c r="I453" s="26" t="s">
        <v>238</v>
      </c>
      <c r="J453" s="2" t="s">
        <v>72</v>
      </c>
      <c r="K453" s="141" t="s">
        <v>72</v>
      </c>
      <c r="L453" s="141">
        <v>10011570</v>
      </c>
      <c r="M453" s="26" t="s">
        <v>308</v>
      </c>
      <c r="N453" s="2">
        <v>42535</v>
      </c>
      <c r="O453" s="2">
        <v>42538</v>
      </c>
      <c r="P453" s="133">
        <v>42570</v>
      </c>
      <c r="Q453" s="6">
        <v>2</v>
      </c>
      <c r="R453" s="6">
        <v>2</v>
      </c>
      <c r="S453" s="6">
        <v>2</v>
      </c>
      <c r="T453" s="6">
        <v>2</v>
      </c>
      <c r="U453" s="6">
        <v>2</v>
      </c>
      <c r="V453" s="6" t="s">
        <v>1308</v>
      </c>
      <c r="W453" s="5">
        <v>41292</v>
      </c>
      <c r="X453" s="6">
        <v>2</v>
      </c>
      <c r="Y453" s="6">
        <v>2</v>
      </c>
      <c r="Z453" s="6">
        <v>2</v>
      </c>
      <c r="AA453" s="6" t="s">
        <v>178</v>
      </c>
      <c r="AB453" s="6">
        <v>2</v>
      </c>
      <c r="AC453" s="6" t="s">
        <v>180</v>
      </c>
    </row>
    <row r="454" spans="1:29" x14ac:dyDescent="0.25">
      <c r="A454" s="145" t="str">
        <f>HYPERLINK("http://www.ofsted.gov.uk/inspection-reports/find-inspection-report/provider/ELS/55402  ","Ofsted Webpage")</f>
        <v>Ofsted Webpage</v>
      </c>
      <c r="B454" s="151">
        <v>55402</v>
      </c>
      <c r="C454" s="151">
        <v>10004327</v>
      </c>
      <c r="D454" s="46" t="s">
        <v>1309</v>
      </c>
      <c r="E454" s="26" t="s">
        <v>75</v>
      </c>
      <c r="F454" s="26" t="s">
        <v>76</v>
      </c>
      <c r="G454" s="26" t="s">
        <v>1310</v>
      </c>
      <c r="H454" s="26" t="s">
        <v>238</v>
      </c>
      <c r="I454" s="26" t="s">
        <v>238</v>
      </c>
      <c r="J454" s="2" t="s">
        <v>72</v>
      </c>
      <c r="K454" s="141" t="s">
        <v>72</v>
      </c>
      <c r="L454" s="141">
        <v>10011518</v>
      </c>
      <c r="M454" s="26" t="s">
        <v>308</v>
      </c>
      <c r="N454" s="2">
        <v>42507</v>
      </c>
      <c r="O454" s="2">
        <v>42510</v>
      </c>
      <c r="P454" s="133">
        <v>42542</v>
      </c>
      <c r="Q454" s="6">
        <v>3</v>
      </c>
      <c r="R454" s="6">
        <v>3</v>
      </c>
      <c r="S454" s="6">
        <v>3</v>
      </c>
      <c r="T454" s="6">
        <v>3</v>
      </c>
      <c r="U454" s="6">
        <v>3</v>
      </c>
      <c r="V454" s="6" t="s">
        <v>1311</v>
      </c>
      <c r="W454" s="5">
        <v>40207</v>
      </c>
      <c r="X454" s="6">
        <v>2</v>
      </c>
      <c r="Y454" s="6">
        <v>2</v>
      </c>
      <c r="Z454" s="6">
        <v>2</v>
      </c>
      <c r="AA454" s="6" t="s">
        <v>178</v>
      </c>
      <c r="AB454" s="6">
        <v>2</v>
      </c>
      <c r="AC454" s="6" t="s">
        <v>201</v>
      </c>
    </row>
    <row r="455" spans="1:29" x14ac:dyDescent="0.25">
      <c r="A455" s="145" t="str">
        <f>HYPERLINK("http://www.ofsted.gov.uk/inspection-reports/find-inspection-report/provider/ELS/55413  ","Ofsted Webpage")</f>
        <v>Ofsted Webpage</v>
      </c>
      <c r="B455" s="151">
        <v>55413</v>
      </c>
      <c r="C455" s="151">
        <v>10007576</v>
      </c>
      <c r="D455" s="46" t="s">
        <v>564</v>
      </c>
      <c r="E455" s="26" t="s">
        <v>75</v>
      </c>
      <c r="F455" s="26" t="s">
        <v>76</v>
      </c>
      <c r="G455" s="26" t="s">
        <v>565</v>
      </c>
      <c r="H455" s="26" t="s">
        <v>193</v>
      </c>
      <c r="I455" s="26" t="s">
        <v>193</v>
      </c>
      <c r="J455" s="2" t="s">
        <v>72</v>
      </c>
      <c r="K455" s="141" t="s">
        <v>72</v>
      </c>
      <c r="L455" s="141" t="s">
        <v>566</v>
      </c>
      <c r="M455" s="26" t="s">
        <v>549</v>
      </c>
      <c r="N455" s="2">
        <v>41981</v>
      </c>
      <c r="O455" s="2">
        <v>41985</v>
      </c>
      <c r="P455" s="133">
        <v>42019</v>
      </c>
      <c r="Q455" s="6">
        <v>1</v>
      </c>
      <c r="R455" s="6">
        <v>1</v>
      </c>
      <c r="S455" s="6">
        <v>1</v>
      </c>
      <c r="T455" s="120" t="s">
        <v>178</v>
      </c>
      <c r="U455" s="6">
        <v>1</v>
      </c>
      <c r="V455" s="6" t="s">
        <v>567</v>
      </c>
      <c r="W455" s="5">
        <v>39836</v>
      </c>
      <c r="X455" s="6">
        <v>2</v>
      </c>
      <c r="Y455" s="6">
        <v>2</v>
      </c>
      <c r="Z455" s="6">
        <v>2</v>
      </c>
      <c r="AA455" s="6" t="s">
        <v>178</v>
      </c>
      <c r="AB455" s="6">
        <v>2</v>
      </c>
      <c r="AC455" s="6" t="s">
        <v>216</v>
      </c>
    </row>
    <row r="456" spans="1:29" x14ac:dyDescent="0.25">
      <c r="A456" s="145" t="str">
        <f>HYPERLINK("http://www.ofsted.gov.uk/inspection-reports/find-inspection-report/provider/ELS/55416  ","Ofsted Webpage")</f>
        <v>Ofsted Webpage</v>
      </c>
      <c r="B456" s="151">
        <v>55416</v>
      </c>
      <c r="C456" s="151">
        <v>10007594</v>
      </c>
      <c r="D456" s="46" t="s">
        <v>1479</v>
      </c>
      <c r="E456" s="26" t="s">
        <v>77</v>
      </c>
      <c r="F456" s="26" t="s">
        <v>76</v>
      </c>
      <c r="G456" s="26" t="s">
        <v>247</v>
      </c>
      <c r="H456" s="26" t="s">
        <v>238</v>
      </c>
      <c r="I456" s="26" t="s">
        <v>238</v>
      </c>
      <c r="J456" s="2" t="s">
        <v>72</v>
      </c>
      <c r="K456" s="141" t="s">
        <v>72</v>
      </c>
      <c r="L456" s="141">
        <v>10008496</v>
      </c>
      <c r="M456" s="26" t="s">
        <v>189</v>
      </c>
      <c r="N456" s="2">
        <v>42443</v>
      </c>
      <c r="O456" s="2">
        <v>42446</v>
      </c>
      <c r="P456" s="133">
        <v>42466</v>
      </c>
      <c r="Q456" s="6">
        <v>1</v>
      </c>
      <c r="R456" s="6">
        <v>1</v>
      </c>
      <c r="S456" s="6">
        <v>1</v>
      </c>
      <c r="T456" s="6">
        <v>1</v>
      </c>
      <c r="U456" s="6">
        <v>1</v>
      </c>
      <c r="V456" s="6" t="s">
        <v>1480</v>
      </c>
      <c r="W456" s="5">
        <v>41607</v>
      </c>
      <c r="X456" s="6">
        <v>2</v>
      </c>
      <c r="Y456" s="6">
        <v>2</v>
      </c>
      <c r="Z456" s="6">
        <v>2</v>
      </c>
      <c r="AA456" s="6" t="s">
        <v>178</v>
      </c>
      <c r="AB456" s="6">
        <v>1</v>
      </c>
      <c r="AC456" s="6" t="s">
        <v>216</v>
      </c>
    </row>
    <row r="457" spans="1:29" x14ac:dyDescent="0.25">
      <c r="A457" s="145" t="str">
        <f>HYPERLINK("http://www.ofsted.gov.uk/inspection-reports/find-inspection-report/provider/ELS/55422  ","Ofsted Webpage")</f>
        <v>Ofsted Webpage</v>
      </c>
      <c r="B457" s="151">
        <v>55422</v>
      </c>
      <c r="C457" s="151">
        <v>10007623</v>
      </c>
      <c r="D457" s="46" t="s">
        <v>568</v>
      </c>
      <c r="E457" s="26" t="s">
        <v>75</v>
      </c>
      <c r="F457" s="26" t="s">
        <v>76</v>
      </c>
      <c r="G457" s="26" t="s">
        <v>327</v>
      </c>
      <c r="H457" s="26" t="s">
        <v>193</v>
      </c>
      <c r="I457" s="26" t="s">
        <v>193</v>
      </c>
      <c r="J457" s="2" t="s">
        <v>72</v>
      </c>
      <c r="K457" s="141" t="s">
        <v>72</v>
      </c>
      <c r="L457" s="141">
        <v>10011519</v>
      </c>
      <c r="M457" s="26" t="s">
        <v>562</v>
      </c>
      <c r="N457" s="2">
        <v>42528</v>
      </c>
      <c r="O457" s="2">
        <v>42531</v>
      </c>
      <c r="P457" s="133">
        <v>42566</v>
      </c>
      <c r="Q457" s="6">
        <v>2</v>
      </c>
      <c r="R457" s="6">
        <v>2</v>
      </c>
      <c r="S457" s="6">
        <v>2</v>
      </c>
      <c r="T457" s="6">
        <v>2</v>
      </c>
      <c r="U457" s="6">
        <v>2</v>
      </c>
      <c r="V457" s="6" t="s">
        <v>569</v>
      </c>
      <c r="W457" s="5">
        <v>41978</v>
      </c>
      <c r="X457" s="6">
        <v>3</v>
      </c>
      <c r="Y457" s="6">
        <v>3</v>
      </c>
      <c r="Z457" s="6">
        <v>3</v>
      </c>
      <c r="AA457" s="6" t="s">
        <v>178</v>
      </c>
      <c r="AB457" s="6">
        <v>3</v>
      </c>
      <c r="AC457" s="6" t="s">
        <v>216</v>
      </c>
    </row>
    <row r="458" spans="1:29" x14ac:dyDescent="0.25">
      <c r="A458" s="145" t="str">
        <f>HYPERLINK("http://www.ofsted.gov.uk/inspection-reports/find-inspection-report/provider/ELS/55448  ","Ofsted Webpage")</f>
        <v>Ofsted Webpage</v>
      </c>
      <c r="B458" s="151">
        <v>55448</v>
      </c>
      <c r="C458" s="151">
        <v>10007659</v>
      </c>
      <c r="D458" s="46" t="s">
        <v>2744</v>
      </c>
      <c r="E458" s="26" t="s">
        <v>78</v>
      </c>
      <c r="F458" s="26" t="s">
        <v>79</v>
      </c>
      <c r="G458" s="26" t="s">
        <v>419</v>
      </c>
      <c r="H458" s="26" t="s">
        <v>287</v>
      </c>
      <c r="I458" s="26" t="s">
        <v>287</v>
      </c>
      <c r="J458" s="2" t="s">
        <v>72</v>
      </c>
      <c r="K458" s="141" t="s">
        <v>72</v>
      </c>
      <c r="L458" s="141">
        <v>10022609</v>
      </c>
      <c r="M458" s="26" t="s">
        <v>211</v>
      </c>
      <c r="N458" s="2">
        <v>42766</v>
      </c>
      <c r="O458" s="2">
        <v>42769</v>
      </c>
      <c r="P458" s="133">
        <v>43006</v>
      </c>
      <c r="Q458" s="6">
        <v>3</v>
      </c>
      <c r="R458" s="6">
        <v>3</v>
      </c>
      <c r="S458" s="6">
        <v>3</v>
      </c>
      <c r="T458" s="6">
        <v>3</v>
      </c>
      <c r="U458" s="6">
        <v>3</v>
      </c>
      <c r="V458" s="6" t="s">
        <v>2745</v>
      </c>
      <c r="W458" s="5">
        <v>41313</v>
      </c>
      <c r="X458" s="6">
        <v>2</v>
      </c>
      <c r="Y458" s="6">
        <v>2</v>
      </c>
      <c r="Z458" s="6">
        <v>2</v>
      </c>
      <c r="AA458" s="6" t="s">
        <v>178</v>
      </c>
      <c r="AB458" s="6">
        <v>2</v>
      </c>
      <c r="AC458" s="6" t="s">
        <v>201</v>
      </c>
    </row>
    <row r="459" spans="1:29" x14ac:dyDescent="0.25">
      <c r="A459" s="145" t="str">
        <f>HYPERLINK("http://www.ofsted.gov.uk/inspection-reports/find-inspection-report/provider/ELS/55451  ","Ofsted Webpage")</f>
        <v>Ofsted Webpage</v>
      </c>
      <c r="B459" s="151">
        <v>55451</v>
      </c>
      <c r="C459" s="151">
        <v>10008024</v>
      </c>
      <c r="D459" s="46" t="s">
        <v>2752</v>
      </c>
      <c r="E459" s="26" t="s">
        <v>78</v>
      </c>
      <c r="F459" s="26" t="s">
        <v>79</v>
      </c>
      <c r="G459" s="26" t="s">
        <v>294</v>
      </c>
      <c r="H459" s="26" t="s">
        <v>198</v>
      </c>
      <c r="I459" s="26" t="s">
        <v>198</v>
      </c>
      <c r="J459" s="2">
        <v>42907</v>
      </c>
      <c r="K459" s="141">
        <v>1</v>
      </c>
      <c r="L459" s="141" t="s">
        <v>2753</v>
      </c>
      <c r="M459" s="26" t="s">
        <v>333</v>
      </c>
      <c r="N459" s="2">
        <v>41618</v>
      </c>
      <c r="O459" s="2">
        <v>41621</v>
      </c>
      <c r="P459" s="133">
        <v>41661</v>
      </c>
      <c r="Q459" s="6">
        <v>2</v>
      </c>
      <c r="R459" s="6">
        <v>2</v>
      </c>
      <c r="S459" s="6">
        <v>2</v>
      </c>
      <c r="T459" s="120" t="s">
        <v>178</v>
      </c>
      <c r="U459" s="6">
        <v>2</v>
      </c>
      <c r="V459" s="6" t="s">
        <v>2754</v>
      </c>
      <c r="W459" s="5">
        <v>39836</v>
      </c>
      <c r="X459" s="6">
        <v>2</v>
      </c>
      <c r="Y459" s="6">
        <v>2</v>
      </c>
      <c r="Z459" s="6">
        <v>2</v>
      </c>
      <c r="AA459" s="6" t="s">
        <v>178</v>
      </c>
      <c r="AB459" s="6">
        <v>3</v>
      </c>
      <c r="AC459" s="6" t="s">
        <v>180</v>
      </c>
    </row>
    <row r="460" spans="1:29" x14ac:dyDescent="0.25">
      <c r="A460" s="145" t="str">
        <f>HYPERLINK("http://www.ofsted.gov.uk/inspection-reports/find-inspection-report/provider/ELS/55466  ","Ofsted Webpage")</f>
        <v>Ofsted Webpage</v>
      </c>
      <c r="B460" s="131">
        <v>55466</v>
      </c>
      <c r="C460" s="131">
        <v>10007697</v>
      </c>
      <c r="D460" s="46" t="s">
        <v>2401</v>
      </c>
      <c r="E460" s="26" t="s">
        <v>78</v>
      </c>
      <c r="F460" s="26" t="s">
        <v>79</v>
      </c>
      <c r="G460" s="26" t="s">
        <v>705</v>
      </c>
      <c r="H460" s="26" t="s">
        <v>187</v>
      </c>
      <c r="I460" s="26" t="s">
        <v>188</v>
      </c>
      <c r="J460" s="2" t="s">
        <v>72</v>
      </c>
      <c r="K460" s="26" t="s">
        <v>72</v>
      </c>
      <c r="L460" s="144">
        <v>10030669</v>
      </c>
      <c r="M460" s="26" t="s">
        <v>211</v>
      </c>
      <c r="N460" s="2">
        <v>42788</v>
      </c>
      <c r="O460" s="2">
        <v>42790</v>
      </c>
      <c r="P460" s="2">
        <v>42836</v>
      </c>
      <c r="Q460" s="6">
        <v>3</v>
      </c>
      <c r="R460" s="6">
        <v>3</v>
      </c>
      <c r="S460" s="6">
        <v>3</v>
      </c>
      <c r="T460" s="6">
        <v>3</v>
      </c>
      <c r="U460" s="6">
        <v>3</v>
      </c>
      <c r="V460" s="6" t="s">
        <v>2402</v>
      </c>
      <c r="W460" s="5">
        <v>41355</v>
      </c>
      <c r="X460" s="6">
        <v>2</v>
      </c>
      <c r="Y460" s="6">
        <v>2</v>
      </c>
      <c r="Z460" s="6">
        <v>2</v>
      </c>
      <c r="AA460" s="6" t="s">
        <v>178</v>
      </c>
      <c r="AB460" s="6">
        <v>2</v>
      </c>
      <c r="AC460" s="6" t="s">
        <v>201</v>
      </c>
    </row>
    <row r="461" spans="1:29" x14ac:dyDescent="0.25">
      <c r="A461" s="145" t="str">
        <f>HYPERLINK("http://www.ofsted.gov.uk/inspection-reports/find-inspection-report/provider/ELS/55476  ","Ofsted Webpage")</f>
        <v>Ofsted Webpage</v>
      </c>
      <c r="B461" s="151">
        <v>55476</v>
      </c>
      <c r="C461" s="151">
        <v>10001477</v>
      </c>
      <c r="D461" s="46" t="s">
        <v>919</v>
      </c>
      <c r="E461" s="26" t="s">
        <v>75</v>
      </c>
      <c r="F461" s="26" t="s">
        <v>76</v>
      </c>
      <c r="G461" s="26" t="s">
        <v>210</v>
      </c>
      <c r="H461" s="26" t="s">
        <v>187</v>
      </c>
      <c r="I461" s="26" t="s">
        <v>188</v>
      </c>
      <c r="J461" s="2">
        <v>42403</v>
      </c>
      <c r="K461" s="141">
        <v>1</v>
      </c>
      <c r="L461" s="141" t="s">
        <v>920</v>
      </c>
      <c r="M461" s="26" t="s">
        <v>549</v>
      </c>
      <c r="N461" s="2">
        <v>40700</v>
      </c>
      <c r="O461" s="2">
        <v>40704</v>
      </c>
      <c r="P461" s="133">
        <v>40739</v>
      </c>
      <c r="Q461" s="6">
        <v>2</v>
      </c>
      <c r="R461" s="6">
        <v>2</v>
      </c>
      <c r="S461" s="6">
        <v>2</v>
      </c>
      <c r="T461" s="120" t="s">
        <v>178</v>
      </c>
      <c r="U461" s="6">
        <v>2</v>
      </c>
      <c r="V461" s="6" t="s">
        <v>921</v>
      </c>
      <c r="W461" s="5">
        <v>39038</v>
      </c>
      <c r="X461" s="6">
        <v>2</v>
      </c>
      <c r="Y461" s="6" t="s">
        <v>178</v>
      </c>
      <c r="Z461" s="6" t="s">
        <v>178</v>
      </c>
      <c r="AA461" s="6" t="s">
        <v>178</v>
      </c>
      <c r="AB461" s="6">
        <v>2</v>
      </c>
      <c r="AC461" s="6" t="s">
        <v>180</v>
      </c>
    </row>
    <row r="462" spans="1:29" x14ac:dyDescent="0.25">
      <c r="A462" s="145" t="str">
        <f>HYPERLINK("http://www.ofsted.gov.uk/inspection-reports/find-inspection-report/provider/ELS/55491  ","Ofsted Webpage")</f>
        <v>Ofsted Webpage</v>
      </c>
      <c r="B462" s="151">
        <v>55491</v>
      </c>
      <c r="C462" s="151">
        <v>10007755</v>
      </c>
      <c r="D462" s="46" t="s">
        <v>2576</v>
      </c>
      <c r="E462" s="26" t="s">
        <v>78</v>
      </c>
      <c r="F462" s="26" t="s">
        <v>79</v>
      </c>
      <c r="G462" s="26" t="s">
        <v>1269</v>
      </c>
      <c r="H462" s="26" t="s">
        <v>204</v>
      </c>
      <c r="I462" s="26" t="s">
        <v>188</v>
      </c>
      <c r="J462" s="2" t="s">
        <v>72</v>
      </c>
      <c r="K462" s="141" t="s">
        <v>72</v>
      </c>
      <c r="L462" s="141">
        <v>10011520</v>
      </c>
      <c r="M462" s="26" t="s">
        <v>183</v>
      </c>
      <c r="N462" s="2">
        <v>42633</v>
      </c>
      <c r="O462" s="2">
        <v>42636</v>
      </c>
      <c r="P462" s="133">
        <v>42662</v>
      </c>
      <c r="Q462" s="6">
        <v>3</v>
      </c>
      <c r="R462" s="6">
        <v>3</v>
      </c>
      <c r="S462" s="6">
        <v>3</v>
      </c>
      <c r="T462" s="6">
        <v>3</v>
      </c>
      <c r="U462" s="6">
        <v>3</v>
      </c>
      <c r="V462" s="6" t="s">
        <v>2577</v>
      </c>
      <c r="W462" s="5">
        <v>40403</v>
      </c>
      <c r="X462" s="6">
        <v>2</v>
      </c>
      <c r="Y462" s="6">
        <v>2</v>
      </c>
      <c r="Z462" s="6">
        <v>2</v>
      </c>
      <c r="AA462" s="6" t="s">
        <v>178</v>
      </c>
      <c r="AB462" s="6">
        <v>2</v>
      </c>
      <c r="AC462" s="6" t="s">
        <v>201</v>
      </c>
    </row>
    <row r="463" spans="1:29" x14ac:dyDescent="0.25">
      <c r="A463" s="145" t="str">
        <f>HYPERLINK("http://www.ofsted.gov.uk/inspection-reports/find-inspection-report/provider/ELS/55614  ","Ofsted Webpage")</f>
        <v>Ofsted Webpage</v>
      </c>
      <c r="B463" s="151">
        <v>55614</v>
      </c>
      <c r="C463" s="151">
        <v>10000524</v>
      </c>
      <c r="D463" s="46" t="s">
        <v>854</v>
      </c>
      <c r="E463" s="26" t="s">
        <v>80</v>
      </c>
      <c r="F463" s="26" t="s">
        <v>79</v>
      </c>
      <c r="G463" s="26" t="s">
        <v>855</v>
      </c>
      <c r="H463" s="26" t="s">
        <v>175</v>
      </c>
      <c r="I463" s="26" t="s">
        <v>175</v>
      </c>
      <c r="J463" s="2">
        <v>42593</v>
      </c>
      <c r="K463" s="141">
        <v>1</v>
      </c>
      <c r="L463" s="141" t="s">
        <v>856</v>
      </c>
      <c r="M463" s="26" t="s">
        <v>333</v>
      </c>
      <c r="N463" s="2">
        <v>41085</v>
      </c>
      <c r="O463" s="2">
        <v>41088</v>
      </c>
      <c r="P463" s="133">
        <v>41123</v>
      </c>
      <c r="Q463" s="6">
        <v>2</v>
      </c>
      <c r="R463" s="6">
        <v>2</v>
      </c>
      <c r="S463" s="6">
        <v>2</v>
      </c>
      <c r="T463" s="120" t="s">
        <v>178</v>
      </c>
      <c r="U463" s="6">
        <v>2</v>
      </c>
      <c r="V463" s="6" t="s">
        <v>857</v>
      </c>
      <c r="W463" s="5">
        <v>39633</v>
      </c>
      <c r="X463" s="6">
        <v>3</v>
      </c>
      <c r="Y463" s="6">
        <v>3</v>
      </c>
      <c r="Z463" s="6">
        <v>3</v>
      </c>
      <c r="AA463" s="6" t="s">
        <v>178</v>
      </c>
      <c r="AB463" s="6">
        <v>3</v>
      </c>
      <c r="AC463" s="6" t="s">
        <v>216</v>
      </c>
    </row>
    <row r="464" spans="1:29" x14ac:dyDescent="0.25">
      <c r="A464" s="145" t="str">
        <f>HYPERLINK("http://www.ofsted.gov.uk/inspection-reports/find-inspection-report/provider/ELS/56201  ","Ofsted Webpage")</f>
        <v>Ofsted Webpage</v>
      </c>
      <c r="B464" s="151">
        <v>56201</v>
      </c>
      <c r="C464" s="151">
        <v>10036333</v>
      </c>
      <c r="D464" s="46" t="s">
        <v>454</v>
      </c>
      <c r="E464" s="26" t="s">
        <v>78</v>
      </c>
      <c r="F464" s="26" t="s">
        <v>79</v>
      </c>
      <c r="G464" s="26" t="s">
        <v>455</v>
      </c>
      <c r="H464" s="26" t="s">
        <v>193</v>
      </c>
      <c r="I464" s="26" t="s">
        <v>193</v>
      </c>
      <c r="J464" s="2" t="s">
        <v>72</v>
      </c>
      <c r="K464" s="141" t="s">
        <v>72</v>
      </c>
      <c r="L464" s="141" t="s">
        <v>456</v>
      </c>
      <c r="M464" s="26" t="s">
        <v>445</v>
      </c>
      <c r="N464" s="2">
        <v>40567</v>
      </c>
      <c r="O464" s="2">
        <v>40571</v>
      </c>
      <c r="P464" s="133">
        <v>40606</v>
      </c>
      <c r="Q464" s="6">
        <v>1</v>
      </c>
      <c r="R464" s="6">
        <v>1</v>
      </c>
      <c r="S464" s="6">
        <v>1</v>
      </c>
      <c r="T464" s="120" t="s">
        <v>178</v>
      </c>
      <c r="U464" s="6">
        <v>1</v>
      </c>
      <c r="V464" s="6" t="s">
        <v>457</v>
      </c>
      <c r="W464" s="5">
        <v>38848</v>
      </c>
      <c r="X464" s="6">
        <v>2</v>
      </c>
      <c r="Y464" s="6" t="s">
        <v>178</v>
      </c>
      <c r="Z464" s="6" t="s">
        <v>178</v>
      </c>
      <c r="AA464" s="6" t="s">
        <v>178</v>
      </c>
      <c r="AB464" s="6">
        <v>1</v>
      </c>
      <c r="AC464" s="6" t="s">
        <v>216</v>
      </c>
    </row>
    <row r="465" spans="1:29" x14ac:dyDescent="0.25">
      <c r="A465" s="145" t="str">
        <f>HYPERLINK("http://www.ofsted.gov.uk/inspection-reports/find-inspection-report/provider/ELS/56562  ","Ofsted Webpage")</f>
        <v>Ofsted Webpage</v>
      </c>
      <c r="B465" s="151">
        <v>56562</v>
      </c>
      <c r="C465" s="151">
        <v>10004339</v>
      </c>
      <c r="D465" s="46" t="s">
        <v>2986</v>
      </c>
      <c r="E465" s="26" t="s">
        <v>78</v>
      </c>
      <c r="F465" s="26" t="s">
        <v>79</v>
      </c>
      <c r="G465" s="26" t="s">
        <v>906</v>
      </c>
      <c r="H465" s="26" t="s">
        <v>238</v>
      </c>
      <c r="I465" s="26" t="s">
        <v>238</v>
      </c>
      <c r="J465" s="2" t="s">
        <v>72</v>
      </c>
      <c r="K465" s="141" t="s">
        <v>72</v>
      </c>
      <c r="L465" s="141" t="s">
        <v>72</v>
      </c>
      <c r="M465" s="26" t="s">
        <v>72</v>
      </c>
      <c r="N465" s="2" t="s">
        <v>72</v>
      </c>
      <c r="O465" s="2" t="s">
        <v>72</v>
      </c>
      <c r="P465" s="133" t="s">
        <v>72</v>
      </c>
      <c r="Q465" s="6" t="s">
        <v>72</v>
      </c>
      <c r="R465" s="6" t="s">
        <v>72</v>
      </c>
      <c r="S465" s="6" t="s">
        <v>72</v>
      </c>
      <c r="T465" s="6" t="s">
        <v>72</v>
      </c>
      <c r="U465" s="6" t="s">
        <v>72</v>
      </c>
      <c r="V465" s="6" t="s">
        <v>72</v>
      </c>
      <c r="W465" s="5" t="s">
        <v>72</v>
      </c>
      <c r="X465" s="6" t="s">
        <v>72</v>
      </c>
      <c r="Y465" s="6" t="s">
        <v>72</v>
      </c>
      <c r="Z465" s="6" t="s">
        <v>72</v>
      </c>
      <c r="AA465" s="6" t="s">
        <v>72</v>
      </c>
      <c r="AB465" s="6" t="s">
        <v>72</v>
      </c>
      <c r="AC465" s="6" t="s">
        <v>72</v>
      </c>
    </row>
    <row r="466" spans="1:29" x14ac:dyDescent="0.25">
      <c r="A466" s="145" t="str">
        <f>HYPERLINK("http://www.ofsted.gov.uk/inspection-reports/find-inspection-report/provider/ELS/56776  ","Ofsted Webpage")</f>
        <v>Ofsted Webpage</v>
      </c>
      <c r="B466" s="151">
        <v>56776</v>
      </c>
      <c r="C466" s="151">
        <v>10019311</v>
      </c>
      <c r="D466" s="46" t="s">
        <v>2601</v>
      </c>
      <c r="E466" s="26" t="s">
        <v>78</v>
      </c>
      <c r="F466" s="26" t="s">
        <v>79</v>
      </c>
      <c r="G466" s="26" t="s">
        <v>223</v>
      </c>
      <c r="H466" s="26" t="s">
        <v>193</v>
      </c>
      <c r="I466" s="26" t="s">
        <v>193</v>
      </c>
      <c r="J466" s="2" t="s">
        <v>72</v>
      </c>
      <c r="K466" s="141" t="s">
        <v>72</v>
      </c>
      <c r="L466" s="141">
        <v>10022587</v>
      </c>
      <c r="M466" s="26" t="s">
        <v>211</v>
      </c>
      <c r="N466" s="2">
        <v>42752</v>
      </c>
      <c r="O466" s="2">
        <v>42755</v>
      </c>
      <c r="P466" s="133">
        <v>42781</v>
      </c>
      <c r="Q466" s="6">
        <v>4</v>
      </c>
      <c r="R466" s="6">
        <v>4</v>
      </c>
      <c r="S466" s="6">
        <v>4</v>
      </c>
      <c r="T466" s="6">
        <v>4</v>
      </c>
      <c r="U466" s="6">
        <v>4</v>
      </c>
      <c r="V466" s="6" t="s">
        <v>2602</v>
      </c>
      <c r="W466" s="5">
        <v>41397</v>
      </c>
      <c r="X466" s="6">
        <v>2</v>
      </c>
      <c r="Y466" s="6">
        <v>2</v>
      </c>
      <c r="Z466" s="6">
        <v>2</v>
      </c>
      <c r="AA466" s="6" t="s">
        <v>178</v>
      </c>
      <c r="AB466" s="6">
        <v>2</v>
      </c>
      <c r="AC466" s="6" t="s">
        <v>201</v>
      </c>
    </row>
    <row r="467" spans="1:29" x14ac:dyDescent="0.25">
      <c r="A467" s="145" t="str">
        <f>HYPERLINK("http://www.ofsted.gov.uk/inspection-reports/find-inspection-report/provider/ELS/57165  ","Ofsted Webpage")</f>
        <v>Ofsted Webpage</v>
      </c>
      <c r="B467" s="151">
        <v>57165</v>
      </c>
      <c r="C467" s="151">
        <v>10027655</v>
      </c>
      <c r="D467" s="46" t="s">
        <v>2506</v>
      </c>
      <c r="E467" s="26" t="s">
        <v>78</v>
      </c>
      <c r="F467" s="26" t="s">
        <v>79</v>
      </c>
      <c r="G467" s="26" t="s">
        <v>504</v>
      </c>
      <c r="H467" s="26" t="s">
        <v>214</v>
      </c>
      <c r="I467" s="26" t="s">
        <v>214</v>
      </c>
      <c r="J467" s="2">
        <v>42453</v>
      </c>
      <c r="K467" s="141">
        <v>1</v>
      </c>
      <c r="L467" s="141" t="s">
        <v>2507</v>
      </c>
      <c r="M467" s="26" t="s">
        <v>445</v>
      </c>
      <c r="N467" s="2">
        <v>40463</v>
      </c>
      <c r="O467" s="2">
        <v>40466</v>
      </c>
      <c r="P467" s="133">
        <v>40501</v>
      </c>
      <c r="Q467" s="6">
        <v>2</v>
      </c>
      <c r="R467" s="6">
        <v>1</v>
      </c>
      <c r="S467" s="6">
        <v>2</v>
      </c>
      <c r="T467" s="120" t="s">
        <v>178</v>
      </c>
      <c r="U467" s="6">
        <v>2</v>
      </c>
      <c r="V467" s="6" t="s">
        <v>72</v>
      </c>
      <c r="W467" s="5" t="s">
        <v>72</v>
      </c>
      <c r="X467" s="6" t="s">
        <v>72</v>
      </c>
      <c r="Y467" s="6" t="s">
        <v>72</v>
      </c>
      <c r="Z467" s="6" t="s">
        <v>72</v>
      </c>
      <c r="AA467" s="6" t="s">
        <v>72</v>
      </c>
      <c r="AB467" s="6" t="s">
        <v>72</v>
      </c>
      <c r="AC467" s="6" t="s">
        <v>208</v>
      </c>
    </row>
    <row r="468" spans="1:29" x14ac:dyDescent="0.25">
      <c r="A468" s="145" t="str">
        <f>HYPERLINK("http://www.ofsted.gov.uk/inspection-reports/find-inspection-report/provider/ELS/57598  ","Ofsted Webpage")</f>
        <v>Ofsted Webpage</v>
      </c>
      <c r="B468" s="151">
        <v>57598</v>
      </c>
      <c r="C468" s="151">
        <v>10007405</v>
      </c>
      <c r="D468" s="46" t="s">
        <v>1483</v>
      </c>
      <c r="E468" s="26" t="s">
        <v>77</v>
      </c>
      <c r="F468" s="26" t="s">
        <v>76</v>
      </c>
      <c r="G468" s="26" t="s">
        <v>994</v>
      </c>
      <c r="H468" s="26" t="s">
        <v>187</v>
      </c>
      <c r="I468" s="26" t="s">
        <v>188</v>
      </c>
      <c r="J468" s="2" t="s">
        <v>72</v>
      </c>
      <c r="K468" s="141" t="s">
        <v>72</v>
      </c>
      <c r="L468" s="141">
        <v>10022623</v>
      </c>
      <c r="M468" s="26" t="s">
        <v>1001</v>
      </c>
      <c r="N468" s="2">
        <v>42752</v>
      </c>
      <c r="O468" s="2">
        <v>42755</v>
      </c>
      <c r="P468" s="133">
        <v>42783</v>
      </c>
      <c r="Q468" s="6">
        <v>2</v>
      </c>
      <c r="R468" s="6">
        <v>2</v>
      </c>
      <c r="S468" s="6">
        <v>2</v>
      </c>
      <c r="T468" s="6">
        <v>2</v>
      </c>
      <c r="U468" s="6">
        <v>2</v>
      </c>
      <c r="V468" s="6" t="s">
        <v>1484</v>
      </c>
      <c r="W468" s="5">
        <v>42090</v>
      </c>
      <c r="X468" s="6">
        <v>3</v>
      </c>
      <c r="Y468" s="6">
        <v>3</v>
      </c>
      <c r="Z468" s="6">
        <v>3</v>
      </c>
      <c r="AA468" s="6" t="s">
        <v>178</v>
      </c>
      <c r="AB468" s="6">
        <v>3</v>
      </c>
      <c r="AC468" s="6" t="s">
        <v>216</v>
      </c>
    </row>
    <row r="469" spans="1:29" x14ac:dyDescent="0.25">
      <c r="A469" s="145" t="str">
        <f>HYPERLINK("http://www.ofsted.gov.uk/inspection-reports/find-inspection-report/provider/ELS/57680  ","Ofsted Webpage")</f>
        <v>Ofsted Webpage</v>
      </c>
      <c r="B469" s="151">
        <v>57680</v>
      </c>
      <c r="C469" s="151">
        <v>10000421</v>
      </c>
      <c r="D469" s="46" t="s">
        <v>2132</v>
      </c>
      <c r="E469" s="26" t="s">
        <v>78</v>
      </c>
      <c r="F469" s="26" t="s">
        <v>79</v>
      </c>
      <c r="G469" s="26" t="s">
        <v>327</v>
      </c>
      <c r="H469" s="26" t="s">
        <v>193</v>
      </c>
      <c r="I469" s="26" t="s">
        <v>193</v>
      </c>
      <c r="J469" s="2" t="s">
        <v>72</v>
      </c>
      <c r="K469" s="141" t="s">
        <v>72</v>
      </c>
      <c r="L469" s="141">
        <v>10005040</v>
      </c>
      <c r="M469" s="26" t="s">
        <v>448</v>
      </c>
      <c r="N469" s="2">
        <v>42703</v>
      </c>
      <c r="O469" s="2">
        <v>42706</v>
      </c>
      <c r="P469" s="133">
        <v>42748</v>
      </c>
      <c r="Q469" s="6">
        <v>2</v>
      </c>
      <c r="R469" s="6">
        <v>2</v>
      </c>
      <c r="S469" s="6">
        <v>2</v>
      </c>
      <c r="T469" s="6">
        <v>2</v>
      </c>
      <c r="U469" s="6">
        <v>2</v>
      </c>
      <c r="V469" s="6" t="s">
        <v>2133</v>
      </c>
      <c r="W469" s="5">
        <v>42027</v>
      </c>
      <c r="X469" s="6">
        <v>3</v>
      </c>
      <c r="Y469" s="6">
        <v>3</v>
      </c>
      <c r="Z469" s="6">
        <v>3</v>
      </c>
      <c r="AA469" s="6" t="s">
        <v>178</v>
      </c>
      <c r="AB469" s="6">
        <v>3</v>
      </c>
      <c r="AC469" s="6" t="s">
        <v>216</v>
      </c>
    </row>
    <row r="470" spans="1:29" x14ac:dyDescent="0.25">
      <c r="A470" s="145" t="str">
        <f>HYPERLINK("http://www.ofsted.gov.uk/inspection-reports/find-inspection-report/provider/ELS/57752  ","Ofsted Webpage")</f>
        <v>Ofsted Webpage</v>
      </c>
      <c r="B470" s="151">
        <v>57752</v>
      </c>
      <c r="C470" s="151">
        <v>10027662</v>
      </c>
      <c r="D470" s="46" t="s">
        <v>1420</v>
      </c>
      <c r="E470" s="26" t="s">
        <v>80</v>
      </c>
      <c r="F470" s="26" t="s">
        <v>79</v>
      </c>
      <c r="G470" s="26" t="s">
        <v>182</v>
      </c>
      <c r="H470" s="26" t="s">
        <v>175</v>
      </c>
      <c r="I470" s="26" t="s">
        <v>175</v>
      </c>
      <c r="J470" s="2" t="s">
        <v>72</v>
      </c>
      <c r="K470" s="141" t="s">
        <v>72</v>
      </c>
      <c r="L470" s="141">
        <v>10020117</v>
      </c>
      <c r="M470" s="26" t="s">
        <v>183</v>
      </c>
      <c r="N470" s="2">
        <v>42710</v>
      </c>
      <c r="O470" s="2">
        <v>42713</v>
      </c>
      <c r="P470" s="133">
        <v>42754</v>
      </c>
      <c r="Q470" s="6">
        <v>2</v>
      </c>
      <c r="R470" s="6">
        <v>2</v>
      </c>
      <c r="S470" s="6">
        <v>2</v>
      </c>
      <c r="T470" s="6">
        <v>1</v>
      </c>
      <c r="U470" s="6">
        <v>2</v>
      </c>
      <c r="V470" s="6" t="s">
        <v>1421</v>
      </c>
      <c r="W470" s="5">
        <v>41047</v>
      </c>
      <c r="X470" s="6">
        <v>1</v>
      </c>
      <c r="Y470" s="6">
        <v>1</v>
      </c>
      <c r="Z470" s="6">
        <v>2</v>
      </c>
      <c r="AA470" s="6" t="s">
        <v>178</v>
      </c>
      <c r="AB470" s="6">
        <v>1</v>
      </c>
      <c r="AC470" s="6" t="s">
        <v>201</v>
      </c>
    </row>
    <row r="471" spans="1:29" x14ac:dyDescent="0.25">
      <c r="A471" s="145" t="str">
        <f>HYPERLINK("http://www.ofsted.gov.uk/inspection-reports/find-inspection-report/provider/ELS/57838  ","Ofsted Webpage")</f>
        <v>Ofsted Webpage</v>
      </c>
      <c r="B471" s="151">
        <v>57838</v>
      </c>
      <c r="C471" s="151">
        <v>10018344</v>
      </c>
      <c r="D471" s="46" t="s">
        <v>2548</v>
      </c>
      <c r="E471" s="26" t="s">
        <v>78</v>
      </c>
      <c r="F471" s="26" t="s">
        <v>79</v>
      </c>
      <c r="G471" s="26" t="s">
        <v>283</v>
      </c>
      <c r="H471" s="26" t="s">
        <v>175</v>
      </c>
      <c r="I471" s="26" t="s">
        <v>175</v>
      </c>
      <c r="J471" s="2" t="s">
        <v>72</v>
      </c>
      <c r="K471" s="141" t="s">
        <v>72</v>
      </c>
      <c r="L471" s="141">
        <v>10011521</v>
      </c>
      <c r="M471" s="26" t="s">
        <v>199</v>
      </c>
      <c r="N471" s="2">
        <v>42577</v>
      </c>
      <c r="O471" s="2">
        <v>42580</v>
      </c>
      <c r="P471" s="133">
        <v>42599</v>
      </c>
      <c r="Q471" s="6">
        <v>2</v>
      </c>
      <c r="R471" s="6">
        <v>2</v>
      </c>
      <c r="S471" s="6">
        <v>2</v>
      </c>
      <c r="T471" s="6">
        <v>2</v>
      </c>
      <c r="U471" s="6">
        <v>2</v>
      </c>
      <c r="V471" s="6" t="s">
        <v>2549</v>
      </c>
      <c r="W471" s="5">
        <v>41950</v>
      </c>
      <c r="X471" s="6">
        <v>3</v>
      </c>
      <c r="Y471" s="6">
        <v>3</v>
      </c>
      <c r="Z471" s="6">
        <v>3</v>
      </c>
      <c r="AA471" s="6" t="s">
        <v>178</v>
      </c>
      <c r="AB471" s="6">
        <v>3</v>
      </c>
      <c r="AC471" s="6" t="s">
        <v>216</v>
      </c>
    </row>
    <row r="472" spans="1:29" x14ac:dyDescent="0.25">
      <c r="A472" s="145" t="str">
        <f>HYPERLINK("http://www.ofsted.gov.uk/inspection-reports/find-inspection-report/provider/ELS/57839  ","Ofsted Webpage")</f>
        <v>Ofsted Webpage</v>
      </c>
      <c r="B472" s="151">
        <v>57839</v>
      </c>
      <c r="C472" s="151">
        <v>10009213</v>
      </c>
      <c r="D472" s="46" t="s">
        <v>2449</v>
      </c>
      <c r="E472" s="26" t="s">
        <v>78</v>
      </c>
      <c r="F472" s="26" t="s">
        <v>79</v>
      </c>
      <c r="G472" s="26" t="s">
        <v>283</v>
      </c>
      <c r="H472" s="26" t="s">
        <v>175</v>
      </c>
      <c r="I472" s="26" t="s">
        <v>175</v>
      </c>
      <c r="J472" s="2" t="s">
        <v>72</v>
      </c>
      <c r="K472" s="141" t="s">
        <v>72</v>
      </c>
      <c r="L472" s="141">
        <v>10011522</v>
      </c>
      <c r="M472" s="26" t="s">
        <v>211</v>
      </c>
      <c r="N472" s="2">
        <v>42633</v>
      </c>
      <c r="O472" s="2">
        <v>42636</v>
      </c>
      <c r="P472" s="133">
        <v>42681</v>
      </c>
      <c r="Q472" s="6">
        <v>1</v>
      </c>
      <c r="R472" s="6">
        <v>1</v>
      </c>
      <c r="S472" s="6">
        <v>1</v>
      </c>
      <c r="T472" s="6">
        <v>1</v>
      </c>
      <c r="U472" s="6">
        <v>1</v>
      </c>
      <c r="V472" s="6" t="s">
        <v>2450</v>
      </c>
      <c r="W472" s="5">
        <v>40158</v>
      </c>
      <c r="X472" s="6">
        <v>2</v>
      </c>
      <c r="Y472" s="6">
        <v>2</v>
      </c>
      <c r="Z472" s="6">
        <v>2</v>
      </c>
      <c r="AA472" s="6" t="s">
        <v>178</v>
      </c>
      <c r="AB472" s="6">
        <v>3</v>
      </c>
      <c r="AC472" s="6" t="s">
        <v>216</v>
      </c>
    </row>
    <row r="473" spans="1:29" x14ac:dyDescent="0.25">
      <c r="A473" s="145" t="str">
        <f>HYPERLINK("http://www.ofsted.gov.uk/inspection-reports/find-inspection-report/provider/ELS/57860  ","Ofsted Webpage")</f>
        <v>Ofsted Webpage</v>
      </c>
      <c r="B473" s="151">
        <v>57860</v>
      </c>
      <c r="C473" s="151">
        <v>10012467</v>
      </c>
      <c r="D473" s="46" t="s">
        <v>451</v>
      </c>
      <c r="E473" s="26" t="s">
        <v>78</v>
      </c>
      <c r="F473" s="26" t="s">
        <v>79</v>
      </c>
      <c r="G473" s="26" t="s">
        <v>452</v>
      </c>
      <c r="H473" s="26" t="s">
        <v>219</v>
      </c>
      <c r="I473" s="26" t="s">
        <v>219</v>
      </c>
      <c r="J473" s="2" t="s">
        <v>72</v>
      </c>
      <c r="K473" s="141" t="s">
        <v>72</v>
      </c>
      <c r="L473" s="141">
        <v>10022514</v>
      </c>
      <c r="M473" s="26" t="s">
        <v>183</v>
      </c>
      <c r="N473" s="2">
        <v>42801</v>
      </c>
      <c r="O473" s="2">
        <v>42804</v>
      </c>
      <c r="P473" s="119">
        <v>42838</v>
      </c>
      <c r="Q473" s="6">
        <v>2</v>
      </c>
      <c r="R473" s="6">
        <v>2</v>
      </c>
      <c r="S473" s="6">
        <v>2</v>
      </c>
      <c r="T473" s="6">
        <v>2</v>
      </c>
      <c r="U473" s="6">
        <v>2</v>
      </c>
      <c r="V473" s="6" t="s">
        <v>453</v>
      </c>
      <c r="W473" s="5">
        <v>42181</v>
      </c>
      <c r="X473" s="6">
        <v>2</v>
      </c>
      <c r="Y473" s="6">
        <v>2</v>
      </c>
      <c r="Z473" s="6">
        <v>2</v>
      </c>
      <c r="AA473" s="6" t="s">
        <v>178</v>
      </c>
      <c r="AB473" s="6">
        <v>2</v>
      </c>
      <c r="AC473" s="6" t="s">
        <v>180</v>
      </c>
    </row>
    <row r="474" spans="1:29" x14ac:dyDescent="0.25">
      <c r="A474" s="145" t="str">
        <f>HYPERLINK("http://www.ofsted.gov.uk/inspection-reports/find-inspection-report/provider/ELS/57881  ","Ofsted Webpage")</f>
        <v>Ofsted Webpage</v>
      </c>
      <c r="B474" s="151">
        <v>57881</v>
      </c>
      <c r="C474" s="151">
        <v>10008935</v>
      </c>
      <c r="D474" s="46" t="s">
        <v>2182</v>
      </c>
      <c r="E474" s="26" t="s">
        <v>78</v>
      </c>
      <c r="F474" s="26" t="s">
        <v>79</v>
      </c>
      <c r="G474" s="26" t="s">
        <v>586</v>
      </c>
      <c r="H474" s="26" t="s">
        <v>204</v>
      </c>
      <c r="I474" s="26" t="s">
        <v>188</v>
      </c>
      <c r="J474" s="2">
        <v>42929</v>
      </c>
      <c r="K474" s="141">
        <v>1</v>
      </c>
      <c r="L474" s="141" t="s">
        <v>2183</v>
      </c>
      <c r="M474" s="26" t="s">
        <v>333</v>
      </c>
      <c r="N474" s="2">
        <v>41722</v>
      </c>
      <c r="O474" s="2">
        <v>41726</v>
      </c>
      <c r="P474" s="133">
        <v>41759</v>
      </c>
      <c r="Q474" s="6">
        <v>2</v>
      </c>
      <c r="R474" s="6">
        <v>1</v>
      </c>
      <c r="S474" s="6">
        <v>2</v>
      </c>
      <c r="T474" s="120" t="s">
        <v>178</v>
      </c>
      <c r="U474" s="6">
        <v>2</v>
      </c>
      <c r="V474" s="6" t="s">
        <v>2184</v>
      </c>
      <c r="W474" s="5">
        <v>39836</v>
      </c>
      <c r="X474" s="6">
        <v>2</v>
      </c>
      <c r="Y474" s="6">
        <v>2</v>
      </c>
      <c r="Z474" s="6">
        <v>3</v>
      </c>
      <c r="AA474" s="6" t="s">
        <v>178</v>
      </c>
      <c r="AB474" s="6">
        <v>3</v>
      </c>
      <c r="AC474" s="6" t="s">
        <v>180</v>
      </c>
    </row>
    <row r="475" spans="1:29" x14ac:dyDescent="0.25">
      <c r="A475" s="145" t="str">
        <f>HYPERLINK("http://www.ofsted.gov.uk/inspection-reports/find-inspection-report/provider/ELS/57907  ","Ofsted Webpage")</f>
        <v>Ofsted Webpage</v>
      </c>
      <c r="B475" s="151">
        <v>57907</v>
      </c>
      <c r="C475" s="151">
        <v>10003981</v>
      </c>
      <c r="D475" s="46" t="s">
        <v>2875</v>
      </c>
      <c r="E475" s="26" t="s">
        <v>78</v>
      </c>
      <c r="F475" s="26" t="s">
        <v>79</v>
      </c>
      <c r="G475" s="26" t="s">
        <v>203</v>
      </c>
      <c r="H475" s="26" t="s">
        <v>204</v>
      </c>
      <c r="I475" s="26" t="s">
        <v>188</v>
      </c>
      <c r="J475" s="2" t="s">
        <v>72</v>
      </c>
      <c r="K475" s="141" t="s">
        <v>72</v>
      </c>
      <c r="L475" s="141" t="s">
        <v>2876</v>
      </c>
      <c r="M475" s="26" t="s">
        <v>1217</v>
      </c>
      <c r="N475" s="2">
        <v>40029</v>
      </c>
      <c r="O475" s="2">
        <v>40032</v>
      </c>
      <c r="P475" s="133">
        <v>40077</v>
      </c>
      <c r="Q475" s="6">
        <v>3</v>
      </c>
      <c r="R475" s="6">
        <v>2</v>
      </c>
      <c r="S475" s="6">
        <v>3</v>
      </c>
      <c r="T475" s="120" t="s">
        <v>178</v>
      </c>
      <c r="U475" s="6">
        <v>3</v>
      </c>
      <c r="V475" s="6" t="s">
        <v>72</v>
      </c>
      <c r="W475" s="5" t="s">
        <v>72</v>
      </c>
      <c r="X475" s="6" t="s">
        <v>72</v>
      </c>
      <c r="Y475" s="6" t="s">
        <v>72</v>
      </c>
      <c r="Z475" s="6" t="s">
        <v>72</v>
      </c>
      <c r="AA475" s="6" t="s">
        <v>72</v>
      </c>
      <c r="AB475" s="6" t="s">
        <v>72</v>
      </c>
      <c r="AC475" s="6" t="s">
        <v>208</v>
      </c>
    </row>
    <row r="476" spans="1:29" x14ac:dyDescent="0.25">
      <c r="A476" s="145" t="str">
        <f>HYPERLINK("http://www.ofsted.gov.uk/inspection-reports/find-inspection-report/provider/ELS/57942  ","Ofsted Webpage")</f>
        <v>Ofsted Webpage</v>
      </c>
      <c r="B476" s="151">
        <v>57942</v>
      </c>
      <c r="C476" s="151">
        <v>10013515</v>
      </c>
      <c r="D476" s="46" t="s">
        <v>2190</v>
      </c>
      <c r="E476" s="26" t="s">
        <v>78</v>
      </c>
      <c r="F476" s="26" t="s">
        <v>79</v>
      </c>
      <c r="G476" s="26" t="s">
        <v>586</v>
      </c>
      <c r="H476" s="26" t="s">
        <v>204</v>
      </c>
      <c r="I476" s="26" t="s">
        <v>188</v>
      </c>
      <c r="J476" s="2" t="s">
        <v>72</v>
      </c>
      <c r="K476" s="141" t="s">
        <v>72</v>
      </c>
      <c r="L476" s="141">
        <v>10022491</v>
      </c>
      <c r="M476" s="26" t="s">
        <v>183</v>
      </c>
      <c r="N476" s="2">
        <v>42815</v>
      </c>
      <c r="O476" s="2">
        <v>42818</v>
      </c>
      <c r="P476" s="133">
        <v>42859</v>
      </c>
      <c r="Q476" s="6">
        <v>1</v>
      </c>
      <c r="R476" s="6">
        <v>1</v>
      </c>
      <c r="S476" s="6">
        <v>1</v>
      </c>
      <c r="T476" s="6">
        <v>1</v>
      </c>
      <c r="U476" s="6">
        <v>1</v>
      </c>
      <c r="V476" s="6" t="s">
        <v>2191</v>
      </c>
      <c r="W476" s="5">
        <v>41558</v>
      </c>
      <c r="X476" s="6">
        <v>2</v>
      </c>
      <c r="Y476" s="6">
        <v>2</v>
      </c>
      <c r="Z476" s="6">
        <v>2</v>
      </c>
      <c r="AA476" s="6" t="s">
        <v>178</v>
      </c>
      <c r="AB476" s="6">
        <v>2</v>
      </c>
      <c r="AC476" s="6" t="s">
        <v>216</v>
      </c>
    </row>
    <row r="477" spans="1:29" x14ac:dyDescent="0.25">
      <c r="A477" s="145" t="str">
        <f>HYPERLINK("http://www.ofsted.gov.uk/inspection-reports/find-inspection-report/provider/ELS/57951  ","Ofsted Webpage")</f>
        <v>Ofsted Webpage</v>
      </c>
      <c r="B477" s="151">
        <v>57951</v>
      </c>
      <c r="C477" s="151">
        <v>10011881</v>
      </c>
      <c r="D477" s="46" t="s">
        <v>1196</v>
      </c>
      <c r="E477" s="26" t="s">
        <v>80</v>
      </c>
      <c r="F477" s="26" t="s">
        <v>79</v>
      </c>
      <c r="G477" s="26" t="s">
        <v>477</v>
      </c>
      <c r="H477" s="26" t="s">
        <v>287</v>
      </c>
      <c r="I477" s="26" t="s">
        <v>287</v>
      </c>
      <c r="J477" s="2" t="s">
        <v>72</v>
      </c>
      <c r="K477" s="141" t="s">
        <v>72</v>
      </c>
      <c r="L477" s="141">
        <v>10020885</v>
      </c>
      <c r="M477" s="26" t="s">
        <v>1197</v>
      </c>
      <c r="N477" s="2">
        <v>42655</v>
      </c>
      <c r="O477" s="2">
        <v>42656</v>
      </c>
      <c r="P477" s="133">
        <v>42697</v>
      </c>
      <c r="Q477" s="6">
        <v>2</v>
      </c>
      <c r="R477" s="6">
        <v>2</v>
      </c>
      <c r="S477" s="6">
        <v>2</v>
      </c>
      <c r="T477" s="6">
        <v>2</v>
      </c>
      <c r="U477" s="6">
        <v>2</v>
      </c>
      <c r="V477" s="6">
        <v>10005044</v>
      </c>
      <c r="W477" s="5">
        <v>42348</v>
      </c>
      <c r="X477" s="6">
        <v>4</v>
      </c>
      <c r="Y477" s="6">
        <v>4</v>
      </c>
      <c r="Z477" s="6">
        <v>4</v>
      </c>
      <c r="AA477" s="6">
        <v>4</v>
      </c>
      <c r="AB477" s="6">
        <v>4</v>
      </c>
      <c r="AC477" s="6" t="s">
        <v>216</v>
      </c>
    </row>
    <row r="478" spans="1:29" x14ac:dyDescent="0.25">
      <c r="A478" s="145" t="str">
        <f>HYPERLINK("http://www.ofsted.gov.uk/inspection-reports/find-inspection-report/provider/ELS/57991  ","Ofsted Webpage")</f>
        <v>Ofsted Webpage</v>
      </c>
      <c r="B478" s="151">
        <v>57991</v>
      </c>
      <c r="C478" s="151">
        <v>10013658</v>
      </c>
      <c r="D478" s="46" t="s">
        <v>2896</v>
      </c>
      <c r="E478" s="26" t="s">
        <v>78</v>
      </c>
      <c r="F478" s="26" t="s">
        <v>79</v>
      </c>
      <c r="G478" s="26" t="s">
        <v>994</v>
      </c>
      <c r="H478" s="26" t="s">
        <v>187</v>
      </c>
      <c r="I478" s="26" t="s">
        <v>188</v>
      </c>
      <c r="J478" s="2" t="s">
        <v>72</v>
      </c>
      <c r="K478" s="141" t="s">
        <v>72</v>
      </c>
      <c r="L478" s="141" t="s">
        <v>72</v>
      </c>
      <c r="M478" s="26" t="s">
        <v>72</v>
      </c>
      <c r="N478" s="2" t="s">
        <v>72</v>
      </c>
      <c r="O478" s="2" t="s">
        <v>72</v>
      </c>
      <c r="P478" s="133" t="s">
        <v>72</v>
      </c>
      <c r="Q478" s="6" t="s">
        <v>72</v>
      </c>
      <c r="R478" s="6" t="s">
        <v>72</v>
      </c>
      <c r="S478" s="6" t="s">
        <v>72</v>
      </c>
      <c r="T478" s="6" t="s">
        <v>72</v>
      </c>
      <c r="U478" s="6" t="s">
        <v>72</v>
      </c>
      <c r="V478" s="6" t="s">
        <v>72</v>
      </c>
      <c r="W478" s="5" t="s">
        <v>72</v>
      </c>
      <c r="X478" s="6" t="s">
        <v>72</v>
      </c>
      <c r="Y478" s="6" t="s">
        <v>72</v>
      </c>
      <c r="Z478" s="6" t="s">
        <v>72</v>
      </c>
      <c r="AA478" s="6" t="s">
        <v>72</v>
      </c>
      <c r="AB478" s="6" t="s">
        <v>72</v>
      </c>
      <c r="AC478" s="6" t="s">
        <v>72</v>
      </c>
    </row>
    <row r="479" spans="1:29" x14ac:dyDescent="0.25">
      <c r="A479" s="145" t="str">
        <f>HYPERLINK("http://www.ofsted.gov.uk/inspection-reports/find-inspection-report/provider/ELS/58047  ","Ofsted Webpage")</f>
        <v>Ofsted Webpage</v>
      </c>
      <c r="B479" s="151">
        <v>58047</v>
      </c>
      <c r="C479" s="151">
        <v>10013042</v>
      </c>
      <c r="D479" s="46" t="s">
        <v>2619</v>
      </c>
      <c r="E479" s="26" t="s">
        <v>78</v>
      </c>
      <c r="F479" s="26" t="s">
        <v>79</v>
      </c>
      <c r="G479" s="26" t="s">
        <v>230</v>
      </c>
      <c r="H479" s="26" t="s">
        <v>187</v>
      </c>
      <c r="I479" s="26" t="s">
        <v>188</v>
      </c>
      <c r="J479" s="2" t="s">
        <v>72</v>
      </c>
      <c r="K479" s="141" t="s">
        <v>72</v>
      </c>
      <c r="L479" s="141">
        <v>10005045</v>
      </c>
      <c r="M479" s="26" t="s">
        <v>211</v>
      </c>
      <c r="N479" s="2">
        <v>42444</v>
      </c>
      <c r="O479" s="2">
        <v>42446</v>
      </c>
      <c r="P479" s="133">
        <v>42473</v>
      </c>
      <c r="Q479" s="6">
        <v>2</v>
      </c>
      <c r="R479" s="6">
        <v>2</v>
      </c>
      <c r="S479" s="6">
        <v>2</v>
      </c>
      <c r="T479" s="6">
        <v>2</v>
      </c>
      <c r="U479" s="6">
        <v>2</v>
      </c>
      <c r="V479" s="6" t="s">
        <v>2620</v>
      </c>
      <c r="W479" s="5">
        <v>41417</v>
      </c>
      <c r="X479" s="6">
        <v>2</v>
      </c>
      <c r="Y479" s="6">
        <v>2</v>
      </c>
      <c r="Z479" s="6">
        <v>2</v>
      </c>
      <c r="AA479" s="6" t="s">
        <v>178</v>
      </c>
      <c r="AB479" s="6">
        <v>2</v>
      </c>
      <c r="AC479" s="6" t="s">
        <v>180</v>
      </c>
    </row>
    <row r="480" spans="1:29" x14ac:dyDescent="0.25">
      <c r="A480" s="145" t="str">
        <f>HYPERLINK("http://www.ofsted.gov.uk/inspection-reports/find-inspection-report/provider/ELS/58054  ","Ofsted Webpage")</f>
        <v>Ofsted Webpage</v>
      </c>
      <c r="B480" s="151">
        <v>58054</v>
      </c>
      <c r="C480" s="151">
        <v>10005113</v>
      </c>
      <c r="D480" s="46" t="s">
        <v>363</v>
      </c>
      <c r="E480" s="26" t="s">
        <v>77</v>
      </c>
      <c r="F480" s="26" t="s">
        <v>76</v>
      </c>
      <c r="G480" s="26" t="s">
        <v>364</v>
      </c>
      <c r="H480" s="26" t="s">
        <v>219</v>
      </c>
      <c r="I480" s="26" t="s">
        <v>219</v>
      </c>
      <c r="J480" s="2" t="s">
        <v>72</v>
      </c>
      <c r="K480" s="141" t="s">
        <v>72</v>
      </c>
      <c r="L480" s="141">
        <v>10011560</v>
      </c>
      <c r="M480" s="26" t="s">
        <v>211</v>
      </c>
      <c r="N480" s="2">
        <v>42500</v>
      </c>
      <c r="O480" s="2">
        <v>42503</v>
      </c>
      <c r="P480" s="133">
        <v>42529</v>
      </c>
      <c r="Q480" s="6">
        <v>3</v>
      </c>
      <c r="R480" s="6">
        <v>3</v>
      </c>
      <c r="S480" s="6">
        <v>3</v>
      </c>
      <c r="T480" s="6">
        <v>3</v>
      </c>
      <c r="U480" s="6">
        <v>3</v>
      </c>
      <c r="V480" s="6" t="s">
        <v>365</v>
      </c>
      <c r="W480" s="5">
        <v>41208</v>
      </c>
      <c r="X480" s="6">
        <v>2</v>
      </c>
      <c r="Y480" s="6">
        <v>2</v>
      </c>
      <c r="Z480" s="6">
        <v>2</v>
      </c>
      <c r="AA480" s="6" t="s">
        <v>178</v>
      </c>
      <c r="AB480" s="6">
        <v>2</v>
      </c>
      <c r="AC480" s="6" t="s">
        <v>201</v>
      </c>
    </row>
    <row r="481" spans="1:29" x14ac:dyDescent="0.25">
      <c r="A481" s="145" t="str">
        <f>HYPERLINK("http://www.ofsted.gov.uk/inspection-reports/find-inspection-report/provider/ELS/58118  ","Ofsted Webpage")</f>
        <v>Ofsted Webpage</v>
      </c>
      <c r="B481" s="151">
        <v>58118</v>
      </c>
      <c r="C481" s="151">
        <v>10008591</v>
      </c>
      <c r="D481" s="46" t="s">
        <v>1473</v>
      </c>
      <c r="E481" s="26" t="s">
        <v>77</v>
      </c>
      <c r="F481" s="26" t="s">
        <v>76</v>
      </c>
      <c r="G481" s="26" t="s">
        <v>914</v>
      </c>
      <c r="H481" s="26" t="s">
        <v>187</v>
      </c>
      <c r="I481" s="26" t="s">
        <v>188</v>
      </c>
      <c r="J481" s="2">
        <v>43020</v>
      </c>
      <c r="K481" s="141">
        <v>1</v>
      </c>
      <c r="L481" s="141" t="s">
        <v>1474</v>
      </c>
      <c r="M481" s="26" t="s">
        <v>342</v>
      </c>
      <c r="N481" s="2">
        <v>41757</v>
      </c>
      <c r="O481" s="2">
        <v>41761</v>
      </c>
      <c r="P481" s="133">
        <v>41797</v>
      </c>
      <c r="Q481" s="6">
        <v>2</v>
      </c>
      <c r="R481" s="6">
        <v>2</v>
      </c>
      <c r="S481" s="6">
        <v>2</v>
      </c>
      <c r="T481" s="120" t="s">
        <v>178</v>
      </c>
      <c r="U481" s="6">
        <v>2</v>
      </c>
      <c r="V481" s="6" t="s">
        <v>1475</v>
      </c>
      <c r="W481" s="5">
        <v>41250</v>
      </c>
      <c r="X481" s="6">
        <v>3</v>
      </c>
      <c r="Y481" s="6">
        <v>3</v>
      </c>
      <c r="Z481" s="6">
        <v>3</v>
      </c>
      <c r="AA481" s="6" t="s">
        <v>178</v>
      </c>
      <c r="AB481" s="6">
        <v>3</v>
      </c>
      <c r="AC481" s="6" t="s">
        <v>216</v>
      </c>
    </row>
    <row r="482" spans="1:29" x14ac:dyDescent="0.25">
      <c r="A482" s="145" t="str">
        <f>HYPERLINK("http://www.ofsted.gov.uk/inspection-reports/find-inspection-report/provider/ELS/58132  ","Ofsted Webpage")</f>
        <v>Ofsted Webpage</v>
      </c>
      <c r="B482" s="131">
        <v>58132</v>
      </c>
      <c r="C482" s="131">
        <v>10007722</v>
      </c>
      <c r="D482" s="46" t="s">
        <v>2406</v>
      </c>
      <c r="E482" s="26" t="s">
        <v>78</v>
      </c>
      <c r="F482" s="26" t="s">
        <v>79</v>
      </c>
      <c r="G482" s="26" t="s">
        <v>186</v>
      </c>
      <c r="H482" s="26" t="s">
        <v>187</v>
      </c>
      <c r="I482" s="26" t="s">
        <v>188</v>
      </c>
      <c r="J482" s="2" t="s">
        <v>72</v>
      </c>
      <c r="K482" s="26" t="s">
        <v>72</v>
      </c>
      <c r="L482" s="26" t="s">
        <v>2407</v>
      </c>
      <c r="M482" s="26" t="s">
        <v>342</v>
      </c>
      <c r="N482" s="2">
        <v>42156</v>
      </c>
      <c r="O482" s="2">
        <v>42160</v>
      </c>
      <c r="P482" s="2">
        <v>42193</v>
      </c>
      <c r="Q482" s="6">
        <v>2</v>
      </c>
      <c r="R482" s="6">
        <v>2</v>
      </c>
      <c r="S482" s="6">
        <v>2</v>
      </c>
      <c r="T482" s="120" t="s">
        <v>178</v>
      </c>
      <c r="U482" s="6">
        <v>2</v>
      </c>
      <c r="V482" s="6" t="s">
        <v>2408</v>
      </c>
      <c r="W482" s="5">
        <v>41621</v>
      </c>
      <c r="X482" s="6">
        <v>3</v>
      </c>
      <c r="Y482" s="6">
        <v>3</v>
      </c>
      <c r="Z482" s="6">
        <v>3</v>
      </c>
      <c r="AA482" s="6" t="s">
        <v>178</v>
      </c>
      <c r="AB482" s="6">
        <v>3</v>
      </c>
      <c r="AC482" s="6" t="s">
        <v>216</v>
      </c>
    </row>
    <row r="483" spans="1:29" x14ac:dyDescent="0.25">
      <c r="A483" s="145" t="str">
        <f>HYPERLINK("http://www.ofsted.gov.uk/inspection-reports/find-inspection-report/provider/ELS/58137  ","Ofsted Webpage")</f>
        <v>Ofsted Webpage</v>
      </c>
      <c r="B483" s="151">
        <v>58137</v>
      </c>
      <c r="C483" s="151">
        <v>10010586</v>
      </c>
      <c r="D483" s="46" t="s">
        <v>2929</v>
      </c>
      <c r="E483" s="26" t="s">
        <v>78</v>
      </c>
      <c r="F483" s="26" t="s">
        <v>79</v>
      </c>
      <c r="G483" s="26" t="s">
        <v>361</v>
      </c>
      <c r="H483" s="26" t="s">
        <v>198</v>
      </c>
      <c r="I483" s="26" t="s">
        <v>198</v>
      </c>
      <c r="J483" s="2" t="s">
        <v>72</v>
      </c>
      <c r="K483" s="141" t="s">
        <v>72</v>
      </c>
      <c r="L483" s="141" t="s">
        <v>72</v>
      </c>
      <c r="M483" s="26" t="s">
        <v>72</v>
      </c>
      <c r="N483" s="2" t="s">
        <v>72</v>
      </c>
      <c r="O483" s="2" t="s">
        <v>72</v>
      </c>
      <c r="P483" s="133" t="s">
        <v>72</v>
      </c>
      <c r="Q483" s="6" t="s">
        <v>72</v>
      </c>
      <c r="R483" s="6" t="s">
        <v>72</v>
      </c>
      <c r="S483" s="6" t="s">
        <v>72</v>
      </c>
      <c r="T483" s="6" t="s">
        <v>72</v>
      </c>
      <c r="U483" s="6" t="s">
        <v>72</v>
      </c>
      <c r="V483" s="6" t="s">
        <v>72</v>
      </c>
      <c r="W483" s="5" t="s">
        <v>72</v>
      </c>
      <c r="X483" s="6" t="s">
        <v>72</v>
      </c>
      <c r="Y483" s="6" t="s">
        <v>72</v>
      </c>
      <c r="Z483" s="6" t="s">
        <v>72</v>
      </c>
      <c r="AA483" s="6" t="s">
        <v>72</v>
      </c>
      <c r="AB483" s="6" t="s">
        <v>72</v>
      </c>
      <c r="AC483" s="6" t="s">
        <v>72</v>
      </c>
    </row>
    <row r="484" spans="1:29" x14ac:dyDescent="0.25">
      <c r="A484" s="145" t="str">
        <f>HYPERLINK("http://www.ofsted.gov.uk/inspection-reports/find-inspection-report/provider/ELS/58159  ","Ofsted Webpage")</f>
        <v>Ofsted Webpage</v>
      </c>
      <c r="B484" s="151">
        <v>58159</v>
      </c>
      <c r="C484" s="151">
        <v>10006651</v>
      </c>
      <c r="D484" s="46" t="s">
        <v>484</v>
      </c>
      <c r="E484" s="26" t="s">
        <v>78</v>
      </c>
      <c r="F484" s="26" t="s">
        <v>79</v>
      </c>
      <c r="G484" s="26" t="s">
        <v>324</v>
      </c>
      <c r="H484" s="26" t="s">
        <v>214</v>
      </c>
      <c r="I484" s="26" t="s">
        <v>214</v>
      </c>
      <c r="J484" s="2" t="s">
        <v>72</v>
      </c>
      <c r="K484" s="141" t="s">
        <v>72</v>
      </c>
      <c r="L484" s="141">
        <v>10005046</v>
      </c>
      <c r="M484" s="26" t="s">
        <v>475</v>
      </c>
      <c r="N484" s="2">
        <v>42318</v>
      </c>
      <c r="O484" s="2">
        <v>42321</v>
      </c>
      <c r="P484" s="133">
        <v>42340</v>
      </c>
      <c r="Q484" s="6">
        <v>2</v>
      </c>
      <c r="R484" s="6">
        <v>2</v>
      </c>
      <c r="S484" s="6">
        <v>2</v>
      </c>
      <c r="T484" s="6">
        <v>2</v>
      </c>
      <c r="U484" s="6">
        <v>2</v>
      </c>
      <c r="V484" s="6" t="s">
        <v>485</v>
      </c>
      <c r="W484" s="5">
        <v>41586</v>
      </c>
      <c r="X484" s="6">
        <v>3</v>
      </c>
      <c r="Y484" s="6">
        <v>3</v>
      </c>
      <c r="Z484" s="6">
        <v>3</v>
      </c>
      <c r="AA484" s="6" t="s">
        <v>178</v>
      </c>
      <c r="AB484" s="6">
        <v>3</v>
      </c>
      <c r="AC484" s="6" t="s">
        <v>216</v>
      </c>
    </row>
    <row r="485" spans="1:29" x14ac:dyDescent="0.25">
      <c r="A485" s="145" t="str">
        <f>HYPERLINK("http://www.ofsted.gov.uk/inspection-reports/find-inspection-report/provider/ELS/58160  ","Ofsted Webpage")</f>
        <v>Ofsted Webpage</v>
      </c>
      <c r="B485" s="151">
        <v>58160</v>
      </c>
      <c r="C485" s="151">
        <v>10003231</v>
      </c>
      <c r="D485" s="46" t="s">
        <v>2444</v>
      </c>
      <c r="E485" s="26" t="s">
        <v>78</v>
      </c>
      <c r="F485" s="26" t="s">
        <v>79</v>
      </c>
      <c r="G485" s="26" t="s">
        <v>379</v>
      </c>
      <c r="H485" s="26" t="s">
        <v>175</v>
      </c>
      <c r="I485" s="26" t="s">
        <v>175</v>
      </c>
      <c r="J485" s="2" t="s">
        <v>72</v>
      </c>
      <c r="K485" s="141" t="s">
        <v>72</v>
      </c>
      <c r="L485" s="141" t="s">
        <v>2445</v>
      </c>
      <c r="M485" s="26" t="s">
        <v>333</v>
      </c>
      <c r="N485" s="2">
        <v>40988</v>
      </c>
      <c r="O485" s="2">
        <v>40991</v>
      </c>
      <c r="P485" s="119">
        <v>41030</v>
      </c>
      <c r="Q485" s="6">
        <v>2</v>
      </c>
      <c r="R485" s="6">
        <v>2</v>
      </c>
      <c r="S485" s="6">
        <v>3</v>
      </c>
      <c r="T485" s="120" t="s">
        <v>178</v>
      </c>
      <c r="U485" s="6">
        <v>2</v>
      </c>
      <c r="V485" s="6" t="s">
        <v>2446</v>
      </c>
      <c r="W485" s="5">
        <v>39793</v>
      </c>
      <c r="X485" s="6">
        <v>2</v>
      </c>
      <c r="Y485" s="6">
        <v>2</v>
      </c>
      <c r="Z485" s="6">
        <v>3</v>
      </c>
      <c r="AA485" s="6" t="s">
        <v>178</v>
      </c>
      <c r="AB485" s="6">
        <v>2</v>
      </c>
      <c r="AC485" s="6" t="s">
        <v>180</v>
      </c>
    </row>
    <row r="486" spans="1:29" x14ac:dyDescent="0.25">
      <c r="A486" s="145" t="str">
        <f>HYPERLINK("http://www.ofsted.gov.uk/inspection-reports/find-inspection-report/provider/ELS/58161  ","Ofsted Webpage")</f>
        <v>Ofsted Webpage</v>
      </c>
      <c r="B486" s="151">
        <v>58161</v>
      </c>
      <c r="C486" s="151">
        <v>10004807</v>
      </c>
      <c r="D486" s="46" t="s">
        <v>2192</v>
      </c>
      <c r="E486" s="26" t="s">
        <v>78</v>
      </c>
      <c r="F486" s="26" t="s">
        <v>79</v>
      </c>
      <c r="G486" s="26" t="s">
        <v>331</v>
      </c>
      <c r="H486" s="26" t="s">
        <v>214</v>
      </c>
      <c r="I486" s="26" t="s">
        <v>214</v>
      </c>
      <c r="J486" s="2" t="s">
        <v>72</v>
      </c>
      <c r="K486" s="141" t="s">
        <v>72</v>
      </c>
      <c r="L486" s="141">
        <v>10030709</v>
      </c>
      <c r="M486" s="26" t="s">
        <v>475</v>
      </c>
      <c r="N486" s="2">
        <v>42864</v>
      </c>
      <c r="O486" s="2">
        <v>42867</v>
      </c>
      <c r="P486" s="133">
        <v>42886</v>
      </c>
      <c r="Q486" s="6">
        <v>3</v>
      </c>
      <c r="R486" s="6">
        <v>3</v>
      </c>
      <c r="S486" s="6">
        <v>3</v>
      </c>
      <c r="T486" s="6">
        <v>3</v>
      </c>
      <c r="U486" s="6">
        <v>3</v>
      </c>
      <c r="V486" s="6">
        <v>10005048</v>
      </c>
      <c r="W486" s="5">
        <v>42286</v>
      </c>
      <c r="X486" s="6">
        <v>3</v>
      </c>
      <c r="Y486" s="6">
        <v>3</v>
      </c>
      <c r="Z486" s="6">
        <v>3</v>
      </c>
      <c r="AA486" s="6">
        <v>3</v>
      </c>
      <c r="AB486" s="6">
        <v>3</v>
      </c>
      <c r="AC486" s="6" t="s">
        <v>180</v>
      </c>
    </row>
    <row r="487" spans="1:29" x14ac:dyDescent="0.25">
      <c r="A487" s="145" t="str">
        <f>HYPERLINK("http://www.ofsted.gov.uk/inspection-reports/find-inspection-report/provider/ELS/58163  ","Ofsted Webpage")</f>
        <v>Ofsted Webpage</v>
      </c>
      <c r="B487" s="151">
        <v>58163</v>
      </c>
      <c r="C487" s="151">
        <v>10008135</v>
      </c>
      <c r="D487" s="46" t="s">
        <v>2657</v>
      </c>
      <c r="E487" s="26" t="s">
        <v>78</v>
      </c>
      <c r="F487" s="26" t="s">
        <v>79</v>
      </c>
      <c r="G487" s="26" t="s">
        <v>723</v>
      </c>
      <c r="H487" s="26" t="s">
        <v>204</v>
      </c>
      <c r="I487" s="26" t="s">
        <v>188</v>
      </c>
      <c r="J487" s="2">
        <v>42922</v>
      </c>
      <c r="K487" s="141">
        <v>1</v>
      </c>
      <c r="L487" s="141" t="s">
        <v>2658</v>
      </c>
      <c r="M487" s="26" t="s">
        <v>466</v>
      </c>
      <c r="N487" s="2">
        <v>41792</v>
      </c>
      <c r="O487" s="2">
        <v>41795</v>
      </c>
      <c r="P487" s="133">
        <v>41828</v>
      </c>
      <c r="Q487" s="6">
        <v>2</v>
      </c>
      <c r="R487" s="6">
        <v>2</v>
      </c>
      <c r="S487" s="6">
        <v>2</v>
      </c>
      <c r="T487" s="120" t="s">
        <v>178</v>
      </c>
      <c r="U487" s="6">
        <v>2</v>
      </c>
      <c r="V487" s="6" t="s">
        <v>2659</v>
      </c>
      <c r="W487" s="5">
        <v>41109</v>
      </c>
      <c r="X487" s="6">
        <v>3</v>
      </c>
      <c r="Y487" s="6">
        <v>3</v>
      </c>
      <c r="Z487" s="6">
        <v>3</v>
      </c>
      <c r="AA487" s="6" t="s">
        <v>178</v>
      </c>
      <c r="AB487" s="6">
        <v>3</v>
      </c>
      <c r="AC487" s="6" t="s">
        <v>216</v>
      </c>
    </row>
    <row r="488" spans="1:29" x14ac:dyDescent="0.25">
      <c r="A488" s="145" t="str">
        <f>HYPERLINK("http://www.ofsted.gov.uk/inspection-reports/find-inspection-report/provider/ELS/58166  ","Ofsted Webpage")</f>
        <v>Ofsted Webpage</v>
      </c>
      <c r="B488" s="151">
        <v>58166</v>
      </c>
      <c r="C488" s="151">
        <v>10010672</v>
      </c>
      <c r="D488" s="46" t="s">
        <v>2737</v>
      </c>
      <c r="E488" s="26" t="s">
        <v>78</v>
      </c>
      <c r="F488" s="26" t="s">
        <v>79</v>
      </c>
      <c r="G488" s="26" t="s">
        <v>2738</v>
      </c>
      <c r="H488" s="26" t="s">
        <v>2441</v>
      </c>
      <c r="I488" s="26" t="s">
        <v>175</v>
      </c>
      <c r="J488" s="2" t="s">
        <v>72</v>
      </c>
      <c r="K488" s="141" t="s">
        <v>72</v>
      </c>
      <c r="L488" s="141">
        <v>10011524</v>
      </c>
      <c r="M488" s="26" t="s">
        <v>183</v>
      </c>
      <c r="N488" s="2">
        <v>42465</v>
      </c>
      <c r="O488" s="2">
        <v>42468</v>
      </c>
      <c r="P488" s="133">
        <v>42501</v>
      </c>
      <c r="Q488" s="6">
        <v>2</v>
      </c>
      <c r="R488" s="6">
        <v>2</v>
      </c>
      <c r="S488" s="6">
        <v>2</v>
      </c>
      <c r="T488" s="6">
        <v>2</v>
      </c>
      <c r="U488" s="6">
        <v>2</v>
      </c>
      <c r="V488" s="6" t="s">
        <v>2739</v>
      </c>
      <c r="W488" s="5">
        <v>41243</v>
      </c>
      <c r="X488" s="6">
        <v>2</v>
      </c>
      <c r="Y488" s="6">
        <v>2</v>
      </c>
      <c r="Z488" s="6">
        <v>2</v>
      </c>
      <c r="AA488" s="6" t="s">
        <v>178</v>
      </c>
      <c r="AB488" s="6">
        <v>3</v>
      </c>
      <c r="AC488" s="6" t="s">
        <v>180</v>
      </c>
    </row>
    <row r="489" spans="1:29" x14ac:dyDescent="0.25">
      <c r="A489" s="145" t="str">
        <f>HYPERLINK("http://www.ofsted.gov.uk/inspection-reports/find-inspection-report/provider/ELS/58168  ","Ofsted Webpage")</f>
        <v>Ofsted Webpage</v>
      </c>
      <c r="B489" s="151">
        <v>58168</v>
      </c>
      <c r="C489" s="151">
        <v>10010939</v>
      </c>
      <c r="D489" s="46" t="s">
        <v>2735</v>
      </c>
      <c r="E489" s="26" t="s">
        <v>78</v>
      </c>
      <c r="F489" s="26" t="s">
        <v>79</v>
      </c>
      <c r="G489" s="26" t="s">
        <v>504</v>
      </c>
      <c r="H489" s="26" t="s">
        <v>214</v>
      </c>
      <c r="I489" s="26" t="s">
        <v>214</v>
      </c>
      <c r="J489" s="2" t="s">
        <v>72</v>
      </c>
      <c r="K489" s="141" t="s">
        <v>72</v>
      </c>
      <c r="L489" s="141">
        <v>10030705</v>
      </c>
      <c r="M489" s="26" t="s">
        <v>183</v>
      </c>
      <c r="N489" s="2">
        <v>42899</v>
      </c>
      <c r="O489" s="2">
        <v>42902</v>
      </c>
      <c r="P489" s="133">
        <v>42935</v>
      </c>
      <c r="Q489" s="6">
        <v>3</v>
      </c>
      <c r="R489" s="6">
        <v>3</v>
      </c>
      <c r="S489" s="6">
        <v>3</v>
      </c>
      <c r="T489" s="6">
        <v>3</v>
      </c>
      <c r="U489" s="6">
        <v>3</v>
      </c>
      <c r="V489" s="6" t="s">
        <v>2736</v>
      </c>
      <c r="W489" s="5">
        <v>41915</v>
      </c>
      <c r="X489" s="6">
        <v>2</v>
      </c>
      <c r="Y489" s="6">
        <v>2</v>
      </c>
      <c r="Z489" s="6">
        <v>2</v>
      </c>
      <c r="AA489" s="6" t="s">
        <v>178</v>
      </c>
      <c r="AB489" s="6">
        <v>2</v>
      </c>
      <c r="AC489" s="6" t="s">
        <v>201</v>
      </c>
    </row>
    <row r="490" spans="1:29" x14ac:dyDescent="0.25">
      <c r="A490" s="145" t="str">
        <f>HYPERLINK("http://www.ofsted.gov.uk/inspection-reports/find-inspection-report/provider/ELS/58176  ","Ofsted Webpage")</f>
        <v>Ofsted Webpage</v>
      </c>
      <c r="B490" s="151">
        <v>58176</v>
      </c>
      <c r="C490" s="151">
        <v>10011240</v>
      </c>
      <c r="D490" s="46" t="s">
        <v>335</v>
      </c>
      <c r="E490" s="26" t="s">
        <v>80</v>
      </c>
      <c r="F490" s="26" t="s">
        <v>79</v>
      </c>
      <c r="G490" s="26" t="s">
        <v>336</v>
      </c>
      <c r="H490" s="26" t="s">
        <v>175</v>
      </c>
      <c r="I490" s="26" t="s">
        <v>175</v>
      </c>
      <c r="J490" s="2" t="s">
        <v>72</v>
      </c>
      <c r="K490" s="141" t="s">
        <v>72</v>
      </c>
      <c r="L490" s="141" t="s">
        <v>337</v>
      </c>
      <c r="M490" s="26" t="s">
        <v>333</v>
      </c>
      <c r="N490" s="2">
        <v>41491</v>
      </c>
      <c r="O490" s="2">
        <v>41495</v>
      </c>
      <c r="P490" s="133">
        <v>41523</v>
      </c>
      <c r="Q490" s="6">
        <v>2</v>
      </c>
      <c r="R490" s="6">
        <v>2</v>
      </c>
      <c r="S490" s="6">
        <v>2</v>
      </c>
      <c r="T490" s="120" t="s">
        <v>178</v>
      </c>
      <c r="U490" s="6">
        <v>2</v>
      </c>
      <c r="V490" s="6" t="s">
        <v>338</v>
      </c>
      <c r="W490" s="5">
        <v>39689</v>
      </c>
      <c r="X490" s="6">
        <v>2</v>
      </c>
      <c r="Y490" s="6">
        <v>2</v>
      </c>
      <c r="Z490" s="6">
        <v>2</v>
      </c>
      <c r="AA490" s="6" t="s">
        <v>178</v>
      </c>
      <c r="AB490" s="6">
        <v>2</v>
      </c>
      <c r="AC490" s="6" t="s">
        <v>180</v>
      </c>
    </row>
    <row r="491" spans="1:29" x14ac:dyDescent="0.25">
      <c r="A491" s="145" t="str">
        <f>HYPERLINK("http://www.ofsted.gov.uk/inspection-reports/find-inspection-report/provider/ELS/58177  ","Ofsted Webpage")</f>
        <v>Ofsted Webpage</v>
      </c>
      <c r="B491" s="151">
        <v>58177</v>
      </c>
      <c r="C491" s="151">
        <v>10001149</v>
      </c>
      <c r="D491" s="46" t="s">
        <v>181</v>
      </c>
      <c r="E491" s="26" t="s">
        <v>80</v>
      </c>
      <c r="F491" s="26" t="s">
        <v>79</v>
      </c>
      <c r="G491" s="26" t="s">
        <v>182</v>
      </c>
      <c r="H491" s="26" t="s">
        <v>175</v>
      </c>
      <c r="I491" s="26" t="s">
        <v>175</v>
      </c>
      <c r="J491" s="2" t="s">
        <v>72</v>
      </c>
      <c r="K491" s="141" t="s">
        <v>72</v>
      </c>
      <c r="L491" s="141">
        <v>10022581</v>
      </c>
      <c r="M491" s="26" t="s">
        <v>183</v>
      </c>
      <c r="N491" s="2">
        <v>42990</v>
      </c>
      <c r="O491" s="2">
        <v>42993</v>
      </c>
      <c r="P491" s="133">
        <v>43028</v>
      </c>
      <c r="Q491" s="6">
        <v>2</v>
      </c>
      <c r="R491" s="6">
        <v>2</v>
      </c>
      <c r="S491" s="6">
        <v>2</v>
      </c>
      <c r="T491" s="6">
        <v>1</v>
      </c>
      <c r="U491" s="6">
        <v>2</v>
      </c>
      <c r="V491" s="6" t="s">
        <v>184</v>
      </c>
      <c r="W491" s="5">
        <v>41208</v>
      </c>
      <c r="X491" s="6">
        <v>2</v>
      </c>
      <c r="Y491" s="6">
        <v>2</v>
      </c>
      <c r="Z491" s="6">
        <v>2</v>
      </c>
      <c r="AA491" s="6" t="s">
        <v>178</v>
      </c>
      <c r="AB491" s="6">
        <v>2</v>
      </c>
      <c r="AC491" s="6" t="s">
        <v>180</v>
      </c>
    </row>
    <row r="492" spans="1:29" x14ac:dyDescent="0.25">
      <c r="A492" s="145" t="str">
        <f>HYPERLINK("http://www.ofsted.gov.uk/inspection-reports/find-inspection-report/provider/ELS/58178  ","Ofsted Webpage")</f>
        <v>Ofsted Webpage</v>
      </c>
      <c r="B492" s="151">
        <v>58178</v>
      </c>
      <c r="C492" s="151">
        <v>10013548</v>
      </c>
      <c r="D492" s="46" t="s">
        <v>2671</v>
      </c>
      <c r="E492" s="26" t="s">
        <v>78</v>
      </c>
      <c r="F492" s="26" t="s">
        <v>79</v>
      </c>
      <c r="G492" s="26" t="s">
        <v>283</v>
      </c>
      <c r="H492" s="26" t="s">
        <v>175</v>
      </c>
      <c r="I492" s="26" t="s">
        <v>175</v>
      </c>
      <c r="J492" s="2">
        <v>42425</v>
      </c>
      <c r="K492" s="141">
        <v>1</v>
      </c>
      <c r="L492" s="141" t="s">
        <v>2672</v>
      </c>
      <c r="M492" s="26" t="s">
        <v>333</v>
      </c>
      <c r="N492" s="2">
        <v>40505</v>
      </c>
      <c r="O492" s="2">
        <v>40508</v>
      </c>
      <c r="P492" s="133">
        <v>40547</v>
      </c>
      <c r="Q492" s="6">
        <v>2</v>
      </c>
      <c r="R492" s="6">
        <v>2</v>
      </c>
      <c r="S492" s="6">
        <v>3</v>
      </c>
      <c r="T492" s="120" t="s">
        <v>178</v>
      </c>
      <c r="U492" s="6">
        <v>2</v>
      </c>
      <c r="V492" s="6" t="s">
        <v>2673</v>
      </c>
      <c r="W492" s="5">
        <v>39556</v>
      </c>
      <c r="X492" s="6">
        <v>3</v>
      </c>
      <c r="Y492" s="6">
        <v>3</v>
      </c>
      <c r="Z492" s="6">
        <v>3</v>
      </c>
      <c r="AA492" s="6" t="s">
        <v>178</v>
      </c>
      <c r="AB492" s="6">
        <v>3</v>
      </c>
      <c r="AC492" s="6" t="s">
        <v>216</v>
      </c>
    </row>
    <row r="493" spans="1:29" x14ac:dyDescent="0.25">
      <c r="A493" s="145" t="str">
        <f>HYPERLINK("http://www.ofsted.gov.uk/inspection-reports/find-inspection-report/provider/ELS/58179  ","Ofsted Webpage")</f>
        <v>Ofsted Webpage</v>
      </c>
      <c r="B493" s="151">
        <v>58179</v>
      </c>
      <c r="C493" s="151">
        <v>10014199</v>
      </c>
      <c r="D493" s="46" t="s">
        <v>863</v>
      </c>
      <c r="E493" s="26" t="s">
        <v>80</v>
      </c>
      <c r="F493" s="26" t="s">
        <v>79</v>
      </c>
      <c r="G493" s="26" t="s">
        <v>299</v>
      </c>
      <c r="H493" s="26" t="s">
        <v>175</v>
      </c>
      <c r="I493" s="26" t="s">
        <v>175</v>
      </c>
      <c r="J493" s="2" t="s">
        <v>72</v>
      </c>
      <c r="K493" s="141" t="s">
        <v>72</v>
      </c>
      <c r="L493" s="141">
        <v>10022560</v>
      </c>
      <c r="M493" s="26" t="s">
        <v>864</v>
      </c>
      <c r="N493" s="2">
        <v>42814</v>
      </c>
      <c r="O493" s="2">
        <v>42817</v>
      </c>
      <c r="P493" s="133">
        <v>42846</v>
      </c>
      <c r="Q493" s="6">
        <v>2</v>
      </c>
      <c r="R493" s="6">
        <v>2</v>
      </c>
      <c r="S493" s="6">
        <v>2</v>
      </c>
      <c r="T493" s="6">
        <v>2</v>
      </c>
      <c r="U493" s="6">
        <v>2</v>
      </c>
      <c r="V493" s="6" t="s">
        <v>865</v>
      </c>
      <c r="W493" s="5">
        <v>42118</v>
      </c>
      <c r="X493" s="6">
        <v>3</v>
      </c>
      <c r="Y493" s="6">
        <v>3</v>
      </c>
      <c r="Z493" s="6">
        <v>3</v>
      </c>
      <c r="AA493" s="6" t="s">
        <v>178</v>
      </c>
      <c r="AB493" s="6">
        <v>3</v>
      </c>
      <c r="AC493" s="6" t="s">
        <v>216</v>
      </c>
    </row>
    <row r="494" spans="1:29" x14ac:dyDescent="0.25">
      <c r="A494" s="145" t="str">
        <f>HYPERLINK("http://www.ofsted.gov.uk/inspection-reports/find-inspection-report/provider/ELS/58182  ","Ofsted Webpage")</f>
        <v>Ofsted Webpage</v>
      </c>
      <c r="B494" s="151">
        <v>58182</v>
      </c>
      <c r="C494" s="151">
        <v>10022654</v>
      </c>
      <c r="D494" s="46" t="s">
        <v>2179</v>
      </c>
      <c r="E494" s="26" t="s">
        <v>78</v>
      </c>
      <c r="F494" s="26" t="s">
        <v>79</v>
      </c>
      <c r="G494" s="26" t="s">
        <v>1186</v>
      </c>
      <c r="H494" s="26" t="s">
        <v>175</v>
      </c>
      <c r="I494" s="26" t="s">
        <v>175</v>
      </c>
      <c r="J494" s="2" t="s">
        <v>72</v>
      </c>
      <c r="K494" s="141" t="s">
        <v>72</v>
      </c>
      <c r="L494" s="141" t="s">
        <v>2180</v>
      </c>
      <c r="M494" s="26" t="s">
        <v>333</v>
      </c>
      <c r="N494" s="2">
        <v>41918</v>
      </c>
      <c r="O494" s="2">
        <v>41922</v>
      </c>
      <c r="P494" s="133">
        <v>41960</v>
      </c>
      <c r="Q494" s="6">
        <v>1</v>
      </c>
      <c r="R494" s="6">
        <v>1</v>
      </c>
      <c r="S494" s="6">
        <v>1</v>
      </c>
      <c r="T494" s="120" t="s">
        <v>178</v>
      </c>
      <c r="U494" s="6">
        <v>1</v>
      </c>
      <c r="V494" s="6" t="s">
        <v>2181</v>
      </c>
      <c r="W494" s="5">
        <v>39765</v>
      </c>
      <c r="X494" s="6">
        <v>2</v>
      </c>
      <c r="Y494" s="6">
        <v>2</v>
      </c>
      <c r="Z494" s="6">
        <v>2</v>
      </c>
      <c r="AA494" s="6" t="s">
        <v>178</v>
      </c>
      <c r="AB494" s="6">
        <v>2</v>
      </c>
      <c r="AC494" s="6" t="s">
        <v>216</v>
      </c>
    </row>
    <row r="495" spans="1:29" x14ac:dyDescent="0.25">
      <c r="A495" s="145" t="str">
        <f>HYPERLINK("http://www.ofsted.gov.uk/inspection-reports/find-inspection-report/provider/ELS/58184  ","Ofsted Webpage")</f>
        <v>Ofsted Webpage</v>
      </c>
      <c r="B495" s="151">
        <v>58184</v>
      </c>
      <c r="C495" s="151">
        <v>10032145</v>
      </c>
      <c r="D495" s="46" t="s">
        <v>1433</v>
      </c>
      <c r="E495" s="26" t="s">
        <v>80</v>
      </c>
      <c r="F495" s="26" t="s">
        <v>79</v>
      </c>
      <c r="G495" s="26" t="s">
        <v>910</v>
      </c>
      <c r="H495" s="26" t="s">
        <v>287</v>
      </c>
      <c r="I495" s="26" t="s">
        <v>287</v>
      </c>
      <c r="J495" s="2" t="s">
        <v>72</v>
      </c>
      <c r="K495" s="141" t="s">
        <v>72</v>
      </c>
      <c r="L495" s="141" t="s">
        <v>1434</v>
      </c>
      <c r="M495" s="26" t="s">
        <v>333</v>
      </c>
      <c r="N495" s="2">
        <v>42086</v>
      </c>
      <c r="O495" s="2">
        <v>42090</v>
      </c>
      <c r="P495" s="133">
        <v>42124</v>
      </c>
      <c r="Q495" s="6">
        <v>1</v>
      </c>
      <c r="R495" s="6">
        <v>1</v>
      </c>
      <c r="S495" s="6">
        <v>1</v>
      </c>
      <c r="T495" s="120" t="s">
        <v>178</v>
      </c>
      <c r="U495" s="6">
        <v>1</v>
      </c>
      <c r="V495" s="6" t="s">
        <v>1435</v>
      </c>
      <c r="W495" s="5">
        <v>39983</v>
      </c>
      <c r="X495" s="6">
        <v>2</v>
      </c>
      <c r="Y495" s="6">
        <v>3</v>
      </c>
      <c r="Z495" s="6">
        <v>2</v>
      </c>
      <c r="AA495" s="6" t="s">
        <v>178</v>
      </c>
      <c r="AB495" s="6">
        <v>2</v>
      </c>
      <c r="AC495" s="6" t="s">
        <v>216</v>
      </c>
    </row>
    <row r="496" spans="1:29" x14ac:dyDescent="0.25">
      <c r="A496" s="145" t="str">
        <f>HYPERLINK("http://www.ofsted.gov.uk/inspection-reports/find-inspection-report/provider/ELS/58186  ","Ofsted Webpage")</f>
        <v>Ofsted Webpage</v>
      </c>
      <c r="B496" s="151">
        <v>58186</v>
      </c>
      <c r="C496" s="151">
        <v>10020022</v>
      </c>
      <c r="D496" s="46" t="s">
        <v>970</v>
      </c>
      <c r="E496" s="26" t="s">
        <v>80</v>
      </c>
      <c r="F496" s="26" t="s">
        <v>79</v>
      </c>
      <c r="G496" s="26" t="s">
        <v>464</v>
      </c>
      <c r="H496" s="26" t="s">
        <v>198</v>
      </c>
      <c r="I496" s="26" t="s">
        <v>198</v>
      </c>
      <c r="J496" s="2" t="s">
        <v>72</v>
      </c>
      <c r="K496" s="141" t="s">
        <v>72</v>
      </c>
      <c r="L496" s="141" t="s">
        <v>971</v>
      </c>
      <c r="M496" s="26" t="s">
        <v>333</v>
      </c>
      <c r="N496" s="2">
        <v>40000</v>
      </c>
      <c r="O496" s="2">
        <v>40003</v>
      </c>
      <c r="P496" s="133">
        <v>40029</v>
      </c>
      <c r="Q496" s="6">
        <v>1</v>
      </c>
      <c r="R496" s="6">
        <v>1</v>
      </c>
      <c r="S496" s="6">
        <v>2</v>
      </c>
      <c r="T496" s="120" t="s">
        <v>178</v>
      </c>
      <c r="U496" s="6">
        <v>2</v>
      </c>
      <c r="V496" s="6" t="s">
        <v>72</v>
      </c>
      <c r="W496" s="5" t="s">
        <v>72</v>
      </c>
      <c r="X496" s="6" t="s">
        <v>72</v>
      </c>
      <c r="Y496" s="6" t="s">
        <v>72</v>
      </c>
      <c r="Z496" s="6" t="s">
        <v>72</v>
      </c>
      <c r="AA496" s="6" t="s">
        <v>72</v>
      </c>
      <c r="AB496" s="6" t="s">
        <v>72</v>
      </c>
      <c r="AC496" s="6" t="s">
        <v>208</v>
      </c>
    </row>
    <row r="497" spans="1:29" x14ac:dyDescent="0.25">
      <c r="A497" s="145" t="str">
        <f>HYPERLINK("http://www.ofsted.gov.uk/inspection-reports/find-inspection-report/provider/ELS/58187  ","Ofsted Webpage")</f>
        <v>Ofsted Webpage</v>
      </c>
      <c r="B497" s="151">
        <v>58187</v>
      </c>
      <c r="C497" s="151">
        <v>10019839</v>
      </c>
      <c r="D497" s="46" t="s">
        <v>2503</v>
      </c>
      <c r="E497" s="26" t="s">
        <v>78</v>
      </c>
      <c r="F497" s="26" t="s">
        <v>79</v>
      </c>
      <c r="G497" s="26" t="s">
        <v>656</v>
      </c>
      <c r="H497" s="26" t="s">
        <v>238</v>
      </c>
      <c r="I497" s="26" t="s">
        <v>238</v>
      </c>
      <c r="J497" s="2" t="s">
        <v>72</v>
      </c>
      <c r="K497" s="141" t="s">
        <v>72</v>
      </c>
      <c r="L497" s="141" t="s">
        <v>2504</v>
      </c>
      <c r="M497" s="26" t="s">
        <v>333</v>
      </c>
      <c r="N497" s="2">
        <v>41477</v>
      </c>
      <c r="O497" s="2">
        <v>41481</v>
      </c>
      <c r="P497" s="133">
        <v>41507</v>
      </c>
      <c r="Q497" s="6">
        <v>2</v>
      </c>
      <c r="R497" s="6">
        <v>2</v>
      </c>
      <c r="S497" s="6">
        <v>2</v>
      </c>
      <c r="T497" s="120" t="s">
        <v>178</v>
      </c>
      <c r="U497" s="6">
        <v>2</v>
      </c>
      <c r="V497" s="6" t="s">
        <v>2505</v>
      </c>
      <c r="W497" s="5">
        <v>39618</v>
      </c>
      <c r="X497" s="6">
        <v>2</v>
      </c>
      <c r="Y497" s="6">
        <v>2</v>
      </c>
      <c r="Z497" s="6">
        <v>2</v>
      </c>
      <c r="AA497" s="6" t="s">
        <v>178</v>
      </c>
      <c r="AB497" s="6">
        <v>2</v>
      </c>
      <c r="AC497" s="6" t="s">
        <v>180</v>
      </c>
    </row>
    <row r="498" spans="1:29" x14ac:dyDescent="0.25">
      <c r="A498" s="145" t="str">
        <f>HYPERLINK("http://www.ofsted.gov.uk/inspection-reports/find-inspection-report/provider/ELS/58192  ","Ofsted Webpage")</f>
        <v>Ofsted Webpage</v>
      </c>
      <c r="B498" s="151">
        <v>58192</v>
      </c>
      <c r="C498" s="151">
        <v>10030462</v>
      </c>
      <c r="D498" s="46" t="s">
        <v>867</v>
      </c>
      <c r="E498" s="26" t="s">
        <v>80</v>
      </c>
      <c r="F498" s="26" t="s">
        <v>79</v>
      </c>
      <c r="G498" s="26" t="s">
        <v>254</v>
      </c>
      <c r="H498" s="26" t="s">
        <v>193</v>
      </c>
      <c r="I498" s="26" t="s">
        <v>193</v>
      </c>
      <c r="J498" s="2">
        <v>42852</v>
      </c>
      <c r="K498" s="141">
        <v>1</v>
      </c>
      <c r="L498" s="141" t="s">
        <v>868</v>
      </c>
      <c r="M498" s="26" t="s">
        <v>342</v>
      </c>
      <c r="N498" s="2">
        <v>41674</v>
      </c>
      <c r="O498" s="2">
        <v>41677</v>
      </c>
      <c r="P498" s="133">
        <v>41717</v>
      </c>
      <c r="Q498" s="6">
        <v>2</v>
      </c>
      <c r="R498" s="6">
        <v>2</v>
      </c>
      <c r="S498" s="6">
        <v>2</v>
      </c>
      <c r="T498" s="120" t="s">
        <v>178</v>
      </c>
      <c r="U498" s="6">
        <v>2</v>
      </c>
      <c r="V498" s="6" t="s">
        <v>869</v>
      </c>
      <c r="W498" s="5">
        <v>41208</v>
      </c>
      <c r="X498" s="6">
        <v>3</v>
      </c>
      <c r="Y498" s="6">
        <v>3</v>
      </c>
      <c r="Z498" s="6">
        <v>3</v>
      </c>
      <c r="AA498" s="6" t="s">
        <v>178</v>
      </c>
      <c r="AB498" s="6">
        <v>3</v>
      </c>
      <c r="AC498" s="6" t="s">
        <v>216</v>
      </c>
    </row>
    <row r="499" spans="1:29" x14ac:dyDescent="0.25">
      <c r="A499" s="145" t="str">
        <f>HYPERLINK("http://www.ofsted.gov.uk/inspection-reports/find-inspection-report/provider/ELS/58194  ","Ofsted Webpage")</f>
        <v>Ofsted Webpage</v>
      </c>
      <c r="B499" s="151">
        <v>58194</v>
      </c>
      <c r="C499" s="151">
        <v>10019380</v>
      </c>
      <c r="D499" s="46" t="s">
        <v>2366</v>
      </c>
      <c r="E499" s="26" t="s">
        <v>78</v>
      </c>
      <c r="F499" s="26" t="s">
        <v>79</v>
      </c>
      <c r="G499" s="26" t="s">
        <v>283</v>
      </c>
      <c r="H499" s="26" t="s">
        <v>175</v>
      </c>
      <c r="I499" s="26" t="s">
        <v>175</v>
      </c>
      <c r="J499" s="2" t="s">
        <v>72</v>
      </c>
      <c r="K499" s="141" t="s">
        <v>72</v>
      </c>
      <c r="L499" s="141" t="s">
        <v>72</v>
      </c>
      <c r="M499" s="26" t="s">
        <v>72</v>
      </c>
      <c r="N499" s="2" t="s">
        <v>72</v>
      </c>
      <c r="O499" s="2" t="s">
        <v>72</v>
      </c>
      <c r="P499" s="133" t="s">
        <v>72</v>
      </c>
      <c r="Q499" s="6" t="s">
        <v>72</v>
      </c>
      <c r="R499" s="6" t="s">
        <v>72</v>
      </c>
      <c r="S499" s="6" t="s">
        <v>72</v>
      </c>
      <c r="T499" s="6" t="s">
        <v>72</v>
      </c>
      <c r="U499" s="6" t="s">
        <v>72</v>
      </c>
      <c r="V499" s="6" t="s">
        <v>72</v>
      </c>
      <c r="W499" s="5" t="s">
        <v>72</v>
      </c>
      <c r="X499" s="6" t="s">
        <v>72</v>
      </c>
      <c r="Y499" s="6" t="s">
        <v>72</v>
      </c>
      <c r="Z499" s="6" t="s">
        <v>72</v>
      </c>
      <c r="AA499" s="6" t="s">
        <v>72</v>
      </c>
      <c r="AB499" s="6" t="s">
        <v>72</v>
      </c>
      <c r="AC499" s="6" t="s">
        <v>72</v>
      </c>
    </row>
    <row r="500" spans="1:29" x14ac:dyDescent="0.25">
      <c r="A500" s="145" t="str">
        <f>HYPERLINK("http://www.ofsted.gov.uk/inspection-reports/find-inspection-report/provider/ELS/58199  ","Ofsted Webpage")</f>
        <v>Ofsted Webpage</v>
      </c>
      <c r="B500" s="151">
        <v>58199</v>
      </c>
      <c r="C500" s="151">
        <v>10020811</v>
      </c>
      <c r="D500" s="46" t="s">
        <v>1323</v>
      </c>
      <c r="E500" s="26" t="s">
        <v>80</v>
      </c>
      <c r="F500" s="26" t="s">
        <v>79</v>
      </c>
      <c r="G500" s="26" t="s">
        <v>1128</v>
      </c>
      <c r="H500" s="26" t="s">
        <v>187</v>
      </c>
      <c r="I500" s="26" t="s">
        <v>188</v>
      </c>
      <c r="J500" s="2" t="s">
        <v>72</v>
      </c>
      <c r="K500" s="141" t="s">
        <v>72</v>
      </c>
      <c r="L500" s="141" t="s">
        <v>1324</v>
      </c>
      <c r="M500" s="26" t="s">
        <v>1325</v>
      </c>
      <c r="N500" s="2">
        <v>41604</v>
      </c>
      <c r="O500" s="2">
        <v>41607</v>
      </c>
      <c r="P500" s="133">
        <v>41647</v>
      </c>
      <c r="Q500" s="6">
        <v>2</v>
      </c>
      <c r="R500" s="6">
        <v>2</v>
      </c>
      <c r="S500" s="6">
        <v>2</v>
      </c>
      <c r="T500" s="120" t="s">
        <v>178</v>
      </c>
      <c r="U500" s="6">
        <v>2</v>
      </c>
      <c r="V500" s="6" t="s">
        <v>1326</v>
      </c>
      <c r="W500" s="5">
        <v>41201</v>
      </c>
      <c r="X500" s="6">
        <v>4</v>
      </c>
      <c r="Y500" s="6">
        <v>4</v>
      </c>
      <c r="Z500" s="6">
        <v>3</v>
      </c>
      <c r="AA500" s="6" t="s">
        <v>178</v>
      </c>
      <c r="AB500" s="6">
        <v>4</v>
      </c>
      <c r="AC500" s="6" t="s">
        <v>216</v>
      </c>
    </row>
    <row r="501" spans="1:29" x14ac:dyDescent="0.25">
      <c r="A501" s="145" t="str">
        <f>HYPERLINK("http://www.ofsted.gov.uk/inspection-reports/find-inspection-report/provider/ELS/58219  ","Ofsted Webpage")</f>
        <v>Ofsted Webpage</v>
      </c>
      <c r="B501" s="151">
        <v>58219</v>
      </c>
      <c r="C501" s="151">
        <v>10021665</v>
      </c>
      <c r="D501" s="46" t="s">
        <v>2332</v>
      </c>
      <c r="E501" s="26" t="s">
        <v>78</v>
      </c>
      <c r="F501" s="26" t="s">
        <v>79</v>
      </c>
      <c r="G501" s="26" t="s">
        <v>203</v>
      </c>
      <c r="H501" s="26" t="s">
        <v>204</v>
      </c>
      <c r="I501" s="26" t="s">
        <v>188</v>
      </c>
      <c r="J501" s="2">
        <v>42908</v>
      </c>
      <c r="K501" s="141">
        <v>1</v>
      </c>
      <c r="L501" s="141" t="s">
        <v>2333</v>
      </c>
      <c r="M501" s="26" t="s">
        <v>466</v>
      </c>
      <c r="N501" s="2">
        <v>41450</v>
      </c>
      <c r="O501" s="2">
        <v>41453</v>
      </c>
      <c r="P501" s="133">
        <v>41478</v>
      </c>
      <c r="Q501" s="6">
        <v>2</v>
      </c>
      <c r="R501" s="6">
        <v>2</v>
      </c>
      <c r="S501" s="6">
        <v>2</v>
      </c>
      <c r="T501" s="120" t="s">
        <v>178</v>
      </c>
      <c r="U501" s="6">
        <v>2</v>
      </c>
      <c r="V501" s="6" t="s">
        <v>2334</v>
      </c>
      <c r="W501" s="5">
        <v>39871</v>
      </c>
      <c r="X501" s="6">
        <v>3</v>
      </c>
      <c r="Y501" s="6">
        <v>2</v>
      </c>
      <c r="Z501" s="6">
        <v>2</v>
      </c>
      <c r="AA501" s="6" t="s">
        <v>178</v>
      </c>
      <c r="AB501" s="6">
        <v>3</v>
      </c>
      <c r="AC501" s="6" t="s">
        <v>216</v>
      </c>
    </row>
    <row r="502" spans="1:29" x14ac:dyDescent="0.25">
      <c r="A502" s="145" t="str">
        <f>HYPERLINK("http://www.ofsted.gov.uk/inspection-reports/find-inspection-report/provider/ELS/58229  ","Ofsted Webpage")</f>
        <v>Ofsted Webpage</v>
      </c>
      <c r="B502" s="151">
        <v>58229</v>
      </c>
      <c r="C502" s="151">
        <v>10019026</v>
      </c>
      <c r="D502" s="46" t="s">
        <v>1788</v>
      </c>
      <c r="E502" s="26" t="s">
        <v>78</v>
      </c>
      <c r="F502" s="26" t="s">
        <v>79</v>
      </c>
      <c r="G502" s="26" t="s">
        <v>586</v>
      </c>
      <c r="H502" s="26" t="s">
        <v>204</v>
      </c>
      <c r="I502" s="26" t="s">
        <v>188</v>
      </c>
      <c r="J502" s="2">
        <v>43048</v>
      </c>
      <c r="K502" s="141">
        <v>1</v>
      </c>
      <c r="L502" s="141" t="s">
        <v>1789</v>
      </c>
      <c r="M502" s="26" t="s">
        <v>333</v>
      </c>
      <c r="N502" s="2">
        <v>42023</v>
      </c>
      <c r="O502" s="2">
        <v>42027</v>
      </c>
      <c r="P502" s="119">
        <v>42065</v>
      </c>
      <c r="Q502" s="6">
        <v>2</v>
      </c>
      <c r="R502" s="6">
        <v>2</v>
      </c>
      <c r="S502" s="6">
        <v>2</v>
      </c>
      <c r="T502" s="120" t="s">
        <v>178</v>
      </c>
      <c r="U502" s="6">
        <v>2</v>
      </c>
      <c r="V502" s="6" t="s">
        <v>1790</v>
      </c>
      <c r="W502" s="5">
        <v>40046</v>
      </c>
      <c r="X502" s="6">
        <v>2</v>
      </c>
      <c r="Y502" s="6">
        <v>1</v>
      </c>
      <c r="Z502" s="6">
        <v>2</v>
      </c>
      <c r="AA502" s="6" t="s">
        <v>178</v>
      </c>
      <c r="AB502" s="6">
        <v>2</v>
      </c>
      <c r="AC502" s="6" t="s">
        <v>180</v>
      </c>
    </row>
    <row r="503" spans="1:29" x14ac:dyDescent="0.25">
      <c r="A503" s="145" t="str">
        <f>HYPERLINK("http://www.ofsted.gov.uk/inspection-reports/find-inspection-report/provider/ELS/58237  ","Ofsted Webpage")</f>
        <v>Ofsted Webpage</v>
      </c>
      <c r="B503" s="151">
        <v>58237</v>
      </c>
      <c r="C503" s="151">
        <v>10007698</v>
      </c>
      <c r="D503" s="46" t="s">
        <v>1481</v>
      </c>
      <c r="E503" s="26" t="s">
        <v>77</v>
      </c>
      <c r="F503" s="26" t="s">
        <v>76</v>
      </c>
      <c r="G503" s="26" t="s">
        <v>340</v>
      </c>
      <c r="H503" s="26" t="s">
        <v>214</v>
      </c>
      <c r="I503" s="26" t="s">
        <v>214</v>
      </c>
      <c r="J503" s="2" t="s">
        <v>72</v>
      </c>
      <c r="K503" s="141" t="s">
        <v>72</v>
      </c>
      <c r="L503" s="141">
        <v>10022567</v>
      </c>
      <c r="M503" s="26" t="s">
        <v>189</v>
      </c>
      <c r="N503" s="2">
        <v>42751</v>
      </c>
      <c r="O503" s="2">
        <v>42754</v>
      </c>
      <c r="P503" s="133">
        <v>42782</v>
      </c>
      <c r="Q503" s="6">
        <v>2</v>
      </c>
      <c r="R503" s="6">
        <v>2</v>
      </c>
      <c r="S503" s="6">
        <v>2</v>
      </c>
      <c r="T503" s="6">
        <v>2</v>
      </c>
      <c r="U503" s="6">
        <v>2</v>
      </c>
      <c r="V503" s="6" t="s">
        <v>1482</v>
      </c>
      <c r="W503" s="5">
        <v>41725</v>
      </c>
      <c r="X503" s="6">
        <v>2</v>
      </c>
      <c r="Y503" s="6">
        <v>3</v>
      </c>
      <c r="Z503" s="6">
        <v>2</v>
      </c>
      <c r="AA503" s="6" t="s">
        <v>178</v>
      </c>
      <c r="AB503" s="6">
        <v>2</v>
      </c>
      <c r="AC503" s="6" t="s">
        <v>180</v>
      </c>
    </row>
    <row r="504" spans="1:29" x14ac:dyDescent="0.25">
      <c r="A504" s="145" t="str">
        <f>HYPERLINK("http://www.ofsted.gov.uk/inspection-reports/find-inspection-report/provider/ELS/58248  ","Ofsted Webpage")</f>
        <v>Ofsted Webpage</v>
      </c>
      <c r="B504" s="151">
        <v>58248</v>
      </c>
      <c r="C504" s="151">
        <v>10000267</v>
      </c>
      <c r="D504" s="46" t="s">
        <v>2423</v>
      </c>
      <c r="E504" s="26" t="s">
        <v>78</v>
      </c>
      <c r="F504" s="26" t="s">
        <v>79</v>
      </c>
      <c r="G504" s="26" t="s">
        <v>218</v>
      </c>
      <c r="H504" s="26" t="s">
        <v>219</v>
      </c>
      <c r="I504" s="26" t="s">
        <v>219</v>
      </c>
      <c r="J504" s="2" t="s">
        <v>72</v>
      </c>
      <c r="K504" s="141" t="s">
        <v>72</v>
      </c>
      <c r="L504" s="141" t="s">
        <v>2424</v>
      </c>
      <c r="M504" s="26" t="s">
        <v>1217</v>
      </c>
      <c r="N504" s="2">
        <v>39749</v>
      </c>
      <c r="O504" s="2">
        <v>39752</v>
      </c>
      <c r="P504" s="133">
        <v>39777</v>
      </c>
      <c r="Q504" s="6">
        <v>3</v>
      </c>
      <c r="R504" s="6">
        <v>2</v>
      </c>
      <c r="S504" s="6">
        <v>3</v>
      </c>
      <c r="T504" s="120" t="s">
        <v>178</v>
      </c>
      <c r="U504" s="6">
        <v>3</v>
      </c>
      <c r="V504" s="6" t="s">
        <v>72</v>
      </c>
      <c r="W504" s="5" t="s">
        <v>72</v>
      </c>
      <c r="X504" s="6" t="s">
        <v>72</v>
      </c>
      <c r="Y504" s="6" t="s">
        <v>72</v>
      </c>
      <c r="Z504" s="6" t="s">
        <v>72</v>
      </c>
      <c r="AA504" s="6" t="s">
        <v>72</v>
      </c>
      <c r="AB504" s="6" t="s">
        <v>72</v>
      </c>
      <c r="AC504" s="6" t="s">
        <v>208</v>
      </c>
    </row>
    <row r="505" spans="1:29" x14ac:dyDescent="0.25">
      <c r="A505" s="145" t="str">
        <f>HYPERLINK("http://www.ofsted.gov.uk/inspection-reports/find-inspection-report/provider/ELS/58250  ","Ofsted Webpage")</f>
        <v>Ofsted Webpage</v>
      </c>
      <c r="B505" s="151">
        <v>58250</v>
      </c>
      <c r="C505" s="151">
        <v>10000452</v>
      </c>
      <c r="D505" s="46" t="s">
        <v>1023</v>
      </c>
      <c r="E505" s="26" t="s">
        <v>78</v>
      </c>
      <c r="F505" s="26" t="s">
        <v>79</v>
      </c>
      <c r="G505" s="26" t="s">
        <v>276</v>
      </c>
      <c r="H505" s="26" t="s">
        <v>193</v>
      </c>
      <c r="I505" s="26" t="s">
        <v>193</v>
      </c>
      <c r="J505" s="2">
        <v>42452</v>
      </c>
      <c r="K505" s="141">
        <v>1</v>
      </c>
      <c r="L505" s="141" t="s">
        <v>1024</v>
      </c>
      <c r="M505" s="26" t="s">
        <v>333</v>
      </c>
      <c r="N505" s="2">
        <v>41113</v>
      </c>
      <c r="O505" s="2">
        <v>41117</v>
      </c>
      <c r="P505" s="133">
        <v>41155</v>
      </c>
      <c r="Q505" s="6">
        <v>2</v>
      </c>
      <c r="R505" s="6">
        <v>2</v>
      </c>
      <c r="S505" s="6">
        <v>2</v>
      </c>
      <c r="T505" s="120" t="s">
        <v>178</v>
      </c>
      <c r="U505" s="6">
        <v>2</v>
      </c>
      <c r="V505" s="6" t="s">
        <v>1025</v>
      </c>
      <c r="W505" s="5">
        <v>39752</v>
      </c>
      <c r="X505" s="6">
        <v>2</v>
      </c>
      <c r="Y505" s="6">
        <v>2</v>
      </c>
      <c r="Z505" s="6">
        <v>2</v>
      </c>
      <c r="AA505" s="6" t="s">
        <v>178</v>
      </c>
      <c r="AB505" s="6">
        <v>2</v>
      </c>
      <c r="AC505" s="6" t="s">
        <v>180</v>
      </c>
    </row>
    <row r="506" spans="1:29" x14ac:dyDescent="0.25">
      <c r="A506" s="145" t="str">
        <f>HYPERLINK("http://www.ofsted.gov.uk/inspection-reports/find-inspection-report/provider/ELS/58260  ","Ofsted Webpage")</f>
        <v>Ofsted Webpage</v>
      </c>
      <c r="B506" s="151">
        <v>58260</v>
      </c>
      <c r="C506" s="151">
        <v>10004823</v>
      </c>
      <c r="D506" s="46" t="s">
        <v>2709</v>
      </c>
      <c r="E506" s="26" t="s">
        <v>78</v>
      </c>
      <c r="F506" s="26" t="s">
        <v>79</v>
      </c>
      <c r="G506" s="26" t="s">
        <v>1310</v>
      </c>
      <c r="H506" s="26" t="s">
        <v>238</v>
      </c>
      <c r="I506" s="26" t="s">
        <v>238</v>
      </c>
      <c r="J506" s="2" t="s">
        <v>72</v>
      </c>
      <c r="K506" s="141" t="s">
        <v>72</v>
      </c>
      <c r="L506" s="141">
        <v>10005055</v>
      </c>
      <c r="M506" s="26" t="s">
        <v>475</v>
      </c>
      <c r="N506" s="2">
        <v>42318</v>
      </c>
      <c r="O506" s="2">
        <v>42321</v>
      </c>
      <c r="P506" s="133">
        <v>42338</v>
      </c>
      <c r="Q506" s="6">
        <v>2</v>
      </c>
      <c r="R506" s="6">
        <v>2</v>
      </c>
      <c r="S506" s="6">
        <v>2</v>
      </c>
      <c r="T506" s="6">
        <v>2</v>
      </c>
      <c r="U506" s="6">
        <v>2</v>
      </c>
      <c r="V506" s="6" t="s">
        <v>2710</v>
      </c>
      <c r="W506" s="5">
        <v>41593</v>
      </c>
      <c r="X506" s="6">
        <v>3</v>
      </c>
      <c r="Y506" s="6">
        <v>3</v>
      </c>
      <c r="Z506" s="6">
        <v>3</v>
      </c>
      <c r="AA506" s="6" t="s">
        <v>178</v>
      </c>
      <c r="AB506" s="6">
        <v>3</v>
      </c>
      <c r="AC506" s="6" t="s">
        <v>216</v>
      </c>
    </row>
    <row r="507" spans="1:29" x14ac:dyDescent="0.25">
      <c r="A507" s="145" t="str">
        <f>HYPERLINK("http://www.ofsted.gov.uk/inspection-reports/find-inspection-report/provider/ELS/58262  ","Ofsted Webpage")</f>
        <v>Ofsted Webpage</v>
      </c>
      <c r="B507" s="151">
        <v>58262</v>
      </c>
      <c r="C507" s="151">
        <v>10011880</v>
      </c>
      <c r="D507" s="46" t="s">
        <v>479</v>
      </c>
      <c r="E507" s="26" t="s">
        <v>78</v>
      </c>
      <c r="F507" s="26" t="s">
        <v>79</v>
      </c>
      <c r="G507" s="26" t="s">
        <v>254</v>
      </c>
      <c r="H507" s="26" t="s">
        <v>193</v>
      </c>
      <c r="I507" s="26" t="s">
        <v>193</v>
      </c>
      <c r="J507" s="2">
        <v>42530</v>
      </c>
      <c r="K507" s="141">
        <v>1</v>
      </c>
      <c r="L507" s="141" t="s">
        <v>480</v>
      </c>
      <c r="M507" s="26" t="s">
        <v>333</v>
      </c>
      <c r="N507" s="2">
        <v>41029</v>
      </c>
      <c r="O507" s="2">
        <v>41033</v>
      </c>
      <c r="P507" s="133">
        <v>41073</v>
      </c>
      <c r="Q507" s="6">
        <v>2</v>
      </c>
      <c r="R507" s="6">
        <v>2</v>
      </c>
      <c r="S507" s="6">
        <v>2</v>
      </c>
      <c r="T507" s="120" t="s">
        <v>178</v>
      </c>
      <c r="U507" s="6">
        <v>2</v>
      </c>
      <c r="V507" s="6" t="s">
        <v>72</v>
      </c>
      <c r="W507" s="5" t="s">
        <v>72</v>
      </c>
      <c r="X507" s="6" t="s">
        <v>72</v>
      </c>
      <c r="Y507" s="6" t="s">
        <v>72</v>
      </c>
      <c r="Z507" s="6" t="s">
        <v>72</v>
      </c>
      <c r="AA507" s="6" t="s">
        <v>72</v>
      </c>
      <c r="AB507" s="6" t="s">
        <v>72</v>
      </c>
      <c r="AC507" s="6" t="s">
        <v>208</v>
      </c>
    </row>
    <row r="508" spans="1:29" x14ac:dyDescent="0.25">
      <c r="A508" s="145" t="str">
        <f>HYPERLINK("http://www.ofsted.gov.uk/inspection-reports/find-inspection-report/provider/ELS/58273  ","Ofsted Webpage")</f>
        <v>Ofsted Webpage</v>
      </c>
      <c r="B508" s="151">
        <v>58273</v>
      </c>
      <c r="C508" s="151">
        <v>10005150</v>
      </c>
      <c r="D508" s="46" t="s">
        <v>2399</v>
      </c>
      <c r="E508" s="26" t="s">
        <v>78</v>
      </c>
      <c r="F508" s="26" t="s">
        <v>79</v>
      </c>
      <c r="G508" s="26" t="s">
        <v>608</v>
      </c>
      <c r="H508" s="26" t="s">
        <v>238</v>
      </c>
      <c r="I508" s="26" t="s">
        <v>238</v>
      </c>
      <c r="J508" s="2" t="s">
        <v>72</v>
      </c>
      <c r="K508" s="141" t="s">
        <v>72</v>
      </c>
      <c r="L508" s="141">
        <v>10023008</v>
      </c>
      <c r="M508" s="26" t="s">
        <v>183</v>
      </c>
      <c r="N508" s="2">
        <v>42745</v>
      </c>
      <c r="O508" s="2">
        <v>42747</v>
      </c>
      <c r="P508" s="119">
        <v>42775</v>
      </c>
      <c r="Q508" s="6">
        <v>3</v>
      </c>
      <c r="R508" s="6">
        <v>3</v>
      </c>
      <c r="S508" s="6">
        <v>3</v>
      </c>
      <c r="T508" s="6">
        <v>3</v>
      </c>
      <c r="U508" s="6">
        <v>3</v>
      </c>
      <c r="V508" s="6" t="s">
        <v>2400</v>
      </c>
      <c r="W508" s="5">
        <v>41663</v>
      </c>
      <c r="X508" s="6">
        <v>2</v>
      </c>
      <c r="Y508" s="6">
        <v>2</v>
      </c>
      <c r="Z508" s="6">
        <v>2</v>
      </c>
      <c r="AA508" s="6" t="s">
        <v>178</v>
      </c>
      <c r="AB508" s="6">
        <v>2</v>
      </c>
      <c r="AC508" s="6" t="s">
        <v>201</v>
      </c>
    </row>
    <row r="509" spans="1:29" x14ac:dyDescent="0.25">
      <c r="A509" s="145" t="str">
        <f>HYPERLINK("http://www.ofsted.gov.uk/inspection-reports/find-inspection-report/provider/ELS/58277  ","Ofsted Webpage")</f>
        <v>Ofsted Webpage</v>
      </c>
      <c r="B509" s="151">
        <v>58277</v>
      </c>
      <c r="C509" s="151">
        <v>10018942</v>
      </c>
      <c r="D509" s="46" t="s">
        <v>255</v>
      </c>
      <c r="E509" s="26" t="s">
        <v>78</v>
      </c>
      <c r="F509" s="26" t="s">
        <v>79</v>
      </c>
      <c r="G509" s="26" t="s">
        <v>213</v>
      </c>
      <c r="H509" s="26" t="s">
        <v>214</v>
      </c>
      <c r="I509" s="26" t="s">
        <v>214</v>
      </c>
      <c r="J509" s="2">
        <v>43006</v>
      </c>
      <c r="K509" s="141">
        <v>1</v>
      </c>
      <c r="L509" s="141" t="s">
        <v>256</v>
      </c>
      <c r="M509" s="26" t="s">
        <v>333</v>
      </c>
      <c r="N509" s="2">
        <v>41820</v>
      </c>
      <c r="O509" s="2">
        <v>41824</v>
      </c>
      <c r="P509" s="133">
        <v>41856</v>
      </c>
      <c r="Q509" s="6">
        <v>2</v>
      </c>
      <c r="R509" s="6">
        <v>2</v>
      </c>
      <c r="S509" s="6">
        <v>2</v>
      </c>
      <c r="T509" s="120" t="s">
        <v>178</v>
      </c>
      <c r="U509" s="6">
        <v>2</v>
      </c>
      <c r="V509" s="6" t="s">
        <v>2508</v>
      </c>
      <c r="W509" s="5">
        <v>41145</v>
      </c>
      <c r="X509" s="6">
        <v>3</v>
      </c>
      <c r="Y509" s="6">
        <v>2</v>
      </c>
      <c r="Z509" s="6">
        <v>3</v>
      </c>
      <c r="AA509" s="6" t="s">
        <v>178</v>
      </c>
      <c r="AB509" s="6">
        <v>3</v>
      </c>
      <c r="AC509" s="6" t="s">
        <v>216</v>
      </c>
    </row>
    <row r="510" spans="1:29" x14ac:dyDescent="0.25">
      <c r="A510" s="145" t="str">
        <f>HYPERLINK("http://www.ofsted.gov.uk/inspection-reports/find-inspection-report/provider/ELS/58290  ","Ofsted Webpage")</f>
        <v>Ofsted Webpage</v>
      </c>
      <c r="B510" s="151">
        <v>58290</v>
      </c>
      <c r="C510" s="151">
        <v>10003840</v>
      </c>
      <c r="D510" s="46" t="s">
        <v>1911</v>
      </c>
      <c r="E510" s="26" t="s">
        <v>77</v>
      </c>
      <c r="F510" s="26" t="s">
        <v>76</v>
      </c>
      <c r="G510" s="26" t="s">
        <v>286</v>
      </c>
      <c r="H510" s="26" t="s">
        <v>287</v>
      </c>
      <c r="I510" s="26" t="s">
        <v>287</v>
      </c>
      <c r="J510" s="2">
        <v>42789</v>
      </c>
      <c r="K510" s="141">
        <v>1</v>
      </c>
      <c r="L510" s="141" t="s">
        <v>1912</v>
      </c>
      <c r="M510" s="26" t="s">
        <v>549</v>
      </c>
      <c r="N510" s="2">
        <v>40925</v>
      </c>
      <c r="O510" s="2">
        <v>40928</v>
      </c>
      <c r="P510" s="133">
        <v>40963</v>
      </c>
      <c r="Q510" s="6">
        <v>2</v>
      </c>
      <c r="R510" s="6">
        <v>2</v>
      </c>
      <c r="S510" s="6">
        <v>2</v>
      </c>
      <c r="T510" s="120" t="s">
        <v>178</v>
      </c>
      <c r="U510" s="6">
        <v>1</v>
      </c>
      <c r="V510" s="6" t="s">
        <v>72</v>
      </c>
      <c r="W510" s="5" t="s">
        <v>72</v>
      </c>
      <c r="X510" s="6" t="s">
        <v>72</v>
      </c>
      <c r="Y510" s="6" t="s">
        <v>72</v>
      </c>
      <c r="Z510" s="6" t="s">
        <v>72</v>
      </c>
      <c r="AA510" s="6" t="s">
        <v>72</v>
      </c>
      <c r="AB510" s="6" t="s">
        <v>72</v>
      </c>
      <c r="AC510" s="6" t="s">
        <v>208</v>
      </c>
    </row>
    <row r="511" spans="1:29" x14ac:dyDescent="0.25">
      <c r="A511" s="145" t="str">
        <f>HYPERLINK("http://www.ofsted.gov.uk/inspection-reports/find-inspection-report/provider/ELS/58315  ","Ofsted Webpage")</f>
        <v>Ofsted Webpage</v>
      </c>
      <c r="B511" s="151">
        <v>58315</v>
      </c>
      <c r="C511" s="151">
        <v>10019300</v>
      </c>
      <c r="D511" s="46" t="s">
        <v>2681</v>
      </c>
      <c r="E511" s="26" t="s">
        <v>78</v>
      </c>
      <c r="F511" s="26" t="s">
        <v>79</v>
      </c>
      <c r="G511" s="26" t="s">
        <v>491</v>
      </c>
      <c r="H511" s="26" t="s">
        <v>198</v>
      </c>
      <c r="I511" s="26" t="s">
        <v>198</v>
      </c>
      <c r="J511" s="2" t="s">
        <v>72</v>
      </c>
      <c r="K511" s="141" t="s">
        <v>72</v>
      </c>
      <c r="L511" s="141" t="s">
        <v>2682</v>
      </c>
      <c r="M511" s="26" t="s">
        <v>1217</v>
      </c>
      <c r="N511" s="2">
        <v>40561</v>
      </c>
      <c r="O511" s="2">
        <v>40564</v>
      </c>
      <c r="P511" s="133">
        <v>40599</v>
      </c>
      <c r="Q511" s="6">
        <v>1</v>
      </c>
      <c r="R511" s="6">
        <v>1</v>
      </c>
      <c r="S511" s="6">
        <v>1</v>
      </c>
      <c r="T511" s="120" t="s">
        <v>178</v>
      </c>
      <c r="U511" s="6">
        <v>2</v>
      </c>
      <c r="V511" s="6" t="s">
        <v>72</v>
      </c>
      <c r="W511" s="5" t="s">
        <v>72</v>
      </c>
      <c r="X511" s="6" t="s">
        <v>72</v>
      </c>
      <c r="Y511" s="6" t="s">
        <v>72</v>
      </c>
      <c r="Z511" s="6" t="s">
        <v>72</v>
      </c>
      <c r="AA511" s="6" t="s">
        <v>72</v>
      </c>
      <c r="AB511" s="6" t="s">
        <v>72</v>
      </c>
      <c r="AC511" s="6" t="s">
        <v>208</v>
      </c>
    </row>
    <row r="512" spans="1:29" x14ac:dyDescent="0.25">
      <c r="A512" s="145" t="str">
        <f>HYPERLINK("http://www.ofsted.gov.uk/inspection-reports/find-inspection-report/provider/ELS/58318  ","Ofsted Webpage")</f>
        <v>Ofsted Webpage</v>
      </c>
      <c r="B512" s="151">
        <v>58318</v>
      </c>
      <c r="C512" s="151">
        <v>10004464</v>
      </c>
      <c r="D512" s="46" t="s">
        <v>2945</v>
      </c>
      <c r="E512" s="26" t="s">
        <v>75</v>
      </c>
      <c r="F512" s="26" t="s">
        <v>76</v>
      </c>
      <c r="G512" s="26" t="s">
        <v>223</v>
      </c>
      <c r="H512" s="26" t="s">
        <v>193</v>
      </c>
      <c r="I512" s="26" t="s">
        <v>193</v>
      </c>
      <c r="J512" s="2" t="s">
        <v>72</v>
      </c>
      <c r="K512" s="141" t="s">
        <v>72</v>
      </c>
      <c r="L512" s="141" t="s">
        <v>72</v>
      </c>
      <c r="M512" s="26" t="s">
        <v>72</v>
      </c>
      <c r="N512" s="2" t="s">
        <v>72</v>
      </c>
      <c r="O512" s="2" t="s">
        <v>72</v>
      </c>
      <c r="P512" s="133" t="s">
        <v>72</v>
      </c>
      <c r="Q512" s="6" t="s">
        <v>72</v>
      </c>
      <c r="R512" s="6" t="s">
        <v>72</v>
      </c>
      <c r="S512" s="6" t="s">
        <v>72</v>
      </c>
      <c r="T512" s="6" t="s">
        <v>72</v>
      </c>
      <c r="U512" s="6" t="s">
        <v>72</v>
      </c>
      <c r="V512" s="6" t="s">
        <v>72</v>
      </c>
      <c r="W512" s="5" t="s">
        <v>72</v>
      </c>
      <c r="X512" s="6" t="s">
        <v>72</v>
      </c>
      <c r="Y512" s="6" t="s">
        <v>72</v>
      </c>
      <c r="Z512" s="6" t="s">
        <v>72</v>
      </c>
      <c r="AA512" s="6" t="s">
        <v>72</v>
      </c>
      <c r="AB512" s="6" t="s">
        <v>72</v>
      </c>
      <c r="AC512" s="6" t="s">
        <v>72</v>
      </c>
    </row>
    <row r="513" spans="1:29" x14ac:dyDescent="0.25">
      <c r="A513" s="145" t="str">
        <f>HYPERLINK("http://www.ofsted.gov.uk/inspection-reports/find-inspection-report/provider/ELS/58340  ","Ofsted Webpage")</f>
        <v>Ofsted Webpage</v>
      </c>
      <c r="B513" s="151">
        <v>58340</v>
      </c>
      <c r="C513" s="151">
        <v>10012834</v>
      </c>
      <c r="D513" s="46" t="s">
        <v>2722</v>
      </c>
      <c r="E513" s="26" t="s">
        <v>78</v>
      </c>
      <c r="F513" s="26" t="s">
        <v>79</v>
      </c>
      <c r="G513" s="26" t="s">
        <v>182</v>
      </c>
      <c r="H513" s="26" t="s">
        <v>175</v>
      </c>
      <c r="I513" s="26" t="s">
        <v>175</v>
      </c>
      <c r="J513" s="2" t="s">
        <v>72</v>
      </c>
      <c r="K513" s="141" t="s">
        <v>72</v>
      </c>
      <c r="L513" s="141">
        <v>10005058</v>
      </c>
      <c r="M513" s="26" t="s">
        <v>448</v>
      </c>
      <c r="N513" s="2">
        <v>42640</v>
      </c>
      <c r="O513" s="2">
        <v>42642</v>
      </c>
      <c r="P513" s="133">
        <v>42663</v>
      </c>
      <c r="Q513" s="6">
        <v>2</v>
      </c>
      <c r="R513" s="6">
        <v>2</v>
      </c>
      <c r="S513" s="6">
        <v>2</v>
      </c>
      <c r="T513" s="6">
        <v>2</v>
      </c>
      <c r="U513" s="6">
        <v>2</v>
      </c>
      <c r="V513" s="6" t="s">
        <v>2723</v>
      </c>
      <c r="W513" s="5">
        <v>41929</v>
      </c>
      <c r="X513" s="6">
        <v>3</v>
      </c>
      <c r="Y513" s="6">
        <v>3</v>
      </c>
      <c r="Z513" s="6">
        <v>3</v>
      </c>
      <c r="AA513" s="6" t="s">
        <v>178</v>
      </c>
      <c r="AB513" s="6">
        <v>3</v>
      </c>
      <c r="AC513" s="6" t="s">
        <v>216</v>
      </c>
    </row>
    <row r="514" spans="1:29" x14ac:dyDescent="0.25">
      <c r="A514" s="145" t="str">
        <f>HYPERLINK("http://www.ofsted.gov.uk/inspection-reports/find-inspection-report/provider/ELS/58362  ","Ofsted Webpage")</f>
        <v>Ofsted Webpage</v>
      </c>
      <c r="B514" s="151">
        <v>58362</v>
      </c>
      <c r="C514" s="151">
        <v>10009491</v>
      </c>
      <c r="D514" s="46" t="s">
        <v>217</v>
      </c>
      <c r="E514" s="26" t="s">
        <v>78</v>
      </c>
      <c r="F514" s="26" t="s">
        <v>79</v>
      </c>
      <c r="G514" s="26" t="s">
        <v>218</v>
      </c>
      <c r="H514" s="26" t="s">
        <v>219</v>
      </c>
      <c r="I514" s="26" t="s">
        <v>219</v>
      </c>
      <c r="J514" s="2">
        <v>42998</v>
      </c>
      <c r="K514" s="141">
        <v>1</v>
      </c>
      <c r="L514" s="141" t="s">
        <v>220</v>
      </c>
      <c r="M514" s="26" t="s">
        <v>333</v>
      </c>
      <c r="N514" s="2">
        <v>41974</v>
      </c>
      <c r="O514" s="2">
        <v>41978</v>
      </c>
      <c r="P514" s="133">
        <v>42019</v>
      </c>
      <c r="Q514" s="6">
        <v>2</v>
      </c>
      <c r="R514" s="6">
        <v>2</v>
      </c>
      <c r="S514" s="6">
        <v>2</v>
      </c>
      <c r="T514" s="120" t="s">
        <v>178</v>
      </c>
      <c r="U514" s="6">
        <v>2</v>
      </c>
      <c r="V514" s="6" t="s">
        <v>2693</v>
      </c>
      <c r="W514" s="5">
        <v>39793</v>
      </c>
      <c r="X514" s="6">
        <v>2</v>
      </c>
      <c r="Y514" s="6">
        <v>2</v>
      </c>
      <c r="Z514" s="6">
        <v>2</v>
      </c>
      <c r="AA514" s="6" t="s">
        <v>178</v>
      </c>
      <c r="AB514" s="6">
        <v>2</v>
      </c>
      <c r="AC514" s="6" t="s">
        <v>180</v>
      </c>
    </row>
    <row r="515" spans="1:29" x14ac:dyDescent="0.25">
      <c r="A515" s="145" t="str">
        <f>HYPERLINK("http://www.ofsted.gov.uk/inspection-reports/find-inspection-report/provider/ELS/58367  ","Ofsted Webpage")</f>
        <v>Ofsted Webpage</v>
      </c>
      <c r="B515" s="151">
        <v>58367</v>
      </c>
      <c r="C515" s="151">
        <v>10020123</v>
      </c>
      <c r="D515" s="46" t="s">
        <v>2540</v>
      </c>
      <c r="E515" s="26" t="s">
        <v>78</v>
      </c>
      <c r="F515" s="26" t="s">
        <v>79</v>
      </c>
      <c r="G515" s="26" t="s">
        <v>307</v>
      </c>
      <c r="H515" s="26" t="s">
        <v>175</v>
      </c>
      <c r="I515" s="26" t="s">
        <v>175</v>
      </c>
      <c r="J515" s="2">
        <v>42467</v>
      </c>
      <c r="K515" s="141">
        <v>1</v>
      </c>
      <c r="L515" s="141" t="s">
        <v>2541</v>
      </c>
      <c r="M515" s="26" t="s">
        <v>445</v>
      </c>
      <c r="N515" s="2">
        <v>41051</v>
      </c>
      <c r="O515" s="2">
        <v>41053</v>
      </c>
      <c r="P515" s="133">
        <v>41092</v>
      </c>
      <c r="Q515" s="6">
        <v>2</v>
      </c>
      <c r="R515" s="6">
        <v>2</v>
      </c>
      <c r="S515" s="6">
        <v>3</v>
      </c>
      <c r="T515" s="120" t="s">
        <v>178</v>
      </c>
      <c r="U515" s="6">
        <v>2</v>
      </c>
      <c r="V515" s="6" t="s">
        <v>2542</v>
      </c>
      <c r="W515" s="5">
        <v>39752</v>
      </c>
      <c r="X515" s="6">
        <v>2</v>
      </c>
      <c r="Y515" s="6">
        <v>2</v>
      </c>
      <c r="Z515" s="6">
        <v>2</v>
      </c>
      <c r="AA515" s="6" t="s">
        <v>178</v>
      </c>
      <c r="AB515" s="6">
        <v>2</v>
      </c>
      <c r="AC515" s="6" t="s">
        <v>180</v>
      </c>
    </row>
    <row r="516" spans="1:29" x14ac:dyDescent="0.25">
      <c r="A516" s="145" t="str">
        <f>HYPERLINK("http://www.ofsted.gov.uk/inspection-reports/find-inspection-report/provider/ELS/58370  ","Ofsted Webpage")</f>
        <v>Ofsted Webpage</v>
      </c>
      <c r="B516" s="151">
        <v>58370</v>
      </c>
      <c r="C516" s="151">
        <v>10018328</v>
      </c>
      <c r="D516" s="46" t="s">
        <v>2478</v>
      </c>
      <c r="E516" s="26" t="s">
        <v>78</v>
      </c>
      <c r="F516" s="26" t="s">
        <v>79</v>
      </c>
      <c r="G516" s="26" t="s">
        <v>234</v>
      </c>
      <c r="H516" s="26" t="s">
        <v>175</v>
      </c>
      <c r="I516" s="26" t="s">
        <v>175</v>
      </c>
      <c r="J516" s="2" t="s">
        <v>72</v>
      </c>
      <c r="K516" s="141" t="s">
        <v>72</v>
      </c>
      <c r="L516" s="141" t="s">
        <v>2479</v>
      </c>
      <c r="M516" s="26" t="s">
        <v>466</v>
      </c>
      <c r="N516" s="2">
        <v>41939</v>
      </c>
      <c r="O516" s="2">
        <v>41943</v>
      </c>
      <c r="P516" s="133">
        <v>41978</v>
      </c>
      <c r="Q516" s="6">
        <v>2</v>
      </c>
      <c r="R516" s="6">
        <v>2</v>
      </c>
      <c r="S516" s="6">
        <v>2</v>
      </c>
      <c r="T516" s="120" t="s">
        <v>178</v>
      </c>
      <c r="U516" s="6">
        <v>2</v>
      </c>
      <c r="V516" s="6" t="s">
        <v>2480</v>
      </c>
      <c r="W516" s="5">
        <v>40039</v>
      </c>
      <c r="X516" s="6">
        <v>2</v>
      </c>
      <c r="Y516" s="6">
        <v>2</v>
      </c>
      <c r="Z516" s="6">
        <v>2</v>
      </c>
      <c r="AA516" s="6" t="s">
        <v>178</v>
      </c>
      <c r="AB516" s="6">
        <v>2</v>
      </c>
      <c r="AC516" s="6" t="s">
        <v>180</v>
      </c>
    </row>
    <row r="517" spans="1:29" x14ac:dyDescent="0.25">
      <c r="A517" s="145" t="str">
        <f>HYPERLINK("http://www.ofsted.gov.uk/inspection-reports/find-inspection-report/provider/ELS/58380  ","Ofsted Webpage")</f>
        <v>Ofsted Webpage</v>
      </c>
      <c r="B517" s="151">
        <v>58380</v>
      </c>
      <c r="C517" s="151">
        <v>10004788</v>
      </c>
      <c r="D517" s="46" t="s">
        <v>1920</v>
      </c>
      <c r="E517" s="26" t="s">
        <v>77</v>
      </c>
      <c r="F517" s="26" t="s">
        <v>76</v>
      </c>
      <c r="G517" s="26" t="s">
        <v>437</v>
      </c>
      <c r="H517" s="26" t="s">
        <v>214</v>
      </c>
      <c r="I517" s="26" t="s">
        <v>214</v>
      </c>
      <c r="J517" s="2" t="s">
        <v>72</v>
      </c>
      <c r="K517" s="141" t="s">
        <v>72</v>
      </c>
      <c r="L517" s="141">
        <v>10020099</v>
      </c>
      <c r="M517" s="26" t="s">
        <v>189</v>
      </c>
      <c r="N517" s="2">
        <v>42689</v>
      </c>
      <c r="O517" s="2">
        <v>42692</v>
      </c>
      <c r="P517" s="133">
        <v>42740</v>
      </c>
      <c r="Q517" s="6">
        <v>3</v>
      </c>
      <c r="R517" s="6">
        <v>3</v>
      </c>
      <c r="S517" s="6">
        <v>3</v>
      </c>
      <c r="T517" s="6">
        <v>2</v>
      </c>
      <c r="U517" s="6">
        <v>3</v>
      </c>
      <c r="V517" s="6" t="s">
        <v>1921</v>
      </c>
      <c r="W517" s="5">
        <v>41621</v>
      </c>
      <c r="X517" s="6">
        <v>2</v>
      </c>
      <c r="Y517" s="6">
        <v>2</v>
      </c>
      <c r="Z517" s="6">
        <v>2</v>
      </c>
      <c r="AA517" s="6" t="s">
        <v>178</v>
      </c>
      <c r="AB517" s="6">
        <v>2</v>
      </c>
      <c r="AC517" s="6" t="s">
        <v>201</v>
      </c>
    </row>
    <row r="518" spans="1:29" x14ac:dyDescent="0.25">
      <c r="A518" s="145" t="str">
        <f>HYPERLINK("http://www.ofsted.gov.uk/inspection-reports/find-inspection-report/provider/ELS/58383  ","Ofsted Webpage")</f>
        <v>Ofsted Webpage</v>
      </c>
      <c r="B518" s="151">
        <v>58383</v>
      </c>
      <c r="C518" s="151">
        <v>10005521</v>
      </c>
      <c r="D518" s="46" t="s">
        <v>355</v>
      </c>
      <c r="E518" s="26" t="s">
        <v>77</v>
      </c>
      <c r="F518" s="26" t="s">
        <v>76</v>
      </c>
      <c r="G518" s="26" t="s">
        <v>218</v>
      </c>
      <c r="H518" s="26" t="s">
        <v>219</v>
      </c>
      <c r="I518" s="26" t="s">
        <v>219</v>
      </c>
      <c r="J518" s="2" t="s">
        <v>72</v>
      </c>
      <c r="K518" s="141" t="s">
        <v>72</v>
      </c>
      <c r="L518" s="141">
        <v>10022015</v>
      </c>
      <c r="M518" s="26" t="s">
        <v>356</v>
      </c>
      <c r="N518" s="2">
        <v>42654</v>
      </c>
      <c r="O518" s="2">
        <v>42656</v>
      </c>
      <c r="P518" s="133">
        <v>42697</v>
      </c>
      <c r="Q518" s="6">
        <v>2</v>
      </c>
      <c r="R518" s="6">
        <v>2</v>
      </c>
      <c r="S518" s="6">
        <v>2</v>
      </c>
      <c r="T518" s="6">
        <v>2</v>
      </c>
      <c r="U518" s="6">
        <v>2</v>
      </c>
      <c r="V518" s="6" t="s">
        <v>357</v>
      </c>
      <c r="W518" s="5">
        <v>42069</v>
      </c>
      <c r="X518" s="6">
        <v>3</v>
      </c>
      <c r="Y518" s="6">
        <v>3</v>
      </c>
      <c r="Z518" s="6">
        <v>3</v>
      </c>
      <c r="AA518" s="6" t="s">
        <v>178</v>
      </c>
      <c r="AB518" s="6">
        <v>3</v>
      </c>
      <c r="AC518" s="6" t="s">
        <v>216</v>
      </c>
    </row>
    <row r="519" spans="1:29" x14ac:dyDescent="0.25">
      <c r="A519" s="145" t="str">
        <f>HYPERLINK("http://www.ofsted.gov.uk/inspection-reports/find-inspection-report/provider/ELS/58385  ","Ofsted Webpage")</f>
        <v>Ofsted Webpage</v>
      </c>
      <c r="B519" s="151">
        <v>58385</v>
      </c>
      <c r="C519" s="151">
        <v>10019293</v>
      </c>
      <c r="D519" s="46" t="s">
        <v>2232</v>
      </c>
      <c r="E519" s="26" t="s">
        <v>78</v>
      </c>
      <c r="F519" s="26" t="s">
        <v>79</v>
      </c>
      <c r="G519" s="26" t="s">
        <v>452</v>
      </c>
      <c r="H519" s="26" t="s">
        <v>219</v>
      </c>
      <c r="I519" s="26" t="s">
        <v>219</v>
      </c>
      <c r="J519" s="2" t="s">
        <v>72</v>
      </c>
      <c r="K519" s="141" t="s">
        <v>72</v>
      </c>
      <c r="L519" s="141">
        <v>10030690</v>
      </c>
      <c r="M519" s="26" t="s">
        <v>199</v>
      </c>
      <c r="N519" s="2">
        <v>43060</v>
      </c>
      <c r="O519" s="2">
        <v>43062</v>
      </c>
      <c r="P519" s="133">
        <v>43090</v>
      </c>
      <c r="Q519" s="6">
        <v>2</v>
      </c>
      <c r="R519" s="6">
        <v>2</v>
      </c>
      <c r="S519" s="6">
        <v>2</v>
      </c>
      <c r="T519" s="6">
        <v>2</v>
      </c>
      <c r="U519" s="6">
        <v>2</v>
      </c>
      <c r="V519" s="6">
        <v>10005060</v>
      </c>
      <c r="W519" s="5">
        <v>42349</v>
      </c>
      <c r="X519" s="6">
        <v>3</v>
      </c>
      <c r="Y519" s="6">
        <v>3</v>
      </c>
      <c r="Z519" s="6">
        <v>3</v>
      </c>
      <c r="AA519" s="6">
        <v>3</v>
      </c>
      <c r="AB519" s="6">
        <v>3</v>
      </c>
      <c r="AC519" s="6" t="s">
        <v>216</v>
      </c>
    </row>
    <row r="520" spans="1:29" x14ac:dyDescent="0.25">
      <c r="A520" s="145" t="str">
        <f>HYPERLINK("http://www.ofsted.gov.uk/inspection-reports/find-inspection-report/provider/ELS/58397  ","Ofsted Webpage")</f>
        <v>Ofsted Webpage</v>
      </c>
      <c r="B520" s="151">
        <v>58397</v>
      </c>
      <c r="C520" s="151">
        <v>10021018</v>
      </c>
      <c r="D520" s="46" t="s">
        <v>2492</v>
      </c>
      <c r="E520" s="26" t="s">
        <v>78</v>
      </c>
      <c r="F520" s="26" t="s">
        <v>79</v>
      </c>
      <c r="G520" s="26" t="s">
        <v>227</v>
      </c>
      <c r="H520" s="26" t="s">
        <v>214</v>
      </c>
      <c r="I520" s="26" t="s">
        <v>214</v>
      </c>
      <c r="J520" s="2" t="s">
        <v>72</v>
      </c>
      <c r="K520" s="141" t="s">
        <v>72</v>
      </c>
      <c r="L520" s="141" t="s">
        <v>2493</v>
      </c>
      <c r="M520" s="26" t="s">
        <v>1325</v>
      </c>
      <c r="N520" s="2">
        <v>42213</v>
      </c>
      <c r="O520" s="2">
        <v>42216</v>
      </c>
      <c r="P520" s="133">
        <v>42242</v>
      </c>
      <c r="Q520" s="6">
        <v>2</v>
      </c>
      <c r="R520" s="6">
        <v>2</v>
      </c>
      <c r="S520" s="6">
        <v>2</v>
      </c>
      <c r="T520" s="120" t="s">
        <v>178</v>
      </c>
      <c r="U520" s="6">
        <v>2</v>
      </c>
      <c r="V520" s="6" t="s">
        <v>2494</v>
      </c>
      <c r="W520" s="5">
        <v>42048</v>
      </c>
      <c r="X520" s="6">
        <v>4</v>
      </c>
      <c r="Y520" s="6">
        <v>2</v>
      </c>
      <c r="Z520" s="6">
        <v>3</v>
      </c>
      <c r="AA520" s="6" t="s">
        <v>178</v>
      </c>
      <c r="AB520" s="6">
        <v>4</v>
      </c>
      <c r="AC520" s="6" t="s">
        <v>216</v>
      </c>
    </row>
    <row r="521" spans="1:29" x14ac:dyDescent="0.25">
      <c r="A521" s="145" t="str">
        <f>HYPERLINK("http://www.ofsted.gov.uk/inspection-reports/find-inspection-report/provider/ELS/58403  ","Ofsted Webpage")</f>
        <v>Ofsted Webpage</v>
      </c>
      <c r="B521" s="151">
        <v>58403</v>
      </c>
      <c r="C521" s="151">
        <v>10033438</v>
      </c>
      <c r="D521" s="46" t="s">
        <v>739</v>
      </c>
      <c r="E521" s="26" t="s">
        <v>80</v>
      </c>
      <c r="F521" s="26" t="s">
        <v>79</v>
      </c>
      <c r="G521" s="26" t="s">
        <v>261</v>
      </c>
      <c r="H521" s="26" t="s">
        <v>219</v>
      </c>
      <c r="I521" s="26" t="s">
        <v>219</v>
      </c>
      <c r="J521" s="2" t="s">
        <v>72</v>
      </c>
      <c r="K521" s="141" t="s">
        <v>72</v>
      </c>
      <c r="L521" s="141" t="s">
        <v>740</v>
      </c>
      <c r="M521" s="26" t="s">
        <v>466</v>
      </c>
      <c r="N521" s="2">
        <v>42072</v>
      </c>
      <c r="O521" s="2">
        <v>42076</v>
      </c>
      <c r="P521" s="133">
        <v>42115</v>
      </c>
      <c r="Q521" s="6">
        <v>2</v>
      </c>
      <c r="R521" s="6">
        <v>2</v>
      </c>
      <c r="S521" s="6">
        <v>2</v>
      </c>
      <c r="T521" s="120" t="s">
        <v>178</v>
      </c>
      <c r="U521" s="6">
        <v>2</v>
      </c>
      <c r="V521" s="6" t="s">
        <v>741</v>
      </c>
      <c r="W521" s="5">
        <v>39850</v>
      </c>
      <c r="X521" s="6">
        <v>2</v>
      </c>
      <c r="Y521" s="6">
        <v>2</v>
      </c>
      <c r="Z521" s="6">
        <v>2</v>
      </c>
      <c r="AA521" s="6" t="s">
        <v>178</v>
      </c>
      <c r="AB521" s="6">
        <v>2</v>
      </c>
      <c r="AC521" s="6" t="s">
        <v>180</v>
      </c>
    </row>
    <row r="522" spans="1:29" x14ac:dyDescent="0.25">
      <c r="A522" s="145" t="str">
        <f>HYPERLINK("http://www.ofsted.gov.uk/inspection-reports/find-inspection-report/provider/ELS/58413  ","Ofsted Webpage")</f>
        <v>Ofsted Webpage</v>
      </c>
      <c r="B522" s="151">
        <v>58413</v>
      </c>
      <c r="C522" s="151">
        <v>10019646</v>
      </c>
      <c r="D522" s="46" t="s">
        <v>1778</v>
      </c>
      <c r="E522" s="26" t="s">
        <v>78</v>
      </c>
      <c r="F522" s="26" t="s">
        <v>79</v>
      </c>
      <c r="G522" s="26" t="s">
        <v>336</v>
      </c>
      <c r="H522" s="26" t="s">
        <v>175</v>
      </c>
      <c r="I522" s="26" t="s">
        <v>175</v>
      </c>
      <c r="J522" s="2" t="s">
        <v>72</v>
      </c>
      <c r="K522" s="141" t="s">
        <v>72</v>
      </c>
      <c r="L522" s="141" t="s">
        <v>1779</v>
      </c>
      <c r="M522" s="26" t="s">
        <v>1217</v>
      </c>
      <c r="N522" s="2">
        <v>40442</v>
      </c>
      <c r="O522" s="2">
        <v>40445</v>
      </c>
      <c r="P522" s="133">
        <v>40480</v>
      </c>
      <c r="Q522" s="6">
        <v>2</v>
      </c>
      <c r="R522" s="6">
        <v>2</v>
      </c>
      <c r="S522" s="6">
        <v>3</v>
      </c>
      <c r="T522" s="120" t="s">
        <v>178</v>
      </c>
      <c r="U522" s="6">
        <v>2</v>
      </c>
      <c r="V522" s="6" t="s">
        <v>72</v>
      </c>
      <c r="W522" s="5" t="s">
        <v>72</v>
      </c>
      <c r="X522" s="6" t="s">
        <v>72</v>
      </c>
      <c r="Y522" s="6" t="s">
        <v>72</v>
      </c>
      <c r="Z522" s="6" t="s">
        <v>72</v>
      </c>
      <c r="AA522" s="6" t="s">
        <v>72</v>
      </c>
      <c r="AB522" s="6" t="s">
        <v>72</v>
      </c>
      <c r="AC522" s="6" t="s">
        <v>208</v>
      </c>
    </row>
    <row r="523" spans="1:29" x14ac:dyDescent="0.25">
      <c r="A523" s="145" t="str">
        <f>HYPERLINK("http://www.ofsted.gov.uk/inspection-reports/find-inspection-report/provider/ELS/58437  ","Ofsted Webpage")</f>
        <v>Ofsted Webpage</v>
      </c>
      <c r="B523" s="151">
        <v>58437</v>
      </c>
      <c r="C523" s="151">
        <v>10038112</v>
      </c>
      <c r="D523" s="46" t="s">
        <v>360</v>
      </c>
      <c r="E523" s="26" t="s">
        <v>77</v>
      </c>
      <c r="F523" s="26" t="s">
        <v>76</v>
      </c>
      <c r="G523" s="26" t="s">
        <v>361</v>
      </c>
      <c r="H523" s="26" t="s">
        <v>198</v>
      </c>
      <c r="I523" s="26" t="s">
        <v>198</v>
      </c>
      <c r="J523" s="2" t="s">
        <v>72</v>
      </c>
      <c r="K523" s="141" t="s">
        <v>72</v>
      </c>
      <c r="L523" s="141">
        <v>10022500</v>
      </c>
      <c r="M523" s="26" t="s">
        <v>189</v>
      </c>
      <c r="N523" s="2">
        <v>42752</v>
      </c>
      <c r="O523" s="2">
        <v>42755</v>
      </c>
      <c r="P523" s="133">
        <v>42790</v>
      </c>
      <c r="Q523" s="6">
        <v>3</v>
      </c>
      <c r="R523" s="6">
        <v>3</v>
      </c>
      <c r="S523" s="6">
        <v>3</v>
      </c>
      <c r="T523" s="6">
        <v>2</v>
      </c>
      <c r="U523" s="6">
        <v>3</v>
      </c>
      <c r="V523" s="6" t="s">
        <v>362</v>
      </c>
      <c r="W523" s="5">
        <v>41936</v>
      </c>
      <c r="X523" s="6">
        <v>2</v>
      </c>
      <c r="Y523" s="6">
        <v>2</v>
      </c>
      <c r="Z523" s="6">
        <v>2</v>
      </c>
      <c r="AA523" s="6" t="s">
        <v>178</v>
      </c>
      <c r="AB523" s="6">
        <v>2</v>
      </c>
      <c r="AC523" s="6" t="s">
        <v>201</v>
      </c>
    </row>
    <row r="524" spans="1:29" x14ac:dyDescent="0.25">
      <c r="A524" s="145" t="str">
        <f>HYPERLINK("http://www.ofsted.gov.uk/inspection-reports/find-inspection-report/provider/ELS/58444  ","Ofsted Webpage")</f>
        <v>Ofsted Webpage</v>
      </c>
      <c r="B524" s="151">
        <v>58444</v>
      </c>
      <c r="C524" s="151">
        <v>10022237</v>
      </c>
      <c r="D524" s="46" t="s">
        <v>1071</v>
      </c>
      <c r="E524" s="26" t="s">
        <v>78</v>
      </c>
      <c r="F524" s="26" t="s">
        <v>79</v>
      </c>
      <c r="G524" s="26" t="s">
        <v>768</v>
      </c>
      <c r="H524" s="26" t="s">
        <v>214</v>
      </c>
      <c r="I524" s="26" t="s">
        <v>214</v>
      </c>
      <c r="J524" s="2" t="s">
        <v>72</v>
      </c>
      <c r="K524" s="141" t="s">
        <v>72</v>
      </c>
      <c r="L524" s="141">
        <v>10020084</v>
      </c>
      <c r="M524" s="26" t="s">
        <v>183</v>
      </c>
      <c r="N524" s="2">
        <v>42703</v>
      </c>
      <c r="O524" s="2">
        <v>42706</v>
      </c>
      <c r="P524" s="133">
        <v>42748</v>
      </c>
      <c r="Q524" s="6">
        <v>3</v>
      </c>
      <c r="R524" s="6">
        <v>4</v>
      </c>
      <c r="S524" s="6">
        <v>3</v>
      </c>
      <c r="T524" s="6">
        <v>3</v>
      </c>
      <c r="U524" s="6">
        <v>3</v>
      </c>
      <c r="V524" s="6" t="s">
        <v>1072</v>
      </c>
      <c r="W524" s="5">
        <v>41614</v>
      </c>
      <c r="X524" s="6">
        <v>2</v>
      </c>
      <c r="Y524" s="6">
        <v>2</v>
      </c>
      <c r="Z524" s="6">
        <v>2</v>
      </c>
      <c r="AA524" s="6" t="s">
        <v>178</v>
      </c>
      <c r="AB524" s="6">
        <v>2</v>
      </c>
      <c r="AC524" s="6" t="s">
        <v>201</v>
      </c>
    </row>
    <row r="525" spans="1:29" x14ac:dyDescent="0.25">
      <c r="A525" s="145" t="str">
        <f>HYPERLINK("http://www.ofsted.gov.uk/inspection-reports/find-inspection-report/provider/ELS/58456  ","Ofsted Webpage")</f>
        <v>Ofsted Webpage</v>
      </c>
      <c r="B525" s="151">
        <v>58456</v>
      </c>
      <c r="C525" s="151">
        <v>10022856</v>
      </c>
      <c r="D525" s="46" t="s">
        <v>732</v>
      </c>
      <c r="E525" s="26" t="s">
        <v>80</v>
      </c>
      <c r="F525" s="26" t="s">
        <v>79</v>
      </c>
      <c r="G525" s="26" t="s">
        <v>733</v>
      </c>
      <c r="H525" s="26" t="s">
        <v>219</v>
      </c>
      <c r="I525" s="26" t="s">
        <v>219</v>
      </c>
      <c r="J525" s="2">
        <v>42852</v>
      </c>
      <c r="K525" s="141">
        <v>1</v>
      </c>
      <c r="L525" s="141" t="s">
        <v>734</v>
      </c>
      <c r="M525" s="26" t="s">
        <v>333</v>
      </c>
      <c r="N525" s="2">
        <v>41226</v>
      </c>
      <c r="O525" s="2">
        <v>41229</v>
      </c>
      <c r="P525" s="133">
        <v>41264</v>
      </c>
      <c r="Q525" s="6">
        <v>2</v>
      </c>
      <c r="R525" s="6">
        <v>1</v>
      </c>
      <c r="S525" s="6">
        <v>2</v>
      </c>
      <c r="T525" s="120" t="s">
        <v>178</v>
      </c>
      <c r="U525" s="6">
        <v>2</v>
      </c>
      <c r="V525" s="6" t="s">
        <v>735</v>
      </c>
      <c r="W525" s="5">
        <v>40368</v>
      </c>
      <c r="X525" s="6">
        <v>3</v>
      </c>
      <c r="Y525" s="6">
        <v>2</v>
      </c>
      <c r="Z525" s="6">
        <v>3</v>
      </c>
      <c r="AA525" s="6" t="s">
        <v>178</v>
      </c>
      <c r="AB525" s="6">
        <v>3</v>
      </c>
      <c r="AC525" s="6" t="s">
        <v>216</v>
      </c>
    </row>
    <row r="526" spans="1:29" x14ac:dyDescent="0.25">
      <c r="A526" s="145" t="str">
        <f>HYPERLINK("http://www.ofsted.gov.uk/inspection-reports/find-inspection-report/provider/ELS/58464  ","Ofsted Webpage")</f>
        <v>Ofsted Webpage</v>
      </c>
      <c r="B526" s="151">
        <v>58464</v>
      </c>
      <c r="C526" s="151">
        <v>10022358</v>
      </c>
      <c r="D526" s="46" t="s">
        <v>2707</v>
      </c>
      <c r="E526" s="26" t="s">
        <v>78</v>
      </c>
      <c r="F526" s="26" t="s">
        <v>79</v>
      </c>
      <c r="G526" s="26" t="s">
        <v>586</v>
      </c>
      <c r="H526" s="26" t="s">
        <v>204</v>
      </c>
      <c r="I526" s="26" t="s">
        <v>188</v>
      </c>
      <c r="J526" s="2">
        <v>42467</v>
      </c>
      <c r="K526" s="141">
        <v>1</v>
      </c>
      <c r="L526" s="141" t="s">
        <v>2708</v>
      </c>
      <c r="M526" s="26" t="s">
        <v>1217</v>
      </c>
      <c r="N526" s="2">
        <v>40287</v>
      </c>
      <c r="O526" s="2">
        <v>40291</v>
      </c>
      <c r="P526" s="133">
        <v>40327</v>
      </c>
      <c r="Q526" s="6">
        <v>2</v>
      </c>
      <c r="R526" s="6">
        <v>2</v>
      </c>
      <c r="S526" s="6">
        <v>2</v>
      </c>
      <c r="T526" s="120" t="s">
        <v>178</v>
      </c>
      <c r="U526" s="6">
        <v>2</v>
      </c>
      <c r="V526" s="6" t="s">
        <v>72</v>
      </c>
      <c r="W526" s="5" t="s">
        <v>72</v>
      </c>
      <c r="X526" s="6" t="s">
        <v>72</v>
      </c>
      <c r="Y526" s="6" t="s">
        <v>72</v>
      </c>
      <c r="Z526" s="6" t="s">
        <v>72</v>
      </c>
      <c r="AA526" s="6" t="s">
        <v>72</v>
      </c>
      <c r="AB526" s="6" t="s">
        <v>72</v>
      </c>
      <c r="AC526" s="6" t="s">
        <v>208</v>
      </c>
    </row>
    <row r="527" spans="1:29" x14ac:dyDescent="0.25">
      <c r="A527" s="145" t="str">
        <f>HYPERLINK("http://www.ofsted.gov.uk/inspection-reports/find-inspection-report/provider/ELS/58467  ","Ofsted Webpage")</f>
        <v>Ofsted Webpage</v>
      </c>
      <c r="B527" s="151">
        <v>58467</v>
      </c>
      <c r="C527" s="151">
        <v>10022788</v>
      </c>
      <c r="D527" s="46" t="s">
        <v>2391</v>
      </c>
      <c r="E527" s="26" t="s">
        <v>78</v>
      </c>
      <c r="F527" s="26" t="s">
        <v>79</v>
      </c>
      <c r="G527" s="26" t="s">
        <v>364</v>
      </c>
      <c r="H527" s="26" t="s">
        <v>219</v>
      </c>
      <c r="I527" s="26" t="s">
        <v>219</v>
      </c>
      <c r="J527" s="2" t="s">
        <v>72</v>
      </c>
      <c r="K527" s="141" t="s">
        <v>72</v>
      </c>
      <c r="L527" s="141" t="s">
        <v>2392</v>
      </c>
      <c r="M527" s="26" t="s">
        <v>466</v>
      </c>
      <c r="N527" s="2">
        <v>42023</v>
      </c>
      <c r="O527" s="2">
        <v>42026</v>
      </c>
      <c r="P527" s="133">
        <v>42061</v>
      </c>
      <c r="Q527" s="6">
        <v>2</v>
      </c>
      <c r="R527" s="6">
        <v>2</v>
      </c>
      <c r="S527" s="6">
        <v>2</v>
      </c>
      <c r="T527" s="120" t="s">
        <v>178</v>
      </c>
      <c r="U527" s="6">
        <v>2</v>
      </c>
      <c r="V527" s="6" t="s">
        <v>72</v>
      </c>
      <c r="W527" s="5" t="s">
        <v>72</v>
      </c>
      <c r="X527" s="6" t="s">
        <v>72</v>
      </c>
      <c r="Y527" s="6" t="s">
        <v>72</v>
      </c>
      <c r="Z527" s="6" t="s">
        <v>72</v>
      </c>
      <c r="AA527" s="6" t="s">
        <v>72</v>
      </c>
      <c r="AB527" s="6" t="s">
        <v>72</v>
      </c>
      <c r="AC527" s="6" t="s">
        <v>208</v>
      </c>
    </row>
    <row r="528" spans="1:29" x14ac:dyDescent="0.25">
      <c r="A528" s="145" t="str">
        <f>HYPERLINK("http://www.ofsted.gov.uk/inspection-reports/find-inspection-report/provider/ELS/58472  ","Ofsted Webpage")</f>
        <v>Ofsted Webpage</v>
      </c>
      <c r="B528" s="151">
        <v>58472</v>
      </c>
      <c r="C528" s="151">
        <v>10010940</v>
      </c>
      <c r="D528" s="46" t="s">
        <v>243</v>
      </c>
      <c r="E528" s="26" t="s">
        <v>78</v>
      </c>
      <c r="F528" s="26" t="s">
        <v>79</v>
      </c>
      <c r="G528" s="26" t="s">
        <v>210</v>
      </c>
      <c r="H528" s="26" t="s">
        <v>187</v>
      </c>
      <c r="I528" s="26" t="s">
        <v>188</v>
      </c>
      <c r="J528" s="2" t="s">
        <v>72</v>
      </c>
      <c r="K528" s="141" t="s">
        <v>72</v>
      </c>
      <c r="L528" s="141">
        <v>10037380</v>
      </c>
      <c r="M528" s="26" t="s">
        <v>183</v>
      </c>
      <c r="N528" s="2">
        <v>42990</v>
      </c>
      <c r="O528" s="2">
        <v>42993</v>
      </c>
      <c r="P528" s="133">
        <v>43031</v>
      </c>
      <c r="Q528" s="6">
        <v>3</v>
      </c>
      <c r="R528" s="6">
        <v>3</v>
      </c>
      <c r="S528" s="6">
        <v>3</v>
      </c>
      <c r="T528" s="6">
        <v>2</v>
      </c>
      <c r="U528" s="6">
        <v>3</v>
      </c>
      <c r="V528" s="6" t="s">
        <v>245</v>
      </c>
      <c r="W528" s="5">
        <v>41824</v>
      </c>
      <c r="X528" s="6">
        <v>2</v>
      </c>
      <c r="Y528" s="6">
        <v>3</v>
      </c>
      <c r="Z528" s="6">
        <v>2</v>
      </c>
      <c r="AA528" s="6" t="s">
        <v>178</v>
      </c>
      <c r="AB528" s="6">
        <v>2</v>
      </c>
      <c r="AC528" s="6" t="s">
        <v>201</v>
      </c>
    </row>
    <row r="529" spans="1:29" x14ac:dyDescent="0.25">
      <c r="A529" s="145" t="str">
        <f>HYPERLINK("http://www.ofsted.gov.uk/inspection-reports/find-inspection-report/provider/ELS/58505  ","Ofsted Webpage")</f>
        <v>Ofsted Webpage</v>
      </c>
      <c r="B529" s="151">
        <v>58505</v>
      </c>
      <c r="C529" s="151">
        <v>10001041</v>
      </c>
      <c r="D529" s="46" t="s">
        <v>2946</v>
      </c>
      <c r="E529" s="26" t="s">
        <v>77</v>
      </c>
      <c r="F529" s="26" t="s">
        <v>76</v>
      </c>
      <c r="G529" s="26" t="s">
        <v>447</v>
      </c>
      <c r="H529" s="26" t="s">
        <v>198</v>
      </c>
      <c r="I529" s="26" t="s">
        <v>198</v>
      </c>
      <c r="J529" s="2" t="s">
        <v>72</v>
      </c>
      <c r="K529" s="141" t="s">
        <v>72</v>
      </c>
      <c r="L529" s="141" t="s">
        <v>2947</v>
      </c>
      <c r="M529" s="26" t="s">
        <v>1217</v>
      </c>
      <c r="N529" s="2">
        <v>40456</v>
      </c>
      <c r="O529" s="2">
        <v>40459</v>
      </c>
      <c r="P529" s="133">
        <v>40494</v>
      </c>
      <c r="Q529" s="6">
        <v>2</v>
      </c>
      <c r="R529" s="6">
        <v>2</v>
      </c>
      <c r="S529" s="6">
        <v>2</v>
      </c>
      <c r="T529" s="120" t="s">
        <v>178</v>
      </c>
      <c r="U529" s="6">
        <v>2</v>
      </c>
      <c r="V529" s="6" t="s">
        <v>72</v>
      </c>
      <c r="W529" s="5" t="s">
        <v>72</v>
      </c>
      <c r="X529" s="6" t="s">
        <v>72</v>
      </c>
      <c r="Y529" s="6" t="s">
        <v>72</v>
      </c>
      <c r="Z529" s="6" t="s">
        <v>72</v>
      </c>
      <c r="AA529" s="6" t="s">
        <v>72</v>
      </c>
      <c r="AB529" s="6" t="s">
        <v>72</v>
      </c>
      <c r="AC529" s="6" t="s">
        <v>208</v>
      </c>
    </row>
    <row r="530" spans="1:29" x14ac:dyDescent="0.25">
      <c r="A530" s="145" t="str">
        <f>HYPERLINK("http://www.ofsted.gov.uk/inspection-reports/find-inspection-report/provider/ELS/58507  ","Ofsted Webpage")</f>
        <v>Ofsted Webpage</v>
      </c>
      <c r="B530" s="151">
        <v>58507</v>
      </c>
      <c r="C530" s="151">
        <v>10004665</v>
      </c>
      <c r="D530" s="46" t="s">
        <v>2282</v>
      </c>
      <c r="E530" s="26" t="s">
        <v>78</v>
      </c>
      <c r="F530" s="26" t="s">
        <v>79</v>
      </c>
      <c r="G530" s="26" t="s">
        <v>611</v>
      </c>
      <c r="H530" s="26" t="s">
        <v>238</v>
      </c>
      <c r="I530" s="26" t="s">
        <v>238</v>
      </c>
      <c r="J530" s="2" t="s">
        <v>72</v>
      </c>
      <c r="K530" s="141" t="s">
        <v>72</v>
      </c>
      <c r="L530" s="141">
        <v>10022614</v>
      </c>
      <c r="M530" s="26" t="s">
        <v>211</v>
      </c>
      <c r="N530" s="2">
        <v>42633</v>
      </c>
      <c r="O530" s="2">
        <v>42635</v>
      </c>
      <c r="P530" s="133">
        <v>42675</v>
      </c>
      <c r="Q530" s="6">
        <v>4</v>
      </c>
      <c r="R530" s="6">
        <v>4</v>
      </c>
      <c r="S530" s="6">
        <v>4</v>
      </c>
      <c r="T530" s="6">
        <v>4</v>
      </c>
      <c r="U530" s="6">
        <v>4</v>
      </c>
      <c r="V530" s="6" t="s">
        <v>2283</v>
      </c>
      <c r="W530" s="5">
        <v>41955</v>
      </c>
      <c r="X530" s="6">
        <v>2</v>
      </c>
      <c r="Y530" s="6">
        <v>2</v>
      </c>
      <c r="Z530" s="6">
        <v>2</v>
      </c>
      <c r="AA530" s="6" t="s">
        <v>178</v>
      </c>
      <c r="AB530" s="6">
        <v>2</v>
      </c>
      <c r="AC530" s="6" t="s">
        <v>201</v>
      </c>
    </row>
    <row r="531" spans="1:29" x14ac:dyDescent="0.25">
      <c r="A531" s="145" t="str">
        <f>HYPERLINK("http://www.ofsted.gov.uk/inspection-reports/find-inspection-report/provider/ELS/58513  ","Ofsted Webpage")</f>
        <v>Ofsted Webpage</v>
      </c>
      <c r="B531" s="151">
        <v>58513</v>
      </c>
      <c r="C531" s="151">
        <v>10005204</v>
      </c>
      <c r="D531" s="46" t="s">
        <v>2606</v>
      </c>
      <c r="E531" s="26" t="s">
        <v>78</v>
      </c>
      <c r="F531" s="26" t="s">
        <v>79</v>
      </c>
      <c r="G531" s="26" t="s">
        <v>299</v>
      </c>
      <c r="H531" s="26" t="s">
        <v>175</v>
      </c>
      <c r="I531" s="26" t="s">
        <v>175</v>
      </c>
      <c r="J531" s="2" t="s">
        <v>72</v>
      </c>
      <c r="K531" s="141" t="s">
        <v>72</v>
      </c>
      <c r="L531" s="141" t="s">
        <v>2607</v>
      </c>
      <c r="M531" s="26" t="s">
        <v>1325</v>
      </c>
      <c r="N531" s="2">
        <v>41855</v>
      </c>
      <c r="O531" s="2">
        <v>41859</v>
      </c>
      <c r="P531" s="133">
        <v>41899</v>
      </c>
      <c r="Q531" s="6">
        <v>2</v>
      </c>
      <c r="R531" s="6">
        <v>2</v>
      </c>
      <c r="S531" s="6">
        <v>2</v>
      </c>
      <c r="T531" s="120" t="s">
        <v>178</v>
      </c>
      <c r="U531" s="6">
        <v>2</v>
      </c>
      <c r="V531" s="6" t="s">
        <v>2608</v>
      </c>
      <c r="W531" s="5">
        <v>41446</v>
      </c>
      <c r="X531" s="6">
        <v>4</v>
      </c>
      <c r="Y531" s="6">
        <v>4</v>
      </c>
      <c r="Z531" s="6">
        <v>4</v>
      </c>
      <c r="AA531" s="6" t="s">
        <v>178</v>
      </c>
      <c r="AB531" s="6">
        <v>4</v>
      </c>
      <c r="AC531" s="6" t="s">
        <v>216</v>
      </c>
    </row>
    <row r="532" spans="1:29" x14ac:dyDescent="0.25">
      <c r="A532" s="145" t="str">
        <f>HYPERLINK("http://www.ofsted.gov.uk/inspection-reports/find-inspection-report/provider/ELS/58515  ","Ofsted Webpage")</f>
        <v>Ofsted Webpage</v>
      </c>
      <c r="B532" s="151">
        <v>58515</v>
      </c>
      <c r="C532" s="151">
        <v>10006519</v>
      </c>
      <c r="D532" s="46" t="s">
        <v>2219</v>
      </c>
      <c r="E532" s="26" t="s">
        <v>78</v>
      </c>
      <c r="F532" s="26" t="s">
        <v>79</v>
      </c>
      <c r="G532" s="26" t="s">
        <v>651</v>
      </c>
      <c r="H532" s="26" t="s">
        <v>238</v>
      </c>
      <c r="I532" s="26" t="s">
        <v>238</v>
      </c>
      <c r="J532" s="2" t="s">
        <v>72</v>
      </c>
      <c r="K532" s="141" t="s">
        <v>72</v>
      </c>
      <c r="L532" s="141">
        <v>10005065</v>
      </c>
      <c r="M532" s="26" t="s">
        <v>199</v>
      </c>
      <c r="N532" s="2">
        <v>42430</v>
      </c>
      <c r="O532" s="2">
        <v>42433</v>
      </c>
      <c r="P532" s="119">
        <v>42464</v>
      </c>
      <c r="Q532" s="6">
        <v>3</v>
      </c>
      <c r="R532" s="6">
        <v>3</v>
      </c>
      <c r="S532" s="6">
        <v>3</v>
      </c>
      <c r="T532" s="6">
        <v>3</v>
      </c>
      <c r="U532" s="6">
        <v>3</v>
      </c>
      <c r="V532" s="6" t="s">
        <v>2220</v>
      </c>
      <c r="W532" s="5">
        <v>41943</v>
      </c>
      <c r="X532" s="6">
        <v>3</v>
      </c>
      <c r="Y532" s="6">
        <v>3</v>
      </c>
      <c r="Z532" s="6">
        <v>3</v>
      </c>
      <c r="AA532" s="6" t="s">
        <v>178</v>
      </c>
      <c r="AB532" s="6">
        <v>3</v>
      </c>
      <c r="AC532" s="6" t="s">
        <v>180</v>
      </c>
    </row>
    <row r="533" spans="1:29" x14ac:dyDescent="0.25">
      <c r="A533" s="145" t="str">
        <f>HYPERLINK("http://www.ofsted.gov.uk/inspection-reports/find-inspection-report/provider/ELS/58518  ","Ofsted Webpage")</f>
        <v>Ofsted Webpage</v>
      </c>
      <c r="B533" s="151">
        <v>58518</v>
      </c>
      <c r="C533" s="151">
        <v>10030252</v>
      </c>
      <c r="D533" s="46" t="s">
        <v>2581</v>
      </c>
      <c r="E533" s="26" t="s">
        <v>78</v>
      </c>
      <c r="F533" s="26" t="s">
        <v>79</v>
      </c>
      <c r="G533" s="26" t="s">
        <v>247</v>
      </c>
      <c r="H533" s="26" t="s">
        <v>238</v>
      </c>
      <c r="I533" s="26" t="s">
        <v>238</v>
      </c>
      <c r="J533" s="2" t="s">
        <v>72</v>
      </c>
      <c r="K533" s="141" t="s">
        <v>72</v>
      </c>
      <c r="L533" s="141" t="s">
        <v>2582</v>
      </c>
      <c r="M533" s="26" t="s">
        <v>466</v>
      </c>
      <c r="N533" s="2">
        <v>41723</v>
      </c>
      <c r="O533" s="2">
        <v>41726</v>
      </c>
      <c r="P533" s="133">
        <v>41759</v>
      </c>
      <c r="Q533" s="6">
        <v>2</v>
      </c>
      <c r="R533" s="6">
        <v>2</v>
      </c>
      <c r="S533" s="6">
        <v>2</v>
      </c>
      <c r="T533" s="120" t="s">
        <v>178</v>
      </c>
      <c r="U533" s="6">
        <v>2</v>
      </c>
      <c r="V533" s="6" t="s">
        <v>2583</v>
      </c>
      <c r="W533" s="5">
        <v>40893</v>
      </c>
      <c r="X533" s="6">
        <v>3</v>
      </c>
      <c r="Y533" s="6">
        <v>3</v>
      </c>
      <c r="Z533" s="6">
        <v>2</v>
      </c>
      <c r="AA533" s="6" t="s">
        <v>178</v>
      </c>
      <c r="AB533" s="6">
        <v>3</v>
      </c>
      <c r="AC533" s="6" t="s">
        <v>216</v>
      </c>
    </row>
    <row r="534" spans="1:29" x14ac:dyDescent="0.25">
      <c r="A534" s="145" t="str">
        <f>HYPERLINK("http://www.ofsted.gov.uk/inspection-reports/find-inspection-report/provider/ELS/58520  ","Ofsted Webpage")</f>
        <v>Ofsted Webpage</v>
      </c>
      <c r="B534" s="151">
        <v>58520</v>
      </c>
      <c r="C534" s="151">
        <v>10010134</v>
      </c>
      <c r="D534" s="46" t="s">
        <v>2877</v>
      </c>
      <c r="E534" s="26" t="s">
        <v>78</v>
      </c>
      <c r="F534" s="26" t="s">
        <v>79</v>
      </c>
      <c r="G534" s="26" t="s">
        <v>348</v>
      </c>
      <c r="H534" s="26" t="s">
        <v>238</v>
      </c>
      <c r="I534" s="26" t="s">
        <v>238</v>
      </c>
      <c r="J534" s="2" t="s">
        <v>72</v>
      </c>
      <c r="K534" s="141" t="s">
        <v>72</v>
      </c>
      <c r="L534" s="141" t="s">
        <v>2878</v>
      </c>
      <c r="M534" s="26" t="s">
        <v>445</v>
      </c>
      <c r="N534" s="2">
        <v>40610</v>
      </c>
      <c r="O534" s="2">
        <v>40613</v>
      </c>
      <c r="P534" s="133">
        <v>40648</v>
      </c>
      <c r="Q534" s="6">
        <v>4</v>
      </c>
      <c r="R534" s="6">
        <v>4</v>
      </c>
      <c r="S534" s="6">
        <v>4</v>
      </c>
      <c r="T534" s="120" t="s">
        <v>178</v>
      </c>
      <c r="U534" s="6">
        <v>4</v>
      </c>
      <c r="V534" s="6" t="s">
        <v>72</v>
      </c>
      <c r="W534" s="5" t="s">
        <v>72</v>
      </c>
      <c r="X534" s="6" t="s">
        <v>72</v>
      </c>
      <c r="Y534" s="6" t="s">
        <v>72</v>
      </c>
      <c r="Z534" s="6" t="s">
        <v>72</v>
      </c>
      <c r="AA534" s="6" t="s">
        <v>72</v>
      </c>
      <c r="AB534" s="6" t="s">
        <v>72</v>
      </c>
      <c r="AC534" s="6" t="s">
        <v>208</v>
      </c>
    </row>
    <row r="535" spans="1:29" x14ac:dyDescent="0.25">
      <c r="A535" s="145" t="str">
        <f>HYPERLINK("http://www.ofsted.gov.uk/inspection-reports/find-inspection-report/provider/ELS/58521  ","Ofsted Webpage")</f>
        <v>Ofsted Webpage</v>
      </c>
      <c r="B535" s="151">
        <v>58521</v>
      </c>
      <c r="C535" s="151">
        <v>10033758</v>
      </c>
      <c r="D535" s="46" t="s">
        <v>2458</v>
      </c>
      <c r="E535" s="26" t="s">
        <v>78</v>
      </c>
      <c r="F535" s="26" t="s">
        <v>79</v>
      </c>
      <c r="G535" s="26" t="s">
        <v>477</v>
      </c>
      <c r="H535" s="26" t="s">
        <v>287</v>
      </c>
      <c r="I535" s="26" t="s">
        <v>287</v>
      </c>
      <c r="J535" s="2" t="s">
        <v>72</v>
      </c>
      <c r="K535" s="141" t="s">
        <v>72</v>
      </c>
      <c r="L535" s="141">
        <v>10005066</v>
      </c>
      <c r="M535" s="26" t="s">
        <v>183</v>
      </c>
      <c r="N535" s="2">
        <v>42290</v>
      </c>
      <c r="O535" s="2">
        <v>42293</v>
      </c>
      <c r="P535" s="133">
        <v>42321</v>
      </c>
      <c r="Q535" s="6">
        <v>2</v>
      </c>
      <c r="R535" s="6">
        <v>2</v>
      </c>
      <c r="S535" s="6">
        <v>2</v>
      </c>
      <c r="T535" s="6">
        <v>2</v>
      </c>
      <c r="U535" s="6">
        <v>2</v>
      </c>
      <c r="V535" s="6" t="s">
        <v>2459</v>
      </c>
      <c r="W535" s="5">
        <v>40570</v>
      </c>
      <c r="X535" s="6">
        <v>2</v>
      </c>
      <c r="Y535" s="6">
        <v>2</v>
      </c>
      <c r="Z535" s="6">
        <v>2</v>
      </c>
      <c r="AA535" s="6" t="s">
        <v>178</v>
      </c>
      <c r="AB535" s="6">
        <v>2</v>
      </c>
      <c r="AC535" s="6" t="s">
        <v>180</v>
      </c>
    </row>
    <row r="536" spans="1:29" x14ac:dyDescent="0.25">
      <c r="A536" s="145" t="str">
        <f>HYPERLINK("http://www.ofsted.gov.uk/inspection-reports/find-inspection-report/provider/ELS/58534  ","Ofsted Webpage")</f>
        <v>Ofsted Webpage</v>
      </c>
      <c r="B536" s="151">
        <v>58534</v>
      </c>
      <c r="C536" s="151">
        <v>10022117</v>
      </c>
      <c r="D536" s="46" t="s">
        <v>2323</v>
      </c>
      <c r="E536" s="26" t="s">
        <v>78</v>
      </c>
      <c r="F536" s="26" t="s">
        <v>79</v>
      </c>
      <c r="G536" s="26" t="s">
        <v>906</v>
      </c>
      <c r="H536" s="26" t="s">
        <v>238</v>
      </c>
      <c r="I536" s="26" t="s">
        <v>238</v>
      </c>
      <c r="J536" s="2" t="s">
        <v>72</v>
      </c>
      <c r="K536" s="141" t="s">
        <v>72</v>
      </c>
      <c r="L536" s="141">
        <v>10011563</v>
      </c>
      <c r="M536" s="26" t="s">
        <v>211</v>
      </c>
      <c r="N536" s="2">
        <v>42422</v>
      </c>
      <c r="O536" s="2">
        <v>42425</v>
      </c>
      <c r="P536" s="119">
        <v>42447</v>
      </c>
      <c r="Q536" s="6">
        <v>1</v>
      </c>
      <c r="R536" s="6">
        <v>1</v>
      </c>
      <c r="S536" s="6">
        <v>1</v>
      </c>
      <c r="T536" s="6">
        <v>1</v>
      </c>
      <c r="U536" s="6">
        <v>1</v>
      </c>
      <c r="V536" s="6" t="s">
        <v>2324</v>
      </c>
      <c r="W536" s="5">
        <v>40480</v>
      </c>
      <c r="X536" s="6">
        <v>1</v>
      </c>
      <c r="Y536" s="6">
        <v>1</v>
      </c>
      <c r="Z536" s="6">
        <v>1</v>
      </c>
      <c r="AA536" s="6" t="s">
        <v>178</v>
      </c>
      <c r="AB536" s="6">
        <v>1</v>
      </c>
      <c r="AC536" s="6" t="s">
        <v>180</v>
      </c>
    </row>
    <row r="537" spans="1:29" x14ac:dyDescent="0.25">
      <c r="A537" s="145" t="str">
        <f>HYPERLINK("http://www.ofsted.gov.uk/inspection-reports/find-inspection-report/provider/ELS/58538  ","Ofsted Webpage")</f>
        <v>Ofsted Webpage</v>
      </c>
      <c r="B537" s="151">
        <v>58538</v>
      </c>
      <c r="C537" s="151">
        <v>10022070</v>
      </c>
      <c r="D537" s="46" t="s">
        <v>2421</v>
      </c>
      <c r="E537" s="26" t="s">
        <v>78</v>
      </c>
      <c r="F537" s="26" t="s">
        <v>79</v>
      </c>
      <c r="G537" s="26" t="s">
        <v>794</v>
      </c>
      <c r="H537" s="26" t="s">
        <v>175</v>
      </c>
      <c r="I537" s="26" t="s">
        <v>175</v>
      </c>
      <c r="J537" s="2" t="s">
        <v>72</v>
      </c>
      <c r="K537" s="141" t="s">
        <v>72</v>
      </c>
      <c r="L537" s="141" t="s">
        <v>2422</v>
      </c>
      <c r="M537" s="26" t="s">
        <v>1217</v>
      </c>
      <c r="N537" s="2">
        <v>40442</v>
      </c>
      <c r="O537" s="2">
        <v>40445</v>
      </c>
      <c r="P537" s="133">
        <v>40480</v>
      </c>
      <c r="Q537" s="6">
        <v>4</v>
      </c>
      <c r="R537" s="6">
        <v>3</v>
      </c>
      <c r="S537" s="6">
        <v>3</v>
      </c>
      <c r="T537" s="120" t="s">
        <v>178</v>
      </c>
      <c r="U537" s="6">
        <v>4</v>
      </c>
      <c r="V537" s="6" t="s">
        <v>72</v>
      </c>
      <c r="W537" s="5" t="s">
        <v>72</v>
      </c>
      <c r="X537" s="6" t="s">
        <v>72</v>
      </c>
      <c r="Y537" s="6" t="s">
        <v>72</v>
      </c>
      <c r="Z537" s="6" t="s">
        <v>72</v>
      </c>
      <c r="AA537" s="6" t="s">
        <v>72</v>
      </c>
      <c r="AB537" s="6" t="s">
        <v>72</v>
      </c>
      <c r="AC537" s="6" t="s">
        <v>208</v>
      </c>
    </row>
    <row r="538" spans="1:29" x14ac:dyDescent="0.25">
      <c r="A538" s="145" t="str">
        <f>HYPERLINK("http://www.ofsted.gov.uk/inspection-reports/find-inspection-report/provider/ELS/58539  ","Ofsted Webpage")</f>
        <v>Ofsted Webpage</v>
      </c>
      <c r="B538" s="151">
        <v>58539</v>
      </c>
      <c r="C538" s="151">
        <v>10010549</v>
      </c>
      <c r="D538" s="46" t="s">
        <v>2950</v>
      </c>
      <c r="E538" s="26" t="s">
        <v>78</v>
      </c>
      <c r="F538" s="26" t="s">
        <v>79</v>
      </c>
      <c r="G538" s="26" t="s">
        <v>230</v>
      </c>
      <c r="H538" s="26" t="s">
        <v>187</v>
      </c>
      <c r="I538" s="26" t="s">
        <v>188</v>
      </c>
      <c r="J538" s="2" t="s">
        <v>72</v>
      </c>
      <c r="K538" s="141" t="s">
        <v>72</v>
      </c>
      <c r="L538" s="141" t="s">
        <v>2951</v>
      </c>
      <c r="M538" s="26" t="s">
        <v>1217</v>
      </c>
      <c r="N538" s="2">
        <v>40505</v>
      </c>
      <c r="O538" s="2">
        <v>40508</v>
      </c>
      <c r="P538" s="133">
        <v>40547</v>
      </c>
      <c r="Q538" s="6">
        <v>3</v>
      </c>
      <c r="R538" s="6">
        <v>2</v>
      </c>
      <c r="S538" s="6">
        <v>3</v>
      </c>
      <c r="T538" s="120" t="s">
        <v>178</v>
      </c>
      <c r="U538" s="6">
        <v>3</v>
      </c>
      <c r="V538" s="6" t="s">
        <v>72</v>
      </c>
      <c r="W538" s="5" t="s">
        <v>72</v>
      </c>
      <c r="X538" s="6" t="s">
        <v>72</v>
      </c>
      <c r="Y538" s="6" t="s">
        <v>72</v>
      </c>
      <c r="Z538" s="6" t="s">
        <v>72</v>
      </c>
      <c r="AA538" s="6" t="s">
        <v>72</v>
      </c>
      <c r="AB538" s="6" t="s">
        <v>72</v>
      </c>
      <c r="AC538" s="6" t="s">
        <v>208</v>
      </c>
    </row>
    <row r="539" spans="1:29" x14ac:dyDescent="0.25">
      <c r="A539" s="145" t="str">
        <f>HYPERLINK("http://www.ofsted.gov.uk/inspection-reports/find-inspection-report/provider/ELS/58550  ","Ofsted Webpage")</f>
        <v>Ofsted Webpage</v>
      </c>
      <c r="B539" s="151">
        <v>58550</v>
      </c>
      <c r="C539" s="151">
        <v>10022513</v>
      </c>
      <c r="D539" s="46" t="s">
        <v>1026</v>
      </c>
      <c r="E539" s="26" t="s">
        <v>78</v>
      </c>
      <c r="F539" s="26" t="s">
        <v>79</v>
      </c>
      <c r="G539" s="26" t="s">
        <v>388</v>
      </c>
      <c r="H539" s="26" t="s">
        <v>187</v>
      </c>
      <c r="I539" s="26" t="s">
        <v>188</v>
      </c>
      <c r="J539" s="2">
        <v>42487</v>
      </c>
      <c r="K539" s="141">
        <v>1</v>
      </c>
      <c r="L539" s="141" t="s">
        <v>1027</v>
      </c>
      <c r="M539" s="26" t="s">
        <v>333</v>
      </c>
      <c r="N539" s="2">
        <v>41120</v>
      </c>
      <c r="O539" s="2">
        <v>41124</v>
      </c>
      <c r="P539" s="133">
        <v>41155</v>
      </c>
      <c r="Q539" s="6">
        <v>2</v>
      </c>
      <c r="R539" s="6">
        <v>2</v>
      </c>
      <c r="S539" s="6">
        <v>2</v>
      </c>
      <c r="T539" s="120" t="s">
        <v>178</v>
      </c>
      <c r="U539" s="6">
        <v>2</v>
      </c>
      <c r="V539" s="6" t="s">
        <v>1028</v>
      </c>
      <c r="W539" s="5">
        <v>39709</v>
      </c>
      <c r="X539" s="6">
        <v>2</v>
      </c>
      <c r="Y539" s="6">
        <v>2</v>
      </c>
      <c r="Z539" s="6">
        <v>2</v>
      </c>
      <c r="AA539" s="6" t="s">
        <v>178</v>
      </c>
      <c r="AB539" s="6">
        <v>2</v>
      </c>
      <c r="AC539" s="6" t="s">
        <v>180</v>
      </c>
    </row>
    <row r="540" spans="1:29" x14ac:dyDescent="0.25">
      <c r="A540" s="145" t="str">
        <f>HYPERLINK("http://www.ofsted.gov.uk/inspection-reports/find-inspection-report/provider/ELS/58551  ","Ofsted Webpage")</f>
        <v>Ofsted Webpage</v>
      </c>
      <c r="B540" s="151">
        <v>58551</v>
      </c>
      <c r="C540" s="151">
        <v>10020867</v>
      </c>
      <c r="D540" s="46" t="s">
        <v>1052</v>
      </c>
      <c r="E540" s="26" t="s">
        <v>78</v>
      </c>
      <c r="F540" s="26" t="s">
        <v>79</v>
      </c>
      <c r="G540" s="26" t="s">
        <v>542</v>
      </c>
      <c r="H540" s="26" t="s">
        <v>238</v>
      </c>
      <c r="I540" s="26" t="s">
        <v>238</v>
      </c>
      <c r="J540" s="2" t="s">
        <v>72</v>
      </c>
      <c r="K540" s="141" t="s">
        <v>72</v>
      </c>
      <c r="L540" s="141">
        <v>10005068</v>
      </c>
      <c r="M540" s="26" t="s">
        <v>211</v>
      </c>
      <c r="N540" s="2">
        <v>42325</v>
      </c>
      <c r="O540" s="2">
        <v>42327</v>
      </c>
      <c r="P540" s="133">
        <v>42402</v>
      </c>
      <c r="Q540" s="6">
        <v>2</v>
      </c>
      <c r="R540" s="6">
        <v>2</v>
      </c>
      <c r="S540" s="6">
        <v>2</v>
      </c>
      <c r="T540" s="6">
        <v>2</v>
      </c>
      <c r="U540" s="6">
        <v>2</v>
      </c>
      <c r="V540" s="6" t="s">
        <v>1053</v>
      </c>
      <c r="W540" s="5">
        <v>40388</v>
      </c>
      <c r="X540" s="6">
        <v>2</v>
      </c>
      <c r="Y540" s="6">
        <v>2</v>
      </c>
      <c r="Z540" s="6">
        <v>2</v>
      </c>
      <c r="AA540" s="6" t="s">
        <v>178</v>
      </c>
      <c r="AB540" s="6">
        <v>2</v>
      </c>
      <c r="AC540" s="6" t="s">
        <v>180</v>
      </c>
    </row>
    <row r="541" spans="1:29" x14ac:dyDescent="0.25">
      <c r="A541" s="145" t="str">
        <f>HYPERLINK("http://www.ofsted.gov.uk/inspection-reports/find-inspection-report/provider/ELS/58560  ","Ofsted Webpage")</f>
        <v>Ofsted Webpage</v>
      </c>
      <c r="B541" s="151">
        <v>58560</v>
      </c>
      <c r="C541" s="151">
        <v>10022439</v>
      </c>
      <c r="D541" s="46" t="s">
        <v>2363</v>
      </c>
      <c r="E541" s="26" t="s">
        <v>78</v>
      </c>
      <c r="F541" s="26" t="s">
        <v>79</v>
      </c>
      <c r="G541" s="26" t="s">
        <v>855</v>
      </c>
      <c r="H541" s="26" t="s">
        <v>175</v>
      </c>
      <c r="I541" s="26" t="s">
        <v>175</v>
      </c>
      <c r="J541" s="2">
        <v>42760</v>
      </c>
      <c r="K541" s="141">
        <v>1</v>
      </c>
      <c r="L541" s="141" t="s">
        <v>2364</v>
      </c>
      <c r="M541" s="26" t="s">
        <v>333</v>
      </c>
      <c r="N541" s="2">
        <v>41239</v>
      </c>
      <c r="O541" s="2">
        <v>41243</v>
      </c>
      <c r="P541" s="133">
        <v>41283</v>
      </c>
      <c r="Q541" s="6">
        <v>2</v>
      </c>
      <c r="R541" s="6">
        <v>2</v>
      </c>
      <c r="S541" s="6">
        <v>2</v>
      </c>
      <c r="T541" s="120" t="s">
        <v>178</v>
      </c>
      <c r="U541" s="6">
        <v>2</v>
      </c>
      <c r="V541" s="6" t="s">
        <v>2365</v>
      </c>
      <c r="W541" s="5">
        <v>40361</v>
      </c>
      <c r="X541" s="6">
        <v>3</v>
      </c>
      <c r="Y541" s="6">
        <v>3</v>
      </c>
      <c r="Z541" s="6">
        <v>3</v>
      </c>
      <c r="AA541" s="6" t="s">
        <v>178</v>
      </c>
      <c r="AB541" s="6">
        <v>2</v>
      </c>
      <c r="AC541" s="6" t="s">
        <v>216</v>
      </c>
    </row>
    <row r="542" spans="1:29" x14ac:dyDescent="0.25">
      <c r="A542" s="145" t="str">
        <f>HYPERLINK("http://www.ofsted.gov.uk/inspection-reports/find-inspection-report/provider/ELS/58562  ","Ofsted Webpage")</f>
        <v>Ofsted Webpage</v>
      </c>
      <c r="B542" s="151">
        <v>58562</v>
      </c>
      <c r="C542" s="151">
        <v>10021391</v>
      </c>
      <c r="D542" s="46" t="s">
        <v>572</v>
      </c>
      <c r="E542" s="26" t="s">
        <v>78</v>
      </c>
      <c r="F542" s="26" t="s">
        <v>79</v>
      </c>
      <c r="G542" s="26" t="s">
        <v>421</v>
      </c>
      <c r="H542" s="26" t="s">
        <v>219</v>
      </c>
      <c r="I542" s="26" t="s">
        <v>219</v>
      </c>
      <c r="J542" s="2" t="s">
        <v>72</v>
      </c>
      <c r="K542" s="141" t="s">
        <v>72</v>
      </c>
      <c r="L542" s="141" t="s">
        <v>72</v>
      </c>
      <c r="M542" s="26" t="s">
        <v>72</v>
      </c>
      <c r="N542" s="2" t="s">
        <v>72</v>
      </c>
      <c r="O542" s="2" t="s">
        <v>72</v>
      </c>
      <c r="P542" s="133" t="s">
        <v>72</v>
      </c>
      <c r="Q542" s="6" t="s">
        <v>72</v>
      </c>
      <c r="R542" s="6" t="s">
        <v>72</v>
      </c>
      <c r="S542" s="6" t="s">
        <v>72</v>
      </c>
      <c r="T542" s="6" t="s">
        <v>72</v>
      </c>
      <c r="U542" s="6" t="s">
        <v>72</v>
      </c>
      <c r="V542" s="6" t="s">
        <v>72</v>
      </c>
      <c r="W542" s="5" t="s">
        <v>72</v>
      </c>
      <c r="X542" s="6" t="s">
        <v>72</v>
      </c>
      <c r="Y542" s="6" t="s">
        <v>72</v>
      </c>
      <c r="Z542" s="6" t="s">
        <v>72</v>
      </c>
      <c r="AA542" s="6" t="s">
        <v>72</v>
      </c>
      <c r="AB542" s="6" t="s">
        <v>72</v>
      </c>
      <c r="AC542" s="6" t="s">
        <v>72</v>
      </c>
    </row>
    <row r="543" spans="1:29" x14ac:dyDescent="0.25">
      <c r="A543" s="145" t="str">
        <f>HYPERLINK("http://www.ofsted.gov.uk/inspection-reports/find-inspection-report/provider/ELS/58563  ","Ofsted Webpage")</f>
        <v>Ofsted Webpage</v>
      </c>
      <c r="B543" s="151">
        <v>58563</v>
      </c>
      <c r="C543" s="151">
        <v>10020395</v>
      </c>
      <c r="D543" s="46" t="s">
        <v>476</v>
      </c>
      <c r="E543" s="26" t="s">
        <v>78</v>
      </c>
      <c r="F543" s="26" t="s">
        <v>79</v>
      </c>
      <c r="G543" s="26" t="s">
        <v>477</v>
      </c>
      <c r="H543" s="26" t="s">
        <v>287</v>
      </c>
      <c r="I543" s="26" t="s">
        <v>287</v>
      </c>
      <c r="J543" s="2" t="s">
        <v>72</v>
      </c>
      <c r="K543" s="141" t="s">
        <v>72</v>
      </c>
      <c r="L543" s="141">
        <v>10020186</v>
      </c>
      <c r="M543" s="26" t="s">
        <v>183</v>
      </c>
      <c r="N543" s="2">
        <v>42674</v>
      </c>
      <c r="O543" s="2">
        <v>42677</v>
      </c>
      <c r="P543" s="133">
        <v>42760</v>
      </c>
      <c r="Q543" s="6">
        <v>3</v>
      </c>
      <c r="R543" s="6">
        <v>3</v>
      </c>
      <c r="S543" s="6">
        <v>3</v>
      </c>
      <c r="T543" s="6">
        <v>2</v>
      </c>
      <c r="U543" s="6">
        <v>3</v>
      </c>
      <c r="V543" s="6" t="s">
        <v>478</v>
      </c>
      <c r="W543" s="5">
        <v>41600</v>
      </c>
      <c r="X543" s="6">
        <v>2</v>
      </c>
      <c r="Y543" s="6">
        <v>2</v>
      </c>
      <c r="Z543" s="6">
        <v>2</v>
      </c>
      <c r="AA543" s="6" t="s">
        <v>178</v>
      </c>
      <c r="AB543" s="6">
        <v>2</v>
      </c>
      <c r="AC543" s="6" t="s">
        <v>201</v>
      </c>
    </row>
    <row r="544" spans="1:29" x14ac:dyDescent="0.25">
      <c r="A544" s="145" t="str">
        <f>HYPERLINK("http://www.ofsted.gov.uk/inspection-reports/find-inspection-report/provider/ELS/58570  ","Ofsted Webpage")</f>
        <v>Ofsted Webpage</v>
      </c>
      <c r="B544" s="131">
        <v>58570</v>
      </c>
      <c r="C544" s="131">
        <v>10022405</v>
      </c>
      <c r="D544" s="46" t="s">
        <v>2742</v>
      </c>
      <c r="E544" s="26" t="s">
        <v>78</v>
      </c>
      <c r="F544" s="26" t="s">
        <v>79</v>
      </c>
      <c r="G544" s="26" t="s">
        <v>705</v>
      </c>
      <c r="H544" s="26" t="s">
        <v>187</v>
      </c>
      <c r="I544" s="26" t="s">
        <v>188</v>
      </c>
      <c r="J544" s="2" t="s">
        <v>72</v>
      </c>
      <c r="K544" s="26" t="s">
        <v>72</v>
      </c>
      <c r="L544" s="26" t="s">
        <v>2743</v>
      </c>
      <c r="M544" s="26" t="s">
        <v>466</v>
      </c>
      <c r="N544" s="2">
        <v>42178</v>
      </c>
      <c r="O544" s="2">
        <v>42181</v>
      </c>
      <c r="P544" s="2">
        <v>42216</v>
      </c>
      <c r="Q544" s="6">
        <v>2</v>
      </c>
      <c r="R544" s="6">
        <v>2</v>
      </c>
      <c r="S544" s="6">
        <v>2</v>
      </c>
      <c r="T544" s="120" t="s">
        <v>178</v>
      </c>
      <c r="U544" s="6">
        <v>2</v>
      </c>
      <c r="V544" s="6" t="s">
        <v>72</v>
      </c>
      <c r="W544" s="5" t="s">
        <v>72</v>
      </c>
      <c r="X544" s="6" t="s">
        <v>72</v>
      </c>
      <c r="Y544" s="6" t="s">
        <v>72</v>
      </c>
      <c r="Z544" s="6" t="s">
        <v>72</v>
      </c>
      <c r="AA544" s="6" t="s">
        <v>72</v>
      </c>
      <c r="AB544" s="6" t="s">
        <v>72</v>
      </c>
      <c r="AC544" s="6" t="s">
        <v>208</v>
      </c>
    </row>
    <row r="545" spans="1:29" x14ac:dyDescent="0.25">
      <c r="A545" s="145" t="str">
        <f>HYPERLINK("http://www.ofsted.gov.uk/inspection-reports/find-inspection-report/provider/ELS/58581  ","Ofsted Webpage")</f>
        <v>Ofsted Webpage</v>
      </c>
      <c r="B545" s="151">
        <v>58581</v>
      </c>
      <c r="C545" s="151">
        <v>10019431</v>
      </c>
      <c r="D545" s="46" t="s">
        <v>2642</v>
      </c>
      <c r="E545" s="26" t="s">
        <v>78</v>
      </c>
      <c r="F545" s="26" t="s">
        <v>79</v>
      </c>
      <c r="G545" s="26" t="s">
        <v>186</v>
      </c>
      <c r="H545" s="26" t="s">
        <v>187</v>
      </c>
      <c r="I545" s="26" t="s">
        <v>188</v>
      </c>
      <c r="J545" s="2">
        <v>42389</v>
      </c>
      <c r="K545" s="141">
        <v>1</v>
      </c>
      <c r="L545" s="141" t="s">
        <v>2643</v>
      </c>
      <c r="M545" s="26" t="s">
        <v>1217</v>
      </c>
      <c r="N545" s="2">
        <v>40581</v>
      </c>
      <c r="O545" s="2">
        <v>40585</v>
      </c>
      <c r="P545" s="133">
        <v>40621</v>
      </c>
      <c r="Q545" s="6">
        <v>2</v>
      </c>
      <c r="R545" s="6">
        <v>1</v>
      </c>
      <c r="S545" s="6">
        <v>2</v>
      </c>
      <c r="T545" s="120" t="s">
        <v>178</v>
      </c>
      <c r="U545" s="6">
        <v>2</v>
      </c>
      <c r="V545" s="6" t="s">
        <v>72</v>
      </c>
      <c r="W545" s="5" t="s">
        <v>72</v>
      </c>
      <c r="X545" s="6" t="s">
        <v>72</v>
      </c>
      <c r="Y545" s="6" t="s">
        <v>72</v>
      </c>
      <c r="Z545" s="6" t="s">
        <v>72</v>
      </c>
      <c r="AA545" s="6" t="s">
        <v>72</v>
      </c>
      <c r="AB545" s="6" t="s">
        <v>72</v>
      </c>
      <c r="AC545" s="6" t="s">
        <v>208</v>
      </c>
    </row>
    <row r="546" spans="1:29" x14ac:dyDescent="0.25">
      <c r="A546" s="145" t="str">
        <f>HYPERLINK("http://www.ofsted.gov.uk/inspection-reports/find-inspection-report/provider/ELS/58587  ","Ofsted Webpage")</f>
        <v>Ofsted Webpage</v>
      </c>
      <c r="B546" s="151">
        <v>58587</v>
      </c>
      <c r="C546" s="151">
        <v>10022461</v>
      </c>
      <c r="D546" s="46" t="s">
        <v>2427</v>
      </c>
      <c r="E546" s="26" t="s">
        <v>78</v>
      </c>
      <c r="F546" s="26" t="s">
        <v>79</v>
      </c>
      <c r="G546" s="26" t="s">
        <v>234</v>
      </c>
      <c r="H546" s="26" t="s">
        <v>175</v>
      </c>
      <c r="I546" s="26" t="s">
        <v>175</v>
      </c>
      <c r="J546" s="2" t="s">
        <v>72</v>
      </c>
      <c r="K546" s="141" t="s">
        <v>72</v>
      </c>
      <c r="L546" s="141">
        <v>10022543</v>
      </c>
      <c r="M546" s="26" t="s">
        <v>183</v>
      </c>
      <c r="N546" s="2">
        <v>42745</v>
      </c>
      <c r="O546" s="2">
        <v>42748</v>
      </c>
      <c r="P546" s="133">
        <v>42818</v>
      </c>
      <c r="Q546" s="6">
        <v>3</v>
      </c>
      <c r="R546" s="6">
        <v>3</v>
      </c>
      <c r="S546" s="6">
        <v>3</v>
      </c>
      <c r="T546" s="6">
        <v>3</v>
      </c>
      <c r="U546" s="6">
        <v>3</v>
      </c>
      <c r="V546" s="6" t="s">
        <v>2428</v>
      </c>
      <c r="W546" s="5">
        <v>41789</v>
      </c>
      <c r="X546" s="6">
        <v>2</v>
      </c>
      <c r="Y546" s="6">
        <v>2</v>
      </c>
      <c r="Z546" s="6">
        <v>2</v>
      </c>
      <c r="AA546" s="6" t="s">
        <v>178</v>
      </c>
      <c r="AB546" s="6">
        <v>2</v>
      </c>
      <c r="AC546" s="6" t="s">
        <v>201</v>
      </c>
    </row>
    <row r="547" spans="1:29" x14ac:dyDescent="0.25">
      <c r="A547" s="145" t="str">
        <f>HYPERLINK("http://www.ofsted.gov.uk/inspection-reports/find-inspection-report/provider/ELS/58588  ","Ofsted Webpage")</f>
        <v>Ofsted Webpage</v>
      </c>
      <c r="B547" s="151">
        <v>58588</v>
      </c>
      <c r="C547" s="151">
        <v>10019780</v>
      </c>
      <c r="D547" s="46" t="s">
        <v>874</v>
      </c>
      <c r="E547" s="26" t="s">
        <v>80</v>
      </c>
      <c r="F547" s="26" t="s">
        <v>79</v>
      </c>
      <c r="G547" s="26" t="s">
        <v>294</v>
      </c>
      <c r="H547" s="26" t="s">
        <v>198</v>
      </c>
      <c r="I547" s="26" t="s">
        <v>198</v>
      </c>
      <c r="J547" s="2" t="s">
        <v>72</v>
      </c>
      <c r="K547" s="141" t="s">
        <v>72</v>
      </c>
      <c r="L547" s="141">
        <v>10011532</v>
      </c>
      <c r="M547" s="26" t="s">
        <v>183</v>
      </c>
      <c r="N547" s="2">
        <v>42549</v>
      </c>
      <c r="O547" s="2">
        <v>42552</v>
      </c>
      <c r="P547" s="133">
        <v>42597</v>
      </c>
      <c r="Q547" s="6">
        <v>2</v>
      </c>
      <c r="R547" s="6">
        <v>2</v>
      </c>
      <c r="S547" s="6">
        <v>2</v>
      </c>
      <c r="T547" s="6">
        <v>2</v>
      </c>
      <c r="U547" s="6">
        <v>2</v>
      </c>
      <c r="V547" s="6" t="s">
        <v>875</v>
      </c>
      <c r="W547" s="5">
        <v>40809</v>
      </c>
      <c r="X547" s="6">
        <v>2</v>
      </c>
      <c r="Y547" s="6">
        <v>2</v>
      </c>
      <c r="Z547" s="6">
        <v>2</v>
      </c>
      <c r="AA547" s="6" t="s">
        <v>178</v>
      </c>
      <c r="AB547" s="6">
        <v>2</v>
      </c>
      <c r="AC547" s="6" t="s">
        <v>180</v>
      </c>
    </row>
    <row r="548" spans="1:29" x14ac:dyDescent="0.25">
      <c r="A548" s="145" t="str">
        <f>HYPERLINK("http://www.ofsted.gov.uk/inspection-reports/find-inspection-report/provider/ELS/58590  ","Ofsted Webpage")</f>
        <v>Ofsted Webpage</v>
      </c>
      <c r="B548" s="151">
        <v>58590</v>
      </c>
      <c r="C548" s="151">
        <v>10023368</v>
      </c>
      <c r="D548" s="46" t="s">
        <v>1319</v>
      </c>
      <c r="E548" s="26" t="s">
        <v>80</v>
      </c>
      <c r="F548" s="26" t="s">
        <v>79</v>
      </c>
      <c r="G548" s="26" t="s">
        <v>1320</v>
      </c>
      <c r="H548" s="26" t="s">
        <v>497</v>
      </c>
      <c r="I548" s="26" t="s">
        <v>219</v>
      </c>
      <c r="J548" s="2">
        <v>42321</v>
      </c>
      <c r="K548" s="141">
        <v>1</v>
      </c>
      <c r="L548" s="141" t="s">
        <v>1321</v>
      </c>
      <c r="M548" s="26" t="s">
        <v>333</v>
      </c>
      <c r="N548" s="2">
        <v>41170</v>
      </c>
      <c r="O548" s="2">
        <v>41173</v>
      </c>
      <c r="P548" s="133">
        <v>41208</v>
      </c>
      <c r="Q548" s="6">
        <v>2</v>
      </c>
      <c r="R548" s="6">
        <v>1</v>
      </c>
      <c r="S548" s="6">
        <v>2</v>
      </c>
      <c r="T548" s="120" t="s">
        <v>178</v>
      </c>
      <c r="U548" s="6">
        <v>2</v>
      </c>
      <c r="V548" s="6" t="s">
        <v>1322</v>
      </c>
      <c r="W548" s="5">
        <v>40501</v>
      </c>
      <c r="X548" s="6">
        <v>3</v>
      </c>
      <c r="Y548" s="6">
        <v>3</v>
      </c>
      <c r="Z548" s="6">
        <v>3</v>
      </c>
      <c r="AA548" s="6" t="s">
        <v>178</v>
      </c>
      <c r="AB548" s="6">
        <v>3</v>
      </c>
      <c r="AC548" s="6" t="s">
        <v>216</v>
      </c>
    </row>
    <row r="549" spans="1:29" x14ac:dyDescent="0.25">
      <c r="A549" s="145" t="str">
        <f>HYPERLINK("http://www.ofsted.gov.uk/inspection-reports/find-inspection-report/provider/ELS/58591  ","Ofsted Webpage")</f>
        <v>Ofsted Webpage</v>
      </c>
      <c r="B549" s="151">
        <v>58591</v>
      </c>
      <c r="C549" s="151">
        <v>10023415</v>
      </c>
      <c r="D549" s="46" t="s">
        <v>1436</v>
      </c>
      <c r="E549" s="26" t="s">
        <v>80</v>
      </c>
      <c r="F549" s="26" t="s">
        <v>79</v>
      </c>
      <c r="G549" s="26" t="s">
        <v>348</v>
      </c>
      <c r="H549" s="26" t="s">
        <v>238</v>
      </c>
      <c r="I549" s="26" t="s">
        <v>238</v>
      </c>
      <c r="J549" s="2" t="s">
        <v>72</v>
      </c>
      <c r="K549" s="141" t="s">
        <v>72</v>
      </c>
      <c r="L549" s="141">
        <v>10011533</v>
      </c>
      <c r="M549" s="26" t="s">
        <v>183</v>
      </c>
      <c r="N549" s="2">
        <v>42500</v>
      </c>
      <c r="O549" s="2">
        <v>42503</v>
      </c>
      <c r="P549" s="133">
        <v>42524</v>
      </c>
      <c r="Q549" s="6">
        <v>2</v>
      </c>
      <c r="R549" s="6">
        <v>2</v>
      </c>
      <c r="S549" s="6">
        <v>2</v>
      </c>
      <c r="T549" s="6">
        <v>2</v>
      </c>
      <c r="U549" s="6">
        <v>2</v>
      </c>
      <c r="V549" s="6" t="s">
        <v>1437</v>
      </c>
      <c r="W549" s="5">
        <v>40732</v>
      </c>
      <c r="X549" s="6">
        <v>2</v>
      </c>
      <c r="Y549" s="6">
        <v>2</v>
      </c>
      <c r="Z549" s="6">
        <v>2</v>
      </c>
      <c r="AA549" s="6" t="s">
        <v>178</v>
      </c>
      <c r="AB549" s="6">
        <v>2</v>
      </c>
      <c r="AC549" s="6" t="s">
        <v>180</v>
      </c>
    </row>
    <row r="550" spans="1:29" x14ac:dyDescent="0.25">
      <c r="A550" s="145" t="str">
        <f>HYPERLINK("http://www.ofsted.gov.uk/inspection-reports/find-inspection-report/provider/ELS/58595  ","Ofsted Webpage")</f>
        <v>Ofsted Webpage</v>
      </c>
      <c r="B550" s="151">
        <v>58595</v>
      </c>
      <c r="C550" s="151">
        <v>10021292</v>
      </c>
      <c r="D550" s="46" t="s">
        <v>266</v>
      </c>
      <c r="E550" s="26" t="s">
        <v>78</v>
      </c>
      <c r="F550" s="26" t="s">
        <v>79</v>
      </c>
      <c r="G550" s="26" t="s">
        <v>254</v>
      </c>
      <c r="H550" s="26" t="s">
        <v>193</v>
      </c>
      <c r="I550" s="26" t="s">
        <v>193</v>
      </c>
      <c r="J550" s="2" t="s">
        <v>72</v>
      </c>
      <c r="K550" s="141" t="s">
        <v>72</v>
      </c>
      <c r="L550" s="141" t="s">
        <v>72</v>
      </c>
      <c r="M550" s="26" t="s">
        <v>72</v>
      </c>
      <c r="N550" s="2" t="s">
        <v>72</v>
      </c>
      <c r="O550" s="2" t="s">
        <v>72</v>
      </c>
      <c r="P550" s="133" t="s">
        <v>72</v>
      </c>
      <c r="Q550" s="6" t="s">
        <v>72</v>
      </c>
      <c r="R550" s="6" t="s">
        <v>72</v>
      </c>
      <c r="S550" s="6" t="s">
        <v>72</v>
      </c>
      <c r="T550" s="6" t="s">
        <v>72</v>
      </c>
      <c r="U550" s="6" t="s">
        <v>72</v>
      </c>
      <c r="V550" s="6" t="s">
        <v>72</v>
      </c>
      <c r="W550" s="5" t="s">
        <v>72</v>
      </c>
      <c r="X550" s="6" t="s">
        <v>72</v>
      </c>
      <c r="Y550" s="6" t="s">
        <v>72</v>
      </c>
      <c r="Z550" s="6" t="s">
        <v>72</v>
      </c>
      <c r="AA550" s="6" t="s">
        <v>72</v>
      </c>
      <c r="AB550" s="6" t="s">
        <v>72</v>
      </c>
      <c r="AC550" s="6" t="s">
        <v>72</v>
      </c>
    </row>
    <row r="551" spans="1:29" x14ac:dyDescent="0.25">
      <c r="A551" s="145" t="str">
        <f>HYPERLINK("http://www.ofsted.gov.uk/inspection-reports/find-inspection-report/provider/ELS/58611  ","Ofsted Webpage")</f>
        <v>Ofsted Webpage</v>
      </c>
      <c r="B551" s="151">
        <v>58611</v>
      </c>
      <c r="C551" s="151">
        <v>10021684</v>
      </c>
      <c r="D551" s="46" t="s">
        <v>1453</v>
      </c>
      <c r="E551" s="26" t="s">
        <v>77</v>
      </c>
      <c r="F551" s="26" t="s">
        <v>76</v>
      </c>
      <c r="G551" s="26" t="s">
        <v>683</v>
      </c>
      <c r="H551" s="26" t="s">
        <v>175</v>
      </c>
      <c r="I551" s="26" t="s">
        <v>175</v>
      </c>
      <c r="J551" s="2">
        <v>43040</v>
      </c>
      <c r="K551" s="141">
        <v>1</v>
      </c>
      <c r="L551" s="141" t="s">
        <v>1454</v>
      </c>
      <c r="M551" s="26" t="s">
        <v>342</v>
      </c>
      <c r="N551" s="2">
        <v>41967</v>
      </c>
      <c r="O551" s="2">
        <v>41971</v>
      </c>
      <c r="P551" s="133">
        <v>42017</v>
      </c>
      <c r="Q551" s="6">
        <v>2</v>
      </c>
      <c r="R551" s="6">
        <v>2</v>
      </c>
      <c r="S551" s="6">
        <v>2</v>
      </c>
      <c r="T551" s="120" t="s">
        <v>178</v>
      </c>
      <c r="U551" s="6">
        <v>2</v>
      </c>
      <c r="V551" s="6" t="s">
        <v>1455</v>
      </c>
      <c r="W551" s="5">
        <v>41453</v>
      </c>
      <c r="X551" s="6">
        <v>3</v>
      </c>
      <c r="Y551" s="6">
        <v>3</v>
      </c>
      <c r="Z551" s="6">
        <v>3</v>
      </c>
      <c r="AA551" s="6" t="s">
        <v>178</v>
      </c>
      <c r="AB551" s="6">
        <v>3</v>
      </c>
      <c r="AC551" s="6" t="s">
        <v>216</v>
      </c>
    </row>
    <row r="552" spans="1:29" x14ac:dyDescent="0.25">
      <c r="A552" s="145" t="str">
        <f>HYPERLINK("http://www.ofsted.gov.uk/inspection-reports/find-inspection-report/provider/ELS/58614  ","Ofsted Webpage")</f>
        <v>Ofsted Webpage</v>
      </c>
      <c r="B552" s="151">
        <v>58614</v>
      </c>
      <c r="C552" s="151">
        <v>10023047</v>
      </c>
      <c r="D552" s="46" t="s">
        <v>2197</v>
      </c>
      <c r="E552" s="26" t="s">
        <v>78</v>
      </c>
      <c r="F552" s="26" t="s">
        <v>79</v>
      </c>
      <c r="G552" s="26" t="s">
        <v>437</v>
      </c>
      <c r="H552" s="26" t="s">
        <v>214</v>
      </c>
      <c r="I552" s="26" t="s">
        <v>214</v>
      </c>
      <c r="J552" s="2" t="s">
        <v>72</v>
      </c>
      <c r="K552" s="141" t="s">
        <v>72</v>
      </c>
      <c r="L552" s="141" t="s">
        <v>2198</v>
      </c>
      <c r="M552" s="26" t="s">
        <v>342</v>
      </c>
      <c r="N552" s="2">
        <v>41960</v>
      </c>
      <c r="O552" s="2">
        <v>41964</v>
      </c>
      <c r="P552" s="133">
        <v>41996</v>
      </c>
      <c r="Q552" s="6">
        <v>2</v>
      </c>
      <c r="R552" s="6">
        <v>2</v>
      </c>
      <c r="S552" s="6">
        <v>2</v>
      </c>
      <c r="T552" s="120" t="s">
        <v>178</v>
      </c>
      <c r="U552" s="6">
        <v>1</v>
      </c>
      <c r="V552" s="6" t="s">
        <v>2199</v>
      </c>
      <c r="W552" s="5">
        <v>41474</v>
      </c>
      <c r="X552" s="6">
        <v>3</v>
      </c>
      <c r="Y552" s="6">
        <v>3</v>
      </c>
      <c r="Z552" s="6">
        <v>2</v>
      </c>
      <c r="AA552" s="6" t="s">
        <v>178</v>
      </c>
      <c r="AB552" s="6">
        <v>2</v>
      </c>
      <c r="AC552" s="6" t="s">
        <v>216</v>
      </c>
    </row>
    <row r="553" spans="1:29" x14ac:dyDescent="0.25">
      <c r="A553" s="145" t="str">
        <f>HYPERLINK("http://www.ofsted.gov.uk/inspection-reports/find-inspection-report/provider/ELS/58615  ","Ofsted Webpage")</f>
        <v>Ofsted Webpage</v>
      </c>
      <c r="B553" s="151">
        <v>58615</v>
      </c>
      <c r="C553" s="151">
        <v>10022763</v>
      </c>
      <c r="D553" s="46" t="s">
        <v>486</v>
      </c>
      <c r="E553" s="26" t="s">
        <v>78</v>
      </c>
      <c r="F553" s="26" t="s">
        <v>79</v>
      </c>
      <c r="G553" s="26" t="s">
        <v>319</v>
      </c>
      <c r="H553" s="26" t="s">
        <v>204</v>
      </c>
      <c r="I553" s="26" t="s">
        <v>188</v>
      </c>
      <c r="J553" s="2" t="s">
        <v>72</v>
      </c>
      <c r="K553" s="141" t="s">
        <v>72</v>
      </c>
      <c r="L553" s="141">
        <v>10011534</v>
      </c>
      <c r="M553" s="26" t="s">
        <v>183</v>
      </c>
      <c r="N553" s="2">
        <v>42499</v>
      </c>
      <c r="O553" s="2">
        <v>42502</v>
      </c>
      <c r="P553" s="133">
        <v>42527</v>
      </c>
      <c r="Q553" s="6">
        <v>2</v>
      </c>
      <c r="R553" s="6">
        <v>2</v>
      </c>
      <c r="S553" s="6">
        <v>2</v>
      </c>
      <c r="T553" s="6">
        <v>2</v>
      </c>
      <c r="U553" s="6">
        <v>2</v>
      </c>
      <c r="V553" s="6" t="s">
        <v>487</v>
      </c>
      <c r="W553" s="5">
        <v>39997</v>
      </c>
      <c r="X553" s="6">
        <v>1</v>
      </c>
      <c r="Y553" s="6">
        <v>1</v>
      </c>
      <c r="Z553" s="6">
        <v>1</v>
      </c>
      <c r="AA553" s="6" t="s">
        <v>178</v>
      </c>
      <c r="AB553" s="6">
        <v>1</v>
      </c>
      <c r="AC553" s="6" t="s">
        <v>201</v>
      </c>
    </row>
    <row r="554" spans="1:29" x14ac:dyDescent="0.25">
      <c r="A554" s="145" t="str">
        <f>HYPERLINK("http://www.ofsted.gov.uk/inspection-reports/find-inspection-report/provider/ELS/58700  ","Ofsted Webpage")</f>
        <v>Ofsted Webpage</v>
      </c>
      <c r="B554" s="151">
        <v>58700</v>
      </c>
      <c r="C554" s="151">
        <v>10003207</v>
      </c>
      <c r="D554" s="46" t="s">
        <v>576</v>
      </c>
      <c r="E554" s="26" t="s">
        <v>77</v>
      </c>
      <c r="F554" s="26" t="s">
        <v>76</v>
      </c>
      <c r="G554" s="26" t="s">
        <v>469</v>
      </c>
      <c r="H554" s="26" t="s">
        <v>187</v>
      </c>
      <c r="I554" s="26" t="s">
        <v>188</v>
      </c>
      <c r="J554" s="2" t="s">
        <v>72</v>
      </c>
      <c r="K554" s="141" t="s">
        <v>72</v>
      </c>
      <c r="L554" s="141">
        <v>10005434</v>
      </c>
      <c r="M554" s="26" t="s">
        <v>189</v>
      </c>
      <c r="N554" s="2">
        <v>42290</v>
      </c>
      <c r="O554" s="2">
        <v>42293</v>
      </c>
      <c r="P554" s="133">
        <v>42317</v>
      </c>
      <c r="Q554" s="6">
        <v>2</v>
      </c>
      <c r="R554" s="6">
        <v>2</v>
      </c>
      <c r="S554" s="6">
        <v>2</v>
      </c>
      <c r="T554" s="6">
        <v>2</v>
      </c>
      <c r="U554" s="6">
        <v>2</v>
      </c>
      <c r="V554" s="6" t="s">
        <v>577</v>
      </c>
      <c r="W554" s="5">
        <v>41047</v>
      </c>
      <c r="X554" s="6">
        <v>2</v>
      </c>
      <c r="Y554" s="6">
        <v>2</v>
      </c>
      <c r="Z554" s="6">
        <v>2</v>
      </c>
      <c r="AA554" s="6" t="s">
        <v>178</v>
      </c>
      <c r="AB554" s="6">
        <v>2</v>
      </c>
      <c r="AC554" s="6" t="s">
        <v>180</v>
      </c>
    </row>
    <row r="555" spans="1:29" x14ac:dyDescent="0.25">
      <c r="A555" s="145" t="str">
        <f>HYPERLINK("http://www.ofsted.gov.uk/inspection-reports/find-inspection-report/provider/ELS/58719  ","Ofsted Webpage")</f>
        <v>Ofsted Webpage</v>
      </c>
      <c r="B555" s="151">
        <v>58719</v>
      </c>
      <c r="C555" s="151">
        <v>10010571</v>
      </c>
      <c r="D555" s="46" t="s">
        <v>196</v>
      </c>
      <c r="E555" s="26" t="s">
        <v>78</v>
      </c>
      <c r="F555" s="26" t="s">
        <v>79</v>
      </c>
      <c r="G555" s="26" t="s">
        <v>197</v>
      </c>
      <c r="H555" s="26" t="s">
        <v>198</v>
      </c>
      <c r="I555" s="26" t="s">
        <v>198</v>
      </c>
      <c r="J555" s="2" t="s">
        <v>72</v>
      </c>
      <c r="K555" s="141" t="s">
        <v>72</v>
      </c>
      <c r="L555" s="141">
        <v>10030750</v>
      </c>
      <c r="M555" s="26" t="s">
        <v>199</v>
      </c>
      <c r="N555" s="2">
        <v>42990</v>
      </c>
      <c r="O555" s="2">
        <v>42992</v>
      </c>
      <c r="P555" s="133">
        <v>43020</v>
      </c>
      <c r="Q555" s="6">
        <v>4</v>
      </c>
      <c r="R555" s="6">
        <v>4</v>
      </c>
      <c r="S555" s="6">
        <v>4</v>
      </c>
      <c r="T555" s="6">
        <v>3</v>
      </c>
      <c r="U555" s="6">
        <v>4</v>
      </c>
      <c r="V555" s="6">
        <v>10005075</v>
      </c>
      <c r="W555" s="5">
        <v>42391</v>
      </c>
      <c r="X555" s="6">
        <v>3</v>
      </c>
      <c r="Y555" s="6">
        <v>3</v>
      </c>
      <c r="Z555" s="6">
        <v>3</v>
      </c>
      <c r="AA555" s="6">
        <v>3</v>
      </c>
      <c r="AB555" s="6">
        <v>3</v>
      </c>
      <c r="AC555" s="6" t="s">
        <v>201</v>
      </c>
    </row>
    <row r="556" spans="1:29" x14ac:dyDescent="0.25">
      <c r="A556" s="145" t="str">
        <f>HYPERLINK("http://www.ofsted.gov.uk/inspection-reports/find-inspection-report/provider/ELS/58725  ","Ofsted Webpage")</f>
        <v>Ofsted Webpage</v>
      </c>
      <c r="B556" s="151">
        <v>58725</v>
      </c>
      <c r="C556" s="151">
        <v>10020256</v>
      </c>
      <c r="D556" s="46" t="s">
        <v>1067</v>
      </c>
      <c r="E556" s="26" t="s">
        <v>78</v>
      </c>
      <c r="F556" s="26" t="s">
        <v>79</v>
      </c>
      <c r="G556" s="26" t="s">
        <v>331</v>
      </c>
      <c r="H556" s="26" t="s">
        <v>214</v>
      </c>
      <c r="I556" s="26" t="s">
        <v>214</v>
      </c>
      <c r="J556" s="2" t="s">
        <v>72</v>
      </c>
      <c r="K556" s="141" t="s">
        <v>72</v>
      </c>
      <c r="L556" s="141" t="s">
        <v>1068</v>
      </c>
      <c r="M556" s="26" t="s">
        <v>466</v>
      </c>
      <c r="N556" s="2">
        <v>41696</v>
      </c>
      <c r="O556" s="2">
        <v>41698</v>
      </c>
      <c r="P556" s="133">
        <v>41732</v>
      </c>
      <c r="Q556" s="6">
        <v>2</v>
      </c>
      <c r="R556" s="6">
        <v>2</v>
      </c>
      <c r="S556" s="6">
        <v>2</v>
      </c>
      <c r="T556" s="120" t="s">
        <v>178</v>
      </c>
      <c r="U556" s="6">
        <v>2</v>
      </c>
      <c r="V556" s="6" t="s">
        <v>72</v>
      </c>
      <c r="W556" s="5" t="s">
        <v>72</v>
      </c>
      <c r="X556" s="6" t="s">
        <v>72</v>
      </c>
      <c r="Y556" s="6" t="s">
        <v>72</v>
      </c>
      <c r="Z556" s="6" t="s">
        <v>72</v>
      </c>
      <c r="AA556" s="6" t="s">
        <v>72</v>
      </c>
      <c r="AB556" s="6" t="s">
        <v>72</v>
      </c>
      <c r="AC556" s="6" t="s">
        <v>208</v>
      </c>
    </row>
    <row r="557" spans="1:29" x14ac:dyDescent="0.25">
      <c r="A557" s="145" t="str">
        <f>HYPERLINK("http://www.ofsted.gov.uk/inspection-reports/find-inspection-report/provider/ELS/58729  ","Ofsted Webpage")</f>
        <v>Ofsted Webpage</v>
      </c>
      <c r="B557" s="151">
        <v>58729</v>
      </c>
      <c r="C557" s="151">
        <v>10022507</v>
      </c>
      <c r="D557" s="46" t="s">
        <v>2587</v>
      </c>
      <c r="E557" s="26" t="s">
        <v>78</v>
      </c>
      <c r="F557" s="26" t="s">
        <v>79</v>
      </c>
      <c r="G557" s="26" t="s">
        <v>683</v>
      </c>
      <c r="H557" s="26" t="s">
        <v>175</v>
      </c>
      <c r="I557" s="26" t="s">
        <v>175</v>
      </c>
      <c r="J557" s="2" t="s">
        <v>72</v>
      </c>
      <c r="K557" s="141" t="s">
        <v>72</v>
      </c>
      <c r="L557" s="141">
        <v>10039581</v>
      </c>
      <c r="M557" s="26" t="s">
        <v>211</v>
      </c>
      <c r="N557" s="2">
        <v>43025</v>
      </c>
      <c r="O557" s="2">
        <v>43041</v>
      </c>
      <c r="P557" s="133">
        <v>43075</v>
      </c>
      <c r="Q557" s="6">
        <v>3</v>
      </c>
      <c r="R557" s="6">
        <v>3</v>
      </c>
      <c r="S557" s="6">
        <v>3</v>
      </c>
      <c r="T557" s="6">
        <v>3</v>
      </c>
      <c r="U557" s="6">
        <v>3</v>
      </c>
      <c r="V557" s="6" t="s">
        <v>2588</v>
      </c>
      <c r="W557" s="5">
        <v>41670</v>
      </c>
      <c r="X557" s="6">
        <v>2</v>
      </c>
      <c r="Y557" s="6">
        <v>2</v>
      </c>
      <c r="Z557" s="6">
        <v>2</v>
      </c>
      <c r="AA557" s="6" t="s">
        <v>178</v>
      </c>
      <c r="AB557" s="6">
        <v>2</v>
      </c>
      <c r="AC557" s="6" t="s">
        <v>201</v>
      </c>
    </row>
    <row r="558" spans="1:29" x14ac:dyDescent="0.25">
      <c r="A558" s="145" t="str">
        <f>HYPERLINK("http://www.ofsted.gov.uk/inspection-reports/find-inspection-report/provider/ELS/58735  ","Ofsted Webpage")</f>
        <v>Ofsted Webpage</v>
      </c>
      <c r="B558" s="151">
        <v>58735</v>
      </c>
      <c r="C558" s="151">
        <v>10019914</v>
      </c>
      <c r="D558" s="46" t="s">
        <v>570</v>
      </c>
      <c r="E558" s="26" t="s">
        <v>78</v>
      </c>
      <c r="F558" s="26" t="s">
        <v>79</v>
      </c>
      <c r="G558" s="26" t="s">
        <v>367</v>
      </c>
      <c r="H558" s="26" t="s">
        <v>175</v>
      </c>
      <c r="I558" s="26" t="s">
        <v>175</v>
      </c>
      <c r="J558" s="2" t="s">
        <v>72</v>
      </c>
      <c r="K558" s="141" t="s">
        <v>72</v>
      </c>
      <c r="L558" s="141" t="s">
        <v>72</v>
      </c>
      <c r="M558" s="26" t="s">
        <v>72</v>
      </c>
      <c r="N558" s="2" t="s">
        <v>72</v>
      </c>
      <c r="O558" s="2" t="s">
        <v>72</v>
      </c>
      <c r="P558" s="133" t="s">
        <v>72</v>
      </c>
      <c r="Q558" s="6" t="s">
        <v>72</v>
      </c>
      <c r="R558" s="6" t="s">
        <v>72</v>
      </c>
      <c r="S558" s="6" t="s">
        <v>72</v>
      </c>
      <c r="T558" s="6" t="s">
        <v>72</v>
      </c>
      <c r="U558" s="6" t="s">
        <v>72</v>
      </c>
      <c r="V558" s="6" t="s">
        <v>72</v>
      </c>
      <c r="W558" s="5" t="s">
        <v>72</v>
      </c>
      <c r="X558" s="6" t="s">
        <v>72</v>
      </c>
      <c r="Y558" s="6" t="s">
        <v>72</v>
      </c>
      <c r="Z558" s="6" t="s">
        <v>72</v>
      </c>
      <c r="AA558" s="6" t="s">
        <v>72</v>
      </c>
      <c r="AB558" s="6" t="s">
        <v>72</v>
      </c>
      <c r="AC558" s="6" t="s">
        <v>72</v>
      </c>
    </row>
    <row r="559" spans="1:29" x14ac:dyDescent="0.25">
      <c r="A559" s="145" t="str">
        <f>HYPERLINK("http://www.ofsted.gov.uk/inspection-reports/find-inspection-report/provider/ELS/58736  ","Ofsted Webpage")</f>
        <v>Ofsted Webpage</v>
      </c>
      <c r="B559" s="151">
        <v>58736</v>
      </c>
      <c r="C559" s="151">
        <v>10013362</v>
      </c>
      <c r="D559" s="46" t="s">
        <v>1317</v>
      </c>
      <c r="E559" s="26" t="s">
        <v>80</v>
      </c>
      <c r="F559" s="26" t="s">
        <v>79</v>
      </c>
      <c r="G559" s="26" t="s">
        <v>319</v>
      </c>
      <c r="H559" s="26" t="s">
        <v>204</v>
      </c>
      <c r="I559" s="26" t="s">
        <v>188</v>
      </c>
      <c r="J559" s="2" t="s">
        <v>72</v>
      </c>
      <c r="K559" s="141" t="s">
        <v>72</v>
      </c>
      <c r="L559" s="141">
        <v>10011536</v>
      </c>
      <c r="M559" s="26" t="s">
        <v>183</v>
      </c>
      <c r="N559" s="2">
        <v>42598</v>
      </c>
      <c r="O559" s="2">
        <v>42601</v>
      </c>
      <c r="P559" s="133">
        <v>42621</v>
      </c>
      <c r="Q559" s="6">
        <v>1</v>
      </c>
      <c r="R559" s="6">
        <v>1</v>
      </c>
      <c r="S559" s="6">
        <v>1</v>
      </c>
      <c r="T559" s="6">
        <v>1</v>
      </c>
      <c r="U559" s="6">
        <v>1</v>
      </c>
      <c r="V559" s="6" t="s">
        <v>1318</v>
      </c>
      <c r="W559" s="5">
        <v>40158</v>
      </c>
      <c r="X559" s="6">
        <v>2</v>
      </c>
      <c r="Y559" s="6">
        <v>2</v>
      </c>
      <c r="Z559" s="6">
        <v>2</v>
      </c>
      <c r="AA559" s="6" t="s">
        <v>178</v>
      </c>
      <c r="AB559" s="6">
        <v>2</v>
      </c>
      <c r="AC559" s="6" t="s">
        <v>216</v>
      </c>
    </row>
    <row r="560" spans="1:29" x14ac:dyDescent="0.25">
      <c r="A560" s="145" t="str">
        <f>HYPERLINK("http://www.ofsted.gov.uk/inspection-reports/find-inspection-report/provider/ELS/58782  ","Ofsted Webpage")</f>
        <v>Ofsted Webpage</v>
      </c>
      <c r="B560" s="151">
        <v>58782</v>
      </c>
      <c r="C560" s="151">
        <v>10024714</v>
      </c>
      <c r="D560" s="46" t="s">
        <v>964</v>
      </c>
      <c r="E560" s="26" t="s">
        <v>80</v>
      </c>
      <c r="F560" s="26" t="s">
        <v>79</v>
      </c>
      <c r="G560" s="26" t="s">
        <v>768</v>
      </c>
      <c r="H560" s="26" t="s">
        <v>214</v>
      </c>
      <c r="I560" s="26" t="s">
        <v>214</v>
      </c>
      <c r="J560" s="2" t="s">
        <v>72</v>
      </c>
      <c r="K560" s="141" t="s">
        <v>72</v>
      </c>
      <c r="L560" s="141">
        <v>10020136</v>
      </c>
      <c r="M560" s="26" t="s">
        <v>183</v>
      </c>
      <c r="N560" s="2">
        <v>42676</v>
      </c>
      <c r="O560" s="2">
        <v>42678</v>
      </c>
      <c r="P560" s="133">
        <v>42712</v>
      </c>
      <c r="Q560" s="6">
        <v>3</v>
      </c>
      <c r="R560" s="6">
        <v>2</v>
      </c>
      <c r="S560" s="6">
        <v>2</v>
      </c>
      <c r="T560" s="6">
        <v>2</v>
      </c>
      <c r="U560" s="6">
        <v>3</v>
      </c>
      <c r="V560" s="6" t="s">
        <v>965</v>
      </c>
      <c r="W560" s="5">
        <v>41236</v>
      </c>
      <c r="X560" s="6">
        <v>2</v>
      </c>
      <c r="Y560" s="6">
        <v>2</v>
      </c>
      <c r="Z560" s="6">
        <v>2</v>
      </c>
      <c r="AA560" s="6" t="s">
        <v>178</v>
      </c>
      <c r="AB560" s="6">
        <v>2</v>
      </c>
      <c r="AC560" s="6" t="s">
        <v>201</v>
      </c>
    </row>
    <row r="561" spans="1:29" x14ac:dyDescent="0.25">
      <c r="A561" s="145" t="str">
        <f>HYPERLINK("http://www.ofsted.gov.uk/inspection-reports/find-inspection-report/provider/ELS/58791  ","Ofsted Webpage")</f>
        <v>Ofsted Webpage</v>
      </c>
      <c r="B561" s="131">
        <v>58791</v>
      </c>
      <c r="C561" s="131">
        <v>10024426</v>
      </c>
      <c r="D561" s="46" t="s">
        <v>260</v>
      </c>
      <c r="E561" s="26" t="s">
        <v>78</v>
      </c>
      <c r="F561" s="26" t="s">
        <v>79</v>
      </c>
      <c r="G561" s="26" t="s">
        <v>261</v>
      </c>
      <c r="H561" s="26" t="s">
        <v>219</v>
      </c>
      <c r="I561" s="26" t="s">
        <v>219</v>
      </c>
      <c r="J561" s="2">
        <v>43005</v>
      </c>
      <c r="K561" s="141">
        <f>0+1</f>
        <v>1</v>
      </c>
      <c r="L561" s="26" t="s">
        <v>262</v>
      </c>
      <c r="M561" s="26" t="s">
        <v>466</v>
      </c>
      <c r="N561" s="2">
        <v>41829</v>
      </c>
      <c r="O561" s="2">
        <v>41831</v>
      </c>
      <c r="P561" s="2">
        <v>41866</v>
      </c>
      <c r="Q561" s="6">
        <v>2</v>
      </c>
      <c r="R561" s="6">
        <v>2</v>
      </c>
      <c r="S561" s="6">
        <v>2</v>
      </c>
      <c r="T561" s="120" t="s">
        <v>178</v>
      </c>
      <c r="U561" s="6">
        <v>2</v>
      </c>
      <c r="V561" s="6" t="s">
        <v>2315</v>
      </c>
      <c r="W561" s="5">
        <v>41096</v>
      </c>
      <c r="X561" s="6">
        <v>3</v>
      </c>
      <c r="Y561" s="6">
        <v>2</v>
      </c>
      <c r="Z561" s="6">
        <v>3</v>
      </c>
      <c r="AA561" s="6" t="s">
        <v>178</v>
      </c>
      <c r="AB561" s="6">
        <v>3</v>
      </c>
      <c r="AC561" s="6" t="s">
        <v>216</v>
      </c>
    </row>
    <row r="562" spans="1:29" x14ac:dyDescent="0.25">
      <c r="A562" s="145" t="str">
        <f>HYPERLINK("http://www.ofsted.gov.uk/inspection-reports/find-inspection-report/provider/ELS/58798  ","Ofsted Webpage")</f>
        <v>Ofsted Webpage</v>
      </c>
      <c r="B562" s="151">
        <v>58798</v>
      </c>
      <c r="C562" s="151">
        <v>10023999</v>
      </c>
      <c r="D562" s="46" t="s">
        <v>745</v>
      </c>
      <c r="E562" s="26" t="s">
        <v>80</v>
      </c>
      <c r="F562" s="26" t="s">
        <v>79</v>
      </c>
      <c r="G562" s="26" t="s">
        <v>441</v>
      </c>
      <c r="H562" s="26" t="s">
        <v>175</v>
      </c>
      <c r="I562" s="26" t="s">
        <v>175</v>
      </c>
      <c r="J562" s="2" t="s">
        <v>72</v>
      </c>
      <c r="K562" s="141" t="s">
        <v>72</v>
      </c>
      <c r="L562" s="141">
        <v>10011537</v>
      </c>
      <c r="M562" s="26" t="s">
        <v>183</v>
      </c>
      <c r="N562" s="2">
        <v>42507</v>
      </c>
      <c r="O562" s="2">
        <v>42510</v>
      </c>
      <c r="P562" s="133">
        <v>42542</v>
      </c>
      <c r="Q562" s="6">
        <v>2</v>
      </c>
      <c r="R562" s="6">
        <v>2</v>
      </c>
      <c r="S562" s="6">
        <v>2</v>
      </c>
      <c r="T562" s="6">
        <v>2</v>
      </c>
      <c r="U562" s="6">
        <v>2</v>
      </c>
      <c r="V562" s="6" t="s">
        <v>746</v>
      </c>
      <c r="W562" s="5">
        <v>40948</v>
      </c>
      <c r="X562" s="6">
        <v>2</v>
      </c>
      <c r="Y562" s="6">
        <v>2</v>
      </c>
      <c r="Z562" s="6">
        <v>2</v>
      </c>
      <c r="AA562" s="6" t="s">
        <v>178</v>
      </c>
      <c r="AB562" s="6">
        <v>2</v>
      </c>
      <c r="AC562" s="6" t="s">
        <v>180</v>
      </c>
    </row>
    <row r="563" spans="1:29" x14ac:dyDescent="0.25">
      <c r="A563" s="145" t="str">
        <f>HYPERLINK("http://www.ofsted.gov.uk/inspection-reports/find-inspection-report/provider/ELS/58800  ","Ofsted Webpage")</f>
        <v>Ofsted Webpage</v>
      </c>
      <c r="B563" s="151">
        <v>58800</v>
      </c>
      <c r="C563" s="151">
        <v>10024686</v>
      </c>
      <c r="D563" s="46" t="s">
        <v>2294</v>
      </c>
      <c r="E563" s="26" t="s">
        <v>78</v>
      </c>
      <c r="F563" s="26" t="s">
        <v>79</v>
      </c>
      <c r="G563" s="26" t="s">
        <v>265</v>
      </c>
      <c r="H563" s="26" t="s">
        <v>204</v>
      </c>
      <c r="I563" s="26" t="s">
        <v>188</v>
      </c>
      <c r="J563" s="2" t="s">
        <v>72</v>
      </c>
      <c r="K563" s="141" t="s">
        <v>72</v>
      </c>
      <c r="L563" s="141">
        <v>10006560</v>
      </c>
      <c r="M563" s="26" t="s">
        <v>211</v>
      </c>
      <c r="N563" s="2">
        <v>42311</v>
      </c>
      <c r="O563" s="2">
        <v>42314</v>
      </c>
      <c r="P563" s="133">
        <v>42341</v>
      </c>
      <c r="Q563" s="6">
        <v>2</v>
      </c>
      <c r="R563" s="6">
        <v>2</v>
      </c>
      <c r="S563" s="6">
        <v>2</v>
      </c>
      <c r="T563" s="6">
        <v>2</v>
      </c>
      <c r="U563" s="6">
        <v>2</v>
      </c>
      <c r="V563" s="6" t="s">
        <v>2295</v>
      </c>
      <c r="W563" s="5">
        <v>41025</v>
      </c>
      <c r="X563" s="6">
        <v>3</v>
      </c>
      <c r="Y563" s="6">
        <v>3</v>
      </c>
      <c r="Z563" s="6">
        <v>3</v>
      </c>
      <c r="AA563" s="6" t="s">
        <v>178</v>
      </c>
      <c r="AB563" s="6">
        <v>3</v>
      </c>
      <c r="AC563" s="6" t="s">
        <v>216</v>
      </c>
    </row>
    <row r="564" spans="1:29" x14ac:dyDescent="0.25">
      <c r="A564" s="145" t="str">
        <f>HYPERLINK("http://www.ofsted.gov.uk/inspection-reports/find-inspection-report/provider/ELS/58805  ","Ofsted Webpage")</f>
        <v>Ofsted Webpage</v>
      </c>
      <c r="B564" s="151">
        <v>58805</v>
      </c>
      <c r="C564" s="151">
        <v>10024317</v>
      </c>
      <c r="D564" s="46" t="s">
        <v>1426</v>
      </c>
      <c r="E564" s="26" t="s">
        <v>80</v>
      </c>
      <c r="F564" s="26" t="s">
        <v>79</v>
      </c>
      <c r="G564" s="26" t="s">
        <v>223</v>
      </c>
      <c r="H564" s="26" t="s">
        <v>193</v>
      </c>
      <c r="I564" s="26" t="s">
        <v>193</v>
      </c>
      <c r="J564" s="2" t="s">
        <v>72</v>
      </c>
      <c r="K564" s="141" t="s">
        <v>72</v>
      </c>
      <c r="L564" s="141">
        <v>10030714</v>
      </c>
      <c r="M564" s="26" t="s">
        <v>183</v>
      </c>
      <c r="N564" s="2">
        <v>42899</v>
      </c>
      <c r="O564" s="2">
        <v>42902</v>
      </c>
      <c r="P564" s="133">
        <v>42936</v>
      </c>
      <c r="Q564" s="6">
        <v>4</v>
      </c>
      <c r="R564" s="6">
        <v>4</v>
      </c>
      <c r="S564" s="6">
        <v>4</v>
      </c>
      <c r="T564" s="6">
        <v>4</v>
      </c>
      <c r="U564" s="6">
        <v>4</v>
      </c>
      <c r="V564" s="6" t="s">
        <v>1427</v>
      </c>
      <c r="W564" s="5">
        <v>41957</v>
      </c>
      <c r="X564" s="6">
        <v>2</v>
      </c>
      <c r="Y564" s="6">
        <v>3</v>
      </c>
      <c r="Z564" s="6">
        <v>2</v>
      </c>
      <c r="AA564" s="6" t="s">
        <v>178</v>
      </c>
      <c r="AB564" s="6">
        <v>2</v>
      </c>
      <c r="AC564" s="6" t="s">
        <v>201</v>
      </c>
    </row>
    <row r="565" spans="1:29" x14ac:dyDescent="0.25">
      <c r="A565" s="145" t="str">
        <f>HYPERLINK("http://www.ofsted.gov.uk/inspection-reports/find-inspection-report/provider/ELS/58806  ","Ofsted Webpage")</f>
        <v>Ofsted Webpage</v>
      </c>
      <c r="B565" s="151">
        <v>58806</v>
      </c>
      <c r="C565" s="151">
        <v>10000311</v>
      </c>
      <c r="D565" s="46" t="s">
        <v>495</v>
      </c>
      <c r="E565" s="26" t="s">
        <v>78</v>
      </c>
      <c r="F565" s="26" t="s">
        <v>79</v>
      </c>
      <c r="G565" s="26" t="s">
        <v>496</v>
      </c>
      <c r="H565" s="26" t="s">
        <v>497</v>
      </c>
      <c r="I565" s="26" t="s">
        <v>219</v>
      </c>
      <c r="J565" s="2" t="s">
        <v>72</v>
      </c>
      <c r="K565" s="141" t="s">
        <v>72</v>
      </c>
      <c r="L565" s="141" t="s">
        <v>498</v>
      </c>
      <c r="M565" s="26" t="s">
        <v>466</v>
      </c>
      <c r="N565" s="2">
        <v>41848</v>
      </c>
      <c r="O565" s="2">
        <v>41852</v>
      </c>
      <c r="P565" s="133">
        <v>41890</v>
      </c>
      <c r="Q565" s="6">
        <v>1</v>
      </c>
      <c r="R565" s="6">
        <v>1</v>
      </c>
      <c r="S565" s="6">
        <v>1</v>
      </c>
      <c r="T565" s="120" t="s">
        <v>178</v>
      </c>
      <c r="U565" s="6">
        <v>1</v>
      </c>
      <c r="V565" s="6" t="s">
        <v>499</v>
      </c>
      <c r="W565" s="5">
        <v>40739</v>
      </c>
      <c r="X565" s="6">
        <v>2</v>
      </c>
      <c r="Y565" s="6">
        <v>2</v>
      </c>
      <c r="Z565" s="6">
        <v>2</v>
      </c>
      <c r="AA565" s="6" t="s">
        <v>178</v>
      </c>
      <c r="AB565" s="6">
        <v>2</v>
      </c>
      <c r="AC565" s="6" t="s">
        <v>216</v>
      </c>
    </row>
    <row r="566" spans="1:29" x14ac:dyDescent="0.25">
      <c r="A566" s="145" t="str">
        <f>HYPERLINK("http://www.ofsted.gov.uk/inspection-reports/find-inspection-report/provider/ELS/58810  ","Ofsted Webpage")</f>
        <v>Ofsted Webpage</v>
      </c>
      <c r="B566" s="131">
        <v>58810</v>
      </c>
      <c r="C566" s="131">
        <v>10023925</v>
      </c>
      <c r="D566" s="46" t="s">
        <v>2316</v>
      </c>
      <c r="E566" s="26" t="s">
        <v>78</v>
      </c>
      <c r="F566" s="26" t="s">
        <v>79</v>
      </c>
      <c r="G566" s="26" t="s">
        <v>261</v>
      </c>
      <c r="H566" s="26" t="s">
        <v>219</v>
      </c>
      <c r="I566" s="26" t="s">
        <v>219</v>
      </c>
      <c r="J566" s="2">
        <v>42437</v>
      </c>
      <c r="K566" s="141">
        <f>0+1</f>
        <v>1</v>
      </c>
      <c r="L566" s="26" t="s">
        <v>2317</v>
      </c>
      <c r="M566" s="26" t="s">
        <v>445</v>
      </c>
      <c r="N566" s="2">
        <v>41149</v>
      </c>
      <c r="O566" s="2">
        <v>41152</v>
      </c>
      <c r="P566" s="2">
        <v>41187</v>
      </c>
      <c r="Q566" s="6">
        <v>2</v>
      </c>
      <c r="R566" s="6">
        <v>2</v>
      </c>
      <c r="S566" s="6">
        <v>2</v>
      </c>
      <c r="T566" s="120" t="s">
        <v>178</v>
      </c>
      <c r="U566" s="6">
        <v>2</v>
      </c>
      <c r="V566" s="6" t="s">
        <v>72</v>
      </c>
      <c r="W566" s="5" t="s">
        <v>72</v>
      </c>
      <c r="X566" s="6" t="s">
        <v>72</v>
      </c>
      <c r="Y566" s="6" t="s">
        <v>72</v>
      </c>
      <c r="Z566" s="6" t="s">
        <v>72</v>
      </c>
      <c r="AA566" s="6" t="s">
        <v>72</v>
      </c>
      <c r="AB566" s="6" t="s">
        <v>72</v>
      </c>
      <c r="AC566" s="6" t="s">
        <v>208</v>
      </c>
    </row>
    <row r="567" spans="1:29" x14ac:dyDescent="0.25">
      <c r="A567" s="145" t="str">
        <f>HYPERLINK("http://www.ofsted.gov.uk/inspection-reports/find-inspection-report/provider/ELS/58814  ","Ofsted Webpage")</f>
        <v>Ofsted Webpage</v>
      </c>
      <c r="B567" s="151">
        <v>58814</v>
      </c>
      <c r="C567" s="151">
        <v>10019798</v>
      </c>
      <c r="D567" s="46" t="s">
        <v>571</v>
      </c>
      <c r="E567" s="26" t="s">
        <v>78</v>
      </c>
      <c r="F567" s="26" t="s">
        <v>79</v>
      </c>
      <c r="G567" s="26" t="s">
        <v>441</v>
      </c>
      <c r="H567" s="26" t="s">
        <v>175</v>
      </c>
      <c r="I567" s="26" t="s">
        <v>175</v>
      </c>
      <c r="J567" s="2" t="s">
        <v>72</v>
      </c>
      <c r="K567" s="141" t="s">
        <v>72</v>
      </c>
      <c r="L567" s="141" t="s">
        <v>72</v>
      </c>
      <c r="M567" s="26" t="s">
        <v>72</v>
      </c>
      <c r="N567" s="2" t="s">
        <v>72</v>
      </c>
      <c r="O567" s="2" t="s">
        <v>72</v>
      </c>
      <c r="P567" s="133" t="s">
        <v>72</v>
      </c>
      <c r="Q567" s="6" t="s">
        <v>72</v>
      </c>
      <c r="R567" s="6" t="s">
        <v>72</v>
      </c>
      <c r="S567" s="6" t="s">
        <v>72</v>
      </c>
      <c r="T567" s="6" t="s">
        <v>72</v>
      </c>
      <c r="U567" s="6" t="s">
        <v>72</v>
      </c>
      <c r="V567" s="6" t="s">
        <v>72</v>
      </c>
      <c r="W567" s="5" t="s">
        <v>72</v>
      </c>
      <c r="X567" s="6" t="s">
        <v>72</v>
      </c>
      <c r="Y567" s="6" t="s">
        <v>72</v>
      </c>
      <c r="Z567" s="6" t="s">
        <v>72</v>
      </c>
      <c r="AA567" s="6" t="s">
        <v>72</v>
      </c>
      <c r="AB567" s="6" t="s">
        <v>72</v>
      </c>
      <c r="AC567" s="6" t="s">
        <v>72</v>
      </c>
    </row>
    <row r="568" spans="1:29" x14ac:dyDescent="0.25">
      <c r="A568" s="145" t="str">
        <f>HYPERLINK("http://www.ofsted.gov.uk/inspection-reports/find-inspection-report/provider/ELS/58818  ","Ofsted Webpage")</f>
        <v>Ofsted Webpage</v>
      </c>
      <c r="B568" s="151">
        <v>58818</v>
      </c>
      <c r="C568" s="151">
        <v>10020561</v>
      </c>
      <c r="D568" s="46" t="s">
        <v>2252</v>
      </c>
      <c r="E568" s="26" t="s">
        <v>78</v>
      </c>
      <c r="F568" s="26" t="s">
        <v>79</v>
      </c>
      <c r="G568" s="26" t="s">
        <v>247</v>
      </c>
      <c r="H568" s="26" t="s">
        <v>238</v>
      </c>
      <c r="I568" s="26" t="s">
        <v>238</v>
      </c>
      <c r="J568" s="2" t="s">
        <v>72</v>
      </c>
      <c r="K568" s="141" t="s">
        <v>72</v>
      </c>
      <c r="L568" s="141">
        <v>10011538</v>
      </c>
      <c r="M568" s="26" t="s">
        <v>211</v>
      </c>
      <c r="N568" s="2">
        <v>42570</v>
      </c>
      <c r="O568" s="2">
        <v>42572</v>
      </c>
      <c r="P568" s="119">
        <v>42607</v>
      </c>
      <c r="Q568" s="6">
        <v>4</v>
      </c>
      <c r="R568" s="6">
        <v>4</v>
      </c>
      <c r="S568" s="6">
        <v>4</v>
      </c>
      <c r="T568" s="6">
        <v>4</v>
      </c>
      <c r="U568" s="6">
        <v>4</v>
      </c>
      <c r="V568" s="6" t="s">
        <v>2253</v>
      </c>
      <c r="W568" s="5">
        <v>41376</v>
      </c>
      <c r="X568" s="6">
        <v>2</v>
      </c>
      <c r="Y568" s="6">
        <v>2</v>
      </c>
      <c r="Z568" s="6">
        <v>2</v>
      </c>
      <c r="AA568" s="6" t="s">
        <v>178</v>
      </c>
      <c r="AB568" s="6">
        <v>2</v>
      </c>
      <c r="AC568" s="6" t="s">
        <v>201</v>
      </c>
    </row>
    <row r="569" spans="1:29" x14ac:dyDescent="0.25">
      <c r="A569" s="145" t="str">
        <f>HYPERLINK("http://www.ofsted.gov.uk/inspection-reports/find-inspection-report/provider/ELS/58820  ","Ofsted Webpage")</f>
        <v>Ofsted Webpage</v>
      </c>
      <c r="B569" s="151">
        <v>58820</v>
      </c>
      <c r="C569" s="151">
        <v>10024124</v>
      </c>
      <c r="D569" s="46" t="s">
        <v>2215</v>
      </c>
      <c r="E569" s="26" t="s">
        <v>78</v>
      </c>
      <c r="F569" s="26" t="s">
        <v>79</v>
      </c>
      <c r="G569" s="26" t="s">
        <v>496</v>
      </c>
      <c r="H569" s="26" t="s">
        <v>497</v>
      </c>
      <c r="I569" s="26" t="s">
        <v>198</v>
      </c>
      <c r="J569" s="2" t="s">
        <v>72</v>
      </c>
      <c r="K569" s="141" t="s">
        <v>72</v>
      </c>
      <c r="L569" s="141">
        <v>10022510</v>
      </c>
      <c r="M569" s="26" t="s">
        <v>475</v>
      </c>
      <c r="N569" s="2">
        <v>42892</v>
      </c>
      <c r="O569" s="2">
        <v>42895</v>
      </c>
      <c r="P569" s="119">
        <v>42921</v>
      </c>
      <c r="Q569" s="6">
        <v>2</v>
      </c>
      <c r="R569" s="6">
        <v>2</v>
      </c>
      <c r="S569" s="6">
        <v>2</v>
      </c>
      <c r="T569" s="6">
        <v>2</v>
      </c>
      <c r="U569" s="6">
        <v>2</v>
      </c>
      <c r="V569" s="6" t="s">
        <v>2216</v>
      </c>
      <c r="W569" s="5">
        <v>42181</v>
      </c>
      <c r="X569" s="6">
        <v>3</v>
      </c>
      <c r="Y569" s="6">
        <v>2</v>
      </c>
      <c r="Z569" s="6">
        <v>2</v>
      </c>
      <c r="AA569" s="6" t="s">
        <v>178</v>
      </c>
      <c r="AB569" s="6">
        <v>3</v>
      </c>
      <c r="AC569" s="6" t="s">
        <v>216</v>
      </c>
    </row>
    <row r="570" spans="1:29" x14ac:dyDescent="0.25">
      <c r="A570" s="145" t="str">
        <f>HYPERLINK("http://www.ofsted.gov.uk/inspection-reports/find-inspection-report/provider/ELS/58830  ","Ofsted Webpage")</f>
        <v>Ofsted Webpage</v>
      </c>
      <c r="B570" s="151">
        <v>58830</v>
      </c>
      <c r="C570" s="151">
        <v>10031984</v>
      </c>
      <c r="D570" s="46" t="s">
        <v>2287</v>
      </c>
      <c r="E570" s="26" t="s">
        <v>78</v>
      </c>
      <c r="F570" s="26" t="s">
        <v>79</v>
      </c>
      <c r="G570" s="26" t="s">
        <v>379</v>
      </c>
      <c r="H570" s="26" t="s">
        <v>175</v>
      </c>
      <c r="I570" s="26" t="s">
        <v>175</v>
      </c>
      <c r="J570" s="2">
        <v>42468</v>
      </c>
      <c r="K570" s="141">
        <v>1</v>
      </c>
      <c r="L570" s="141" t="s">
        <v>2288</v>
      </c>
      <c r="M570" s="26" t="s">
        <v>333</v>
      </c>
      <c r="N570" s="2">
        <v>40854</v>
      </c>
      <c r="O570" s="2">
        <v>40858</v>
      </c>
      <c r="P570" s="133">
        <v>40893</v>
      </c>
      <c r="Q570" s="6">
        <v>2</v>
      </c>
      <c r="R570" s="6">
        <v>2</v>
      </c>
      <c r="S570" s="6">
        <v>2</v>
      </c>
      <c r="T570" s="120" t="s">
        <v>178</v>
      </c>
      <c r="U570" s="6">
        <v>2</v>
      </c>
      <c r="V570" s="6" t="s">
        <v>72</v>
      </c>
      <c r="W570" s="5" t="s">
        <v>72</v>
      </c>
      <c r="X570" s="6" t="s">
        <v>72</v>
      </c>
      <c r="Y570" s="6" t="s">
        <v>72</v>
      </c>
      <c r="Z570" s="6" t="s">
        <v>72</v>
      </c>
      <c r="AA570" s="6" t="s">
        <v>72</v>
      </c>
      <c r="AB570" s="6" t="s">
        <v>72</v>
      </c>
      <c r="AC570" s="6" t="s">
        <v>208</v>
      </c>
    </row>
    <row r="571" spans="1:29" x14ac:dyDescent="0.25">
      <c r="A571" s="145" t="str">
        <f>HYPERLINK("http://www.ofsted.gov.uk/inspection-reports/find-inspection-report/provider/ELS/58840  ","Ofsted Webpage")</f>
        <v>Ofsted Webpage</v>
      </c>
      <c r="B571" s="151">
        <v>58840</v>
      </c>
      <c r="C571" s="151">
        <v>10019041</v>
      </c>
      <c r="D571" s="46" t="s">
        <v>2989</v>
      </c>
      <c r="E571" s="26" t="s">
        <v>78</v>
      </c>
      <c r="F571" s="26" t="s">
        <v>79</v>
      </c>
      <c r="G571" s="26" t="s">
        <v>994</v>
      </c>
      <c r="H571" s="26" t="s">
        <v>187</v>
      </c>
      <c r="I571" s="26" t="s">
        <v>188</v>
      </c>
      <c r="J571" s="2" t="s">
        <v>72</v>
      </c>
      <c r="K571" s="141" t="s">
        <v>72</v>
      </c>
      <c r="L571" s="141" t="s">
        <v>72</v>
      </c>
      <c r="M571" s="26" t="s">
        <v>72</v>
      </c>
      <c r="N571" s="2" t="s">
        <v>72</v>
      </c>
      <c r="O571" s="2" t="s">
        <v>72</v>
      </c>
      <c r="P571" s="133" t="s">
        <v>72</v>
      </c>
      <c r="Q571" s="6" t="s">
        <v>72</v>
      </c>
      <c r="R571" s="6" t="s">
        <v>72</v>
      </c>
      <c r="S571" s="6" t="s">
        <v>72</v>
      </c>
      <c r="T571" s="6" t="s">
        <v>72</v>
      </c>
      <c r="U571" s="6" t="s">
        <v>72</v>
      </c>
      <c r="V571" s="6" t="s">
        <v>72</v>
      </c>
      <c r="W571" s="5" t="s">
        <v>72</v>
      </c>
      <c r="X571" s="6" t="s">
        <v>72</v>
      </c>
      <c r="Y571" s="6" t="s">
        <v>72</v>
      </c>
      <c r="Z571" s="6" t="s">
        <v>72</v>
      </c>
      <c r="AA571" s="6" t="s">
        <v>72</v>
      </c>
      <c r="AB571" s="6" t="s">
        <v>72</v>
      </c>
      <c r="AC571" s="6" t="s">
        <v>72</v>
      </c>
    </row>
    <row r="572" spans="1:29" x14ac:dyDescent="0.25">
      <c r="A572" s="145" t="str">
        <f>HYPERLINK("http://www.ofsted.gov.uk/inspection-reports/find-inspection-report/provider/ELS/58841  ","Ofsted Webpage")</f>
        <v>Ofsted Webpage</v>
      </c>
      <c r="B572" s="151">
        <v>58841</v>
      </c>
      <c r="C572" s="151">
        <v>10019383</v>
      </c>
      <c r="D572" s="46" t="s">
        <v>751</v>
      </c>
      <c r="E572" s="26" t="s">
        <v>77</v>
      </c>
      <c r="F572" s="26" t="s">
        <v>76</v>
      </c>
      <c r="G572" s="26" t="s">
        <v>336</v>
      </c>
      <c r="H572" s="26" t="s">
        <v>175</v>
      </c>
      <c r="I572" s="26" t="s">
        <v>175</v>
      </c>
      <c r="J572" s="2" t="s">
        <v>72</v>
      </c>
      <c r="K572" s="141" t="s">
        <v>72</v>
      </c>
      <c r="L572" s="141">
        <v>10030696</v>
      </c>
      <c r="M572" s="26" t="s">
        <v>189</v>
      </c>
      <c r="N572" s="2">
        <v>43011</v>
      </c>
      <c r="O572" s="2">
        <v>43014</v>
      </c>
      <c r="P572" s="133">
        <v>43046</v>
      </c>
      <c r="Q572" s="6">
        <v>3</v>
      </c>
      <c r="R572" s="6">
        <v>3</v>
      </c>
      <c r="S572" s="6">
        <v>3</v>
      </c>
      <c r="T572" s="6">
        <v>3</v>
      </c>
      <c r="U572" s="6">
        <v>3</v>
      </c>
      <c r="V572" s="6" t="s">
        <v>752</v>
      </c>
      <c r="W572" s="5">
        <v>42082</v>
      </c>
      <c r="X572" s="6">
        <v>2</v>
      </c>
      <c r="Y572" s="6">
        <v>2</v>
      </c>
      <c r="Z572" s="6">
        <v>2</v>
      </c>
      <c r="AA572" s="6" t="s">
        <v>178</v>
      </c>
      <c r="AB572" s="6">
        <v>2</v>
      </c>
      <c r="AC572" s="6" t="s">
        <v>201</v>
      </c>
    </row>
    <row r="573" spans="1:29" x14ac:dyDescent="0.25">
      <c r="A573" s="145" t="str">
        <f>HYPERLINK("http://www.ofsted.gov.uk/inspection-reports/find-inspection-report/provider/ELS/58852  ","Ofsted Webpage")</f>
        <v>Ofsted Webpage</v>
      </c>
      <c r="B573" s="151">
        <v>58852</v>
      </c>
      <c r="C573" s="151">
        <v>10013110</v>
      </c>
      <c r="D573" s="46" t="s">
        <v>2952</v>
      </c>
      <c r="E573" s="26" t="s">
        <v>78</v>
      </c>
      <c r="F573" s="26" t="s">
        <v>79</v>
      </c>
      <c r="G573" s="26" t="s">
        <v>982</v>
      </c>
      <c r="H573" s="26" t="s">
        <v>175</v>
      </c>
      <c r="I573" s="26" t="s">
        <v>175</v>
      </c>
      <c r="J573" s="2" t="s">
        <v>72</v>
      </c>
      <c r="K573" s="141" t="s">
        <v>72</v>
      </c>
      <c r="L573" s="141" t="s">
        <v>72</v>
      </c>
      <c r="M573" s="26" t="s">
        <v>72</v>
      </c>
      <c r="N573" s="2" t="s">
        <v>72</v>
      </c>
      <c r="O573" s="2" t="s">
        <v>72</v>
      </c>
      <c r="P573" s="133" t="s">
        <v>72</v>
      </c>
      <c r="Q573" s="6" t="s">
        <v>72</v>
      </c>
      <c r="R573" s="6" t="s">
        <v>72</v>
      </c>
      <c r="S573" s="6" t="s">
        <v>72</v>
      </c>
      <c r="T573" s="6" t="s">
        <v>72</v>
      </c>
      <c r="U573" s="6" t="s">
        <v>72</v>
      </c>
      <c r="V573" s="6" t="s">
        <v>72</v>
      </c>
      <c r="W573" s="5" t="s">
        <v>72</v>
      </c>
      <c r="X573" s="6" t="s">
        <v>72</v>
      </c>
      <c r="Y573" s="6" t="s">
        <v>72</v>
      </c>
      <c r="Z573" s="6" t="s">
        <v>72</v>
      </c>
      <c r="AA573" s="6" t="s">
        <v>72</v>
      </c>
      <c r="AB573" s="6" t="s">
        <v>72</v>
      </c>
      <c r="AC573" s="6" t="s">
        <v>72</v>
      </c>
    </row>
    <row r="574" spans="1:29" x14ac:dyDescent="0.25">
      <c r="A574" s="145" t="str">
        <f>HYPERLINK("http://www.ofsted.gov.uk/inspection-reports/find-inspection-report/provider/ELS/58866  ","Ofsted Webpage")</f>
        <v>Ofsted Webpage</v>
      </c>
      <c r="B574" s="151">
        <v>58866</v>
      </c>
      <c r="C574" s="151">
        <v>10001639</v>
      </c>
      <c r="D574" s="46" t="s">
        <v>2925</v>
      </c>
      <c r="E574" s="26" t="s">
        <v>90</v>
      </c>
      <c r="F574" s="26" t="s">
        <v>91</v>
      </c>
      <c r="G574" s="26" t="s">
        <v>491</v>
      </c>
      <c r="H574" s="26" t="s">
        <v>198</v>
      </c>
      <c r="I574" s="26" t="s">
        <v>198</v>
      </c>
      <c r="J574" s="2" t="s">
        <v>72</v>
      </c>
      <c r="K574" s="141" t="s">
        <v>72</v>
      </c>
      <c r="L574" s="141" t="s">
        <v>2926</v>
      </c>
      <c r="M574" s="26" t="s">
        <v>2927</v>
      </c>
      <c r="N574" s="2">
        <v>41463</v>
      </c>
      <c r="O574" s="2">
        <v>41467</v>
      </c>
      <c r="P574" s="133">
        <v>41502</v>
      </c>
      <c r="Q574" s="6">
        <v>2</v>
      </c>
      <c r="R574" s="6">
        <v>2</v>
      </c>
      <c r="S574" s="6">
        <v>2</v>
      </c>
      <c r="T574" s="120" t="s">
        <v>178</v>
      </c>
      <c r="U574" s="6">
        <v>2</v>
      </c>
      <c r="V574" s="6" t="s">
        <v>2928</v>
      </c>
      <c r="W574" s="5">
        <v>40207</v>
      </c>
      <c r="X574" s="6">
        <v>3</v>
      </c>
      <c r="Y574" s="6">
        <v>3</v>
      </c>
      <c r="Z574" s="6">
        <v>3</v>
      </c>
      <c r="AA574" s="6" t="s">
        <v>178</v>
      </c>
      <c r="AB574" s="6">
        <v>3</v>
      </c>
      <c r="AC574" s="6" t="s">
        <v>216</v>
      </c>
    </row>
    <row r="575" spans="1:29" x14ac:dyDescent="0.25">
      <c r="A575" s="145" t="str">
        <f>HYPERLINK("http://www.ofsted.gov.uk/inspection-reports/find-inspection-report/provider/ELS/58913  ","Ofsted Webpage")</f>
        <v>Ofsted Webpage</v>
      </c>
      <c r="B575" s="151">
        <v>58913</v>
      </c>
      <c r="C575" s="151">
        <v>10001777</v>
      </c>
      <c r="D575" s="46" t="s">
        <v>1906</v>
      </c>
      <c r="E575" s="26" t="s">
        <v>77</v>
      </c>
      <c r="F575" s="26" t="s">
        <v>76</v>
      </c>
      <c r="G575" s="26" t="s">
        <v>247</v>
      </c>
      <c r="H575" s="26" t="s">
        <v>238</v>
      </c>
      <c r="I575" s="26" t="s">
        <v>238</v>
      </c>
      <c r="J575" s="2" t="s">
        <v>72</v>
      </c>
      <c r="K575" s="141" t="s">
        <v>72</v>
      </c>
      <c r="L575" s="141">
        <v>10022612</v>
      </c>
      <c r="M575" s="26" t="s">
        <v>1001</v>
      </c>
      <c r="N575" s="2">
        <v>42675</v>
      </c>
      <c r="O575" s="2">
        <v>42677</v>
      </c>
      <c r="P575" s="133">
        <v>42712</v>
      </c>
      <c r="Q575" s="6">
        <v>2</v>
      </c>
      <c r="R575" s="6">
        <v>2</v>
      </c>
      <c r="S575" s="6">
        <v>2</v>
      </c>
      <c r="T575" s="6">
        <v>2</v>
      </c>
      <c r="U575" s="6">
        <v>2</v>
      </c>
      <c r="V575" s="6" t="s">
        <v>1907</v>
      </c>
      <c r="W575" s="5">
        <v>42075</v>
      </c>
      <c r="X575" s="6">
        <v>3</v>
      </c>
      <c r="Y575" s="6">
        <v>3</v>
      </c>
      <c r="Z575" s="6">
        <v>3</v>
      </c>
      <c r="AA575" s="6" t="s">
        <v>178</v>
      </c>
      <c r="AB575" s="6">
        <v>3</v>
      </c>
      <c r="AC575" s="6" t="s">
        <v>216</v>
      </c>
    </row>
    <row r="576" spans="1:29" x14ac:dyDescent="0.25">
      <c r="A576" s="145" t="str">
        <f>HYPERLINK("http://www.ofsted.gov.uk/inspection-reports/find-inspection-report/provider/ELS/58929  ","Ofsted Webpage")</f>
        <v>Ofsted Webpage</v>
      </c>
      <c r="B576" s="151">
        <v>58929</v>
      </c>
      <c r="C576" s="151">
        <v>10026072</v>
      </c>
      <c r="D576" s="46" t="s">
        <v>1195</v>
      </c>
      <c r="E576" s="26" t="s">
        <v>80</v>
      </c>
      <c r="F576" s="26" t="s">
        <v>79</v>
      </c>
      <c r="G576" s="26" t="s">
        <v>254</v>
      </c>
      <c r="H576" s="26" t="s">
        <v>193</v>
      </c>
      <c r="I576" s="26" t="s">
        <v>193</v>
      </c>
      <c r="J576" s="2" t="s">
        <v>72</v>
      </c>
      <c r="K576" s="141" t="s">
        <v>72</v>
      </c>
      <c r="L576" s="141">
        <v>10037418</v>
      </c>
      <c r="M576" s="26" t="s">
        <v>475</v>
      </c>
      <c r="N576" s="2">
        <v>42997</v>
      </c>
      <c r="O576" s="2">
        <v>43000</v>
      </c>
      <c r="P576" s="133">
        <v>43041</v>
      </c>
      <c r="Q576" s="6">
        <v>4</v>
      </c>
      <c r="R576" s="6">
        <v>4</v>
      </c>
      <c r="S576" s="6">
        <v>4</v>
      </c>
      <c r="T576" s="6">
        <v>4</v>
      </c>
      <c r="U576" s="6">
        <v>4</v>
      </c>
      <c r="V576" s="6">
        <v>10005082</v>
      </c>
      <c r="W576" s="5">
        <v>42419</v>
      </c>
      <c r="X576" s="6">
        <v>3</v>
      </c>
      <c r="Y576" s="6">
        <v>3</v>
      </c>
      <c r="Z576" s="6">
        <v>3</v>
      </c>
      <c r="AA576" s="6">
        <v>3</v>
      </c>
      <c r="AB576" s="6">
        <v>3</v>
      </c>
      <c r="AC576" s="6" t="s">
        <v>201</v>
      </c>
    </row>
    <row r="577" spans="1:29" x14ac:dyDescent="0.25">
      <c r="A577" s="145" t="str">
        <f>HYPERLINK("http://www.ofsted.gov.uk/inspection-reports/find-inspection-report/provider/ELS/58930  ","Ofsted Webpage")</f>
        <v>Ofsted Webpage</v>
      </c>
      <c r="B577" s="151">
        <v>58930</v>
      </c>
      <c r="C577" s="151">
        <v>10024294</v>
      </c>
      <c r="D577" s="46" t="s">
        <v>905</v>
      </c>
      <c r="E577" s="26" t="s">
        <v>75</v>
      </c>
      <c r="F577" s="26" t="s">
        <v>76</v>
      </c>
      <c r="G577" s="26" t="s">
        <v>906</v>
      </c>
      <c r="H577" s="26" t="s">
        <v>238</v>
      </c>
      <c r="I577" s="26" t="s">
        <v>238</v>
      </c>
      <c r="J577" s="2" t="s">
        <v>72</v>
      </c>
      <c r="K577" s="141" t="s">
        <v>72</v>
      </c>
      <c r="L577" s="141" t="s">
        <v>907</v>
      </c>
      <c r="M577" s="26" t="s">
        <v>321</v>
      </c>
      <c r="N577" s="2">
        <v>42080</v>
      </c>
      <c r="O577" s="2">
        <v>42083</v>
      </c>
      <c r="P577" s="133">
        <v>42116</v>
      </c>
      <c r="Q577" s="6">
        <v>2</v>
      </c>
      <c r="R577" s="6">
        <v>2</v>
      </c>
      <c r="S577" s="6">
        <v>2</v>
      </c>
      <c r="T577" s="120" t="s">
        <v>178</v>
      </c>
      <c r="U577" s="6">
        <v>2</v>
      </c>
      <c r="V577" s="6" t="s">
        <v>908</v>
      </c>
      <c r="W577" s="5">
        <v>40564</v>
      </c>
      <c r="X577" s="6">
        <v>2</v>
      </c>
      <c r="Y577" s="6">
        <v>2</v>
      </c>
      <c r="Z577" s="6">
        <v>2</v>
      </c>
      <c r="AA577" s="6" t="s">
        <v>178</v>
      </c>
      <c r="AB577" s="6">
        <v>2</v>
      </c>
      <c r="AC577" s="6" t="s">
        <v>180</v>
      </c>
    </row>
    <row r="578" spans="1:29" x14ac:dyDescent="0.25">
      <c r="A578" s="145" t="str">
        <f>HYPERLINK("http://www.ofsted.gov.uk/inspection-reports/find-inspection-report/provider/ELS/58936  ","Ofsted Webpage")</f>
        <v>Ofsted Webpage</v>
      </c>
      <c r="B578" s="151">
        <v>58936</v>
      </c>
      <c r="C578" s="151">
        <v>10024704</v>
      </c>
      <c r="D578" s="46" t="s">
        <v>2285</v>
      </c>
      <c r="E578" s="26" t="s">
        <v>78</v>
      </c>
      <c r="F578" s="26" t="s">
        <v>79</v>
      </c>
      <c r="G578" s="26" t="s">
        <v>331</v>
      </c>
      <c r="H578" s="26" t="s">
        <v>214</v>
      </c>
      <c r="I578" s="26" t="s">
        <v>214</v>
      </c>
      <c r="J578" s="2" t="s">
        <v>72</v>
      </c>
      <c r="K578" s="141" t="s">
        <v>72</v>
      </c>
      <c r="L578" s="141">
        <v>10011540</v>
      </c>
      <c r="M578" s="26" t="s">
        <v>183</v>
      </c>
      <c r="N578" s="2">
        <v>42479</v>
      </c>
      <c r="O578" s="2">
        <v>42482</v>
      </c>
      <c r="P578" s="133">
        <v>42513</v>
      </c>
      <c r="Q578" s="6">
        <v>2</v>
      </c>
      <c r="R578" s="6">
        <v>2</v>
      </c>
      <c r="S578" s="6">
        <v>2</v>
      </c>
      <c r="T578" s="6">
        <v>2</v>
      </c>
      <c r="U578" s="6">
        <v>2</v>
      </c>
      <c r="V578" s="6" t="s">
        <v>2286</v>
      </c>
      <c r="W578" s="5">
        <v>41075</v>
      </c>
      <c r="X578" s="6">
        <v>2</v>
      </c>
      <c r="Y578" s="6">
        <v>2</v>
      </c>
      <c r="Z578" s="6">
        <v>2</v>
      </c>
      <c r="AA578" s="6" t="s">
        <v>178</v>
      </c>
      <c r="AB578" s="6">
        <v>2</v>
      </c>
      <c r="AC578" s="6" t="s">
        <v>180</v>
      </c>
    </row>
    <row r="579" spans="1:29" x14ac:dyDescent="0.25">
      <c r="A579" s="145" t="str">
        <f>HYPERLINK("http://www.ofsted.gov.uk/inspection-reports/find-inspection-report/provider/ELS/58966  ","Ofsted Webpage")</f>
        <v>Ofsted Webpage</v>
      </c>
      <c r="B579" s="151">
        <v>58966</v>
      </c>
      <c r="C579" s="151">
        <v>10027498</v>
      </c>
      <c r="D579" s="46" t="s">
        <v>1438</v>
      </c>
      <c r="E579" s="26" t="s">
        <v>80</v>
      </c>
      <c r="F579" s="26" t="s">
        <v>79</v>
      </c>
      <c r="G579" s="26" t="s">
        <v>504</v>
      </c>
      <c r="H579" s="26" t="s">
        <v>214</v>
      </c>
      <c r="I579" s="26" t="s">
        <v>214</v>
      </c>
      <c r="J579" s="2" t="s">
        <v>72</v>
      </c>
      <c r="K579" s="141" t="s">
        <v>72</v>
      </c>
      <c r="L579" s="141">
        <v>10011542</v>
      </c>
      <c r="M579" s="26" t="s">
        <v>475</v>
      </c>
      <c r="N579" s="2">
        <v>42486</v>
      </c>
      <c r="O579" s="2">
        <v>42489</v>
      </c>
      <c r="P579" s="133">
        <v>42513</v>
      </c>
      <c r="Q579" s="6">
        <v>2</v>
      </c>
      <c r="R579" s="6">
        <v>2</v>
      </c>
      <c r="S579" s="6">
        <v>2</v>
      </c>
      <c r="T579" s="6">
        <v>2</v>
      </c>
      <c r="U579" s="6">
        <v>2</v>
      </c>
      <c r="V579" s="6" t="s">
        <v>1439</v>
      </c>
      <c r="W579" s="5">
        <v>41229</v>
      </c>
      <c r="X579" s="6">
        <v>3</v>
      </c>
      <c r="Y579" s="6">
        <v>3</v>
      </c>
      <c r="Z579" s="6">
        <v>3</v>
      </c>
      <c r="AA579" s="6" t="s">
        <v>178</v>
      </c>
      <c r="AB579" s="6">
        <v>3</v>
      </c>
      <c r="AC579" s="6" t="s">
        <v>216</v>
      </c>
    </row>
    <row r="580" spans="1:29" x14ac:dyDescent="0.25">
      <c r="A580" s="145" t="str">
        <f>HYPERLINK("http://www.ofsted.gov.uk/inspection-reports/find-inspection-report/provider/ELS/59017  ","Ofsted Webpage")</f>
        <v>Ofsted Webpage</v>
      </c>
      <c r="B580" s="151">
        <v>59017</v>
      </c>
      <c r="C580" s="151">
        <v>10024293</v>
      </c>
      <c r="D580" s="46" t="s">
        <v>817</v>
      </c>
      <c r="E580" s="26" t="s">
        <v>75</v>
      </c>
      <c r="F580" s="26" t="s">
        <v>76</v>
      </c>
      <c r="G580" s="26" t="s">
        <v>535</v>
      </c>
      <c r="H580" s="26" t="s">
        <v>238</v>
      </c>
      <c r="I580" s="26" t="s">
        <v>238</v>
      </c>
      <c r="J580" s="2">
        <v>42901</v>
      </c>
      <c r="K580" s="141">
        <v>1</v>
      </c>
      <c r="L580" s="141" t="s">
        <v>818</v>
      </c>
      <c r="M580" s="26" t="s">
        <v>321</v>
      </c>
      <c r="N580" s="2">
        <v>41779</v>
      </c>
      <c r="O580" s="2">
        <v>41782</v>
      </c>
      <c r="P580" s="133">
        <v>41816</v>
      </c>
      <c r="Q580" s="6">
        <v>2</v>
      </c>
      <c r="R580" s="6">
        <v>2</v>
      </c>
      <c r="S580" s="6">
        <v>2</v>
      </c>
      <c r="T580" s="120" t="s">
        <v>178</v>
      </c>
      <c r="U580" s="6">
        <v>2</v>
      </c>
      <c r="V580" s="6" t="s">
        <v>819</v>
      </c>
      <c r="W580" s="5">
        <v>40571</v>
      </c>
      <c r="X580" s="6">
        <v>2</v>
      </c>
      <c r="Y580" s="6">
        <v>2</v>
      </c>
      <c r="Z580" s="6">
        <v>2</v>
      </c>
      <c r="AA580" s="6" t="s">
        <v>178</v>
      </c>
      <c r="AB580" s="6">
        <v>2</v>
      </c>
      <c r="AC580" s="6" t="s">
        <v>180</v>
      </c>
    </row>
    <row r="581" spans="1:29" x14ac:dyDescent="0.25">
      <c r="A581" s="145" t="str">
        <f>HYPERLINK("http://www.ofsted.gov.uk/inspection-reports/find-inspection-report/provider/ELS/59021  ","Ofsted Webpage")</f>
        <v>Ofsted Webpage</v>
      </c>
      <c r="B581" s="151">
        <v>59021</v>
      </c>
      <c r="C581" s="151">
        <v>10024292</v>
      </c>
      <c r="D581" s="46" t="s">
        <v>1246</v>
      </c>
      <c r="E581" s="26" t="s">
        <v>75</v>
      </c>
      <c r="F581" s="26" t="s">
        <v>76</v>
      </c>
      <c r="G581" s="26" t="s">
        <v>871</v>
      </c>
      <c r="H581" s="26" t="s">
        <v>287</v>
      </c>
      <c r="I581" s="26" t="s">
        <v>287</v>
      </c>
      <c r="J581" s="2">
        <v>42444</v>
      </c>
      <c r="K581" s="141">
        <v>1</v>
      </c>
      <c r="L581" s="141" t="s">
        <v>1247</v>
      </c>
      <c r="M581" s="26" t="s">
        <v>549</v>
      </c>
      <c r="N581" s="2">
        <v>40707</v>
      </c>
      <c r="O581" s="2">
        <v>40711</v>
      </c>
      <c r="P581" s="119">
        <v>40746</v>
      </c>
      <c r="Q581" s="6">
        <v>2</v>
      </c>
      <c r="R581" s="6">
        <v>2</v>
      </c>
      <c r="S581" s="6">
        <v>2</v>
      </c>
      <c r="T581" s="120" t="s">
        <v>178</v>
      </c>
      <c r="U581" s="6">
        <v>2</v>
      </c>
      <c r="V581" s="6" t="s">
        <v>72</v>
      </c>
      <c r="W581" s="5" t="s">
        <v>72</v>
      </c>
      <c r="X581" s="6" t="s">
        <v>72</v>
      </c>
      <c r="Y581" s="6" t="s">
        <v>72</v>
      </c>
      <c r="Z581" s="6" t="s">
        <v>72</v>
      </c>
      <c r="AA581" s="6" t="s">
        <v>72</v>
      </c>
      <c r="AB581" s="6" t="s">
        <v>72</v>
      </c>
      <c r="AC581" s="6" t="s">
        <v>208</v>
      </c>
    </row>
    <row r="582" spans="1:29" x14ac:dyDescent="0.25">
      <c r="A582" s="145" t="str">
        <f>HYPERLINK("http://www.ofsted.gov.uk/inspection-reports/find-inspection-report/provider/ELS/59042  ","Ofsted Webpage")</f>
        <v>Ofsted Webpage</v>
      </c>
      <c r="B582" s="151">
        <v>59042</v>
      </c>
      <c r="C582" s="151">
        <v>10030520</v>
      </c>
      <c r="D582" s="46" t="s">
        <v>1315</v>
      </c>
      <c r="E582" s="26" t="s">
        <v>80</v>
      </c>
      <c r="F582" s="26" t="s">
        <v>79</v>
      </c>
      <c r="G582" s="26" t="s">
        <v>329</v>
      </c>
      <c r="H582" s="26" t="s">
        <v>175</v>
      </c>
      <c r="I582" s="26" t="s">
        <v>175</v>
      </c>
      <c r="J582" s="2" t="s">
        <v>72</v>
      </c>
      <c r="K582" s="141" t="s">
        <v>72</v>
      </c>
      <c r="L582" s="141">
        <v>10030691</v>
      </c>
      <c r="M582" s="26" t="s">
        <v>183</v>
      </c>
      <c r="N582" s="2">
        <v>42955</v>
      </c>
      <c r="O582" s="2">
        <v>42958</v>
      </c>
      <c r="P582" s="133">
        <v>42991</v>
      </c>
      <c r="Q582" s="6">
        <v>3</v>
      </c>
      <c r="R582" s="6">
        <v>3</v>
      </c>
      <c r="S582" s="6">
        <v>3</v>
      </c>
      <c r="T582" s="6">
        <v>3</v>
      </c>
      <c r="U582" s="6">
        <v>3</v>
      </c>
      <c r="V582" s="6" t="s">
        <v>1316</v>
      </c>
      <c r="W582" s="5">
        <v>42180</v>
      </c>
      <c r="X582" s="6">
        <v>2</v>
      </c>
      <c r="Y582" s="6">
        <v>3</v>
      </c>
      <c r="Z582" s="6">
        <v>2</v>
      </c>
      <c r="AA582" s="6" t="s">
        <v>178</v>
      </c>
      <c r="AB582" s="6">
        <v>2</v>
      </c>
      <c r="AC582" s="6" t="s">
        <v>201</v>
      </c>
    </row>
    <row r="583" spans="1:29" x14ac:dyDescent="0.25">
      <c r="A583" s="145" t="str">
        <f>HYPERLINK("http://www.ofsted.gov.uk/inspection-reports/find-inspection-report/provider/ELS/59066  ","Ofsted Webpage")</f>
        <v>Ofsted Webpage</v>
      </c>
      <c r="B583" s="151">
        <v>59066</v>
      </c>
      <c r="C583" s="151">
        <v>10030120</v>
      </c>
      <c r="D583" s="46" t="s">
        <v>2171</v>
      </c>
      <c r="E583" s="26" t="s">
        <v>78</v>
      </c>
      <c r="F583" s="26" t="s">
        <v>79</v>
      </c>
      <c r="G583" s="26" t="s">
        <v>265</v>
      </c>
      <c r="H583" s="26" t="s">
        <v>204</v>
      </c>
      <c r="I583" s="26" t="s">
        <v>188</v>
      </c>
      <c r="J583" s="2">
        <v>42627</v>
      </c>
      <c r="K583" s="141">
        <v>1</v>
      </c>
      <c r="L583" s="141" t="s">
        <v>2172</v>
      </c>
      <c r="M583" s="26" t="s">
        <v>466</v>
      </c>
      <c r="N583" s="2">
        <v>41177</v>
      </c>
      <c r="O583" s="2">
        <v>41180</v>
      </c>
      <c r="P583" s="133">
        <v>41215</v>
      </c>
      <c r="Q583" s="6">
        <v>2</v>
      </c>
      <c r="R583" s="6">
        <v>1</v>
      </c>
      <c r="S583" s="6">
        <v>2</v>
      </c>
      <c r="T583" s="120" t="s">
        <v>178</v>
      </c>
      <c r="U583" s="6">
        <v>2</v>
      </c>
      <c r="V583" s="6" t="s">
        <v>72</v>
      </c>
      <c r="W583" s="5" t="s">
        <v>72</v>
      </c>
      <c r="X583" s="6" t="s">
        <v>72</v>
      </c>
      <c r="Y583" s="6" t="s">
        <v>72</v>
      </c>
      <c r="Z583" s="6" t="s">
        <v>72</v>
      </c>
      <c r="AA583" s="6" t="s">
        <v>72</v>
      </c>
      <c r="AB583" s="6" t="s">
        <v>72</v>
      </c>
      <c r="AC583" s="6" t="s">
        <v>208</v>
      </c>
    </row>
    <row r="584" spans="1:29" x14ac:dyDescent="0.25">
      <c r="A584" s="145" t="str">
        <f>HYPERLINK("http://www.ofsted.gov.uk/inspection-reports/find-inspection-report/provider/ELS/59079  ","Ofsted Webpage")</f>
        <v>Ofsted Webpage</v>
      </c>
      <c r="B584" s="151">
        <v>59079</v>
      </c>
      <c r="C584" s="151">
        <v>10033547</v>
      </c>
      <c r="D584" s="46" t="s">
        <v>2243</v>
      </c>
      <c r="E584" s="26" t="s">
        <v>78</v>
      </c>
      <c r="F584" s="26" t="s">
        <v>79</v>
      </c>
      <c r="G584" s="26" t="s">
        <v>590</v>
      </c>
      <c r="H584" s="26" t="s">
        <v>219</v>
      </c>
      <c r="I584" s="26" t="s">
        <v>219</v>
      </c>
      <c r="J584" s="2" t="s">
        <v>72</v>
      </c>
      <c r="K584" s="141" t="s">
        <v>72</v>
      </c>
      <c r="L584" s="141" t="s">
        <v>2244</v>
      </c>
      <c r="M584" s="26" t="s">
        <v>466</v>
      </c>
      <c r="N584" s="2">
        <v>41534</v>
      </c>
      <c r="O584" s="2">
        <v>41537</v>
      </c>
      <c r="P584" s="133">
        <v>41572</v>
      </c>
      <c r="Q584" s="6">
        <v>2</v>
      </c>
      <c r="R584" s="6">
        <v>2</v>
      </c>
      <c r="S584" s="6">
        <v>2</v>
      </c>
      <c r="T584" s="120" t="s">
        <v>178</v>
      </c>
      <c r="U584" s="6">
        <v>3</v>
      </c>
      <c r="V584" s="6" t="s">
        <v>72</v>
      </c>
      <c r="W584" s="5" t="s">
        <v>72</v>
      </c>
      <c r="X584" s="6" t="s">
        <v>72</v>
      </c>
      <c r="Y584" s="6" t="s">
        <v>72</v>
      </c>
      <c r="Z584" s="6" t="s">
        <v>72</v>
      </c>
      <c r="AA584" s="6" t="s">
        <v>72</v>
      </c>
      <c r="AB584" s="6" t="s">
        <v>72</v>
      </c>
      <c r="AC584" s="6" t="s">
        <v>208</v>
      </c>
    </row>
    <row r="585" spans="1:29" x14ac:dyDescent="0.25">
      <c r="A585" s="145" t="str">
        <f>HYPERLINK("http://www.ofsted.gov.uk/inspection-reports/find-inspection-report/provider/ELS/59082  ","Ofsted Webpage")</f>
        <v>Ofsted Webpage</v>
      </c>
      <c r="B585" s="151">
        <v>59082</v>
      </c>
      <c r="C585" s="151">
        <v>10032404</v>
      </c>
      <c r="D585" s="46" t="s">
        <v>2228</v>
      </c>
      <c r="E585" s="26" t="s">
        <v>78</v>
      </c>
      <c r="F585" s="26" t="s">
        <v>79</v>
      </c>
      <c r="G585" s="26" t="s">
        <v>345</v>
      </c>
      <c r="H585" s="26" t="s">
        <v>175</v>
      </c>
      <c r="I585" s="26" t="s">
        <v>175</v>
      </c>
      <c r="J585" s="2" t="s">
        <v>72</v>
      </c>
      <c r="K585" s="141" t="s">
        <v>72</v>
      </c>
      <c r="L585" s="141" t="s">
        <v>2229</v>
      </c>
      <c r="M585" s="26" t="s">
        <v>466</v>
      </c>
      <c r="N585" s="2">
        <v>41576</v>
      </c>
      <c r="O585" s="2">
        <v>41579</v>
      </c>
      <c r="P585" s="133">
        <v>41614</v>
      </c>
      <c r="Q585" s="6">
        <v>2</v>
      </c>
      <c r="R585" s="6">
        <v>2</v>
      </c>
      <c r="S585" s="6">
        <v>2</v>
      </c>
      <c r="T585" s="120" t="s">
        <v>178</v>
      </c>
      <c r="U585" s="6">
        <v>2</v>
      </c>
      <c r="V585" s="6" t="s">
        <v>72</v>
      </c>
      <c r="W585" s="5" t="s">
        <v>72</v>
      </c>
      <c r="X585" s="6" t="s">
        <v>72</v>
      </c>
      <c r="Y585" s="6" t="s">
        <v>72</v>
      </c>
      <c r="Z585" s="6" t="s">
        <v>72</v>
      </c>
      <c r="AA585" s="6" t="s">
        <v>72</v>
      </c>
      <c r="AB585" s="6" t="s">
        <v>72</v>
      </c>
      <c r="AC585" s="6" t="s">
        <v>208</v>
      </c>
    </row>
    <row r="586" spans="1:29" x14ac:dyDescent="0.25">
      <c r="A586" s="145" t="str">
        <f>HYPERLINK("http://www.ofsted.gov.uk/inspection-reports/find-inspection-report/provider/ELS/59083  ","Ofsted Webpage")</f>
        <v>Ofsted Webpage</v>
      </c>
      <c r="B586" s="151">
        <v>59083</v>
      </c>
      <c r="C586" s="151">
        <v>10033482</v>
      </c>
      <c r="D586" s="46" t="s">
        <v>2241</v>
      </c>
      <c r="E586" s="26" t="s">
        <v>78</v>
      </c>
      <c r="F586" s="26" t="s">
        <v>79</v>
      </c>
      <c r="G586" s="26" t="s">
        <v>331</v>
      </c>
      <c r="H586" s="26" t="s">
        <v>214</v>
      </c>
      <c r="I586" s="26" t="s">
        <v>214</v>
      </c>
      <c r="J586" s="2">
        <v>42825</v>
      </c>
      <c r="K586" s="141">
        <v>1</v>
      </c>
      <c r="L586" s="141" t="s">
        <v>2242</v>
      </c>
      <c r="M586" s="26" t="s">
        <v>466</v>
      </c>
      <c r="N586" s="2">
        <v>41590</v>
      </c>
      <c r="O586" s="2">
        <v>41593</v>
      </c>
      <c r="P586" s="133">
        <v>41625</v>
      </c>
      <c r="Q586" s="6">
        <v>2</v>
      </c>
      <c r="R586" s="6">
        <v>2</v>
      </c>
      <c r="S586" s="6">
        <v>2</v>
      </c>
      <c r="T586" s="120" t="s">
        <v>178</v>
      </c>
      <c r="U586" s="6">
        <v>2</v>
      </c>
      <c r="V586" s="6" t="s">
        <v>72</v>
      </c>
      <c r="W586" s="5" t="s">
        <v>72</v>
      </c>
      <c r="X586" s="6" t="s">
        <v>72</v>
      </c>
      <c r="Y586" s="6" t="s">
        <v>72</v>
      </c>
      <c r="Z586" s="6" t="s">
        <v>72</v>
      </c>
      <c r="AA586" s="6" t="s">
        <v>72</v>
      </c>
      <c r="AB586" s="6" t="s">
        <v>72</v>
      </c>
      <c r="AC586" s="6" t="s">
        <v>208</v>
      </c>
    </row>
    <row r="587" spans="1:29" x14ac:dyDescent="0.25">
      <c r="A587" s="145" t="str">
        <f>HYPERLINK("http://www.ofsted.gov.uk/inspection-reports/find-inspection-report/provider/ELS/59093  ","Ofsted Webpage")</f>
        <v>Ofsted Webpage</v>
      </c>
      <c r="B587" s="151">
        <v>59093</v>
      </c>
      <c r="C587" s="151">
        <v>10032119</v>
      </c>
      <c r="D587" s="46" t="s">
        <v>1073</v>
      </c>
      <c r="E587" s="26" t="s">
        <v>78</v>
      </c>
      <c r="F587" s="26" t="s">
        <v>79</v>
      </c>
      <c r="G587" s="26" t="s">
        <v>802</v>
      </c>
      <c r="H587" s="26" t="s">
        <v>198</v>
      </c>
      <c r="I587" s="26" t="s">
        <v>198</v>
      </c>
      <c r="J587" s="2" t="s">
        <v>72</v>
      </c>
      <c r="K587" s="141" t="s">
        <v>72</v>
      </c>
      <c r="L587" s="141">
        <v>10011543</v>
      </c>
      <c r="M587" s="26" t="s">
        <v>211</v>
      </c>
      <c r="N587" s="2">
        <v>42500</v>
      </c>
      <c r="O587" s="2">
        <v>42503</v>
      </c>
      <c r="P587" s="133">
        <v>42542</v>
      </c>
      <c r="Q587" s="6">
        <v>2</v>
      </c>
      <c r="R587" s="6">
        <v>1</v>
      </c>
      <c r="S587" s="6">
        <v>2</v>
      </c>
      <c r="T587" s="6">
        <v>1</v>
      </c>
      <c r="U587" s="6">
        <v>2</v>
      </c>
      <c r="V587" s="6" t="s">
        <v>1074</v>
      </c>
      <c r="W587" s="5">
        <v>41334</v>
      </c>
      <c r="X587" s="6">
        <v>2</v>
      </c>
      <c r="Y587" s="6">
        <v>1</v>
      </c>
      <c r="Z587" s="6">
        <v>2</v>
      </c>
      <c r="AA587" s="6" t="s">
        <v>178</v>
      </c>
      <c r="AB587" s="6">
        <v>2</v>
      </c>
      <c r="AC587" s="6" t="s">
        <v>180</v>
      </c>
    </row>
    <row r="588" spans="1:29" x14ac:dyDescent="0.25">
      <c r="A588" s="145" t="str">
        <f>HYPERLINK("http://www.ofsted.gov.uk/inspection-reports/find-inspection-report/provider/ELS/59094  ","Ofsted Webpage")</f>
        <v>Ofsted Webpage</v>
      </c>
      <c r="B588" s="151">
        <v>59094</v>
      </c>
      <c r="C588" s="151">
        <v>10034309</v>
      </c>
      <c r="D588" s="46" t="s">
        <v>2674</v>
      </c>
      <c r="E588" s="26" t="s">
        <v>78</v>
      </c>
      <c r="F588" s="26" t="s">
        <v>79</v>
      </c>
      <c r="G588" s="26" t="s">
        <v>230</v>
      </c>
      <c r="H588" s="26" t="s">
        <v>187</v>
      </c>
      <c r="I588" s="26" t="s">
        <v>188</v>
      </c>
      <c r="J588" s="2">
        <v>43005</v>
      </c>
      <c r="K588" s="141">
        <v>1</v>
      </c>
      <c r="L588" s="141" t="s">
        <v>232</v>
      </c>
      <c r="M588" s="26" t="s">
        <v>466</v>
      </c>
      <c r="N588" s="2">
        <v>41617</v>
      </c>
      <c r="O588" s="2">
        <v>41621</v>
      </c>
      <c r="P588" s="133">
        <v>41659</v>
      </c>
      <c r="Q588" s="6">
        <v>2</v>
      </c>
      <c r="R588" s="6">
        <v>3</v>
      </c>
      <c r="S588" s="6">
        <v>2</v>
      </c>
      <c r="T588" s="120" t="s">
        <v>178</v>
      </c>
      <c r="U588" s="6">
        <v>2</v>
      </c>
      <c r="V588" s="6" t="s">
        <v>72</v>
      </c>
      <c r="W588" s="5" t="s">
        <v>72</v>
      </c>
      <c r="X588" s="6" t="s">
        <v>72</v>
      </c>
      <c r="Y588" s="6" t="s">
        <v>72</v>
      </c>
      <c r="Z588" s="6" t="s">
        <v>72</v>
      </c>
      <c r="AA588" s="6" t="s">
        <v>72</v>
      </c>
      <c r="AB588" s="6" t="s">
        <v>72</v>
      </c>
      <c r="AC588" s="6" t="s">
        <v>208</v>
      </c>
    </row>
    <row r="589" spans="1:29" x14ac:dyDescent="0.25">
      <c r="A589" s="145" t="str">
        <f>HYPERLINK("http://www.ofsted.gov.uk/inspection-reports/find-inspection-report/provider/ELS/59109  ","Ofsted Webpage")</f>
        <v>Ofsted Webpage</v>
      </c>
      <c r="B589" s="151">
        <v>59109</v>
      </c>
      <c r="C589" s="151">
        <v>10034055</v>
      </c>
      <c r="D589" s="46" t="s">
        <v>2640</v>
      </c>
      <c r="E589" s="26" t="s">
        <v>78</v>
      </c>
      <c r="F589" s="26" t="s">
        <v>79</v>
      </c>
      <c r="G589" s="26" t="s">
        <v>590</v>
      </c>
      <c r="H589" s="26" t="s">
        <v>219</v>
      </c>
      <c r="I589" s="26" t="s">
        <v>219</v>
      </c>
      <c r="J589" s="2" t="s">
        <v>72</v>
      </c>
      <c r="K589" s="141" t="s">
        <v>72</v>
      </c>
      <c r="L589" s="141">
        <v>10020116</v>
      </c>
      <c r="M589" s="26" t="s">
        <v>211</v>
      </c>
      <c r="N589" s="2">
        <v>42682</v>
      </c>
      <c r="O589" s="2">
        <v>42685</v>
      </c>
      <c r="P589" s="133">
        <v>42723</v>
      </c>
      <c r="Q589" s="6">
        <v>2</v>
      </c>
      <c r="R589" s="6">
        <v>2</v>
      </c>
      <c r="S589" s="6">
        <v>2</v>
      </c>
      <c r="T589" s="6">
        <v>2</v>
      </c>
      <c r="U589" s="6">
        <v>2</v>
      </c>
      <c r="V589" s="6" t="s">
        <v>2641</v>
      </c>
      <c r="W589" s="5">
        <v>41803</v>
      </c>
      <c r="X589" s="6">
        <v>2</v>
      </c>
      <c r="Y589" s="6">
        <v>3</v>
      </c>
      <c r="Z589" s="6">
        <v>2</v>
      </c>
      <c r="AA589" s="6" t="s">
        <v>178</v>
      </c>
      <c r="AB589" s="6">
        <v>2</v>
      </c>
      <c r="AC589" s="6" t="s">
        <v>180</v>
      </c>
    </row>
    <row r="590" spans="1:29" x14ac:dyDescent="0.25">
      <c r="A590" s="145" t="str">
        <f>HYPERLINK("http://www.ofsted.gov.uk/inspection-reports/find-inspection-report/provider/ELS/59113  ","Ofsted Webpage")</f>
        <v>Ofsted Webpage</v>
      </c>
      <c r="B590" s="151">
        <v>59113</v>
      </c>
      <c r="C590" s="151">
        <v>10006735</v>
      </c>
      <c r="D590" s="46" t="s">
        <v>490</v>
      </c>
      <c r="E590" s="26" t="s">
        <v>78</v>
      </c>
      <c r="F590" s="26" t="s">
        <v>79</v>
      </c>
      <c r="G590" s="26" t="s">
        <v>491</v>
      </c>
      <c r="H590" s="26" t="s">
        <v>198</v>
      </c>
      <c r="I590" s="26" t="s">
        <v>198</v>
      </c>
      <c r="J590" s="2" t="s">
        <v>72</v>
      </c>
      <c r="K590" s="141" t="s">
        <v>72</v>
      </c>
      <c r="L590" s="141">
        <v>10008494</v>
      </c>
      <c r="M590" s="26" t="s">
        <v>199</v>
      </c>
      <c r="N590" s="2">
        <v>42381</v>
      </c>
      <c r="O590" s="2">
        <v>42384</v>
      </c>
      <c r="P590" s="133">
        <v>42415</v>
      </c>
      <c r="Q590" s="6">
        <v>2</v>
      </c>
      <c r="R590" s="6">
        <v>2</v>
      </c>
      <c r="S590" s="6">
        <v>2</v>
      </c>
      <c r="T590" s="6">
        <v>2</v>
      </c>
      <c r="U590" s="6">
        <v>2</v>
      </c>
      <c r="V590" s="6" t="s">
        <v>492</v>
      </c>
      <c r="W590" s="5">
        <v>41901</v>
      </c>
      <c r="X590" s="6">
        <v>3</v>
      </c>
      <c r="Y590" s="6">
        <v>3</v>
      </c>
      <c r="Z590" s="6">
        <v>3</v>
      </c>
      <c r="AA590" s="6" t="s">
        <v>178</v>
      </c>
      <c r="AB590" s="6">
        <v>3</v>
      </c>
      <c r="AC590" s="6" t="s">
        <v>216</v>
      </c>
    </row>
    <row r="591" spans="1:29" x14ac:dyDescent="0.25">
      <c r="A591" s="145" t="str">
        <f>HYPERLINK("http://www.ofsted.gov.uk/inspection-reports/find-inspection-report/provider/ELS/59122  ","Ofsted Webpage")</f>
        <v>Ofsted Webpage</v>
      </c>
      <c r="B591" s="151">
        <v>59122</v>
      </c>
      <c r="C591" s="151">
        <v>10019227</v>
      </c>
      <c r="D591" s="46" t="s">
        <v>1793</v>
      </c>
      <c r="E591" s="26" t="s">
        <v>78</v>
      </c>
      <c r="F591" s="26" t="s">
        <v>79</v>
      </c>
      <c r="G591" s="26" t="s">
        <v>927</v>
      </c>
      <c r="H591" s="26" t="s">
        <v>175</v>
      </c>
      <c r="I591" s="26" t="s">
        <v>175</v>
      </c>
      <c r="J591" s="2" t="s">
        <v>72</v>
      </c>
      <c r="K591" s="141" t="s">
        <v>72</v>
      </c>
      <c r="L591" s="141">
        <v>10022536</v>
      </c>
      <c r="M591" s="26" t="s">
        <v>448</v>
      </c>
      <c r="N591" s="2">
        <v>42857</v>
      </c>
      <c r="O591" s="2">
        <v>42860</v>
      </c>
      <c r="P591" s="133">
        <v>42902</v>
      </c>
      <c r="Q591" s="6">
        <v>4</v>
      </c>
      <c r="R591" s="6">
        <v>4</v>
      </c>
      <c r="S591" s="6">
        <v>4</v>
      </c>
      <c r="T591" s="6">
        <v>4</v>
      </c>
      <c r="U591" s="6">
        <v>4</v>
      </c>
      <c r="V591" s="6" t="s">
        <v>1794</v>
      </c>
      <c r="W591" s="5">
        <v>42132</v>
      </c>
      <c r="X591" s="6">
        <v>3</v>
      </c>
      <c r="Y591" s="6">
        <v>3</v>
      </c>
      <c r="Z591" s="6">
        <v>3</v>
      </c>
      <c r="AA591" s="6" t="s">
        <v>178</v>
      </c>
      <c r="AB591" s="6">
        <v>3</v>
      </c>
      <c r="AC591" s="6" t="s">
        <v>201</v>
      </c>
    </row>
    <row r="592" spans="1:29" x14ac:dyDescent="0.25">
      <c r="A592" s="145" t="str">
        <f>HYPERLINK("http://www.ofsted.gov.uk/inspection-reports/find-inspection-report/provider/ELS/59124  ","Ofsted Webpage")</f>
        <v>Ofsted Webpage</v>
      </c>
      <c r="B592" s="151">
        <v>59124</v>
      </c>
      <c r="C592" s="151">
        <v>10027693</v>
      </c>
      <c r="D592" s="46" t="s">
        <v>2418</v>
      </c>
      <c r="E592" s="26" t="s">
        <v>78</v>
      </c>
      <c r="F592" s="26" t="s">
        <v>79</v>
      </c>
      <c r="G592" s="26" t="s">
        <v>1199</v>
      </c>
      <c r="H592" s="26" t="s">
        <v>287</v>
      </c>
      <c r="I592" s="26" t="s">
        <v>287</v>
      </c>
      <c r="J592" s="2" t="s">
        <v>72</v>
      </c>
      <c r="K592" s="141" t="s">
        <v>72</v>
      </c>
      <c r="L592" s="141">
        <v>10030717</v>
      </c>
      <c r="M592" s="26" t="s">
        <v>211</v>
      </c>
      <c r="N592" s="2">
        <v>42920</v>
      </c>
      <c r="O592" s="2">
        <v>42923</v>
      </c>
      <c r="P592" s="133">
        <v>42964</v>
      </c>
      <c r="Q592" s="6">
        <v>3</v>
      </c>
      <c r="R592" s="6">
        <v>3</v>
      </c>
      <c r="S592" s="6">
        <v>3</v>
      </c>
      <c r="T592" s="6">
        <v>2</v>
      </c>
      <c r="U592" s="6">
        <v>3</v>
      </c>
      <c r="V592" s="6" t="s">
        <v>2419</v>
      </c>
      <c r="W592" s="5">
        <v>42111</v>
      </c>
      <c r="X592" s="6">
        <v>2</v>
      </c>
      <c r="Y592" s="6">
        <v>2</v>
      </c>
      <c r="Z592" s="6">
        <v>2</v>
      </c>
      <c r="AA592" s="6" t="s">
        <v>178</v>
      </c>
      <c r="AB592" s="6">
        <v>2</v>
      </c>
      <c r="AC592" s="6" t="s">
        <v>201</v>
      </c>
    </row>
    <row r="593" spans="1:29" x14ac:dyDescent="0.25">
      <c r="A593" s="145" t="str">
        <f>HYPERLINK("http://www.ofsted.gov.uk/inspection-reports/find-inspection-report/provider/ELS/59126  ","Ofsted Webpage")</f>
        <v>Ofsted Webpage</v>
      </c>
      <c r="B593" s="151">
        <v>59126</v>
      </c>
      <c r="C593" s="151">
        <v>10025330</v>
      </c>
      <c r="D593" s="46" t="s">
        <v>2292</v>
      </c>
      <c r="E593" s="26" t="s">
        <v>78</v>
      </c>
      <c r="F593" s="26" t="s">
        <v>79</v>
      </c>
      <c r="G593" s="26" t="s">
        <v>723</v>
      </c>
      <c r="H593" s="26" t="s">
        <v>204</v>
      </c>
      <c r="I593" s="26" t="s">
        <v>188</v>
      </c>
      <c r="J593" s="2" t="s">
        <v>72</v>
      </c>
      <c r="K593" s="141" t="s">
        <v>72</v>
      </c>
      <c r="L593" s="141">
        <v>10005093</v>
      </c>
      <c r="M593" s="26" t="s">
        <v>211</v>
      </c>
      <c r="N593" s="2">
        <v>42311</v>
      </c>
      <c r="O593" s="2">
        <v>42314</v>
      </c>
      <c r="P593" s="133">
        <v>42345</v>
      </c>
      <c r="Q593" s="6">
        <v>2</v>
      </c>
      <c r="R593" s="6">
        <v>2</v>
      </c>
      <c r="S593" s="6">
        <v>2</v>
      </c>
      <c r="T593" s="6">
        <v>2</v>
      </c>
      <c r="U593" s="6">
        <v>2</v>
      </c>
      <c r="V593" s="6" t="s">
        <v>2293</v>
      </c>
      <c r="W593" s="5">
        <v>41600</v>
      </c>
      <c r="X593" s="6">
        <v>2</v>
      </c>
      <c r="Y593" s="6">
        <v>2</v>
      </c>
      <c r="Z593" s="6">
        <v>2</v>
      </c>
      <c r="AA593" s="6" t="s">
        <v>178</v>
      </c>
      <c r="AB593" s="6">
        <v>2</v>
      </c>
      <c r="AC593" s="6" t="s">
        <v>180</v>
      </c>
    </row>
    <row r="594" spans="1:29" x14ac:dyDescent="0.25">
      <c r="A594" s="145" t="str">
        <f>HYPERLINK("http://www.ofsted.gov.uk/inspection-reports/find-inspection-report/provider/ELS/59129  ","Ofsted Webpage")</f>
        <v>Ofsted Webpage</v>
      </c>
      <c r="B594" s="151">
        <v>59129</v>
      </c>
      <c r="C594" s="151">
        <v>10027873</v>
      </c>
      <c r="D594" s="46" t="s">
        <v>2516</v>
      </c>
      <c r="E594" s="26" t="s">
        <v>78</v>
      </c>
      <c r="F594" s="26" t="s">
        <v>79</v>
      </c>
      <c r="G594" s="26" t="s">
        <v>247</v>
      </c>
      <c r="H594" s="26" t="s">
        <v>238</v>
      </c>
      <c r="I594" s="26" t="s">
        <v>238</v>
      </c>
      <c r="J594" s="2" t="s">
        <v>72</v>
      </c>
      <c r="K594" s="141" t="s">
        <v>72</v>
      </c>
      <c r="L594" s="141" t="s">
        <v>2517</v>
      </c>
      <c r="M594" s="26" t="s">
        <v>342</v>
      </c>
      <c r="N594" s="2">
        <v>42073</v>
      </c>
      <c r="O594" s="2">
        <v>42076</v>
      </c>
      <c r="P594" s="119">
        <v>42111</v>
      </c>
      <c r="Q594" s="6">
        <v>2</v>
      </c>
      <c r="R594" s="6">
        <v>2</v>
      </c>
      <c r="S594" s="6">
        <v>2</v>
      </c>
      <c r="T594" s="120" t="s">
        <v>178</v>
      </c>
      <c r="U594" s="6">
        <v>2</v>
      </c>
      <c r="V594" s="6" t="s">
        <v>2518</v>
      </c>
      <c r="W594" s="5">
        <v>41544</v>
      </c>
      <c r="X594" s="6">
        <v>3</v>
      </c>
      <c r="Y594" s="6">
        <v>3</v>
      </c>
      <c r="Z594" s="6">
        <v>3</v>
      </c>
      <c r="AA594" s="6" t="s">
        <v>178</v>
      </c>
      <c r="AB594" s="6">
        <v>3</v>
      </c>
      <c r="AC594" s="6" t="s">
        <v>216</v>
      </c>
    </row>
    <row r="595" spans="1:29" x14ac:dyDescent="0.25">
      <c r="A595" s="145" t="str">
        <f>HYPERLINK("http://www.ofsted.gov.uk/inspection-reports/find-inspection-report/provider/ELS/59131  ","Ofsted Webpage")</f>
        <v>Ofsted Webpage</v>
      </c>
      <c r="B595" s="151">
        <v>59131</v>
      </c>
      <c r="C595" s="151">
        <v>10033736</v>
      </c>
      <c r="D595" s="46" t="s">
        <v>573</v>
      </c>
      <c r="E595" s="26" t="s">
        <v>80</v>
      </c>
      <c r="F595" s="26" t="s">
        <v>79</v>
      </c>
      <c r="G595" s="26" t="s">
        <v>329</v>
      </c>
      <c r="H595" s="26" t="s">
        <v>175</v>
      </c>
      <c r="I595" s="26" t="s">
        <v>175</v>
      </c>
      <c r="J595" s="2" t="s">
        <v>72</v>
      </c>
      <c r="K595" s="141" t="s">
        <v>72</v>
      </c>
      <c r="L595" s="141">
        <v>10005094</v>
      </c>
      <c r="M595" s="26" t="s">
        <v>183</v>
      </c>
      <c r="N595" s="2">
        <v>42325</v>
      </c>
      <c r="O595" s="2">
        <v>42327</v>
      </c>
      <c r="P595" s="133">
        <v>42354</v>
      </c>
      <c r="Q595" s="6">
        <v>3</v>
      </c>
      <c r="R595" s="6">
        <v>2</v>
      </c>
      <c r="S595" s="6">
        <v>3</v>
      </c>
      <c r="T595" s="6">
        <v>2</v>
      </c>
      <c r="U595" s="6">
        <v>3</v>
      </c>
      <c r="V595" s="6" t="s">
        <v>72</v>
      </c>
      <c r="W595" s="5" t="s">
        <v>72</v>
      </c>
      <c r="X595" s="6" t="s">
        <v>72</v>
      </c>
      <c r="Y595" s="6" t="s">
        <v>72</v>
      </c>
      <c r="Z595" s="6" t="s">
        <v>72</v>
      </c>
      <c r="AA595" s="6" t="s">
        <v>72</v>
      </c>
      <c r="AB595" s="6" t="s">
        <v>72</v>
      </c>
      <c r="AC595" s="6" t="s">
        <v>208</v>
      </c>
    </row>
    <row r="596" spans="1:29" x14ac:dyDescent="0.25">
      <c r="A596" s="145" t="str">
        <f>HYPERLINK("http://www.ofsted.gov.uk/inspection-reports/find-inspection-report/provider/ELS/59144  ","Ofsted Webpage")</f>
        <v>Ofsted Webpage</v>
      </c>
      <c r="B596" s="151">
        <v>59144</v>
      </c>
      <c r="C596" s="151">
        <v>10019237</v>
      </c>
      <c r="D596" s="46" t="s">
        <v>890</v>
      </c>
      <c r="E596" s="26" t="s">
        <v>70</v>
      </c>
      <c r="F596" s="26" t="s">
        <v>71</v>
      </c>
      <c r="G596" s="26" t="s">
        <v>824</v>
      </c>
      <c r="H596" s="26" t="s">
        <v>238</v>
      </c>
      <c r="I596" s="26" t="s">
        <v>238</v>
      </c>
      <c r="J596" s="2" t="s">
        <v>72</v>
      </c>
      <c r="K596" s="141" t="s">
        <v>72</v>
      </c>
      <c r="L596" s="141">
        <v>10037420</v>
      </c>
      <c r="M596" s="26" t="s">
        <v>532</v>
      </c>
      <c r="N596" s="2">
        <v>43024</v>
      </c>
      <c r="O596" s="2">
        <v>43026</v>
      </c>
      <c r="P596" s="133">
        <v>43054</v>
      </c>
      <c r="Q596" s="6">
        <v>2</v>
      </c>
      <c r="R596" s="6">
        <v>2</v>
      </c>
      <c r="S596" s="6">
        <v>2</v>
      </c>
      <c r="T596" s="6">
        <v>2</v>
      </c>
      <c r="U596" s="6">
        <v>2</v>
      </c>
      <c r="V596" s="6">
        <v>10005971</v>
      </c>
      <c r="W596" s="5">
        <v>42338</v>
      </c>
      <c r="X596" s="6">
        <v>3</v>
      </c>
      <c r="Y596" s="6">
        <v>3</v>
      </c>
      <c r="Z596" s="6">
        <v>3</v>
      </c>
      <c r="AA596" s="6">
        <v>3</v>
      </c>
      <c r="AB596" s="6">
        <v>3</v>
      </c>
      <c r="AC596" s="6" t="s">
        <v>216</v>
      </c>
    </row>
    <row r="597" spans="1:29" x14ac:dyDescent="0.25">
      <c r="A597" s="145" t="str">
        <f>HYPERLINK("http://www.ofsted.gov.uk/inspection-reports/find-inspection-report/provider/ELS/59147  ","Ofsted Webpage")</f>
        <v>Ofsted Webpage</v>
      </c>
      <c r="B597" s="151">
        <v>59147</v>
      </c>
      <c r="C597" s="151">
        <v>10030249</v>
      </c>
      <c r="D597" s="46" t="s">
        <v>2226</v>
      </c>
      <c r="E597" s="26" t="s">
        <v>78</v>
      </c>
      <c r="F597" s="26" t="s">
        <v>79</v>
      </c>
      <c r="G597" s="26" t="s">
        <v>296</v>
      </c>
      <c r="H597" s="26" t="s">
        <v>287</v>
      </c>
      <c r="I597" s="26" t="s">
        <v>287</v>
      </c>
      <c r="J597" s="2" t="s">
        <v>72</v>
      </c>
      <c r="K597" s="141" t="s">
        <v>72</v>
      </c>
      <c r="L597" s="141" t="s">
        <v>2227</v>
      </c>
      <c r="M597" s="26" t="s">
        <v>333</v>
      </c>
      <c r="N597" s="2">
        <v>42170</v>
      </c>
      <c r="O597" s="2">
        <v>42174</v>
      </c>
      <c r="P597" s="133">
        <v>42199</v>
      </c>
      <c r="Q597" s="6">
        <v>2</v>
      </c>
      <c r="R597" s="6">
        <v>2</v>
      </c>
      <c r="S597" s="6">
        <v>2</v>
      </c>
      <c r="T597" s="120" t="s">
        <v>178</v>
      </c>
      <c r="U597" s="6">
        <v>2</v>
      </c>
      <c r="V597" s="6" t="s">
        <v>72</v>
      </c>
      <c r="W597" s="5" t="s">
        <v>72</v>
      </c>
      <c r="X597" s="6" t="s">
        <v>72</v>
      </c>
      <c r="Y597" s="6" t="s">
        <v>72</v>
      </c>
      <c r="Z597" s="6" t="s">
        <v>72</v>
      </c>
      <c r="AA597" s="6" t="s">
        <v>72</v>
      </c>
      <c r="AB597" s="6" t="s">
        <v>72</v>
      </c>
      <c r="AC597" s="6" t="s">
        <v>208</v>
      </c>
    </row>
    <row r="598" spans="1:29" x14ac:dyDescent="0.25">
      <c r="A598" s="145" t="str">
        <f>HYPERLINK("http://www.ofsted.gov.uk/inspection-reports/find-inspection-report/provider/ELS/59153  ","Ofsted Webpage")</f>
        <v>Ofsted Webpage</v>
      </c>
      <c r="B598" s="151">
        <v>59153</v>
      </c>
      <c r="C598" s="151">
        <v>10019314</v>
      </c>
      <c r="D598" s="46" t="s">
        <v>2465</v>
      </c>
      <c r="E598" s="26" t="s">
        <v>78</v>
      </c>
      <c r="F598" s="26" t="s">
        <v>79</v>
      </c>
      <c r="G598" s="26" t="s">
        <v>276</v>
      </c>
      <c r="H598" s="26" t="s">
        <v>193</v>
      </c>
      <c r="I598" s="26" t="s">
        <v>193</v>
      </c>
      <c r="J598" s="2" t="s">
        <v>72</v>
      </c>
      <c r="K598" s="141" t="s">
        <v>72</v>
      </c>
      <c r="L598" s="141" t="s">
        <v>2466</v>
      </c>
      <c r="M598" s="26" t="s">
        <v>466</v>
      </c>
      <c r="N598" s="2">
        <v>41899</v>
      </c>
      <c r="O598" s="2">
        <v>41901</v>
      </c>
      <c r="P598" s="133">
        <v>41935</v>
      </c>
      <c r="Q598" s="6">
        <v>2</v>
      </c>
      <c r="R598" s="6">
        <v>2</v>
      </c>
      <c r="S598" s="6">
        <v>2</v>
      </c>
      <c r="T598" s="120" t="s">
        <v>178</v>
      </c>
      <c r="U598" s="6">
        <v>2</v>
      </c>
      <c r="V598" s="6" t="s">
        <v>72</v>
      </c>
      <c r="W598" s="5" t="s">
        <v>72</v>
      </c>
      <c r="X598" s="6" t="s">
        <v>72</v>
      </c>
      <c r="Y598" s="6" t="s">
        <v>72</v>
      </c>
      <c r="Z598" s="6" t="s">
        <v>72</v>
      </c>
      <c r="AA598" s="6" t="s">
        <v>72</v>
      </c>
      <c r="AB598" s="6" t="s">
        <v>72</v>
      </c>
      <c r="AC598" s="6" t="s">
        <v>208</v>
      </c>
    </row>
    <row r="599" spans="1:29" x14ac:dyDescent="0.25">
      <c r="A599" s="145" t="str">
        <f>HYPERLINK("http://www.ofsted.gov.uk/inspection-reports/find-inspection-report/provider/ELS/59154  ","Ofsted Webpage")</f>
        <v>Ofsted Webpage</v>
      </c>
      <c r="B599" s="151">
        <v>59154</v>
      </c>
      <c r="C599" s="151">
        <v>10032740</v>
      </c>
      <c r="D599" s="46" t="s">
        <v>2346</v>
      </c>
      <c r="E599" s="26" t="s">
        <v>78</v>
      </c>
      <c r="F599" s="26" t="s">
        <v>79</v>
      </c>
      <c r="G599" s="26" t="s">
        <v>388</v>
      </c>
      <c r="H599" s="26" t="s">
        <v>187</v>
      </c>
      <c r="I599" s="26" t="s">
        <v>188</v>
      </c>
      <c r="J599" s="2" t="s">
        <v>72</v>
      </c>
      <c r="K599" s="141" t="s">
        <v>72</v>
      </c>
      <c r="L599" s="141">
        <v>10030667</v>
      </c>
      <c r="M599" s="26" t="s">
        <v>475</v>
      </c>
      <c r="N599" s="2">
        <v>42905</v>
      </c>
      <c r="O599" s="2">
        <v>42908</v>
      </c>
      <c r="P599" s="119">
        <v>42935</v>
      </c>
      <c r="Q599" s="6">
        <v>2</v>
      </c>
      <c r="R599" s="6">
        <v>2</v>
      </c>
      <c r="S599" s="6">
        <v>2</v>
      </c>
      <c r="T599" s="6">
        <v>2</v>
      </c>
      <c r="U599" s="6">
        <v>2</v>
      </c>
      <c r="V599" s="6">
        <v>10005403</v>
      </c>
      <c r="W599" s="5">
        <v>42272</v>
      </c>
      <c r="X599" s="6">
        <v>3</v>
      </c>
      <c r="Y599" s="6">
        <v>3</v>
      </c>
      <c r="Z599" s="6">
        <v>3</v>
      </c>
      <c r="AA599" s="6">
        <v>3</v>
      </c>
      <c r="AB599" s="6">
        <v>3</v>
      </c>
      <c r="AC599" s="6" t="s">
        <v>216</v>
      </c>
    </row>
    <row r="600" spans="1:29" x14ac:dyDescent="0.25">
      <c r="A600" s="145" t="str">
        <f>HYPERLINK("http://www.ofsted.gov.uk/inspection-reports/find-inspection-report/provider/ELS/59155  ","Ofsted Webpage")</f>
        <v>Ofsted Webpage</v>
      </c>
      <c r="B600" s="151">
        <v>59155</v>
      </c>
      <c r="C600" s="151">
        <v>10034315</v>
      </c>
      <c r="D600" s="46" t="s">
        <v>2356</v>
      </c>
      <c r="E600" s="26" t="s">
        <v>78</v>
      </c>
      <c r="F600" s="26" t="s">
        <v>79</v>
      </c>
      <c r="G600" s="26" t="s">
        <v>590</v>
      </c>
      <c r="H600" s="26" t="s">
        <v>219</v>
      </c>
      <c r="I600" s="26" t="s">
        <v>219</v>
      </c>
      <c r="J600" s="2" t="s">
        <v>72</v>
      </c>
      <c r="K600" s="141" t="s">
        <v>72</v>
      </c>
      <c r="L600" s="141">
        <v>10005096</v>
      </c>
      <c r="M600" s="26" t="s">
        <v>475</v>
      </c>
      <c r="N600" s="2">
        <v>42717</v>
      </c>
      <c r="O600" s="2">
        <v>42720</v>
      </c>
      <c r="P600" s="133">
        <v>42758</v>
      </c>
      <c r="Q600" s="6">
        <v>2</v>
      </c>
      <c r="R600" s="6">
        <v>2</v>
      </c>
      <c r="S600" s="6">
        <v>2</v>
      </c>
      <c r="T600" s="6">
        <v>2</v>
      </c>
      <c r="U600" s="6">
        <v>2</v>
      </c>
      <c r="V600" s="6" t="s">
        <v>2357</v>
      </c>
      <c r="W600" s="5">
        <v>42048</v>
      </c>
      <c r="X600" s="6">
        <v>3</v>
      </c>
      <c r="Y600" s="6">
        <v>3</v>
      </c>
      <c r="Z600" s="6">
        <v>3</v>
      </c>
      <c r="AA600" s="6" t="s">
        <v>178</v>
      </c>
      <c r="AB600" s="6">
        <v>3</v>
      </c>
      <c r="AC600" s="6" t="s">
        <v>216</v>
      </c>
    </row>
    <row r="601" spans="1:29" x14ac:dyDescent="0.25">
      <c r="A601" s="145" t="str">
        <f>HYPERLINK("http://www.ofsted.gov.uk/inspection-reports/find-inspection-report/provider/ELS/59157  ","Ofsted Webpage")</f>
        <v>Ofsted Webpage</v>
      </c>
      <c r="B601" s="151">
        <v>59157</v>
      </c>
      <c r="C601" s="151">
        <v>10024404</v>
      </c>
      <c r="D601" s="46" t="s">
        <v>2589</v>
      </c>
      <c r="E601" s="26" t="s">
        <v>78</v>
      </c>
      <c r="F601" s="26" t="s">
        <v>79</v>
      </c>
      <c r="G601" s="26" t="s">
        <v>336</v>
      </c>
      <c r="H601" s="26" t="s">
        <v>175</v>
      </c>
      <c r="I601" s="26" t="s">
        <v>175</v>
      </c>
      <c r="J601" s="2" t="s">
        <v>72</v>
      </c>
      <c r="K601" s="141" t="s">
        <v>72</v>
      </c>
      <c r="L601" s="141">
        <v>10021941</v>
      </c>
      <c r="M601" s="26" t="s">
        <v>199</v>
      </c>
      <c r="N601" s="2">
        <v>42668</v>
      </c>
      <c r="O601" s="2">
        <v>42670</v>
      </c>
      <c r="P601" s="133">
        <v>42695</v>
      </c>
      <c r="Q601" s="6">
        <v>2</v>
      </c>
      <c r="R601" s="6">
        <v>2</v>
      </c>
      <c r="S601" s="6">
        <v>2</v>
      </c>
      <c r="T601" s="6">
        <v>2</v>
      </c>
      <c r="U601" s="6">
        <v>2</v>
      </c>
      <c r="V601" s="6" t="s">
        <v>2590</v>
      </c>
      <c r="W601" s="5">
        <v>42069</v>
      </c>
      <c r="X601" s="6">
        <v>3</v>
      </c>
      <c r="Y601" s="6">
        <v>2</v>
      </c>
      <c r="Z601" s="6">
        <v>3</v>
      </c>
      <c r="AA601" s="6" t="s">
        <v>178</v>
      </c>
      <c r="AB601" s="6">
        <v>3</v>
      </c>
      <c r="AC601" s="6" t="s">
        <v>216</v>
      </c>
    </row>
    <row r="602" spans="1:29" x14ac:dyDescent="0.25">
      <c r="A602" s="145" t="str">
        <f>HYPERLINK("http://www.ofsted.gov.uk/inspection-reports/find-inspection-report/provider/ELS/59161  ","Ofsted Webpage")</f>
        <v>Ofsted Webpage</v>
      </c>
      <c r="B602" s="151">
        <v>59161</v>
      </c>
      <c r="C602" s="151">
        <v>10036578</v>
      </c>
      <c r="D602" s="46" t="s">
        <v>2384</v>
      </c>
      <c r="E602" s="26" t="s">
        <v>78</v>
      </c>
      <c r="F602" s="26" t="s">
        <v>79</v>
      </c>
      <c r="G602" s="26" t="s">
        <v>348</v>
      </c>
      <c r="H602" s="26" t="s">
        <v>238</v>
      </c>
      <c r="I602" s="26" t="s">
        <v>238</v>
      </c>
      <c r="J602" s="2" t="s">
        <v>72</v>
      </c>
      <c r="K602" s="141" t="s">
        <v>72</v>
      </c>
      <c r="L602" s="141">
        <v>10022619</v>
      </c>
      <c r="M602" s="26" t="s">
        <v>199</v>
      </c>
      <c r="N602" s="2">
        <v>42745</v>
      </c>
      <c r="O602" s="2">
        <v>42748</v>
      </c>
      <c r="P602" s="133">
        <v>42780</v>
      </c>
      <c r="Q602" s="6">
        <v>2</v>
      </c>
      <c r="R602" s="6">
        <v>2</v>
      </c>
      <c r="S602" s="6">
        <v>2</v>
      </c>
      <c r="T602" s="6">
        <v>2</v>
      </c>
      <c r="U602" s="6">
        <v>2</v>
      </c>
      <c r="V602" s="6" t="s">
        <v>2385</v>
      </c>
      <c r="W602" s="5">
        <v>42076</v>
      </c>
      <c r="X602" s="6">
        <v>3</v>
      </c>
      <c r="Y602" s="6">
        <v>3</v>
      </c>
      <c r="Z602" s="6">
        <v>3</v>
      </c>
      <c r="AA602" s="6" t="s">
        <v>178</v>
      </c>
      <c r="AB602" s="6">
        <v>3</v>
      </c>
      <c r="AC602" s="6" t="s">
        <v>216</v>
      </c>
    </row>
    <row r="603" spans="1:29" x14ac:dyDescent="0.25">
      <c r="A603" s="145" t="str">
        <f>HYPERLINK("http://www.ofsted.gov.uk/inspection-reports/find-inspection-report/provider/ELS/59162  ","Ofsted Webpage")</f>
        <v>Ofsted Webpage</v>
      </c>
      <c r="B603" s="151">
        <v>59162</v>
      </c>
      <c r="C603" s="151">
        <v>10030670</v>
      </c>
      <c r="D603" s="46" t="s">
        <v>2624</v>
      </c>
      <c r="E603" s="26" t="s">
        <v>78</v>
      </c>
      <c r="F603" s="26" t="s">
        <v>79</v>
      </c>
      <c r="G603" s="26" t="s">
        <v>258</v>
      </c>
      <c r="H603" s="26" t="s">
        <v>193</v>
      </c>
      <c r="I603" s="26" t="s">
        <v>193</v>
      </c>
      <c r="J603" s="2" t="s">
        <v>72</v>
      </c>
      <c r="K603" s="141" t="s">
        <v>72</v>
      </c>
      <c r="L603" s="141">
        <v>10030713</v>
      </c>
      <c r="M603" s="26" t="s">
        <v>183</v>
      </c>
      <c r="N603" s="2">
        <v>42942</v>
      </c>
      <c r="O603" s="2">
        <v>42949</v>
      </c>
      <c r="P603" s="133">
        <v>42976</v>
      </c>
      <c r="Q603" s="6">
        <v>3</v>
      </c>
      <c r="R603" s="6">
        <v>3</v>
      </c>
      <c r="S603" s="6">
        <v>3</v>
      </c>
      <c r="T603" s="6">
        <v>3</v>
      </c>
      <c r="U603" s="6">
        <v>3</v>
      </c>
      <c r="V603" s="6" t="s">
        <v>2625</v>
      </c>
      <c r="W603" s="5">
        <v>42055</v>
      </c>
      <c r="X603" s="6">
        <v>2</v>
      </c>
      <c r="Y603" s="6">
        <v>2</v>
      </c>
      <c r="Z603" s="6">
        <v>2</v>
      </c>
      <c r="AA603" s="6" t="s">
        <v>178</v>
      </c>
      <c r="AB603" s="6">
        <v>2</v>
      </c>
      <c r="AC603" s="6" t="s">
        <v>201</v>
      </c>
    </row>
    <row r="604" spans="1:29" x14ac:dyDescent="0.25">
      <c r="A604" s="145" t="str">
        <f>HYPERLINK("http://www.ofsted.gov.uk/inspection-reports/find-inspection-report/provider/ELS/59163  ","Ofsted Webpage")</f>
        <v>Ofsted Webpage</v>
      </c>
      <c r="B604" s="151">
        <v>59163</v>
      </c>
      <c r="C604" s="151">
        <v>10035270</v>
      </c>
      <c r="D604" s="46" t="s">
        <v>2519</v>
      </c>
      <c r="E604" s="26" t="s">
        <v>78</v>
      </c>
      <c r="F604" s="26" t="s">
        <v>79</v>
      </c>
      <c r="G604" s="26" t="s">
        <v>600</v>
      </c>
      <c r="H604" s="26" t="s">
        <v>175</v>
      </c>
      <c r="I604" s="26" t="s">
        <v>175</v>
      </c>
      <c r="J604" s="2" t="s">
        <v>72</v>
      </c>
      <c r="K604" s="141" t="s">
        <v>72</v>
      </c>
      <c r="L604" s="141">
        <v>10022557</v>
      </c>
      <c r="M604" s="26" t="s">
        <v>199</v>
      </c>
      <c r="N604" s="2">
        <v>42864</v>
      </c>
      <c r="O604" s="2">
        <v>42867</v>
      </c>
      <c r="P604" s="119">
        <v>42893</v>
      </c>
      <c r="Q604" s="6">
        <v>2</v>
      </c>
      <c r="R604" s="6">
        <v>2</v>
      </c>
      <c r="S604" s="6">
        <v>2</v>
      </c>
      <c r="T604" s="6">
        <v>1</v>
      </c>
      <c r="U604" s="6">
        <v>2</v>
      </c>
      <c r="V604" s="6" t="s">
        <v>2520</v>
      </c>
      <c r="W604" s="5">
        <v>42167</v>
      </c>
      <c r="X604" s="6">
        <v>3</v>
      </c>
      <c r="Y604" s="6">
        <v>3</v>
      </c>
      <c r="Z604" s="6">
        <v>3</v>
      </c>
      <c r="AA604" s="6" t="s">
        <v>178</v>
      </c>
      <c r="AB604" s="6">
        <v>3</v>
      </c>
      <c r="AC604" s="6" t="s">
        <v>216</v>
      </c>
    </row>
    <row r="605" spans="1:29" x14ac:dyDescent="0.25">
      <c r="A605" s="145" t="str">
        <f>HYPERLINK("http://www.ofsted.gov.uk/inspection-reports/find-inspection-report/provider/ELS/59166  ","Ofsted Webpage")</f>
        <v>Ofsted Webpage</v>
      </c>
      <c r="B605" s="131">
        <v>59166</v>
      </c>
      <c r="C605" s="131">
        <v>10021021</v>
      </c>
      <c r="D605" s="46" t="s">
        <v>2313</v>
      </c>
      <c r="E605" s="26" t="s">
        <v>77</v>
      </c>
      <c r="F605" s="26" t="s">
        <v>76</v>
      </c>
      <c r="G605" s="26" t="s">
        <v>546</v>
      </c>
      <c r="H605" s="26" t="s">
        <v>175</v>
      </c>
      <c r="I605" s="26" t="s">
        <v>175</v>
      </c>
      <c r="J605" s="2" t="s">
        <v>72</v>
      </c>
      <c r="K605" s="26" t="s">
        <v>72</v>
      </c>
      <c r="L605" s="144">
        <v>10022559</v>
      </c>
      <c r="M605" s="26" t="s">
        <v>1001</v>
      </c>
      <c r="N605" s="2">
        <v>42864</v>
      </c>
      <c r="O605" s="2">
        <v>42866</v>
      </c>
      <c r="P605" s="2">
        <v>42894</v>
      </c>
      <c r="Q605" s="6">
        <v>2</v>
      </c>
      <c r="R605" s="6">
        <v>2</v>
      </c>
      <c r="S605" s="6">
        <v>2</v>
      </c>
      <c r="T605" s="6">
        <v>2</v>
      </c>
      <c r="U605" s="6">
        <v>2</v>
      </c>
      <c r="V605" s="6" t="s">
        <v>2314</v>
      </c>
      <c r="W605" s="5">
        <v>42158</v>
      </c>
      <c r="X605" s="6">
        <v>3</v>
      </c>
      <c r="Y605" s="6">
        <v>3</v>
      </c>
      <c r="Z605" s="6">
        <v>3</v>
      </c>
      <c r="AA605" s="6" t="s">
        <v>178</v>
      </c>
      <c r="AB605" s="6">
        <v>3</v>
      </c>
      <c r="AC605" s="6" t="s">
        <v>216</v>
      </c>
    </row>
    <row r="606" spans="1:29" x14ac:dyDescent="0.25">
      <c r="A606" s="145" t="str">
        <f>HYPERLINK("http://www.ofsted.gov.uk/inspection-reports/find-inspection-report/provider/ELS/59167  ","Ofsted Webpage")</f>
        <v>Ofsted Webpage</v>
      </c>
      <c r="B606" s="151">
        <v>59167</v>
      </c>
      <c r="C606" s="151">
        <v>10005109</v>
      </c>
      <c r="D606" s="46" t="s">
        <v>2319</v>
      </c>
      <c r="E606" s="26" t="s">
        <v>78</v>
      </c>
      <c r="F606" s="26" t="s">
        <v>79</v>
      </c>
      <c r="G606" s="26" t="s">
        <v>340</v>
      </c>
      <c r="H606" s="26" t="s">
        <v>214</v>
      </c>
      <c r="I606" s="26" t="s">
        <v>214</v>
      </c>
      <c r="J606" s="2" t="s">
        <v>72</v>
      </c>
      <c r="K606" s="141" t="s">
        <v>72</v>
      </c>
      <c r="L606" s="141">
        <v>10011546</v>
      </c>
      <c r="M606" s="26" t="s">
        <v>199</v>
      </c>
      <c r="N606" s="2">
        <v>42527</v>
      </c>
      <c r="O606" s="2">
        <v>42529</v>
      </c>
      <c r="P606" s="119">
        <v>42566</v>
      </c>
      <c r="Q606" s="6">
        <v>2</v>
      </c>
      <c r="R606" s="6">
        <v>2</v>
      </c>
      <c r="S606" s="6">
        <v>2</v>
      </c>
      <c r="T606" s="6">
        <v>2</v>
      </c>
      <c r="U606" s="6">
        <v>2</v>
      </c>
      <c r="V606" s="6" t="s">
        <v>2320</v>
      </c>
      <c r="W606" s="5">
        <v>42033</v>
      </c>
      <c r="X606" s="6">
        <v>3</v>
      </c>
      <c r="Y606" s="6">
        <v>3</v>
      </c>
      <c r="Z606" s="6">
        <v>3</v>
      </c>
      <c r="AA606" s="6" t="s">
        <v>178</v>
      </c>
      <c r="AB606" s="6">
        <v>2</v>
      </c>
      <c r="AC606" s="6" t="s">
        <v>216</v>
      </c>
    </row>
    <row r="607" spans="1:29" x14ac:dyDescent="0.25">
      <c r="A607" s="145" t="str">
        <f>HYPERLINK("http://www.ofsted.gov.uk/inspection-reports/find-inspection-report/provider/ELS/59168  ","Ofsted Webpage")</f>
        <v>Ofsted Webpage</v>
      </c>
      <c r="B607" s="151">
        <v>59168</v>
      </c>
      <c r="C607" s="151">
        <v>10020307</v>
      </c>
      <c r="D607" s="46" t="s">
        <v>2142</v>
      </c>
      <c r="E607" s="26" t="s">
        <v>78</v>
      </c>
      <c r="F607" s="26" t="s">
        <v>79</v>
      </c>
      <c r="G607" s="26" t="s">
        <v>1249</v>
      </c>
      <c r="H607" s="26" t="s">
        <v>175</v>
      </c>
      <c r="I607" s="26" t="s">
        <v>175</v>
      </c>
      <c r="J607" s="2">
        <v>42929</v>
      </c>
      <c r="K607" s="141">
        <v>1</v>
      </c>
      <c r="L607" s="141" t="s">
        <v>2143</v>
      </c>
      <c r="M607" s="26" t="s">
        <v>466</v>
      </c>
      <c r="N607" s="2">
        <v>42087</v>
      </c>
      <c r="O607" s="2">
        <v>42090</v>
      </c>
      <c r="P607" s="133">
        <v>42121</v>
      </c>
      <c r="Q607" s="6">
        <v>2</v>
      </c>
      <c r="R607" s="6">
        <v>3</v>
      </c>
      <c r="S607" s="6">
        <v>2</v>
      </c>
      <c r="T607" s="120" t="s">
        <v>178</v>
      </c>
      <c r="U607" s="6">
        <v>2</v>
      </c>
      <c r="V607" s="6" t="s">
        <v>72</v>
      </c>
      <c r="W607" s="5" t="s">
        <v>72</v>
      </c>
      <c r="X607" s="6" t="s">
        <v>72</v>
      </c>
      <c r="Y607" s="6" t="s">
        <v>72</v>
      </c>
      <c r="Z607" s="6" t="s">
        <v>72</v>
      </c>
      <c r="AA607" s="6" t="s">
        <v>72</v>
      </c>
      <c r="AB607" s="6" t="s">
        <v>72</v>
      </c>
      <c r="AC607" s="6" t="s">
        <v>208</v>
      </c>
    </row>
    <row r="608" spans="1:29" x14ac:dyDescent="0.25">
      <c r="A608" s="145" t="str">
        <f>HYPERLINK("http://www.ofsted.gov.uk/inspection-reports/find-inspection-report/provider/ELS/59172  ","Ofsted Webpage")</f>
        <v>Ofsted Webpage</v>
      </c>
      <c r="B608" s="151">
        <v>59172</v>
      </c>
      <c r="C608" s="151">
        <v>10013122</v>
      </c>
      <c r="D608" s="46" t="s">
        <v>246</v>
      </c>
      <c r="E608" s="26" t="s">
        <v>78</v>
      </c>
      <c r="F608" s="26" t="s">
        <v>79</v>
      </c>
      <c r="G608" s="26" t="s">
        <v>247</v>
      </c>
      <c r="H608" s="26" t="s">
        <v>238</v>
      </c>
      <c r="I608" s="26" t="s">
        <v>238</v>
      </c>
      <c r="J608" s="2">
        <v>42990</v>
      </c>
      <c r="K608" s="141">
        <v>1</v>
      </c>
      <c r="L608" s="141" t="s">
        <v>248</v>
      </c>
      <c r="M608" s="26" t="s">
        <v>466</v>
      </c>
      <c r="N608" s="2">
        <v>41589</v>
      </c>
      <c r="O608" s="2">
        <v>41593</v>
      </c>
      <c r="P608" s="119">
        <v>41626</v>
      </c>
      <c r="Q608" s="6">
        <v>2</v>
      </c>
      <c r="R608" s="6">
        <v>2</v>
      </c>
      <c r="S608" s="6">
        <v>2</v>
      </c>
      <c r="T608" s="120" t="s">
        <v>178</v>
      </c>
      <c r="U608" s="6">
        <v>2</v>
      </c>
      <c r="V608" s="6" t="s">
        <v>72</v>
      </c>
      <c r="W608" s="5" t="s">
        <v>72</v>
      </c>
      <c r="X608" s="6" t="s">
        <v>72</v>
      </c>
      <c r="Y608" s="6" t="s">
        <v>72</v>
      </c>
      <c r="Z608" s="6" t="s">
        <v>72</v>
      </c>
      <c r="AA608" s="6" t="s">
        <v>72</v>
      </c>
      <c r="AB608" s="6" t="s">
        <v>72</v>
      </c>
      <c r="AC608" s="6" t="s">
        <v>208</v>
      </c>
    </row>
    <row r="609" spans="1:29" x14ac:dyDescent="0.25">
      <c r="A609" s="145" t="str">
        <f>HYPERLINK("http://www.ofsted.gov.uk/inspection-reports/find-inspection-report/provider/ELS/59173  ","Ofsted Webpage")</f>
        <v>Ofsted Webpage</v>
      </c>
      <c r="B609" s="151">
        <v>59173</v>
      </c>
      <c r="C609" s="151">
        <v>10036431</v>
      </c>
      <c r="D609" s="46" t="s">
        <v>1029</v>
      </c>
      <c r="E609" s="26" t="s">
        <v>78</v>
      </c>
      <c r="F609" s="26" t="s">
        <v>79</v>
      </c>
      <c r="G609" s="26" t="s">
        <v>1030</v>
      </c>
      <c r="H609" s="26" t="s">
        <v>193</v>
      </c>
      <c r="I609" s="26" t="s">
        <v>193</v>
      </c>
      <c r="J609" s="2" t="s">
        <v>72</v>
      </c>
      <c r="K609" s="141" t="s">
        <v>72</v>
      </c>
      <c r="L609" s="141">
        <v>10030697</v>
      </c>
      <c r="M609" s="26" t="s">
        <v>183</v>
      </c>
      <c r="N609" s="2">
        <v>42913</v>
      </c>
      <c r="O609" s="2">
        <v>42916</v>
      </c>
      <c r="P609" s="133">
        <v>42948</v>
      </c>
      <c r="Q609" s="6">
        <v>2</v>
      </c>
      <c r="R609" s="6">
        <v>2</v>
      </c>
      <c r="S609" s="6">
        <v>2</v>
      </c>
      <c r="T609" s="6">
        <v>2</v>
      </c>
      <c r="U609" s="6">
        <v>2</v>
      </c>
      <c r="V609" s="6" t="s">
        <v>1031</v>
      </c>
      <c r="W609" s="5">
        <v>42041</v>
      </c>
      <c r="X609" s="6">
        <v>2</v>
      </c>
      <c r="Y609" s="6">
        <v>2</v>
      </c>
      <c r="Z609" s="6">
        <v>2</v>
      </c>
      <c r="AA609" s="6" t="s">
        <v>178</v>
      </c>
      <c r="AB609" s="6">
        <v>2</v>
      </c>
      <c r="AC609" s="6" t="s">
        <v>180</v>
      </c>
    </row>
    <row r="610" spans="1:29" x14ac:dyDescent="0.25">
      <c r="A610" s="145" t="str">
        <f>HYPERLINK("http://www.ofsted.gov.uk/inspection-reports/find-inspection-report/provider/ELS/59174  ","Ofsted Webpage")</f>
        <v>Ofsted Webpage</v>
      </c>
      <c r="B610" s="151">
        <v>59174</v>
      </c>
      <c r="C610" s="151">
        <v>10006901</v>
      </c>
      <c r="D610" s="46" t="s">
        <v>481</v>
      </c>
      <c r="E610" s="26" t="s">
        <v>78</v>
      </c>
      <c r="F610" s="26" t="s">
        <v>79</v>
      </c>
      <c r="G610" s="26" t="s">
        <v>223</v>
      </c>
      <c r="H610" s="26" t="s">
        <v>193</v>
      </c>
      <c r="I610" s="26" t="s">
        <v>193</v>
      </c>
      <c r="J610" s="2" t="s">
        <v>72</v>
      </c>
      <c r="K610" s="141" t="s">
        <v>72</v>
      </c>
      <c r="L610" s="141">
        <v>10020187</v>
      </c>
      <c r="M610" s="26" t="s">
        <v>211</v>
      </c>
      <c r="N610" s="2">
        <v>42682</v>
      </c>
      <c r="O610" s="2">
        <v>42685</v>
      </c>
      <c r="P610" s="133">
        <v>42723</v>
      </c>
      <c r="Q610" s="6">
        <v>3</v>
      </c>
      <c r="R610" s="6">
        <v>3</v>
      </c>
      <c r="S610" s="6">
        <v>3</v>
      </c>
      <c r="T610" s="6">
        <v>3</v>
      </c>
      <c r="U610" s="6">
        <v>3</v>
      </c>
      <c r="V610" s="6" t="s">
        <v>72</v>
      </c>
      <c r="W610" s="5" t="s">
        <v>72</v>
      </c>
      <c r="X610" s="6" t="s">
        <v>72</v>
      </c>
      <c r="Y610" s="6" t="s">
        <v>72</v>
      </c>
      <c r="Z610" s="6" t="s">
        <v>72</v>
      </c>
      <c r="AA610" s="6" t="s">
        <v>72</v>
      </c>
      <c r="AB610" s="6" t="s">
        <v>72</v>
      </c>
      <c r="AC610" s="6" t="s">
        <v>208</v>
      </c>
    </row>
    <row r="611" spans="1:29" x14ac:dyDescent="0.25">
      <c r="A611" s="145" t="str">
        <f>HYPERLINK("http://www.ofsted.gov.uk/inspection-reports/find-inspection-report/provider/ELS/59176  ","Ofsted Webpage")</f>
        <v>Ofsted Webpage</v>
      </c>
      <c r="B611" s="151">
        <v>59176</v>
      </c>
      <c r="C611" s="151">
        <v>10021793</v>
      </c>
      <c r="D611" s="46" t="s">
        <v>472</v>
      </c>
      <c r="E611" s="26" t="s">
        <v>78</v>
      </c>
      <c r="F611" s="26" t="s">
        <v>79</v>
      </c>
      <c r="G611" s="26" t="s">
        <v>223</v>
      </c>
      <c r="H611" s="26" t="s">
        <v>193</v>
      </c>
      <c r="I611" s="26" t="s">
        <v>193</v>
      </c>
      <c r="J611" s="2" t="s">
        <v>72</v>
      </c>
      <c r="K611" s="141" t="s">
        <v>72</v>
      </c>
      <c r="L611" s="141">
        <v>10021015</v>
      </c>
      <c r="M611" s="26" t="s">
        <v>199</v>
      </c>
      <c r="N611" s="2">
        <v>42647</v>
      </c>
      <c r="O611" s="2">
        <v>42650</v>
      </c>
      <c r="P611" s="133">
        <v>42676</v>
      </c>
      <c r="Q611" s="6">
        <v>2</v>
      </c>
      <c r="R611" s="6">
        <v>2</v>
      </c>
      <c r="S611" s="6">
        <v>2</v>
      </c>
      <c r="T611" s="6">
        <v>2</v>
      </c>
      <c r="U611" s="6">
        <v>2</v>
      </c>
      <c r="V611" s="6" t="s">
        <v>473</v>
      </c>
      <c r="W611" s="5">
        <v>42160</v>
      </c>
      <c r="X611" s="6">
        <v>3</v>
      </c>
      <c r="Y611" s="6">
        <v>3</v>
      </c>
      <c r="Z611" s="6">
        <v>3</v>
      </c>
      <c r="AA611" s="6" t="s">
        <v>178</v>
      </c>
      <c r="AB611" s="6">
        <v>3</v>
      </c>
      <c r="AC611" s="6" t="s">
        <v>216</v>
      </c>
    </row>
    <row r="612" spans="1:29" x14ac:dyDescent="0.25">
      <c r="A612" s="145" t="str">
        <f>HYPERLINK("http://www.ofsted.gov.uk/inspection-reports/find-inspection-report/provider/ELS/59179  ","Ofsted Webpage")</f>
        <v>Ofsted Webpage</v>
      </c>
      <c r="B612" s="151">
        <v>59179</v>
      </c>
      <c r="C612" s="151">
        <v>10022503</v>
      </c>
      <c r="D612" s="46" t="s">
        <v>2987</v>
      </c>
      <c r="E612" s="26" t="s">
        <v>78</v>
      </c>
      <c r="F612" s="26" t="s">
        <v>79</v>
      </c>
      <c r="G612" s="26" t="s">
        <v>1228</v>
      </c>
      <c r="H612" s="26" t="s">
        <v>193</v>
      </c>
      <c r="I612" s="26" t="s">
        <v>193</v>
      </c>
      <c r="J612" s="2" t="s">
        <v>72</v>
      </c>
      <c r="K612" s="141" t="s">
        <v>72</v>
      </c>
      <c r="L612" s="141" t="s">
        <v>2489</v>
      </c>
      <c r="M612" s="26" t="s">
        <v>466</v>
      </c>
      <c r="N612" s="2">
        <v>42157</v>
      </c>
      <c r="O612" s="2">
        <v>42160</v>
      </c>
      <c r="P612" s="133">
        <v>42184</v>
      </c>
      <c r="Q612" s="6">
        <v>2</v>
      </c>
      <c r="R612" s="6">
        <v>2</v>
      </c>
      <c r="S612" s="6">
        <v>2</v>
      </c>
      <c r="T612" s="120" t="s">
        <v>178</v>
      </c>
      <c r="U612" s="6">
        <v>2</v>
      </c>
      <c r="V612" s="6" t="s">
        <v>72</v>
      </c>
      <c r="W612" s="5" t="s">
        <v>72</v>
      </c>
      <c r="X612" s="6" t="s">
        <v>72</v>
      </c>
      <c r="Y612" s="6" t="s">
        <v>72</v>
      </c>
      <c r="Z612" s="6" t="s">
        <v>72</v>
      </c>
      <c r="AA612" s="6" t="s">
        <v>72</v>
      </c>
      <c r="AB612" s="6" t="s">
        <v>72</v>
      </c>
      <c r="AC612" s="6" t="s">
        <v>208</v>
      </c>
    </row>
    <row r="613" spans="1:29" x14ac:dyDescent="0.25">
      <c r="A613" s="145" t="str">
        <f>HYPERLINK("http://www.ofsted.gov.uk/inspection-reports/find-inspection-report/provider/ELS/59181  ","Ofsted Webpage")</f>
        <v>Ofsted Webpage</v>
      </c>
      <c r="B613" s="151">
        <v>59181</v>
      </c>
      <c r="C613" s="151">
        <v>10024603</v>
      </c>
      <c r="D613" s="46" t="s">
        <v>2437</v>
      </c>
      <c r="E613" s="26" t="s">
        <v>78</v>
      </c>
      <c r="F613" s="26" t="s">
        <v>79</v>
      </c>
      <c r="G613" s="26" t="s">
        <v>910</v>
      </c>
      <c r="H613" s="26" t="s">
        <v>287</v>
      </c>
      <c r="I613" s="26" t="s">
        <v>287</v>
      </c>
      <c r="J613" s="2" t="s">
        <v>72</v>
      </c>
      <c r="K613" s="141" t="s">
        <v>72</v>
      </c>
      <c r="L613" s="141" t="s">
        <v>2438</v>
      </c>
      <c r="M613" s="26" t="s">
        <v>466</v>
      </c>
      <c r="N613" s="2">
        <v>42142</v>
      </c>
      <c r="O613" s="2">
        <v>42146</v>
      </c>
      <c r="P613" s="133">
        <v>42180</v>
      </c>
      <c r="Q613" s="6">
        <v>2</v>
      </c>
      <c r="R613" s="6">
        <v>2</v>
      </c>
      <c r="S613" s="6">
        <v>2</v>
      </c>
      <c r="T613" s="120" t="s">
        <v>178</v>
      </c>
      <c r="U613" s="6">
        <v>2</v>
      </c>
      <c r="V613" s="6" t="s">
        <v>72</v>
      </c>
      <c r="W613" s="5" t="s">
        <v>72</v>
      </c>
      <c r="X613" s="6" t="s">
        <v>72</v>
      </c>
      <c r="Y613" s="6" t="s">
        <v>72</v>
      </c>
      <c r="Z613" s="6" t="s">
        <v>72</v>
      </c>
      <c r="AA613" s="6" t="s">
        <v>72</v>
      </c>
      <c r="AB613" s="6" t="s">
        <v>72</v>
      </c>
      <c r="AC613" s="6" t="s">
        <v>208</v>
      </c>
    </row>
    <row r="614" spans="1:29" x14ac:dyDescent="0.25">
      <c r="A614" s="145" t="str">
        <f>HYPERLINK("http://www.ofsted.gov.uk/inspection-reports/find-inspection-report/provider/ELS/59182  ","Ofsted Webpage")</f>
        <v>Ofsted Webpage</v>
      </c>
      <c r="B614" s="151">
        <v>59182</v>
      </c>
      <c r="C614" s="151">
        <v>10027766</v>
      </c>
      <c r="D614" s="46" t="s">
        <v>2565</v>
      </c>
      <c r="E614" s="26" t="s">
        <v>78</v>
      </c>
      <c r="F614" s="26" t="s">
        <v>79</v>
      </c>
      <c r="G614" s="26" t="s">
        <v>582</v>
      </c>
      <c r="H614" s="26" t="s">
        <v>187</v>
      </c>
      <c r="I614" s="26" t="s">
        <v>188</v>
      </c>
      <c r="J614" s="2" t="s">
        <v>72</v>
      </c>
      <c r="K614" s="141" t="s">
        <v>72</v>
      </c>
      <c r="L614" s="141" t="s">
        <v>2566</v>
      </c>
      <c r="M614" s="26" t="s">
        <v>466</v>
      </c>
      <c r="N614" s="2">
        <v>42157</v>
      </c>
      <c r="O614" s="2">
        <v>42160</v>
      </c>
      <c r="P614" s="133">
        <v>42193</v>
      </c>
      <c r="Q614" s="6">
        <v>2</v>
      </c>
      <c r="R614" s="6">
        <v>2</v>
      </c>
      <c r="S614" s="6">
        <v>2</v>
      </c>
      <c r="T614" s="120" t="s">
        <v>178</v>
      </c>
      <c r="U614" s="6">
        <v>2</v>
      </c>
      <c r="V614" s="6" t="s">
        <v>72</v>
      </c>
      <c r="W614" s="5" t="s">
        <v>72</v>
      </c>
      <c r="X614" s="6" t="s">
        <v>72</v>
      </c>
      <c r="Y614" s="6" t="s">
        <v>72</v>
      </c>
      <c r="Z614" s="6" t="s">
        <v>72</v>
      </c>
      <c r="AA614" s="6" t="s">
        <v>72</v>
      </c>
      <c r="AB614" s="6" t="s">
        <v>72</v>
      </c>
      <c r="AC614" s="6" t="s">
        <v>208</v>
      </c>
    </row>
    <row r="615" spans="1:29" x14ac:dyDescent="0.25">
      <c r="A615" s="145" t="str">
        <f>HYPERLINK("http://www.ofsted.gov.uk/inspection-reports/find-inspection-report/provider/ELS/59184  ","Ofsted Webpage")</f>
        <v>Ofsted Webpage</v>
      </c>
      <c r="B615" s="151">
        <v>59184</v>
      </c>
      <c r="C615" s="151">
        <v>10031146</v>
      </c>
      <c r="D615" s="46" t="s">
        <v>2499</v>
      </c>
      <c r="E615" s="26" t="s">
        <v>78</v>
      </c>
      <c r="F615" s="26" t="s">
        <v>79</v>
      </c>
      <c r="G615" s="26" t="s">
        <v>331</v>
      </c>
      <c r="H615" s="26" t="s">
        <v>214</v>
      </c>
      <c r="I615" s="26" t="s">
        <v>214</v>
      </c>
      <c r="J615" s="2" t="s">
        <v>72</v>
      </c>
      <c r="K615" s="141" t="s">
        <v>72</v>
      </c>
      <c r="L615" s="141">
        <v>10022572</v>
      </c>
      <c r="M615" s="26" t="s">
        <v>199</v>
      </c>
      <c r="N615" s="2">
        <v>42815</v>
      </c>
      <c r="O615" s="2">
        <v>42818</v>
      </c>
      <c r="P615" s="133">
        <v>42845</v>
      </c>
      <c r="Q615" s="6">
        <v>2</v>
      </c>
      <c r="R615" s="6">
        <v>2</v>
      </c>
      <c r="S615" s="6">
        <v>2</v>
      </c>
      <c r="T615" s="6">
        <v>2</v>
      </c>
      <c r="U615" s="6">
        <v>2</v>
      </c>
      <c r="V615" s="6" t="s">
        <v>2500</v>
      </c>
      <c r="W615" s="5">
        <v>42160</v>
      </c>
      <c r="X615" s="6">
        <v>3</v>
      </c>
      <c r="Y615" s="6">
        <v>3</v>
      </c>
      <c r="Z615" s="6">
        <v>3</v>
      </c>
      <c r="AA615" s="6" t="s">
        <v>178</v>
      </c>
      <c r="AB615" s="6">
        <v>3</v>
      </c>
      <c r="AC615" s="6" t="s">
        <v>216</v>
      </c>
    </row>
    <row r="616" spans="1:29" x14ac:dyDescent="0.25">
      <c r="A616" s="145" t="str">
        <f>HYPERLINK("http://www.ofsted.gov.uk/inspection-reports/find-inspection-report/provider/ELS/59185  ","Ofsted Webpage")</f>
        <v>Ofsted Webpage</v>
      </c>
      <c r="B616" s="151">
        <v>59185</v>
      </c>
      <c r="C616" s="151">
        <v>10031241</v>
      </c>
      <c r="D616" s="46" t="s">
        <v>2134</v>
      </c>
      <c r="E616" s="26" t="s">
        <v>78</v>
      </c>
      <c r="F616" s="26" t="s">
        <v>79</v>
      </c>
      <c r="G616" s="26" t="s">
        <v>340</v>
      </c>
      <c r="H616" s="26" t="s">
        <v>214</v>
      </c>
      <c r="I616" s="26" t="s">
        <v>214</v>
      </c>
      <c r="J616" s="2" t="s">
        <v>72</v>
      </c>
      <c r="K616" s="141" t="s">
        <v>72</v>
      </c>
      <c r="L616" s="141" t="s">
        <v>2135</v>
      </c>
      <c r="M616" s="26" t="s">
        <v>466</v>
      </c>
      <c r="N616" s="2">
        <v>41932</v>
      </c>
      <c r="O616" s="2">
        <v>41936</v>
      </c>
      <c r="P616" s="133">
        <v>41962</v>
      </c>
      <c r="Q616" s="6">
        <v>1</v>
      </c>
      <c r="R616" s="6">
        <v>1</v>
      </c>
      <c r="S616" s="6">
        <v>1</v>
      </c>
      <c r="T616" s="120" t="s">
        <v>178</v>
      </c>
      <c r="U616" s="6">
        <v>1</v>
      </c>
      <c r="V616" s="6" t="s">
        <v>72</v>
      </c>
      <c r="W616" s="5" t="s">
        <v>72</v>
      </c>
      <c r="X616" s="6" t="s">
        <v>72</v>
      </c>
      <c r="Y616" s="6" t="s">
        <v>72</v>
      </c>
      <c r="Z616" s="6" t="s">
        <v>72</v>
      </c>
      <c r="AA616" s="6" t="s">
        <v>72</v>
      </c>
      <c r="AB616" s="6" t="s">
        <v>72</v>
      </c>
      <c r="AC616" s="6" t="s">
        <v>208</v>
      </c>
    </row>
    <row r="617" spans="1:29" x14ac:dyDescent="0.25">
      <c r="A617" s="145" t="str">
        <f>HYPERLINK("http://www.ofsted.gov.uk/inspection-reports/find-inspection-report/provider/ELS/59186  ","Ofsted Webpage")</f>
        <v>Ofsted Webpage</v>
      </c>
      <c r="B617" s="151">
        <v>59186</v>
      </c>
      <c r="C617" s="151">
        <v>10031408</v>
      </c>
      <c r="D617" s="46" t="s">
        <v>2509</v>
      </c>
      <c r="E617" s="26" t="s">
        <v>78</v>
      </c>
      <c r="F617" s="26" t="s">
        <v>79</v>
      </c>
      <c r="G617" s="26" t="s">
        <v>324</v>
      </c>
      <c r="H617" s="26" t="s">
        <v>214</v>
      </c>
      <c r="I617" s="26" t="s">
        <v>214</v>
      </c>
      <c r="J617" s="2" t="s">
        <v>72</v>
      </c>
      <c r="K617" s="141" t="s">
        <v>72</v>
      </c>
      <c r="L617" s="141" t="s">
        <v>2510</v>
      </c>
      <c r="M617" s="26" t="s">
        <v>466</v>
      </c>
      <c r="N617" s="2">
        <v>42136</v>
      </c>
      <c r="O617" s="2">
        <v>42139</v>
      </c>
      <c r="P617" s="133">
        <v>42170</v>
      </c>
      <c r="Q617" s="6">
        <v>2</v>
      </c>
      <c r="R617" s="6">
        <v>2</v>
      </c>
      <c r="S617" s="6">
        <v>2</v>
      </c>
      <c r="T617" s="120" t="s">
        <v>178</v>
      </c>
      <c r="U617" s="6">
        <v>2</v>
      </c>
      <c r="V617" s="6" t="s">
        <v>72</v>
      </c>
      <c r="W617" s="5" t="s">
        <v>72</v>
      </c>
      <c r="X617" s="6" t="s">
        <v>72</v>
      </c>
      <c r="Y617" s="6" t="s">
        <v>72</v>
      </c>
      <c r="Z617" s="6" t="s">
        <v>72</v>
      </c>
      <c r="AA617" s="6" t="s">
        <v>72</v>
      </c>
      <c r="AB617" s="6" t="s">
        <v>72</v>
      </c>
      <c r="AC617" s="6" t="s">
        <v>208</v>
      </c>
    </row>
    <row r="618" spans="1:29" x14ac:dyDescent="0.25">
      <c r="A618" s="145" t="str">
        <f>HYPERLINK("http://www.ofsted.gov.uk/inspection-reports/find-inspection-report/provider/ELS/59187  ","Ofsted Webpage")</f>
        <v>Ofsted Webpage</v>
      </c>
      <c r="B618" s="151">
        <v>59187</v>
      </c>
      <c r="C618" s="151">
        <v>10023896</v>
      </c>
      <c r="D618" s="46" t="s">
        <v>1065</v>
      </c>
      <c r="E618" s="26" t="s">
        <v>78</v>
      </c>
      <c r="F618" s="26" t="s">
        <v>79</v>
      </c>
      <c r="G618" s="26" t="s">
        <v>477</v>
      </c>
      <c r="H618" s="26" t="s">
        <v>287</v>
      </c>
      <c r="I618" s="26" t="s">
        <v>287</v>
      </c>
      <c r="J618" s="2" t="s">
        <v>72</v>
      </c>
      <c r="K618" s="141" t="s">
        <v>72</v>
      </c>
      <c r="L618" s="141" t="s">
        <v>1066</v>
      </c>
      <c r="M618" s="26" t="s">
        <v>466</v>
      </c>
      <c r="N618" s="2">
        <v>42171</v>
      </c>
      <c r="O618" s="2">
        <v>42174</v>
      </c>
      <c r="P618" s="119">
        <v>42195</v>
      </c>
      <c r="Q618" s="6">
        <v>3</v>
      </c>
      <c r="R618" s="6">
        <v>3</v>
      </c>
      <c r="S618" s="6">
        <v>3</v>
      </c>
      <c r="T618" s="120" t="s">
        <v>178</v>
      </c>
      <c r="U618" s="6">
        <v>3</v>
      </c>
      <c r="V618" s="6" t="s">
        <v>72</v>
      </c>
      <c r="W618" s="5" t="s">
        <v>72</v>
      </c>
      <c r="X618" s="6" t="s">
        <v>72</v>
      </c>
      <c r="Y618" s="6" t="s">
        <v>72</v>
      </c>
      <c r="Z618" s="6" t="s">
        <v>72</v>
      </c>
      <c r="AA618" s="6" t="s">
        <v>72</v>
      </c>
      <c r="AB618" s="6" t="s">
        <v>72</v>
      </c>
      <c r="AC618" s="6" t="s">
        <v>208</v>
      </c>
    </row>
    <row r="619" spans="1:29" x14ac:dyDescent="0.25">
      <c r="A619" s="145" t="str">
        <f>HYPERLINK("http://www.ofsted.gov.uk/inspection-reports/find-inspection-report/provider/ELS/59189  ","Ofsted Webpage")</f>
        <v>Ofsted Webpage</v>
      </c>
      <c r="B619" s="151">
        <v>59189</v>
      </c>
      <c r="C619" s="151">
        <v>10019581</v>
      </c>
      <c r="D619" s="46" t="s">
        <v>2395</v>
      </c>
      <c r="E619" s="26" t="s">
        <v>78</v>
      </c>
      <c r="F619" s="26" t="s">
        <v>79</v>
      </c>
      <c r="G619" s="26" t="s">
        <v>1199</v>
      </c>
      <c r="H619" s="26" t="s">
        <v>287</v>
      </c>
      <c r="I619" s="26" t="s">
        <v>287</v>
      </c>
      <c r="J619" s="2" t="s">
        <v>72</v>
      </c>
      <c r="K619" s="141" t="s">
        <v>72</v>
      </c>
      <c r="L619" s="141">
        <v>10030721</v>
      </c>
      <c r="M619" s="26" t="s">
        <v>199</v>
      </c>
      <c r="N619" s="2">
        <v>42850</v>
      </c>
      <c r="O619" s="2">
        <v>42852</v>
      </c>
      <c r="P619" s="133">
        <v>42908</v>
      </c>
      <c r="Q619" s="6">
        <v>2</v>
      </c>
      <c r="R619" s="6">
        <v>2</v>
      </c>
      <c r="S619" s="6">
        <v>2</v>
      </c>
      <c r="T619" s="6">
        <v>2</v>
      </c>
      <c r="U619" s="6">
        <v>2</v>
      </c>
      <c r="V619" s="6" t="s">
        <v>2396</v>
      </c>
      <c r="W619" s="5">
        <v>42131</v>
      </c>
      <c r="X619" s="6">
        <v>3</v>
      </c>
      <c r="Y619" s="6">
        <v>3</v>
      </c>
      <c r="Z619" s="6">
        <v>3</v>
      </c>
      <c r="AA619" s="6" t="s">
        <v>178</v>
      </c>
      <c r="AB619" s="6">
        <v>3</v>
      </c>
      <c r="AC619" s="6" t="s">
        <v>216</v>
      </c>
    </row>
    <row r="620" spans="1:29" x14ac:dyDescent="0.25">
      <c r="A620" s="145" t="str">
        <f>HYPERLINK("http://www.ofsted.gov.uk/inspection-reports/find-inspection-report/provider/ELS/59190  ","Ofsted Webpage")</f>
        <v>Ofsted Webpage</v>
      </c>
      <c r="B620" s="151">
        <v>59190</v>
      </c>
      <c r="C620" s="151">
        <v>10039882</v>
      </c>
      <c r="D620" s="46" t="s">
        <v>323</v>
      </c>
      <c r="E620" s="26" t="s">
        <v>80</v>
      </c>
      <c r="F620" s="26" t="s">
        <v>79</v>
      </c>
      <c r="G620" s="26" t="s">
        <v>324</v>
      </c>
      <c r="H620" s="26" t="s">
        <v>214</v>
      </c>
      <c r="I620" s="26" t="s">
        <v>214</v>
      </c>
      <c r="J620" s="2" t="s">
        <v>72</v>
      </c>
      <c r="K620" s="141" t="s">
        <v>72</v>
      </c>
      <c r="L620" s="141">
        <v>10011547</v>
      </c>
      <c r="M620" s="26" t="s">
        <v>199</v>
      </c>
      <c r="N620" s="2">
        <v>42556</v>
      </c>
      <c r="O620" s="2">
        <v>42559</v>
      </c>
      <c r="P620" s="133">
        <v>42599</v>
      </c>
      <c r="Q620" s="6">
        <v>2</v>
      </c>
      <c r="R620" s="6">
        <v>2</v>
      </c>
      <c r="S620" s="6">
        <v>2</v>
      </c>
      <c r="T620" s="6">
        <v>2</v>
      </c>
      <c r="U620" s="6">
        <v>2</v>
      </c>
      <c r="V620" s="6" t="s">
        <v>325</v>
      </c>
      <c r="W620" s="5">
        <v>42020</v>
      </c>
      <c r="X620" s="6">
        <v>3</v>
      </c>
      <c r="Y620" s="6">
        <v>3</v>
      </c>
      <c r="Z620" s="6">
        <v>3</v>
      </c>
      <c r="AA620" s="6" t="s">
        <v>178</v>
      </c>
      <c r="AB620" s="6">
        <v>3</v>
      </c>
      <c r="AC620" s="6" t="s">
        <v>216</v>
      </c>
    </row>
    <row r="621" spans="1:29" x14ac:dyDescent="0.25">
      <c r="A621" s="145" t="str">
        <f>HYPERLINK("http://www.ofsted.gov.uk/inspection-reports/find-inspection-report/provider/ELS/59191  ","Ofsted Webpage")</f>
        <v>Ofsted Webpage</v>
      </c>
      <c r="B621" s="151">
        <v>59191</v>
      </c>
      <c r="C621" s="151">
        <v>10029823</v>
      </c>
      <c r="D621" s="46" t="s">
        <v>2330</v>
      </c>
      <c r="E621" s="26" t="s">
        <v>78</v>
      </c>
      <c r="F621" s="26" t="s">
        <v>79</v>
      </c>
      <c r="G621" s="26" t="s">
        <v>526</v>
      </c>
      <c r="H621" s="26" t="s">
        <v>219</v>
      </c>
      <c r="I621" s="26" t="s">
        <v>219</v>
      </c>
      <c r="J621" s="2" t="s">
        <v>72</v>
      </c>
      <c r="K621" s="141" t="s">
        <v>72</v>
      </c>
      <c r="L621" s="141">
        <v>10022517</v>
      </c>
      <c r="M621" s="26" t="s">
        <v>199</v>
      </c>
      <c r="N621" s="2">
        <v>42788</v>
      </c>
      <c r="O621" s="2">
        <v>42790</v>
      </c>
      <c r="P621" s="119">
        <v>42845</v>
      </c>
      <c r="Q621" s="6">
        <v>3</v>
      </c>
      <c r="R621" s="6">
        <v>3</v>
      </c>
      <c r="S621" s="6">
        <v>3</v>
      </c>
      <c r="T621" s="6">
        <v>3</v>
      </c>
      <c r="U621" s="6">
        <v>3</v>
      </c>
      <c r="V621" s="6" t="s">
        <v>2331</v>
      </c>
      <c r="W621" s="5">
        <v>42118</v>
      </c>
      <c r="X621" s="6">
        <v>3</v>
      </c>
      <c r="Y621" s="6">
        <v>3</v>
      </c>
      <c r="Z621" s="6">
        <v>3</v>
      </c>
      <c r="AA621" s="6" t="s">
        <v>178</v>
      </c>
      <c r="AB621" s="6">
        <v>3</v>
      </c>
      <c r="AC621" s="6" t="s">
        <v>180</v>
      </c>
    </row>
    <row r="622" spans="1:29" x14ac:dyDescent="0.25">
      <c r="A622" s="145" t="str">
        <f>HYPERLINK("http://www.ofsted.gov.uk/inspection-reports/find-inspection-report/provider/ELS/59195  ","Ofsted Webpage")</f>
        <v>Ofsted Webpage</v>
      </c>
      <c r="B622" s="151">
        <v>59195</v>
      </c>
      <c r="C622" s="151">
        <v>10041332</v>
      </c>
      <c r="D622" s="46" t="s">
        <v>2335</v>
      </c>
      <c r="E622" s="26" t="s">
        <v>78</v>
      </c>
      <c r="F622" s="26" t="s">
        <v>79</v>
      </c>
      <c r="G622" s="26" t="s">
        <v>319</v>
      </c>
      <c r="H622" s="26" t="s">
        <v>204</v>
      </c>
      <c r="I622" s="26" t="s">
        <v>188</v>
      </c>
      <c r="J622" s="2" t="s">
        <v>72</v>
      </c>
      <c r="K622" s="141" t="s">
        <v>72</v>
      </c>
      <c r="L622" s="141" t="s">
        <v>2336</v>
      </c>
      <c r="M622" s="26" t="s">
        <v>466</v>
      </c>
      <c r="N622" s="2">
        <v>42079</v>
      </c>
      <c r="O622" s="2">
        <v>42082</v>
      </c>
      <c r="P622" s="133">
        <v>42117</v>
      </c>
      <c r="Q622" s="6">
        <v>2</v>
      </c>
      <c r="R622" s="6">
        <v>2</v>
      </c>
      <c r="S622" s="6">
        <v>2</v>
      </c>
      <c r="T622" s="120" t="s">
        <v>178</v>
      </c>
      <c r="U622" s="6">
        <v>2</v>
      </c>
      <c r="V622" s="6" t="s">
        <v>72</v>
      </c>
      <c r="W622" s="5" t="s">
        <v>72</v>
      </c>
      <c r="X622" s="6" t="s">
        <v>72</v>
      </c>
      <c r="Y622" s="6" t="s">
        <v>72</v>
      </c>
      <c r="Z622" s="6" t="s">
        <v>72</v>
      </c>
      <c r="AA622" s="6" t="s">
        <v>72</v>
      </c>
      <c r="AB622" s="6" t="s">
        <v>72</v>
      </c>
      <c r="AC622" s="6" t="s">
        <v>208</v>
      </c>
    </row>
    <row r="623" spans="1:29" x14ac:dyDescent="0.25">
      <c r="A623" s="145" t="str">
        <f>HYPERLINK("http://www.ofsted.gov.uk/inspection-reports/find-inspection-report/provider/ELS/59200  ","Ofsted Webpage")</f>
        <v>Ofsted Webpage</v>
      </c>
      <c r="B623" s="151">
        <v>59200</v>
      </c>
      <c r="C623" s="151">
        <v>10039859</v>
      </c>
      <c r="D623" s="46" t="s">
        <v>2534</v>
      </c>
      <c r="E623" s="26" t="s">
        <v>78</v>
      </c>
      <c r="F623" s="26" t="s">
        <v>79</v>
      </c>
      <c r="G623" s="26" t="s">
        <v>331</v>
      </c>
      <c r="H623" s="26" t="s">
        <v>214</v>
      </c>
      <c r="I623" s="26" t="s">
        <v>214</v>
      </c>
      <c r="J623" s="2" t="s">
        <v>72</v>
      </c>
      <c r="K623" s="141" t="s">
        <v>72</v>
      </c>
      <c r="L623" s="141">
        <v>10030702</v>
      </c>
      <c r="M623" s="26" t="s">
        <v>199</v>
      </c>
      <c r="N623" s="2">
        <v>42892</v>
      </c>
      <c r="O623" s="2">
        <v>42895</v>
      </c>
      <c r="P623" s="133">
        <v>42919</v>
      </c>
      <c r="Q623" s="6">
        <v>2</v>
      </c>
      <c r="R623" s="6">
        <v>2</v>
      </c>
      <c r="S623" s="6">
        <v>2</v>
      </c>
      <c r="T623" s="6">
        <v>2</v>
      </c>
      <c r="U623" s="6">
        <v>2</v>
      </c>
      <c r="V623" s="6">
        <v>10005104</v>
      </c>
      <c r="W623" s="5">
        <v>42335</v>
      </c>
      <c r="X623" s="6">
        <v>3</v>
      </c>
      <c r="Y623" s="6">
        <v>3</v>
      </c>
      <c r="Z623" s="6">
        <v>3</v>
      </c>
      <c r="AA623" s="6">
        <v>2</v>
      </c>
      <c r="AB623" s="6">
        <v>3</v>
      </c>
      <c r="AC623" s="6" t="s">
        <v>216</v>
      </c>
    </row>
    <row r="624" spans="1:29" x14ac:dyDescent="0.25">
      <c r="A624" s="145" t="str">
        <f>HYPERLINK("http://www.ofsted.gov.uk/inspection-reports/find-inspection-report/provider/ELS/59201  ","Ofsted Webpage")</f>
        <v>Ofsted Webpage</v>
      </c>
      <c r="B624" s="151">
        <v>59201</v>
      </c>
      <c r="C624" s="151">
        <v>10010631</v>
      </c>
      <c r="D624" s="46" t="s">
        <v>2420</v>
      </c>
      <c r="E624" s="26" t="s">
        <v>78</v>
      </c>
      <c r="F624" s="26" t="s">
        <v>79</v>
      </c>
      <c r="G624" s="26" t="s">
        <v>729</v>
      </c>
      <c r="H624" s="26" t="s">
        <v>287</v>
      </c>
      <c r="I624" s="26" t="s">
        <v>287</v>
      </c>
      <c r="J624" s="2" t="s">
        <v>72</v>
      </c>
      <c r="K624" s="141" t="s">
        <v>72</v>
      </c>
      <c r="L624" s="141">
        <v>10011548</v>
      </c>
      <c r="M624" s="26" t="s">
        <v>211</v>
      </c>
      <c r="N624" s="2">
        <v>42479</v>
      </c>
      <c r="O624" s="2">
        <v>42481</v>
      </c>
      <c r="P624" s="133">
        <v>42508</v>
      </c>
      <c r="Q624" s="6">
        <v>3</v>
      </c>
      <c r="R624" s="6">
        <v>3</v>
      </c>
      <c r="S624" s="6">
        <v>3</v>
      </c>
      <c r="T624" s="6">
        <v>2</v>
      </c>
      <c r="U624" s="6">
        <v>3</v>
      </c>
      <c r="V624" s="6" t="s">
        <v>72</v>
      </c>
      <c r="W624" s="5" t="s">
        <v>72</v>
      </c>
      <c r="X624" s="6" t="s">
        <v>72</v>
      </c>
      <c r="Y624" s="6" t="s">
        <v>72</v>
      </c>
      <c r="Z624" s="6" t="s">
        <v>72</v>
      </c>
      <c r="AA624" s="6" t="s">
        <v>72</v>
      </c>
      <c r="AB624" s="6" t="s">
        <v>72</v>
      </c>
      <c r="AC624" s="6" t="s">
        <v>208</v>
      </c>
    </row>
    <row r="625" spans="1:29" x14ac:dyDescent="0.25">
      <c r="A625" s="145" t="str">
        <f>HYPERLINK("http://www.ofsted.gov.uk/inspection-reports/find-inspection-report/provider/ELS/59202  ","Ofsted Webpage")</f>
        <v>Ofsted Webpage</v>
      </c>
      <c r="B625" s="151">
        <v>59202</v>
      </c>
      <c r="C625" s="151">
        <v>10042884</v>
      </c>
      <c r="D625" s="46" t="s">
        <v>436</v>
      </c>
      <c r="E625" s="26" t="s">
        <v>78</v>
      </c>
      <c r="F625" s="26" t="s">
        <v>79</v>
      </c>
      <c r="G625" s="26" t="s">
        <v>437</v>
      </c>
      <c r="H625" s="26" t="s">
        <v>214</v>
      </c>
      <c r="I625" s="26" t="s">
        <v>214</v>
      </c>
      <c r="J625" s="2">
        <v>42557</v>
      </c>
      <c r="K625" s="141">
        <v>1</v>
      </c>
      <c r="L625" s="141" t="s">
        <v>438</v>
      </c>
      <c r="M625" s="26" t="s">
        <v>333</v>
      </c>
      <c r="N625" s="2">
        <v>41449</v>
      </c>
      <c r="O625" s="2">
        <v>41453</v>
      </c>
      <c r="P625" s="133">
        <v>41488</v>
      </c>
      <c r="Q625" s="6">
        <v>2</v>
      </c>
      <c r="R625" s="6">
        <v>2</v>
      </c>
      <c r="S625" s="6">
        <v>2</v>
      </c>
      <c r="T625" s="120" t="s">
        <v>178</v>
      </c>
      <c r="U625" s="6">
        <v>2</v>
      </c>
      <c r="V625" s="6" t="s">
        <v>439</v>
      </c>
      <c r="W625" s="5">
        <v>39885</v>
      </c>
      <c r="X625" s="6">
        <v>3</v>
      </c>
      <c r="Y625" s="6">
        <v>3</v>
      </c>
      <c r="Z625" s="6">
        <v>3</v>
      </c>
      <c r="AA625" s="6" t="s">
        <v>178</v>
      </c>
      <c r="AB625" s="6">
        <v>3</v>
      </c>
      <c r="AC625" s="6" t="s">
        <v>216</v>
      </c>
    </row>
    <row r="626" spans="1:29" x14ac:dyDescent="0.25">
      <c r="A626" s="145" t="str">
        <f>HYPERLINK("http://www.ofsted.gov.uk/inspection-reports/find-inspection-report/provider/ELS/59204  ","Ofsted Webpage")</f>
        <v>Ofsted Webpage</v>
      </c>
      <c r="B626" s="151">
        <v>59204</v>
      </c>
      <c r="C626" s="151">
        <v>10010792</v>
      </c>
      <c r="D626" s="46" t="s">
        <v>1272</v>
      </c>
      <c r="E626" s="26" t="s">
        <v>75</v>
      </c>
      <c r="F626" s="26" t="s">
        <v>76</v>
      </c>
      <c r="G626" s="26" t="s">
        <v>600</v>
      </c>
      <c r="H626" s="26" t="s">
        <v>175</v>
      </c>
      <c r="I626" s="26" t="s">
        <v>175</v>
      </c>
      <c r="J626" s="2" t="s">
        <v>72</v>
      </c>
      <c r="K626" s="141" t="s">
        <v>72</v>
      </c>
      <c r="L626" s="141">
        <v>10005106</v>
      </c>
      <c r="M626" s="26" t="s">
        <v>308</v>
      </c>
      <c r="N626" s="2">
        <v>42542</v>
      </c>
      <c r="O626" s="2">
        <v>42545</v>
      </c>
      <c r="P626" s="133">
        <v>42571</v>
      </c>
      <c r="Q626" s="6">
        <v>3</v>
      </c>
      <c r="R626" s="6">
        <v>3</v>
      </c>
      <c r="S626" s="6">
        <v>3</v>
      </c>
      <c r="T626" s="6">
        <v>2</v>
      </c>
      <c r="U626" s="6">
        <v>3</v>
      </c>
      <c r="V626" s="6" t="s">
        <v>72</v>
      </c>
      <c r="W626" s="5" t="s">
        <v>72</v>
      </c>
      <c r="X626" s="6" t="s">
        <v>72</v>
      </c>
      <c r="Y626" s="6" t="s">
        <v>72</v>
      </c>
      <c r="Z626" s="6" t="s">
        <v>72</v>
      </c>
      <c r="AA626" s="6" t="s">
        <v>72</v>
      </c>
      <c r="AB626" s="6" t="s">
        <v>72</v>
      </c>
      <c r="AC626" s="6" t="s">
        <v>208</v>
      </c>
    </row>
    <row r="627" spans="1:29" x14ac:dyDescent="0.25">
      <c r="A627" s="145" t="str">
        <f>HYPERLINK("http://www.ofsted.gov.uk/inspection-reports/find-inspection-report/provider/ELS/59216  ","Ofsted Webpage")</f>
        <v>Ofsted Webpage</v>
      </c>
      <c r="B627" s="151">
        <v>59216</v>
      </c>
      <c r="C627" s="151">
        <v>10010905</v>
      </c>
      <c r="D627" s="46" t="s">
        <v>2474</v>
      </c>
      <c r="E627" s="26" t="s">
        <v>78</v>
      </c>
      <c r="F627" s="26" t="s">
        <v>79</v>
      </c>
      <c r="G627" s="26" t="s">
        <v>230</v>
      </c>
      <c r="H627" s="26" t="s">
        <v>187</v>
      </c>
      <c r="I627" s="26" t="s">
        <v>188</v>
      </c>
      <c r="J627" s="2" t="s">
        <v>72</v>
      </c>
      <c r="K627" s="141" t="s">
        <v>72</v>
      </c>
      <c r="L627" s="141">
        <v>10022489</v>
      </c>
      <c r="M627" s="26" t="s">
        <v>475</v>
      </c>
      <c r="N627" s="2">
        <v>42864</v>
      </c>
      <c r="O627" s="2">
        <v>42867</v>
      </c>
      <c r="P627" s="133">
        <v>42894</v>
      </c>
      <c r="Q627" s="6">
        <v>2</v>
      </c>
      <c r="R627" s="6">
        <v>2</v>
      </c>
      <c r="S627" s="6">
        <v>2</v>
      </c>
      <c r="T627" s="6">
        <v>2</v>
      </c>
      <c r="U627" s="6">
        <v>2</v>
      </c>
      <c r="V627" s="6" t="s">
        <v>2475</v>
      </c>
      <c r="W627" s="5">
        <v>42188</v>
      </c>
      <c r="X627" s="6">
        <v>3</v>
      </c>
      <c r="Y627" s="6">
        <v>3</v>
      </c>
      <c r="Z627" s="6">
        <v>3</v>
      </c>
      <c r="AA627" s="6" t="s">
        <v>178</v>
      </c>
      <c r="AB627" s="6">
        <v>3</v>
      </c>
      <c r="AC627" s="6" t="s">
        <v>216</v>
      </c>
    </row>
    <row r="628" spans="1:29" x14ac:dyDescent="0.25">
      <c r="A628" s="145" t="str">
        <f>HYPERLINK("http://www.ofsted.gov.uk/inspection-reports/find-inspection-report/provider/ELS/59217  ","Ofsted Webpage")</f>
        <v>Ofsted Webpage</v>
      </c>
      <c r="B628" s="151">
        <v>59217</v>
      </c>
      <c r="C628" s="151">
        <v>10025390</v>
      </c>
      <c r="D628" s="46" t="s">
        <v>2236</v>
      </c>
      <c r="E628" s="26" t="s">
        <v>78</v>
      </c>
      <c r="F628" s="26" t="s">
        <v>79</v>
      </c>
      <c r="G628" s="26" t="s">
        <v>447</v>
      </c>
      <c r="H628" s="26" t="s">
        <v>198</v>
      </c>
      <c r="I628" s="26" t="s">
        <v>198</v>
      </c>
      <c r="J628" s="2">
        <v>42837</v>
      </c>
      <c r="K628" s="141">
        <v>1</v>
      </c>
      <c r="L628" s="141" t="s">
        <v>2237</v>
      </c>
      <c r="M628" s="26" t="s">
        <v>466</v>
      </c>
      <c r="N628" s="2">
        <v>41597</v>
      </c>
      <c r="O628" s="2">
        <v>41600</v>
      </c>
      <c r="P628" s="133">
        <v>41636</v>
      </c>
      <c r="Q628" s="6">
        <v>2</v>
      </c>
      <c r="R628" s="6">
        <v>2</v>
      </c>
      <c r="S628" s="6">
        <v>2</v>
      </c>
      <c r="T628" s="120" t="s">
        <v>178</v>
      </c>
      <c r="U628" s="6">
        <v>3</v>
      </c>
      <c r="V628" s="6" t="s">
        <v>2238</v>
      </c>
      <c r="W628" s="5">
        <v>40158</v>
      </c>
      <c r="X628" s="6">
        <v>2</v>
      </c>
      <c r="Y628" s="6">
        <v>1</v>
      </c>
      <c r="Z628" s="6">
        <v>2</v>
      </c>
      <c r="AA628" s="6" t="s">
        <v>178</v>
      </c>
      <c r="AB628" s="6">
        <v>2</v>
      </c>
      <c r="AC628" s="6" t="s">
        <v>180</v>
      </c>
    </row>
    <row r="629" spans="1:29" x14ac:dyDescent="0.25">
      <c r="A629" s="145" t="str">
        <f>HYPERLINK("http://www.ofsted.gov.uk/inspection-reports/find-inspection-report/provider/ELS/59218  ","Ofsted Webpage")</f>
        <v>Ofsted Webpage</v>
      </c>
      <c r="B629" s="151">
        <v>59218</v>
      </c>
      <c r="C629" s="151">
        <v>10042126</v>
      </c>
      <c r="D629" s="46" t="s">
        <v>866</v>
      </c>
      <c r="E629" s="26" t="s">
        <v>80</v>
      </c>
      <c r="F629" s="26" t="s">
        <v>79</v>
      </c>
      <c r="G629" s="26" t="s">
        <v>331</v>
      </c>
      <c r="H629" s="26" t="s">
        <v>214</v>
      </c>
      <c r="I629" s="26" t="s">
        <v>214</v>
      </c>
      <c r="J629" s="2" t="s">
        <v>72</v>
      </c>
      <c r="K629" s="141" t="s">
        <v>72</v>
      </c>
      <c r="L629" s="141">
        <v>10030710</v>
      </c>
      <c r="M629" s="26" t="s">
        <v>199</v>
      </c>
      <c r="N629" s="2">
        <v>42941</v>
      </c>
      <c r="O629" s="2">
        <v>42943</v>
      </c>
      <c r="P629" s="133">
        <v>42970</v>
      </c>
      <c r="Q629" s="6">
        <v>2</v>
      </c>
      <c r="R629" s="6">
        <v>2</v>
      </c>
      <c r="S629" s="6">
        <v>2</v>
      </c>
      <c r="T629" s="6">
        <v>2</v>
      </c>
      <c r="U629" s="6">
        <v>2</v>
      </c>
      <c r="V629" s="6">
        <v>10005107</v>
      </c>
      <c r="W629" s="5">
        <v>42328</v>
      </c>
      <c r="X629" s="6">
        <v>3</v>
      </c>
      <c r="Y629" s="6">
        <v>3</v>
      </c>
      <c r="Z629" s="6">
        <v>3</v>
      </c>
      <c r="AA629" s="6">
        <v>2</v>
      </c>
      <c r="AB629" s="6">
        <v>3</v>
      </c>
      <c r="AC629" s="6" t="s">
        <v>216</v>
      </c>
    </row>
    <row r="630" spans="1:29" x14ac:dyDescent="0.25">
      <c r="A630" s="145" t="str">
        <f>HYPERLINK("http://www.ofsted.gov.uk/inspection-reports/find-inspection-report/provider/ELS/59220  ","Ofsted Webpage")</f>
        <v>Ofsted Webpage</v>
      </c>
      <c r="B630" s="151">
        <v>59220</v>
      </c>
      <c r="C630" s="151">
        <v>10001648</v>
      </c>
      <c r="D630" s="46" t="s">
        <v>758</v>
      </c>
      <c r="E630" s="26" t="s">
        <v>77</v>
      </c>
      <c r="F630" s="26" t="s">
        <v>76</v>
      </c>
      <c r="G630" s="26" t="s">
        <v>218</v>
      </c>
      <c r="H630" s="26" t="s">
        <v>219</v>
      </c>
      <c r="I630" s="26" t="s">
        <v>219</v>
      </c>
      <c r="J630" s="2" t="s">
        <v>72</v>
      </c>
      <c r="K630" s="141" t="s">
        <v>72</v>
      </c>
      <c r="L630" s="141">
        <v>10005109</v>
      </c>
      <c r="M630" s="26" t="s">
        <v>189</v>
      </c>
      <c r="N630" s="2">
        <v>42508</v>
      </c>
      <c r="O630" s="2">
        <v>42510</v>
      </c>
      <c r="P630" s="133">
        <v>42544</v>
      </c>
      <c r="Q630" s="6">
        <v>3</v>
      </c>
      <c r="R630" s="6">
        <v>3</v>
      </c>
      <c r="S630" s="6">
        <v>3</v>
      </c>
      <c r="T630" s="6">
        <v>3</v>
      </c>
      <c r="U630" s="6">
        <v>3</v>
      </c>
      <c r="V630" s="6" t="s">
        <v>72</v>
      </c>
      <c r="W630" s="5" t="s">
        <v>72</v>
      </c>
      <c r="X630" s="6" t="s">
        <v>72</v>
      </c>
      <c r="Y630" s="6" t="s">
        <v>72</v>
      </c>
      <c r="Z630" s="6" t="s">
        <v>72</v>
      </c>
      <c r="AA630" s="6" t="s">
        <v>72</v>
      </c>
      <c r="AB630" s="6" t="s">
        <v>72</v>
      </c>
      <c r="AC630" s="6" t="s">
        <v>208</v>
      </c>
    </row>
    <row r="631" spans="1:29" x14ac:dyDescent="0.25">
      <c r="A631" s="145" t="str">
        <f>HYPERLINK("http://www.ofsted.gov.uk/inspection-reports/find-inspection-report/provider/ELS/59221  ","Ofsted Webpage")</f>
        <v>Ofsted Webpage</v>
      </c>
      <c r="B631" s="151">
        <v>59221</v>
      </c>
      <c r="C631" s="151">
        <v>10035656</v>
      </c>
      <c r="D631" s="46" t="s">
        <v>2347</v>
      </c>
      <c r="E631" s="26" t="s">
        <v>78</v>
      </c>
      <c r="F631" s="26" t="s">
        <v>79</v>
      </c>
      <c r="G631" s="26" t="s">
        <v>1222</v>
      </c>
      <c r="H631" s="26" t="s">
        <v>198</v>
      </c>
      <c r="I631" s="26" t="s">
        <v>198</v>
      </c>
      <c r="J631" s="2" t="s">
        <v>72</v>
      </c>
      <c r="K631" s="141" t="s">
        <v>72</v>
      </c>
      <c r="L631" s="141">
        <v>10030751</v>
      </c>
      <c r="M631" s="26" t="s">
        <v>199</v>
      </c>
      <c r="N631" s="2">
        <v>42906</v>
      </c>
      <c r="O631" s="2">
        <v>42908</v>
      </c>
      <c r="P631" s="133">
        <v>42943</v>
      </c>
      <c r="Q631" s="6">
        <v>3</v>
      </c>
      <c r="R631" s="6">
        <v>3</v>
      </c>
      <c r="S631" s="6">
        <v>3</v>
      </c>
      <c r="T631" s="6">
        <v>2</v>
      </c>
      <c r="U631" s="6">
        <v>3</v>
      </c>
      <c r="V631" s="6">
        <v>10005110</v>
      </c>
      <c r="W631" s="5">
        <v>42411</v>
      </c>
      <c r="X631" s="6">
        <v>3</v>
      </c>
      <c r="Y631" s="6">
        <v>3</v>
      </c>
      <c r="Z631" s="6">
        <v>3</v>
      </c>
      <c r="AA631" s="6">
        <v>2</v>
      </c>
      <c r="AB631" s="6">
        <v>3</v>
      </c>
      <c r="AC631" s="6" t="s">
        <v>180</v>
      </c>
    </row>
    <row r="632" spans="1:29" x14ac:dyDescent="0.25">
      <c r="A632" s="145" t="str">
        <f>HYPERLINK("http://www.ofsted.gov.uk/inspection-reports/find-inspection-report/provider/ELS/59222  ","Ofsted Webpage")</f>
        <v>Ofsted Webpage</v>
      </c>
      <c r="B632" s="151">
        <v>59222</v>
      </c>
      <c r="C632" s="151">
        <v>10038020</v>
      </c>
      <c r="D632" s="46" t="s">
        <v>2254</v>
      </c>
      <c r="E632" s="26" t="s">
        <v>78</v>
      </c>
      <c r="F632" s="26" t="s">
        <v>79</v>
      </c>
      <c r="G632" s="26" t="s">
        <v>294</v>
      </c>
      <c r="H632" s="26" t="s">
        <v>198</v>
      </c>
      <c r="I632" s="26" t="s">
        <v>198</v>
      </c>
      <c r="J632" s="2" t="s">
        <v>72</v>
      </c>
      <c r="K632" s="141" t="s">
        <v>72</v>
      </c>
      <c r="L632" s="141">
        <v>10005111</v>
      </c>
      <c r="M632" s="26" t="s">
        <v>211</v>
      </c>
      <c r="N632" s="2">
        <v>42444</v>
      </c>
      <c r="O632" s="2">
        <v>42446</v>
      </c>
      <c r="P632" s="119">
        <v>42473</v>
      </c>
      <c r="Q632" s="6">
        <v>2</v>
      </c>
      <c r="R632" s="6">
        <v>2</v>
      </c>
      <c r="S632" s="6">
        <v>2</v>
      </c>
      <c r="T632" s="6">
        <v>2</v>
      </c>
      <c r="U632" s="6">
        <v>2</v>
      </c>
      <c r="V632" s="6" t="s">
        <v>72</v>
      </c>
      <c r="W632" s="5" t="s">
        <v>72</v>
      </c>
      <c r="X632" s="6" t="s">
        <v>72</v>
      </c>
      <c r="Y632" s="6" t="s">
        <v>72</v>
      </c>
      <c r="Z632" s="6" t="s">
        <v>72</v>
      </c>
      <c r="AA632" s="6" t="s">
        <v>72</v>
      </c>
      <c r="AB632" s="6" t="s">
        <v>72</v>
      </c>
      <c r="AC632" s="6" t="s">
        <v>208</v>
      </c>
    </row>
    <row r="633" spans="1:29" x14ac:dyDescent="0.25">
      <c r="A633" s="145" t="str">
        <f>HYPERLINK("http://www.ofsted.gov.uk/inspection-reports/find-inspection-report/provider/ELS/59223  ","Ofsted Webpage")</f>
        <v>Ofsted Webpage</v>
      </c>
      <c r="B633" s="151">
        <v>59223</v>
      </c>
      <c r="C633" s="151">
        <v>10036176</v>
      </c>
      <c r="D633" s="46" t="s">
        <v>1057</v>
      </c>
      <c r="E633" s="26" t="s">
        <v>78</v>
      </c>
      <c r="F633" s="26" t="s">
        <v>79</v>
      </c>
      <c r="G633" s="26" t="s">
        <v>283</v>
      </c>
      <c r="H633" s="26" t="s">
        <v>175</v>
      </c>
      <c r="I633" s="26" t="s">
        <v>175</v>
      </c>
      <c r="J633" s="2" t="s">
        <v>72</v>
      </c>
      <c r="K633" s="141" t="s">
        <v>72</v>
      </c>
      <c r="L633" s="141">
        <v>10005112</v>
      </c>
      <c r="M633" s="26" t="s">
        <v>211</v>
      </c>
      <c r="N633" s="2">
        <v>42577</v>
      </c>
      <c r="O633" s="2">
        <v>42580</v>
      </c>
      <c r="P633" s="133">
        <v>42598</v>
      </c>
      <c r="Q633" s="6">
        <v>2</v>
      </c>
      <c r="R633" s="6">
        <v>2</v>
      </c>
      <c r="S633" s="6">
        <v>2</v>
      </c>
      <c r="T633" s="6">
        <v>2</v>
      </c>
      <c r="U633" s="6">
        <v>2</v>
      </c>
      <c r="V633" s="6" t="s">
        <v>72</v>
      </c>
      <c r="W633" s="5" t="s">
        <v>72</v>
      </c>
      <c r="X633" s="6" t="s">
        <v>72</v>
      </c>
      <c r="Y633" s="6" t="s">
        <v>72</v>
      </c>
      <c r="Z633" s="6" t="s">
        <v>72</v>
      </c>
      <c r="AA633" s="6" t="s">
        <v>72</v>
      </c>
      <c r="AB633" s="6" t="s">
        <v>72</v>
      </c>
      <c r="AC633" s="6" t="s">
        <v>208</v>
      </c>
    </row>
    <row r="634" spans="1:29" x14ac:dyDescent="0.25">
      <c r="A634" s="145" t="str">
        <f>HYPERLINK("http://www.ofsted.gov.uk/inspection-reports/find-inspection-report/provider/ELS/59227  ","Ofsted Webpage")</f>
        <v>Ofsted Webpage</v>
      </c>
      <c r="B634" s="151">
        <v>59227</v>
      </c>
      <c r="C634" s="151">
        <v>10043571</v>
      </c>
      <c r="D634" s="46" t="s">
        <v>2247</v>
      </c>
      <c r="E634" s="26" t="s">
        <v>78</v>
      </c>
      <c r="F634" s="26" t="s">
        <v>79</v>
      </c>
      <c r="G634" s="26" t="s">
        <v>223</v>
      </c>
      <c r="H634" s="26" t="s">
        <v>193</v>
      </c>
      <c r="I634" s="26" t="s">
        <v>193</v>
      </c>
      <c r="J634" s="2" t="s">
        <v>72</v>
      </c>
      <c r="K634" s="141" t="s">
        <v>72</v>
      </c>
      <c r="L634" s="141">
        <v>10030966</v>
      </c>
      <c r="M634" s="26" t="s">
        <v>211</v>
      </c>
      <c r="N634" s="2">
        <v>42963</v>
      </c>
      <c r="O634" s="2">
        <v>42991</v>
      </c>
      <c r="P634" s="133">
        <v>43010</v>
      </c>
      <c r="Q634" s="6">
        <v>2</v>
      </c>
      <c r="R634" s="6">
        <v>2</v>
      </c>
      <c r="S634" s="6">
        <v>2</v>
      </c>
      <c r="T634" s="6">
        <v>2</v>
      </c>
      <c r="U634" s="6">
        <v>2</v>
      </c>
      <c r="V634" s="6" t="s">
        <v>2248</v>
      </c>
      <c r="W634" s="5">
        <v>41712</v>
      </c>
      <c r="X634" s="6">
        <v>2</v>
      </c>
      <c r="Y634" s="6">
        <v>2</v>
      </c>
      <c r="Z634" s="6">
        <v>2</v>
      </c>
      <c r="AA634" s="6" t="s">
        <v>178</v>
      </c>
      <c r="AB634" s="6">
        <v>2</v>
      </c>
      <c r="AC634" s="6" t="s">
        <v>180</v>
      </c>
    </row>
    <row r="635" spans="1:29" x14ac:dyDescent="0.25">
      <c r="A635" s="145" t="str">
        <f>HYPERLINK("http://www.ofsted.gov.uk/inspection-reports/find-inspection-report/provider/ELS/59229  ","Ofsted Webpage")</f>
        <v>Ofsted Webpage</v>
      </c>
      <c r="B635" s="151">
        <v>59229</v>
      </c>
      <c r="C635" s="151">
        <v>10018331</v>
      </c>
      <c r="D635" s="46" t="s">
        <v>2994</v>
      </c>
      <c r="E635" s="26" t="s">
        <v>78</v>
      </c>
      <c r="F635" s="26" t="s">
        <v>79</v>
      </c>
      <c r="G635" s="26" t="s">
        <v>174</v>
      </c>
      <c r="H635" s="26" t="s">
        <v>175</v>
      </c>
      <c r="I635" s="26" t="s">
        <v>175</v>
      </c>
      <c r="J635" s="2" t="s">
        <v>72</v>
      </c>
      <c r="K635" s="141" t="s">
        <v>72</v>
      </c>
      <c r="L635" s="141" t="s">
        <v>72</v>
      </c>
      <c r="M635" s="26" t="s">
        <v>72</v>
      </c>
      <c r="N635" s="2" t="s">
        <v>72</v>
      </c>
      <c r="O635" s="2" t="s">
        <v>72</v>
      </c>
      <c r="P635" s="119" t="s">
        <v>72</v>
      </c>
      <c r="Q635" s="6" t="s">
        <v>72</v>
      </c>
      <c r="R635" s="6" t="s">
        <v>72</v>
      </c>
      <c r="S635" s="6" t="s">
        <v>72</v>
      </c>
      <c r="T635" s="6" t="s">
        <v>72</v>
      </c>
      <c r="U635" s="6" t="s">
        <v>72</v>
      </c>
      <c r="V635" s="6" t="s">
        <v>72</v>
      </c>
      <c r="W635" s="5" t="s">
        <v>72</v>
      </c>
      <c r="X635" s="6" t="s">
        <v>72</v>
      </c>
      <c r="Y635" s="6" t="s">
        <v>72</v>
      </c>
      <c r="Z635" s="6" t="s">
        <v>72</v>
      </c>
      <c r="AA635" s="6" t="s">
        <v>72</v>
      </c>
      <c r="AB635" s="6" t="s">
        <v>72</v>
      </c>
      <c r="AC635" s="6" t="s">
        <v>72</v>
      </c>
    </row>
    <row r="636" spans="1:29" x14ac:dyDescent="0.25">
      <c r="A636" s="145" t="str">
        <f>HYPERLINK("http://www.ofsted.gov.uk/inspection-reports/find-inspection-report/provider/ELS/59231  ","Ofsted Webpage")</f>
        <v>Ofsted Webpage</v>
      </c>
      <c r="B636" s="151">
        <v>59231</v>
      </c>
      <c r="C636" s="151">
        <v>10045359</v>
      </c>
      <c r="D636" s="46" t="s">
        <v>858</v>
      </c>
      <c r="E636" s="26" t="s">
        <v>80</v>
      </c>
      <c r="F636" s="26" t="s">
        <v>79</v>
      </c>
      <c r="G636" s="26" t="s">
        <v>261</v>
      </c>
      <c r="H636" s="26" t="s">
        <v>219</v>
      </c>
      <c r="I636" s="26" t="s">
        <v>219</v>
      </c>
      <c r="J636" s="2" t="s">
        <v>72</v>
      </c>
      <c r="K636" s="141" t="s">
        <v>72</v>
      </c>
      <c r="L636" s="141">
        <v>10005113</v>
      </c>
      <c r="M636" s="26" t="s">
        <v>211</v>
      </c>
      <c r="N636" s="2">
        <v>42633</v>
      </c>
      <c r="O636" s="2">
        <v>42636</v>
      </c>
      <c r="P636" s="133">
        <v>42668</v>
      </c>
      <c r="Q636" s="6">
        <v>3</v>
      </c>
      <c r="R636" s="6">
        <v>3</v>
      </c>
      <c r="S636" s="6">
        <v>3</v>
      </c>
      <c r="T636" s="6">
        <v>3</v>
      </c>
      <c r="U636" s="6">
        <v>3</v>
      </c>
      <c r="V636" s="6" t="s">
        <v>72</v>
      </c>
      <c r="W636" s="5" t="s">
        <v>72</v>
      </c>
      <c r="X636" s="6" t="s">
        <v>72</v>
      </c>
      <c r="Y636" s="6" t="s">
        <v>72</v>
      </c>
      <c r="Z636" s="6" t="s">
        <v>72</v>
      </c>
      <c r="AA636" s="6" t="s">
        <v>72</v>
      </c>
      <c r="AB636" s="6" t="s">
        <v>72</v>
      </c>
      <c r="AC636" s="6" t="s">
        <v>208</v>
      </c>
    </row>
    <row r="637" spans="1:29" x14ac:dyDescent="0.25">
      <c r="A637" s="145" t="str">
        <f>HYPERLINK("http://www.ofsted.gov.uk/inspection-reports/find-inspection-report/provider/ELS/59232  ","Ofsted Webpage")</f>
        <v>Ofsted Webpage</v>
      </c>
      <c r="B637" s="151">
        <v>59232</v>
      </c>
      <c r="C637" s="151">
        <v>10046552</v>
      </c>
      <c r="D637" s="46" t="s">
        <v>326</v>
      </c>
      <c r="E637" s="26" t="s">
        <v>80</v>
      </c>
      <c r="F637" s="26" t="s">
        <v>79</v>
      </c>
      <c r="G637" s="26" t="s">
        <v>327</v>
      </c>
      <c r="H637" s="26" t="s">
        <v>193</v>
      </c>
      <c r="I637" s="26" t="s">
        <v>193</v>
      </c>
      <c r="J637" s="2" t="s">
        <v>72</v>
      </c>
      <c r="K637" s="141" t="s">
        <v>72</v>
      </c>
      <c r="L637" s="141">
        <v>10035628</v>
      </c>
      <c r="M637" s="26" t="s">
        <v>183</v>
      </c>
      <c r="N637" s="2">
        <v>42955</v>
      </c>
      <c r="O637" s="2">
        <v>42958</v>
      </c>
      <c r="P637" s="133">
        <v>42991</v>
      </c>
      <c r="Q637" s="6">
        <v>3</v>
      </c>
      <c r="R637" s="6">
        <v>3</v>
      </c>
      <c r="S637" s="6">
        <v>3</v>
      </c>
      <c r="T637" s="6">
        <v>3</v>
      </c>
      <c r="U637" s="6">
        <v>3</v>
      </c>
      <c r="V637" s="6">
        <v>10011549</v>
      </c>
      <c r="W637" s="5">
        <v>42468</v>
      </c>
      <c r="X637" s="6">
        <v>3</v>
      </c>
      <c r="Y637" s="6">
        <v>3</v>
      </c>
      <c r="Z637" s="6">
        <v>3</v>
      </c>
      <c r="AA637" s="6">
        <v>3</v>
      </c>
      <c r="AB637" s="6">
        <v>3</v>
      </c>
      <c r="AC637" s="6" t="s">
        <v>180</v>
      </c>
    </row>
    <row r="638" spans="1:29" x14ac:dyDescent="0.25">
      <c r="A638" s="145" t="str">
        <f>HYPERLINK("http://www.ofsted.gov.uk/inspection-reports/find-inspection-report/provider/ELS/59233  ","Ofsted Webpage")</f>
        <v>Ofsted Webpage</v>
      </c>
      <c r="B638" s="151">
        <v>59233</v>
      </c>
      <c r="C638" s="151">
        <v>10044778</v>
      </c>
      <c r="D638" s="46" t="s">
        <v>328</v>
      </c>
      <c r="E638" s="26" t="s">
        <v>80</v>
      </c>
      <c r="F638" s="26" t="s">
        <v>79</v>
      </c>
      <c r="G638" s="26" t="s">
        <v>329</v>
      </c>
      <c r="H638" s="26" t="s">
        <v>175</v>
      </c>
      <c r="I638" s="26" t="s">
        <v>175</v>
      </c>
      <c r="J638" s="2" t="s">
        <v>72</v>
      </c>
      <c r="K638" s="141" t="s">
        <v>72</v>
      </c>
      <c r="L638" s="141">
        <v>10041031</v>
      </c>
      <c r="M638" s="26" t="s">
        <v>183</v>
      </c>
      <c r="N638" s="2">
        <v>43039</v>
      </c>
      <c r="O638" s="2">
        <v>43042</v>
      </c>
      <c r="P638" s="133">
        <v>43069</v>
      </c>
      <c r="Q638" s="6">
        <v>3</v>
      </c>
      <c r="R638" s="6">
        <v>3</v>
      </c>
      <c r="S638" s="6">
        <v>3</v>
      </c>
      <c r="T638" s="6">
        <v>3</v>
      </c>
      <c r="U638" s="6">
        <v>3</v>
      </c>
      <c r="V638" s="6" t="s">
        <v>72</v>
      </c>
      <c r="W638" s="5" t="s">
        <v>72</v>
      </c>
      <c r="X638" s="6" t="s">
        <v>72</v>
      </c>
      <c r="Y638" s="6" t="s">
        <v>72</v>
      </c>
      <c r="Z638" s="6" t="s">
        <v>72</v>
      </c>
      <c r="AA638" s="6" t="s">
        <v>72</v>
      </c>
      <c r="AB638" s="6" t="s">
        <v>72</v>
      </c>
      <c r="AC638" s="6" t="s">
        <v>208</v>
      </c>
    </row>
    <row r="639" spans="1:29" x14ac:dyDescent="0.25">
      <c r="A639" s="145" t="str">
        <f>HYPERLINK("http://www.ofsted.gov.uk/inspection-reports/find-inspection-report/provider/ELS/59234  ","Ofsted Webpage")</f>
        <v>Ofsted Webpage</v>
      </c>
      <c r="B639" s="151">
        <v>59234</v>
      </c>
      <c r="C639" s="151">
        <v>10044729</v>
      </c>
      <c r="D639" s="46" t="s">
        <v>747</v>
      </c>
      <c r="E639" s="26" t="s">
        <v>80</v>
      </c>
      <c r="F639" s="26" t="s">
        <v>79</v>
      </c>
      <c r="G639" s="26" t="s">
        <v>621</v>
      </c>
      <c r="H639" s="26" t="s">
        <v>198</v>
      </c>
      <c r="I639" s="26" t="s">
        <v>198</v>
      </c>
      <c r="J639" s="2" t="s">
        <v>72</v>
      </c>
      <c r="K639" s="141" t="s">
        <v>72</v>
      </c>
      <c r="L639" s="141">
        <v>10005116</v>
      </c>
      <c r="M639" s="26" t="s">
        <v>211</v>
      </c>
      <c r="N639" s="2">
        <v>42654</v>
      </c>
      <c r="O639" s="2">
        <v>42657</v>
      </c>
      <c r="P639" s="133">
        <v>42683</v>
      </c>
      <c r="Q639" s="6">
        <v>2</v>
      </c>
      <c r="R639" s="6">
        <v>2</v>
      </c>
      <c r="S639" s="6">
        <v>2</v>
      </c>
      <c r="T639" s="6">
        <v>2</v>
      </c>
      <c r="U639" s="6">
        <v>2</v>
      </c>
      <c r="V639" s="6" t="s">
        <v>72</v>
      </c>
      <c r="W639" s="5" t="s">
        <v>72</v>
      </c>
      <c r="X639" s="6" t="s">
        <v>72</v>
      </c>
      <c r="Y639" s="6" t="s">
        <v>72</v>
      </c>
      <c r="Z639" s="6" t="s">
        <v>72</v>
      </c>
      <c r="AA639" s="6" t="s">
        <v>72</v>
      </c>
      <c r="AB639" s="6" t="s">
        <v>72</v>
      </c>
      <c r="AC639" s="6" t="s">
        <v>208</v>
      </c>
    </row>
    <row r="640" spans="1:29" x14ac:dyDescent="0.25">
      <c r="A640" s="145" t="str">
        <f>HYPERLINK("http://www.ofsted.gov.uk/inspection-reports/find-inspection-report/provider/ELS/59235  ","Ofsted Webpage")</f>
        <v>Ofsted Webpage</v>
      </c>
      <c r="B640" s="151">
        <v>59235</v>
      </c>
      <c r="C640" s="151">
        <v>10043575</v>
      </c>
      <c r="D640" s="46" t="s">
        <v>1198</v>
      </c>
      <c r="E640" s="26" t="s">
        <v>80</v>
      </c>
      <c r="F640" s="26" t="s">
        <v>79</v>
      </c>
      <c r="G640" s="26" t="s">
        <v>1199</v>
      </c>
      <c r="H640" s="26" t="s">
        <v>287</v>
      </c>
      <c r="I640" s="26" t="s">
        <v>287</v>
      </c>
      <c r="J640" s="2" t="s">
        <v>72</v>
      </c>
      <c r="K640" s="141" t="s">
        <v>72</v>
      </c>
      <c r="L640" s="141">
        <v>10005117</v>
      </c>
      <c r="M640" s="26" t="s">
        <v>183</v>
      </c>
      <c r="N640" s="2">
        <v>42892</v>
      </c>
      <c r="O640" s="2">
        <v>42895</v>
      </c>
      <c r="P640" s="133">
        <v>42955</v>
      </c>
      <c r="Q640" s="6">
        <v>3</v>
      </c>
      <c r="R640" s="6">
        <v>3</v>
      </c>
      <c r="S640" s="6">
        <v>3</v>
      </c>
      <c r="T640" s="6">
        <v>3</v>
      </c>
      <c r="U640" s="6">
        <v>3</v>
      </c>
      <c r="V640" s="6" t="s">
        <v>72</v>
      </c>
      <c r="W640" s="5" t="s">
        <v>72</v>
      </c>
      <c r="X640" s="6" t="s">
        <v>72</v>
      </c>
      <c r="Y640" s="6" t="s">
        <v>72</v>
      </c>
      <c r="Z640" s="6" t="s">
        <v>72</v>
      </c>
      <c r="AA640" s="6" t="s">
        <v>72</v>
      </c>
      <c r="AB640" s="6" t="s">
        <v>72</v>
      </c>
      <c r="AC640" s="6" t="s">
        <v>208</v>
      </c>
    </row>
    <row r="641" spans="1:29" x14ac:dyDescent="0.25">
      <c r="A641" s="145" t="str">
        <f>HYPERLINK("http://www.ofsted.gov.uk/inspection-reports/find-inspection-report/provider/ELS/59236  ","Ofsted Webpage")</f>
        <v>Ofsted Webpage</v>
      </c>
      <c r="B641" s="151">
        <v>59236</v>
      </c>
      <c r="C641" s="151">
        <v>10027893</v>
      </c>
      <c r="D641" s="46" t="s">
        <v>2368</v>
      </c>
      <c r="E641" s="26" t="s">
        <v>78</v>
      </c>
      <c r="F641" s="26" t="s">
        <v>79</v>
      </c>
      <c r="G641" s="26" t="s">
        <v>294</v>
      </c>
      <c r="H641" s="26" t="s">
        <v>198</v>
      </c>
      <c r="I641" s="26" t="s">
        <v>198</v>
      </c>
      <c r="J641" s="2" t="s">
        <v>72</v>
      </c>
      <c r="K641" s="141" t="s">
        <v>72</v>
      </c>
      <c r="L641" s="141">
        <v>10005118</v>
      </c>
      <c r="M641" s="26" t="s">
        <v>211</v>
      </c>
      <c r="N641" s="2">
        <v>42892</v>
      </c>
      <c r="O641" s="2">
        <v>42895</v>
      </c>
      <c r="P641" s="133">
        <v>42919</v>
      </c>
      <c r="Q641" s="6">
        <v>2</v>
      </c>
      <c r="R641" s="6">
        <v>2</v>
      </c>
      <c r="S641" s="6">
        <v>2</v>
      </c>
      <c r="T641" s="6">
        <v>2</v>
      </c>
      <c r="U641" s="6">
        <v>2</v>
      </c>
      <c r="V641" s="6" t="s">
        <v>72</v>
      </c>
      <c r="W641" s="5" t="s">
        <v>72</v>
      </c>
      <c r="X641" s="6" t="s">
        <v>72</v>
      </c>
      <c r="Y641" s="6" t="s">
        <v>72</v>
      </c>
      <c r="Z641" s="6" t="s">
        <v>72</v>
      </c>
      <c r="AA641" s="6" t="s">
        <v>72</v>
      </c>
      <c r="AB641" s="6" t="s">
        <v>72</v>
      </c>
      <c r="AC641" s="6" t="s">
        <v>208</v>
      </c>
    </row>
    <row r="642" spans="1:29" x14ac:dyDescent="0.25">
      <c r="A642" s="145" t="str">
        <f>HYPERLINK("http://www.ofsted.gov.uk/inspection-reports/find-inspection-report/provider/ELS/59237  ","Ofsted Webpage")</f>
        <v>Ofsted Webpage</v>
      </c>
      <c r="B642" s="151">
        <v>59237</v>
      </c>
      <c r="C642" s="151">
        <v>10003280</v>
      </c>
      <c r="D642" s="46" t="s">
        <v>2574</v>
      </c>
      <c r="E642" s="26" t="s">
        <v>78</v>
      </c>
      <c r="F642" s="26" t="s">
        <v>79</v>
      </c>
      <c r="G642" s="26" t="s">
        <v>1181</v>
      </c>
      <c r="H642" s="26" t="s">
        <v>193</v>
      </c>
      <c r="I642" s="26" t="s">
        <v>193</v>
      </c>
      <c r="J642" s="2" t="s">
        <v>72</v>
      </c>
      <c r="K642" s="141" t="s">
        <v>72</v>
      </c>
      <c r="L642" s="141">
        <v>10022594</v>
      </c>
      <c r="M642" s="26" t="s">
        <v>211</v>
      </c>
      <c r="N642" s="2">
        <v>42801</v>
      </c>
      <c r="O642" s="2">
        <v>42804</v>
      </c>
      <c r="P642" s="133">
        <v>42836</v>
      </c>
      <c r="Q642" s="6">
        <v>1</v>
      </c>
      <c r="R642" s="6">
        <v>1</v>
      </c>
      <c r="S642" s="6">
        <v>1</v>
      </c>
      <c r="T642" s="6">
        <v>1</v>
      </c>
      <c r="U642" s="6">
        <v>1</v>
      </c>
      <c r="V642" s="6" t="s">
        <v>2575</v>
      </c>
      <c r="W642" s="5">
        <v>42138</v>
      </c>
      <c r="X642" s="6">
        <v>2</v>
      </c>
      <c r="Y642" s="6">
        <v>2</v>
      </c>
      <c r="Z642" s="6">
        <v>2</v>
      </c>
      <c r="AA642" s="6" t="s">
        <v>178</v>
      </c>
      <c r="AB642" s="6">
        <v>2</v>
      </c>
      <c r="AC642" s="6" t="s">
        <v>216</v>
      </c>
    </row>
    <row r="643" spans="1:29" x14ac:dyDescent="0.25">
      <c r="A643" s="145" t="str">
        <f>HYPERLINK("http://www.ofsted.gov.uk/inspection-reports/find-inspection-report/provider/ELS/121777 ","Ofsted Webpage")</f>
        <v>Ofsted Webpage</v>
      </c>
      <c r="B643" s="151">
        <v>121777</v>
      </c>
      <c r="C643" s="151">
        <v>10012814</v>
      </c>
      <c r="D643" s="46" t="s">
        <v>785</v>
      </c>
      <c r="E643" s="26" t="s">
        <v>70</v>
      </c>
      <c r="F643" s="26" t="s">
        <v>71</v>
      </c>
      <c r="G643" s="26" t="s">
        <v>705</v>
      </c>
      <c r="H643" s="26" t="s">
        <v>187</v>
      </c>
      <c r="I643" s="26" t="s">
        <v>188</v>
      </c>
      <c r="J643" s="2" t="s">
        <v>72</v>
      </c>
      <c r="K643" s="141" t="s">
        <v>72</v>
      </c>
      <c r="L643" s="141">
        <v>10022483</v>
      </c>
      <c r="M643" s="26" t="s">
        <v>532</v>
      </c>
      <c r="N643" s="2">
        <v>42851</v>
      </c>
      <c r="O643" s="2">
        <v>42852</v>
      </c>
      <c r="P643" s="133">
        <v>42880</v>
      </c>
      <c r="Q643" s="6">
        <v>3</v>
      </c>
      <c r="R643" s="6">
        <v>3</v>
      </c>
      <c r="S643" s="6">
        <v>3</v>
      </c>
      <c r="T643" s="6">
        <v>2</v>
      </c>
      <c r="U643" s="6">
        <v>3</v>
      </c>
      <c r="V643" s="6" t="s">
        <v>786</v>
      </c>
      <c r="W643" s="5">
        <v>42138</v>
      </c>
      <c r="X643" s="6">
        <v>3</v>
      </c>
      <c r="Y643" s="6">
        <v>3</v>
      </c>
      <c r="Z643" s="6">
        <v>3</v>
      </c>
      <c r="AA643" s="6" t="s">
        <v>178</v>
      </c>
      <c r="AB643" s="6">
        <v>3</v>
      </c>
      <c r="AC643" s="6" t="s">
        <v>180</v>
      </c>
    </row>
    <row r="644" spans="1:29" x14ac:dyDescent="0.25">
      <c r="A644" s="145" t="str">
        <f>HYPERLINK("http://www.ofsted.gov.uk/inspection-reports/find-inspection-report/provider/ELS/130401 ","Ofsted Webpage")</f>
        <v>Ofsted Webpage</v>
      </c>
      <c r="B644" s="151">
        <v>130401</v>
      </c>
      <c r="C644" s="151">
        <v>10001463</v>
      </c>
      <c r="D644" s="46" t="s">
        <v>1565</v>
      </c>
      <c r="E644" s="26" t="s">
        <v>84</v>
      </c>
      <c r="F644" s="26" t="s">
        <v>76</v>
      </c>
      <c r="G644" s="26" t="s">
        <v>329</v>
      </c>
      <c r="H644" s="26" t="s">
        <v>175</v>
      </c>
      <c r="I644" s="26" t="s">
        <v>175</v>
      </c>
      <c r="J644" s="2" t="s">
        <v>72</v>
      </c>
      <c r="K644" s="141" t="s">
        <v>72</v>
      </c>
      <c r="L644" s="141">
        <v>10020132</v>
      </c>
      <c r="M644" s="26" t="s">
        <v>1566</v>
      </c>
      <c r="N644" s="2">
        <v>42710</v>
      </c>
      <c r="O644" s="2">
        <v>42713</v>
      </c>
      <c r="P644" s="133">
        <v>42754</v>
      </c>
      <c r="Q644" s="6">
        <v>2</v>
      </c>
      <c r="R644" s="6">
        <v>2</v>
      </c>
      <c r="S644" s="6">
        <v>2</v>
      </c>
      <c r="T644" s="6">
        <v>1</v>
      </c>
      <c r="U644" s="6">
        <v>2</v>
      </c>
      <c r="V644" s="6" t="s">
        <v>1567</v>
      </c>
      <c r="W644" s="5">
        <v>40704</v>
      </c>
      <c r="X644" s="6">
        <v>1</v>
      </c>
      <c r="Y644" s="6">
        <v>2</v>
      </c>
      <c r="Z644" s="6">
        <v>2</v>
      </c>
      <c r="AA644" s="6" t="s">
        <v>178</v>
      </c>
      <c r="AB644" s="6">
        <v>1</v>
      </c>
      <c r="AC644" s="6" t="s">
        <v>201</v>
      </c>
    </row>
    <row r="645" spans="1:29" x14ac:dyDescent="0.25">
      <c r="A645" s="145" t="str">
        <f>HYPERLINK("http://www.ofsted.gov.uk/inspection-reports/find-inspection-report/provider/ELS/130403 ","Ofsted Webpage")</f>
        <v>Ofsted Webpage</v>
      </c>
      <c r="B645" s="151">
        <v>130403</v>
      </c>
      <c r="C645" s="151">
        <v>10007636</v>
      </c>
      <c r="D645" s="46" t="s">
        <v>596</v>
      </c>
      <c r="E645" s="26" t="s">
        <v>84</v>
      </c>
      <c r="F645" s="26" t="s">
        <v>76</v>
      </c>
      <c r="G645" s="26" t="s">
        <v>329</v>
      </c>
      <c r="H645" s="26" t="s">
        <v>175</v>
      </c>
      <c r="I645" s="26" t="s">
        <v>175</v>
      </c>
      <c r="J645" s="2" t="s">
        <v>72</v>
      </c>
      <c r="K645" s="141" t="s">
        <v>72</v>
      </c>
      <c r="L645" s="141" t="s">
        <v>597</v>
      </c>
      <c r="M645" s="26" t="s">
        <v>549</v>
      </c>
      <c r="N645" s="2">
        <v>41351</v>
      </c>
      <c r="O645" s="2">
        <v>41355</v>
      </c>
      <c r="P645" s="133">
        <v>41394</v>
      </c>
      <c r="Q645" s="6">
        <v>1</v>
      </c>
      <c r="R645" s="6">
        <v>1</v>
      </c>
      <c r="S645" s="6">
        <v>1</v>
      </c>
      <c r="T645" s="120" t="s">
        <v>178</v>
      </c>
      <c r="U645" s="6">
        <v>1</v>
      </c>
      <c r="V645" s="6" t="s">
        <v>598</v>
      </c>
      <c r="W645" s="5">
        <v>39612</v>
      </c>
      <c r="X645" s="6">
        <v>2</v>
      </c>
      <c r="Y645" s="6">
        <v>2</v>
      </c>
      <c r="Z645" s="6">
        <v>2</v>
      </c>
      <c r="AA645" s="6" t="s">
        <v>178</v>
      </c>
      <c r="AB645" s="6">
        <v>1</v>
      </c>
      <c r="AC645" s="6" t="s">
        <v>216</v>
      </c>
    </row>
    <row r="646" spans="1:29" x14ac:dyDescent="0.25">
      <c r="A646" s="145" t="str">
        <f>HYPERLINK("http://www.ofsted.gov.uk/inspection-reports/find-inspection-report/provider/ELS/130404 ","Ofsted Webpage")</f>
        <v>Ofsted Webpage</v>
      </c>
      <c r="B646" s="151">
        <v>130404</v>
      </c>
      <c r="C646" s="151">
        <v>10007875</v>
      </c>
      <c r="D646" s="46" t="s">
        <v>593</v>
      </c>
      <c r="E646" s="26" t="s">
        <v>84</v>
      </c>
      <c r="F646" s="26" t="s">
        <v>76</v>
      </c>
      <c r="G646" s="26" t="s">
        <v>329</v>
      </c>
      <c r="H646" s="26" t="s">
        <v>175</v>
      </c>
      <c r="I646" s="26" t="s">
        <v>175</v>
      </c>
      <c r="J646" s="2" t="s">
        <v>72</v>
      </c>
      <c r="K646" s="141" t="s">
        <v>72</v>
      </c>
      <c r="L646" s="141" t="s">
        <v>594</v>
      </c>
      <c r="M646" s="26" t="s">
        <v>549</v>
      </c>
      <c r="N646" s="2">
        <v>42023</v>
      </c>
      <c r="O646" s="2">
        <v>42027</v>
      </c>
      <c r="P646" s="133">
        <v>42062</v>
      </c>
      <c r="Q646" s="6">
        <v>2</v>
      </c>
      <c r="R646" s="6">
        <v>2</v>
      </c>
      <c r="S646" s="6">
        <v>2</v>
      </c>
      <c r="T646" s="120" t="s">
        <v>178</v>
      </c>
      <c r="U646" s="6">
        <v>2</v>
      </c>
      <c r="V646" s="6" t="s">
        <v>595</v>
      </c>
      <c r="W646" s="5">
        <v>39871</v>
      </c>
      <c r="X646" s="6">
        <v>2</v>
      </c>
      <c r="Y646" s="6">
        <v>2</v>
      </c>
      <c r="Z646" s="6">
        <v>2</v>
      </c>
      <c r="AA646" s="6" t="s">
        <v>178</v>
      </c>
      <c r="AB646" s="6">
        <v>2</v>
      </c>
      <c r="AC646" s="6" t="s">
        <v>180</v>
      </c>
    </row>
    <row r="647" spans="1:29" x14ac:dyDescent="0.25">
      <c r="A647" s="145" t="str">
        <f>HYPERLINK("http://www.ofsted.gov.uk/inspection-reports/find-inspection-report/provider/ELS/130408 ","Ofsted Webpage")</f>
        <v>Ofsted Webpage</v>
      </c>
      <c r="B647" s="151">
        <v>130408</v>
      </c>
      <c r="C647" s="151">
        <v>10002094</v>
      </c>
      <c r="D647" s="46" t="s">
        <v>1930</v>
      </c>
      <c r="E647" s="26" t="s">
        <v>81</v>
      </c>
      <c r="F647" s="26" t="s">
        <v>82</v>
      </c>
      <c r="G647" s="26" t="s">
        <v>855</v>
      </c>
      <c r="H647" s="26" t="s">
        <v>175</v>
      </c>
      <c r="I647" s="26" t="s">
        <v>175</v>
      </c>
      <c r="J647" s="2" t="s">
        <v>72</v>
      </c>
      <c r="K647" s="141" t="s">
        <v>72</v>
      </c>
      <c r="L647" s="141">
        <v>10022544</v>
      </c>
      <c r="M647" s="26" t="s">
        <v>622</v>
      </c>
      <c r="N647" s="2">
        <v>42801</v>
      </c>
      <c r="O647" s="2">
        <v>42804</v>
      </c>
      <c r="P647" s="133">
        <v>42857</v>
      </c>
      <c r="Q647" s="6">
        <v>2</v>
      </c>
      <c r="R647" s="6">
        <v>2</v>
      </c>
      <c r="S647" s="6">
        <v>2</v>
      </c>
      <c r="T647" s="6">
        <v>2</v>
      </c>
      <c r="U647" s="6">
        <v>2</v>
      </c>
      <c r="V647" s="6">
        <v>10004663</v>
      </c>
      <c r="W647" s="5">
        <v>42293</v>
      </c>
      <c r="X647" s="6">
        <v>4</v>
      </c>
      <c r="Y647" s="6">
        <v>4</v>
      </c>
      <c r="Z647" s="6">
        <v>3</v>
      </c>
      <c r="AA647" s="6">
        <v>3</v>
      </c>
      <c r="AB647" s="6">
        <v>3</v>
      </c>
      <c r="AC647" s="6" t="s">
        <v>216</v>
      </c>
    </row>
    <row r="648" spans="1:29" x14ac:dyDescent="0.25">
      <c r="A648" s="145" t="str">
        <f>HYPERLINK("http://www.ofsted.gov.uk/inspection-reports/find-inspection-report/provider/ELS/130410 ","Ofsted Webpage")</f>
        <v>Ofsted Webpage</v>
      </c>
      <c r="B648" s="151">
        <v>130410</v>
      </c>
      <c r="C648" s="151">
        <v>10003564</v>
      </c>
      <c r="D648" s="46" t="s">
        <v>1931</v>
      </c>
      <c r="E648" s="26" t="s">
        <v>81</v>
      </c>
      <c r="F648" s="26" t="s">
        <v>82</v>
      </c>
      <c r="G648" s="26" t="s">
        <v>1288</v>
      </c>
      <c r="H648" s="26" t="s">
        <v>175</v>
      </c>
      <c r="I648" s="26" t="s">
        <v>175</v>
      </c>
      <c r="J648" s="2" t="s">
        <v>72</v>
      </c>
      <c r="K648" s="141" t="s">
        <v>72</v>
      </c>
      <c r="L648" s="141">
        <v>10022561</v>
      </c>
      <c r="M648" s="26" t="s">
        <v>1011</v>
      </c>
      <c r="N648" s="2">
        <v>42766</v>
      </c>
      <c r="O648" s="2">
        <v>42769</v>
      </c>
      <c r="P648" s="133">
        <v>42807</v>
      </c>
      <c r="Q648" s="6">
        <v>3</v>
      </c>
      <c r="R648" s="6">
        <v>3</v>
      </c>
      <c r="S648" s="6">
        <v>3</v>
      </c>
      <c r="T648" s="6">
        <v>2</v>
      </c>
      <c r="U648" s="6">
        <v>3</v>
      </c>
      <c r="V648" s="6" t="s">
        <v>1932</v>
      </c>
      <c r="W648" s="5">
        <v>42160</v>
      </c>
      <c r="X648" s="6">
        <v>3</v>
      </c>
      <c r="Y648" s="6">
        <v>3</v>
      </c>
      <c r="Z648" s="6">
        <v>3</v>
      </c>
      <c r="AA648" s="6" t="s">
        <v>178</v>
      </c>
      <c r="AB648" s="6">
        <v>3</v>
      </c>
      <c r="AC648" s="6" t="s">
        <v>180</v>
      </c>
    </row>
    <row r="649" spans="1:29" x14ac:dyDescent="0.25">
      <c r="A649" s="145" t="str">
        <f>HYPERLINK("http://www.ofsted.gov.uk/inspection-reports/find-inspection-report/provider/ELS/130411 ","Ofsted Webpage")</f>
        <v>Ofsted Webpage</v>
      </c>
      <c r="B649" s="151">
        <v>130411</v>
      </c>
      <c r="C649" s="151">
        <v>10006135</v>
      </c>
      <c r="D649" s="46" t="s">
        <v>2021</v>
      </c>
      <c r="E649" s="26" t="s">
        <v>83</v>
      </c>
      <c r="F649" s="26" t="s">
        <v>82</v>
      </c>
      <c r="G649" s="26" t="s">
        <v>1288</v>
      </c>
      <c r="H649" s="26" t="s">
        <v>175</v>
      </c>
      <c r="I649" s="26" t="s">
        <v>175</v>
      </c>
      <c r="J649" s="2" t="s">
        <v>72</v>
      </c>
      <c r="K649" s="141" t="s">
        <v>72</v>
      </c>
      <c r="L649" s="141" t="s">
        <v>2022</v>
      </c>
      <c r="M649" s="26" t="s">
        <v>409</v>
      </c>
      <c r="N649" s="2">
        <v>39364</v>
      </c>
      <c r="O649" s="2">
        <v>39365</v>
      </c>
      <c r="P649" s="133">
        <v>39416</v>
      </c>
      <c r="Q649" s="6">
        <v>1</v>
      </c>
      <c r="R649" s="6">
        <v>2</v>
      </c>
      <c r="S649" s="6">
        <v>2</v>
      </c>
      <c r="T649" s="120" t="s">
        <v>178</v>
      </c>
      <c r="U649" s="6">
        <v>1</v>
      </c>
      <c r="V649" s="6" t="s">
        <v>72</v>
      </c>
      <c r="W649" s="5" t="s">
        <v>72</v>
      </c>
      <c r="X649" s="6" t="s">
        <v>72</v>
      </c>
      <c r="Y649" s="6" t="s">
        <v>72</v>
      </c>
      <c r="Z649" s="6" t="s">
        <v>72</v>
      </c>
      <c r="AA649" s="6" t="s">
        <v>72</v>
      </c>
      <c r="AB649" s="6" t="s">
        <v>72</v>
      </c>
      <c r="AC649" s="6" t="s">
        <v>208</v>
      </c>
    </row>
    <row r="650" spans="1:29" x14ac:dyDescent="0.25">
      <c r="A650" s="145" t="str">
        <f>HYPERLINK("http://www.ofsted.gov.uk/inspection-reports/find-inspection-report/provider/ELS/130412 ","Ofsted Webpage")</f>
        <v>Ofsted Webpage</v>
      </c>
      <c r="B650" s="151">
        <v>130412</v>
      </c>
      <c r="C650" s="151">
        <v>10004432</v>
      </c>
      <c r="D650" s="46" t="s">
        <v>1575</v>
      </c>
      <c r="E650" s="26" t="s">
        <v>84</v>
      </c>
      <c r="F650" s="26" t="s">
        <v>76</v>
      </c>
      <c r="G650" s="26" t="s">
        <v>234</v>
      </c>
      <c r="H650" s="26" t="s">
        <v>175</v>
      </c>
      <c r="I650" s="26" t="s">
        <v>175</v>
      </c>
      <c r="J650" s="2">
        <v>42481</v>
      </c>
      <c r="K650" s="141">
        <v>1</v>
      </c>
      <c r="L650" s="141" t="s">
        <v>1576</v>
      </c>
      <c r="M650" s="26" t="s">
        <v>549</v>
      </c>
      <c r="N650" s="2">
        <v>40567</v>
      </c>
      <c r="O650" s="2">
        <v>40571</v>
      </c>
      <c r="P650" s="133">
        <v>40604</v>
      </c>
      <c r="Q650" s="6">
        <v>2</v>
      </c>
      <c r="R650" s="6">
        <v>2</v>
      </c>
      <c r="S650" s="6">
        <v>3</v>
      </c>
      <c r="T650" s="120" t="s">
        <v>178</v>
      </c>
      <c r="U650" s="6">
        <v>2</v>
      </c>
      <c r="V650" s="6" t="s">
        <v>1577</v>
      </c>
      <c r="W650" s="5">
        <v>39780</v>
      </c>
      <c r="X650" s="6">
        <v>3</v>
      </c>
      <c r="Y650" s="6">
        <v>3</v>
      </c>
      <c r="Z650" s="6">
        <v>2</v>
      </c>
      <c r="AA650" s="6" t="s">
        <v>178</v>
      </c>
      <c r="AB650" s="6">
        <v>3</v>
      </c>
      <c r="AC650" s="6" t="s">
        <v>216</v>
      </c>
    </row>
    <row r="651" spans="1:29" x14ac:dyDescent="0.25">
      <c r="A651" s="145" t="str">
        <f>HYPERLINK("http://www.ofsted.gov.uk/inspection-reports/find-inspection-report/provider/ELS/130413 ","Ofsted Webpage")</f>
        <v>Ofsted Webpage</v>
      </c>
      <c r="B651" s="151">
        <v>130413</v>
      </c>
      <c r="C651" s="151">
        <v>10003755</v>
      </c>
      <c r="D651" s="46" t="s">
        <v>2023</v>
      </c>
      <c r="E651" s="26" t="s">
        <v>81</v>
      </c>
      <c r="F651" s="26" t="s">
        <v>82</v>
      </c>
      <c r="G651" s="26" t="s">
        <v>234</v>
      </c>
      <c r="H651" s="26" t="s">
        <v>175</v>
      </c>
      <c r="I651" s="26" t="s">
        <v>175</v>
      </c>
      <c r="J651" s="2" t="s">
        <v>72</v>
      </c>
      <c r="K651" s="141" t="s">
        <v>72</v>
      </c>
      <c r="L651" s="141">
        <v>10020164</v>
      </c>
      <c r="M651" s="26" t="s">
        <v>1011</v>
      </c>
      <c r="N651" s="2">
        <v>42682</v>
      </c>
      <c r="O651" s="2">
        <v>42685</v>
      </c>
      <c r="P651" s="133">
        <v>42723</v>
      </c>
      <c r="Q651" s="6">
        <v>3</v>
      </c>
      <c r="R651" s="6">
        <v>3</v>
      </c>
      <c r="S651" s="6">
        <v>3</v>
      </c>
      <c r="T651" s="6">
        <v>3</v>
      </c>
      <c r="U651" s="6">
        <v>3</v>
      </c>
      <c r="V651" s="6" t="s">
        <v>2024</v>
      </c>
      <c r="W651" s="5">
        <v>41985</v>
      </c>
      <c r="X651" s="6">
        <v>3</v>
      </c>
      <c r="Y651" s="6">
        <v>4</v>
      </c>
      <c r="Z651" s="6">
        <v>3</v>
      </c>
      <c r="AA651" s="6" t="s">
        <v>178</v>
      </c>
      <c r="AB651" s="6">
        <v>3</v>
      </c>
      <c r="AC651" s="6" t="s">
        <v>180</v>
      </c>
    </row>
    <row r="652" spans="1:29" x14ac:dyDescent="0.25">
      <c r="A652" s="145" t="str">
        <f>HYPERLINK("http://www.ofsted.gov.uk/inspection-reports/find-inspection-report/provider/ELS/130414 ","Ofsted Webpage")</f>
        <v>Ofsted Webpage</v>
      </c>
      <c r="B652" s="151">
        <v>130414</v>
      </c>
      <c r="C652" s="151">
        <v>10004204</v>
      </c>
      <c r="D652" s="46" t="s">
        <v>233</v>
      </c>
      <c r="E652" s="26" t="s">
        <v>84</v>
      </c>
      <c r="F652" s="26" t="s">
        <v>76</v>
      </c>
      <c r="G652" s="26" t="s">
        <v>234</v>
      </c>
      <c r="H652" s="26" t="s">
        <v>175</v>
      </c>
      <c r="I652" s="26" t="s">
        <v>175</v>
      </c>
      <c r="J652" s="2" t="s">
        <v>72</v>
      </c>
      <c r="K652" s="141" t="s">
        <v>72</v>
      </c>
      <c r="L652" s="141">
        <v>10037396</v>
      </c>
      <c r="M652" s="26" t="s">
        <v>235</v>
      </c>
      <c r="N652" s="2">
        <v>43006</v>
      </c>
      <c r="O652" s="2">
        <v>43007</v>
      </c>
      <c r="P652" s="133">
        <v>43027</v>
      </c>
      <c r="Q652" s="6">
        <v>2</v>
      </c>
      <c r="R652" s="6">
        <v>2</v>
      </c>
      <c r="S652" s="6">
        <v>2</v>
      </c>
      <c r="T652" s="6">
        <v>2</v>
      </c>
      <c r="U652" s="6">
        <v>2</v>
      </c>
      <c r="V652" s="6">
        <v>10004667</v>
      </c>
      <c r="W652" s="5">
        <v>42391</v>
      </c>
      <c r="X652" s="6">
        <v>3</v>
      </c>
      <c r="Y652" s="6">
        <v>3</v>
      </c>
      <c r="Z652" s="6">
        <v>3</v>
      </c>
      <c r="AA652" s="6">
        <v>3</v>
      </c>
      <c r="AB652" s="6">
        <v>3</v>
      </c>
      <c r="AC652" s="6" t="s">
        <v>216</v>
      </c>
    </row>
    <row r="653" spans="1:29" x14ac:dyDescent="0.25">
      <c r="A653" s="145" t="str">
        <f>HYPERLINK("http://www.ofsted.gov.uk/inspection-reports/find-inspection-report/provider/ELS/130415 ","Ofsted Webpage")</f>
        <v>Ofsted Webpage</v>
      </c>
      <c r="B653" s="151">
        <v>130415</v>
      </c>
      <c r="C653" s="151">
        <v>10003894</v>
      </c>
      <c r="D653" s="46" t="s">
        <v>2948</v>
      </c>
      <c r="E653" s="26" t="s">
        <v>81</v>
      </c>
      <c r="F653" s="26" t="s">
        <v>82</v>
      </c>
      <c r="G653" s="26" t="s">
        <v>927</v>
      </c>
      <c r="H653" s="26" t="s">
        <v>175</v>
      </c>
      <c r="I653" s="26" t="s">
        <v>175</v>
      </c>
      <c r="J653" s="2" t="s">
        <v>72</v>
      </c>
      <c r="K653" s="141" t="s">
        <v>72</v>
      </c>
      <c r="L653" s="141">
        <v>10011416</v>
      </c>
      <c r="M653" s="26" t="s">
        <v>622</v>
      </c>
      <c r="N653" s="2">
        <v>42500</v>
      </c>
      <c r="O653" s="2">
        <v>42503</v>
      </c>
      <c r="P653" s="133">
        <v>42538</v>
      </c>
      <c r="Q653" s="6">
        <v>3</v>
      </c>
      <c r="R653" s="6">
        <v>3</v>
      </c>
      <c r="S653" s="6">
        <v>3</v>
      </c>
      <c r="T653" s="6">
        <v>3</v>
      </c>
      <c r="U653" s="6">
        <v>3</v>
      </c>
      <c r="V653" s="6" t="s">
        <v>2949</v>
      </c>
      <c r="W653" s="5">
        <v>42041</v>
      </c>
      <c r="X653" s="6">
        <v>4</v>
      </c>
      <c r="Y653" s="6">
        <v>4</v>
      </c>
      <c r="Z653" s="6">
        <v>4</v>
      </c>
      <c r="AA653" s="6" t="s">
        <v>178</v>
      </c>
      <c r="AB653" s="6">
        <v>4</v>
      </c>
      <c r="AC653" s="6" t="s">
        <v>216</v>
      </c>
    </row>
    <row r="654" spans="1:29" x14ac:dyDescent="0.25">
      <c r="A654" s="145" t="str">
        <f>HYPERLINK("http://www.ofsted.gov.uk/inspection-reports/find-inspection-report/provider/ELS/130416 ","Ofsted Webpage")</f>
        <v>Ofsted Webpage</v>
      </c>
      <c r="B654" s="151">
        <v>130416</v>
      </c>
      <c r="C654" s="151">
        <v>10001416</v>
      </c>
      <c r="D654" s="46" t="s">
        <v>2025</v>
      </c>
      <c r="E654" s="26" t="s">
        <v>83</v>
      </c>
      <c r="F654" s="26" t="s">
        <v>82</v>
      </c>
      <c r="G654" s="26" t="s">
        <v>927</v>
      </c>
      <c r="H654" s="26" t="s">
        <v>175</v>
      </c>
      <c r="I654" s="26" t="s">
        <v>175</v>
      </c>
      <c r="J654" s="2" t="s">
        <v>72</v>
      </c>
      <c r="K654" s="141" t="s">
        <v>72</v>
      </c>
      <c r="L654" s="141">
        <v>10022556</v>
      </c>
      <c r="M654" s="26" t="s">
        <v>372</v>
      </c>
      <c r="N654" s="2">
        <v>42801</v>
      </c>
      <c r="O654" s="2">
        <v>42804</v>
      </c>
      <c r="P654" s="133">
        <v>42851</v>
      </c>
      <c r="Q654" s="6">
        <v>2</v>
      </c>
      <c r="R654" s="6">
        <v>2</v>
      </c>
      <c r="S654" s="6">
        <v>2</v>
      </c>
      <c r="T654" s="6">
        <v>2</v>
      </c>
      <c r="U654" s="6">
        <v>2</v>
      </c>
      <c r="V654" s="6" t="s">
        <v>2026</v>
      </c>
      <c r="W654" s="5">
        <v>40312</v>
      </c>
      <c r="X654" s="6">
        <v>2</v>
      </c>
      <c r="Y654" s="6">
        <v>2</v>
      </c>
      <c r="Z654" s="6">
        <v>2</v>
      </c>
      <c r="AA654" s="6" t="s">
        <v>178</v>
      </c>
      <c r="AB654" s="6">
        <v>1</v>
      </c>
      <c r="AC654" s="6" t="s">
        <v>180</v>
      </c>
    </row>
    <row r="655" spans="1:29" x14ac:dyDescent="0.25">
      <c r="A655" s="145" t="str">
        <f>HYPERLINK("http://www.ofsted.gov.uk/inspection-reports/find-inspection-report/provider/ELS/130418 ","Ofsted Webpage")</f>
        <v>Ofsted Webpage</v>
      </c>
      <c r="B655" s="151">
        <v>130418</v>
      </c>
      <c r="C655" s="151">
        <v>10006963</v>
      </c>
      <c r="D655" s="46" t="s">
        <v>2027</v>
      </c>
      <c r="E655" s="26" t="s">
        <v>81</v>
      </c>
      <c r="F655" s="26" t="s">
        <v>82</v>
      </c>
      <c r="G655" s="26" t="s">
        <v>336</v>
      </c>
      <c r="H655" s="26" t="s">
        <v>175</v>
      </c>
      <c r="I655" s="26" t="s">
        <v>175</v>
      </c>
      <c r="J655" s="2" t="s">
        <v>72</v>
      </c>
      <c r="K655" s="141" t="s">
        <v>72</v>
      </c>
      <c r="L655" s="141" t="s">
        <v>2028</v>
      </c>
      <c r="M655" s="26" t="s">
        <v>194</v>
      </c>
      <c r="N655" s="2">
        <v>41617</v>
      </c>
      <c r="O655" s="2">
        <v>41621</v>
      </c>
      <c r="P655" s="133">
        <v>41661</v>
      </c>
      <c r="Q655" s="6">
        <v>2</v>
      </c>
      <c r="R655" s="6">
        <v>2</v>
      </c>
      <c r="S655" s="6">
        <v>2</v>
      </c>
      <c r="T655" s="120" t="s">
        <v>178</v>
      </c>
      <c r="U655" s="6">
        <v>2</v>
      </c>
      <c r="V655" s="6" t="s">
        <v>2029</v>
      </c>
      <c r="W655" s="5">
        <v>41033</v>
      </c>
      <c r="X655" s="6">
        <v>3</v>
      </c>
      <c r="Y655" s="6">
        <v>3</v>
      </c>
      <c r="Z655" s="6">
        <v>3</v>
      </c>
      <c r="AA655" s="6" t="s">
        <v>178</v>
      </c>
      <c r="AB655" s="6">
        <v>2</v>
      </c>
      <c r="AC655" s="6" t="s">
        <v>216</v>
      </c>
    </row>
    <row r="656" spans="1:29" x14ac:dyDescent="0.25">
      <c r="A656" s="145" t="str">
        <f>HYPERLINK("http://www.ofsted.gov.uk/inspection-reports/find-inspection-report/provider/ELS/130419 ","Ofsted Webpage")</f>
        <v>Ofsted Webpage</v>
      </c>
      <c r="B656" s="151">
        <v>130419</v>
      </c>
      <c r="C656" s="151">
        <v>10007364</v>
      </c>
      <c r="D656" s="46" t="s">
        <v>599</v>
      </c>
      <c r="E656" s="26" t="s">
        <v>84</v>
      </c>
      <c r="F656" s="26" t="s">
        <v>76</v>
      </c>
      <c r="G656" s="26" t="s">
        <v>600</v>
      </c>
      <c r="H656" s="26" t="s">
        <v>175</v>
      </c>
      <c r="I656" s="26" t="s">
        <v>175</v>
      </c>
      <c r="J656" s="2" t="s">
        <v>72</v>
      </c>
      <c r="K656" s="141" t="s">
        <v>72</v>
      </c>
      <c r="L656" s="141" t="s">
        <v>601</v>
      </c>
      <c r="M656" s="26" t="s">
        <v>549</v>
      </c>
      <c r="N656" s="2">
        <v>41617</v>
      </c>
      <c r="O656" s="2">
        <v>41621</v>
      </c>
      <c r="P656" s="133">
        <v>41661</v>
      </c>
      <c r="Q656" s="6">
        <v>2</v>
      </c>
      <c r="R656" s="6">
        <v>2</v>
      </c>
      <c r="S656" s="6">
        <v>2</v>
      </c>
      <c r="T656" s="120" t="s">
        <v>178</v>
      </c>
      <c r="U656" s="6">
        <v>2</v>
      </c>
      <c r="V656" s="6" t="s">
        <v>602</v>
      </c>
      <c r="W656" s="5">
        <v>39521</v>
      </c>
      <c r="X656" s="6">
        <v>2</v>
      </c>
      <c r="Y656" s="6">
        <v>2</v>
      </c>
      <c r="Z656" s="6">
        <v>2</v>
      </c>
      <c r="AA656" s="6" t="s">
        <v>178</v>
      </c>
      <c r="AB656" s="6">
        <v>2</v>
      </c>
      <c r="AC656" s="6" t="s">
        <v>180</v>
      </c>
    </row>
    <row r="657" spans="1:29" x14ac:dyDescent="0.25">
      <c r="A657" s="145" t="str">
        <f>HYPERLINK("http://www.ofsted.gov.uk/inspection-reports/find-inspection-report/provider/ELS/130421 ","Ofsted Webpage")</f>
        <v>Ofsted Webpage</v>
      </c>
      <c r="B657" s="151">
        <v>130421</v>
      </c>
      <c r="C657" s="151">
        <v>10007455</v>
      </c>
      <c r="D657" s="46" t="s">
        <v>2030</v>
      </c>
      <c r="E657" s="26" t="s">
        <v>81</v>
      </c>
      <c r="F657" s="26" t="s">
        <v>82</v>
      </c>
      <c r="G657" s="26" t="s">
        <v>329</v>
      </c>
      <c r="H657" s="26" t="s">
        <v>175</v>
      </c>
      <c r="I657" s="26" t="s">
        <v>175</v>
      </c>
      <c r="J657" s="2">
        <v>42438</v>
      </c>
      <c r="K657" s="141">
        <v>1</v>
      </c>
      <c r="L657" s="141" t="s">
        <v>2031</v>
      </c>
      <c r="M657" s="26" t="s">
        <v>369</v>
      </c>
      <c r="N657" s="2">
        <v>40630</v>
      </c>
      <c r="O657" s="2">
        <v>40634</v>
      </c>
      <c r="P657" s="133">
        <v>40673</v>
      </c>
      <c r="Q657" s="6">
        <v>2</v>
      </c>
      <c r="R657" s="6">
        <v>3</v>
      </c>
      <c r="S657" s="6">
        <v>3</v>
      </c>
      <c r="T657" s="120" t="s">
        <v>178</v>
      </c>
      <c r="U657" s="6">
        <v>2</v>
      </c>
      <c r="V657" s="6" t="s">
        <v>2032</v>
      </c>
      <c r="W657" s="5">
        <v>39479</v>
      </c>
      <c r="X657" s="6">
        <v>2</v>
      </c>
      <c r="Y657" s="6">
        <v>2</v>
      </c>
      <c r="Z657" s="6">
        <v>3</v>
      </c>
      <c r="AA657" s="6" t="s">
        <v>178</v>
      </c>
      <c r="AB657" s="6">
        <v>2</v>
      </c>
      <c r="AC657" s="6" t="s">
        <v>180</v>
      </c>
    </row>
    <row r="658" spans="1:29" x14ac:dyDescent="0.25">
      <c r="A658" s="145" t="str">
        <f>HYPERLINK("http://www.ofsted.gov.uk/inspection-reports/find-inspection-report/provider/ELS/130422 ","Ofsted Webpage")</f>
        <v>Ofsted Webpage</v>
      </c>
      <c r="B658" s="151">
        <v>130422</v>
      </c>
      <c r="C658" s="151">
        <v>10008007</v>
      </c>
      <c r="D658" s="46" t="s">
        <v>2033</v>
      </c>
      <c r="E658" s="26" t="s">
        <v>83</v>
      </c>
      <c r="F658" s="26" t="s">
        <v>82</v>
      </c>
      <c r="G658" s="26" t="s">
        <v>1186</v>
      </c>
      <c r="H658" s="26" t="s">
        <v>175</v>
      </c>
      <c r="I658" s="26" t="s">
        <v>175</v>
      </c>
      <c r="J658" s="2" t="s">
        <v>72</v>
      </c>
      <c r="K658" s="141" t="s">
        <v>72</v>
      </c>
      <c r="L658" s="141">
        <v>10004672</v>
      </c>
      <c r="M658" s="26" t="s">
        <v>372</v>
      </c>
      <c r="N658" s="2">
        <v>42388</v>
      </c>
      <c r="O658" s="2">
        <v>42391</v>
      </c>
      <c r="P658" s="133">
        <v>42445</v>
      </c>
      <c r="Q658" s="6">
        <v>3</v>
      </c>
      <c r="R658" s="6">
        <v>3</v>
      </c>
      <c r="S658" s="6">
        <v>3</v>
      </c>
      <c r="T658" s="6">
        <v>2</v>
      </c>
      <c r="U658" s="6">
        <v>3</v>
      </c>
      <c r="V658" s="6" t="s">
        <v>2034</v>
      </c>
      <c r="W658" s="5">
        <v>41537</v>
      </c>
      <c r="X658" s="6">
        <v>2</v>
      </c>
      <c r="Y658" s="6">
        <v>2</v>
      </c>
      <c r="Z658" s="6">
        <v>2</v>
      </c>
      <c r="AA658" s="6" t="s">
        <v>178</v>
      </c>
      <c r="AB658" s="6">
        <v>2</v>
      </c>
      <c r="AC658" s="6" t="s">
        <v>201</v>
      </c>
    </row>
    <row r="659" spans="1:29" x14ac:dyDescent="0.25">
      <c r="A659" s="145" t="str">
        <f>HYPERLINK("http://www.ofsted.gov.uk/inspection-reports/find-inspection-report/provider/ELS/130423 ","Ofsted Webpage")</f>
        <v>Ofsted Webpage</v>
      </c>
      <c r="B659" s="151">
        <v>130423</v>
      </c>
      <c r="C659" s="151">
        <v>10001476</v>
      </c>
      <c r="D659" s="46" t="s">
        <v>1581</v>
      </c>
      <c r="E659" s="26" t="s">
        <v>81</v>
      </c>
      <c r="F659" s="26" t="s">
        <v>82</v>
      </c>
      <c r="G659" s="26" t="s">
        <v>283</v>
      </c>
      <c r="H659" s="26" t="s">
        <v>175</v>
      </c>
      <c r="I659" s="26" t="s">
        <v>175</v>
      </c>
      <c r="J659" s="2" t="s">
        <v>72</v>
      </c>
      <c r="K659" s="141" t="s">
        <v>72</v>
      </c>
      <c r="L659" s="141" t="s">
        <v>1582</v>
      </c>
      <c r="M659" s="26" t="s">
        <v>194</v>
      </c>
      <c r="N659" s="2">
        <v>41428</v>
      </c>
      <c r="O659" s="2">
        <v>41432</v>
      </c>
      <c r="P659" s="133">
        <v>41467</v>
      </c>
      <c r="Q659" s="6">
        <v>2</v>
      </c>
      <c r="R659" s="6">
        <v>3</v>
      </c>
      <c r="S659" s="6">
        <v>2</v>
      </c>
      <c r="T659" s="120" t="s">
        <v>178</v>
      </c>
      <c r="U659" s="6">
        <v>2</v>
      </c>
      <c r="V659" s="6" t="s">
        <v>1583</v>
      </c>
      <c r="W659" s="5">
        <v>40221</v>
      </c>
      <c r="X659" s="6">
        <v>3</v>
      </c>
      <c r="Y659" s="6">
        <v>3</v>
      </c>
      <c r="Z659" s="6">
        <v>3</v>
      </c>
      <c r="AA659" s="6" t="s">
        <v>178</v>
      </c>
      <c r="AB659" s="6">
        <v>3</v>
      </c>
      <c r="AC659" s="6" t="s">
        <v>216</v>
      </c>
    </row>
    <row r="660" spans="1:29" x14ac:dyDescent="0.25">
      <c r="A660" s="145" t="str">
        <f>HYPERLINK("http://www.ofsted.gov.uk/inspection-reports/find-inspection-report/provider/ELS/130424 ","Ofsted Webpage")</f>
        <v>Ofsted Webpage</v>
      </c>
      <c r="B660" s="151">
        <v>130424</v>
      </c>
      <c r="C660" s="151">
        <v>10000528</v>
      </c>
      <c r="D660" s="46" t="s">
        <v>1584</v>
      </c>
      <c r="E660" s="26" t="s">
        <v>81</v>
      </c>
      <c r="F660" s="26" t="s">
        <v>82</v>
      </c>
      <c r="G660" s="26" t="s">
        <v>1137</v>
      </c>
      <c r="H660" s="26" t="s">
        <v>175</v>
      </c>
      <c r="I660" s="26" t="s">
        <v>175</v>
      </c>
      <c r="J660" s="2">
        <v>42879</v>
      </c>
      <c r="K660" s="141">
        <v>1</v>
      </c>
      <c r="L660" s="141" t="s">
        <v>1585</v>
      </c>
      <c r="M660" s="26" t="s">
        <v>194</v>
      </c>
      <c r="N660" s="2">
        <v>41386</v>
      </c>
      <c r="O660" s="2">
        <v>41390</v>
      </c>
      <c r="P660" s="133">
        <v>41429</v>
      </c>
      <c r="Q660" s="6">
        <v>2</v>
      </c>
      <c r="R660" s="6">
        <v>2</v>
      </c>
      <c r="S660" s="6">
        <v>2</v>
      </c>
      <c r="T660" s="120" t="s">
        <v>178</v>
      </c>
      <c r="U660" s="6">
        <v>1</v>
      </c>
      <c r="V660" s="6" t="s">
        <v>1586</v>
      </c>
      <c r="W660" s="5">
        <v>39206</v>
      </c>
      <c r="X660" s="6">
        <v>2</v>
      </c>
      <c r="Y660" s="6">
        <v>2</v>
      </c>
      <c r="Z660" s="6">
        <v>2</v>
      </c>
      <c r="AA660" s="6" t="s">
        <v>178</v>
      </c>
      <c r="AB660" s="6">
        <v>2</v>
      </c>
      <c r="AC660" s="6" t="s">
        <v>180</v>
      </c>
    </row>
    <row r="661" spans="1:29" x14ac:dyDescent="0.25">
      <c r="A661" s="145" t="str">
        <f>HYPERLINK("http://www.ofsted.gov.uk/inspection-reports/find-inspection-report/provider/ELS/130425 ","Ofsted Webpage")</f>
        <v>Ofsted Webpage</v>
      </c>
      <c r="B661" s="151">
        <v>130425</v>
      </c>
      <c r="C661" s="151">
        <v>10000533</v>
      </c>
      <c r="D661" s="46" t="s">
        <v>1587</v>
      </c>
      <c r="E661" s="26" t="s">
        <v>81</v>
      </c>
      <c r="F661" s="26" t="s">
        <v>82</v>
      </c>
      <c r="G661" s="26" t="s">
        <v>345</v>
      </c>
      <c r="H661" s="26" t="s">
        <v>175</v>
      </c>
      <c r="I661" s="26" t="s">
        <v>175</v>
      </c>
      <c r="J661" s="2">
        <v>42312</v>
      </c>
      <c r="K661" s="141">
        <v>1</v>
      </c>
      <c r="L661" s="141" t="s">
        <v>1588</v>
      </c>
      <c r="M661" s="26" t="s">
        <v>369</v>
      </c>
      <c r="N661" s="2">
        <v>40147</v>
      </c>
      <c r="O661" s="2">
        <v>40151</v>
      </c>
      <c r="P661" s="133">
        <v>40191</v>
      </c>
      <c r="Q661" s="6">
        <v>2</v>
      </c>
      <c r="R661" s="6">
        <v>2</v>
      </c>
      <c r="S661" s="6">
        <v>2</v>
      </c>
      <c r="T661" s="120" t="s">
        <v>178</v>
      </c>
      <c r="U661" s="6">
        <v>2</v>
      </c>
      <c r="V661" s="6" t="s">
        <v>1589</v>
      </c>
      <c r="W661" s="5">
        <v>38849</v>
      </c>
      <c r="X661" s="6">
        <v>2</v>
      </c>
      <c r="Y661" s="6">
        <v>2</v>
      </c>
      <c r="Z661" s="6">
        <v>2</v>
      </c>
      <c r="AA661" s="6" t="s">
        <v>178</v>
      </c>
      <c r="AB661" s="6">
        <v>2</v>
      </c>
      <c r="AC661" s="6" t="s">
        <v>180</v>
      </c>
    </row>
    <row r="662" spans="1:29" x14ac:dyDescent="0.25">
      <c r="A662" s="145" t="str">
        <f>HYPERLINK("http://www.ofsted.gov.uk/inspection-reports/find-inspection-report/provider/ELS/130427 ","Ofsted Webpage")</f>
        <v>Ofsted Webpage</v>
      </c>
      <c r="B662" s="151">
        <v>130427</v>
      </c>
      <c r="C662" s="151">
        <v>10007609</v>
      </c>
      <c r="D662" s="46" t="s">
        <v>1590</v>
      </c>
      <c r="E662" s="26" t="s">
        <v>83</v>
      </c>
      <c r="F662" s="26" t="s">
        <v>82</v>
      </c>
      <c r="G662" s="26" t="s">
        <v>345</v>
      </c>
      <c r="H662" s="26" t="s">
        <v>175</v>
      </c>
      <c r="I662" s="26" t="s">
        <v>175</v>
      </c>
      <c r="J662" s="2" t="s">
        <v>72</v>
      </c>
      <c r="K662" s="141" t="s">
        <v>72</v>
      </c>
      <c r="L662" s="141" t="s">
        <v>1591</v>
      </c>
      <c r="M662" s="26" t="s">
        <v>1592</v>
      </c>
      <c r="N662" s="2">
        <v>39106</v>
      </c>
      <c r="O662" s="2">
        <v>39106</v>
      </c>
      <c r="P662" s="133">
        <v>39143</v>
      </c>
      <c r="Q662" s="6">
        <v>1</v>
      </c>
      <c r="R662" s="6">
        <v>1</v>
      </c>
      <c r="S662" s="6">
        <v>1</v>
      </c>
      <c r="T662" s="120" t="s">
        <v>178</v>
      </c>
      <c r="U662" s="6">
        <v>1</v>
      </c>
      <c r="V662" s="6" t="s">
        <v>72</v>
      </c>
      <c r="W662" s="5" t="s">
        <v>72</v>
      </c>
      <c r="X662" s="6" t="s">
        <v>72</v>
      </c>
      <c r="Y662" s="6" t="s">
        <v>72</v>
      </c>
      <c r="Z662" s="6" t="s">
        <v>72</v>
      </c>
      <c r="AA662" s="6" t="s">
        <v>72</v>
      </c>
      <c r="AB662" s="6" t="s">
        <v>72</v>
      </c>
      <c r="AC662" s="6" t="s">
        <v>208</v>
      </c>
    </row>
    <row r="663" spans="1:29" x14ac:dyDescent="0.25">
      <c r="A663" s="145" t="str">
        <f>HYPERLINK("http://www.ofsted.gov.uk/inspection-reports/find-inspection-report/provider/ELS/130430 ","Ofsted Webpage")</f>
        <v>Ofsted Webpage</v>
      </c>
      <c r="B663" s="151">
        <v>130430</v>
      </c>
      <c r="C663" s="151">
        <v>10000948</v>
      </c>
      <c r="D663" s="46" t="s">
        <v>1593</v>
      </c>
      <c r="E663" s="26" t="s">
        <v>81</v>
      </c>
      <c r="F663" s="26" t="s">
        <v>82</v>
      </c>
      <c r="G663" s="26" t="s">
        <v>665</v>
      </c>
      <c r="H663" s="26" t="s">
        <v>175</v>
      </c>
      <c r="I663" s="26" t="s">
        <v>175</v>
      </c>
      <c r="J663" s="2" t="s">
        <v>72</v>
      </c>
      <c r="K663" s="141" t="s">
        <v>72</v>
      </c>
      <c r="L663" s="141" t="s">
        <v>1594</v>
      </c>
      <c r="M663" s="26" t="s">
        <v>194</v>
      </c>
      <c r="N663" s="2">
        <v>41288</v>
      </c>
      <c r="O663" s="2">
        <v>41292</v>
      </c>
      <c r="P663" s="133">
        <v>41327</v>
      </c>
      <c r="Q663" s="6">
        <v>2</v>
      </c>
      <c r="R663" s="6">
        <v>2</v>
      </c>
      <c r="S663" s="6">
        <v>2</v>
      </c>
      <c r="T663" s="120" t="s">
        <v>178</v>
      </c>
      <c r="U663" s="6">
        <v>2</v>
      </c>
      <c r="V663" s="6" t="s">
        <v>1595</v>
      </c>
      <c r="W663" s="5">
        <v>39780</v>
      </c>
      <c r="X663" s="6">
        <v>3</v>
      </c>
      <c r="Y663" s="6">
        <v>3</v>
      </c>
      <c r="Z663" s="6">
        <v>3</v>
      </c>
      <c r="AA663" s="6" t="s">
        <v>178</v>
      </c>
      <c r="AB663" s="6">
        <v>3</v>
      </c>
      <c r="AC663" s="6" t="s">
        <v>216</v>
      </c>
    </row>
    <row r="664" spans="1:29" x14ac:dyDescent="0.25">
      <c r="A664" s="145" t="str">
        <f>HYPERLINK("http://www.ofsted.gov.uk/inspection-reports/find-inspection-report/provider/ELS/130432 ","Ofsted Webpage")</f>
        <v>Ofsted Webpage</v>
      </c>
      <c r="B664" s="151">
        <v>130432</v>
      </c>
      <c r="C664" s="151">
        <v>10001778</v>
      </c>
      <c r="D664" s="46" t="s">
        <v>1596</v>
      </c>
      <c r="E664" s="26" t="s">
        <v>81</v>
      </c>
      <c r="F664" s="26" t="s">
        <v>82</v>
      </c>
      <c r="G664" s="26" t="s">
        <v>683</v>
      </c>
      <c r="H664" s="26" t="s">
        <v>175</v>
      </c>
      <c r="I664" s="26" t="s">
        <v>175</v>
      </c>
      <c r="J664" s="2" t="s">
        <v>72</v>
      </c>
      <c r="K664" s="141" t="s">
        <v>72</v>
      </c>
      <c r="L664" s="141" t="s">
        <v>1597</v>
      </c>
      <c r="M664" s="26" t="s">
        <v>215</v>
      </c>
      <c r="N664" s="2">
        <v>41757</v>
      </c>
      <c r="O664" s="2">
        <v>41761</v>
      </c>
      <c r="P664" s="133">
        <v>41800</v>
      </c>
      <c r="Q664" s="6">
        <v>2</v>
      </c>
      <c r="R664" s="6">
        <v>3</v>
      </c>
      <c r="S664" s="6">
        <v>2</v>
      </c>
      <c r="T664" s="120" t="s">
        <v>178</v>
      </c>
      <c r="U664" s="6">
        <v>2</v>
      </c>
      <c r="V664" s="6" t="s">
        <v>1598</v>
      </c>
      <c r="W664" s="5">
        <v>41257</v>
      </c>
      <c r="X664" s="6">
        <v>3</v>
      </c>
      <c r="Y664" s="6">
        <v>4</v>
      </c>
      <c r="Z664" s="6">
        <v>3</v>
      </c>
      <c r="AA664" s="6" t="s">
        <v>178</v>
      </c>
      <c r="AB664" s="6">
        <v>3</v>
      </c>
      <c r="AC664" s="6" t="s">
        <v>216</v>
      </c>
    </row>
    <row r="665" spans="1:29" x14ac:dyDescent="0.25">
      <c r="A665" s="145" t="str">
        <f>HYPERLINK("http://www.ofsted.gov.uk/inspection-reports/find-inspection-report/provider/ELS/130433 ","Ofsted Webpage")</f>
        <v>Ofsted Webpage</v>
      </c>
      <c r="B665" s="151">
        <v>130433</v>
      </c>
      <c r="C665" s="151">
        <v>10001705</v>
      </c>
      <c r="D665" s="46" t="s">
        <v>1485</v>
      </c>
      <c r="E665" s="26" t="s">
        <v>83</v>
      </c>
      <c r="F665" s="26" t="s">
        <v>82</v>
      </c>
      <c r="G665" s="26" t="s">
        <v>683</v>
      </c>
      <c r="H665" s="26" t="s">
        <v>175</v>
      </c>
      <c r="I665" s="26" t="s">
        <v>175</v>
      </c>
      <c r="J665" s="2" t="s">
        <v>72</v>
      </c>
      <c r="K665" s="141" t="s">
        <v>72</v>
      </c>
      <c r="L665" s="141" t="s">
        <v>1486</v>
      </c>
      <c r="M665" s="26" t="s">
        <v>1487</v>
      </c>
      <c r="N665" s="2">
        <v>41695</v>
      </c>
      <c r="O665" s="2">
        <v>41698</v>
      </c>
      <c r="P665" s="133">
        <v>41733</v>
      </c>
      <c r="Q665" s="6">
        <v>2</v>
      </c>
      <c r="R665" s="6">
        <v>3</v>
      </c>
      <c r="S665" s="6">
        <v>2</v>
      </c>
      <c r="T665" s="120" t="s">
        <v>178</v>
      </c>
      <c r="U665" s="6">
        <v>2</v>
      </c>
      <c r="V665" s="6" t="s">
        <v>1488</v>
      </c>
      <c r="W665" s="5">
        <v>41292</v>
      </c>
      <c r="X665" s="6">
        <v>4</v>
      </c>
      <c r="Y665" s="6">
        <v>4</v>
      </c>
      <c r="Z665" s="6">
        <v>3</v>
      </c>
      <c r="AA665" s="6" t="s">
        <v>178</v>
      </c>
      <c r="AB665" s="6">
        <v>3</v>
      </c>
      <c r="AC665" s="6" t="s">
        <v>216</v>
      </c>
    </row>
    <row r="666" spans="1:29" x14ac:dyDescent="0.25">
      <c r="A666" s="145" t="str">
        <f>HYPERLINK("http://www.ofsted.gov.uk/inspection-reports/find-inspection-report/provider/ELS/130434 ","Ofsted Webpage")</f>
        <v>Ofsted Webpage</v>
      </c>
      <c r="B666" s="151">
        <v>130434</v>
      </c>
      <c r="C666" s="151">
        <v>10003500</v>
      </c>
      <c r="D666" s="46" t="s">
        <v>1489</v>
      </c>
      <c r="E666" s="26" t="s">
        <v>83</v>
      </c>
      <c r="F666" s="26" t="s">
        <v>82</v>
      </c>
      <c r="G666" s="26" t="s">
        <v>683</v>
      </c>
      <c r="H666" s="26" t="s">
        <v>175</v>
      </c>
      <c r="I666" s="26" t="s">
        <v>175</v>
      </c>
      <c r="J666" s="2" t="s">
        <v>72</v>
      </c>
      <c r="K666" s="141" t="s">
        <v>72</v>
      </c>
      <c r="L666" s="141">
        <v>10030887</v>
      </c>
      <c r="M666" s="26" t="s">
        <v>372</v>
      </c>
      <c r="N666" s="2">
        <v>43011</v>
      </c>
      <c r="O666" s="2">
        <v>43014</v>
      </c>
      <c r="P666" s="133">
        <v>43047</v>
      </c>
      <c r="Q666" s="6">
        <v>3</v>
      </c>
      <c r="R666" s="6">
        <v>3</v>
      </c>
      <c r="S666" s="6">
        <v>3</v>
      </c>
      <c r="T666" s="6">
        <v>2</v>
      </c>
      <c r="U666" s="6">
        <v>3</v>
      </c>
      <c r="V666" s="6" t="s">
        <v>1490</v>
      </c>
      <c r="W666" s="5">
        <v>41551</v>
      </c>
      <c r="X666" s="6">
        <v>1</v>
      </c>
      <c r="Y666" s="6">
        <v>2</v>
      </c>
      <c r="Z666" s="6">
        <v>1</v>
      </c>
      <c r="AA666" s="6" t="s">
        <v>178</v>
      </c>
      <c r="AB666" s="6">
        <v>1</v>
      </c>
      <c r="AC666" s="6" t="s">
        <v>201</v>
      </c>
    </row>
    <row r="667" spans="1:29" x14ac:dyDescent="0.25">
      <c r="A667" s="145" t="str">
        <f>HYPERLINK("http://www.ofsted.gov.uk/inspection-reports/find-inspection-report/provider/ELS/130438 ","Ofsted Webpage")</f>
        <v>Ofsted Webpage</v>
      </c>
      <c r="B667" s="151">
        <v>130438</v>
      </c>
      <c r="C667" s="151">
        <v>10001148</v>
      </c>
      <c r="D667" s="46" t="s">
        <v>1491</v>
      </c>
      <c r="E667" s="26" t="s">
        <v>87</v>
      </c>
      <c r="F667" s="26" t="s">
        <v>82</v>
      </c>
      <c r="G667" s="26" t="s">
        <v>1204</v>
      </c>
      <c r="H667" s="26" t="s">
        <v>175</v>
      </c>
      <c r="I667" s="26" t="s">
        <v>175</v>
      </c>
      <c r="J667" s="2">
        <v>42704</v>
      </c>
      <c r="K667" s="141">
        <v>1</v>
      </c>
      <c r="L667" s="141" t="s">
        <v>1492</v>
      </c>
      <c r="M667" s="26" t="s">
        <v>194</v>
      </c>
      <c r="N667" s="2">
        <v>41303</v>
      </c>
      <c r="O667" s="2">
        <v>41306</v>
      </c>
      <c r="P667" s="133">
        <v>41341</v>
      </c>
      <c r="Q667" s="6">
        <v>2</v>
      </c>
      <c r="R667" s="6">
        <v>3</v>
      </c>
      <c r="S667" s="6">
        <v>2</v>
      </c>
      <c r="T667" s="120" t="s">
        <v>178</v>
      </c>
      <c r="U667" s="6">
        <v>2</v>
      </c>
      <c r="V667" s="6" t="s">
        <v>1493</v>
      </c>
      <c r="W667" s="5">
        <v>39534</v>
      </c>
      <c r="X667" s="6">
        <v>2</v>
      </c>
      <c r="Y667" s="6">
        <v>2</v>
      </c>
      <c r="Z667" s="6">
        <v>2</v>
      </c>
      <c r="AA667" s="6" t="s">
        <v>178</v>
      </c>
      <c r="AB667" s="6">
        <v>2</v>
      </c>
      <c r="AC667" s="6" t="s">
        <v>180</v>
      </c>
    </row>
    <row r="668" spans="1:29" x14ac:dyDescent="0.25">
      <c r="A668" s="145" t="str">
        <f>HYPERLINK("http://www.ofsted.gov.uk/inspection-reports/find-inspection-report/provider/ELS/130440 ","Ofsted Webpage")</f>
        <v>Ofsted Webpage</v>
      </c>
      <c r="B668" s="151">
        <v>130440</v>
      </c>
      <c r="C668" s="151">
        <v>10009439</v>
      </c>
      <c r="D668" s="46" t="s">
        <v>1494</v>
      </c>
      <c r="E668" s="26" t="s">
        <v>81</v>
      </c>
      <c r="F668" s="26" t="s">
        <v>82</v>
      </c>
      <c r="G668" s="26" t="s">
        <v>250</v>
      </c>
      <c r="H668" s="26" t="s">
        <v>175</v>
      </c>
      <c r="I668" s="26" t="s">
        <v>175</v>
      </c>
      <c r="J668" s="2" t="s">
        <v>72</v>
      </c>
      <c r="K668" s="141" t="s">
        <v>72</v>
      </c>
      <c r="L668" s="141">
        <v>10022554</v>
      </c>
      <c r="M668" s="26" t="s">
        <v>622</v>
      </c>
      <c r="N668" s="2">
        <v>42766</v>
      </c>
      <c r="O668" s="2">
        <v>42769</v>
      </c>
      <c r="P668" s="133">
        <v>42800</v>
      </c>
      <c r="Q668" s="6">
        <v>2</v>
      </c>
      <c r="R668" s="6">
        <v>2</v>
      </c>
      <c r="S668" s="6">
        <v>2</v>
      </c>
      <c r="T668" s="6">
        <v>2</v>
      </c>
      <c r="U668" s="6">
        <v>2</v>
      </c>
      <c r="V668" s="6">
        <v>10004676</v>
      </c>
      <c r="W668" s="5">
        <v>42272</v>
      </c>
      <c r="X668" s="6">
        <v>4</v>
      </c>
      <c r="Y668" s="6">
        <v>4</v>
      </c>
      <c r="Z668" s="6">
        <v>4</v>
      </c>
      <c r="AA668" s="6">
        <v>4</v>
      </c>
      <c r="AB668" s="6">
        <v>4</v>
      </c>
      <c r="AC668" s="6" t="s">
        <v>216</v>
      </c>
    </row>
    <row r="669" spans="1:29" x14ac:dyDescent="0.25">
      <c r="A669" s="145" t="str">
        <f>HYPERLINK("http://www.ofsted.gov.uk/inspection-reports/find-inspection-report/provider/ELS/130443 ","Ofsted Webpage")</f>
        <v>Ofsted Webpage</v>
      </c>
      <c r="B669" s="151">
        <v>130443</v>
      </c>
      <c r="C669" s="151">
        <v>10006148</v>
      </c>
      <c r="D669" s="46" t="s">
        <v>1495</v>
      </c>
      <c r="E669" s="26" t="s">
        <v>83</v>
      </c>
      <c r="F669" s="26" t="s">
        <v>82</v>
      </c>
      <c r="G669" s="26" t="s">
        <v>250</v>
      </c>
      <c r="H669" s="26" t="s">
        <v>175</v>
      </c>
      <c r="I669" s="26" t="s">
        <v>175</v>
      </c>
      <c r="J669" s="2" t="s">
        <v>72</v>
      </c>
      <c r="K669" s="141" t="s">
        <v>72</v>
      </c>
      <c r="L669" s="141" t="s">
        <v>1496</v>
      </c>
      <c r="M669" s="26" t="s">
        <v>409</v>
      </c>
      <c r="N669" s="2">
        <v>39539</v>
      </c>
      <c r="O669" s="2">
        <v>39540</v>
      </c>
      <c r="P669" s="133">
        <v>39584</v>
      </c>
      <c r="Q669" s="6">
        <v>1</v>
      </c>
      <c r="R669" s="6">
        <v>1</v>
      </c>
      <c r="S669" s="6">
        <v>1</v>
      </c>
      <c r="T669" s="120" t="s">
        <v>178</v>
      </c>
      <c r="U669" s="6">
        <v>1</v>
      </c>
      <c r="V669" s="6" t="s">
        <v>72</v>
      </c>
      <c r="W669" s="5" t="s">
        <v>72</v>
      </c>
      <c r="X669" s="6" t="s">
        <v>72</v>
      </c>
      <c r="Y669" s="6" t="s">
        <v>72</v>
      </c>
      <c r="Z669" s="6" t="s">
        <v>72</v>
      </c>
      <c r="AA669" s="6" t="s">
        <v>72</v>
      </c>
      <c r="AB669" s="6" t="s">
        <v>72</v>
      </c>
      <c r="AC669" s="6" t="s">
        <v>208</v>
      </c>
    </row>
    <row r="670" spans="1:29" x14ac:dyDescent="0.25">
      <c r="A670" s="145" t="str">
        <f>HYPERLINK("http://www.ofsted.gov.uk/inspection-reports/find-inspection-report/provider/ELS/130444 ","Ofsted Webpage")</f>
        <v>Ofsted Webpage</v>
      </c>
      <c r="B670" s="151">
        <v>130444</v>
      </c>
      <c r="C670" s="151">
        <v>10002935</v>
      </c>
      <c r="D670" s="46" t="s">
        <v>366</v>
      </c>
      <c r="E670" s="26" t="s">
        <v>81</v>
      </c>
      <c r="F670" s="26" t="s">
        <v>82</v>
      </c>
      <c r="G670" s="26" t="s">
        <v>367</v>
      </c>
      <c r="H670" s="26" t="s">
        <v>175</v>
      </c>
      <c r="I670" s="26" t="s">
        <v>175</v>
      </c>
      <c r="J670" s="2">
        <v>42383</v>
      </c>
      <c r="K670" s="141">
        <v>1</v>
      </c>
      <c r="L670" s="141" t="s">
        <v>368</v>
      </c>
      <c r="M670" s="26" t="s">
        <v>369</v>
      </c>
      <c r="N670" s="2">
        <v>40581</v>
      </c>
      <c r="O670" s="2">
        <v>40585</v>
      </c>
      <c r="P670" s="133">
        <v>40620</v>
      </c>
      <c r="Q670" s="6">
        <v>2</v>
      </c>
      <c r="R670" s="6">
        <v>3</v>
      </c>
      <c r="S670" s="6">
        <v>2</v>
      </c>
      <c r="T670" s="120" t="s">
        <v>178</v>
      </c>
      <c r="U670" s="6">
        <v>2</v>
      </c>
      <c r="V670" s="6" t="s">
        <v>370</v>
      </c>
      <c r="W670" s="5">
        <v>39199</v>
      </c>
      <c r="X670" s="6">
        <v>2</v>
      </c>
      <c r="Y670" s="6">
        <v>2</v>
      </c>
      <c r="Z670" s="6">
        <v>2</v>
      </c>
      <c r="AA670" s="6" t="s">
        <v>178</v>
      </c>
      <c r="AB670" s="6">
        <v>2</v>
      </c>
      <c r="AC670" s="6" t="s">
        <v>180</v>
      </c>
    </row>
    <row r="671" spans="1:29" x14ac:dyDescent="0.25">
      <c r="A671" s="145" t="str">
        <f>HYPERLINK("http://www.ofsted.gov.uk/inspection-reports/find-inspection-report/provider/ELS/130445 ","Ofsted Webpage")</f>
        <v>Ofsted Webpage</v>
      </c>
      <c r="B671" s="151">
        <v>130445</v>
      </c>
      <c r="C671" s="151">
        <v>10002937</v>
      </c>
      <c r="D671" s="46" t="s">
        <v>371</v>
      </c>
      <c r="E671" s="26" t="s">
        <v>83</v>
      </c>
      <c r="F671" s="26" t="s">
        <v>82</v>
      </c>
      <c r="G671" s="26" t="s">
        <v>367</v>
      </c>
      <c r="H671" s="26" t="s">
        <v>175</v>
      </c>
      <c r="I671" s="26" t="s">
        <v>175</v>
      </c>
      <c r="J671" s="2" t="s">
        <v>72</v>
      </c>
      <c r="K671" s="141" t="s">
        <v>72</v>
      </c>
      <c r="L671" s="141">
        <v>10022546</v>
      </c>
      <c r="M671" s="26" t="s">
        <v>372</v>
      </c>
      <c r="N671" s="2">
        <v>42752</v>
      </c>
      <c r="O671" s="2">
        <v>42755</v>
      </c>
      <c r="P671" s="133">
        <v>42794</v>
      </c>
      <c r="Q671" s="6">
        <v>3</v>
      </c>
      <c r="R671" s="6">
        <v>3</v>
      </c>
      <c r="S671" s="6">
        <v>3</v>
      </c>
      <c r="T671" s="6">
        <v>2</v>
      </c>
      <c r="U671" s="6">
        <v>3</v>
      </c>
      <c r="V671" s="6" t="s">
        <v>373</v>
      </c>
      <c r="W671" s="5">
        <v>41733</v>
      </c>
      <c r="X671" s="6">
        <v>2</v>
      </c>
      <c r="Y671" s="6">
        <v>3</v>
      </c>
      <c r="Z671" s="6">
        <v>2</v>
      </c>
      <c r="AA671" s="6" t="s">
        <v>178</v>
      </c>
      <c r="AB671" s="6">
        <v>2</v>
      </c>
      <c r="AC671" s="6" t="s">
        <v>201</v>
      </c>
    </row>
    <row r="672" spans="1:29" x14ac:dyDescent="0.25">
      <c r="A672" s="145" t="str">
        <f>HYPERLINK("http://www.ofsted.gov.uk/inspection-reports/find-inspection-report/provider/ELS/130446 ","Ofsted Webpage")</f>
        <v>Ofsted Webpage</v>
      </c>
      <c r="B672" s="151">
        <v>130446</v>
      </c>
      <c r="C672" s="151">
        <v>10007193</v>
      </c>
      <c r="D672" s="46" t="s">
        <v>374</v>
      </c>
      <c r="E672" s="26" t="s">
        <v>81</v>
      </c>
      <c r="F672" s="26" t="s">
        <v>82</v>
      </c>
      <c r="G672" s="26" t="s">
        <v>375</v>
      </c>
      <c r="H672" s="26" t="s">
        <v>175</v>
      </c>
      <c r="I672" s="26" t="s">
        <v>175</v>
      </c>
      <c r="J672" s="2" t="s">
        <v>72</v>
      </c>
      <c r="K672" s="141" t="s">
        <v>72</v>
      </c>
      <c r="L672" s="141" t="s">
        <v>376</v>
      </c>
      <c r="M672" s="26" t="s">
        <v>377</v>
      </c>
      <c r="N672" s="2">
        <v>39580</v>
      </c>
      <c r="O672" s="2">
        <v>39584</v>
      </c>
      <c r="P672" s="133">
        <v>39633</v>
      </c>
      <c r="Q672" s="6">
        <v>1</v>
      </c>
      <c r="R672" s="6">
        <v>1</v>
      </c>
      <c r="S672" s="6">
        <v>2</v>
      </c>
      <c r="T672" s="120" t="s">
        <v>178</v>
      </c>
      <c r="U672" s="6">
        <v>1</v>
      </c>
      <c r="V672" s="6" t="s">
        <v>72</v>
      </c>
      <c r="W672" s="5" t="s">
        <v>72</v>
      </c>
      <c r="X672" s="6" t="s">
        <v>72</v>
      </c>
      <c r="Y672" s="6" t="s">
        <v>72</v>
      </c>
      <c r="Z672" s="6" t="s">
        <v>72</v>
      </c>
      <c r="AA672" s="6" t="s">
        <v>72</v>
      </c>
      <c r="AB672" s="6" t="s">
        <v>72</v>
      </c>
      <c r="AC672" s="6" t="s">
        <v>208</v>
      </c>
    </row>
    <row r="673" spans="1:29" x14ac:dyDescent="0.25">
      <c r="A673" s="145" t="str">
        <f>HYPERLINK("http://www.ofsted.gov.uk/inspection-reports/find-inspection-report/provider/ELS/130447 ","Ofsted Webpage")</f>
        <v>Ofsted Webpage</v>
      </c>
      <c r="B673" s="151">
        <v>130447</v>
      </c>
      <c r="C673" s="151">
        <v>10007434</v>
      </c>
      <c r="D673" s="46" t="s">
        <v>378</v>
      </c>
      <c r="E673" s="26" t="s">
        <v>81</v>
      </c>
      <c r="F673" s="26" t="s">
        <v>82</v>
      </c>
      <c r="G673" s="26" t="s">
        <v>379</v>
      </c>
      <c r="H673" s="26" t="s">
        <v>175</v>
      </c>
      <c r="I673" s="26" t="s">
        <v>175</v>
      </c>
      <c r="J673" s="2" t="s">
        <v>72</v>
      </c>
      <c r="K673" s="141" t="s">
        <v>72</v>
      </c>
      <c r="L673" s="141" t="s">
        <v>380</v>
      </c>
      <c r="M673" s="26" t="s">
        <v>194</v>
      </c>
      <c r="N673" s="2">
        <v>41708</v>
      </c>
      <c r="O673" s="2">
        <v>41712</v>
      </c>
      <c r="P673" s="133">
        <v>41747</v>
      </c>
      <c r="Q673" s="6">
        <v>2</v>
      </c>
      <c r="R673" s="6">
        <v>2</v>
      </c>
      <c r="S673" s="6">
        <v>2</v>
      </c>
      <c r="T673" s="120" t="s">
        <v>178</v>
      </c>
      <c r="U673" s="6">
        <v>1</v>
      </c>
      <c r="V673" s="6" t="s">
        <v>381</v>
      </c>
      <c r="W673" s="5">
        <v>40508</v>
      </c>
      <c r="X673" s="6">
        <v>3</v>
      </c>
      <c r="Y673" s="6">
        <v>3</v>
      </c>
      <c r="Z673" s="6">
        <v>3</v>
      </c>
      <c r="AA673" s="6" t="s">
        <v>178</v>
      </c>
      <c r="AB673" s="6">
        <v>3</v>
      </c>
      <c r="AC673" s="6" t="s">
        <v>216</v>
      </c>
    </row>
    <row r="674" spans="1:29" x14ac:dyDescent="0.25">
      <c r="A674" s="145" t="str">
        <f>HYPERLINK("http://www.ofsted.gov.uk/inspection-reports/find-inspection-report/provider/ELS/130448 ","Ofsted Webpage")</f>
        <v>Ofsted Webpage</v>
      </c>
      <c r="B674" s="151">
        <v>130448</v>
      </c>
      <c r="C674" s="151">
        <v>10003674</v>
      </c>
      <c r="D674" s="46" t="s">
        <v>382</v>
      </c>
      <c r="E674" s="26" t="s">
        <v>81</v>
      </c>
      <c r="F674" s="26" t="s">
        <v>82</v>
      </c>
      <c r="G674" s="26" t="s">
        <v>383</v>
      </c>
      <c r="H674" s="26" t="s">
        <v>175</v>
      </c>
      <c r="I674" s="26" t="s">
        <v>175</v>
      </c>
      <c r="J674" s="2" t="s">
        <v>72</v>
      </c>
      <c r="K674" s="141" t="s">
        <v>72</v>
      </c>
      <c r="L674" s="141">
        <v>10011418</v>
      </c>
      <c r="M674" s="26" t="s">
        <v>194</v>
      </c>
      <c r="N674" s="2">
        <v>42528</v>
      </c>
      <c r="O674" s="2">
        <v>42531</v>
      </c>
      <c r="P674" s="133">
        <v>42586</v>
      </c>
      <c r="Q674" s="6">
        <v>2</v>
      </c>
      <c r="R674" s="6">
        <v>2</v>
      </c>
      <c r="S674" s="6">
        <v>2</v>
      </c>
      <c r="T674" s="6">
        <v>2</v>
      </c>
      <c r="U674" s="6">
        <v>2</v>
      </c>
      <c r="V674" s="6" t="s">
        <v>384</v>
      </c>
      <c r="W674" s="5">
        <v>41320</v>
      </c>
      <c r="X674" s="6">
        <v>2</v>
      </c>
      <c r="Y674" s="6">
        <v>2</v>
      </c>
      <c r="Z674" s="6">
        <v>2</v>
      </c>
      <c r="AA674" s="6" t="s">
        <v>178</v>
      </c>
      <c r="AB674" s="6">
        <v>2</v>
      </c>
      <c r="AC674" s="6" t="s">
        <v>180</v>
      </c>
    </row>
    <row r="675" spans="1:29" x14ac:dyDescent="0.25">
      <c r="A675" s="145" t="str">
        <f>HYPERLINK("http://www.ofsted.gov.uk/inspection-reports/find-inspection-report/provider/ELS/130451 ","Ofsted Webpage")</f>
        <v>Ofsted Webpage</v>
      </c>
      <c r="B675" s="151">
        <v>130451</v>
      </c>
      <c r="C675" s="151">
        <v>10004607</v>
      </c>
      <c r="D675" s="46" t="s">
        <v>385</v>
      </c>
      <c r="E675" s="26" t="s">
        <v>81</v>
      </c>
      <c r="F675" s="26" t="s">
        <v>82</v>
      </c>
      <c r="G675" s="26" t="s">
        <v>291</v>
      </c>
      <c r="H675" s="26" t="s">
        <v>175</v>
      </c>
      <c r="I675" s="26" t="s">
        <v>175</v>
      </c>
      <c r="J675" s="2" t="s">
        <v>72</v>
      </c>
      <c r="K675" s="141" t="s">
        <v>72</v>
      </c>
      <c r="L675" s="141">
        <v>10011419</v>
      </c>
      <c r="M675" s="26" t="s">
        <v>194</v>
      </c>
      <c r="N675" s="2">
        <v>42486</v>
      </c>
      <c r="O675" s="2">
        <v>42489</v>
      </c>
      <c r="P675" s="133">
        <v>42513</v>
      </c>
      <c r="Q675" s="6">
        <v>2</v>
      </c>
      <c r="R675" s="6">
        <v>2</v>
      </c>
      <c r="S675" s="6">
        <v>2</v>
      </c>
      <c r="T675" s="6">
        <v>2</v>
      </c>
      <c r="U675" s="6">
        <v>2</v>
      </c>
      <c r="V675" s="6" t="s">
        <v>386</v>
      </c>
      <c r="W675" s="5">
        <v>41306</v>
      </c>
      <c r="X675" s="6">
        <v>2</v>
      </c>
      <c r="Y675" s="6">
        <v>2</v>
      </c>
      <c r="Z675" s="6">
        <v>2</v>
      </c>
      <c r="AA675" s="6" t="s">
        <v>178</v>
      </c>
      <c r="AB675" s="6">
        <v>2</v>
      </c>
      <c r="AC675" s="6" t="s">
        <v>180</v>
      </c>
    </row>
    <row r="676" spans="1:29" x14ac:dyDescent="0.25">
      <c r="A676" s="145" t="str">
        <f>HYPERLINK("http://www.ofsted.gov.uk/inspection-reports/find-inspection-report/provider/ELS/130452 ","Ofsted Webpage")</f>
        <v>Ofsted Webpage</v>
      </c>
      <c r="B676" s="151">
        <v>130452</v>
      </c>
      <c r="C676" s="151">
        <v>10004608</v>
      </c>
      <c r="D676" s="46" t="s">
        <v>1933</v>
      </c>
      <c r="E676" s="26" t="s">
        <v>83</v>
      </c>
      <c r="F676" s="26" t="s">
        <v>82</v>
      </c>
      <c r="G676" s="26" t="s">
        <v>291</v>
      </c>
      <c r="H676" s="26" t="s">
        <v>175</v>
      </c>
      <c r="I676" s="26" t="s">
        <v>175</v>
      </c>
      <c r="J676" s="2" t="s">
        <v>72</v>
      </c>
      <c r="K676" s="141" t="s">
        <v>72</v>
      </c>
      <c r="L676" s="141">
        <v>10004680</v>
      </c>
      <c r="M676" s="26" t="s">
        <v>228</v>
      </c>
      <c r="N676" s="2">
        <v>42297</v>
      </c>
      <c r="O676" s="2">
        <v>42300</v>
      </c>
      <c r="P676" s="133">
        <v>42332</v>
      </c>
      <c r="Q676" s="6">
        <v>2</v>
      </c>
      <c r="R676" s="6">
        <v>2</v>
      </c>
      <c r="S676" s="6">
        <v>2</v>
      </c>
      <c r="T676" s="6">
        <v>2</v>
      </c>
      <c r="U676" s="6">
        <v>2</v>
      </c>
      <c r="V676" s="6" t="s">
        <v>1934</v>
      </c>
      <c r="W676" s="5">
        <v>41901</v>
      </c>
      <c r="X676" s="6">
        <v>3</v>
      </c>
      <c r="Y676" s="6">
        <v>3</v>
      </c>
      <c r="Z676" s="6">
        <v>3</v>
      </c>
      <c r="AA676" s="6" t="s">
        <v>178</v>
      </c>
      <c r="AB676" s="6">
        <v>3</v>
      </c>
      <c r="AC676" s="6" t="s">
        <v>216</v>
      </c>
    </row>
    <row r="677" spans="1:29" x14ac:dyDescent="0.25">
      <c r="A677" s="145" t="str">
        <f>HYPERLINK("http://www.ofsted.gov.uk/inspection-reports/find-inspection-report/provider/ELS/130454 ","Ofsted Webpage")</f>
        <v>Ofsted Webpage</v>
      </c>
      <c r="B677" s="151">
        <v>130454</v>
      </c>
      <c r="C677" s="151">
        <v>10005469</v>
      </c>
      <c r="D677" s="46" t="s">
        <v>1935</v>
      </c>
      <c r="E677" s="26" t="s">
        <v>81</v>
      </c>
      <c r="F677" s="26" t="s">
        <v>82</v>
      </c>
      <c r="G677" s="26" t="s">
        <v>1281</v>
      </c>
      <c r="H677" s="26" t="s">
        <v>175</v>
      </c>
      <c r="I677" s="26" t="s">
        <v>175</v>
      </c>
      <c r="J677" s="2" t="s">
        <v>72</v>
      </c>
      <c r="K677" s="141" t="s">
        <v>72</v>
      </c>
      <c r="L677" s="141">
        <v>10037397</v>
      </c>
      <c r="M677" s="26" t="s">
        <v>215</v>
      </c>
      <c r="N677" s="2">
        <v>43018</v>
      </c>
      <c r="O677" s="2">
        <v>43021</v>
      </c>
      <c r="P677" s="133">
        <v>43056</v>
      </c>
      <c r="Q677" s="6">
        <v>2</v>
      </c>
      <c r="R677" s="6">
        <v>2</v>
      </c>
      <c r="S677" s="6">
        <v>2</v>
      </c>
      <c r="T677" s="6">
        <v>2</v>
      </c>
      <c r="U677" s="6">
        <v>2</v>
      </c>
      <c r="V677" s="6">
        <v>10004682</v>
      </c>
      <c r="W677" s="5">
        <v>42321</v>
      </c>
      <c r="X677" s="6">
        <v>3</v>
      </c>
      <c r="Y677" s="6">
        <v>3</v>
      </c>
      <c r="Z677" s="6">
        <v>3</v>
      </c>
      <c r="AA677" s="6">
        <v>3</v>
      </c>
      <c r="AB677" s="6">
        <v>3</v>
      </c>
      <c r="AC677" s="6" t="s">
        <v>216</v>
      </c>
    </row>
    <row r="678" spans="1:29" x14ac:dyDescent="0.25">
      <c r="A678" s="145" t="str">
        <f>HYPERLINK("http://www.ofsted.gov.uk/inspection-reports/find-inspection-report/provider/ELS/130456 ","Ofsted Webpage")</f>
        <v>Ofsted Webpage</v>
      </c>
      <c r="B678" s="151">
        <v>130456</v>
      </c>
      <c r="C678" s="151">
        <v>10007321</v>
      </c>
      <c r="D678" s="46" t="s">
        <v>1936</v>
      </c>
      <c r="E678" s="26" t="s">
        <v>81</v>
      </c>
      <c r="F678" s="26" t="s">
        <v>82</v>
      </c>
      <c r="G678" s="26" t="s">
        <v>794</v>
      </c>
      <c r="H678" s="26" t="s">
        <v>175</v>
      </c>
      <c r="I678" s="26" t="s">
        <v>175</v>
      </c>
      <c r="J678" s="2" t="s">
        <v>72</v>
      </c>
      <c r="K678" s="141" t="s">
        <v>72</v>
      </c>
      <c r="L678" s="141">
        <v>10004683</v>
      </c>
      <c r="M678" s="26" t="s">
        <v>1011</v>
      </c>
      <c r="N678" s="2">
        <v>42682</v>
      </c>
      <c r="O678" s="2">
        <v>42685</v>
      </c>
      <c r="P678" s="133">
        <v>42739</v>
      </c>
      <c r="Q678" s="6">
        <v>3</v>
      </c>
      <c r="R678" s="6">
        <v>3</v>
      </c>
      <c r="S678" s="6">
        <v>3</v>
      </c>
      <c r="T678" s="6">
        <v>2</v>
      </c>
      <c r="U678" s="6">
        <v>2</v>
      </c>
      <c r="V678" s="6" t="s">
        <v>1937</v>
      </c>
      <c r="W678" s="5">
        <v>41929</v>
      </c>
      <c r="X678" s="6">
        <v>3</v>
      </c>
      <c r="Y678" s="6">
        <v>3</v>
      </c>
      <c r="Z678" s="6">
        <v>3</v>
      </c>
      <c r="AA678" s="6" t="s">
        <v>178</v>
      </c>
      <c r="AB678" s="6">
        <v>3</v>
      </c>
      <c r="AC678" s="6" t="s">
        <v>180</v>
      </c>
    </row>
    <row r="679" spans="1:29" x14ac:dyDescent="0.25">
      <c r="A679" s="145" t="str">
        <f>HYPERLINK("http://www.ofsted.gov.uk/inspection-reports/find-inspection-report/provider/ELS/130457 ","Ofsted Webpage")</f>
        <v>Ofsted Webpage</v>
      </c>
      <c r="B679" s="151">
        <v>130457</v>
      </c>
      <c r="C679" s="151">
        <v>10003899</v>
      </c>
      <c r="D679" s="46" t="s">
        <v>1938</v>
      </c>
      <c r="E679" s="26" t="s">
        <v>83</v>
      </c>
      <c r="F679" s="26" t="s">
        <v>82</v>
      </c>
      <c r="G679" s="26" t="s">
        <v>794</v>
      </c>
      <c r="H679" s="26" t="s">
        <v>175</v>
      </c>
      <c r="I679" s="26" t="s">
        <v>175</v>
      </c>
      <c r="J679" s="2" t="s">
        <v>72</v>
      </c>
      <c r="K679" s="141" t="s">
        <v>72</v>
      </c>
      <c r="L679" s="141">
        <v>10004684</v>
      </c>
      <c r="M679" s="26" t="s">
        <v>372</v>
      </c>
      <c r="N679" s="2">
        <v>42423</v>
      </c>
      <c r="O679" s="2">
        <v>42426</v>
      </c>
      <c r="P679" s="133">
        <v>42452</v>
      </c>
      <c r="Q679" s="6">
        <v>2</v>
      </c>
      <c r="R679" s="6">
        <v>2</v>
      </c>
      <c r="S679" s="6">
        <v>2</v>
      </c>
      <c r="T679" s="6">
        <v>2</v>
      </c>
      <c r="U679" s="6">
        <v>2</v>
      </c>
      <c r="V679" s="6" t="s">
        <v>1939</v>
      </c>
      <c r="W679" s="5">
        <v>41291</v>
      </c>
      <c r="X679" s="6">
        <v>2</v>
      </c>
      <c r="Y679" s="6">
        <v>2</v>
      </c>
      <c r="Z679" s="6">
        <v>2</v>
      </c>
      <c r="AA679" s="6" t="s">
        <v>178</v>
      </c>
      <c r="AB679" s="6">
        <v>2</v>
      </c>
      <c r="AC679" s="6" t="s">
        <v>180</v>
      </c>
    </row>
    <row r="680" spans="1:29" x14ac:dyDescent="0.25">
      <c r="A680" s="145" t="str">
        <f>HYPERLINK("http://www.ofsted.gov.uk/inspection-reports/find-inspection-report/provider/ELS/130458 ","Ofsted Webpage")</f>
        <v>Ofsted Webpage</v>
      </c>
      <c r="B680" s="151">
        <v>130458</v>
      </c>
      <c r="C680" s="151">
        <v>10005859</v>
      </c>
      <c r="D680" s="46" t="s">
        <v>1940</v>
      </c>
      <c r="E680" s="26" t="s">
        <v>83</v>
      </c>
      <c r="F680" s="26" t="s">
        <v>82</v>
      </c>
      <c r="G680" s="26" t="s">
        <v>794</v>
      </c>
      <c r="H680" s="26" t="s">
        <v>175</v>
      </c>
      <c r="I680" s="26" t="s">
        <v>175</v>
      </c>
      <c r="J680" s="2" t="s">
        <v>72</v>
      </c>
      <c r="K680" s="141" t="s">
        <v>72</v>
      </c>
      <c r="L680" s="141">
        <v>10011408</v>
      </c>
      <c r="M680" s="26" t="s">
        <v>372</v>
      </c>
      <c r="N680" s="2">
        <v>42402</v>
      </c>
      <c r="O680" s="2">
        <v>42405</v>
      </c>
      <c r="P680" s="133">
        <v>42451</v>
      </c>
      <c r="Q680" s="6">
        <v>3</v>
      </c>
      <c r="R680" s="6">
        <v>3</v>
      </c>
      <c r="S680" s="6">
        <v>3</v>
      </c>
      <c r="T680" s="6">
        <v>3</v>
      </c>
      <c r="U680" s="6">
        <v>3</v>
      </c>
      <c r="V680" s="6" t="s">
        <v>1941</v>
      </c>
      <c r="W680" s="5">
        <v>41187</v>
      </c>
      <c r="X680" s="6">
        <v>2</v>
      </c>
      <c r="Y680" s="6">
        <v>2</v>
      </c>
      <c r="Z680" s="6">
        <v>2</v>
      </c>
      <c r="AA680" s="6" t="s">
        <v>178</v>
      </c>
      <c r="AB680" s="6">
        <v>2</v>
      </c>
      <c r="AC680" s="6" t="s">
        <v>201</v>
      </c>
    </row>
    <row r="681" spans="1:29" x14ac:dyDescent="0.25">
      <c r="A681" s="145" t="str">
        <f>HYPERLINK("http://www.ofsted.gov.uk/inspection-reports/find-inspection-report/provider/ELS/130461 ","Ofsted Webpage")</f>
        <v>Ofsted Webpage</v>
      </c>
      <c r="B681" s="151">
        <v>130461</v>
      </c>
      <c r="C681" s="151">
        <v>10005967</v>
      </c>
      <c r="D681" s="46" t="s">
        <v>1942</v>
      </c>
      <c r="E681" s="26" t="s">
        <v>81</v>
      </c>
      <c r="F681" s="26" t="s">
        <v>82</v>
      </c>
      <c r="G681" s="26" t="s">
        <v>223</v>
      </c>
      <c r="H681" s="26" t="s">
        <v>193</v>
      </c>
      <c r="I681" s="26" t="s">
        <v>193</v>
      </c>
      <c r="J681" s="2" t="s">
        <v>72</v>
      </c>
      <c r="K681" s="141" t="s">
        <v>72</v>
      </c>
      <c r="L681" s="141">
        <v>10005436</v>
      </c>
      <c r="M681" s="26" t="s">
        <v>194</v>
      </c>
      <c r="N681" s="2">
        <v>42325</v>
      </c>
      <c r="O681" s="2">
        <v>42328</v>
      </c>
      <c r="P681" s="133">
        <v>42352</v>
      </c>
      <c r="Q681" s="6">
        <v>2</v>
      </c>
      <c r="R681" s="6">
        <v>2</v>
      </c>
      <c r="S681" s="6">
        <v>2</v>
      </c>
      <c r="T681" s="6">
        <v>2</v>
      </c>
      <c r="U681" s="6">
        <v>2</v>
      </c>
      <c r="V681" s="6" t="s">
        <v>1943</v>
      </c>
      <c r="W681" s="5">
        <v>40221</v>
      </c>
      <c r="X681" s="6">
        <v>2</v>
      </c>
      <c r="Y681" s="6">
        <v>2</v>
      </c>
      <c r="Z681" s="6">
        <v>2</v>
      </c>
      <c r="AA681" s="6" t="s">
        <v>178</v>
      </c>
      <c r="AB681" s="6">
        <v>1</v>
      </c>
      <c r="AC681" s="6" t="s">
        <v>180</v>
      </c>
    </row>
    <row r="682" spans="1:29" x14ac:dyDescent="0.25">
      <c r="A682" s="145" t="str">
        <f>HYPERLINK("http://www.ofsted.gov.uk/inspection-reports/find-inspection-report/provider/ELS/130466 ","Ofsted Webpage")</f>
        <v>Ofsted Webpage</v>
      </c>
      <c r="B682" s="151">
        <v>130466</v>
      </c>
      <c r="C682" s="151">
        <v>10006442</v>
      </c>
      <c r="D682" s="46" t="s">
        <v>1821</v>
      </c>
      <c r="E682" s="26" t="s">
        <v>81</v>
      </c>
      <c r="F682" s="26" t="s">
        <v>82</v>
      </c>
      <c r="G682" s="26" t="s">
        <v>223</v>
      </c>
      <c r="H682" s="26" t="s">
        <v>193</v>
      </c>
      <c r="I682" s="26" t="s">
        <v>193</v>
      </c>
      <c r="J682" s="2" t="s">
        <v>72</v>
      </c>
      <c r="K682" s="141" t="s">
        <v>72</v>
      </c>
      <c r="L682" s="141">
        <v>10022579</v>
      </c>
      <c r="M682" s="26" t="s">
        <v>215</v>
      </c>
      <c r="N682" s="2">
        <v>42780</v>
      </c>
      <c r="O682" s="2">
        <v>42783</v>
      </c>
      <c r="P682" s="133">
        <v>42810</v>
      </c>
      <c r="Q682" s="6">
        <v>3</v>
      </c>
      <c r="R682" s="6">
        <v>3</v>
      </c>
      <c r="S682" s="6">
        <v>3</v>
      </c>
      <c r="T682" s="6">
        <v>3</v>
      </c>
      <c r="U682" s="6">
        <v>3</v>
      </c>
      <c r="V682" s="6" t="s">
        <v>1822</v>
      </c>
      <c r="W682" s="5">
        <v>42146</v>
      </c>
      <c r="X682" s="6">
        <v>3</v>
      </c>
      <c r="Y682" s="6">
        <v>3</v>
      </c>
      <c r="Z682" s="6">
        <v>3</v>
      </c>
      <c r="AA682" s="6" t="s">
        <v>178</v>
      </c>
      <c r="AB682" s="6">
        <v>3</v>
      </c>
      <c r="AC682" s="6" t="s">
        <v>180</v>
      </c>
    </row>
    <row r="683" spans="1:29" x14ac:dyDescent="0.25">
      <c r="A683" s="145" t="str">
        <f>HYPERLINK("http://www.ofsted.gov.uk/inspection-reports/find-inspection-report/provider/ELS/130467 ","Ofsted Webpage")</f>
        <v>Ofsted Webpage</v>
      </c>
      <c r="B683" s="151">
        <v>130467</v>
      </c>
      <c r="C683" s="151">
        <v>10008641</v>
      </c>
      <c r="D683" s="46" t="s">
        <v>1568</v>
      </c>
      <c r="E683" s="26" t="s">
        <v>84</v>
      </c>
      <c r="F683" s="26" t="s">
        <v>76</v>
      </c>
      <c r="G683" s="26" t="s">
        <v>223</v>
      </c>
      <c r="H683" s="26" t="s">
        <v>193</v>
      </c>
      <c r="I683" s="26" t="s">
        <v>193</v>
      </c>
      <c r="J683" s="2">
        <v>43019</v>
      </c>
      <c r="K683" s="141">
        <v>1</v>
      </c>
      <c r="L683" s="141" t="s">
        <v>1569</v>
      </c>
      <c r="M683" s="26" t="s">
        <v>549</v>
      </c>
      <c r="N683" s="2">
        <v>41757</v>
      </c>
      <c r="O683" s="2">
        <v>41760</v>
      </c>
      <c r="P683" s="133">
        <v>41796</v>
      </c>
      <c r="Q683" s="6">
        <v>2</v>
      </c>
      <c r="R683" s="6">
        <v>2</v>
      </c>
      <c r="S683" s="6">
        <v>2</v>
      </c>
      <c r="T683" s="120" t="s">
        <v>178</v>
      </c>
      <c r="U683" s="6">
        <v>2</v>
      </c>
      <c r="V683" s="6" t="s">
        <v>1570</v>
      </c>
      <c r="W683" s="5">
        <v>39408</v>
      </c>
      <c r="X683" s="6">
        <v>1</v>
      </c>
      <c r="Y683" s="6">
        <v>1</v>
      </c>
      <c r="Z683" s="6">
        <v>1</v>
      </c>
      <c r="AA683" s="6" t="s">
        <v>178</v>
      </c>
      <c r="AB683" s="6">
        <v>1</v>
      </c>
      <c r="AC683" s="6" t="s">
        <v>201</v>
      </c>
    </row>
    <row r="684" spans="1:29" x14ac:dyDescent="0.25">
      <c r="A684" s="145" t="str">
        <f>HYPERLINK("http://www.ofsted.gov.uk/inspection-reports/find-inspection-report/provider/ELS/130468 ","Ofsted Webpage")</f>
        <v>Ofsted Webpage</v>
      </c>
      <c r="B684" s="151">
        <v>130468</v>
      </c>
      <c r="C684" s="151">
        <v>10003511</v>
      </c>
      <c r="D684" s="46" t="s">
        <v>1823</v>
      </c>
      <c r="E684" s="26" t="s">
        <v>83</v>
      </c>
      <c r="F684" s="26" t="s">
        <v>82</v>
      </c>
      <c r="G684" s="26" t="s">
        <v>223</v>
      </c>
      <c r="H684" s="26" t="s">
        <v>193</v>
      </c>
      <c r="I684" s="26" t="s">
        <v>193</v>
      </c>
      <c r="J684" s="2" t="s">
        <v>72</v>
      </c>
      <c r="K684" s="141" t="s">
        <v>72</v>
      </c>
      <c r="L684" s="141">
        <v>10037331</v>
      </c>
      <c r="M684" s="26" t="s">
        <v>372</v>
      </c>
      <c r="N684" s="2">
        <v>43046</v>
      </c>
      <c r="O684" s="2">
        <v>43049</v>
      </c>
      <c r="P684" s="133">
        <v>43090</v>
      </c>
      <c r="Q684" s="6">
        <v>1</v>
      </c>
      <c r="R684" s="6">
        <v>1</v>
      </c>
      <c r="S684" s="6">
        <v>1</v>
      </c>
      <c r="T684" s="6">
        <v>1</v>
      </c>
      <c r="U684" s="6">
        <v>1</v>
      </c>
      <c r="V684" s="6" t="s">
        <v>1824</v>
      </c>
      <c r="W684" s="5">
        <v>41901</v>
      </c>
      <c r="X684" s="6">
        <v>2</v>
      </c>
      <c r="Y684" s="6">
        <v>2</v>
      </c>
      <c r="Z684" s="6">
        <v>2</v>
      </c>
      <c r="AA684" s="6" t="s">
        <v>178</v>
      </c>
      <c r="AB684" s="6">
        <v>1</v>
      </c>
      <c r="AC684" s="6" t="s">
        <v>216</v>
      </c>
    </row>
    <row r="685" spans="1:29" x14ac:dyDescent="0.25">
      <c r="A685" s="145" t="str">
        <f>HYPERLINK("http://www.ofsted.gov.uk/inspection-reports/find-inspection-report/provider/ELS/130469 ","Ofsted Webpage")</f>
        <v>Ofsted Webpage</v>
      </c>
      <c r="B685" s="151">
        <v>130469</v>
      </c>
      <c r="C685" s="151">
        <v>10001082</v>
      </c>
      <c r="D685" s="46" t="s">
        <v>1825</v>
      </c>
      <c r="E685" s="26" t="s">
        <v>83</v>
      </c>
      <c r="F685" s="26" t="s">
        <v>82</v>
      </c>
      <c r="G685" s="26" t="s">
        <v>223</v>
      </c>
      <c r="H685" s="26" t="s">
        <v>193</v>
      </c>
      <c r="I685" s="26" t="s">
        <v>193</v>
      </c>
      <c r="J685" s="2" t="s">
        <v>72</v>
      </c>
      <c r="K685" s="141" t="s">
        <v>72</v>
      </c>
      <c r="L685" s="141">
        <v>10020121</v>
      </c>
      <c r="M685" s="26" t="s">
        <v>372</v>
      </c>
      <c r="N685" s="2">
        <v>42647</v>
      </c>
      <c r="O685" s="2">
        <v>42649</v>
      </c>
      <c r="P685" s="133">
        <v>42683</v>
      </c>
      <c r="Q685" s="6">
        <v>3</v>
      </c>
      <c r="R685" s="6">
        <v>3</v>
      </c>
      <c r="S685" s="6">
        <v>3</v>
      </c>
      <c r="T685" s="6">
        <v>3</v>
      </c>
      <c r="U685" s="6">
        <v>3</v>
      </c>
      <c r="V685" s="6" t="s">
        <v>1826</v>
      </c>
      <c r="W685" s="5">
        <v>41705</v>
      </c>
      <c r="X685" s="6">
        <v>2</v>
      </c>
      <c r="Y685" s="6">
        <v>3</v>
      </c>
      <c r="Z685" s="6">
        <v>2</v>
      </c>
      <c r="AA685" s="6" t="s">
        <v>178</v>
      </c>
      <c r="AB685" s="6">
        <v>2</v>
      </c>
      <c r="AC685" s="6" t="s">
        <v>201</v>
      </c>
    </row>
    <row r="686" spans="1:29" x14ac:dyDescent="0.25">
      <c r="A686" s="145" t="str">
        <f>HYPERLINK("http://www.ofsted.gov.uk/inspection-reports/find-inspection-report/provider/ELS/130472 ","Ofsted Webpage")</f>
        <v>Ofsted Webpage</v>
      </c>
      <c r="B686" s="151">
        <v>130472</v>
      </c>
      <c r="C686" s="151">
        <v>10003010</v>
      </c>
      <c r="D686" s="46" t="s">
        <v>1827</v>
      </c>
      <c r="E686" s="26" t="s">
        <v>81</v>
      </c>
      <c r="F686" s="26" t="s">
        <v>82</v>
      </c>
      <c r="G686" s="26" t="s">
        <v>276</v>
      </c>
      <c r="H686" s="26" t="s">
        <v>193</v>
      </c>
      <c r="I686" s="26" t="s">
        <v>193</v>
      </c>
      <c r="J686" s="2" t="s">
        <v>72</v>
      </c>
      <c r="K686" s="141" t="s">
        <v>72</v>
      </c>
      <c r="L686" s="141">
        <v>10020156</v>
      </c>
      <c r="M686" s="26" t="s">
        <v>194</v>
      </c>
      <c r="N686" s="2">
        <v>42682</v>
      </c>
      <c r="O686" s="2">
        <v>42685</v>
      </c>
      <c r="P686" s="133">
        <v>42723</v>
      </c>
      <c r="Q686" s="6">
        <v>3</v>
      </c>
      <c r="R686" s="6">
        <v>3</v>
      </c>
      <c r="S686" s="6">
        <v>3</v>
      </c>
      <c r="T686" s="6">
        <v>3</v>
      </c>
      <c r="U686" s="6">
        <v>3</v>
      </c>
      <c r="V686" s="6" t="s">
        <v>1828</v>
      </c>
      <c r="W686" s="5">
        <v>41663</v>
      </c>
      <c r="X686" s="6">
        <v>2</v>
      </c>
      <c r="Y686" s="6">
        <v>2</v>
      </c>
      <c r="Z686" s="6">
        <v>2</v>
      </c>
      <c r="AA686" s="6" t="s">
        <v>178</v>
      </c>
      <c r="AB686" s="6">
        <v>2</v>
      </c>
      <c r="AC686" s="6" t="s">
        <v>201</v>
      </c>
    </row>
    <row r="687" spans="1:29" x14ac:dyDescent="0.25">
      <c r="A687" s="145" t="str">
        <f>HYPERLINK("http://www.ofsted.gov.uk/inspection-reports/find-inspection-report/provider/ELS/130474 ","Ofsted Webpage")</f>
        <v>Ofsted Webpage</v>
      </c>
      <c r="B687" s="151">
        <v>130474</v>
      </c>
      <c r="C687" s="151">
        <v>10003029</v>
      </c>
      <c r="D687" s="46" t="s">
        <v>1829</v>
      </c>
      <c r="E687" s="26" t="s">
        <v>81</v>
      </c>
      <c r="F687" s="26" t="s">
        <v>82</v>
      </c>
      <c r="G687" s="26" t="s">
        <v>276</v>
      </c>
      <c r="H687" s="26" t="s">
        <v>193</v>
      </c>
      <c r="I687" s="26" t="s">
        <v>193</v>
      </c>
      <c r="J687" s="2" t="s">
        <v>72</v>
      </c>
      <c r="K687" s="141" t="s">
        <v>72</v>
      </c>
      <c r="L687" s="141">
        <v>10037387</v>
      </c>
      <c r="M687" s="26" t="s">
        <v>622</v>
      </c>
      <c r="N687" s="2">
        <v>43060</v>
      </c>
      <c r="O687" s="2">
        <v>43063</v>
      </c>
      <c r="P687" s="133">
        <v>43089</v>
      </c>
      <c r="Q687" s="6">
        <v>2</v>
      </c>
      <c r="R687" s="6">
        <v>2</v>
      </c>
      <c r="S687" s="6">
        <v>2</v>
      </c>
      <c r="T687" s="6">
        <v>2</v>
      </c>
      <c r="U687" s="6">
        <v>2</v>
      </c>
      <c r="V687" s="6">
        <v>10021962</v>
      </c>
      <c r="W687" s="5">
        <v>42650</v>
      </c>
      <c r="X687" s="6">
        <v>4</v>
      </c>
      <c r="Y687" s="6">
        <v>3</v>
      </c>
      <c r="Z687" s="6">
        <v>3</v>
      </c>
      <c r="AA687" s="6">
        <v>4</v>
      </c>
      <c r="AB687" s="6">
        <v>4</v>
      </c>
      <c r="AC687" s="6" t="s">
        <v>216</v>
      </c>
    </row>
    <row r="688" spans="1:29" x14ac:dyDescent="0.25">
      <c r="A688" s="145" t="str">
        <f>HYPERLINK("http://www.ofsted.gov.uk/inspection-reports/find-inspection-report/provider/ELS/130475 ","Ofsted Webpage")</f>
        <v>Ofsted Webpage</v>
      </c>
      <c r="B688" s="151">
        <v>130475</v>
      </c>
      <c r="C688" s="151">
        <v>10007924</v>
      </c>
      <c r="D688" s="46" t="s">
        <v>1830</v>
      </c>
      <c r="E688" s="26" t="s">
        <v>81</v>
      </c>
      <c r="F688" s="26" t="s">
        <v>82</v>
      </c>
      <c r="G688" s="26" t="s">
        <v>192</v>
      </c>
      <c r="H688" s="26" t="s">
        <v>193</v>
      </c>
      <c r="I688" s="26" t="s">
        <v>193</v>
      </c>
      <c r="J688" s="2" t="s">
        <v>72</v>
      </c>
      <c r="K688" s="141" t="s">
        <v>72</v>
      </c>
      <c r="L688" s="141">
        <v>10022583</v>
      </c>
      <c r="M688" s="26" t="s">
        <v>194</v>
      </c>
      <c r="N688" s="2">
        <v>42760</v>
      </c>
      <c r="O688" s="2">
        <v>42874</v>
      </c>
      <c r="P688" s="133">
        <v>42901</v>
      </c>
      <c r="Q688" s="6">
        <v>1</v>
      </c>
      <c r="R688" s="6">
        <v>1</v>
      </c>
      <c r="S688" s="6">
        <v>1</v>
      </c>
      <c r="T688" s="6">
        <v>1</v>
      </c>
      <c r="U688" s="6">
        <v>1</v>
      </c>
      <c r="V688" s="6" t="s">
        <v>1831</v>
      </c>
      <c r="W688" s="5">
        <v>41334</v>
      </c>
      <c r="X688" s="6">
        <v>2</v>
      </c>
      <c r="Y688" s="6">
        <v>2</v>
      </c>
      <c r="Z688" s="6">
        <v>2</v>
      </c>
      <c r="AA688" s="6" t="s">
        <v>178</v>
      </c>
      <c r="AB688" s="6">
        <v>2</v>
      </c>
      <c r="AC688" s="6" t="s">
        <v>216</v>
      </c>
    </row>
    <row r="689" spans="1:29" x14ac:dyDescent="0.25">
      <c r="A689" s="145" t="str">
        <f>HYPERLINK("http://www.ofsted.gov.uk/inspection-reports/find-inspection-report/provider/ELS/130476 ","Ofsted Webpage")</f>
        <v>Ofsted Webpage</v>
      </c>
      <c r="B689" s="151">
        <v>130476</v>
      </c>
      <c r="C689" s="151">
        <v>10002852</v>
      </c>
      <c r="D689" s="46" t="s">
        <v>191</v>
      </c>
      <c r="E689" s="26" t="s">
        <v>81</v>
      </c>
      <c r="F689" s="26" t="s">
        <v>82</v>
      </c>
      <c r="G689" s="26" t="s">
        <v>192</v>
      </c>
      <c r="H689" s="26" t="s">
        <v>193</v>
      </c>
      <c r="I689" s="26" t="s">
        <v>193</v>
      </c>
      <c r="J689" s="2" t="s">
        <v>72</v>
      </c>
      <c r="K689" s="141" t="s">
        <v>72</v>
      </c>
      <c r="L689" s="141">
        <v>10022584</v>
      </c>
      <c r="M689" s="26" t="s">
        <v>194</v>
      </c>
      <c r="N689" s="2">
        <v>42996</v>
      </c>
      <c r="O689" s="2">
        <v>42999</v>
      </c>
      <c r="P689" s="133">
        <v>43034</v>
      </c>
      <c r="Q689" s="6">
        <v>2</v>
      </c>
      <c r="R689" s="6">
        <v>2</v>
      </c>
      <c r="S689" s="6">
        <v>2</v>
      </c>
      <c r="T689" s="6">
        <v>2</v>
      </c>
      <c r="U689" s="6">
        <v>2</v>
      </c>
      <c r="V689" s="6" t="s">
        <v>195</v>
      </c>
      <c r="W689" s="5">
        <v>41432</v>
      </c>
      <c r="X689" s="6">
        <v>2</v>
      </c>
      <c r="Y689" s="6">
        <v>2</v>
      </c>
      <c r="Z689" s="6">
        <v>2</v>
      </c>
      <c r="AA689" s="6" t="s">
        <v>178</v>
      </c>
      <c r="AB689" s="6">
        <v>2</v>
      </c>
      <c r="AC689" s="6" t="s">
        <v>180</v>
      </c>
    </row>
    <row r="690" spans="1:29" x14ac:dyDescent="0.25">
      <c r="A690" s="145" t="str">
        <f>HYPERLINK("http://www.ofsted.gov.uk/inspection-reports/find-inspection-report/provider/ELS/130478 ","Ofsted Webpage")</f>
        <v>Ofsted Webpage</v>
      </c>
      <c r="B690" s="151">
        <v>130478</v>
      </c>
      <c r="C690" s="151">
        <v>10003625</v>
      </c>
      <c r="D690" s="46" t="s">
        <v>2035</v>
      </c>
      <c r="E690" s="26" t="s">
        <v>83</v>
      </c>
      <c r="F690" s="26" t="s">
        <v>82</v>
      </c>
      <c r="G690" s="26" t="s">
        <v>192</v>
      </c>
      <c r="H690" s="26" t="s">
        <v>193</v>
      </c>
      <c r="I690" s="26" t="s">
        <v>193</v>
      </c>
      <c r="J690" s="2" t="s">
        <v>72</v>
      </c>
      <c r="K690" s="141" t="s">
        <v>72</v>
      </c>
      <c r="L690" s="141">
        <v>10037333</v>
      </c>
      <c r="M690" s="26" t="s">
        <v>372</v>
      </c>
      <c r="N690" s="2">
        <v>43011</v>
      </c>
      <c r="O690" s="2">
        <v>43014</v>
      </c>
      <c r="P690" s="133">
        <v>43046</v>
      </c>
      <c r="Q690" s="6">
        <v>2</v>
      </c>
      <c r="R690" s="6">
        <v>2</v>
      </c>
      <c r="S690" s="6">
        <v>2</v>
      </c>
      <c r="T690" s="6">
        <v>2</v>
      </c>
      <c r="U690" s="6">
        <v>2</v>
      </c>
      <c r="V690" s="6" t="s">
        <v>2036</v>
      </c>
      <c r="W690" s="5">
        <v>39484</v>
      </c>
      <c r="X690" s="6">
        <v>1</v>
      </c>
      <c r="Y690" s="6">
        <v>1</v>
      </c>
      <c r="Z690" s="6">
        <v>1</v>
      </c>
      <c r="AA690" s="6" t="s">
        <v>178</v>
      </c>
      <c r="AB690" s="6">
        <v>1</v>
      </c>
      <c r="AC690" s="6" t="s">
        <v>201</v>
      </c>
    </row>
    <row r="691" spans="1:29" x14ac:dyDescent="0.25">
      <c r="A691" s="145" t="str">
        <f>HYPERLINK("http://www.ofsted.gov.uk/inspection-reports/find-inspection-report/provider/ELS/130479 ","Ofsted Webpage")</f>
        <v>Ofsted Webpage</v>
      </c>
      <c r="B691" s="151">
        <v>130479</v>
      </c>
      <c r="C691" s="151">
        <v>10005669</v>
      </c>
      <c r="D691" s="46" t="s">
        <v>2037</v>
      </c>
      <c r="E691" s="26" t="s">
        <v>81</v>
      </c>
      <c r="F691" s="26" t="s">
        <v>82</v>
      </c>
      <c r="G691" s="26" t="s">
        <v>967</v>
      </c>
      <c r="H691" s="26" t="s">
        <v>193</v>
      </c>
      <c r="I691" s="26" t="s">
        <v>193</v>
      </c>
      <c r="J691" s="2">
        <v>43055</v>
      </c>
      <c r="K691" s="141">
        <v>1</v>
      </c>
      <c r="L691" s="141" t="s">
        <v>2038</v>
      </c>
      <c r="M691" s="26" t="s">
        <v>194</v>
      </c>
      <c r="N691" s="2">
        <v>41771</v>
      </c>
      <c r="O691" s="2">
        <v>41775</v>
      </c>
      <c r="P691" s="133">
        <v>41809</v>
      </c>
      <c r="Q691" s="6">
        <v>2</v>
      </c>
      <c r="R691" s="6">
        <v>2</v>
      </c>
      <c r="S691" s="6">
        <v>2</v>
      </c>
      <c r="T691" s="120" t="s">
        <v>178</v>
      </c>
      <c r="U691" s="6">
        <v>2</v>
      </c>
      <c r="V691" s="6" t="s">
        <v>2039</v>
      </c>
      <c r="W691" s="5">
        <v>40634</v>
      </c>
      <c r="X691" s="6">
        <v>3</v>
      </c>
      <c r="Y691" s="6">
        <v>3</v>
      </c>
      <c r="Z691" s="6">
        <v>3</v>
      </c>
      <c r="AA691" s="6" t="s">
        <v>178</v>
      </c>
      <c r="AB691" s="6">
        <v>3</v>
      </c>
      <c r="AC691" s="6" t="s">
        <v>216</v>
      </c>
    </row>
    <row r="692" spans="1:29" x14ac:dyDescent="0.25">
      <c r="A692" s="145" t="str">
        <f>HYPERLINK("http://www.ofsted.gov.uk/inspection-reports/find-inspection-report/provider/ELS/130481 ","Ofsted Webpage")</f>
        <v>Ofsted Webpage</v>
      </c>
      <c r="B692" s="151">
        <v>130481</v>
      </c>
      <c r="C692" s="151">
        <v>10005946</v>
      </c>
      <c r="D692" s="46" t="s">
        <v>2040</v>
      </c>
      <c r="E692" s="26" t="s">
        <v>81</v>
      </c>
      <c r="F692" s="26" t="s">
        <v>82</v>
      </c>
      <c r="G692" s="26" t="s">
        <v>1030</v>
      </c>
      <c r="H692" s="26" t="s">
        <v>193</v>
      </c>
      <c r="I692" s="26" t="s">
        <v>193</v>
      </c>
      <c r="J692" s="2" t="s">
        <v>72</v>
      </c>
      <c r="K692" s="141" t="s">
        <v>72</v>
      </c>
      <c r="L692" s="141">
        <v>10020085</v>
      </c>
      <c r="M692" s="26" t="s">
        <v>215</v>
      </c>
      <c r="N692" s="2">
        <v>42682</v>
      </c>
      <c r="O692" s="2">
        <v>42685</v>
      </c>
      <c r="P692" s="133">
        <v>42723</v>
      </c>
      <c r="Q692" s="6">
        <v>2</v>
      </c>
      <c r="R692" s="6">
        <v>2</v>
      </c>
      <c r="S692" s="6">
        <v>2</v>
      </c>
      <c r="T692" s="6">
        <v>2</v>
      </c>
      <c r="U692" s="6">
        <v>2</v>
      </c>
      <c r="V692" s="6" t="s">
        <v>2041</v>
      </c>
      <c r="W692" s="5">
        <v>42076</v>
      </c>
      <c r="X692" s="6">
        <v>3</v>
      </c>
      <c r="Y692" s="6">
        <v>3</v>
      </c>
      <c r="Z692" s="6">
        <v>3</v>
      </c>
      <c r="AA692" s="6" t="s">
        <v>178</v>
      </c>
      <c r="AB692" s="6">
        <v>3</v>
      </c>
      <c r="AC692" s="6" t="s">
        <v>216</v>
      </c>
    </row>
    <row r="693" spans="1:29" x14ac:dyDescent="0.25">
      <c r="A693" s="145" t="str">
        <f>HYPERLINK("http://www.ofsted.gov.uk/inspection-reports/find-inspection-report/provider/ELS/130483 ","Ofsted Webpage")</f>
        <v>Ofsted Webpage</v>
      </c>
      <c r="B693" s="151">
        <v>130483</v>
      </c>
      <c r="C693" s="151">
        <v>10007315</v>
      </c>
      <c r="D693" s="46" t="s">
        <v>2042</v>
      </c>
      <c r="E693" s="26" t="s">
        <v>81</v>
      </c>
      <c r="F693" s="26" t="s">
        <v>82</v>
      </c>
      <c r="G693" s="26" t="s">
        <v>1181</v>
      </c>
      <c r="H693" s="26" t="s">
        <v>193</v>
      </c>
      <c r="I693" s="26" t="s">
        <v>193</v>
      </c>
      <c r="J693" s="2" t="s">
        <v>72</v>
      </c>
      <c r="K693" s="141" t="s">
        <v>72</v>
      </c>
      <c r="L693" s="141" t="s">
        <v>2043</v>
      </c>
      <c r="M693" s="26" t="s">
        <v>194</v>
      </c>
      <c r="N693" s="2">
        <v>41316</v>
      </c>
      <c r="O693" s="2">
        <v>41320</v>
      </c>
      <c r="P693" s="133">
        <v>41355</v>
      </c>
      <c r="Q693" s="6">
        <v>1</v>
      </c>
      <c r="R693" s="6">
        <v>1</v>
      </c>
      <c r="S693" s="6">
        <v>1</v>
      </c>
      <c r="T693" s="120" t="s">
        <v>178</v>
      </c>
      <c r="U693" s="6">
        <v>1</v>
      </c>
      <c r="V693" s="6" t="s">
        <v>2044</v>
      </c>
      <c r="W693" s="5">
        <v>39556</v>
      </c>
      <c r="X693" s="6">
        <v>2</v>
      </c>
      <c r="Y693" s="6">
        <v>2</v>
      </c>
      <c r="Z693" s="6">
        <v>2</v>
      </c>
      <c r="AA693" s="6" t="s">
        <v>178</v>
      </c>
      <c r="AB693" s="6">
        <v>2</v>
      </c>
      <c r="AC693" s="6" t="s">
        <v>216</v>
      </c>
    </row>
    <row r="694" spans="1:29" x14ac:dyDescent="0.25">
      <c r="A694" s="145" t="str">
        <f>HYPERLINK("http://www.ofsted.gov.uk/inspection-reports/find-inspection-report/provider/ELS/130484 ","Ofsted Webpage")</f>
        <v>Ofsted Webpage</v>
      </c>
      <c r="B694" s="151">
        <v>130484</v>
      </c>
      <c r="C694" s="151">
        <v>10007578</v>
      </c>
      <c r="D694" s="46" t="s">
        <v>2045</v>
      </c>
      <c r="E694" s="26" t="s">
        <v>81</v>
      </c>
      <c r="F694" s="26" t="s">
        <v>82</v>
      </c>
      <c r="G694" s="26" t="s">
        <v>565</v>
      </c>
      <c r="H694" s="26" t="s">
        <v>193</v>
      </c>
      <c r="I694" s="26" t="s">
        <v>193</v>
      </c>
      <c r="J694" s="2" t="s">
        <v>72</v>
      </c>
      <c r="K694" s="141" t="s">
        <v>72</v>
      </c>
      <c r="L694" s="141">
        <v>10037362</v>
      </c>
      <c r="M694" s="26" t="s">
        <v>194</v>
      </c>
      <c r="N694" s="2">
        <v>43053</v>
      </c>
      <c r="O694" s="2">
        <v>43056</v>
      </c>
      <c r="P694" s="133">
        <v>43090</v>
      </c>
      <c r="Q694" s="6">
        <v>2</v>
      </c>
      <c r="R694" s="6">
        <v>2</v>
      </c>
      <c r="S694" s="6">
        <v>2</v>
      </c>
      <c r="T694" s="6">
        <v>2</v>
      </c>
      <c r="U694" s="6">
        <v>2</v>
      </c>
      <c r="V694" s="6" t="s">
        <v>2046</v>
      </c>
      <c r="W694" s="5">
        <v>41936</v>
      </c>
      <c r="X694" s="6">
        <v>2</v>
      </c>
      <c r="Y694" s="6">
        <v>3</v>
      </c>
      <c r="Z694" s="6">
        <v>2</v>
      </c>
      <c r="AA694" s="6" t="s">
        <v>178</v>
      </c>
      <c r="AB694" s="6">
        <v>2</v>
      </c>
      <c r="AC694" s="6" t="s">
        <v>180</v>
      </c>
    </row>
    <row r="695" spans="1:29" x14ac:dyDescent="0.25">
      <c r="A695" s="145" t="str">
        <f>HYPERLINK("http://www.ofsted.gov.uk/inspection-reports/find-inspection-report/provider/ELS/130486 ","Ofsted Webpage")</f>
        <v>Ofsted Webpage</v>
      </c>
      <c r="B695" s="151">
        <v>130486</v>
      </c>
      <c r="C695" s="151">
        <v>10003708</v>
      </c>
      <c r="D695" s="46" t="s">
        <v>1599</v>
      </c>
      <c r="E695" s="26" t="s">
        <v>81</v>
      </c>
      <c r="F695" s="26" t="s">
        <v>82</v>
      </c>
      <c r="G695" s="26" t="s">
        <v>824</v>
      </c>
      <c r="H695" s="26" t="s">
        <v>238</v>
      </c>
      <c r="I695" s="26" t="s">
        <v>238</v>
      </c>
      <c r="J695" s="2" t="s">
        <v>72</v>
      </c>
      <c r="K695" s="141" t="s">
        <v>72</v>
      </c>
      <c r="L695" s="141">
        <v>10004688</v>
      </c>
      <c r="M695" s="26" t="s">
        <v>194</v>
      </c>
      <c r="N695" s="2">
        <v>42430</v>
      </c>
      <c r="O695" s="2">
        <v>42433</v>
      </c>
      <c r="P695" s="133">
        <v>42460</v>
      </c>
      <c r="Q695" s="6">
        <v>3</v>
      </c>
      <c r="R695" s="6">
        <v>3</v>
      </c>
      <c r="S695" s="6">
        <v>3</v>
      </c>
      <c r="T695" s="6">
        <v>3</v>
      </c>
      <c r="U695" s="6">
        <v>3</v>
      </c>
      <c r="V695" s="6" t="s">
        <v>1600</v>
      </c>
      <c r="W695" s="5">
        <v>41383</v>
      </c>
      <c r="X695" s="6">
        <v>2</v>
      </c>
      <c r="Y695" s="6">
        <v>2</v>
      </c>
      <c r="Z695" s="6">
        <v>2</v>
      </c>
      <c r="AA695" s="6" t="s">
        <v>178</v>
      </c>
      <c r="AB695" s="6">
        <v>2</v>
      </c>
      <c r="AC695" s="6" t="s">
        <v>201</v>
      </c>
    </row>
    <row r="696" spans="1:29" x14ac:dyDescent="0.25">
      <c r="A696" s="145" t="str">
        <f>HYPERLINK("http://www.ofsted.gov.uk/inspection-reports/find-inspection-report/provider/ELS/130487 ","Ofsted Webpage")</f>
        <v>Ofsted Webpage</v>
      </c>
      <c r="B696" s="151">
        <v>130487</v>
      </c>
      <c r="C696" s="151">
        <v>10003955</v>
      </c>
      <c r="D696" s="46" t="s">
        <v>1601</v>
      </c>
      <c r="E696" s="26" t="s">
        <v>81</v>
      </c>
      <c r="F696" s="26" t="s">
        <v>82</v>
      </c>
      <c r="G696" s="26" t="s">
        <v>247</v>
      </c>
      <c r="H696" s="26" t="s">
        <v>238</v>
      </c>
      <c r="I696" s="26" t="s">
        <v>238</v>
      </c>
      <c r="J696" s="2" t="s">
        <v>72</v>
      </c>
      <c r="K696" s="141" t="s">
        <v>72</v>
      </c>
      <c r="L696" s="141">
        <v>10037398</v>
      </c>
      <c r="M696" s="26" t="s">
        <v>215</v>
      </c>
      <c r="N696" s="2">
        <v>43010</v>
      </c>
      <c r="O696" s="2">
        <v>43013</v>
      </c>
      <c r="P696" s="133">
        <v>43060</v>
      </c>
      <c r="Q696" s="6">
        <v>2</v>
      </c>
      <c r="R696" s="6">
        <v>2</v>
      </c>
      <c r="S696" s="6">
        <v>2</v>
      </c>
      <c r="T696" s="6">
        <v>2</v>
      </c>
      <c r="U696" s="6">
        <v>2</v>
      </c>
      <c r="V696" s="6">
        <v>10004689</v>
      </c>
      <c r="W696" s="5">
        <v>42321</v>
      </c>
      <c r="X696" s="6">
        <v>3</v>
      </c>
      <c r="Y696" s="6">
        <v>3</v>
      </c>
      <c r="Z696" s="6">
        <v>3</v>
      </c>
      <c r="AA696" s="6">
        <v>3</v>
      </c>
      <c r="AB696" s="6">
        <v>3</v>
      </c>
      <c r="AC696" s="6" t="s">
        <v>216</v>
      </c>
    </row>
    <row r="697" spans="1:29" x14ac:dyDescent="0.25">
      <c r="A697" s="145" t="str">
        <f>HYPERLINK("http://www.ofsted.gov.uk/inspection-reports/find-inspection-report/provider/ELS/130488 ","Ofsted Webpage")</f>
        <v>Ofsted Webpage</v>
      </c>
      <c r="B697" s="151">
        <v>130488</v>
      </c>
      <c r="C697" s="151">
        <v>10006174</v>
      </c>
      <c r="D697" s="46" t="s">
        <v>1602</v>
      </c>
      <c r="E697" s="26" t="s">
        <v>81</v>
      </c>
      <c r="F697" s="26" t="s">
        <v>82</v>
      </c>
      <c r="G697" s="26" t="s">
        <v>651</v>
      </c>
      <c r="H697" s="26" t="s">
        <v>238</v>
      </c>
      <c r="I697" s="26" t="s">
        <v>238</v>
      </c>
      <c r="J697" s="2" t="s">
        <v>72</v>
      </c>
      <c r="K697" s="141" t="s">
        <v>72</v>
      </c>
      <c r="L697" s="141">
        <v>10030764</v>
      </c>
      <c r="M697" s="26" t="s">
        <v>194</v>
      </c>
      <c r="N697" s="2">
        <v>42849</v>
      </c>
      <c r="O697" s="2">
        <v>42852</v>
      </c>
      <c r="P697" s="133">
        <v>42902</v>
      </c>
      <c r="Q697" s="6">
        <v>3</v>
      </c>
      <c r="R697" s="6">
        <v>3</v>
      </c>
      <c r="S697" s="6">
        <v>3</v>
      </c>
      <c r="T697" s="6">
        <v>3</v>
      </c>
      <c r="U697" s="6">
        <v>3</v>
      </c>
      <c r="V697" s="6" t="s">
        <v>1603</v>
      </c>
      <c r="W697" s="5">
        <v>41684</v>
      </c>
      <c r="X697" s="6">
        <v>2</v>
      </c>
      <c r="Y697" s="6">
        <v>2</v>
      </c>
      <c r="Z697" s="6">
        <v>2</v>
      </c>
      <c r="AA697" s="6" t="s">
        <v>178</v>
      </c>
      <c r="AB697" s="6">
        <v>2</v>
      </c>
      <c r="AC697" s="6" t="s">
        <v>201</v>
      </c>
    </row>
    <row r="698" spans="1:29" x14ac:dyDescent="0.25">
      <c r="A698" s="145" t="str">
        <f>HYPERLINK("http://www.ofsted.gov.uk/inspection-reports/find-inspection-report/provider/ELS/130489 ","Ofsted Webpage")</f>
        <v>Ofsted Webpage</v>
      </c>
      <c r="B698" s="151">
        <v>130489</v>
      </c>
      <c r="C698" s="151">
        <v>10001201</v>
      </c>
      <c r="D698" s="46" t="s">
        <v>1604</v>
      </c>
      <c r="E698" s="26" t="s">
        <v>83</v>
      </c>
      <c r="F698" s="26" t="s">
        <v>82</v>
      </c>
      <c r="G698" s="26" t="s">
        <v>651</v>
      </c>
      <c r="H698" s="26" t="s">
        <v>238</v>
      </c>
      <c r="I698" s="26" t="s">
        <v>238</v>
      </c>
      <c r="J698" s="2" t="s">
        <v>72</v>
      </c>
      <c r="K698" s="141" t="s">
        <v>72</v>
      </c>
      <c r="L698" s="141" t="s">
        <v>1605</v>
      </c>
      <c r="M698" s="26" t="s">
        <v>1592</v>
      </c>
      <c r="N698" s="2">
        <v>39266</v>
      </c>
      <c r="O698" s="2">
        <v>39267</v>
      </c>
      <c r="P698" s="133">
        <v>39304</v>
      </c>
      <c r="Q698" s="6">
        <v>1</v>
      </c>
      <c r="R698" s="6">
        <v>1</v>
      </c>
      <c r="S698" s="6">
        <v>1</v>
      </c>
      <c r="T698" s="120" t="s">
        <v>178</v>
      </c>
      <c r="U698" s="6">
        <v>1</v>
      </c>
      <c r="V698" s="6" t="s">
        <v>72</v>
      </c>
      <c r="W698" s="5" t="s">
        <v>72</v>
      </c>
      <c r="X698" s="6" t="s">
        <v>72</v>
      </c>
      <c r="Y698" s="6" t="s">
        <v>72</v>
      </c>
      <c r="Z698" s="6" t="s">
        <v>72</v>
      </c>
      <c r="AA698" s="6" t="s">
        <v>72</v>
      </c>
      <c r="AB698" s="6" t="s">
        <v>72</v>
      </c>
      <c r="AC698" s="6" t="s">
        <v>208</v>
      </c>
    </row>
    <row r="699" spans="1:29" x14ac:dyDescent="0.25">
      <c r="A699" s="145" t="str">
        <f>HYPERLINK("http://www.ofsted.gov.uk/inspection-reports/find-inspection-report/provider/ELS/130490 ","Ofsted Webpage")</f>
        <v>Ofsted Webpage</v>
      </c>
      <c r="B699" s="151">
        <v>130490</v>
      </c>
      <c r="C699" s="151">
        <v>10003193</v>
      </c>
      <c r="D699" s="46" t="s">
        <v>1606</v>
      </c>
      <c r="E699" s="26" t="s">
        <v>81</v>
      </c>
      <c r="F699" s="26" t="s">
        <v>82</v>
      </c>
      <c r="G699" s="26" t="s">
        <v>237</v>
      </c>
      <c r="H699" s="26" t="s">
        <v>238</v>
      </c>
      <c r="I699" s="26" t="s">
        <v>238</v>
      </c>
      <c r="J699" s="2" t="s">
        <v>72</v>
      </c>
      <c r="K699" s="141" t="s">
        <v>72</v>
      </c>
      <c r="L699" s="141" t="s">
        <v>1607</v>
      </c>
      <c r="M699" s="26" t="s">
        <v>194</v>
      </c>
      <c r="N699" s="2">
        <v>42037</v>
      </c>
      <c r="O699" s="2">
        <v>42041</v>
      </c>
      <c r="P699" s="133">
        <v>42072</v>
      </c>
      <c r="Q699" s="6">
        <v>2</v>
      </c>
      <c r="R699" s="6">
        <v>2</v>
      </c>
      <c r="S699" s="6">
        <v>2</v>
      </c>
      <c r="T699" s="120" t="s">
        <v>178</v>
      </c>
      <c r="U699" s="6">
        <v>2</v>
      </c>
      <c r="V699" s="6" t="s">
        <v>1608</v>
      </c>
      <c r="W699" s="5">
        <v>40221</v>
      </c>
      <c r="X699" s="6">
        <v>2</v>
      </c>
      <c r="Y699" s="6">
        <v>2</v>
      </c>
      <c r="Z699" s="6">
        <v>2</v>
      </c>
      <c r="AA699" s="6" t="s">
        <v>178</v>
      </c>
      <c r="AB699" s="6">
        <v>2</v>
      </c>
      <c r="AC699" s="6" t="s">
        <v>180</v>
      </c>
    </row>
    <row r="700" spans="1:29" x14ac:dyDescent="0.25">
      <c r="A700" s="145" t="str">
        <f>HYPERLINK("http://www.ofsted.gov.uk/inspection-reports/find-inspection-report/provider/ELS/130491 ","Ofsted Webpage")</f>
        <v>Ofsted Webpage</v>
      </c>
      <c r="B700" s="151">
        <v>130491</v>
      </c>
      <c r="C700" s="151">
        <v>10006038</v>
      </c>
      <c r="D700" s="46" t="s">
        <v>1609</v>
      </c>
      <c r="E700" s="26" t="s">
        <v>81</v>
      </c>
      <c r="F700" s="26" t="s">
        <v>82</v>
      </c>
      <c r="G700" s="26" t="s">
        <v>237</v>
      </c>
      <c r="H700" s="26" t="s">
        <v>238</v>
      </c>
      <c r="I700" s="26" t="s">
        <v>238</v>
      </c>
      <c r="J700" s="2">
        <v>42488</v>
      </c>
      <c r="K700" s="141">
        <v>1</v>
      </c>
      <c r="L700" s="141" t="s">
        <v>1610</v>
      </c>
      <c r="M700" s="26" t="s">
        <v>194</v>
      </c>
      <c r="N700" s="2">
        <v>41344</v>
      </c>
      <c r="O700" s="2">
        <v>41348</v>
      </c>
      <c r="P700" s="133">
        <v>41381</v>
      </c>
      <c r="Q700" s="6">
        <v>2</v>
      </c>
      <c r="R700" s="6">
        <v>3</v>
      </c>
      <c r="S700" s="6">
        <v>2</v>
      </c>
      <c r="T700" s="120" t="s">
        <v>178</v>
      </c>
      <c r="U700" s="6">
        <v>2</v>
      </c>
      <c r="V700" s="6" t="s">
        <v>1611</v>
      </c>
      <c r="W700" s="5">
        <v>39409</v>
      </c>
      <c r="X700" s="6">
        <v>2</v>
      </c>
      <c r="Y700" s="6">
        <v>2</v>
      </c>
      <c r="Z700" s="6">
        <v>2</v>
      </c>
      <c r="AA700" s="6" t="s">
        <v>178</v>
      </c>
      <c r="AB700" s="6">
        <v>2</v>
      </c>
      <c r="AC700" s="6" t="s">
        <v>180</v>
      </c>
    </row>
    <row r="701" spans="1:29" x14ac:dyDescent="0.25">
      <c r="A701" s="145" t="str">
        <f>HYPERLINK("http://www.ofsted.gov.uk/inspection-reports/find-inspection-report/provider/ELS/130492 ","Ofsted Webpage")</f>
        <v>Ofsted Webpage</v>
      </c>
      <c r="B701" s="151">
        <v>130492</v>
      </c>
      <c r="C701" s="151">
        <v>10003640</v>
      </c>
      <c r="D701" s="46" t="s">
        <v>236</v>
      </c>
      <c r="E701" s="26" t="s">
        <v>83</v>
      </c>
      <c r="F701" s="26" t="s">
        <v>82</v>
      </c>
      <c r="G701" s="26" t="s">
        <v>237</v>
      </c>
      <c r="H701" s="26" t="s">
        <v>238</v>
      </c>
      <c r="I701" s="26" t="s">
        <v>238</v>
      </c>
      <c r="J701" s="2" t="s">
        <v>72</v>
      </c>
      <c r="K701" s="141" t="s">
        <v>72</v>
      </c>
      <c r="L701" s="141">
        <v>10037399</v>
      </c>
      <c r="M701" s="26" t="s">
        <v>228</v>
      </c>
      <c r="N701" s="2">
        <v>42998</v>
      </c>
      <c r="O701" s="2">
        <v>43000</v>
      </c>
      <c r="P701" s="133">
        <v>43020</v>
      </c>
      <c r="Q701" s="6">
        <v>2</v>
      </c>
      <c r="R701" s="6">
        <v>2</v>
      </c>
      <c r="S701" s="6">
        <v>2</v>
      </c>
      <c r="T701" s="6">
        <v>2</v>
      </c>
      <c r="U701" s="6">
        <v>2</v>
      </c>
      <c r="V701" s="6">
        <v>10004690</v>
      </c>
      <c r="W701" s="5">
        <v>42341</v>
      </c>
      <c r="X701" s="6">
        <v>3</v>
      </c>
      <c r="Y701" s="6">
        <v>3</v>
      </c>
      <c r="Z701" s="6">
        <v>3</v>
      </c>
      <c r="AA701" s="6">
        <v>2</v>
      </c>
      <c r="AB701" s="6">
        <v>3</v>
      </c>
      <c r="AC701" s="6" t="s">
        <v>216</v>
      </c>
    </row>
    <row r="702" spans="1:29" x14ac:dyDescent="0.25">
      <c r="A702" s="145" t="str">
        <f>HYPERLINK("http://www.ofsted.gov.uk/inspection-reports/find-inspection-report/provider/ELS/130493 ","Ofsted Webpage")</f>
        <v>Ofsted Webpage</v>
      </c>
      <c r="B702" s="151">
        <v>130493</v>
      </c>
      <c r="C702" s="151">
        <v>10007553</v>
      </c>
      <c r="D702" s="46" t="s">
        <v>1497</v>
      </c>
      <c r="E702" s="26" t="s">
        <v>81</v>
      </c>
      <c r="F702" s="26" t="s">
        <v>82</v>
      </c>
      <c r="G702" s="26" t="s">
        <v>1310</v>
      </c>
      <c r="H702" s="26" t="s">
        <v>238</v>
      </c>
      <c r="I702" s="26" t="s">
        <v>238</v>
      </c>
      <c r="J702" s="2" t="s">
        <v>72</v>
      </c>
      <c r="K702" s="141" t="s">
        <v>72</v>
      </c>
      <c r="L702" s="141">
        <v>10037400</v>
      </c>
      <c r="M702" s="26" t="s">
        <v>215</v>
      </c>
      <c r="N702" s="2">
        <v>43011</v>
      </c>
      <c r="O702" s="2">
        <v>43014</v>
      </c>
      <c r="P702" s="133">
        <v>43046</v>
      </c>
      <c r="Q702" s="6">
        <v>2</v>
      </c>
      <c r="R702" s="6">
        <v>2</v>
      </c>
      <c r="S702" s="6">
        <v>2</v>
      </c>
      <c r="T702" s="6">
        <v>2</v>
      </c>
      <c r="U702" s="6">
        <v>2</v>
      </c>
      <c r="V702" s="6">
        <v>10004692</v>
      </c>
      <c r="W702" s="5">
        <v>42347</v>
      </c>
      <c r="X702" s="6">
        <v>3</v>
      </c>
      <c r="Y702" s="6">
        <v>3</v>
      </c>
      <c r="Z702" s="6">
        <v>3</v>
      </c>
      <c r="AA702" s="6">
        <v>3</v>
      </c>
      <c r="AB702" s="6">
        <v>3</v>
      </c>
      <c r="AC702" s="6" t="s">
        <v>216</v>
      </c>
    </row>
    <row r="703" spans="1:29" x14ac:dyDescent="0.25">
      <c r="A703" s="145" t="str">
        <f>HYPERLINK("http://www.ofsted.gov.uk/inspection-reports/find-inspection-report/provider/ELS/130495 ","Ofsted Webpage")</f>
        <v>Ofsted Webpage</v>
      </c>
      <c r="B703" s="151">
        <v>130495</v>
      </c>
      <c r="C703" s="151">
        <v>10000794</v>
      </c>
      <c r="D703" s="46" t="s">
        <v>1498</v>
      </c>
      <c r="E703" s="26" t="s">
        <v>81</v>
      </c>
      <c r="F703" s="26" t="s">
        <v>82</v>
      </c>
      <c r="G703" s="26" t="s">
        <v>640</v>
      </c>
      <c r="H703" s="26" t="s">
        <v>238</v>
      </c>
      <c r="I703" s="26" t="s">
        <v>238</v>
      </c>
      <c r="J703" s="2" t="s">
        <v>72</v>
      </c>
      <c r="K703" s="141" t="s">
        <v>72</v>
      </c>
      <c r="L703" s="141">
        <v>10022613</v>
      </c>
      <c r="M703" s="26" t="s">
        <v>215</v>
      </c>
      <c r="N703" s="2">
        <v>42773</v>
      </c>
      <c r="O703" s="2">
        <v>42776</v>
      </c>
      <c r="P703" s="133">
        <v>42809</v>
      </c>
      <c r="Q703" s="6">
        <v>2</v>
      </c>
      <c r="R703" s="6">
        <v>2</v>
      </c>
      <c r="S703" s="6">
        <v>2</v>
      </c>
      <c r="T703" s="6">
        <v>2</v>
      </c>
      <c r="U703" s="6">
        <v>2</v>
      </c>
      <c r="V703" s="6" t="s">
        <v>1499</v>
      </c>
      <c r="W703" s="5">
        <v>42083</v>
      </c>
      <c r="X703" s="6">
        <v>3</v>
      </c>
      <c r="Y703" s="6">
        <v>3</v>
      </c>
      <c r="Z703" s="6">
        <v>2</v>
      </c>
      <c r="AA703" s="6" t="s">
        <v>178</v>
      </c>
      <c r="AB703" s="6">
        <v>3</v>
      </c>
      <c r="AC703" s="6" t="s">
        <v>216</v>
      </c>
    </row>
    <row r="704" spans="1:29" x14ac:dyDescent="0.25">
      <c r="A704" s="145" t="str">
        <f>HYPERLINK("http://www.ofsted.gov.uk/inspection-reports/find-inspection-report/provider/ELS/130498 ","Ofsted Webpage")</f>
        <v>Ofsted Webpage</v>
      </c>
      <c r="B704" s="151">
        <v>130498</v>
      </c>
      <c r="C704" s="151">
        <v>10001005</v>
      </c>
      <c r="D704" s="46" t="s">
        <v>1500</v>
      </c>
      <c r="E704" s="26" t="s">
        <v>81</v>
      </c>
      <c r="F704" s="26" t="s">
        <v>82</v>
      </c>
      <c r="G704" s="26" t="s">
        <v>806</v>
      </c>
      <c r="H704" s="26" t="s">
        <v>238</v>
      </c>
      <c r="I704" s="26" t="s">
        <v>238</v>
      </c>
      <c r="J704" s="2" t="s">
        <v>72</v>
      </c>
      <c r="K704" s="141" t="s">
        <v>72</v>
      </c>
      <c r="L704" s="141">
        <v>10025502</v>
      </c>
      <c r="M704" s="26" t="s">
        <v>194</v>
      </c>
      <c r="N704" s="2">
        <v>42751</v>
      </c>
      <c r="O704" s="2">
        <v>42755</v>
      </c>
      <c r="P704" s="133">
        <v>42793</v>
      </c>
      <c r="Q704" s="6">
        <v>3</v>
      </c>
      <c r="R704" s="6">
        <v>3</v>
      </c>
      <c r="S704" s="6">
        <v>3</v>
      </c>
      <c r="T704" s="6">
        <v>3</v>
      </c>
      <c r="U704" s="6">
        <v>3</v>
      </c>
      <c r="V704" s="6" t="s">
        <v>1501</v>
      </c>
      <c r="W704" s="5">
        <v>39122</v>
      </c>
      <c r="X704" s="6">
        <v>1</v>
      </c>
      <c r="Y704" s="6">
        <v>1</v>
      </c>
      <c r="Z704" s="6">
        <v>2</v>
      </c>
      <c r="AA704" s="6" t="s">
        <v>178</v>
      </c>
      <c r="AB704" s="6">
        <v>1</v>
      </c>
      <c r="AC704" s="6" t="s">
        <v>201</v>
      </c>
    </row>
    <row r="705" spans="1:29" x14ac:dyDescent="0.25">
      <c r="A705" s="145" t="str">
        <f>HYPERLINK("http://www.ofsted.gov.uk/inspection-reports/find-inspection-report/provider/ELS/130499 ","Ofsted Webpage")</f>
        <v>Ofsted Webpage</v>
      </c>
      <c r="B705" s="151">
        <v>130499</v>
      </c>
      <c r="C705" s="151">
        <v>10003128</v>
      </c>
      <c r="D705" s="46" t="s">
        <v>1502</v>
      </c>
      <c r="E705" s="26" t="s">
        <v>83</v>
      </c>
      <c r="F705" s="26" t="s">
        <v>82</v>
      </c>
      <c r="G705" s="26" t="s">
        <v>806</v>
      </c>
      <c r="H705" s="26" t="s">
        <v>238</v>
      </c>
      <c r="I705" s="26" t="s">
        <v>238</v>
      </c>
      <c r="J705" s="2" t="s">
        <v>72</v>
      </c>
      <c r="K705" s="141" t="s">
        <v>72</v>
      </c>
      <c r="L705" s="141">
        <v>10020157</v>
      </c>
      <c r="M705" s="26" t="s">
        <v>372</v>
      </c>
      <c r="N705" s="2">
        <v>42766</v>
      </c>
      <c r="O705" s="2">
        <v>42769</v>
      </c>
      <c r="P705" s="133">
        <v>42809</v>
      </c>
      <c r="Q705" s="6">
        <v>3</v>
      </c>
      <c r="R705" s="6">
        <v>3</v>
      </c>
      <c r="S705" s="6">
        <v>3</v>
      </c>
      <c r="T705" s="6">
        <v>2</v>
      </c>
      <c r="U705" s="6">
        <v>3</v>
      </c>
      <c r="V705" s="6" t="s">
        <v>1503</v>
      </c>
      <c r="W705" s="5">
        <v>39143</v>
      </c>
      <c r="X705" s="6">
        <v>1</v>
      </c>
      <c r="Y705" s="6">
        <v>1</v>
      </c>
      <c r="Z705" s="6">
        <v>1</v>
      </c>
      <c r="AA705" s="6" t="s">
        <v>178</v>
      </c>
      <c r="AB705" s="6">
        <v>1</v>
      </c>
      <c r="AC705" s="6" t="s">
        <v>201</v>
      </c>
    </row>
    <row r="706" spans="1:29" x14ac:dyDescent="0.25">
      <c r="A706" s="145" t="str">
        <f>HYPERLINK("http://www.ofsted.gov.uk/inspection-reports/find-inspection-report/provider/ELS/130503 ","Ofsted Webpage")</f>
        <v>Ofsted Webpage</v>
      </c>
      <c r="B706" s="151">
        <v>130503</v>
      </c>
      <c r="C706" s="151">
        <v>10004108</v>
      </c>
      <c r="D706" s="46" t="s">
        <v>1504</v>
      </c>
      <c r="E706" s="26" t="s">
        <v>83</v>
      </c>
      <c r="F706" s="26" t="s">
        <v>82</v>
      </c>
      <c r="G706" s="26" t="s">
        <v>348</v>
      </c>
      <c r="H706" s="26" t="s">
        <v>238</v>
      </c>
      <c r="I706" s="26" t="s">
        <v>238</v>
      </c>
      <c r="J706" s="2" t="s">
        <v>72</v>
      </c>
      <c r="K706" s="141" t="s">
        <v>72</v>
      </c>
      <c r="L706" s="141" t="s">
        <v>1505</v>
      </c>
      <c r="M706" s="26" t="s">
        <v>409</v>
      </c>
      <c r="N706" s="2">
        <v>40127</v>
      </c>
      <c r="O706" s="2">
        <v>40130</v>
      </c>
      <c r="P706" s="133">
        <v>40183</v>
      </c>
      <c r="Q706" s="6">
        <v>1</v>
      </c>
      <c r="R706" s="6">
        <v>1</v>
      </c>
      <c r="S706" s="6">
        <v>1</v>
      </c>
      <c r="T706" s="120" t="s">
        <v>178</v>
      </c>
      <c r="U706" s="6">
        <v>1</v>
      </c>
      <c r="V706" s="6" t="s">
        <v>1506</v>
      </c>
      <c r="W706" s="5">
        <v>38793</v>
      </c>
      <c r="X706" s="6">
        <v>1</v>
      </c>
      <c r="Y706" s="6">
        <v>1</v>
      </c>
      <c r="Z706" s="6">
        <v>1</v>
      </c>
      <c r="AA706" s="6" t="s">
        <v>178</v>
      </c>
      <c r="AB706" s="6">
        <v>1</v>
      </c>
      <c r="AC706" s="6" t="s">
        <v>180</v>
      </c>
    </row>
    <row r="707" spans="1:29" x14ac:dyDescent="0.25">
      <c r="A707" s="145" t="str">
        <f>HYPERLINK("http://www.ofsted.gov.uk/inspection-reports/find-inspection-report/provider/ELS/130504 ","Ofsted Webpage")</f>
        <v>Ofsted Webpage</v>
      </c>
      <c r="B707" s="151">
        <v>130504</v>
      </c>
      <c r="C707" s="151">
        <v>10007682</v>
      </c>
      <c r="D707" s="46" t="s">
        <v>1693</v>
      </c>
      <c r="E707" s="26" t="s">
        <v>83</v>
      </c>
      <c r="F707" s="26" t="s">
        <v>82</v>
      </c>
      <c r="G707" s="26" t="s">
        <v>348</v>
      </c>
      <c r="H707" s="26" t="s">
        <v>238</v>
      </c>
      <c r="I707" s="26" t="s">
        <v>238</v>
      </c>
      <c r="J707" s="2" t="s">
        <v>72</v>
      </c>
      <c r="K707" s="141" t="s">
        <v>72</v>
      </c>
      <c r="L707" s="141" t="s">
        <v>1694</v>
      </c>
      <c r="M707" s="26" t="s">
        <v>409</v>
      </c>
      <c r="N707" s="2">
        <v>39475</v>
      </c>
      <c r="O707" s="2">
        <v>39479</v>
      </c>
      <c r="P707" s="133">
        <v>39527</v>
      </c>
      <c r="Q707" s="6">
        <v>1</v>
      </c>
      <c r="R707" s="6">
        <v>1</v>
      </c>
      <c r="S707" s="6">
        <v>2</v>
      </c>
      <c r="T707" s="120" t="s">
        <v>178</v>
      </c>
      <c r="U707" s="6">
        <v>1</v>
      </c>
      <c r="V707" s="6" t="s">
        <v>72</v>
      </c>
      <c r="W707" s="5" t="s">
        <v>72</v>
      </c>
      <c r="X707" s="6" t="s">
        <v>72</v>
      </c>
      <c r="Y707" s="6" t="s">
        <v>72</v>
      </c>
      <c r="Z707" s="6" t="s">
        <v>72</v>
      </c>
      <c r="AA707" s="6" t="s">
        <v>72</v>
      </c>
      <c r="AB707" s="6" t="s">
        <v>72</v>
      </c>
      <c r="AC707" s="6" t="s">
        <v>208</v>
      </c>
    </row>
    <row r="708" spans="1:29" x14ac:dyDescent="0.25">
      <c r="A708" s="145" t="str">
        <f>HYPERLINK("http://www.ofsted.gov.uk/inspection-reports/find-inspection-report/provider/ELS/130505 ","Ofsted Webpage")</f>
        <v>Ofsted Webpage</v>
      </c>
      <c r="B708" s="151">
        <v>130505</v>
      </c>
      <c r="C708" s="151">
        <v>10006770</v>
      </c>
      <c r="D708" s="46" t="s">
        <v>1695</v>
      </c>
      <c r="E708" s="26" t="s">
        <v>81</v>
      </c>
      <c r="F708" s="26" t="s">
        <v>82</v>
      </c>
      <c r="G708" s="26" t="s">
        <v>997</v>
      </c>
      <c r="H708" s="26" t="s">
        <v>238</v>
      </c>
      <c r="I708" s="26" t="s">
        <v>238</v>
      </c>
      <c r="J708" s="2" t="s">
        <v>72</v>
      </c>
      <c r="K708" s="141" t="s">
        <v>72</v>
      </c>
      <c r="L708" s="141">
        <v>10022620</v>
      </c>
      <c r="M708" s="26" t="s">
        <v>215</v>
      </c>
      <c r="N708" s="2">
        <v>42751</v>
      </c>
      <c r="O708" s="2">
        <v>42754</v>
      </c>
      <c r="P708" s="133">
        <v>42790</v>
      </c>
      <c r="Q708" s="6">
        <v>3</v>
      </c>
      <c r="R708" s="6">
        <v>3</v>
      </c>
      <c r="S708" s="6">
        <v>3</v>
      </c>
      <c r="T708" s="6">
        <v>3</v>
      </c>
      <c r="U708" s="6">
        <v>3</v>
      </c>
      <c r="V708" s="6" t="s">
        <v>1696</v>
      </c>
      <c r="W708" s="5">
        <v>42139</v>
      </c>
      <c r="X708" s="6">
        <v>3</v>
      </c>
      <c r="Y708" s="6">
        <v>3</v>
      </c>
      <c r="Z708" s="6">
        <v>3</v>
      </c>
      <c r="AA708" s="6" t="s">
        <v>178</v>
      </c>
      <c r="AB708" s="6">
        <v>3</v>
      </c>
      <c r="AC708" s="6" t="s">
        <v>180</v>
      </c>
    </row>
    <row r="709" spans="1:29" x14ac:dyDescent="0.25">
      <c r="A709" s="145" t="str">
        <f>HYPERLINK("http://www.ofsted.gov.uk/inspection-reports/find-inspection-report/provider/ELS/130507 ","Ofsted Webpage")</f>
        <v>Ofsted Webpage</v>
      </c>
      <c r="B709" s="151">
        <v>130507</v>
      </c>
      <c r="C709" s="151">
        <v>10003146</v>
      </c>
      <c r="D709" s="46" t="s">
        <v>1697</v>
      </c>
      <c r="E709" s="26" t="s">
        <v>81</v>
      </c>
      <c r="F709" s="26" t="s">
        <v>82</v>
      </c>
      <c r="G709" s="26" t="s">
        <v>351</v>
      </c>
      <c r="H709" s="26" t="s">
        <v>238</v>
      </c>
      <c r="I709" s="26" t="s">
        <v>238</v>
      </c>
      <c r="J709" s="2">
        <v>42691</v>
      </c>
      <c r="K709" s="141">
        <v>1</v>
      </c>
      <c r="L709" s="141" t="s">
        <v>1698</v>
      </c>
      <c r="M709" s="26" t="s">
        <v>377</v>
      </c>
      <c r="N709" s="2">
        <v>40686</v>
      </c>
      <c r="O709" s="2">
        <v>40690</v>
      </c>
      <c r="P709" s="133">
        <v>40725</v>
      </c>
      <c r="Q709" s="6">
        <v>2</v>
      </c>
      <c r="R709" s="6">
        <v>2</v>
      </c>
      <c r="S709" s="6">
        <v>2</v>
      </c>
      <c r="T709" s="120" t="s">
        <v>178</v>
      </c>
      <c r="U709" s="6">
        <v>2</v>
      </c>
      <c r="V709" s="6" t="s">
        <v>1699</v>
      </c>
      <c r="W709" s="5">
        <v>39206</v>
      </c>
      <c r="X709" s="6">
        <v>3</v>
      </c>
      <c r="Y709" s="6">
        <v>3</v>
      </c>
      <c r="Z709" s="6">
        <v>3</v>
      </c>
      <c r="AA709" s="6" t="s">
        <v>178</v>
      </c>
      <c r="AB709" s="6">
        <v>3</v>
      </c>
      <c r="AC709" s="6" t="s">
        <v>216</v>
      </c>
    </row>
    <row r="710" spans="1:29" x14ac:dyDescent="0.25">
      <c r="A710" s="145" t="str">
        <f>HYPERLINK("http://www.ofsted.gov.uk/inspection-reports/find-inspection-report/provider/ELS/130509 ","Ofsted Webpage")</f>
        <v>Ofsted Webpage</v>
      </c>
      <c r="B710" s="151">
        <v>130509</v>
      </c>
      <c r="C710" s="151">
        <v>10005032</v>
      </c>
      <c r="D710" s="46" t="s">
        <v>1700</v>
      </c>
      <c r="E710" s="26" t="s">
        <v>81</v>
      </c>
      <c r="F710" s="26" t="s">
        <v>82</v>
      </c>
      <c r="G710" s="26" t="s">
        <v>656</v>
      </c>
      <c r="H710" s="26" t="s">
        <v>238</v>
      </c>
      <c r="I710" s="26" t="s">
        <v>238</v>
      </c>
      <c r="J710" s="2">
        <v>42334</v>
      </c>
      <c r="K710" s="141">
        <v>1</v>
      </c>
      <c r="L710" s="141" t="s">
        <v>1701</v>
      </c>
      <c r="M710" s="26" t="s">
        <v>369</v>
      </c>
      <c r="N710" s="2">
        <v>40308</v>
      </c>
      <c r="O710" s="2">
        <v>40312</v>
      </c>
      <c r="P710" s="133">
        <v>40350</v>
      </c>
      <c r="Q710" s="6">
        <v>2</v>
      </c>
      <c r="R710" s="6">
        <v>2</v>
      </c>
      <c r="S710" s="6">
        <v>2</v>
      </c>
      <c r="T710" s="120" t="s">
        <v>178</v>
      </c>
      <c r="U710" s="6">
        <v>2</v>
      </c>
      <c r="V710" s="6" t="s">
        <v>72</v>
      </c>
      <c r="W710" s="5" t="s">
        <v>72</v>
      </c>
      <c r="X710" s="6" t="s">
        <v>72</v>
      </c>
      <c r="Y710" s="6" t="s">
        <v>72</v>
      </c>
      <c r="Z710" s="6" t="s">
        <v>72</v>
      </c>
      <c r="AA710" s="6" t="s">
        <v>72</v>
      </c>
      <c r="AB710" s="6" t="s">
        <v>72</v>
      </c>
      <c r="AC710" s="6" t="s">
        <v>208</v>
      </c>
    </row>
    <row r="711" spans="1:29" x14ac:dyDescent="0.25">
      <c r="A711" s="145" t="str">
        <f>HYPERLINK("http://www.ofsted.gov.uk/inspection-reports/find-inspection-report/provider/ELS/130512 ","Ofsted Webpage")</f>
        <v>Ofsted Webpage</v>
      </c>
      <c r="B711" s="151">
        <v>130512</v>
      </c>
      <c r="C711" s="151">
        <v>10006331</v>
      </c>
      <c r="D711" s="46" t="s">
        <v>1702</v>
      </c>
      <c r="E711" s="26" t="s">
        <v>81</v>
      </c>
      <c r="F711" s="26" t="s">
        <v>82</v>
      </c>
      <c r="G711" s="26" t="s">
        <v>608</v>
      </c>
      <c r="H711" s="26" t="s">
        <v>238</v>
      </c>
      <c r="I711" s="26" t="s">
        <v>238</v>
      </c>
      <c r="J711" s="2" t="s">
        <v>72</v>
      </c>
      <c r="K711" s="141" t="s">
        <v>72</v>
      </c>
      <c r="L711" s="141">
        <v>10004695</v>
      </c>
      <c r="M711" s="26" t="s">
        <v>215</v>
      </c>
      <c r="N711" s="2">
        <v>42654</v>
      </c>
      <c r="O711" s="2">
        <v>42657</v>
      </c>
      <c r="P711" s="133">
        <v>42698</v>
      </c>
      <c r="Q711" s="6">
        <v>4</v>
      </c>
      <c r="R711" s="6">
        <v>4</v>
      </c>
      <c r="S711" s="6">
        <v>4</v>
      </c>
      <c r="T711" s="6">
        <v>4</v>
      </c>
      <c r="U711" s="6">
        <v>4</v>
      </c>
      <c r="V711" s="6" t="s">
        <v>1703</v>
      </c>
      <c r="W711" s="5">
        <v>41985</v>
      </c>
      <c r="X711" s="6">
        <v>3</v>
      </c>
      <c r="Y711" s="6">
        <v>3</v>
      </c>
      <c r="Z711" s="6">
        <v>3</v>
      </c>
      <c r="AA711" s="6" t="s">
        <v>178</v>
      </c>
      <c r="AB711" s="6">
        <v>3</v>
      </c>
      <c r="AC711" s="6" t="s">
        <v>201</v>
      </c>
    </row>
    <row r="712" spans="1:29" x14ac:dyDescent="0.25">
      <c r="A712" s="145" t="str">
        <f>HYPERLINK("http://www.ofsted.gov.uk/inspection-reports/find-inspection-report/provider/ELS/130514 ","Ofsted Webpage")</f>
        <v>Ofsted Webpage</v>
      </c>
      <c r="B712" s="151">
        <v>130514</v>
      </c>
      <c r="C712" s="151">
        <v>10000330</v>
      </c>
      <c r="D712" s="46" t="s">
        <v>1704</v>
      </c>
      <c r="E712" s="26" t="s">
        <v>83</v>
      </c>
      <c r="F712" s="26" t="s">
        <v>82</v>
      </c>
      <c r="G712" s="26" t="s">
        <v>608</v>
      </c>
      <c r="H712" s="26" t="s">
        <v>238</v>
      </c>
      <c r="I712" s="26" t="s">
        <v>238</v>
      </c>
      <c r="J712" s="2">
        <v>42746</v>
      </c>
      <c r="K712" s="141">
        <v>1</v>
      </c>
      <c r="L712" s="141" t="s">
        <v>1705</v>
      </c>
      <c r="M712" s="26" t="s">
        <v>372</v>
      </c>
      <c r="N712" s="2">
        <v>41541</v>
      </c>
      <c r="O712" s="2">
        <v>41544</v>
      </c>
      <c r="P712" s="133">
        <v>41579</v>
      </c>
      <c r="Q712" s="6">
        <v>2</v>
      </c>
      <c r="R712" s="6">
        <v>2</v>
      </c>
      <c r="S712" s="6">
        <v>2</v>
      </c>
      <c r="T712" s="120" t="s">
        <v>178</v>
      </c>
      <c r="U712" s="6">
        <v>2</v>
      </c>
      <c r="V712" s="6" t="s">
        <v>1706</v>
      </c>
      <c r="W712" s="5">
        <v>39729</v>
      </c>
      <c r="X712" s="6">
        <v>1</v>
      </c>
      <c r="Y712" s="6">
        <v>2</v>
      </c>
      <c r="Z712" s="6">
        <v>2</v>
      </c>
      <c r="AA712" s="6" t="s">
        <v>178</v>
      </c>
      <c r="AB712" s="6">
        <v>1</v>
      </c>
      <c r="AC712" s="6" t="s">
        <v>201</v>
      </c>
    </row>
    <row r="713" spans="1:29" x14ac:dyDescent="0.25">
      <c r="A713" s="145" t="str">
        <f>HYPERLINK("http://www.ofsted.gov.uk/inspection-reports/find-inspection-report/provider/ELS/130515 ","Ofsted Webpage")</f>
        <v>Ofsted Webpage</v>
      </c>
      <c r="B713" s="151">
        <v>130515</v>
      </c>
      <c r="C713" s="151">
        <v>10001346</v>
      </c>
      <c r="D713" s="46" t="s">
        <v>607</v>
      </c>
      <c r="E713" s="26" t="s">
        <v>83</v>
      </c>
      <c r="F713" s="26" t="s">
        <v>82</v>
      </c>
      <c r="G713" s="26" t="s">
        <v>608</v>
      </c>
      <c r="H713" s="26" t="s">
        <v>238</v>
      </c>
      <c r="I713" s="26" t="s">
        <v>238</v>
      </c>
      <c r="J713" s="2" t="s">
        <v>72</v>
      </c>
      <c r="K713" s="141" t="s">
        <v>72</v>
      </c>
      <c r="L713" s="141">
        <v>10020129</v>
      </c>
      <c r="M713" s="26" t="s">
        <v>372</v>
      </c>
      <c r="N713" s="2">
        <v>42640</v>
      </c>
      <c r="O713" s="2">
        <v>42643</v>
      </c>
      <c r="P713" s="133">
        <v>42664</v>
      </c>
      <c r="Q713" s="6">
        <v>2</v>
      </c>
      <c r="R713" s="6">
        <v>2</v>
      </c>
      <c r="S713" s="6">
        <v>2</v>
      </c>
      <c r="T713" s="6">
        <v>2</v>
      </c>
      <c r="U713" s="6">
        <v>2</v>
      </c>
      <c r="V713" s="6" t="s">
        <v>609</v>
      </c>
      <c r="W713" s="5">
        <v>41712</v>
      </c>
      <c r="X713" s="6">
        <v>2</v>
      </c>
      <c r="Y713" s="6">
        <v>3</v>
      </c>
      <c r="Z713" s="6">
        <v>2</v>
      </c>
      <c r="AA713" s="6" t="s">
        <v>178</v>
      </c>
      <c r="AB713" s="6">
        <v>2</v>
      </c>
      <c r="AC713" s="6" t="s">
        <v>180</v>
      </c>
    </row>
    <row r="714" spans="1:29" x14ac:dyDescent="0.25">
      <c r="A714" s="145" t="str">
        <f>HYPERLINK("http://www.ofsted.gov.uk/inspection-reports/find-inspection-report/provider/ELS/130516 ","Ofsted Webpage")</f>
        <v>Ofsted Webpage</v>
      </c>
      <c r="B714" s="151">
        <v>130516</v>
      </c>
      <c r="C714" s="151">
        <v>10006494</v>
      </c>
      <c r="D714" s="46" t="s">
        <v>610</v>
      </c>
      <c r="E714" s="26" t="s">
        <v>81</v>
      </c>
      <c r="F714" s="26" t="s">
        <v>82</v>
      </c>
      <c r="G714" s="26" t="s">
        <v>611</v>
      </c>
      <c r="H714" s="26" t="s">
        <v>238</v>
      </c>
      <c r="I714" s="26" t="s">
        <v>238</v>
      </c>
      <c r="J714" s="2" t="s">
        <v>72</v>
      </c>
      <c r="K714" s="141" t="s">
        <v>72</v>
      </c>
      <c r="L714" s="141">
        <v>10022618</v>
      </c>
      <c r="M714" s="26" t="s">
        <v>215</v>
      </c>
      <c r="N714" s="2">
        <v>42780</v>
      </c>
      <c r="O714" s="2">
        <v>42783</v>
      </c>
      <c r="P714" s="133">
        <v>42815</v>
      </c>
      <c r="Q714" s="6">
        <v>3</v>
      </c>
      <c r="R714" s="6">
        <v>3</v>
      </c>
      <c r="S714" s="6">
        <v>3</v>
      </c>
      <c r="T714" s="6">
        <v>3</v>
      </c>
      <c r="U714" s="6">
        <v>3</v>
      </c>
      <c r="V714" s="6" t="s">
        <v>612</v>
      </c>
      <c r="W714" s="5">
        <v>42069</v>
      </c>
      <c r="X714" s="6">
        <v>3</v>
      </c>
      <c r="Y714" s="6">
        <v>3</v>
      </c>
      <c r="Z714" s="6">
        <v>3</v>
      </c>
      <c r="AA714" s="6" t="s">
        <v>178</v>
      </c>
      <c r="AB714" s="6">
        <v>3</v>
      </c>
      <c r="AC714" s="6" t="s">
        <v>180</v>
      </c>
    </row>
    <row r="715" spans="1:29" x14ac:dyDescent="0.25">
      <c r="A715" s="145" t="str">
        <f>HYPERLINK("http://www.ofsted.gov.uk/inspection-reports/find-inspection-report/provider/ELS/130518 ","Ofsted Webpage")</f>
        <v>Ofsted Webpage</v>
      </c>
      <c r="B715" s="151">
        <v>130518</v>
      </c>
      <c r="C715" s="151">
        <v>10000409</v>
      </c>
      <c r="D715" s="46" t="s">
        <v>613</v>
      </c>
      <c r="E715" s="26" t="s">
        <v>83</v>
      </c>
      <c r="F715" s="26" t="s">
        <v>82</v>
      </c>
      <c r="G715" s="26" t="s">
        <v>611</v>
      </c>
      <c r="H715" s="26" t="s">
        <v>238</v>
      </c>
      <c r="I715" s="26" t="s">
        <v>238</v>
      </c>
      <c r="J715" s="2" t="s">
        <v>72</v>
      </c>
      <c r="K715" s="141" t="s">
        <v>72</v>
      </c>
      <c r="L715" s="141">
        <v>10004696</v>
      </c>
      <c r="M715" s="26" t="s">
        <v>372</v>
      </c>
      <c r="N715" s="2">
        <v>42444</v>
      </c>
      <c r="O715" s="2">
        <v>42447</v>
      </c>
      <c r="P715" s="133">
        <v>42475</v>
      </c>
      <c r="Q715" s="6">
        <v>2</v>
      </c>
      <c r="R715" s="6">
        <v>2</v>
      </c>
      <c r="S715" s="6">
        <v>2</v>
      </c>
      <c r="T715" s="6">
        <v>2</v>
      </c>
      <c r="U715" s="6">
        <v>2</v>
      </c>
      <c r="V715" s="6" t="s">
        <v>614</v>
      </c>
      <c r="W715" s="5">
        <v>40816</v>
      </c>
      <c r="X715" s="6">
        <v>2</v>
      </c>
      <c r="Y715" s="6">
        <v>2</v>
      </c>
      <c r="Z715" s="6">
        <v>2</v>
      </c>
      <c r="AA715" s="6" t="s">
        <v>178</v>
      </c>
      <c r="AB715" s="6">
        <v>2</v>
      </c>
      <c r="AC715" s="6" t="s">
        <v>180</v>
      </c>
    </row>
    <row r="716" spans="1:29" x14ac:dyDescent="0.25">
      <c r="A716" s="145" t="str">
        <f>HYPERLINK("http://www.ofsted.gov.uk/inspection-reports/find-inspection-report/provider/ELS/130519 ","Ofsted Webpage")</f>
        <v>Ofsted Webpage</v>
      </c>
      <c r="B716" s="151">
        <v>130519</v>
      </c>
      <c r="C716" s="151">
        <v>10005998</v>
      </c>
      <c r="D716" s="46" t="s">
        <v>239</v>
      </c>
      <c r="E716" s="26" t="s">
        <v>81</v>
      </c>
      <c r="F716" s="26" t="s">
        <v>82</v>
      </c>
      <c r="G716" s="26" t="s">
        <v>240</v>
      </c>
      <c r="H716" s="26" t="s">
        <v>238</v>
      </c>
      <c r="I716" s="26" t="s">
        <v>238</v>
      </c>
      <c r="J716" s="2">
        <v>42998</v>
      </c>
      <c r="K716" s="141">
        <v>1</v>
      </c>
      <c r="L716" s="141" t="s">
        <v>242</v>
      </c>
      <c r="M716" s="26" t="s">
        <v>194</v>
      </c>
      <c r="N716" s="2">
        <v>42023</v>
      </c>
      <c r="O716" s="2">
        <v>42027</v>
      </c>
      <c r="P716" s="133">
        <v>42065</v>
      </c>
      <c r="Q716" s="6">
        <v>2</v>
      </c>
      <c r="R716" s="6">
        <v>2</v>
      </c>
      <c r="S716" s="6">
        <v>2</v>
      </c>
      <c r="T716" s="120" t="s">
        <v>178</v>
      </c>
      <c r="U716" s="6">
        <v>2</v>
      </c>
      <c r="V716" s="6" t="s">
        <v>615</v>
      </c>
      <c r="W716" s="5">
        <v>39934</v>
      </c>
      <c r="X716" s="6">
        <v>1</v>
      </c>
      <c r="Y716" s="6">
        <v>2</v>
      </c>
      <c r="Z716" s="6">
        <v>1</v>
      </c>
      <c r="AA716" s="6" t="s">
        <v>178</v>
      </c>
      <c r="AB716" s="6">
        <v>1</v>
      </c>
      <c r="AC716" s="6" t="s">
        <v>201</v>
      </c>
    </row>
    <row r="717" spans="1:29" x14ac:dyDescent="0.25">
      <c r="A717" s="145" t="str">
        <f>HYPERLINK("http://www.ofsted.gov.uk/inspection-reports/find-inspection-report/provider/ELS/130521 ","Ofsted Webpage")</f>
        <v>Ofsted Webpage</v>
      </c>
      <c r="B717" s="151">
        <v>130521</v>
      </c>
      <c r="C717" s="151">
        <v>10007500</v>
      </c>
      <c r="D717" s="46" t="s">
        <v>616</v>
      </c>
      <c r="E717" s="26" t="s">
        <v>81</v>
      </c>
      <c r="F717" s="26" t="s">
        <v>82</v>
      </c>
      <c r="G717" s="26" t="s">
        <v>542</v>
      </c>
      <c r="H717" s="26" t="s">
        <v>238</v>
      </c>
      <c r="I717" s="26" t="s">
        <v>238</v>
      </c>
      <c r="J717" s="2" t="s">
        <v>72</v>
      </c>
      <c r="K717" s="141" t="s">
        <v>72</v>
      </c>
      <c r="L717" s="141">
        <v>10022096</v>
      </c>
      <c r="M717" s="26" t="s">
        <v>215</v>
      </c>
      <c r="N717" s="2">
        <v>42682</v>
      </c>
      <c r="O717" s="2">
        <v>42685</v>
      </c>
      <c r="P717" s="133">
        <v>42723</v>
      </c>
      <c r="Q717" s="6">
        <v>2</v>
      </c>
      <c r="R717" s="6">
        <v>2</v>
      </c>
      <c r="S717" s="6">
        <v>2</v>
      </c>
      <c r="T717" s="6">
        <v>2</v>
      </c>
      <c r="U717" s="6">
        <v>2</v>
      </c>
      <c r="V717" s="6" t="s">
        <v>617</v>
      </c>
      <c r="W717" s="5">
        <v>42076</v>
      </c>
      <c r="X717" s="6">
        <v>3</v>
      </c>
      <c r="Y717" s="6">
        <v>3</v>
      </c>
      <c r="Z717" s="6">
        <v>3</v>
      </c>
      <c r="AA717" s="6" t="s">
        <v>178</v>
      </c>
      <c r="AB717" s="6">
        <v>3</v>
      </c>
      <c r="AC717" s="6" t="s">
        <v>216</v>
      </c>
    </row>
    <row r="718" spans="1:29" x14ac:dyDescent="0.25">
      <c r="A718" s="145" t="str">
        <f>HYPERLINK("http://www.ofsted.gov.uk/inspection-reports/find-inspection-report/provider/ELS/130522 ","Ofsted Webpage")</f>
        <v>Ofsted Webpage</v>
      </c>
      <c r="B718" s="151">
        <v>130522</v>
      </c>
      <c r="C718" s="151">
        <v>10007546</v>
      </c>
      <c r="D718" s="46" t="s">
        <v>618</v>
      </c>
      <c r="E718" s="26" t="s">
        <v>83</v>
      </c>
      <c r="F718" s="26" t="s">
        <v>82</v>
      </c>
      <c r="G718" s="26" t="s">
        <v>542</v>
      </c>
      <c r="H718" s="26" t="s">
        <v>238</v>
      </c>
      <c r="I718" s="26" t="s">
        <v>238</v>
      </c>
      <c r="J718" s="2" t="s">
        <v>72</v>
      </c>
      <c r="K718" s="141" t="s">
        <v>72</v>
      </c>
      <c r="L718" s="141" t="s">
        <v>619</v>
      </c>
      <c r="M718" s="26" t="s">
        <v>409</v>
      </c>
      <c r="N718" s="2">
        <v>39378</v>
      </c>
      <c r="O718" s="2">
        <v>39379</v>
      </c>
      <c r="P718" s="133">
        <v>39423</v>
      </c>
      <c r="Q718" s="6">
        <v>1</v>
      </c>
      <c r="R718" s="6">
        <v>1</v>
      </c>
      <c r="S718" s="6">
        <v>1</v>
      </c>
      <c r="T718" s="120" t="s">
        <v>178</v>
      </c>
      <c r="U718" s="6">
        <v>1</v>
      </c>
      <c r="V718" s="6" t="s">
        <v>72</v>
      </c>
      <c r="W718" s="5" t="s">
        <v>72</v>
      </c>
      <c r="X718" s="6" t="s">
        <v>72</v>
      </c>
      <c r="Y718" s="6" t="s">
        <v>72</v>
      </c>
      <c r="Z718" s="6" t="s">
        <v>72</v>
      </c>
      <c r="AA718" s="6" t="s">
        <v>72</v>
      </c>
      <c r="AB718" s="6" t="s">
        <v>72</v>
      </c>
      <c r="AC718" s="6" t="s">
        <v>208</v>
      </c>
    </row>
    <row r="719" spans="1:29" x14ac:dyDescent="0.25">
      <c r="A719" s="145" t="str">
        <f>HYPERLINK("http://www.ofsted.gov.uk/inspection-reports/find-inspection-report/provider/ELS/130523 ","Ofsted Webpage")</f>
        <v>Ofsted Webpage</v>
      </c>
      <c r="B719" s="151">
        <v>130523</v>
      </c>
      <c r="C719" s="151">
        <v>10006195</v>
      </c>
      <c r="D719" s="46" t="s">
        <v>1944</v>
      </c>
      <c r="E719" s="26" t="s">
        <v>83</v>
      </c>
      <c r="F719" s="26" t="s">
        <v>82</v>
      </c>
      <c r="G719" s="26" t="s">
        <v>542</v>
      </c>
      <c r="H719" s="26" t="s">
        <v>238</v>
      </c>
      <c r="I719" s="26" t="s">
        <v>238</v>
      </c>
      <c r="J719" s="2" t="s">
        <v>72</v>
      </c>
      <c r="K719" s="141" t="s">
        <v>72</v>
      </c>
      <c r="L719" s="141">
        <v>10020087</v>
      </c>
      <c r="M719" s="26" t="s">
        <v>372</v>
      </c>
      <c r="N719" s="2">
        <v>42780</v>
      </c>
      <c r="O719" s="2">
        <v>42783</v>
      </c>
      <c r="P719" s="133">
        <v>42815</v>
      </c>
      <c r="Q719" s="6">
        <v>1</v>
      </c>
      <c r="R719" s="6">
        <v>1</v>
      </c>
      <c r="S719" s="6">
        <v>1</v>
      </c>
      <c r="T719" s="6">
        <v>1</v>
      </c>
      <c r="U719" s="6">
        <v>1</v>
      </c>
      <c r="V719" s="6" t="s">
        <v>1945</v>
      </c>
      <c r="W719" s="5">
        <v>41222</v>
      </c>
      <c r="X719" s="6">
        <v>2</v>
      </c>
      <c r="Y719" s="6">
        <v>2</v>
      </c>
      <c r="Z719" s="6">
        <v>2</v>
      </c>
      <c r="AA719" s="6" t="s">
        <v>178</v>
      </c>
      <c r="AB719" s="6">
        <v>2</v>
      </c>
      <c r="AC719" s="6" t="s">
        <v>216</v>
      </c>
    </row>
    <row r="720" spans="1:29" x14ac:dyDescent="0.25">
      <c r="A720" s="145" t="str">
        <f>HYPERLINK("http://www.ofsted.gov.uk/inspection-reports/find-inspection-report/provider/ELS/130524 ","Ofsted Webpage")</f>
        <v>Ofsted Webpage</v>
      </c>
      <c r="B720" s="151">
        <v>130524</v>
      </c>
      <c r="C720" s="151">
        <v>10000536</v>
      </c>
      <c r="D720" s="46" t="s">
        <v>1946</v>
      </c>
      <c r="E720" s="26" t="s">
        <v>81</v>
      </c>
      <c r="F720" s="26" t="s">
        <v>82</v>
      </c>
      <c r="G720" s="26" t="s">
        <v>582</v>
      </c>
      <c r="H720" s="26" t="s">
        <v>187</v>
      </c>
      <c r="I720" s="26" t="s">
        <v>188</v>
      </c>
      <c r="J720" s="2" t="s">
        <v>72</v>
      </c>
      <c r="K720" s="141" t="s">
        <v>72</v>
      </c>
      <c r="L720" s="141" t="s">
        <v>1947</v>
      </c>
      <c r="M720" s="26" t="s">
        <v>377</v>
      </c>
      <c r="N720" s="2">
        <v>40483</v>
      </c>
      <c r="O720" s="2">
        <v>40487</v>
      </c>
      <c r="P720" s="133">
        <v>40522</v>
      </c>
      <c r="Q720" s="6">
        <v>1</v>
      </c>
      <c r="R720" s="6">
        <v>1</v>
      </c>
      <c r="S720" s="6">
        <v>2</v>
      </c>
      <c r="T720" s="120" t="s">
        <v>178</v>
      </c>
      <c r="U720" s="6">
        <v>1</v>
      </c>
      <c r="V720" s="6" t="s">
        <v>1948</v>
      </c>
      <c r="W720" s="5">
        <v>39115</v>
      </c>
      <c r="X720" s="6">
        <v>3</v>
      </c>
      <c r="Y720" s="6">
        <v>3</v>
      </c>
      <c r="Z720" s="6">
        <v>2</v>
      </c>
      <c r="AA720" s="6" t="s">
        <v>178</v>
      </c>
      <c r="AB720" s="6">
        <v>2</v>
      </c>
      <c r="AC720" s="6" t="s">
        <v>216</v>
      </c>
    </row>
    <row r="721" spans="1:29" x14ac:dyDescent="0.25">
      <c r="A721" s="145" t="str">
        <f>HYPERLINK("http://www.ofsted.gov.uk/inspection-reports/find-inspection-report/provider/ELS/130525 ","Ofsted Webpage")</f>
        <v>Ofsted Webpage</v>
      </c>
      <c r="B721" s="151">
        <v>130525</v>
      </c>
      <c r="C721" s="151">
        <v>10004739</v>
      </c>
      <c r="D721" s="46" t="s">
        <v>1578</v>
      </c>
      <c r="E721" s="26" t="s">
        <v>84</v>
      </c>
      <c r="F721" s="26" t="s">
        <v>76</v>
      </c>
      <c r="G721" s="26" t="s">
        <v>582</v>
      </c>
      <c r="H721" s="26" t="s">
        <v>187</v>
      </c>
      <c r="I721" s="26" t="s">
        <v>188</v>
      </c>
      <c r="J721" s="2" t="s">
        <v>72</v>
      </c>
      <c r="K721" s="141" t="s">
        <v>72</v>
      </c>
      <c r="L721" s="141" t="s">
        <v>1579</v>
      </c>
      <c r="M721" s="26" t="s">
        <v>549</v>
      </c>
      <c r="N721" s="2">
        <v>41807</v>
      </c>
      <c r="O721" s="2">
        <v>41810</v>
      </c>
      <c r="P721" s="133">
        <v>41843</v>
      </c>
      <c r="Q721" s="6">
        <v>1</v>
      </c>
      <c r="R721" s="6">
        <v>1</v>
      </c>
      <c r="S721" s="6">
        <v>1</v>
      </c>
      <c r="T721" s="120" t="s">
        <v>178</v>
      </c>
      <c r="U721" s="6">
        <v>1</v>
      </c>
      <c r="V721" s="6" t="s">
        <v>1580</v>
      </c>
      <c r="W721" s="5">
        <v>39038</v>
      </c>
      <c r="X721" s="6">
        <v>1</v>
      </c>
      <c r="Y721" s="6" t="s">
        <v>178</v>
      </c>
      <c r="Z721" s="6" t="s">
        <v>178</v>
      </c>
      <c r="AA721" s="6" t="s">
        <v>178</v>
      </c>
      <c r="AB721" s="6">
        <v>1</v>
      </c>
      <c r="AC721" s="6" t="s">
        <v>180</v>
      </c>
    </row>
    <row r="722" spans="1:29" x14ac:dyDescent="0.25">
      <c r="A722" s="145" t="str">
        <f>HYPERLINK("http://www.ofsted.gov.uk/inspection-reports/find-inspection-report/provider/ELS/130527 ","Ofsted Webpage")</f>
        <v>Ofsted Webpage</v>
      </c>
      <c r="B722" s="151">
        <v>130527</v>
      </c>
      <c r="C722" s="151">
        <v>10005534</v>
      </c>
      <c r="D722" s="46" t="s">
        <v>1949</v>
      </c>
      <c r="E722" s="26" t="s">
        <v>81</v>
      </c>
      <c r="F722" s="26" t="s">
        <v>82</v>
      </c>
      <c r="G722" s="26" t="s">
        <v>186</v>
      </c>
      <c r="H722" s="26" t="s">
        <v>187</v>
      </c>
      <c r="I722" s="26" t="s">
        <v>188</v>
      </c>
      <c r="J722" s="2" t="s">
        <v>72</v>
      </c>
      <c r="K722" s="141" t="s">
        <v>72</v>
      </c>
      <c r="L722" s="141" t="s">
        <v>1950</v>
      </c>
      <c r="M722" s="26" t="s">
        <v>194</v>
      </c>
      <c r="N722" s="2">
        <v>41414</v>
      </c>
      <c r="O722" s="2">
        <v>41418</v>
      </c>
      <c r="P722" s="133">
        <v>41452</v>
      </c>
      <c r="Q722" s="6">
        <v>2</v>
      </c>
      <c r="R722" s="6">
        <v>2</v>
      </c>
      <c r="S722" s="6">
        <v>2</v>
      </c>
      <c r="T722" s="120" t="s">
        <v>178</v>
      </c>
      <c r="U722" s="6">
        <v>2</v>
      </c>
      <c r="V722" s="6" t="s">
        <v>1951</v>
      </c>
      <c r="W722" s="5">
        <v>40508</v>
      </c>
      <c r="X722" s="6">
        <v>3</v>
      </c>
      <c r="Y722" s="6">
        <v>3</v>
      </c>
      <c r="Z722" s="6">
        <v>3</v>
      </c>
      <c r="AA722" s="6" t="s">
        <v>178</v>
      </c>
      <c r="AB722" s="6">
        <v>3</v>
      </c>
      <c r="AC722" s="6" t="s">
        <v>216</v>
      </c>
    </row>
    <row r="723" spans="1:29" x14ac:dyDescent="0.25">
      <c r="A723" s="145" t="str">
        <f>HYPERLINK("http://www.ofsted.gov.uk/inspection-reports/find-inspection-report/provider/ELS/130531 ","Ofsted Webpage")</f>
        <v>Ofsted Webpage</v>
      </c>
      <c r="B723" s="151">
        <v>130531</v>
      </c>
      <c r="C723" s="151">
        <v>10005788</v>
      </c>
      <c r="D723" s="46" t="s">
        <v>1955</v>
      </c>
      <c r="E723" s="26" t="s">
        <v>81</v>
      </c>
      <c r="F723" s="26" t="s">
        <v>82</v>
      </c>
      <c r="G723" s="26" t="s">
        <v>230</v>
      </c>
      <c r="H723" s="26" t="s">
        <v>187</v>
      </c>
      <c r="I723" s="26" t="s">
        <v>188</v>
      </c>
      <c r="J723" s="2" t="s">
        <v>72</v>
      </c>
      <c r="K723" s="141" t="s">
        <v>72</v>
      </c>
      <c r="L723" s="141">
        <v>10005437</v>
      </c>
      <c r="M723" s="26" t="s">
        <v>194</v>
      </c>
      <c r="N723" s="2">
        <v>42395</v>
      </c>
      <c r="O723" s="2">
        <v>42398</v>
      </c>
      <c r="P723" s="133">
        <v>42424</v>
      </c>
      <c r="Q723" s="6">
        <v>3</v>
      </c>
      <c r="R723" s="6">
        <v>3</v>
      </c>
      <c r="S723" s="6">
        <v>3</v>
      </c>
      <c r="T723" s="6">
        <v>3</v>
      </c>
      <c r="U723" s="6">
        <v>3</v>
      </c>
      <c r="V723" s="6" t="s">
        <v>1956</v>
      </c>
      <c r="W723" s="5">
        <v>41397</v>
      </c>
      <c r="X723" s="6">
        <v>2</v>
      </c>
      <c r="Y723" s="6">
        <v>3</v>
      </c>
      <c r="Z723" s="6">
        <v>2</v>
      </c>
      <c r="AA723" s="6" t="s">
        <v>178</v>
      </c>
      <c r="AB723" s="6">
        <v>2</v>
      </c>
      <c r="AC723" s="6" t="s">
        <v>201</v>
      </c>
    </row>
    <row r="724" spans="1:29" x14ac:dyDescent="0.25">
      <c r="A724" s="145" t="str">
        <f>HYPERLINK("http://www.ofsted.gov.uk/inspection-reports/find-inspection-report/provider/ELS/130532 ","Ofsted Webpage")</f>
        <v>Ofsted Webpage</v>
      </c>
      <c r="B724" s="151">
        <v>130532</v>
      </c>
      <c r="C724" s="151">
        <v>10000840</v>
      </c>
      <c r="D724" s="46" t="s">
        <v>1832</v>
      </c>
      <c r="E724" s="26" t="s">
        <v>81</v>
      </c>
      <c r="F724" s="26" t="s">
        <v>82</v>
      </c>
      <c r="G724" s="26" t="s">
        <v>914</v>
      </c>
      <c r="H724" s="26" t="s">
        <v>187</v>
      </c>
      <c r="I724" s="26" t="s">
        <v>188</v>
      </c>
      <c r="J724" s="2" t="s">
        <v>72</v>
      </c>
      <c r="K724" s="141" t="s">
        <v>72</v>
      </c>
      <c r="L724" s="141">
        <v>10037383</v>
      </c>
      <c r="M724" s="26" t="s">
        <v>194</v>
      </c>
      <c r="N724" s="2">
        <v>43018</v>
      </c>
      <c r="O724" s="2">
        <v>43021</v>
      </c>
      <c r="P724" s="133">
        <v>43053</v>
      </c>
      <c r="Q724" s="6">
        <v>3</v>
      </c>
      <c r="R724" s="6">
        <v>3</v>
      </c>
      <c r="S724" s="6">
        <v>3</v>
      </c>
      <c r="T724" s="6">
        <v>3</v>
      </c>
      <c r="U724" s="6">
        <v>3</v>
      </c>
      <c r="V724" s="6" t="s">
        <v>1833</v>
      </c>
      <c r="W724" s="5">
        <v>41908</v>
      </c>
      <c r="X724" s="6">
        <v>2</v>
      </c>
      <c r="Y724" s="6">
        <v>2</v>
      </c>
      <c r="Z724" s="6">
        <v>2</v>
      </c>
      <c r="AA724" s="6" t="s">
        <v>178</v>
      </c>
      <c r="AB724" s="6">
        <v>2</v>
      </c>
      <c r="AC724" s="6" t="s">
        <v>201</v>
      </c>
    </row>
    <row r="725" spans="1:29" x14ac:dyDescent="0.25">
      <c r="A725" s="145" t="str">
        <f>HYPERLINK("http://www.ofsted.gov.uk/inspection-reports/find-inspection-report/provider/ELS/130534 ","Ofsted Webpage")</f>
        <v>Ofsted Webpage</v>
      </c>
      <c r="B725" s="151">
        <v>130534</v>
      </c>
      <c r="C725" s="151">
        <v>10005810</v>
      </c>
      <c r="D725" s="46" t="s">
        <v>1834</v>
      </c>
      <c r="E725" s="26" t="s">
        <v>81</v>
      </c>
      <c r="F725" s="26" t="s">
        <v>82</v>
      </c>
      <c r="G725" s="26" t="s">
        <v>914</v>
      </c>
      <c r="H725" s="26" t="s">
        <v>187</v>
      </c>
      <c r="I725" s="26" t="s">
        <v>188</v>
      </c>
      <c r="J725" s="2">
        <v>42677</v>
      </c>
      <c r="K725" s="141">
        <v>1</v>
      </c>
      <c r="L725" s="141" t="s">
        <v>1835</v>
      </c>
      <c r="M725" s="26" t="s">
        <v>194</v>
      </c>
      <c r="N725" s="2">
        <v>41317</v>
      </c>
      <c r="O725" s="2">
        <v>41320</v>
      </c>
      <c r="P725" s="133">
        <v>41353</v>
      </c>
      <c r="Q725" s="6">
        <v>2</v>
      </c>
      <c r="R725" s="6">
        <v>2</v>
      </c>
      <c r="S725" s="6">
        <v>2</v>
      </c>
      <c r="T725" s="120" t="s">
        <v>178</v>
      </c>
      <c r="U725" s="6">
        <v>2</v>
      </c>
      <c r="V725" s="6" t="s">
        <v>1836</v>
      </c>
      <c r="W725" s="5">
        <v>40452</v>
      </c>
      <c r="X725" s="6">
        <v>3</v>
      </c>
      <c r="Y725" s="6">
        <v>3</v>
      </c>
      <c r="Z725" s="6">
        <v>3</v>
      </c>
      <c r="AA725" s="6" t="s">
        <v>178</v>
      </c>
      <c r="AB725" s="6">
        <v>3</v>
      </c>
      <c r="AC725" s="6" t="s">
        <v>216</v>
      </c>
    </row>
    <row r="726" spans="1:29" x14ac:dyDescent="0.25">
      <c r="A726" s="145" t="str">
        <f>HYPERLINK("http://www.ofsted.gov.uk/inspection-reports/find-inspection-report/provider/ELS/130535 ","Ofsted Webpage")</f>
        <v>Ofsted Webpage</v>
      </c>
      <c r="B726" s="151">
        <v>130535</v>
      </c>
      <c r="C726" s="151">
        <v>10001093</v>
      </c>
      <c r="D726" s="46" t="s">
        <v>1837</v>
      </c>
      <c r="E726" s="26" t="s">
        <v>81</v>
      </c>
      <c r="F726" s="26" t="s">
        <v>82</v>
      </c>
      <c r="G726" s="26" t="s">
        <v>668</v>
      </c>
      <c r="H726" s="26" t="s">
        <v>187</v>
      </c>
      <c r="I726" s="26" t="s">
        <v>188</v>
      </c>
      <c r="J726" s="2" t="s">
        <v>72</v>
      </c>
      <c r="K726" s="141" t="s">
        <v>72</v>
      </c>
      <c r="L726" s="141" t="s">
        <v>1838</v>
      </c>
      <c r="M726" s="26" t="s">
        <v>194</v>
      </c>
      <c r="N726" s="2">
        <v>41708</v>
      </c>
      <c r="O726" s="2">
        <v>41712</v>
      </c>
      <c r="P726" s="133">
        <v>41745</v>
      </c>
      <c r="Q726" s="6">
        <v>2</v>
      </c>
      <c r="R726" s="6">
        <v>2</v>
      </c>
      <c r="S726" s="6">
        <v>2</v>
      </c>
      <c r="T726" s="120" t="s">
        <v>178</v>
      </c>
      <c r="U726" s="6">
        <v>2</v>
      </c>
      <c r="V726" s="6" t="s">
        <v>1839</v>
      </c>
      <c r="W726" s="5">
        <v>40592</v>
      </c>
      <c r="X726" s="6">
        <v>2</v>
      </c>
      <c r="Y726" s="6">
        <v>2</v>
      </c>
      <c r="Z726" s="6">
        <v>2</v>
      </c>
      <c r="AA726" s="6" t="s">
        <v>178</v>
      </c>
      <c r="AB726" s="6">
        <v>2</v>
      </c>
      <c r="AC726" s="6" t="s">
        <v>180</v>
      </c>
    </row>
    <row r="727" spans="1:29" x14ac:dyDescent="0.25">
      <c r="A727" s="145" t="str">
        <f>HYPERLINK("http://www.ofsted.gov.uk/inspection-reports/find-inspection-report/provider/ELS/130537 ","Ofsted Webpage")</f>
        <v>Ofsted Webpage</v>
      </c>
      <c r="B727" s="151">
        <v>130537</v>
      </c>
      <c r="C727" s="151">
        <v>10003189</v>
      </c>
      <c r="D727" s="46" t="s">
        <v>1840</v>
      </c>
      <c r="E727" s="26" t="s">
        <v>81</v>
      </c>
      <c r="F727" s="26" t="s">
        <v>82</v>
      </c>
      <c r="G727" s="26" t="s">
        <v>461</v>
      </c>
      <c r="H727" s="26" t="s">
        <v>187</v>
      </c>
      <c r="I727" s="26" t="s">
        <v>188</v>
      </c>
      <c r="J727" s="2" t="s">
        <v>72</v>
      </c>
      <c r="K727" s="141" t="s">
        <v>72</v>
      </c>
      <c r="L727" s="141" t="s">
        <v>1841</v>
      </c>
      <c r="M727" s="26" t="s">
        <v>622</v>
      </c>
      <c r="N727" s="2">
        <v>41218</v>
      </c>
      <c r="O727" s="2">
        <v>41222</v>
      </c>
      <c r="P727" s="133">
        <v>41257</v>
      </c>
      <c r="Q727" s="6">
        <v>2</v>
      </c>
      <c r="R727" s="6">
        <v>2</v>
      </c>
      <c r="S727" s="6">
        <v>2</v>
      </c>
      <c r="T727" s="120" t="s">
        <v>178</v>
      </c>
      <c r="U727" s="6">
        <v>1</v>
      </c>
      <c r="V727" s="6" t="s">
        <v>1842</v>
      </c>
      <c r="W727" s="5">
        <v>40641</v>
      </c>
      <c r="X727" s="6">
        <v>4</v>
      </c>
      <c r="Y727" s="6">
        <v>4</v>
      </c>
      <c r="Z727" s="6">
        <v>3</v>
      </c>
      <c r="AA727" s="6" t="s">
        <v>178</v>
      </c>
      <c r="AB727" s="6">
        <v>4</v>
      </c>
      <c r="AC727" s="6" t="s">
        <v>216</v>
      </c>
    </row>
    <row r="728" spans="1:29" x14ac:dyDescent="0.25">
      <c r="A728" s="145" t="str">
        <f>HYPERLINK("http://www.ofsted.gov.uk/inspection-reports/find-inspection-report/provider/ELS/130538 ","Ofsted Webpage")</f>
        <v>Ofsted Webpage</v>
      </c>
      <c r="B728" s="151">
        <v>130538</v>
      </c>
      <c r="C728" s="151">
        <v>10002770</v>
      </c>
      <c r="D728" s="46" t="s">
        <v>1843</v>
      </c>
      <c r="E728" s="26" t="s">
        <v>83</v>
      </c>
      <c r="F728" s="26" t="s">
        <v>82</v>
      </c>
      <c r="G728" s="26" t="s">
        <v>461</v>
      </c>
      <c r="H728" s="26" t="s">
        <v>187</v>
      </c>
      <c r="I728" s="26" t="s">
        <v>188</v>
      </c>
      <c r="J728" s="2" t="s">
        <v>72</v>
      </c>
      <c r="K728" s="141" t="s">
        <v>72</v>
      </c>
      <c r="L728" s="141" t="s">
        <v>1844</v>
      </c>
      <c r="M728" s="26" t="s">
        <v>409</v>
      </c>
      <c r="N728" s="2">
        <v>39407</v>
      </c>
      <c r="O728" s="2">
        <v>39408</v>
      </c>
      <c r="P728" s="133">
        <v>39465</v>
      </c>
      <c r="Q728" s="6">
        <v>1</v>
      </c>
      <c r="R728" s="6">
        <v>1</v>
      </c>
      <c r="S728" s="6">
        <v>1</v>
      </c>
      <c r="T728" s="120" t="s">
        <v>178</v>
      </c>
      <c r="U728" s="6">
        <v>1</v>
      </c>
      <c r="V728" s="6" t="s">
        <v>72</v>
      </c>
      <c r="W728" s="5" t="s">
        <v>72</v>
      </c>
      <c r="X728" s="6" t="s">
        <v>72</v>
      </c>
      <c r="Y728" s="6" t="s">
        <v>72</v>
      </c>
      <c r="Z728" s="6" t="s">
        <v>72</v>
      </c>
      <c r="AA728" s="6" t="s">
        <v>72</v>
      </c>
      <c r="AB728" s="6" t="s">
        <v>72</v>
      </c>
      <c r="AC728" s="6" t="s">
        <v>208</v>
      </c>
    </row>
    <row r="729" spans="1:29" x14ac:dyDescent="0.25">
      <c r="A729" s="145" t="str">
        <f>HYPERLINK("http://www.ofsted.gov.uk/inspection-reports/find-inspection-report/provider/ELS/130539 ","Ofsted Webpage")</f>
        <v>Ofsted Webpage</v>
      </c>
      <c r="B729" s="151">
        <v>130539</v>
      </c>
      <c r="C729" s="151">
        <v>10003188</v>
      </c>
      <c r="D729" s="46" t="s">
        <v>1845</v>
      </c>
      <c r="E729" s="26" t="s">
        <v>83</v>
      </c>
      <c r="F729" s="26" t="s">
        <v>82</v>
      </c>
      <c r="G729" s="26" t="s">
        <v>461</v>
      </c>
      <c r="H729" s="26" t="s">
        <v>187</v>
      </c>
      <c r="I729" s="26" t="s">
        <v>188</v>
      </c>
      <c r="J729" s="2" t="s">
        <v>72</v>
      </c>
      <c r="K729" s="141" t="s">
        <v>72</v>
      </c>
      <c r="L729" s="141">
        <v>10011422</v>
      </c>
      <c r="M729" s="26" t="s">
        <v>372</v>
      </c>
      <c r="N729" s="2">
        <v>42472</v>
      </c>
      <c r="O729" s="2">
        <v>42475</v>
      </c>
      <c r="P729" s="133">
        <v>42506</v>
      </c>
      <c r="Q729" s="6">
        <v>1</v>
      </c>
      <c r="R729" s="6">
        <v>1</v>
      </c>
      <c r="S729" s="6">
        <v>1</v>
      </c>
      <c r="T729" s="6">
        <v>1</v>
      </c>
      <c r="U729" s="6">
        <v>1</v>
      </c>
      <c r="V729" s="6" t="s">
        <v>1846</v>
      </c>
      <c r="W729" s="5">
        <v>40830</v>
      </c>
      <c r="X729" s="6">
        <v>2</v>
      </c>
      <c r="Y729" s="6">
        <v>2</v>
      </c>
      <c r="Z729" s="6">
        <v>2</v>
      </c>
      <c r="AA729" s="6" t="s">
        <v>178</v>
      </c>
      <c r="AB729" s="6">
        <v>2</v>
      </c>
      <c r="AC729" s="6" t="s">
        <v>216</v>
      </c>
    </row>
    <row r="730" spans="1:29" x14ac:dyDescent="0.25">
      <c r="A730" s="145" t="str">
        <f>HYPERLINK("http://www.ofsted.gov.uk/inspection-reports/find-inspection-report/provider/ELS/130542 ","Ofsted Webpage")</f>
        <v>Ofsted Webpage</v>
      </c>
      <c r="B730" s="151">
        <v>130542</v>
      </c>
      <c r="C730" s="151">
        <v>10003855</v>
      </c>
      <c r="D730" s="46" t="s">
        <v>2047</v>
      </c>
      <c r="E730" s="26" t="s">
        <v>81</v>
      </c>
      <c r="F730" s="26" t="s">
        <v>82</v>
      </c>
      <c r="G730" s="26" t="s">
        <v>474</v>
      </c>
      <c r="H730" s="26" t="s">
        <v>187</v>
      </c>
      <c r="I730" s="26" t="s">
        <v>188</v>
      </c>
      <c r="J730" s="2" t="s">
        <v>72</v>
      </c>
      <c r="K730" s="141" t="s">
        <v>72</v>
      </c>
      <c r="L730" s="141" t="s">
        <v>2048</v>
      </c>
      <c r="M730" s="26" t="s">
        <v>215</v>
      </c>
      <c r="N730" s="2">
        <v>41792</v>
      </c>
      <c r="O730" s="2">
        <v>41796</v>
      </c>
      <c r="P730" s="133">
        <v>41827</v>
      </c>
      <c r="Q730" s="6">
        <v>2</v>
      </c>
      <c r="R730" s="6">
        <v>2</v>
      </c>
      <c r="S730" s="6">
        <v>2</v>
      </c>
      <c r="T730" s="120" t="s">
        <v>178</v>
      </c>
      <c r="U730" s="6">
        <v>2</v>
      </c>
      <c r="V730" s="6" t="s">
        <v>2049</v>
      </c>
      <c r="W730" s="5">
        <v>41306</v>
      </c>
      <c r="X730" s="6">
        <v>3</v>
      </c>
      <c r="Y730" s="6">
        <v>3</v>
      </c>
      <c r="Z730" s="6">
        <v>2</v>
      </c>
      <c r="AA730" s="6" t="s">
        <v>178</v>
      </c>
      <c r="AB730" s="6">
        <v>3</v>
      </c>
      <c r="AC730" s="6" t="s">
        <v>216</v>
      </c>
    </row>
    <row r="731" spans="1:29" x14ac:dyDescent="0.25">
      <c r="A731" s="145" t="str">
        <f>HYPERLINK("http://www.ofsted.gov.uk/inspection-reports/find-inspection-report/provider/ELS/130547 ","Ofsted Webpage")</f>
        <v>Ofsted Webpage</v>
      </c>
      <c r="B731" s="151">
        <v>130547</v>
      </c>
      <c r="C731" s="151">
        <v>10003854</v>
      </c>
      <c r="D731" s="46" t="s">
        <v>764</v>
      </c>
      <c r="E731" s="26" t="s">
        <v>69</v>
      </c>
      <c r="F731" s="26" t="s">
        <v>222</v>
      </c>
      <c r="G731" s="26" t="s">
        <v>474</v>
      </c>
      <c r="H731" s="26" t="s">
        <v>187</v>
      </c>
      <c r="I731" s="26" t="s">
        <v>188</v>
      </c>
      <c r="J731" s="2">
        <v>42432</v>
      </c>
      <c r="K731" s="141">
        <v>1</v>
      </c>
      <c r="L731" s="141" t="s">
        <v>765</v>
      </c>
      <c r="M731" s="26" t="s">
        <v>369</v>
      </c>
      <c r="N731" s="2">
        <v>40609</v>
      </c>
      <c r="O731" s="2">
        <v>40613</v>
      </c>
      <c r="P731" s="133">
        <v>40648</v>
      </c>
      <c r="Q731" s="6">
        <v>2</v>
      </c>
      <c r="R731" s="6">
        <v>2</v>
      </c>
      <c r="S731" s="6">
        <v>2</v>
      </c>
      <c r="T731" s="120" t="s">
        <v>178</v>
      </c>
      <c r="U731" s="6">
        <v>3</v>
      </c>
      <c r="V731" s="6" t="s">
        <v>766</v>
      </c>
      <c r="W731" s="5">
        <v>38856</v>
      </c>
      <c r="X731" s="6">
        <v>2</v>
      </c>
      <c r="Y731" s="6">
        <v>2</v>
      </c>
      <c r="Z731" s="6">
        <v>2</v>
      </c>
      <c r="AA731" s="6" t="s">
        <v>178</v>
      </c>
      <c r="AB731" s="6">
        <v>2</v>
      </c>
      <c r="AC731" s="6" t="s">
        <v>180</v>
      </c>
    </row>
    <row r="732" spans="1:29" x14ac:dyDescent="0.25">
      <c r="A732" s="145" t="str">
        <f>HYPERLINK("http://www.ofsted.gov.uk/inspection-reports/find-inspection-report/provider/ELS/130548 ","Ofsted Webpage")</f>
        <v>Ofsted Webpage</v>
      </c>
      <c r="B732" s="151">
        <v>130548</v>
      </c>
      <c r="C732" s="151">
        <v>10004785</v>
      </c>
      <c r="D732" s="46" t="s">
        <v>2050</v>
      </c>
      <c r="E732" s="26" t="s">
        <v>83</v>
      </c>
      <c r="F732" s="26" t="s">
        <v>82</v>
      </c>
      <c r="G732" s="26" t="s">
        <v>474</v>
      </c>
      <c r="H732" s="26" t="s">
        <v>187</v>
      </c>
      <c r="I732" s="26" t="s">
        <v>188</v>
      </c>
      <c r="J732" s="2" t="s">
        <v>72</v>
      </c>
      <c r="K732" s="141" t="s">
        <v>72</v>
      </c>
      <c r="L732" s="141" t="s">
        <v>2051</v>
      </c>
      <c r="M732" s="26" t="s">
        <v>409</v>
      </c>
      <c r="N732" s="2">
        <v>39554</v>
      </c>
      <c r="O732" s="2">
        <v>39555</v>
      </c>
      <c r="P732" s="133">
        <v>39605</v>
      </c>
      <c r="Q732" s="6">
        <v>1</v>
      </c>
      <c r="R732" s="6">
        <v>2</v>
      </c>
      <c r="S732" s="6">
        <v>2</v>
      </c>
      <c r="T732" s="120" t="s">
        <v>178</v>
      </c>
      <c r="U732" s="6">
        <v>1</v>
      </c>
      <c r="V732" s="6" t="s">
        <v>72</v>
      </c>
      <c r="W732" s="5" t="s">
        <v>72</v>
      </c>
      <c r="X732" s="6" t="s">
        <v>72</v>
      </c>
      <c r="Y732" s="6" t="s">
        <v>72</v>
      </c>
      <c r="Z732" s="6" t="s">
        <v>72</v>
      </c>
      <c r="AA732" s="6" t="s">
        <v>72</v>
      </c>
      <c r="AB732" s="6" t="s">
        <v>72</v>
      </c>
      <c r="AC732" s="6" t="s">
        <v>208</v>
      </c>
    </row>
    <row r="733" spans="1:29" x14ac:dyDescent="0.25">
      <c r="A733" s="145" t="str">
        <f>HYPERLINK("http://www.ofsted.gov.uk/inspection-reports/find-inspection-report/provider/ELS/130549 ","Ofsted Webpage")</f>
        <v>Ofsted Webpage</v>
      </c>
      <c r="B733" s="151">
        <v>130549</v>
      </c>
      <c r="C733" s="151">
        <v>10007289</v>
      </c>
      <c r="D733" s="46" t="s">
        <v>2052</v>
      </c>
      <c r="E733" s="26" t="s">
        <v>81</v>
      </c>
      <c r="F733" s="26" t="s">
        <v>82</v>
      </c>
      <c r="G733" s="26" t="s">
        <v>1128</v>
      </c>
      <c r="H733" s="26" t="s">
        <v>187</v>
      </c>
      <c r="I733" s="26" t="s">
        <v>188</v>
      </c>
      <c r="J733" s="2" t="s">
        <v>72</v>
      </c>
      <c r="K733" s="141" t="s">
        <v>72</v>
      </c>
      <c r="L733" s="141">
        <v>10022485</v>
      </c>
      <c r="M733" s="26" t="s">
        <v>194</v>
      </c>
      <c r="N733" s="2">
        <v>42821</v>
      </c>
      <c r="O733" s="2">
        <v>42824</v>
      </c>
      <c r="P733" s="133">
        <v>42864</v>
      </c>
      <c r="Q733" s="6">
        <v>3</v>
      </c>
      <c r="R733" s="6">
        <v>3</v>
      </c>
      <c r="S733" s="6">
        <v>3</v>
      </c>
      <c r="T733" s="6">
        <v>3</v>
      </c>
      <c r="U733" s="6">
        <v>3</v>
      </c>
      <c r="V733" s="6" t="s">
        <v>2053</v>
      </c>
      <c r="W733" s="5">
        <v>41677</v>
      </c>
      <c r="X733" s="6">
        <v>2</v>
      </c>
      <c r="Y733" s="6">
        <v>3</v>
      </c>
      <c r="Z733" s="6">
        <v>2</v>
      </c>
      <c r="AA733" s="6" t="s">
        <v>178</v>
      </c>
      <c r="AB733" s="6">
        <v>2</v>
      </c>
      <c r="AC733" s="6" t="s">
        <v>201</v>
      </c>
    </row>
    <row r="734" spans="1:29" x14ac:dyDescent="0.25">
      <c r="A734" s="145" t="str">
        <f>HYPERLINK("http://www.ofsted.gov.uk/inspection-reports/find-inspection-report/provider/ELS/130551 ","Ofsted Webpage")</f>
        <v>Ofsted Webpage</v>
      </c>
      <c r="B734" s="151">
        <v>130551</v>
      </c>
      <c r="C734" s="151">
        <v>10002638</v>
      </c>
      <c r="D734" s="46" t="s">
        <v>2054</v>
      </c>
      <c r="E734" s="26" t="s">
        <v>81</v>
      </c>
      <c r="F734" s="26" t="s">
        <v>82</v>
      </c>
      <c r="G734" s="26" t="s">
        <v>1269</v>
      </c>
      <c r="H734" s="26" t="s">
        <v>204</v>
      </c>
      <c r="I734" s="26" t="s">
        <v>188</v>
      </c>
      <c r="J734" s="2" t="s">
        <v>72</v>
      </c>
      <c r="K734" s="141" t="s">
        <v>72</v>
      </c>
      <c r="L734" s="141" t="s">
        <v>2055</v>
      </c>
      <c r="M734" s="26" t="s">
        <v>215</v>
      </c>
      <c r="N734" s="2">
        <v>42163</v>
      </c>
      <c r="O734" s="2">
        <v>42167</v>
      </c>
      <c r="P734" s="133">
        <v>42202</v>
      </c>
      <c r="Q734" s="6">
        <v>1</v>
      </c>
      <c r="R734" s="6">
        <v>1</v>
      </c>
      <c r="S734" s="6">
        <v>1</v>
      </c>
      <c r="T734" s="120" t="s">
        <v>178</v>
      </c>
      <c r="U734" s="6">
        <v>1</v>
      </c>
      <c r="V734" s="6" t="s">
        <v>2056</v>
      </c>
      <c r="W734" s="5">
        <v>41677</v>
      </c>
      <c r="X734" s="6">
        <v>3</v>
      </c>
      <c r="Y734" s="6">
        <v>3</v>
      </c>
      <c r="Z734" s="6">
        <v>3</v>
      </c>
      <c r="AA734" s="6" t="s">
        <v>178</v>
      </c>
      <c r="AB734" s="6">
        <v>3</v>
      </c>
      <c r="AC734" s="6" t="s">
        <v>216</v>
      </c>
    </row>
    <row r="735" spans="1:29" x14ac:dyDescent="0.25">
      <c r="A735" s="145" t="str">
        <f>HYPERLINK("http://www.ofsted.gov.uk/inspection-reports/find-inspection-report/provider/ELS/130552 ","Ofsted Webpage")</f>
        <v>Ofsted Webpage</v>
      </c>
      <c r="B735" s="151">
        <v>130552</v>
      </c>
      <c r="C735" s="151">
        <v>10004599</v>
      </c>
      <c r="D735" s="46" t="s">
        <v>2057</v>
      </c>
      <c r="E735" s="26" t="s">
        <v>81</v>
      </c>
      <c r="F735" s="26" t="s">
        <v>82</v>
      </c>
      <c r="G735" s="26" t="s">
        <v>319</v>
      </c>
      <c r="H735" s="26" t="s">
        <v>204</v>
      </c>
      <c r="I735" s="26" t="s">
        <v>188</v>
      </c>
      <c r="J735" s="2" t="s">
        <v>72</v>
      </c>
      <c r="K735" s="141" t="s">
        <v>72</v>
      </c>
      <c r="L735" s="141">
        <v>10011423</v>
      </c>
      <c r="M735" s="26" t="s">
        <v>194</v>
      </c>
      <c r="N735" s="2">
        <v>42499</v>
      </c>
      <c r="O735" s="2">
        <v>42503</v>
      </c>
      <c r="P735" s="133">
        <v>42636</v>
      </c>
      <c r="Q735" s="6">
        <v>2</v>
      </c>
      <c r="R735" s="6">
        <v>2</v>
      </c>
      <c r="S735" s="6">
        <v>2</v>
      </c>
      <c r="T735" s="6">
        <v>2</v>
      </c>
      <c r="U735" s="6">
        <v>2</v>
      </c>
      <c r="V735" s="6" t="s">
        <v>2058</v>
      </c>
      <c r="W735" s="5">
        <v>41061</v>
      </c>
      <c r="X735" s="6">
        <v>2</v>
      </c>
      <c r="Y735" s="6">
        <v>2</v>
      </c>
      <c r="Z735" s="6">
        <v>2</v>
      </c>
      <c r="AA735" s="6" t="s">
        <v>178</v>
      </c>
      <c r="AB735" s="6">
        <v>2</v>
      </c>
      <c r="AC735" s="6" t="s">
        <v>180</v>
      </c>
    </row>
    <row r="736" spans="1:29" x14ac:dyDescent="0.25">
      <c r="A736" s="145" t="str">
        <f>HYPERLINK("http://www.ofsted.gov.uk/inspection-reports/find-inspection-report/provider/ELS/130555 ","Ofsted Webpage")</f>
        <v>Ofsted Webpage</v>
      </c>
      <c r="B736" s="151">
        <v>130555</v>
      </c>
      <c r="C736" s="151">
        <v>10005999</v>
      </c>
      <c r="D736" s="46" t="s">
        <v>2059</v>
      </c>
      <c r="E736" s="26" t="s">
        <v>81</v>
      </c>
      <c r="F736" s="26" t="s">
        <v>82</v>
      </c>
      <c r="G736" s="26" t="s">
        <v>783</v>
      </c>
      <c r="H736" s="26" t="s">
        <v>204</v>
      </c>
      <c r="I736" s="26" t="s">
        <v>188</v>
      </c>
      <c r="J736" s="2">
        <v>42354</v>
      </c>
      <c r="K736" s="141">
        <v>1</v>
      </c>
      <c r="L736" s="141" t="s">
        <v>2060</v>
      </c>
      <c r="M736" s="26" t="s">
        <v>194</v>
      </c>
      <c r="N736" s="2">
        <v>41197</v>
      </c>
      <c r="O736" s="2">
        <v>41201</v>
      </c>
      <c r="P736" s="133">
        <v>41236</v>
      </c>
      <c r="Q736" s="6">
        <v>2</v>
      </c>
      <c r="R736" s="6">
        <v>3</v>
      </c>
      <c r="S736" s="6">
        <v>2</v>
      </c>
      <c r="T736" s="120" t="s">
        <v>178</v>
      </c>
      <c r="U736" s="6">
        <v>2</v>
      </c>
      <c r="V736" s="6" t="s">
        <v>2061</v>
      </c>
      <c r="W736" s="5">
        <v>40095</v>
      </c>
      <c r="X736" s="6">
        <v>3</v>
      </c>
      <c r="Y736" s="6">
        <v>3</v>
      </c>
      <c r="Z736" s="6">
        <v>3</v>
      </c>
      <c r="AA736" s="6" t="s">
        <v>178</v>
      </c>
      <c r="AB736" s="6">
        <v>3</v>
      </c>
      <c r="AC736" s="6" t="s">
        <v>216</v>
      </c>
    </row>
    <row r="737" spans="1:29" x14ac:dyDescent="0.25">
      <c r="A737" s="145" t="str">
        <f>HYPERLINK("http://www.ofsted.gov.uk/inspection-reports/find-inspection-report/provider/ELS/130558 ","Ofsted Webpage")</f>
        <v>Ofsted Webpage</v>
      </c>
      <c r="B737" s="151">
        <v>130558</v>
      </c>
      <c r="C737" s="151">
        <v>10001465</v>
      </c>
      <c r="D737" s="46" t="s">
        <v>1612</v>
      </c>
      <c r="E737" s="26" t="s">
        <v>81</v>
      </c>
      <c r="F737" s="26" t="s">
        <v>82</v>
      </c>
      <c r="G737" s="26" t="s">
        <v>1613</v>
      </c>
      <c r="H737" s="26" t="s">
        <v>198</v>
      </c>
      <c r="I737" s="26" t="s">
        <v>198</v>
      </c>
      <c r="J737" s="2" t="s">
        <v>72</v>
      </c>
      <c r="K737" s="141" t="s">
        <v>72</v>
      </c>
      <c r="L737" s="141" t="s">
        <v>1614</v>
      </c>
      <c r="M737" s="26" t="s">
        <v>194</v>
      </c>
      <c r="N737" s="2">
        <v>41302</v>
      </c>
      <c r="O737" s="2">
        <v>41306</v>
      </c>
      <c r="P737" s="133">
        <v>41341</v>
      </c>
      <c r="Q737" s="6">
        <v>2</v>
      </c>
      <c r="R737" s="6">
        <v>2</v>
      </c>
      <c r="S737" s="6">
        <v>2</v>
      </c>
      <c r="T737" s="120" t="s">
        <v>178</v>
      </c>
      <c r="U737" s="6">
        <v>2</v>
      </c>
      <c r="V737" s="6" t="s">
        <v>1615</v>
      </c>
      <c r="W737" s="5">
        <v>40207</v>
      </c>
      <c r="X737" s="6">
        <v>3</v>
      </c>
      <c r="Y737" s="6">
        <v>3</v>
      </c>
      <c r="Z737" s="6">
        <v>3</v>
      </c>
      <c r="AA737" s="6" t="s">
        <v>178</v>
      </c>
      <c r="AB737" s="6">
        <v>2</v>
      </c>
      <c r="AC737" s="6" t="s">
        <v>216</v>
      </c>
    </row>
    <row r="738" spans="1:29" x14ac:dyDescent="0.25">
      <c r="A738" s="145" t="str">
        <f>HYPERLINK("http://www.ofsted.gov.uk/inspection-reports/find-inspection-report/provider/ELS/130563 ","Ofsted Webpage")</f>
        <v>Ofsted Webpage</v>
      </c>
      <c r="B738" s="151">
        <v>130563</v>
      </c>
      <c r="C738" s="151">
        <v>10006130</v>
      </c>
      <c r="D738" s="46" t="s">
        <v>1616</v>
      </c>
      <c r="E738" s="26" t="s">
        <v>83</v>
      </c>
      <c r="F738" s="26" t="s">
        <v>82</v>
      </c>
      <c r="G738" s="26" t="s">
        <v>361</v>
      </c>
      <c r="H738" s="26" t="s">
        <v>198</v>
      </c>
      <c r="I738" s="26" t="s">
        <v>198</v>
      </c>
      <c r="J738" s="2">
        <v>42753</v>
      </c>
      <c r="K738" s="141">
        <v>1</v>
      </c>
      <c r="L738" s="141" t="s">
        <v>1617</v>
      </c>
      <c r="M738" s="26" t="s">
        <v>372</v>
      </c>
      <c r="N738" s="2">
        <v>41198</v>
      </c>
      <c r="O738" s="2">
        <v>41201</v>
      </c>
      <c r="P738" s="133">
        <v>41236</v>
      </c>
      <c r="Q738" s="6">
        <v>2</v>
      </c>
      <c r="R738" s="6">
        <v>2</v>
      </c>
      <c r="S738" s="6">
        <v>2</v>
      </c>
      <c r="T738" s="120" t="s">
        <v>178</v>
      </c>
      <c r="U738" s="6">
        <v>2</v>
      </c>
      <c r="V738" s="6" t="s">
        <v>1618</v>
      </c>
      <c r="W738" s="5">
        <v>40249</v>
      </c>
      <c r="X738" s="6">
        <v>2</v>
      </c>
      <c r="Y738" s="6">
        <v>2</v>
      </c>
      <c r="Z738" s="6">
        <v>2</v>
      </c>
      <c r="AA738" s="6" t="s">
        <v>178</v>
      </c>
      <c r="AB738" s="6">
        <v>2</v>
      </c>
      <c r="AC738" s="6" t="s">
        <v>180</v>
      </c>
    </row>
    <row r="739" spans="1:29" x14ac:dyDescent="0.25">
      <c r="A739" s="145" t="str">
        <f>HYPERLINK("http://www.ofsted.gov.uk/inspection-reports/find-inspection-report/provider/ELS/130564 ","Ofsted Webpage")</f>
        <v>Ofsted Webpage</v>
      </c>
      <c r="B739" s="151">
        <v>130564</v>
      </c>
      <c r="C739" s="151">
        <v>10007459</v>
      </c>
      <c r="D739" s="46" t="s">
        <v>1619</v>
      </c>
      <c r="E739" s="26" t="s">
        <v>81</v>
      </c>
      <c r="F739" s="26" t="s">
        <v>82</v>
      </c>
      <c r="G739" s="26" t="s">
        <v>1620</v>
      </c>
      <c r="H739" s="26" t="s">
        <v>198</v>
      </c>
      <c r="I739" s="26" t="s">
        <v>198</v>
      </c>
      <c r="J739" s="2" t="s">
        <v>72</v>
      </c>
      <c r="K739" s="141" t="s">
        <v>72</v>
      </c>
      <c r="L739" s="141" t="s">
        <v>1621</v>
      </c>
      <c r="M739" s="26" t="s">
        <v>194</v>
      </c>
      <c r="N739" s="2">
        <v>41617</v>
      </c>
      <c r="O739" s="2">
        <v>41621</v>
      </c>
      <c r="P739" s="133">
        <v>41661</v>
      </c>
      <c r="Q739" s="6">
        <v>1</v>
      </c>
      <c r="R739" s="6">
        <v>1</v>
      </c>
      <c r="S739" s="6">
        <v>1</v>
      </c>
      <c r="T739" s="120" t="s">
        <v>178</v>
      </c>
      <c r="U739" s="6">
        <v>1</v>
      </c>
      <c r="V739" s="6" t="s">
        <v>1622</v>
      </c>
      <c r="W739" s="5">
        <v>39479</v>
      </c>
      <c r="X739" s="6">
        <v>2</v>
      </c>
      <c r="Y739" s="6">
        <v>2</v>
      </c>
      <c r="Z739" s="6">
        <v>2</v>
      </c>
      <c r="AA739" s="6" t="s">
        <v>178</v>
      </c>
      <c r="AB739" s="6">
        <v>2</v>
      </c>
      <c r="AC739" s="6" t="s">
        <v>216</v>
      </c>
    </row>
    <row r="740" spans="1:29" x14ac:dyDescent="0.25">
      <c r="A740" s="145" t="str">
        <f>HYPERLINK("http://www.ofsted.gov.uk/inspection-reports/find-inspection-report/provider/ELS/130567 ","Ofsted Webpage")</f>
        <v>Ofsted Webpage</v>
      </c>
      <c r="B740" s="151">
        <v>130567</v>
      </c>
      <c r="C740" s="151">
        <v>10002917</v>
      </c>
      <c r="D740" s="46" t="s">
        <v>1623</v>
      </c>
      <c r="E740" s="26" t="s">
        <v>81</v>
      </c>
      <c r="F740" s="26" t="s">
        <v>82</v>
      </c>
      <c r="G740" s="26" t="s">
        <v>552</v>
      </c>
      <c r="H740" s="26" t="s">
        <v>204</v>
      </c>
      <c r="I740" s="26" t="s">
        <v>188</v>
      </c>
      <c r="J740" s="2" t="s">
        <v>72</v>
      </c>
      <c r="K740" s="141" t="s">
        <v>72</v>
      </c>
      <c r="L740" s="141">
        <v>10022482</v>
      </c>
      <c r="M740" s="26" t="s">
        <v>194</v>
      </c>
      <c r="N740" s="2">
        <v>42801</v>
      </c>
      <c r="O740" s="2">
        <v>42804</v>
      </c>
      <c r="P740" s="133">
        <v>42832</v>
      </c>
      <c r="Q740" s="6">
        <v>2</v>
      </c>
      <c r="R740" s="6">
        <v>2</v>
      </c>
      <c r="S740" s="6">
        <v>2</v>
      </c>
      <c r="T740" s="6">
        <v>1</v>
      </c>
      <c r="U740" s="6">
        <v>2</v>
      </c>
      <c r="V740" s="6" t="s">
        <v>1624</v>
      </c>
      <c r="W740" s="5">
        <v>41761</v>
      </c>
      <c r="X740" s="6">
        <v>2</v>
      </c>
      <c r="Y740" s="6">
        <v>3</v>
      </c>
      <c r="Z740" s="6">
        <v>2</v>
      </c>
      <c r="AA740" s="6" t="s">
        <v>178</v>
      </c>
      <c r="AB740" s="6">
        <v>2</v>
      </c>
      <c r="AC740" s="6" t="s">
        <v>180</v>
      </c>
    </row>
    <row r="741" spans="1:29" x14ac:dyDescent="0.25">
      <c r="A741" s="145" t="str">
        <f>HYPERLINK("http://www.ofsted.gov.uk/inspection-reports/find-inspection-report/provider/ELS/130570 ","Ofsted Webpage")</f>
        <v>Ofsted Webpage</v>
      </c>
      <c r="B741" s="151">
        <v>130570</v>
      </c>
      <c r="C741" s="151">
        <v>10004344</v>
      </c>
      <c r="D741" s="46" t="s">
        <v>1625</v>
      </c>
      <c r="E741" s="26" t="s">
        <v>81</v>
      </c>
      <c r="F741" s="26" t="s">
        <v>82</v>
      </c>
      <c r="G741" s="26" t="s">
        <v>310</v>
      </c>
      <c r="H741" s="26" t="s">
        <v>204</v>
      </c>
      <c r="I741" s="26" t="s">
        <v>188</v>
      </c>
      <c r="J741" s="2" t="s">
        <v>72</v>
      </c>
      <c r="K741" s="141" t="s">
        <v>72</v>
      </c>
      <c r="L741" s="141">
        <v>10011424</v>
      </c>
      <c r="M741" s="26" t="s">
        <v>194</v>
      </c>
      <c r="N741" s="2">
        <v>42633</v>
      </c>
      <c r="O741" s="2">
        <v>42636</v>
      </c>
      <c r="P741" s="133">
        <v>42683</v>
      </c>
      <c r="Q741" s="6">
        <v>3</v>
      </c>
      <c r="R741" s="6">
        <v>3</v>
      </c>
      <c r="S741" s="6">
        <v>3</v>
      </c>
      <c r="T741" s="6">
        <v>2</v>
      </c>
      <c r="U741" s="6">
        <v>3</v>
      </c>
      <c r="V741" s="6" t="s">
        <v>1626</v>
      </c>
      <c r="W741" s="5">
        <v>40606</v>
      </c>
      <c r="X741" s="6">
        <v>2</v>
      </c>
      <c r="Y741" s="6">
        <v>2</v>
      </c>
      <c r="Z741" s="6">
        <v>2</v>
      </c>
      <c r="AA741" s="6" t="s">
        <v>178</v>
      </c>
      <c r="AB741" s="6">
        <v>2</v>
      </c>
      <c r="AC741" s="6" t="s">
        <v>201</v>
      </c>
    </row>
    <row r="742" spans="1:29" x14ac:dyDescent="0.25">
      <c r="A742" s="145" t="str">
        <f>HYPERLINK("http://www.ofsted.gov.uk/inspection-reports/find-inspection-report/provider/ELS/130571 ","Ofsted Webpage")</f>
        <v>Ofsted Webpage</v>
      </c>
      <c r="B742" s="151">
        <v>130571</v>
      </c>
      <c r="C742" s="151">
        <v>10001503</v>
      </c>
      <c r="D742" s="46" t="s">
        <v>1627</v>
      </c>
      <c r="E742" s="26" t="s">
        <v>87</v>
      </c>
      <c r="F742" s="26" t="s">
        <v>82</v>
      </c>
      <c r="G742" s="26" t="s">
        <v>310</v>
      </c>
      <c r="H742" s="26" t="s">
        <v>204</v>
      </c>
      <c r="I742" s="26" t="s">
        <v>188</v>
      </c>
      <c r="J742" s="2" t="s">
        <v>72</v>
      </c>
      <c r="K742" s="141" t="s">
        <v>72</v>
      </c>
      <c r="L742" s="141" t="s">
        <v>1628</v>
      </c>
      <c r="M742" s="26" t="s">
        <v>1592</v>
      </c>
      <c r="N742" s="2">
        <v>39966</v>
      </c>
      <c r="O742" s="2">
        <v>39967</v>
      </c>
      <c r="P742" s="133">
        <v>40011</v>
      </c>
      <c r="Q742" s="6">
        <v>1</v>
      </c>
      <c r="R742" s="6">
        <v>1</v>
      </c>
      <c r="S742" s="6">
        <v>1</v>
      </c>
      <c r="T742" s="120" t="s">
        <v>178</v>
      </c>
      <c r="U742" s="6">
        <v>2</v>
      </c>
      <c r="V742" s="6" t="s">
        <v>72</v>
      </c>
      <c r="W742" s="5" t="s">
        <v>72</v>
      </c>
      <c r="X742" s="6" t="s">
        <v>72</v>
      </c>
      <c r="Y742" s="6" t="s">
        <v>72</v>
      </c>
      <c r="Z742" s="6" t="s">
        <v>72</v>
      </c>
      <c r="AA742" s="6" t="s">
        <v>72</v>
      </c>
      <c r="AB742" s="6" t="s">
        <v>72</v>
      </c>
      <c r="AC742" s="6" t="s">
        <v>208</v>
      </c>
    </row>
    <row r="743" spans="1:29" x14ac:dyDescent="0.25">
      <c r="A743" s="145" t="str">
        <f>HYPERLINK("http://www.ofsted.gov.uk/inspection-reports/find-inspection-report/provider/ELS/130573 ","Ofsted Webpage")</f>
        <v>Ofsted Webpage</v>
      </c>
      <c r="B743" s="151">
        <v>130573</v>
      </c>
      <c r="C743" s="151">
        <v>10005414</v>
      </c>
      <c r="D743" s="46" t="s">
        <v>1507</v>
      </c>
      <c r="E743" s="26" t="s">
        <v>81</v>
      </c>
      <c r="F743" s="26" t="s">
        <v>82</v>
      </c>
      <c r="G743" s="26" t="s">
        <v>1085</v>
      </c>
      <c r="H743" s="26" t="s">
        <v>204</v>
      </c>
      <c r="I743" s="26" t="s">
        <v>188</v>
      </c>
      <c r="J743" s="2" t="s">
        <v>72</v>
      </c>
      <c r="K743" s="141" t="s">
        <v>72</v>
      </c>
      <c r="L743" s="141">
        <v>10030672</v>
      </c>
      <c r="M743" s="26" t="s">
        <v>215</v>
      </c>
      <c r="N743" s="2">
        <v>43018</v>
      </c>
      <c r="O743" s="2">
        <v>43021</v>
      </c>
      <c r="P743" s="133">
        <v>43055</v>
      </c>
      <c r="Q743" s="6">
        <v>4</v>
      </c>
      <c r="R743" s="6">
        <v>4</v>
      </c>
      <c r="S743" s="6">
        <v>3</v>
      </c>
      <c r="T743" s="6">
        <v>3</v>
      </c>
      <c r="U743" s="6">
        <v>4</v>
      </c>
      <c r="V743" s="6">
        <v>10004706</v>
      </c>
      <c r="W743" s="5">
        <v>42293</v>
      </c>
      <c r="X743" s="6">
        <v>3</v>
      </c>
      <c r="Y743" s="6">
        <v>3</v>
      </c>
      <c r="Z743" s="6">
        <v>3</v>
      </c>
      <c r="AA743" s="6">
        <v>2</v>
      </c>
      <c r="AB743" s="6">
        <v>3</v>
      </c>
      <c r="AC743" s="6" t="s">
        <v>201</v>
      </c>
    </row>
    <row r="744" spans="1:29" x14ac:dyDescent="0.25">
      <c r="A744" s="145" t="str">
        <f>HYPERLINK("http://www.ofsted.gov.uk/inspection-reports/find-inspection-report/provider/ELS/130576 ","Ofsted Webpage")</f>
        <v>Ofsted Webpage</v>
      </c>
      <c r="B744" s="151">
        <v>130576</v>
      </c>
      <c r="C744" s="151">
        <v>10006341</v>
      </c>
      <c r="D744" s="46" t="s">
        <v>1508</v>
      </c>
      <c r="E744" s="26" t="s">
        <v>81</v>
      </c>
      <c r="F744" s="26" t="s">
        <v>82</v>
      </c>
      <c r="G744" s="26" t="s">
        <v>714</v>
      </c>
      <c r="H744" s="26" t="s">
        <v>204</v>
      </c>
      <c r="I744" s="26" t="s">
        <v>188</v>
      </c>
      <c r="J744" s="2" t="s">
        <v>72</v>
      </c>
      <c r="K744" s="141" t="s">
        <v>72</v>
      </c>
      <c r="L744" s="141" t="s">
        <v>1509</v>
      </c>
      <c r="M744" s="26" t="s">
        <v>215</v>
      </c>
      <c r="N744" s="2">
        <v>41757</v>
      </c>
      <c r="O744" s="2">
        <v>41761</v>
      </c>
      <c r="P744" s="133">
        <v>41796</v>
      </c>
      <c r="Q744" s="6">
        <v>2</v>
      </c>
      <c r="R744" s="6">
        <v>2</v>
      </c>
      <c r="S744" s="6">
        <v>2</v>
      </c>
      <c r="T744" s="120" t="s">
        <v>178</v>
      </c>
      <c r="U744" s="6">
        <v>2</v>
      </c>
      <c r="V744" s="6" t="s">
        <v>1510</v>
      </c>
      <c r="W744" s="5">
        <v>41229</v>
      </c>
      <c r="X744" s="6">
        <v>3</v>
      </c>
      <c r="Y744" s="6">
        <v>3</v>
      </c>
      <c r="Z744" s="6">
        <v>3</v>
      </c>
      <c r="AA744" s="6" t="s">
        <v>178</v>
      </c>
      <c r="AB744" s="6">
        <v>3</v>
      </c>
      <c r="AC744" s="6" t="s">
        <v>216</v>
      </c>
    </row>
    <row r="745" spans="1:29" x14ac:dyDescent="0.25">
      <c r="A745" s="145" t="str">
        <f>HYPERLINK("http://www.ofsted.gov.uk/inspection-reports/find-inspection-report/provider/ELS/130579 ","Ofsted Webpage")</f>
        <v>Ofsted Webpage</v>
      </c>
      <c r="B745" s="151">
        <v>130579</v>
      </c>
      <c r="C745" s="151">
        <v>10003200</v>
      </c>
      <c r="D745" s="46" t="s">
        <v>1511</v>
      </c>
      <c r="E745" s="26" t="s">
        <v>81</v>
      </c>
      <c r="F745" s="26" t="s">
        <v>82</v>
      </c>
      <c r="G745" s="26" t="s">
        <v>469</v>
      </c>
      <c r="H745" s="26" t="s">
        <v>187</v>
      </c>
      <c r="I745" s="26" t="s">
        <v>188</v>
      </c>
      <c r="J745" s="2" t="s">
        <v>72</v>
      </c>
      <c r="K745" s="141" t="s">
        <v>72</v>
      </c>
      <c r="L745" s="141">
        <v>10007218</v>
      </c>
      <c r="M745" s="26" t="s">
        <v>194</v>
      </c>
      <c r="N745" s="2">
        <v>42325</v>
      </c>
      <c r="O745" s="2">
        <v>42328</v>
      </c>
      <c r="P745" s="133">
        <v>42356</v>
      </c>
      <c r="Q745" s="6">
        <v>2</v>
      </c>
      <c r="R745" s="6">
        <v>2</v>
      </c>
      <c r="S745" s="6">
        <v>2</v>
      </c>
      <c r="T745" s="6">
        <v>2</v>
      </c>
      <c r="U745" s="6">
        <v>2</v>
      </c>
      <c r="V745" s="6" t="s">
        <v>1512</v>
      </c>
      <c r="W745" s="5">
        <v>39617</v>
      </c>
      <c r="X745" s="6">
        <v>3</v>
      </c>
      <c r="Y745" s="6">
        <v>3</v>
      </c>
      <c r="Z745" s="6">
        <v>3</v>
      </c>
      <c r="AA745" s="6" t="s">
        <v>178</v>
      </c>
      <c r="AB745" s="6">
        <v>3</v>
      </c>
      <c r="AC745" s="6" t="s">
        <v>216</v>
      </c>
    </row>
    <row r="746" spans="1:29" x14ac:dyDescent="0.25">
      <c r="A746" s="145" t="str">
        <f>HYPERLINK("http://www.ofsted.gov.uk/inspection-reports/find-inspection-report/provider/ELS/130580 ","Ofsted Webpage")</f>
        <v>Ofsted Webpage</v>
      </c>
      <c r="B746" s="151">
        <v>130580</v>
      </c>
      <c r="C746" s="151">
        <v>10007503</v>
      </c>
      <c r="D746" s="46" t="s">
        <v>1513</v>
      </c>
      <c r="E746" s="26" t="s">
        <v>83</v>
      </c>
      <c r="F746" s="26" t="s">
        <v>82</v>
      </c>
      <c r="G746" s="26" t="s">
        <v>469</v>
      </c>
      <c r="H746" s="26" t="s">
        <v>187</v>
      </c>
      <c r="I746" s="26" t="s">
        <v>188</v>
      </c>
      <c r="J746" s="2" t="s">
        <v>72</v>
      </c>
      <c r="K746" s="141" t="s">
        <v>72</v>
      </c>
      <c r="L746" s="141" t="s">
        <v>1514</v>
      </c>
      <c r="M746" s="26" t="s">
        <v>228</v>
      </c>
      <c r="N746" s="2">
        <v>42122</v>
      </c>
      <c r="O746" s="2">
        <v>42125</v>
      </c>
      <c r="P746" s="133">
        <v>42158</v>
      </c>
      <c r="Q746" s="6">
        <v>2</v>
      </c>
      <c r="R746" s="6">
        <v>2</v>
      </c>
      <c r="S746" s="6">
        <v>2</v>
      </c>
      <c r="T746" s="120" t="s">
        <v>178</v>
      </c>
      <c r="U746" s="6">
        <v>2</v>
      </c>
      <c r="V746" s="6" t="s">
        <v>1515</v>
      </c>
      <c r="W746" s="5">
        <v>41558</v>
      </c>
      <c r="X746" s="6">
        <v>3</v>
      </c>
      <c r="Y746" s="6">
        <v>3</v>
      </c>
      <c r="Z746" s="6">
        <v>3</v>
      </c>
      <c r="AA746" s="6" t="s">
        <v>178</v>
      </c>
      <c r="AB746" s="6">
        <v>3</v>
      </c>
      <c r="AC746" s="6" t="s">
        <v>216</v>
      </c>
    </row>
    <row r="747" spans="1:29" x14ac:dyDescent="0.25">
      <c r="A747" s="145" t="str">
        <f>HYPERLINK("http://www.ofsted.gov.uk/inspection-reports/find-inspection-report/provider/ELS/130581 ","Ofsted Webpage")</f>
        <v>Ofsted Webpage</v>
      </c>
      <c r="B747" s="151">
        <v>130581</v>
      </c>
      <c r="C747" s="151">
        <v>10007673</v>
      </c>
      <c r="D747" s="46" t="s">
        <v>1516</v>
      </c>
      <c r="E747" s="26" t="s">
        <v>83</v>
      </c>
      <c r="F747" s="26" t="s">
        <v>82</v>
      </c>
      <c r="G747" s="26" t="s">
        <v>469</v>
      </c>
      <c r="H747" s="26" t="s">
        <v>187</v>
      </c>
      <c r="I747" s="26" t="s">
        <v>188</v>
      </c>
      <c r="J747" s="2">
        <v>43055</v>
      </c>
      <c r="K747" s="141">
        <v>1</v>
      </c>
      <c r="L747" s="141" t="s">
        <v>1517</v>
      </c>
      <c r="M747" s="26" t="s">
        <v>372</v>
      </c>
      <c r="N747" s="2">
        <v>41548</v>
      </c>
      <c r="O747" s="2">
        <v>41551</v>
      </c>
      <c r="P747" s="133">
        <v>41584</v>
      </c>
      <c r="Q747" s="6">
        <v>2</v>
      </c>
      <c r="R747" s="6">
        <v>2</v>
      </c>
      <c r="S747" s="6">
        <v>2</v>
      </c>
      <c r="T747" s="120" t="s">
        <v>178</v>
      </c>
      <c r="U747" s="6">
        <v>2</v>
      </c>
      <c r="V747" s="6" t="s">
        <v>1518</v>
      </c>
      <c r="W747" s="5">
        <v>39507</v>
      </c>
      <c r="X747" s="6">
        <v>2</v>
      </c>
      <c r="Y747" s="6">
        <v>2</v>
      </c>
      <c r="Z747" s="6">
        <v>2</v>
      </c>
      <c r="AA747" s="6" t="s">
        <v>178</v>
      </c>
      <c r="AB747" s="6">
        <v>2</v>
      </c>
      <c r="AC747" s="6" t="s">
        <v>180</v>
      </c>
    </row>
    <row r="748" spans="1:29" x14ac:dyDescent="0.25">
      <c r="A748" s="145" t="str">
        <f>HYPERLINK("http://www.ofsted.gov.uk/inspection-reports/find-inspection-report/provider/ELS/130582 ","Ofsted Webpage")</f>
        <v>Ofsted Webpage</v>
      </c>
      <c r="B748" s="151">
        <v>130582</v>
      </c>
      <c r="C748" s="151">
        <v>10002126</v>
      </c>
      <c r="D748" s="46" t="s">
        <v>1519</v>
      </c>
      <c r="E748" s="26" t="s">
        <v>81</v>
      </c>
      <c r="F748" s="26" t="s">
        <v>82</v>
      </c>
      <c r="G748" s="26" t="s">
        <v>388</v>
      </c>
      <c r="H748" s="26" t="s">
        <v>187</v>
      </c>
      <c r="I748" s="26" t="s">
        <v>188</v>
      </c>
      <c r="J748" s="2" t="s">
        <v>72</v>
      </c>
      <c r="K748" s="141" t="s">
        <v>72</v>
      </c>
      <c r="L748" s="141">
        <v>10004707</v>
      </c>
      <c r="M748" s="26" t="s">
        <v>194</v>
      </c>
      <c r="N748" s="2">
        <v>42423</v>
      </c>
      <c r="O748" s="2">
        <v>42426</v>
      </c>
      <c r="P748" s="133">
        <v>42452</v>
      </c>
      <c r="Q748" s="6">
        <v>2</v>
      </c>
      <c r="R748" s="6">
        <v>2</v>
      </c>
      <c r="S748" s="6">
        <v>2</v>
      </c>
      <c r="T748" s="6">
        <v>1</v>
      </c>
      <c r="U748" s="6">
        <v>2</v>
      </c>
      <c r="V748" s="6" t="s">
        <v>1520</v>
      </c>
      <c r="W748" s="5">
        <v>40592</v>
      </c>
      <c r="X748" s="6">
        <v>2</v>
      </c>
      <c r="Y748" s="6">
        <v>2</v>
      </c>
      <c r="Z748" s="6">
        <v>2</v>
      </c>
      <c r="AA748" s="6" t="s">
        <v>178</v>
      </c>
      <c r="AB748" s="6">
        <v>1</v>
      </c>
      <c r="AC748" s="6" t="s">
        <v>180</v>
      </c>
    </row>
    <row r="749" spans="1:29" x14ac:dyDescent="0.25">
      <c r="A749" s="145" t="str">
        <f>HYPERLINK("http://www.ofsted.gov.uk/inspection-reports/find-inspection-report/provider/ELS/130584 ","Ofsted Webpage")</f>
        <v>Ofsted Webpage</v>
      </c>
      <c r="B749" s="151">
        <v>130584</v>
      </c>
      <c r="C749" s="151">
        <v>10000721</v>
      </c>
      <c r="D749" s="46" t="s">
        <v>387</v>
      </c>
      <c r="E749" s="26" t="s">
        <v>87</v>
      </c>
      <c r="F749" s="26" t="s">
        <v>82</v>
      </c>
      <c r="G749" s="26" t="s">
        <v>388</v>
      </c>
      <c r="H749" s="26" t="s">
        <v>187</v>
      </c>
      <c r="I749" s="26" t="s">
        <v>188</v>
      </c>
      <c r="J749" s="2" t="s">
        <v>72</v>
      </c>
      <c r="K749" s="141" t="s">
        <v>72</v>
      </c>
      <c r="L749" s="141">
        <v>10022488</v>
      </c>
      <c r="M749" s="26" t="s">
        <v>194</v>
      </c>
      <c r="N749" s="2">
        <v>42752</v>
      </c>
      <c r="O749" s="2">
        <v>42755</v>
      </c>
      <c r="P749" s="133">
        <v>42788</v>
      </c>
      <c r="Q749" s="6">
        <v>2</v>
      </c>
      <c r="R749" s="6">
        <v>2</v>
      </c>
      <c r="S749" s="6">
        <v>2</v>
      </c>
      <c r="T749" s="6">
        <v>2</v>
      </c>
      <c r="U749" s="6">
        <v>2</v>
      </c>
      <c r="V749" s="6" t="s">
        <v>389</v>
      </c>
      <c r="W749" s="5">
        <v>41600</v>
      </c>
      <c r="X749" s="6">
        <v>2</v>
      </c>
      <c r="Y749" s="6">
        <v>1</v>
      </c>
      <c r="Z749" s="6">
        <v>2</v>
      </c>
      <c r="AA749" s="6" t="s">
        <v>178</v>
      </c>
      <c r="AB749" s="6">
        <v>1</v>
      </c>
      <c r="AC749" s="6" t="s">
        <v>180</v>
      </c>
    </row>
    <row r="750" spans="1:29" x14ac:dyDescent="0.25">
      <c r="A750" s="145" t="str">
        <f>HYPERLINK("http://www.ofsted.gov.uk/inspection-reports/find-inspection-report/provider/ELS/130585 ","Ofsted Webpage")</f>
        <v>Ofsted Webpage</v>
      </c>
      <c r="B750" s="151">
        <v>130585</v>
      </c>
      <c r="C750" s="151">
        <v>10007938</v>
      </c>
      <c r="D750" s="46" t="s">
        <v>390</v>
      </c>
      <c r="E750" s="26" t="s">
        <v>81</v>
      </c>
      <c r="F750" s="26" t="s">
        <v>82</v>
      </c>
      <c r="G750" s="26" t="s">
        <v>391</v>
      </c>
      <c r="H750" s="26" t="s">
        <v>187</v>
      </c>
      <c r="I750" s="26" t="s">
        <v>188</v>
      </c>
      <c r="J750" s="2" t="s">
        <v>72</v>
      </c>
      <c r="K750" s="141" t="s">
        <v>72</v>
      </c>
      <c r="L750" s="141">
        <v>10033784</v>
      </c>
      <c r="M750" s="26" t="s">
        <v>194</v>
      </c>
      <c r="N750" s="2">
        <v>42859</v>
      </c>
      <c r="O750" s="2">
        <v>42873</v>
      </c>
      <c r="P750" s="133">
        <v>42919</v>
      </c>
      <c r="Q750" s="6">
        <v>1</v>
      </c>
      <c r="R750" s="6">
        <v>1</v>
      </c>
      <c r="S750" s="6">
        <v>1</v>
      </c>
      <c r="T750" s="6">
        <v>1</v>
      </c>
      <c r="U750" s="6">
        <v>1</v>
      </c>
      <c r="V750" s="6" t="s">
        <v>392</v>
      </c>
      <c r="W750" s="5">
        <v>41600</v>
      </c>
      <c r="X750" s="6">
        <v>2</v>
      </c>
      <c r="Y750" s="6">
        <v>2</v>
      </c>
      <c r="Z750" s="6">
        <v>2</v>
      </c>
      <c r="AA750" s="6" t="s">
        <v>178</v>
      </c>
      <c r="AB750" s="6">
        <v>2</v>
      </c>
      <c r="AC750" s="6" t="s">
        <v>216</v>
      </c>
    </row>
    <row r="751" spans="1:29" x14ac:dyDescent="0.25">
      <c r="A751" s="145" t="str">
        <f>HYPERLINK("http://www.ofsted.gov.uk/inspection-reports/find-inspection-report/provider/ELS/130586 ","Ofsted Webpage")</f>
        <v>Ofsted Webpage</v>
      </c>
      <c r="B751" s="151">
        <v>130586</v>
      </c>
      <c r="C751" s="151">
        <v>10002570</v>
      </c>
      <c r="D751" s="46" t="s">
        <v>393</v>
      </c>
      <c r="E751" s="26" t="s">
        <v>83</v>
      </c>
      <c r="F751" s="26" t="s">
        <v>82</v>
      </c>
      <c r="G751" s="26" t="s">
        <v>391</v>
      </c>
      <c r="H751" s="26" t="s">
        <v>187</v>
      </c>
      <c r="I751" s="26" t="s">
        <v>188</v>
      </c>
      <c r="J751" s="2" t="s">
        <v>72</v>
      </c>
      <c r="K751" s="141" t="s">
        <v>72</v>
      </c>
      <c r="L751" s="141">
        <v>10020149</v>
      </c>
      <c r="M751" s="26" t="s">
        <v>372</v>
      </c>
      <c r="N751" s="2">
        <v>42654</v>
      </c>
      <c r="O751" s="2">
        <v>42657</v>
      </c>
      <c r="P751" s="133">
        <v>42699</v>
      </c>
      <c r="Q751" s="6">
        <v>3</v>
      </c>
      <c r="R751" s="6">
        <v>3</v>
      </c>
      <c r="S751" s="6">
        <v>3</v>
      </c>
      <c r="T751" s="6">
        <v>3</v>
      </c>
      <c r="U751" s="6">
        <v>3</v>
      </c>
      <c r="V751" s="6" t="s">
        <v>394</v>
      </c>
      <c r="W751" s="5">
        <v>41390</v>
      </c>
      <c r="X751" s="6">
        <v>2</v>
      </c>
      <c r="Y751" s="6">
        <v>2</v>
      </c>
      <c r="Z751" s="6">
        <v>2</v>
      </c>
      <c r="AA751" s="6" t="s">
        <v>178</v>
      </c>
      <c r="AB751" s="6">
        <v>2</v>
      </c>
      <c r="AC751" s="6" t="s">
        <v>201</v>
      </c>
    </row>
    <row r="752" spans="1:29" x14ac:dyDescent="0.25">
      <c r="A752" s="145" t="str">
        <f>HYPERLINK("http://www.ofsted.gov.uk/inspection-reports/find-inspection-report/provider/ELS/130587 ","Ofsted Webpage")</f>
        <v>Ofsted Webpage</v>
      </c>
      <c r="B752" s="151">
        <v>130587</v>
      </c>
      <c r="C752" s="151">
        <v>10004695</v>
      </c>
      <c r="D752" s="46" t="s">
        <v>395</v>
      </c>
      <c r="E752" s="26" t="s">
        <v>81</v>
      </c>
      <c r="F752" s="26" t="s">
        <v>82</v>
      </c>
      <c r="G752" s="26" t="s">
        <v>396</v>
      </c>
      <c r="H752" s="26" t="s">
        <v>187</v>
      </c>
      <c r="I752" s="26" t="s">
        <v>188</v>
      </c>
      <c r="J752" s="2" t="s">
        <v>72</v>
      </c>
      <c r="K752" s="141" t="s">
        <v>72</v>
      </c>
      <c r="L752" s="141" t="s">
        <v>397</v>
      </c>
      <c r="M752" s="26" t="s">
        <v>194</v>
      </c>
      <c r="N752" s="2">
        <v>41771</v>
      </c>
      <c r="O752" s="2">
        <v>41775</v>
      </c>
      <c r="P752" s="133">
        <v>41810</v>
      </c>
      <c r="Q752" s="6">
        <v>2</v>
      </c>
      <c r="R752" s="6">
        <v>2</v>
      </c>
      <c r="S752" s="6">
        <v>2</v>
      </c>
      <c r="T752" s="120" t="s">
        <v>178</v>
      </c>
      <c r="U752" s="6">
        <v>1</v>
      </c>
      <c r="V752" s="6" t="s">
        <v>398</v>
      </c>
      <c r="W752" s="5">
        <v>40452</v>
      </c>
      <c r="X752" s="6">
        <v>1</v>
      </c>
      <c r="Y752" s="6">
        <v>2</v>
      </c>
      <c r="Z752" s="6">
        <v>2</v>
      </c>
      <c r="AA752" s="6" t="s">
        <v>178</v>
      </c>
      <c r="AB752" s="6">
        <v>1</v>
      </c>
      <c r="AC752" s="6" t="s">
        <v>201</v>
      </c>
    </row>
    <row r="753" spans="1:29" x14ac:dyDescent="0.25">
      <c r="A753" s="145" t="str">
        <f>HYPERLINK("http://www.ofsted.gov.uk/inspection-reports/find-inspection-report/provider/ELS/130588 ","Ofsted Webpage")</f>
        <v>Ofsted Webpage</v>
      </c>
      <c r="B753" s="151">
        <v>130588</v>
      </c>
      <c r="C753" s="151">
        <v>10003491</v>
      </c>
      <c r="D753" s="46" t="s">
        <v>399</v>
      </c>
      <c r="E753" s="26" t="s">
        <v>83</v>
      </c>
      <c r="F753" s="26" t="s">
        <v>82</v>
      </c>
      <c r="G753" s="26" t="s">
        <v>396</v>
      </c>
      <c r="H753" s="26" t="s">
        <v>187</v>
      </c>
      <c r="I753" s="26" t="s">
        <v>188</v>
      </c>
      <c r="J753" s="2" t="s">
        <v>72</v>
      </c>
      <c r="K753" s="141" t="s">
        <v>72</v>
      </c>
      <c r="L753" s="141" t="s">
        <v>400</v>
      </c>
      <c r="M753" s="26" t="s">
        <v>228</v>
      </c>
      <c r="N753" s="2">
        <v>41723</v>
      </c>
      <c r="O753" s="2">
        <v>41726</v>
      </c>
      <c r="P753" s="133">
        <v>41761</v>
      </c>
      <c r="Q753" s="6">
        <v>2</v>
      </c>
      <c r="R753" s="6">
        <v>2</v>
      </c>
      <c r="S753" s="6">
        <v>2</v>
      </c>
      <c r="T753" s="120" t="s">
        <v>178</v>
      </c>
      <c r="U753" s="6">
        <v>2</v>
      </c>
      <c r="V753" s="6" t="s">
        <v>401</v>
      </c>
      <c r="W753" s="5">
        <v>41320</v>
      </c>
      <c r="X753" s="6">
        <v>3</v>
      </c>
      <c r="Y753" s="6">
        <v>3</v>
      </c>
      <c r="Z753" s="6">
        <v>3</v>
      </c>
      <c r="AA753" s="6" t="s">
        <v>178</v>
      </c>
      <c r="AB753" s="6">
        <v>2</v>
      </c>
      <c r="AC753" s="6" t="s">
        <v>216</v>
      </c>
    </row>
    <row r="754" spans="1:29" x14ac:dyDescent="0.25">
      <c r="A754" s="145" t="str">
        <f>HYPERLINK("http://www.ofsted.gov.uk/inspection-reports/find-inspection-report/provider/ELS/130591 ","Ofsted Webpage")</f>
        <v>Ofsted Webpage</v>
      </c>
      <c r="B754" s="151">
        <v>130591</v>
      </c>
      <c r="C754" s="151">
        <v>10001743</v>
      </c>
      <c r="D754" s="46" t="s">
        <v>1707</v>
      </c>
      <c r="E754" s="26" t="s">
        <v>81</v>
      </c>
      <c r="F754" s="26" t="s">
        <v>82</v>
      </c>
      <c r="G754" s="26" t="s">
        <v>705</v>
      </c>
      <c r="H754" s="26" t="s">
        <v>187</v>
      </c>
      <c r="I754" s="26" t="s">
        <v>188</v>
      </c>
      <c r="J754" s="2" t="s">
        <v>72</v>
      </c>
      <c r="K754" s="141" t="s">
        <v>72</v>
      </c>
      <c r="L754" s="141">
        <v>10004709</v>
      </c>
      <c r="M754" s="26" t="s">
        <v>194</v>
      </c>
      <c r="N754" s="2">
        <v>42402</v>
      </c>
      <c r="O754" s="2">
        <v>42405</v>
      </c>
      <c r="P754" s="133">
        <v>42447</v>
      </c>
      <c r="Q754" s="6">
        <v>3</v>
      </c>
      <c r="R754" s="6">
        <v>3</v>
      </c>
      <c r="S754" s="6">
        <v>3</v>
      </c>
      <c r="T754" s="6">
        <v>3</v>
      </c>
      <c r="U754" s="6">
        <v>3</v>
      </c>
      <c r="V754" s="6" t="s">
        <v>1708</v>
      </c>
      <c r="W754" s="5">
        <v>40466</v>
      </c>
      <c r="X754" s="6">
        <v>2</v>
      </c>
      <c r="Y754" s="6">
        <v>2</v>
      </c>
      <c r="Z754" s="6">
        <v>2</v>
      </c>
      <c r="AA754" s="6" t="s">
        <v>178</v>
      </c>
      <c r="AB754" s="6">
        <v>2</v>
      </c>
      <c r="AC754" s="6" t="s">
        <v>201</v>
      </c>
    </row>
    <row r="755" spans="1:29" x14ac:dyDescent="0.25">
      <c r="A755" s="145" t="str">
        <f>HYPERLINK("http://www.ofsted.gov.uk/inspection-reports/find-inspection-report/provider/ELS/130592 ","Ofsted Webpage")</f>
        <v>Ofsted Webpage</v>
      </c>
      <c r="B755" s="151">
        <v>130592</v>
      </c>
      <c r="C755" s="151">
        <v>10005741</v>
      </c>
      <c r="D755" s="46" t="s">
        <v>1709</v>
      </c>
      <c r="E755" s="26" t="s">
        <v>81</v>
      </c>
      <c r="F755" s="26" t="s">
        <v>82</v>
      </c>
      <c r="G755" s="26" t="s">
        <v>705</v>
      </c>
      <c r="H755" s="26" t="s">
        <v>187</v>
      </c>
      <c r="I755" s="26" t="s">
        <v>188</v>
      </c>
      <c r="J755" s="2" t="s">
        <v>72</v>
      </c>
      <c r="K755" s="141" t="s">
        <v>72</v>
      </c>
      <c r="L755" s="141" t="s">
        <v>1710</v>
      </c>
      <c r="M755" s="26" t="s">
        <v>369</v>
      </c>
      <c r="N755" s="2">
        <v>39356</v>
      </c>
      <c r="O755" s="2">
        <v>39360</v>
      </c>
      <c r="P755" s="133">
        <v>39409</v>
      </c>
      <c r="Q755" s="6">
        <v>1</v>
      </c>
      <c r="R755" s="6">
        <v>1</v>
      </c>
      <c r="S755" s="6">
        <v>1</v>
      </c>
      <c r="T755" s="120" t="s">
        <v>178</v>
      </c>
      <c r="U755" s="6">
        <v>1</v>
      </c>
      <c r="V755" s="6" t="s">
        <v>72</v>
      </c>
      <c r="W755" s="5" t="s">
        <v>72</v>
      </c>
      <c r="X755" s="6" t="s">
        <v>72</v>
      </c>
      <c r="Y755" s="6" t="s">
        <v>72</v>
      </c>
      <c r="Z755" s="6" t="s">
        <v>72</v>
      </c>
      <c r="AA755" s="6" t="s">
        <v>72</v>
      </c>
      <c r="AB755" s="6" t="s">
        <v>72</v>
      </c>
      <c r="AC755" s="6" t="s">
        <v>208</v>
      </c>
    </row>
    <row r="756" spans="1:29" x14ac:dyDescent="0.25">
      <c r="A756" s="145" t="str">
        <f>HYPERLINK("http://www.ofsted.gov.uk/inspection-reports/find-inspection-report/provider/ELS/130593 ","Ofsted Webpage")</f>
        <v>Ofsted Webpage</v>
      </c>
      <c r="B756" s="151">
        <v>130593</v>
      </c>
      <c r="C756" s="151">
        <v>10005687</v>
      </c>
      <c r="D756" s="46" t="s">
        <v>1711</v>
      </c>
      <c r="E756" s="26" t="s">
        <v>83</v>
      </c>
      <c r="F756" s="26" t="s">
        <v>82</v>
      </c>
      <c r="G756" s="26" t="s">
        <v>705</v>
      </c>
      <c r="H756" s="26" t="s">
        <v>187</v>
      </c>
      <c r="I756" s="26" t="s">
        <v>188</v>
      </c>
      <c r="J756" s="2">
        <v>42634</v>
      </c>
      <c r="K756" s="141">
        <v>1</v>
      </c>
      <c r="L756" s="141" t="s">
        <v>1712</v>
      </c>
      <c r="M756" s="26" t="s">
        <v>409</v>
      </c>
      <c r="N756" s="2">
        <v>40666</v>
      </c>
      <c r="O756" s="2">
        <v>40669</v>
      </c>
      <c r="P756" s="133">
        <v>40704</v>
      </c>
      <c r="Q756" s="6">
        <v>2</v>
      </c>
      <c r="R756" s="6">
        <v>2</v>
      </c>
      <c r="S756" s="6">
        <v>3</v>
      </c>
      <c r="T756" s="120" t="s">
        <v>178</v>
      </c>
      <c r="U756" s="6">
        <v>3</v>
      </c>
      <c r="V756" s="6" t="s">
        <v>1713</v>
      </c>
      <c r="W756" s="5">
        <v>38737</v>
      </c>
      <c r="X756" s="6">
        <v>2</v>
      </c>
      <c r="Y756" s="6">
        <v>2</v>
      </c>
      <c r="Z756" s="6">
        <v>2</v>
      </c>
      <c r="AA756" s="6" t="s">
        <v>178</v>
      </c>
      <c r="AB756" s="6">
        <v>3</v>
      </c>
      <c r="AC756" s="6" t="s">
        <v>180</v>
      </c>
    </row>
    <row r="757" spans="1:29" x14ac:dyDescent="0.25">
      <c r="A757" s="145" t="str">
        <f>HYPERLINK("http://www.ofsted.gov.uk/inspection-reports/find-inspection-report/provider/ELS/130594 ","Ofsted Webpage")</f>
        <v>Ofsted Webpage</v>
      </c>
      <c r="B757" s="151">
        <v>130594</v>
      </c>
      <c r="C757" s="151">
        <v>10007709</v>
      </c>
      <c r="D757" s="46" t="s">
        <v>1714</v>
      </c>
      <c r="E757" s="26" t="s">
        <v>81</v>
      </c>
      <c r="F757" s="26" t="s">
        <v>82</v>
      </c>
      <c r="G757" s="26" t="s">
        <v>210</v>
      </c>
      <c r="H757" s="26" t="s">
        <v>187</v>
      </c>
      <c r="I757" s="26" t="s">
        <v>188</v>
      </c>
      <c r="J757" s="2" t="s">
        <v>72</v>
      </c>
      <c r="K757" s="141" t="s">
        <v>72</v>
      </c>
      <c r="L757" s="141" t="s">
        <v>1715</v>
      </c>
      <c r="M757" s="26" t="s">
        <v>194</v>
      </c>
      <c r="N757" s="2">
        <v>41617</v>
      </c>
      <c r="O757" s="2">
        <v>41621</v>
      </c>
      <c r="P757" s="133">
        <v>41659</v>
      </c>
      <c r="Q757" s="6">
        <v>1</v>
      </c>
      <c r="R757" s="6">
        <v>1</v>
      </c>
      <c r="S757" s="6">
        <v>1</v>
      </c>
      <c r="T757" s="120" t="s">
        <v>178</v>
      </c>
      <c r="U757" s="6">
        <v>1</v>
      </c>
      <c r="V757" s="6" t="s">
        <v>1716</v>
      </c>
      <c r="W757" s="5">
        <v>39479</v>
      </c>
      <c r="X757" s="6">
        <v>2</v>
      </c>
      <c r="Y757" s="6">
        <v>3</v>
      </c>
      <c r="Z757" s="6">
        <v>2</v>
      </c>
      <c r="AA757" s="6" t="s">
        <v>178</v>
      </c>
      <c r="AB757" s="6">
        <v>2</v>
      </c>
      <c r="AC757" s="6" t="s">
        <v>216</v>
      </c>
    </row>
    <row r="758" spans="1:29" x14ac:dyDescent="0.25">
      <c r="A758" s="145" t="str">
        <f>HYPERLINK("http://www.ofsted.gov.uk/inspection-reports/find-inspection-report/provider/ELS/130595 ","Ofsted Webpage")</f>
        <v>Ofsted Webpage</v>
      </c>
      <c r="B758" s="151">
        <v>130595</v>
      </c>
      <c r="C758" s="151">
        <v>10000415</v>
      </c>
      <c r="D758" s="46" t="s">
        <v>1717</v>
      </c>
      <c r="E758" s="26" t="s">
        <v>87</v>
      </c>
      <c r="F758" s="26" t="s">
        <v>82</v>
      </c>
      <c r="G758" s="26" t="s">
        <v>210</v>
      </c>
      <c r="H758" s="26" t="s">
        <v>187</v>
      </c>
      <c r="I758" s="26" t="s">
        <v>188</v>
      </c>
      <c r="J758" s="2">
        <v>42810</v>
      </c>
      <c r="K758" s="141">
        <v>1</v>
      </c>
      <c r="L758" s="141" t="s">
        <v>1718</v>
      </c>
      <c r="M758" s="26" t="s">
        <v>377</v>
      </c>
      <c r="N758" s="2">
        <v>40882</v>
      </c>
      <c r="O758" s="2">
        <v>40886</v>
      </c>
      <c r="P758" s="133">
        <v>40926</v>
      </c>
      <c r="Q758" s="6">
        <v>2</v>
      </c>
      <c r="R758" s="6">
        <v>2</v>
      </c>
      <c r="S758" s="6">
        <v>2</v>
      </c>
      <c r="T758" s="120" t="s">
        <v>178</v>
      </c>
      <c r="U758" s="6">
        <v>2</v>
      </c>
      <c r="V758" s="6" t="s">
        <v>1719</v>
      </c>
      <c r="W758" s="5">
        <v>39360</v>
      </c>
      <c r="X758" s="6">
        <v>3</v>
      </c>
      <c r="Y758" s="6">
        <v>3</v>
      </c>
      <c r="Z758" s="6">
        <v>3</v>
      </c>
      <c r="AA758" s="6" t="s">
        <v>178</v>
      </c>
      <c r="AB758" s="6">
        <v>3</v>
      </c>
      <c r="AC758" s="6" t="s">
        <v>216</v>
      </c>
    </row>
    <row r="759" spans="1:29" x14ac:dyDescent="0.25">
      <c r="A759" s="145" t="str">
        <f>HYPERLINK("http://www.ofsted.gov.uk/inspection-reports/find-inspection-report/provider/ELS/130597 ","Ofsted Webpage")</f>
        <v>Ofsted Webpage</v>
      </c>
      <c r="B759" s="151">
        <v>130597</v>
      </c>
      <c r="C759" s="151">
        <v>10000610</v>
      </c>
      <c r="D759" s="46" t="s">
        <v>1720</v>
      </c>
      <c r="E759" s="26" t="s">
        <v>81</v>
      </c>
      <c r="F759" s="26" t="s">
        <v>82</v>
      </c>
      <c r="G759" s="26" t="s">
        <v>286</v>
      </c>
      <c r="H759" s="26" t="s">
        <v>287</v>
      </c>
      <c r="I759" s="26" t="s">
        <v>287</v>
      </c>
      <c r="J759" s="2" t="s">
        <v>72</v>
      </c>
      <c r="K759" s="141" t="s">
        <v>72</v>
      </c>
      <c r="L759" s="141" t="s">
        <v>1721</v>
      </c>
      <c r="M759" s="26" t="s">
        <v>194</v>
      </c>
      <c r="N759" s="2">
        <v>41715</v>
      </c>
      <c r="O759" s="2">
        <v>41719</v>
      </c>
      <c r="P759" s="133">
        <v>41758</v>
      </c>
      <c r="Q759" s="6">
        <v>2</v>
      </c>
      <c r="R759" s="6">
        <v>2</v>
      </c>
      <c r="S759" s="6">
        <v>2</v>
      </c>
      <c r="T759" s="120" t="s">
        <v>178</v>
      </c>
      <c r="U759" s="6">
        <v>2</v>
      </c>
      <c r="V759" s="6" t="s">
        <v>1722</v>
      </c>
      <c r="W759" s="5">
        <v>39780</v>
      </c>
      <c r="X759" s="6">
        <v>1</v>
      </c>
      <c r="Y759" s="6">
        <v>2</v>
      </c>
      <c r="Z759" s="6">
        <v>2</v>
      </c>
      <c r="AA759" s="6" t="s">
        <v>178</v>
      </c>
      <c r="AB759" s="6">
        <v>1</v>
      </c>
      <c r="AC759" s="6" t="s">
        <v>201</v>
      </c>
    </row>
    <row r="760" spans="1:29" x14ac:dyDescent="0.25">
      <c r="A760" s="145" t="str">
        <f>HYPERLINK("http://www.ofsted.gov.uk/inspection-reports/find-inspection-report/provider/ELS/130598 ","Ofsted Webpage")</f>
        <v>Ofsted Webpage</v>
      </c>
      <c r="B760" s="151">
        <v>130598</v>
      </c>
      <c r="C760" s="151">
        <v>10002061</v>
      </c>
      <c r="D760" s="46" t="s">
        <v>1957</v>
      </c>
      <c r="E760" s="26" t="s">
        <v>81</v>
      </c>
      <c r="F760" s="26" t="s">
        <v>82</v>
      </c>
      <c r="G760" s="26" t="s">
        <v>871</v>
      </c>
      <c r="H760" s="26" t="s">
        <v>287</v>
      </c>
      <c r="I760" s="26" t="s">
        <v>287</v>
      </c>
      <c r="J760" s="2" t="s">
        <v>72</v>
      </c>
      <c r="K760" s="141" t="s">
        <v>72</v>
      </c>
      <c r="L760" s="141">
        <v>10004711</v>
      </c>
      <c r="M760" s="26" t="s">
        <v>194</v>
      </c>
      <c r="N760" s="2">
        <v>42430</v>
      </c>
      <c r="O760" s="2">
        <v>42433</v>
      </c>
      <c r="P760" s="133">
        <v>42453</v>
      </c>
      <c r="Q760" s="6">
        <v>2</v>
      </c>
      <c r="R760" s="6">
        <v>2</v>
      </c>
      <c r="S760" s="6">
        <v>2</v>
      </c>
      <c r="T760" s="6">
        <v>2</v>
      </c>
      <c r="U760" s="6">
        <v>2</v>
      </c>
      <c r="V760" s="6" t="s">
        <v>1958</v>
      </c>
      <c r="W760" s="5">
        <v>41565</v>
      </c>
      <c r="X760" s="6">
        <v>2</v>
      </c>
      <c r="Y760" s="6">
        <v>3</v>
      </c>
      <c r="Z760" s="6">
        <v>2</v>
      </c>
      <c r="AA760" s="6" t="s">
        <v>178</v>
      </c>
      <c r="AB760" s="6">
        <v>2</v>
      </c>
      <c r="AC760" s="6" t="s">
        <v>180</v>
      </c>
    </row>
    <row r="761" spans="1:29" x14ac:dyDescent="0.25">
      <c r="A761" s="145" t="str">
        <f>HYPERLINK("http://www.ofsted.gov.uk/inspection-reports/find-inspection-report/provider/ELS/130599 ","Ofsted Webpage")</f>
        <v>Ofsted Webpage</v>
      </c>
      <c r="B761" s="151">
        <v>130599</v>
      </c>
      <c r="C761" s="151">
        <v>10000534</v>
      </c>
      <c r="D761" s="46" t="s">
        <v>1959</v>
      </c>
      <c r="E761" s="26" t="s">
        <v>81</v>
      </c>
      <c r="F761" s="26" t="s">
        <v>82</v>
      </c>
      <c r="G761" s="26" t="s">
        <v>939</v>
      </c>
      <c r="H761" s="26" t="s">
        <v>287</v>
      </c>
      <c r="I761" s="26" t="s">
        <v>287</v>
      </c>
      <c r="J761" s="2" t="s">
        <v>72</v>
      </c>
      <c r="K761" s="141" t="s">
        <v>72</v>
      </c>
      <c r="L761" s="141">
        <v>10004712</v>
      </c>
      <c r="M761" s="26" t="s">
        <v>622</v>
      </c>
      <c r="N761" s="2">
        <v>42444</v>
      </c>
      <c r="O761" s="2">
        <v>42447</v>
      </c>
      <c r="P761" s="133">
        <v>42475</v>
      </c>
      <c r="Q761" s="6">
        <v>3</v>
      </c>
      <c r="R761" s="6">
        <v>3</v>
      </c>
      <c r="S761" s="6">
        <v>3</v>
      </c>
      <c r="T761" s="6">
        <v>3</v>
      </c>
      <c r="U761" s="6">
        <v>3</v>
      </c>
      <c r="V761" s="6" t="s">
        <v>1960</v>
      </c>
      <c r="W761" s="5">
        <v>41964</v>
      </c>
      <c r="X761" s="6">
        <v>4</v>
      </c>
      <c r="Y761" s="6">
        <v>4</v>
      </c>
      <c r="Z761" s="6">
        <v>4</v>
      </c>
      <c r="AA761" s="6" t="s">
        <v>178</v>
      </c>
      <c r="AB761" s="6">
        <v>4</v>
      </c>
      <c r="AC761" s="6" t="s">
        <v>216</v>
      </c>
    </row>
    <row r="762" spans="1:29" x14ac:dyDescent="0.25">
      <c r="A762" s="145" t="str">
        <f>HYPERLINK("http://www.ofsted.gov.uk/inspection-reports/find-inspection-report/provider/ELS/130600 ","Ofsted Webpage")</f>
        <v>Ofsted Webpage</v>
      </c>
      <c r="B762" s="151">
        <v>130600</v>
      </c>
      <c r="C762" s="151">
        <v>10004125</v>
      </c>
      <c r="D762" s="46" t="s">
        <v>1961</v>
      </c>
      <c r="E762" s="26" t="s">
        <v>83</v>
      </c>
      <c r="F762" s="26" t="s">
        <v>82</v>
      </c>
      <c r="G762" s="26" t="s">
        <v>939</v>
      </c>
      <c r="H762" s="26" t="s">
        <v>287</v>
      </c>
      <c r="I762" s="26" t="s">
        <v>287</v>
      </c>
      <c r="J762" s="2" t="s">
        <v>72</v>
      </c>
      <c r="K762" s="141" t="s">
        <v>72</v>
      </c>
      <c r="L762" s="141" t="s">
        <v>1962</v>
      </c>
      <c r="M762" s="26" t="s">
        <v>1592</v>
      </c>
      <c r="N762" s="2">
        <v>39742</v>
      </c>
      <c r="O762" s="2">
        <v>39743</v>
      </c>
      <c r="P762" s="133">
        <v>39794</v>
      </c>
      <c r="Q762" s="6">
        <v>1</v>
      </c>
      <c r="R762" s="6">
        <v>2</v>
      </c>
      <c r="S762" s="6">
        <v>1</v>
      </c>
      <c r="T762" s="120" t="s">
        <v>178</v>
      </c>
      <c r="U762" s="6">
        <v>1</v>
      </c>
      <c r="V762" s="6" t="s">
        <v>72</v>
      </c>
      <c r="W762" s="5" t="s">
        <v>72</v>
      </c>
      <c r="X762" s="6" t="s">
        <v>72</v>
      </c>
      <c r="Y762" s="6" t="s">
        <v>72</v>
      </c>
      <c r="Z762" s="6" t="s">
        <v>72</v>
      </c>
      <c r="AA762" s="6" t="s">
        <v>72</v>
      </c>
      <c r="AB762" s="6" t="s">
        <v>72</v>
      </c>
      <c r="AC762" s="6" t="s">
        <v>208</v>
      </c>
    </row>
    <row r="763" spans="1:29" x14ac:dyDescent="0.25">
      <c r="A763" s="145" t="str">
        <f>HYPERLINK("http://www.ofsted.gov.uk/inspection-reports/find-inspection-report/provider/ELS/130602 ","Ofsted Webpage")</f>
        <v>Ofsted Webpage</v>
      </c>
      <c r="B763" s="151">
        <v>130602</v>
      </c>
      <c r="C763" s="151">
        <v>10004596</v>
      </c>
      <c r="D763" s="46" t="s">
        <v>1963</v>
      </c>
      <c r="E763" s="26" t="s">
        <v>81</v>
      </c>
      <c r="F763" s="26" t="s">
        <v>82</v>
      </c>
      <c r="G763" s="26" t="s">
        <v>849</v>
      </c>
      <c r="H763" s="26" t="s">
        <v>219</v>
      </c>
      <c r="I763" s="26" t="s">
        <v>219</v>
      </c>
      <c r="J763" s="2">
        <v>42879</v>
      </c>
      <c r="K763" s="141">
        <v>1</v>
      </c>
      <c r="L763" s="141" t="s">
        <v>1964</v>
      </c>
      <c r="M763" s="26" t="s">
        <v>194</v>
      </c>
      <c r="N763" s="2">
        <v>42031</v>
      </c>
      <c r="O763" s="2">
        <v>42034</v>
      </c>
      <c r="P763" s="133">
        <v>42073</v>
      </c>
      <c r="Q763" s="6">
        <v>2</v>
      </c>
      <c r="R763" s="6">
        <v>2</v>
      </c>
      <c r="S763" s="6">
        <v>2</v>
      </c>
      <c r="T763" s="120" t="s">
        <v>178</v>
      </c>
      <c r="U763" s="6">
        <v>2</v>
      </c>
      <c r="V763" s="6" t="s">
        <v>1965</v>
      </c>
      <c r="W763" s="5">
        <v>40130</v>
      </c>
      <c r="X763" s="6">
        <v>2</v>
      </c>
      <c r="Y763" s="6">
        <v>3</v>
      </c>
      <c r="Z763" s="6">
        <v>3</v>
      </c>
      <c r="AA763" s="6" t="s">
        <v>178</v>
      </c>
      <c r="AB763" s="6">
        <v>2</v>
      </c>
      <c r="AC763" s="6" t="s">
        <v>180</v>
      </c>
    </row>
    <row r="764" spans="1:29" x14ac:dyDescent="0.25">
      <c r="A764" s="145" t="str">
        <f>HYPERLINK("http://www.ofsted.gov.uk/inspection-reports/find-inspection-report/provider/ELS/130603 ","Ofsted Webpage")</f>
        <v>Ofsted Webpage</v>
      </c>
      <c r="B764" s="151">
        <v>130603</v>
      </c>
      <c r="C764" s="151">
        <v>10000833</v>
      </c>
      <c r="D764" s="46" t="s">
        <v>1966</v>
      </c>
      <c r="E764" s="26" t="s">
        <v>81</v>
      </c>
      <c r="F764" s="26" t="s">
        <v>82</v>
      </c>
      <c r="G764" s="26" t="s">
        <v>1088</v>
      </c>
      <c r="H764" s="26" t="s">
        <v>219</v>
      </c>
      <c r="I764" s="26" t="s">
        <v>219</v>
      </c>
      <c r="J764" s="2" t="s">
        <v>72</v>
      </c>
      <c r="K764" s="141" t="s">
        <v>72</v>
      </c>
      <c r="L764" s="141" t="s">
        <v>1967</v>
      </c>
      <c r="M764" s="26" t="s">
        <v>194</v>
      </c>
      <c r="N764" s="2">
        <v>41604</v>
      </c>
      <c r="O764" s="2">
        <v>41607</v>
      </c>
      <c r="P764" s="133">
        <v>41647</v>
      </c>
      <c r="Q764" s="6">
        <v>2</v>
      </c>
      <c r="R764" s="6">
        <v>3</v>
      </c>
      <c r="S764" s="6">
        <v>2</v>
      </c>
      <c r="T764" s="120" t="s">
        <v>178</v>
      </c>
      <c r="U764" s="6">
        <v>2</v>
      </c>
      <c r="V764" s="6" t="s">
        <v>1968</v>
      </c>
      <c r="W764" s="5">
        <v>41075</v>
      </c>
      <c r="X764" s="6">
        <v>3</v>
      </c>
      <c r="Y764" s="6">
        <v>3</v>
      </c>
      <c r="Z764" s="6">
        <v>3</v>
      </c>
      <c r="AA764" s="6" t="s">
        <v>178</v>
      </c>
      <c r="AB764" s="6">
        <v>3</v>
      </c>
      <c r="AC764" s="6" t="s">
        <v>216</v>
      </c>
    </row>
    <row r="765" spans="1:29" x14ac:dyDescent="0.25">
      <c r="A765" s="145" t="str">
        <f>HYPERLINK("http://www.ofsted.gov.uk/inspection-reports/find-inspection-report/provider/ELS/130604 ","Ofsted Webpage")</f>
        <v>Ofsted Webpage</v>
      </c>
      <c r="B765" s="151">
        <v>130604</v>
      </c>
      <c r="C765" s="151">
        <v>10002107</v>
      </c>
      <c r="D765" s="46" t="s">
        <v>1969</v>
      </c>
      <c r="E765" s="26" t="s">
        <v>81</v>
      </c>
      <c r="F765" s="26" t="s">
        <v>82</v>
      </c>
      <c r="G765" s="26" t="s">
        <v>364</v>
      </c>
      <c r="H765" s="26" t="s">
        <v>219</v>
      </c>
      <c r="I765" s="26" t="s">
        <v>219</v>
      </c>
      <c r="J765" s="2" t="s">
        <v>72</v>
      </c>
      <c r="K765" s="141" t="s">
        <v>72</v>
      </c>
      <c r="L765" s="141">
        <v>10004714</v>
      </c>
      <c r="M765" s="26" t="s">
        <v>194</v>
      </c>
      <c r="N765" s="2">
        <v>42696</v>
      </c>
      <c r="O765" s="2">
        <v>42699</v>
      </c>
      <c r="P765" s="133">
        <v>42748</v>
      </c>
      <c r="Q765" s="6">
        <v>3</v>
      </c>
      <c r="R765" s="6">
        <v>3</v>
      </c>
      <c r="S765" s="6">
        <v>3</v>
      </c>
      <c r="T765" s="6">
        <v>3</v>
      </c>
      <c r="U765" s="6">
        <v>3</v>
      </c>
      <c r="V765" s="6" t="s">
        <v>1970</v>
      </c>
      <c r="W765" s="5">
        <v>41334</v>
      </c>
      <c r="X765" s="6">
        <v>2</v>
      </c>
      <c r="Y765" s="6">
        <v>2</v>
      </c>
      <c r="Z765" s="6">
        <v>2</v>
      </c>
      <c r="AA765" s="6" t="s">
        <v>178</v>
      </c>
      <c r="AB765" s="6">
        <v>2</v>
      </c>
      <c r="AC765" s="6" t="s">
        <v>201</v>
      </c>
    </row>
    <row r="766" spans="1:29" x14ac:dyDescent="0.25">
      <c r="A766" s="145" t="str">
        <f>HYPERLINK("http://www.ofsted.gov.uk/inspection-reports/find-inspection-report/provider/ELS/130606 ","Ofsted Webpage")</f>
        <v>Ofsted Webpage</v>
      </c>
      <c r="B766" s="151">
        <v>130606</v>
      </c>
      <c r="C766" s="151">
        <v>10000654</v>
      </c>
      <c r="D766" s="46" t="s">
        <v>2062</v>
      </c>
      <c r="E766" s="26" t="s">
        <v>87</v>
      </c>
      <c r="F766" s="26" t="s">
        <v>82</v>
      </c>
      <c r="G766" s="26" t="s">
        <v>2063</v>
      </c>
      <c r="H766" s="26" t="s">
        <v>219</v>
      </c>
      <c r="I766" s="26" t="s">
        <v>219</v>
      </c>
      <c r="J766" s="2" t="s">
        <v>72</v>
      </c>
      <c r="K766" s="141" t="s">
        <v>72</v>
      </c>
      <c r="L766" s="141">
        <v>10022515</v>
      </c>
      <c r="M766" s="26" t="s">
        <v>194</v>
      </c>
      <c r="N766" s="2">
        <v>42801</v>
      </c>
      <c r="O766" s="2">
        <v>42804</v>
      </c>
      <c r="P766" s="133">
        <v>42845</v>
      </c>
      <c r="Q766" s="6">
        <v>2</v>
      </c>
      <c r="R766" s="6">
        <v>2</v>
      </c>
      <c r="S766" s="6">
        <v>2</v>
      </c>
      <c r="T766" s="6">
        <v>2</v>
      </c>
      <c r="U766" s="6">
        <v>2</v>
      </c>
      <c r="V766" s="6" t="s">
        <v>2064</v>
      </c>
      <c r="W766" s="5">
        <v>42167</v>
      </c>
      <c r="X766" s="6">
        <v>2</v>
      </c>
      <c r="Y766" s="6">
        <v>2</v>
      </c>
      <c r="Z766" s="6">
        <v>2</v>
      </c>
      <c r="AA766" s="6" t="s">
        <v>178</v>
      </c>
      <c r="AB766" s="6">
        <v>2</v>
      </c>
      <c r="AC766" s="6" t="s">
        <v>180</v>
      </c>
    </row>
    <row r="767" spans="1:29" x14ac:dyDescent="0.25">
      <c r="A767" s="145" t="str">
        <f>HYPERLINK("http://www.ofsted.gov.uk/inspection-reports/find-inspection-report/provider/ELS/130607 ","Ofsted Webpage")</f>
        <v>Ofsted Webpage</v>
      </c>
      <c r="B767" s="151">
        <v>130607</v>
      </c>
      <c r="C767" s="151">
        <v>10000473</v>
      </c>
      <c r="D767" s="46" t="s">
        <v>2065</v>
      </c>
      <c r="E767" s="26" t="s">
        <v>81</v>
      </c>
      <c r="F767" s="26" t="s">
        <v>82</v>
      </c>
      <c r="G767" s="26" t="s">
        <v>273</v>
      </c>
      <c r="H767" s="26" t="s">
        <v>219</v>
      </c>
      <c r="I767" s="26" t="s">
        <v>219</v>
      </c>
      <c r="J767" s="2" t="s">
        <v>72</v>
      </c>
      <c r="K767" s="141" t="s">
        <v>72</v>
      </c>
      <c r="L767" s="141" t="s">
        <v>2066</v>
      </c>
      <c r="M767" s="26" t="s">
        <v>194</v>
      </c>
      <c r="N767" s="2">
        <v>41407</v>
      </c>
      <c r="O767" s="2">
        <v>41411</v>
      </c>
      <c r="P767" s="133">
        <v>41449</v>
      </c>
      <c r="Q767" s="6">
        <v>2</v>
      </c>
      <c r="R767" s="6">
        <v>3</v>
      </c>
      <c r="S767" s="6">
        <v>2</v>
      </c>
      <c r="T767" s="120" t="s">
        <v>178</v>
      </c>
      <c r="U767" s="6">
        <v>2</v>
      </c>
      <c r="V767" s="6" t="s">
        <v>2067</v>
      </c>
      <c r="W767" s="5">
        <v>40242</v>
      </c>
      <c r="X767" s="6">
        <v>3</v>
      </c>
      <c r="Y767" s="6">
        <v>3</v>
      </c>
      <c r="Z767" s="6">
        <v>3</v>
      </c>
      <c r="AA767" s="6" t="s">
        <v>178</v>
      </c>
      <c r="AB767" s="6">
        <v>2</v>
      </c>
      <c r="AC767" s="6" t="s">
        <v>216</v>
      </c>
    </row>
    <row r="768" spans="1:29" x14ac:dyDescent="0.25">
      <c r="A768" s="145" t="str">
        <f>HYPERLINK("http://www.ofsted.gov.uk/inspection-reports/find-inspection-report/provider/ELS/130609 ","Ofsted Webpage")</f>
        <v>Ofsted Webpage</v>
      </c>
      <c r="B768" s="151">
        <v>130609</v>
      </c>
      <c r="C768" s="151">
        <v>10004375</v>
      </c>
      <c r="D768" s="46" t="s">
        <v>2068</v>
      </c>
      <c r="E768" s="26" t="s">
        <v>81</v>
      </c>
      <c r="F768" s="26" t="s">
        <v>82</v>
      </c>
      <c r="G768" s="26" t="s">
        <v>733</v>
      </c>
      <c r="H768" s="26" t="s">
        <v>219</v>
      </c>
      <c r="I768" s="26" t="s">
        <v>219</v>
      </c>
      <c r="J768" s="2" t="s">
        <v>72</v>
      </c>
      <c r="K768" s="141" t="s">
        <v>72</v>
      </c>
      <c r="L768" s="141">
        <v>10030686</v>
      </c>
      <c r="M768" s="26" t="s">
        <v>1011</v>
      </c>
      <c r="N768" s="2">
        <v>42878</v>
      </c>
      <c r="O768" s="2">
        <v>42881</v>
      </c>
      <c r="P768" s="133">
        <v>42908</v>
      </c>
      <c r="Q768" s="6">
        <v>2</v>
      </c>
      <c r="R768" s="6">
        <v>2</v>
      </c>
      <c r="S768" s="6">
        <v>2</v>
      </c>
      <c r="T768" s="6">
        <v>2</v>
      </c>
      <c r="U768" s="6">
        <v>2</v>
      </c>
      <c r="V768" s="6" t="s">
        <v>2069</v>
      </c>
      <c r="W768" s="5">
        <v>42167</v>
      </c>
      <c r="X768" s="6">
        <v>3</v>
      </c>
      <c r="Y768" s="6">
        <v>3</v>
      </c>
      <c r="Z768" s="6">
        <v>3</v>
      </c>
      <c r="AA768" s="6" t="s">
        <v>178</v>
      </c>
      <c r="AB768" s="6">
        <v>3</v>
      </c>
      <c r="AC768" s="6" t="s">
        <v>216</v>
      </c>
    </row>
    <row r="769" spans="1:29" x14ac:dyDescent="0.25">
      <c r="A769" s="145" t="str">
        <f>HYPERLINK("http://www.ofsted.gov.uk/inspection-reports/find-inspection-report/provider/ELS/130610 ","Ofsted Webpage")</f>
        <v>Ofsted Webpage</v>
      </c>
      <c r="B769" s="151">
        <v>130610</v>
      </c>
      <c r="C769" s="151">
        <v>10001116</v>
      </c>
      <c r="D769" s="46" t="s">
        <v>2070</v>
      </c>
      <c r="E769" s="26" t="s">
        <v>81</v>
      </c>
      <c r="F769" s="26" t="s">
        <v>82</v>
      </c>
      <c r="G769" s="26" t="s">
        <v>604</v>
      </c>
      <c r="H769" s="26" t="s">
        <v>287</v>
      </c>
      <c r="I769" s="26" t="s">
        <v>287</v>
      </c>
      <c r="J769" s="2">
        <v>42657</v>
      </c>
      <c r="K769" s="141">
        <v>1</v>
      </c>
      <c r="L769" s="141" t="s">
        <v>2071</v>
      </c>
      <c r="M769" s="26" t="s">
        <v>194</v>
      </c>
      <c r="N769" s="2">
        <v>41204</v>
      </c>
      <c r="O769" s="2">
        <v>41208</v>
      </c>
      <c r="P769" s="133">
        <v>41243</v>
      </c>
      <c r="Q769" s="6">
        <v>2</v>
      </c>
      <c r="R769" s="6">
        <v>2</v>
      </c>
      <c r="S769" s="6">
        <v>2</v>
      </c>
      <c r="T769" s="120" t="s">
        <v>178</v>
      </c>
      <c r="U769" s="6">
        <v>2</v>
      </c>
      <c r="V769" s="6" t="s">
        <v>2072</v>
      </c>
      <c r="W769" s="5">
        <v>39521</v>
      </c>
      <c r="X769" s="6">
        <v>2</v>
      </c>
      <c r="Y769" s="6">
        <v>2</v>
      </c>
      <c r="Z769" s="6">
        <v>2</v>
      </c>
      <c r="AA769" s="6" t="s">
        <v>178</v>
      </c>
      <c r="AB769" s="6">
        <v>2</v>
      </c>
      <c r="AC769" s="6" t="s">
        <v>180</v>
      </c>
    </row>
    <row r="770" spans="1:29" x14ac:dyDescent="0.25">
      <c r="A770" s="145" t="str">
        <f>HYPERLINK("http://www.ofsted.gov.uk/inspection-reports/find-inspection-report/provider/ELS/130613 ","Ofsted Webpage")</f>
        <v>Ofsted Webpage</v>
      </c>
      <c r="B770" s="151">
        <v>130613</v>
      </c>
      <c r="C770" s="151">
        <v>10005077</v>
      </c>
      <c r="D770" s="46" t="s">
        <v>2073</v>
      </c>
      <c r="E770" s="26" t="s">
        <v>81</v>
      </c>
      <c r="F770" s="26" t="s">
        <v>82</v>
      </c>
      <c r="G770" s="26" t="s">
        <v>910</v>
      </c>
      <c r="H770" s="26" t="s">
        <v>287</v>
      </c>
      <c r="I770" s="26" t="s">
        <v>287</v>
      </c>
      <c r="J770" s="2" t="s">
        <v>72</v>
      </c>
      <c r="K770" s="141" t="s">
        <v>72</v>
      </c>
      <c r="L770" s="141">
        <v>10030720</v>
      </c>
      <c r="M770" s="26" t="s">
        <v>194</v>
      </c>
      <c r="N770" s="2">
        <v>42878</v>
      </c>
      <c r="O770" s="2">
        <v>42881</v>
      </c>
      <c r="P770" s="133">
        <v>42920</v>
      </c>
      <c r="Q770" s="6">
        <v>3</v>
      </c>
      <c r="R770" s="6">
        <v>3</v>
      </c>
      <c r="S770" s="6">
        <v>3</v>
      </c>
      <c r="T770" s="6">
        <v>3</v>
      </c>
      <c r="U770" s="6">
        <v>3</v>
      </c>
      <c r="V770" s="6" t="s">
        <v>2074</v>
      </c>
      <c r="W770" s="5">
        <v>40893</v>
      </c>
      <c r="X770" s="6">
        <v>2</v>
      </c>
      <c r="Y770" s="6">
        <v>2</v>
      </c>
      <c r="Z770" s="6">
        <v>2</v>
      </c>
      <c r="AA770" s="6" t="s">
        <v>178</v>
      </c>
      <c r="AB770" s="6">
        <v>2</v>
      </c>
      <c r="AC770" s="6" t="s">
        <v>201</v>
      </c>
    </row>
    <row r="771" spans="1:29" x14ac:dyDescent="0.25">
      <c r="A771" s="145" t="str">
        <f>HYPERLINK("http://www.ofsted.gov.uk/inspection-reports/find-inspection-report/provider/ELS/130615 ","Ofsted Webpage")</f>
        <v>Ofsted Webpage</v>
      </c>
      <c r="B771" s="151">
        <v>130615</v>
      </c>
      <c r="C771" s="151">
        <v>10003094</v>
      </c>
      <c r="D771" s="46" t="s">
        <v>2075</v>
      </c>
      <c r="E771" s="26" t="s">
        <v>83</v>
      </c>
      <c r="F771" s="26" t="s">
        <v>82</v>
      </c>
      <c r="G771" s="26" t="s">
        <v>604</v>
      </c>
      <c r="H771" s="26" t="s">
        <v>287</v>
      </c>
      <c r="I771" s="26" t="s">
        <v>287</v>
      </c>
      <c r="J771" s="2" t="s">
        <v>72</v>
      </c>
      <c r="K771" s="141" t="s">
        <v>72</v>
      </c>
      <c r="L771" s="141" t="s">
        <v>2076</v>
      </c>
      <c r="M771" s="26" t="s">
        <v>1592</v>
      </c>
      <c r="N771" s="2">
        <v>39024</v>
      </c>
      <c r="O771" s="2">
        <v>39024</v>
      </c>
      <c r="P771" s="133">
        <v>39094</v>
      </c>
      <c r="Q771" s="6">
        <v>1</v>
      </c>
      <c r="R771" s="6">
        <v>1</v>
      </c>
      <c r="S771" s="6">
        <v>1</v>
      </c>
      <c r="T771" s="120" t="s">
        <v>178</v>
      </c>
      <c r="U771" s="6">
        <v>1</v>
      </c>
      <c r="V771" s="6" t="s">
        <v>72</v>
      </c>
      <c r="W771" s="5" t="s">
        <v>72</v>
      </c>
      <c r="X771" s="6" t="s">
        <v>72</v>
      </c>
      <c r="Y771" s="6" t="s">
        <v>72</v>
      </c>
      <c r="Z771" s="6" t="s">
        <v>72</v>
      </c>
      <c r="AA771" s="6" t="s">
        <v>72</v>
      </c>
      <c r="AB771" s="6" t="s">
        <v>72</v>
      </c>
      <c r="AC771" s="6" t="s">
        <v>208</v>
      </c>
    </row>
    <row r="772" spans="1:29" x14ac:dyDescent="0.25">
      <c r="A772" s="145" t="str">
        <f>HYPERLINK("http://www.ofsted.gov.uk/inspection-reports/find-inspection-report/provider/ELS/130616 ","Ofsted Webpage")</f>
        <v>Ofsted Webpage</v>
      </c>
      <c r="B772" s="151">
        <v>130616</v>
      </c>
      <c r="C772" s="151">
        <v>10004088</v>
      </c>
      <c r="D772" s="46" t="s">
        <v>1847</v>
      </c>
      <c r="E772" s="26" t="s">
        <v>83</v>
      </c>
      <c r="F772" s="26" t="s">
        <v>82</v>
      </c>
      <c r="G772" s="26" t="s">
        <v>604</v>
      </c>
      <c r="H772" s="26" t="s">
        <v>287</v>
      </c>
      <c r="I772" s="26" t="s">
        <v>287</v>
      </c>
      <c r="J772" s="2" t="s">
        <v>72</v>
      </c>
      <c r="K772" s="141" t="s">
        <v>72</v>
      </c>
      <c r="L772" s="141">
        <v>10022599</v>
      </c>
      <c r="M772" s="26" t="s">
        <v>372</v>
      </c>
      <c r="N772" s="2">
        <v>42759</v>
      </c>
      <c r="O772" s="2">
        <v>42762</v>
      </c>
      <c r="P772" s="133">
        <v>42825</v>
      </c>
      <c r="Q772" s="6">
        <v>2</v>
      </c>
      <c r="R772" s="6">
        <v>2</v>
      </c>
      <c r="S772" s="6">
        <v>2</v>
      </c>
      <c r="T772" s="6">
        <v>2</v>
      </c>
      <c r="U772" s="6">
        <v>2</v>
      </c>
      <c r="V772" s="6" t="s">
        <v>1848</v>
      </c>
      <c r="W772" s="5">
        <v>41677</v>
      </c>
      <c r="X772" s="6">
        <v>2</v>
      </c>
      <c r="Y772" s="6">
        <v>2</v>
      </c>
      <c r="Z772" s="6">
        <v>2</v>
      </c>
      <c r="AA772" s="6" t="s">
        <v>178</v>
      </c>
      <c r="AB772" s="6">
        <v>2</v>
      </c>
      <c r="AC772" s="6" t="s">
        <v>180</v>
      </c>
    </row>
    <row r="773" spans="1:29" x14ac:dyDescent="0.25">
      <c r="A773" s="145" t="str">
        <f>HYPERLINK("http://www.ofsted.gov.uk/inspection-reports/find-inspection-report/provider/ELS/130617 ","Ofsted Webpage")</f>
        <v>Ofsted Webpage</v>
      </c>
      <c r="B773" s="151">
        <v>130617</v>
      </c>
      <c r="C773" s="151">
        <v>10007339</v>
      </c>
      <c r="D773" s="46" t="s">
        <v>1849</v>
      </c>
      <c r="E773" s="26" t="s">
        <v>81</v>
      </c>
      <c r="F773" s="26" t="s">
        <v>82</v>
      </c>
      <c r="G773" s="26" t="s">
        <v>1850</v>
      </c>
      <c r="H773" s="26" t="s">
        <v>238</v>
      </c>
      <c r="I773" s="26" t="s">
        <v>238</v>
      </c>
      <c r="J773" s="2" t="s">
        <v>72</v>
      </c>
      <c r="K773" s="141" t="s">
        <v>72</v>
      </c>
      <c r="L773" s="141">
        <v>10004717</v>
      </c>
      <c r="M773" s="26" t="s">
        <v>215</v>
      </c>
      <c r="N773" s="2">
        <v>42388</v>
      </c>
      <c r="O773" s="2">
        <v>42391</v>
      </c>
      <c r="P773" s="133">
        <v>42422</v>
      </c>
      <c r="Q773" s="6">
        <v>3</v>
      </c>
      <c r="R773" s="6">
        <v>3</v>
      </c>
      <c r="S773" s="6">
        <v>3</v>
      </c>
      <c r="T773" s="6">
        <v>3</v>
      </c>
      <c r="U773" s="6">
        <v>3</v>
      </c>
      <c r="V773" s="6" t="s">
        <v>1851</v>
      </c>
      <c r="W773" s="5">
        <v>41936</v>
      </c>
      <c r="X773" s="6">
        <v>3</v>
      </c>
      <c r="Y773" s="6">
        <v>3</v>
      </c>
      <c r="Z773" s="6">
        <v>3</v>
      </c>
      <c r="AA773" s="6" t="s">
        <v>178</v>
      </c>
      <c r="AB773" s="6">
        <v>3</v>
      </c>
      <c r="AC773" s="6" t="s">
        <v>180</v>
      </c>
    </row>
    <row r="774" spans="1:29" x14ac:dyDescent="0.25">
      <c r="A774" s="145" t="str">
        <f>HYPERLINK("http://www.ofsted.gov.uk/inspection-reports/find-inspection-report/provider/ELS/130619 ","Ofsted Webpage")</f>
        <v>Ofsted Webpage</v>
      </c>
      <c r="B774" s="151">
        <v>130619</v>
      </c>
      <c r="C774" s="151">
        <v>10005972</v>
      </c>
      <c r="D774" s="46" t="s">
        <v>1852</v>
      </c>
      <c r="E774" s="26" t="s">
        <v>81</v>
      </c>
      <c r="F774" s="26" t="s">
        <v>82</v>
      </c>
      <c r="G774" s="26" t="s">
        <v>535</v>
      </c>
      <c r="H774" s="26" t="s">
        <v>238</v>
      </c>
      <c r="I774" s="26" t="s">
        <v>238</v>
      </c>
      <c r="J774" s="2">
        <v>42411</v>
      </c>
      <c r="K774" s="141">
        <v>1</v>
      </c>
      <c r="L774" s="141" t="s">
        <v>1853</v>
      </c>
      <c r="M774" s="26" t="s">
        <v>369</v>
      </c>
      <c r="N774" s="2">
        <v>41029</v>
      </c>
      <c r="O774" s="2">
        <v>41033</v>
      </c>
      <c r="P774" s="133">
        <v>41068</v>
      </c>
      <c r="Q774" s="6">
        <v>2</v>
      </c>
      <c r="R774" s="6">
        <v>2</v>
      </c>
      <c r="S774" s="6">
        <v>2</v>
      </c>
      <c r="T774" s="120" t="s">
        <v>178</v>
      </c>
      <c r="U774" s="6">
        <v>2</v>
      </c>
      <c r="V774" s="6" t="s">
        <v>1854</v>
      </c>
      <c r="W774" s="5">
        <v>39511</v>
      </c>
      <c r="X774" s="6">
        <v>1</v>
      </c>
      <c r="Y774" s="6">
        <v>1</v>
      </c>
      <c r="Z774" s="6">
        <v>1</v>
      </c>
      <c r="AA774" s="6" t="s">
        <v>178</v>
      </c>
      <c r="AB774" s="6">
        <v>1</v>
      </c>
      <c r="AC774" s="6" t="s">
        <v>201</v>
      </c>
    </row>
    <row r="775" spans="1:29" x14ac:dyDescent="0.25">
      <c r="A775" s="145" t="str">
        <f>HYPERLINK("http://www.ofsted.gov.uk/inspection-reports/find-inspection-report/provider/ELS/130621 ","Ofsted Webpage")</f>
        <v>Ofsted Webpage</v>
      </c>
      <c r="B775" s="151">
        <v>130621</v>
      </c>
      <c r="C775" s="151">
        <v>10004144</v>
      </c>
      <c r="D775" s="46" t="s">
        <v>1855</v>
      </c>
      <c r="E775" s="26" t="s">
        <v>81</v>
      </c>
      <c r="F775" s="26" t="s">
        <v>82</v>
      </c>
      <c r="G775" s="26" t="s">
        <v>535</v>
      </c>
      <c r="H775" s="26" t="s">
        <v>238</v>
      </c>
      <c r="I775" s="26" t="s">
        <v>238</v>
      </c>
      <c r="J775" s="2" t="s">
        <v>72</v>
      </c>
      <c r="K775" s="141" t="s">
        <v>72</v>
      </c>
      <c r="L775" s="141">
        <v>10039831</v>
      </c>
      <c r="M775" s="26" t="s">
        <v>215</v>
      </c>
      <c r="N775" s="2">
        <v>43059</v>
      </c>
      <c r="O775" s="2">
        <v>43062</v>
      </c>
      <c r="P775" s="133">
        <v>43090</v>
      </c>
      <c r="Q775" s="6">
        <v>2</v>
      </c>
      <c r="R775" s="6">
        <v>2</v>
      </c>
      <c r="S775" s="6">
        <v>2</v>
      </c>
      <c r="T775" s="6">
        <v>2</v>
      </c>
      <c r="U775" s="6">
        <v>2</v>
      </c>
      <c r="V775" s="6">
        <v>10011427</v>
      </c>
      <c r="W775" s="5">
        <v>42517</v>
      </c>
      <c r="X775" s="6">
        <v>3</v>
      </c>
      <c r="Y775" s="6">
        <v>3</v>
      </c>
      <c r="Z775" s="6">
        <v>3</v>
      </c>
      <c r="AA775" s="6">
        <v>3</v>
      </c>
      <c r="AB775" s="6">
        <v>3</v>
      </c>
      <c r="AC775" s="6" t="s">
        <v>216</v>
      </c>
    </row>
    <row r="776" spans="1:29" x14ac:dyDescent="0.25">
      <c r="A776" s="145" t="str">
        <f>HYPERLINK("http://www.ofsted.gov.uk/inspection-reports/find-inspection-report/provider/ELS/130622 ","Ofsted Webpage")</f>
        <v>Ofsted Webpage</v>
      </c>
      <c r="B776" s="151">
        <v>130622</v>
      </c>
      <c r="C776" s="151">
        <v>10002863</v>
      </c>
      <c r="D776" s="46" t="s">
        <v>1856</v>
      </c>
      <c r="E776" s="26" t="s">
        <v>81</v>
      </c>
      <c r="F776" s="26" t="s">
        <v>82</v>
      </c>
      <c r="G776" s="26" t="s">
        <v>1274</v>
      </c>
      <c r="H776" s="26" t="s">
        <v>238</v>
      </c>
      <c r="I776" s="26" t="s">
        <v>238</v>
      </c>
      <c r="J776" s="2">
        <v>42271</v>
      </c>
      <c r="K776" s="141">
        <v>1</v>
      </c>
      <c r="L776" s="141" t="s">
        <v>1857</v>
      </c>
      <c r="M776" s="26" t="s">
        <v>1858</v>
      </c>
      <c r="N776" s="2">
        <v>40210</v>
      </c>
      <c r="O776" s="2">
        <v>40214</v>
      </c>
      <c r="P776" s="133">
        <v>40249</v>
      </c>
      <c r="Q776" s="6">
        <v>2</v>
      </c>
      <c r="R776" s="6">
        <v>2</v>
      </c>
      <c r="S776" s="6">
        <v>2</v>
      </c>
      <c r="T776" s="120" t="s">
        <v>178</v>
      </c>
      <c r="U776" s="6">
        <v>2</v>
      </c>
      <c r="V776" s="6" t="s">
        <v>1859</v>
      </c>
      <c r="W776" s="5">
        <v>39780</v>
      </c>
      <c r="X776" s="6">
        <v>4</v>
      </c>
      <c r="Y776" s="6">
        <v>4</v>
      </c>
      <c r="Z776" s="6">
        <v>3</v>
      </c>
      <c r="AA776" s="6" t="s">
        <v>178</v>
      </c>
      <c r="AB776" s="6">
        <v>4</v>
      </c>
      <c r="AC776" s="6" t="s">
        <v>216</v>
      </c>
    </row>
    <row r="777" spans="1:29" x14ac:dyDescent="0.25">
      <c r="A777" s="145" t="str">
        <f>HYPERLINK("http://www.ofsted.gov.uk/inspection-reports/find-inspection-report/provider/ELS/130623 ","Ofsted Webpage")</f>
        <v>Ofsted Webpage</v>
      </c>
      <c r="B777" s="151">
        <v>130623</v>
      </c>
      <c r="C777" s="151">
        <v>10005404</v>
      </c>
      <c r="D777" s="46" t="s">
        <v>1860</v>
      </c>
      <c r="E777" s="26" t="s">
        <v>87</v>
      </c>
      <c r="F777" s="26" t="s">
        <v>82</v>
      </c>
      <c r="G777" s="26" t="s">
        <v>535</v>
      </c>
      <c r="H777" s="26" t="s">
        <v>238</v>
      </c>
      <c r="I777" s="26" t="s">
        <v>238</v>
      </c>
      <c r="J777" s="2">
        <v>42313</v>
      </c>
      <c r="K777" s="141">
        <v>1</v>
      </c>
      <c r="L777" s="141" t="s">
        <v>1861</v>
      </c>
      <c r="M777" s="26" t="s">
        <v>369</v>
      </c>
      <c r="N777" s="2">
        <v>40217</v>
      </c>
      <c r="O777" s="2">
        <v>40221</v>
      </c>
      <c r="P777" s="133">
        <v>40257</v>
      </c>
      <c r="Q777" s="6">
        <v>2</v>
      </c>
      <c r="R777" s="6">
        <v>2</v>
      </c>
      <c r="S777" s="6">
        <v>2</v>
      </c>
      <c r="T777" s="120" t="s">
        <v>178</v>
      </c>
      <c r="U777" s="6">
        <v>2</v>
      </c>
      <c r="V777" s="6" t="s">
        <v>1862</v>
      </c>
      <c r="W777" s="5">
        <v>38989</v>
      </c>
      <c r="X777" s="6">
        <v>1</v>
      </c>
      <c r="Y777" s="6">
        <v>1</v>
      </c>
      <c r="Z777" s="6">
        <v>2</v>
      </c>
      <c r="AA777" s="6" t="s">
        <v>178</v>
      </c>
      <c r="AB777" s="6">
        <v>1</v>
      </c>
      <c r="AC777" s="6" t="s">
        <v>201</v>
      </c>
    </row>
    <row r="778" spans="1:29" x14ac:dyDescent="0.25">
      <c r="A778" s="145" t="str">
        <f>HYPERLINK("http://www.ofsted.gov.uk/inspection-reports/find-inspection-report/provider/ELS/130626 ","Ofsted Webpage")</f>
        <v>Ofsted Webpage</v>
      </c>
      <c r="B778" s="151">
        <v>130626</v>
      </c>
      <c r="C778" s="151">
        <v>10005864</v>
      </c>
      <c r="D778" s="46" t="s">
        <v>1629</v>
      </c>
      <c r="E778" s="26" t="s">
        <v>83</v>
      </c>
      <c r="F778" s="26" t="s">
        <v>82</v>
      </c>
      <c r="G778" s="26" t="s">
        <v>906</v>
      </c>
      <c r="H778" s="26" t="s">
        <v>238</v>
      </c>
      <c r="I778" s="26" t="s">
        <v>238</v>
      </c>
      <c r="J778" s="2" t="s">
        <v>72</v>
      </c>
      <c r="K778" s="141" t="s">
        <v>72</v>
      </c>
      <c r="L778" s="141" t="s">
        <v>1630</v>
      </c>
      <c r="M778" s="26" t="s">
        <v>409</v>
      </c>
      <c r="N778" s="2">
        <v>39505</v>
      </c>
      <c r="O778" s="2">
        <v>39506</v>
      </c>
      <c r="P778" s="133">
        <v>39563</v>
      </c>
      <c r="Q778" s="6">
        <v>1</v>
      </c>
      <c r="R778" s="6">
        <v>1</v>
      </c>
      <c r="S778" s="6">
        <v>1</v>
      </c>
      <c r="T778" s="120" t="s">
        <v>178</v>
      </c>
      <c r="U778" s="6">
        <v>1</v>
      </c>
      <c r="V778" s="6" t="s">
        <v>72</v>
      </c>
      <c r="W778" s="5" t="s">
        <v>72</v>
      </c>
      <c r="X778" s="6" t="s">
        <v>72</v>
      </c>
      <c r="Y778" s="6" t="s">
        <v>72</v>
      </c>
      <c r="Z778" s="6" t="s">
        <v>72</v>
      </c>
      <c r="AA778" s="6" t="s">
        <v>72</v>
      </c>
      <c r="AB778" s="6" t="s">
        <v>72</v>
      </c>
      <c r="AC778" s="6" t="s">
        <v>208</v>
      </c>
    </row>
    <row r="779" spans="1:29" x14ac:dyDescent="0.25">
      <c r="A779" s="145" t="str">
        <f>HYPERLINK("http://www.ofsted.gov.uk/inspection-reports/find-inspection-report/provider/ELS/130627 ","Ofsted Webpage")</f>
        <v>Ofsted Webpage</v>
      </c>
      <c r="B779" s="151">
        <v>130627</v>
      </c>
      <c r="C779" s="151">
        <v>10001696</v>
      </c>
      <c r="D779" s="46" t="s">
        <v>1631</v>
      </c>
      <c r="E779" s="26" t="s">
        <v>81</v>
      </c>
      <c r="F779" s="26" t="s">
        <v>82</v>
      </c>
      <c r="G779" s="26" t="s">
        <v>491</v>
      </c>
      <c r="H779" s="26" t="s">
        <v>198</v>
      </c>
      <c r="I779" s="26" t="s">
        <v>198</v>
      </c>
      <c r="J779" s="2" t="s">
        <v>72</v>
      </c>
      <c r="K779" s="141" t="s">
        <v>72</v>
      </c>
      <c r="L779" s="141">
        <v>10004723</v>
      </c>
      <c r="M779" s="26" t="s">
        <v>194</v>
      </c>
      <c r="N779" s="2">
        <v>42339</v>
      </c>
      <c r="O779" s="2">
        <v>42342</v>
      </c>
      <c r="P779" s="133">
        <v>42383</v>
      </c>
      <c r="Q779" s="6">
        <v>2</v>
      </c>
      <c r="R779" s="6">
        <v>2</v>
      </c>
      <c r="S779" s="6">
        <v>2</v>
      </c>
      <c r="T779" s="6">
        <v>2</v>
      </c>
      <c r="U779" s="6">
        <v>2</v>
      </c>
      <c r="V779" s="6" t="s">
        <v>1632</v>
      </c>
      <c r="W779" s="5">
        <v>40312</v>
      </c>
      <c r="X779" s="6">
        <v>2</v>
      </c>
      <c r="Y779" s="6">
        <v>2</v>
      </c>
      <c r="Z779" s="6">
        <v>2</v>
      </c>
      <c r="AA779" s="6" t="s">
        <v>178</v>
      </c>
      <c r="AB779" s="6">
        <v>2</v>
      </c>
      <c r="AC779" s="6" t="s">
        <v>180</v>
      </c>
    </row>
    <row r="780" spans="1:29" x14ac:dyDescent="0.25">
      <c r="A780" s="145" t="str">
        <f>HYPERLINK("http://www.ofsted.gov.uk/inspection-reports/find-inspection-report/provider/ELS/130629 ","Ofsted Webpage")</f>
        <v>Ofsted Webpage</v>
      </c>
      <c r="B780" s="151">
        <v>130629</v>
      </c>
      <c r="C780" s="151">
        <v>10007063</v>
      </c>
      <c r="D780" s="46" t="s">
        <v>1633</v>
      </c>
      <c r="E780" s="26" t="s">
        <v>81</v>
      </c>
      <c r="F780" s="26" t="s">
        <v>82</v>
      </c>
      <c r="G780" s="26" t="s">
        <v>491</v>
      </c>
      <c r="H780" s="26" t="s">
        <v>198</v>
      </c>
      <c r="I780" s="26" t="s">
        <v>198</v>
      </c>
      <c r="J780" s="2" t="s">
        <v>72</v>
      </c>
      <c r="K780" s="141" t="s">
        <v>72</v>
      </c>
      <c r="L780" s="141">
        <v>10004724</v>
      </c>
      <c r="M780" s="26" t="s">
        <v>194</v>
      </c>
      <c r="N780" s="2">
        <v>42423</v>
      </c>
      <c r="O780" s="2">
        <v>42426</v>
      </c>
      <c r="P780" s="133">
        <v>42473</v>
      </c>
      <c r="Q780" s="6">
        <v>1</v>
      </c>
      <c r="R780" s="6">
        <v>1</v>
      </c>
      <c r="S780" s="6">
        <v>1</v>
      </c>
      <c r="T780" s="6">
        <v>1</v>
      </c>
      <c r="U780" s="6">
        <v>1</v>
      </c>
      <c r="V780" s="6" t="s">
        <v>1634</v>
      </c>
      <c r="W780" s="5">
        <v>39028</v>
      </c>
      <c r="X780" s="6">
        <v>1</v>
      </c>
      <c r="Y780" s="6">
        <v>1</v>
      </c>
      <c r="Z780" s="6">
        <v>1</v>
      </c>
      <c r="AA780" s="6" t="s">
        <v>178</v>
      </c>
      <c r="AB780" s="6">
        <v>1</v>
      </c>
      <c r="AC780" s="6" t="s">
        <v>180</v>
      </c>
    </row>
    <row r="781" spans="1:29" x14ac:dyDescent="0.25">
      <c r="A781" s="145" t="str">
        <f>HYPERLINK("http://www.ofsted.gov.uk/inspection-reports/find-inspection-report/provider/ELS/130631 ","Ofsted Webpage")</f>
        <v>Ofsted Webpage</v>
      </c>
      <c r="B781" s="151">
        <v>130631</v>
      </c>
      <c r="C781" s="151">
        <v>10003558</v>
      </c>
      <c r="D781" s="46" t="s">
        <v>1635</v>
      </c>
      <c r="E781" s="26" t="s">
        <v>81</v>
      </c>
      <c r="F781" s="26" t="s">
        <v>82</v>
      </c>
      <c r="G781" s="26" t="s">
        <v>687</v>
      </c>
      <c r="H781" s="26" t="s">
        <v>238</v>
      </c>
      <c r="I781" s="26" t="s">
        <v>238</v>
      </c>
      <c r="J781" s="2" t="s">
        <v>72</v>
      </c>
      <c r="K781" s="141" t="s">
        <v>72</v>
      </c>
      <c r="L781" s="141">
        <v>10030788</v>
      </c>
      <c r="M781" s="26" t="s">
        <v>194</v>
      </c>
      <c r="N781" s="2">
        <v>42892</v>
      </c>
      <c r="O781" s="2">
        <v>42895</v>
      </c>
      <c r="P781" s="133">
        <v>42927</v>
      </c>
      <c r="Q781" s="6">
        <v>2</v>
      </c>
      <c r="R781" s="6">
        <v>2</v>
      </c>
      <c r="S781" s="6">
        <v>2</v>
      </c>
      <c r="T781" s="6">
        <v>1</v>
      </c>
      <c r="U781" s="6">
        <v>2</v>
      </c>
      <c r="V781" s="6" t="s">
        <v>1636</v>
      </c>
      <c r="W781" s="5">
        <v>40515</v>
      </c>
      <c r="X781" s="6">
        <v>1</v>
      </c>
      <c r="Y781" s="6">
        <v>1</v>
      </c>
      <c r="Z781" s="6">
        <v>2</v>
      </c>
      <c r="AA781" s="6" t="s">
        <v>178</v>
      </c>
      <c r="AB781" s="6">
        <v>1</v>
      </c>
      <c r="AC781" s="6" t="s">
        <v>201</v>
      </c>
    </row>
    <row r="782" spans="1:29" x14ac:dyDescent="0.25">
      <c r="A782" s="145" t="str">
        <f>HYPERLINK("http://www.ofsted.gov.uk/inspection-reports/find-inspection-report/provider/ELS/130632 ","Ofsted Webpage")</f>
        <v>Ofsted Webpage</v>
      </c>
      <c r="B782" s="151">
        <v>130632</v>
      </c>
      <c r="C782" s="151">
        <v>10003753</v>
      </c>
      <c r="D782" s="46" t="s">
        <v>1637</v>
      </c>
      <c r="E782" s="26" t="s">
        <v>81</v>
      </c>
      <c r="F782" s="26" t="s">
        <v>82</v>
      </c>
      <c r="G782" s="26" t="s">
        <v>687</v>
      </c>
      <c r="H782" s="26" t="s">
        <v>238</v>
      </c>
      <c r="I782" s="26" t="s">
        <v>238</v>
      </c>
      <c r="J782" s="2" t="s">
        <v>72</v>
      </c>
      <c r="K782" s="141" t="s">
        <v>72</v>
      </c>
      <c r="L782" s="141">
        <v>10005438</v>
      </c>
      <c r="M782" s="26" t="s">
        <v>194</v>
      </c>
      <c r="N782" s="2">
        <v>42283</v>
      </c>
      <c r="O782" s="2">
        <v>42286</v>
      </c>
      <c r="P782" s="133">
        <v>42311</v>
      </c>
      <c r="Q782" s="6">
        <v>3</v>
      </c>
      <c r="R782" s="6">
        <v>3</v>
      </c>
      <c r="S782" s="6">
        <v>3</v>
      </c>
      <c r="T782" s="6">
        <v>3</v>
      </c>
      <c r="U782" s="6">
        <v>3</v>
      </c>
      <c r="V782" s="6" t="s">
        <v>1638</v>
      </c>
      <c r="W782" s="5">
        <v>40522</v>
      </c>
      <c r="X782" s="6">
        <v>2</v>
      </c>
      <c r="Y782" s="6">
        <v>2</v>
      </c>
      <c r="Z782" s="6">
        <v>2</v>
      </c>
      <c r="AA782" s="6" t="s">
        <v>178</v>
      </c>
      <c r="AB782" s="6">
        <v>1</v>
      </c>
      <c r="AC782" s="6" t="s">
        <v>201</v>
      </c>
    </row>
    <row r="783" spans="1:29" x14ac:dyDescent="0.25">
      <c r="A783" s="145" t="str">
        <f>HYPERLINK("http://www.ofsted.gov.uk/inspection-reports/find-inspection-report/provider/ELS/130633 ","Ofsted Webpage")</f>
        <v>Ofsted Webpage</v>
      </c>
      <c r="B783" s="151">
        <v>130633</v>
      </c>
      <c r="C783" s="151">
        <v>10002599</v>
      </c>
      <c r="D783" s="46" t="s">
        <v>1639</v>
      </c>
      <c r="E783" s="26" t="s">
        <v>81</v>
      </c>
      <c r="F783" s="26" t="s">
        <v>82</v>
      </c>
      <c r="G783" s="26" t="s">
        <v>687</v>
      </c>
      <c r="H783" s="26" t="s">
        <v>238</v>
      </c>
      <c r="I783" s="26" t="s">
        <v>238</v>
      </c>
      <c r="J783" s="2" t="s">
        <v>72</v>
      </c>
      <c r="K783" s="141" t="s">
        <v>72</v>
      </c>
      <c r="L783" s="141" t="s">
        <v>1640</v>
      </c>
      <c r="M783" s="26" t="s">
        <v>194</v>
      </c>
      <c r="N783" s="2">
        <v>42087</v>
      </c>
      <c r="O783" s="2">
        <v>42090</v>
      </c>
      <c r="P783" s="119">
        <v>42125</v>
      </c>
      <c r="Q783" s="6">
        <v>2</v>
      </c>
      <c r="R783" s="6">
        <v>2</v>
      </c>
      <c r="S783" s="6">
        <v>2</v>
      </c>
      <c r="T783" s="120" t="s">
        <v>178</v>
      </c>
      <c r="U783" s="6">
        <v>2</v>
      </c>
      <c r="V783" s="6" t="s">
        <v>1641</v>
      </c>
      <c r="W783" s="5">
        <v>40522</v>
      </c>
      <c r="X783" s="6">
        <v>2</v>
      </c>
      <c r="Y783" s="6">
        <v>2</v>
      </c>
      <c r="Z783" s="6">
        <v>3</v>
      </c>
      <c r="AA783" s="6" t="s">
        <v>178</v>
      </c>
      <c r="AB783" s="6">
        <v>2</v>
      </c>
      <c r="AC783" s="6" t="s">
        <v>180</v>
      </c>
    </row>
    <row r="784" spans="1:29" x14ac:dyDescent="0.25">
      <c r="A784" s="145" t="str">
        <f>HYPERLINK("http://www.ofsted.gov.uk/inspection-reports/find-inspection-report/provider/ELS/130634 ","Ofsted Webpage")</f>
        <v>Ofsted Webpage</v>
      </c>
      <c r="B784" s="151">
        <v>130634</v>
      </c>
      <c r="C784" s="151">
        <v>10001196</v>
      </c>
      <c r="D784" s="46" t="s">
        <v>2871</v>
      </c>
      <c r="E784" s="26" t="s">
        <v>81</v>
      </c>
      <c r="F784" s="26" t="s">
        <v>82</v>
      </c>
      <c r="G784" s="26" t="s">
        <v>687</v>
      </c>
      <c r="H784" s="26" t="s">
        <v>238</v>
      </c>
      <c r="I784" s="26" t="s">
        <v>238</v>
      </c>
      <c r="J784" s="2">
        <v>42677</v>
      </c>
      <c r="K784" s="141">
        <v>1</v>
      </c>
      <c r="L784" s="141" t="s">
        <v>2872</v>
      </c>
      <c r="M784" s="26" t="s">
        <v>377</v>
      </c>
      <c r="N784" s="2">
        <v>40154</v>
      </c>
      <c r="O784" s="2">
        <v>40158</v>
      </c>
      <c r="P784" s="119">
        <v>40194</v>
      </c>
      <c r="Q784" s="6">
        <v>2</v>
      </c>
      <c r="R784" s="6">
        <v>2</v>
      </c>
      <c r="S784" s="6">
        <v>2</v>
      </c>
      <c r="T784" s="120" t="s">
        <v>178</v>
      </c>
      <c r="U784" s="6">
        <v>2</v>
      </c>
      <c r="V784" s="6" t="s">
        <v>2873</v>
      </c>
      <c r="W784" s="5">
        <v>38807</v>
      </c>
      <c r="X784" s="6">
        <v>3</v>
      </c>
      <c r="Y784" s="6">
        <v>3</v>
      </c>
      <c r="Z784" s="6">
        <v>3</v>
      </c>
      <c r="AA784" s="6" t="s">
        <v>178</v>
      </c>
      <c r="AB784" s="6">
        <v>3</v>
      </c>
      <c r="AC784" s="6" t="s">
        <v>216</v>
      </c>
    </row>
    <row r="785" spans="1:29" x14ac:dyDescent="0.25">
      <c r="A785" s="145" t="str">
        <f>HYPERLINK("http://www.ofsted.gov.uk/inspection-reports/find-inspection-report/provider/ELS/130638 ","Ofsted Webpage")</f>
        <v>Ofsted Webpage</v>
      </c>
      <c r="B785" s="151">
        <v>130638</v>
      </c>
      <c r="C785" s="151">
        <v>10001378</v>
      </c>
      <c r="D785" s="46" t="s">
        <v>1521</v>
      </c>
      <c r="E785" s="26" t="s">
        <v>81</v>
      </c>
      <c r="F785" s="26" t="s">
        <v>82</v>
      </c>
      <c r="G785" s="26" t="s">
        <v>324</v>
      </c>
      <c r="H785" s="26" t="s">
        <v>214</v>
      </c>
      <c r="I785" s="26" t="s">
        <v>214</v>
      </c>
      <c r="J785" s="2" t="s">
        <v>72</v>
      </c>
      <c r="K785" s="141" t="s">
        <v>72</v>
      </c>
      <c r="L785" s="141" t="s">
        <v>1522</v>
      </c>
      <c r="M785" s="26" t="s">
        <v>194</v>
      </c>
      <c r="N785" s="2">
        <v>41554</v>
      </c>
      <c r="O785" s="2">
        <v>41558</v>
      </c>
      <c r="P785" s="119">
        <v>41589</v>
      </c>
      <c r="Q785" s="6">
        <v>2</v>
      </c>
      <c r="R785" s="6">
        <v>2</v>
      </c>
      <c r="S785" s="6">
        <v>2</v>
      </c>
      <c r="T785" s="120" t="s">
        <v>178</v>
      </c>
      <c r="U785" s="6">
        <v>2</v>
      </c>
      <c r="V785" s="6" t="s">
        <v>1523</v>
      </c>
      <c r="W785" s="5">
        <v>39570</v>
      </c>
      <c r="X785" s="6">
        <v>2</v>
      </c>
      <c r="Y785" s="6">
        <v>2</v>
      </c>
      <c r="Z785" s="6">
        <v>2</v>
      </c>
      <c r="AA785" s="6" t="s">
        <v>178</v>
      </c>
      <c r="AB785" s="6">
        <v>2</v>
      </c>
      <c r="AC785" s="6" t="s">
        <v>180</v>
      </c>
    </row>
    <row r="786" spans="1:29" x14ac:dyDescent="0.25">
      <c r="A786" s="145" t="str">
        <f>HYPERLINK("http://www.ofsted.gov.uk/inspection-reports/find-inspection-report/provider/ELS/130645 ","Ofsted Webpage")</f>
        <v>Ofsted Webpage</v>
      </c>
      <c r="B786" s="151">
        <v>130645</v>
      </c>
      <c r="C786" s="151">
        <v>10002370</v>
      </c>
      <c r="D786" s="46" t="s">
        <v>1524</v>
      </c>
      <c r="E786" s="26" t="s">
        <v>81</v>
      </c>
      <c r="F786" s="26" t="s">
        <v>82</v>
      </c>
      <c r="G786" s="26" t="s">
        <v>802</v>
      </c>
      <c r="H786" s="26" t="s">
        <v>198</v>
      </c>
      <c r="I786" s="26" t="s">
        <v>198</v>
      </c>
      <c r="J786" s="2" t="s">
        <v>72</v>
      </c>
      <c r="K786" s="141" t="s">
        <v>72</v>
      </c>
      <c r="L786" s="141" t="s">
        <v>1525</v>
      </c>
      <c r="M786" s="26" t="s">
        <v>194</v>
      </c>
      <c r="N786" s="2">
        <v>41659</v>
      </c>
      <c r="O786" s="2">
        <v>41663</v>
      </c>
      <c r="P786" s="133">
        <v>41698</v>
      </c>
      <c r="Q786" s="6">
        <v>1</v>
      </c>
      <c r="R786" s="6">
        <v>1</v>
      </c>
      <c r="S786" s="6">
        <v>1</v>
      </c>
      <c r="T786" s="120" t="s">
        <v>178</v>
      </c>
      <c r="U786" s="6">
        <v>1</v>
      </c>
      <c r="V786" s="6" t="s">
        <v>1526</v>
      </c>
      <c r="W786" s="5">
        <v>39521</v>
      </c>
      <c r="X786" s="6">
        <v>2</v>
      </c>
      <c r="Y786" s="6">
        <v>2</v>
      </c>
      <c r="Z786" s="6">
        <v>2</v>
      </c>
      <c r="AA786" s="6" t="s">
        <v>178</v>
      </c>
      <c r="AB786" s="6">
        <v>2</v>
      </c>
      <c r="AC786" s="6" t="s">
        <v>216</v>
      </c>
    </row>
    <row r="787" spans="1:29" x14ac:dyDescent="0.25">
      <c r="A787" s="145" t="str">
        <f>HYPERLINK("http://www.ofsted.gov.uk/inspection-reports/find-inspection-report/provider/ELS/130646 ","Ofsted Webpage")</f>
        <v>Ofsted Webpage</v>
      </c>
      <c r="B787" s="151">
        <v>130646</v>
      </c>
      <c r="C787" s="151">
        <v>10004676</v>
      </c>
      <c r="D787" s="46" t="s">
        <v>1527</v>
      </c>
      <c r="E787" s="26" t="s">
        <v>81</v>
      </c>
      <c r="F787" s="26" t="s">
        <v>82</v>
      </c>
      <c r="G787" s="26" t="s">
        <v>802</v>
      </c>
      <c r="H787" s="26" t="s">
        <v>198</v>
      </c>
      <c r="I787" s="26" t="s">
        <v>198</v>
      </c>
      <c r="J787" s="2">
        <v>42313</v>
      </c>
      <c r="K787" s="141">
        <v>1</v>
      </c>
      <c r="L787" s="141" t="s">
        <v>1528</v>
      </c>
      <c r="M787" s="26" t="s">
        <v>369</v>
      </c>
      <c r="N787" s="2">
        <v>40987</v>
      </c>
      <c r="O787" s="2">
        <v>40991</v>
      </c>
      <c r="P787" s="133">
        <v>41030</v>
      </c>
      <c r="Q787" s="6">
        <v>2</v>
      </c>
      <c r="R787" s="6">
        <v>2</v>
      </c>
      <c r="S787" s="6">
        <v>2</v>
      </c>
      <c r="T787" s="120" t="s">
        <v>178</v>
      </c>
      <c r="U787" s="6">
        <v>2</v>
      </c>
      <c r="V787" s="6" t="s">
        <v>1529</v>
      </c>
      <c r="W787" s="5">
        <v>39003</v>
      </c>
      <c r="X787" s="6">
        <v>1</v>
      </c>
      <c r="Y787" s="6">
        <v>1</v>
      </c>
      <c r="Z787" s="6">
        <v>2</v>
      </c>
      <c r="AA787" s="6" t="s">
        <v>178</v>
      </c>
      <c r="AB787" s="6">
        <v>1</v>
      </c>
      <c r="AC787" s="6" t="s">
        <v>201</v>
      </c>
    </row>
    <row r="788" spans="1:29" x14ac:dyDescent="0.25">
      <c r="A788" s="145" t="str">
        <f>HYPERLINK("http://www.ofsted.gov.uk/inspection-reports/find-inspection-report/provider/ELS/130648 ","Ofsted Webpage")</f>
        <v>Ofsted Webpage</v>
      </c>
      <c r="B788" s="151">
        <v>130648</v>
      </c>
      <c r="C788" s="151">
        <v>10005977</v>
      </c>
      <c r="D788" s="46" t="s">
        <v>1530</v>
      </c>
      <c r="E788" s="26" t="s">
        <v>81</v>
      </c>
      <c r="F788" s="26" t="s">
        <v>82</v>
      </c>
      <c r="G788" s="26" t="s">
        <v>1531</v>
      </c>
      <c r="H788" s="26" t="s">
        <v>198</v>
      </c>
      <c r="I788" s="26" t="s">
        <v>198</v>
      </c>
      <c r="J788" s="2" t="s">
        <v>72</v>
      </c>
      <c r="K788" s="141" t="s">
        <v>72</v>
      </c>
      <c r="L788" s="141">
        <v>10037375</v>
      </c>
      <c r="M788" s="26" t="s">
        <v>194</v>
      </c>
      <c r="N788" s="2">
        <v>43039</v>
      </c>
      <c r="O788" s="2">
        <v>43042</v>
      </c>
      <c r="P788" s="133">
        <v>43076</v>
      </c>
      <c r="Q788" s="6">
        <v>2</v>
      </c>
      <c r="R788" s="6">
        <v>2</v>
      </c>
      <c r="S788" s="6">
        <v>2</v>
      </c>
      <c r="T788" s="6">
        <v>2</v>
      </c>
      <c r="U788" s="6">
        <v>2</v>
      </c>
      <c r="V788" s="6" t="s">
        <v>1532</v>
      </c>
      <c r="W788" s="5">
        <v>39759</v>
      </c>
      <c r="X788" s="6">
        <v>1</v>
      </c>
      <c r="Y788" s="6">
        <v>1</v>
      </c>
      <c r="Z788" s="6">
        <v>2</v>
      </c>
      <c r="AA788" s="6" t="s">
        <v>178</v>
      </c>
      <c r="AB788" s="6">
        <v>1</v>
      </c>
      <c r="AC788" s="6" t="s">
        <v>201</v>
      </c>
    </row>
    <row r="789" spans="1:29" x14ac:dyDescent="0.25">
      <c r="A789" s="145" t="str">
        <f>HYPERLINK("http://www.ofsted.gov.uk/inspection-reports/find-inspection-report/provider/ELS/130649 ","Ofsted Webpage")</f>
        <v>Ofsted Webpage</v>
      </c>
      <c r="B789" s="151">
        <v>130649</v>
      </c>
      <c r="C789" s="151">
        <v>10005128</v>
      </c>
      <c r="D789" s="46" t="s">
        <v>1533</v>
      </c>
      <c r="E789" s="26" t="s">
        <v>81</v>
      </c>
      <c r="F789" s="26" t="s">
        <v>82</v>
      </c>
      <c r="G789" s="26" t="s">
        <v>775</v>
      </c>
      <c r="H789" s="26" t="s">
        <v>198</v>
      </c>
      <c r="I789" s="26" t="s">
        <v>198</v>
      </c>
      <c r="J789" s="2">
        <v>42438</v>
      </c>
      <c r="K789" s="141">
        <v>1</v>
      </c>
      <c r="L789" s="141" t="s">
        <v>1534</v>
      </c>
      <c r="M789" s="26" t="s">
        <v>194</v>
      </c>
      <c r="N789" s="2">
        <v>41183</v>
      </c>
      <c r="O789" s="2">
        <v>41187</v>
      </c>
      <c r="P789" s="133">
        <v>41222</v>
      </c>
      <c r="Q789" s="6">
        <v>2</v>
      </c>
      <c r="R789" s="6">
        <v>2</v>
      </c>
      <c r="S789" s="6">
        <v>2</v>
      </c>
      <c r="T789" s="120" t="s">
        <v>178</v>
      </c>
      <c r="U789" s="6">
        <v>2</v>
      </c>
      <c r="V789" s="6" t="s">
        <v>1535</v>
      </c>
      <c r="W789" s="5">
        <v>39724</v>
      </c>
      <c r="X789" s="6">
        <v>3</v>
      </c>
      <c r="Y789" s="6">
        <v>3</v>
      </c>
      <c r="Z789" s="6">
        <v>3</v>
      </c>
      <c r="AA789" s="6" t="s">
        <v>178</v>
      </c>
      <c r="AB789" s="6">
        <v>3</v>
      </c>
      <c r="AC789" s="6" t="s">
        <v>216</v>
      </c>
    </row>
    <row r="790" spans="1:29" x14ac:dyDescent="0.25">
      <c r="A790" s="145" t="str">
        <f>HYPERLINK("http://www.ofsted.gov.uk/inspection-reports/find-inspection-report/provider/ELS/130650 ","Ofsted Webpage")</f>
        <v>Ofsted Webpage</v>
      </c>
      <c r="B790" s="151">
        <v>130650</v>
      </c>
      <c r="C790" s="151">
        <v>10005127</v>
      </c>
      <c r="D790" s="46" t="s">
        <v>774</v>
      </c>
      <c r="E790" s="26" t="s">
        <v>69</v>
      </c>
      <c r="F790" s="26" t="s">
        <v>222</v>
      </c>
      <c r="G790" s="26" t="s">
        <v>775</v>
      </c>
      <c r="H790" s="26" t="s">
        <v>198</v>
      </c>
      <c r="I790" s="26" t="s">
        <v>198</v>
      </c>
      <c r="J790" s="2">
        <v>42879</v>
      </c>
      <c r="K790" s="141">
        <v>1</v>
      </c>
      <c r="L790" s="141" t="s">
        <v>776</v>
      </c>
      <c r="M790" s="26" t="s">
        <v>194</v>
      </c>
      <c r="N790" s="2">
        <v>41394</v>
      </c>
      <c r="O790" s="2">
        <v>41397</v>
      </c>
      <c r="P790" s="133">
        <v>41436</v>
      </c>
      <c r="Q790" s="6">
        <v>2</v>
      </c>
      <c r="R790" s="6">
        <v>2</v>
      </c>
      <c r="S790" s="6">
        <v>2</v>
      </c>
      <c r="T790" s="120" t="s">
        <v>178</v>
      </c>
      <c r="U790" s="6">
        <v>2</v>
      </c>
      <c r="V790" s="6" t="s">
        <v>777</v>
      </c>
      <c r="W790" s="5">
        <v>39395</v>
      </c>
      <c r="X790" s="6">
        <v>2</v>
      </c>
      <c r="Y790" s="6">
        <v>2</v>
      </c>
      <c r="Z790" s="6">
        <v>2</v>
      </c>
      <c r="AA790" s="6" t="s">
        <v>178</v>
      </c>
      <c r="AB790" s="6">
        <v>2</v>
      </c>
      <c r="AC790" s="6" t="s">
        <v>180</v>
      </c>
    </row>
    <row r="791" spans="1:29" x14ac:dyDescent="0.25">
      <c r="A791" s="145" t="str">
        <f>HYPERLINK("http://www.ofsted.gov.uk/inspection-reports/find-inspection-report/provider/ELS/130652 ","Ofsted Webpage")</f>
        <v>Ofsted Webpage</v>
      </c>
      <c r="B791" s="151">
        <v>130652</v>
      </c>
      <c r="C791" s="151">
        <v>10000820</v>
      </c>
      <c r="D791" s="46" t="s">
        <v>1536</v>
      </c>
      <c r="E791" s="26" t="s">
        <v>81</v>
      </c>
      <c r="F791" s="26" t="s">
        <v>82</v>
      </c>
      <c r="G791" s="26" t="s">
        <v>516</v>
      </c>
      <c r="H791" s="26" t="s">
        <v>198</v>
      </c>
      <c r="I791" s="26" t="s">
        <v>198</v>
      </c>
      <c r="J791" s="2">
        <v>42411</v>
      </c>
      <c r="K791" s="141">
        <v>1</v>
      </c>
      <c r="L791" s="141" t="s">
        <v>1537</v>
      </c>
      <c r="M791" s="26" t="s">
        <v>369</v>
      </c>
      <c r="N791" s="2">
        <v>40602</v>
      </c>
      <c r="O791" s="2">
        <v>40606</v>
      </c>
      <c r="P791" s="133">
        <v>40641</v>
      </c>
      <c r="Q791" s="6">
        <v>2</v>
      </c>
      <c r="R791" s="6">
        <v>3</v>
      </c>
      <c r="S791" s="6">
        <v>2</v>
      </c>
      <c r="T791" s="120" t="s">
        <v>178</v>
      </c>
      <c r="U791" s="6">
        <v>2</v>
      </c>
      <c r="V791" s="6" t="s">
        <v>1538</v>
      </c>
      <c r="W791" s="5">
        <v>39101</v>
      </c>
      <c r="X791" s="6">
        <v>2</v>
      </c>
      <c r="Y791" s="6">
        <v>3</v>
      </c>
      <c r="Z791" s="6">
        <v>3</v>
      </c>
      <c r="AA791" s="6" t="s">
        <v>178</v>
      </c>
      <c r="AB791" s="6">
        <v>2</v>
      </c>
      <c r="AC791" s="6" t="s">
        <v>180</v>
      </c>
    </row>
    <row r="792" spans="1:29" x14ac:dyDescent="0.25">
      <c r="A792" s="145" t="str">
        <f>HYPERLINK("http://www.ofsted.gov.uk/inspection-reports/find-inspection-report/provider/ELS/130653 ","Ofsted Webpage")</f>
        <v>Ofsted Webpage</v>
      </c>
      <c r="B792" s="151">
        <v>130653</v>
      </c>
      <c r="C792" s="151">
        <v>10007469</v>
      </c>
      <c r="D792" s="46" t="s">
        <v>620</v>
      </c>
      <c r="E792" s="26" t="s">
        <v>81</v>
      </c>
      <c r="F792" s="26" t="s">
        <v>82</v>
      </c>
      <c r="G792" s="26" t="s">
        <v>621</v>
      </c>
      <c r="H792" s="26" t="s">
        <v>198</v>
      </c>
      <c r="I792" s="26" t="s">
        <v>198</v>
      </c>
      <c r="J792" s="2" t="s">
        <v>72</v>
      </c>
      <c r="K792" s="141" t="s">
        <v>72</v>
      </c>
      <c r="L792" s="141">
        <v>10004729</v>
      </c>
      <c r="M792" s="26" t="s">
        <v>622</v>
      </c>
      <c r="N792" s="2">
        <v>42318</v>
      </c>
      <c r="O792" s="2">
        <v>42321</v>
      </c>
      <c r="P792" s="133">
        <v>42353</v>
      </c>
      <c r="Q792" s="6">
        <v>2</v>
      </c>
      <c r="R792" s="6">
        <v>2</v>
      </c>
      <c r="S792" s="6">
        <v>2</v>
      </c>
      <c r="T792" s="6">
        <v>2</v>
      </c>
      <c r="U792" s="6">
        <v>2</v>
      </c>
      <c r="V792" s="6" t="s">
        <v>623</v>
      </c>
      <c r="W792" s="5">
        <v>42020</v>
      </c>
      <c r="X792" s="6">
        <v>4</v>
      </c>
      <c r="Y792" s="6">
        <v>2</v>
      </c>
      <c r="Z792" s="6">
        <v>2</v>
      </c>
      <c r="AA792" s="6" t="s">
        <v>178</v>
      </c>
      <c r="AB792" s="6">
        <v>4</v>
      </c>
      <c r="AC792" s="6" t="s">
        <v>216</v>
      </c>
    </row>
    <row r="793" spans="1:29" x14ac:dyDescent="0.25">
      <c r="A793" s="145" t="str">
        <f>HYPERLINK("http://www.ofsted.gov.uk/inspection-reports/find-inspection-report/provider/ELS/130655 ","Ofsted Webpage")</f>
        <v>Ofsted Webpage</v>
      </c>
      <c r="B793" s="151">
        <v>130655</v>
      </c>
      <c r="C793" s="151">
        <v>10003676</v>
      </c>
      <c r="D793" s="46" t="s">
        <v>624</v>
      </c>
      <c r="E793" s="26" t="s">
        <v>87</v>
      </c>
      <c r="F793" s="26" t="s">
        <v>82</v>
      </c>
      <c r="G793" s="26" t="s">
        <v>621</v>
      </c>
      <c r="H793" s="26" t="s">
        <v>198</v>
      </c>
      <c r="I793" s="26" t="s">
        <v>198</v>
      </c>
      <c r="J793" s="2">
        <v>43019</v>
      </c>
      <c r="K793" s="141">
        <v>1</v>
      </c>
      <c r="L793" s="141" t="s">
        <v>625</v>
      </c>
      <c r="M793" s="26" t="s">
        <v>215</v>
      </c>
      <c r="N793" s="2">
        <v>41912</v>
      </c>
      <c r="O793" s="2">
        <v>41915</v>
      </c>
      <c r="P793" s="133">
        <v>41950</v>
      </c>
      <c r="Q793" s="6">
        <v>2</v>
      </c>
      <c r="R793" s="6">
        <v>2</v>
      </c>
      <c r="S793" s="6">
        <v>2</v>
      </c>
      <c r="T793" s="120" t="s">
        <v>178</v>
      </c>
      <c r="U793" s="6">
        <v>3</v>
      </c>
      <c r="V793" s="6" t="s">
        <v>626</v>
      </c>
      <c r="W793" s="5">
        <v>41397</v>
      </c>
      <c r="X793" s="6">
        <v>3</v>
      </c>
      <c r="Y793" s="6">
        <v>3</v>
      </c>
      <c r="Z793" s="6">
        <v>3</v>
      </c>
      <c r="AA793" s="6" t="s">
        <v>178</v>
      </c>
      <c r="AB793" s="6">
        <v>3</v>
      </c>
      <c r="AC793" s="6" t="s">
        <v>216</v>
      </c>
    </row>
    <row r="794" spans="1:29" x14ac:dyDescent="0.25">
      <c r="A794" s="145" t="str">
        <f>HYPERLINK("http://www.ofsted.gov.uk/inspection-reports/find-inspection-report/provider/ELS/130656 ","Ofsted Webpage")</f>
        <v>Ofsted Webpage</v>
      </c>
      <c r="B794" s="151">
        <v>130656</v>
      </c>
      <c r="C794" s="151">
        <v>10001850</v>
      </c>
      <c r="D794" s="46" t="s">
        <v>627</v>
      </c>
      <c r="E794" s="26" t="s">
        <v>81</v>
      </c>
      <c r="F794" s="26" t="s">
        <v>82</v>
      </c>
      <c r="G794" s="26" t="s">
        <v>628</v>
      </c>
      <c r="H794" s="26" t="s">
        <v>204</v>
      </c>
      <c r="I794" s="26" t="s">
        <v>188</v>
      </c>
      <c r="J794" s="2" t="s">
        <v>72</v>
      </c>
      <c r="K794" s="141" t="s">
        <v>72</v>
      </c>
      <c r="L794" s="141">
        <v>10011428</v>
      </c>
      <c r="M794" s="26" t="s">
        <v>622</v>
      </c>
      <c r="N794" s="2">
        <v>42507</v>
      </c>
      <c r="O794" s="2">
        <v>42510</v>
      </c>
      <c r="P794" s="133">
        <v>42544</v>
      </c>
      <c r="Q794" s="6">
        <v>2</v>
      </c>
      <c r="R794" s="6">
        <v>2</v>
      </c>
      <c r="S794" s="6">
        <v>2</v>
      </c>
      <c r="T794" s="6">
        <v>2</v>
      </c>
      <c r="U794" s="6">
        <v>2</v>
      </c>
      <c r="V794" s="6" t="s">
        <v>629</v>
      </c>
      <c r="W794" s="5">
        <v>42048</v>
      </c>
      <c r="X794" s="6">
        <v>4</v>
      </c>
      <c r="Y794" s="6">
        <v>4</v>
      </c>
      <c r="Z794" s="6">
        <v>4</v>
      </c>
      <c r="AA794" s="6" t="s">
        <v>178</v>
      </c>
      <c r="AB794" s="6">
        <v>4</v>
      </c>
      <c r="AC794" s="6" t="s">
        <v>216</v>
      </c>
    </row>
    <row r="795" spans="1:29" x14ac:dyDescent="0.25">
      <c r="A795" s="145" t="str">
        <f>HYPERLINK("http://www.ofsted.gov.uk/inspection-reports/find-inspection-report/provider/ELS/130657 ","Ofsted Webpage")</f>
        <v>Ofsted Webpage</v>
      </c>
      <c r="B795" s="151">
        <v>130657</v>
      </c>
      <c r="C795" s="151">
        <v>10000720</v>
      </c>
      <c r="D795" s="46" t="s">
        <v>630</v>
      </c>
      <c r="E795" s="26" t="s">
        <v>81</v>
      </c>
      <c r="F795" s="26" t="s">
        <v>82</v>
      </c>
      <c r="G795" s="26" t="s">
        <v>586</v>
      </c>
      <c r="H795" s="26" t="s">
        <v>204</v>
      </c>
      <c r="I795" s="26" t="s">
        <v>188</v>
      </c>
      <c r="J795" s="2">
        <v>42480</v>
      </c>
      <c r="K795" s="141">
        <v>1</v>
      </c>
      <c r="L795" s="141" t="s">
        <v>631</v>
      </c>
      <c r="M795" s="26" t="s">
        <v>369</v>
      </c>
      <c r="N795" s="2">
        <v>40868</v>
      </c>
      <c r="O795" s="2">
        <v>40872</v>
      </c>
      <c r="P795" s="133">
        <v>40914</v>
      </c>
      <c r="Q795" s="6">
        <v>2</v>
      </c>
      <c r="R795" s="6">
        <v>2</v>
      </c>
      <c r="S795" s="6">
        <v>2</v>
      </c>
      <c r="T795" s="120" t="s">
        <v>178</v>
      </c>
      <c r="U795" s="6">
        <v>2</v>
      </c>
      <c r="V795" s="6" t="s">
        <v>632</v>
      </c>
      <c r="W795" s="5">
        <v>39416</v>
      </c>
      <c r="X795" s="6">
        <v>2</v>
      </c>
      <c r="Y795" s="6">
        <v>3</v>
      </c>
      <c r="Z795" s="6">
        <v>2</v>
      </c>
      <c r="AA795" s="6" t="s">
        <v>178</v>
      </c>
      <c r="AB795" s="6">
        <v>2</v>
      </c>
      <c r="AC795" s="6" t="s">
        <v>180</v>
      </c>
    </row>
    <row r="796" spans="1:29" x14ac:dyDescent="0.25">
      <c r="A796" s="145" t="str">
        <f>HYPERLINK("http://www.ofsted.gov.uk/inspection-reports/find-inspection-report/provider/ELS/130658 ","Ofsted Webpage")</f>
        <v>Ofsted Webpage</v>
      </c>
      <c r="B796" s="151">
        <v>130658</v>
      </c>
      <c r="C796" s="151">
        <v>10001934</v>
      </c>
      <c r="D796" s="46" t="s">
        <v>633</v>
      </c>
      <c r="E796" s="26" t="s">
        <v>81</v>
      </c>
      <c r="F796" s="26" t="s">
        <v>82</v>
      </c>
      <c r="G796" s="26" t="s">
        <v>586</v>
      </c>
      <c r="H796" s="26" t="s">
        <v>204</v>
      </c>
      <c r="I796" s="26" t="s">
        <v>188</v>
      </c>
      <c r="J796" s="2" t="s">
        <v>72</v>
      </c>
      <c r="K796" s="141" t="s">
        <v>72</v>
      </c>
      <c r="L796" s="141">
        <v>10011431</v>
      </c>
      <c r="M796" s="26" t="s">
        <v>194</v>
      </c>
      <c r="N796" s="2">
        <v>42486</v>
      </c>
      <c r="O796" s="2">
        <v>42489</v>
      </c>
      <c r="P796" s="133">
        <v>42528</v>
      </c>
      <c r="Q796" s="6">
        <v>2</v>
      </c>
      <c r="R796" s="6">
        <v>2</v>
      </c>
      <c r="S796" s="6">
        <v>2</v>
      </c>
      <c r="T796" s="6">
        <v>2</v>
      </c>
      <c r="U796" s="6">
        <v>2</v>
      </c>
      <c r="V796" s="6" t="s">
        <v>634</v>
      </c>
      <c r="W796" s="5">
        <v>40991</v>
      </c>
      <c r="X796" s="6">
        <v>2</v>
      </c>
      <c r="Y796" s="6">
        <v>2</v>
      </c>
      <c r="Z796" s="6">
        <v>2</v>
      </c>
      <c r="AA796" s="6" t="s">
        <v>178</v>
      </c>
      <c r="AB796" s="6">
        <v>2</v>
      </c>
      <c r="AC796" s="6" t="s">
        <v>180</v>
      </c>
    </row>
    <row r="797" spans="1:29" x14ac:dyDescent="0.25">
      <c r="A797" s="145" t="str">
        <f>HYPERLINK("http://www.ofsted.gov.uk/inspection-reports/find-inspection-report/provider/ELS/130659 ","Ofsted Webpage")</f>
        <v>Ofsted Webpage</v>
      </c>
      <c r="B797" s="151">
        <v>130659</v>
      </c>
      <c r="C797" s="151">
        <v>10004576</v>
      </c>
      <c r="D797" s="46" t="s">
        <v>635</v>
      </c>
      <c r="E797" s="26" t="s">
        <v>81</v>
      </c>
      <c r="F797" s="26" t="s">
        <v>82</v>
      </c>
      <c r="G797" s="26" t="s">
        <v>586</v>
      </c>
      <c r="H797" s="26" t="s">
        <v>204</v>
      </c>
      <c r="I797" s="26" t="s">
        <v>188</v>
      </c>
      <c r="J797" s="2" t="s">
        <v>72</v>
      </c>
      <c r="K797" s="141" t="s">
        <v>72</v>
      </c>
      <c r="L797" s="141" t="s">
        <v>636</v>
      </c>
      <c r="M797" s="26" t="s">
        <v>369</v>
      </c>
      <c r="N797" s="2">
        <v>39972</v>
      </c>
      <c r="O797" s="2">
        <v>39976</v>
      </c>
      <c r="P797" s="133">
        <v>40018</v>
      </c>
      <c r="Q797" s="6">
        <v>1</v>
      </c>
      <c r="R797" s="6">
        <v>1</v>
      </c>
      <c r="S797" s="6">
        <v>2</v>
      </c>
      <c r="T797" s="120" t="s">
        <v>178</v>
      </c>
      <c r="U797" s="6">
        <v>1</v>
      </c>
      <c r="V797" s="6" t="s">
        <v>72</v>
      </c>
      <c r="W797" s="5" t="s">
        <v>72</v>
      </c>
      <c r="X797" s="6" t="s">
        <v>72</v>
      </c>
      <c r="Y797" s="6" t="s">
        <v>72</v>
      </c>
      <c r="Z797" s="6" t="s">
        <v>72</v>
      </c>
      <c r="AA797" s="6" t="s">
        <v>72</v>
      </c>
      <c r="AB797" s="6" t="s">
        <v>72</v>
      </c>
      <c r="AC797" s="6" t="s">
        <v>208</v>
      </c>
    </row>
    <row r="798" spans="1:29" x14ac:dyDescent="0.25">
      <c r="A798" s="145" t="str">
        <f>HYPERLINK("http://www.ofsted.gov.uk/inspection-reports/find-inspection-report/provider/ELS/130662 ","Ofsted Webpage")</f>
        <v>Ofsted Webpage</v>
      </c>
      <c r="B798" s="151">
        <v>130662</v>
      </c>
      <c r="C798" s="151">
        <v>10005325</v>
      </c>
      <c r="D798" s="46" t="s">
        <v>1723</v>
      </c>
      <c r="E798" s="26" t="s">
        <v>83</v>
      </c>
      <c r="F798" s="26" t="s">
        <v>82</v>
      </c>
      <c r="G798" s="26" t="s">
        <v>628</v>
      </c>
      <c r="H798" s="26" t="s">
        <v>204</v>
      </c>
      <c r="I798" s="26" t="s">
        <v>188</v>
      </c>
      <c r="J798" s="2">
        <v>42433</v>
      </c>
      <c r="K798" s="141">
        <v>1</v>
      </c>
      <c r="L798" s="141" t="s">
        <v>1724</v>
      </c>
      <c r="M798" s="26" t="s">
        <v>409</v>
      </c>
      <c r="N798" s="2">
        <v>40939</v>
      </c>
      <c r="O798" s="2">
        <v>40942</v>
      </c>
      <c r="P798" s="133">
        <v>40977</v>
      </c>
      <c r="Q798" s="6">
        <v>2</v>
      </c>
      <c r="R798" s="6">
        <v>2</v>
      </c>
      <c r="S798" s="6">
        <v>2</v>
      </c>
      <c r="T798" s="120" t="s">
        <v>178</v>
      </c>
      <c r="U798" s="6">
        <v>2</v>
      </c>
      <c r="V798" s="6" t="s">
        <v>1725</v>
      </c>
      <c r="W798" s="5">
        <v>39359</v>
      </c>
      <c r="X798" s="6">
        <v>1</v>
      </c>
      <c r="Y798" s="6">
        <v>1</v>
      </c>
      <c r="Z798" s="6">
        <v>1</v>
      </c>
      <c r="AA798" s="6" t="s">
        <v>178</v>
      </c>
      <c r="AB798" s="6">
        <v>1</v>
      </c>
      <c r="AC798" s="6" t="s">
        <v>201</v>
      </c>
    </row>
    <row r="799" spans="1:29" x14ac:dyDescent="0.25">
      <c r="A799" s="145" t="str">
        <f>HYPERLINK("http://www.ofsted.gov.uk/inspection-reports/find-inspection-report/provider/ELS/130665 ","Ofsted Webpage")</f>
        <v>Ofsted Webpage</v>
      </c>
      <c r="B799" s="151">
        <v>130665</v>
      </c>
      <c r="C799" s="151">
        <v>10002923</v>
      </c>
      <c r="D799" s="46" t="s">
        <v>1726</v>
      </c>
      <c r="E799" s="26" t="s">
        <v>81</v>
      </c>
      <c r="F799" s="26" t="s">
        <v>82</v>
      </c>
      <c r="G799" s="26" t="s">
        <v>662</v>
      </c>
      <c r="H799" s="26" t="s">
        <v>219</v>
      </c>
      <c r="I799" s="26" t="s">
        <v>219</v>
      </c>
      <c r="J799" s="2" t="s">
        <v>72</v>
      </c>
      <c r="K799" s="141" t="s">
        <v>72</v>
      </c>
      <c r="L799" s="141" t="s">
        <v>1727</v>
      </c>
      <c r="M799" s="26" t="s">
        <v>215</v>
      </c>
      <c r="N799" s="2">
        <v>41666</v>
      </c>
      <c r="O799" s="2">
        <v>41670</v>
      </c>
      <c r="P799" s="133">
        <v>41705</v>
      </c>
      <c r="Q799" s="6">
        <v>2</v>
      </c>
      <c r="R799" s="6">
        <v>2</v>
      </c>
      <c r="S799" s="6">
        <v>2</v>
      </c>
      <c r="T799" s="120" t="s">
        <v>178</v>
      </c>
      <c r="U799" s="6">
        <v>1</v>
      </c>
      <c r="V799" s="6" t="s">
        <v>1728</v>
      </c>
      <c r="W799" s="5">
        <v>41299</v>
      </c>
      <c r="X799" s="6">
        <v>3</v>
      </c>
      <c r="Y799" s="6">
        <v>3</v>
      </c>
      <c r="Z799" s="6">
        <v>2</v>
      </c>
      <c r="AA799" s="6" t="s">
        <v>178</v>
      </c>
      <c r="AB799" s="6">
        <v>2</v>
      </c>
      <c r="AC799" s="6" t="s">
        <v>216</v>
      </c>
    </row>
    <row r="800" spans="1:29" x14ac:dyDescent="0.25">
      <c r="A800" s="145" t="str">
        <f>HYPERLINK("http://www.ofsted.gov.uk/inspection-reports/find-inspection-report/provider/ELS/130667 ","Ofsted Webpage")</f>
        <v>Ofsted Webpage</v>
      </c>
      <c r="B800" s="151">
        <v>130667</v>
      </c>
      <c r="C800" s="151">
        <v>10005124</v>
      </c>
      <c r="D800" s="46" t="s">
        <v>1729</v>
      </c>
      <c r="E800" s="26" t="s">
        <v>87</v>
      </c>
      <c r="F800" s="26" t="s">
        <v>82</v>
      </c>
      <c r="G800" s="26" t="s">
        <v>662</v>
      </c>
      <c r="H800" s="26" t="s">
        <v>219</v>
      </c>
      <c r="I800" s="26" t="s">
        <v>219</v>
      </c>
      <c r="J800" s="2" t="s">
        <v>72</v>
      </c>
      <c r="K800" s="141" t="s">
        <v>72</v>
      </c>
      <c r="L800" s="141">
        <v>10011433</v>
      </c>
      <c r="M800" s="26" t="s">
        <v>194</v>
      </c>
      <c r="N800" s="2">
        <v>42500</v>
      </c>
      <c r="O800" s="2">
        <v>42503</v>
      </c>
      <c r="P800" s="133">
        <v>42543</v>
      </c>
      <c r="Q800" s="6">
        <v>3</v>
      </c>
      <c r="R800" s="6">
        <v>3</v>
      </c>
      <c r="S800" s="6">
        <v>3</v>
      </c>
      <c r="T800" s="6">
        <v>2</v>
      </c>
      <c r="U800" s="6">
        <v>2</v>
      </c>
      <c r="V800" s="6" t="s">
        <v>1730</v>
      </c>
      <c r="W800" s="5">
        <v>40872</v>
      </c>
      <c r="X800" s="6">
        <v>2</v>
      </c>
      <c r="Y800" s="6">
        <v>2</v>
      </c>
      <c r="Z800" s="6">
        <v>2</v>
      </c>
      <c r="AA800" s="6" t="s">
        <v>178</v>
      </c>
      <c r="AB800" s="6">
        <v>2</v>
      </c>
      <c r="AC800" s="6" t="s">
        <v>201</v>
      </c>
    </row>
    <row r="801" spans="1:29" x14ac:dyDescent="0.25">
      <c r="A801" s="145" t="str">
        <f>HYPERLINK("http://www.ofsted.gov.uk/inspection-reports/find-inspection-report/provider/ELS/130668 ","Ofsted Webpage")</f>
        <v>Ofsted Webpage</v>
      </c>
      <c r="B801" s="151">
        <v>130668</v>
      </c>
      <c r="C801" s="151">
        <v>10007212</v>
      </c>
      <c r="D801" s="46" t="s">
        <v>1731</v>
      </c>
      <c r="E801" s="26" t="s">
        <v>83</v>
      </c>
      <c r="F801" s="26" t="s">
        <v>82</v>
      </c>
      <c r="G801" s="26" t="s">
        <v>526</v>
      </c>
      <c r="H801" s="26" t="s">
        <v>219</v>
      </c>
      <c r="I801" s="26" t="s">
        <v>219</v>
      </c>
      <c r="J801" s="2">
        <v>42634</v>
      </c>
      <c r="K801" s="141">
        <v>1</v>
      </c>
      <c r="L801" s="141" t="s">
        <v>1732</v>
      </c>
      <c r="M801" s="26" t="s">
        <v>372</v>
      </c>
      <c r="N801" s="2">
        <v>41177</v>
      </c>
      <c r="O801" s="2">
        <v>41180</v>
      </c>
      <c r="P801" s="133">
        <v>41215</v>
      </c>
      <c r="Q801" s="6">
        <v>2</v>
      </c>
      <c r="R801" s="6">
        <v>2</v>
      </c>
      <c r="S801" s="6">
        <v>2</v>
      </c>
      <c r="T801" s="120" t="s">
        <v>178</v>
      </c>
      <c r="U801" s="6">
        <v>2</v>
      </c>
      <c r="V801" s="6" t="s">
        <v>1733</v>
      </c>
      <c r="W801" s="5">
        <v>39393</v>
      </c>
      <c r="X801" s="6">
        <v>2</v>
      </c>
      <c r="Y801" s="6">
        <v>2</v>
      </c>
      <c r="Z801" s="6">
        <v>2</v>
      </c>
      <c r="AA801" s="6" t="s">
        <v>178</v>
      </c>
      <c r="AB801" s="6">
        <v>2</v>
      </c>
      <c r="AC801" s="6" t="s">
        <v>180</v>
      </c>
    </row>
    <row r="802" spans="1:29" x14ac:dyDescent="0.25">
      <c r="A802" s="145" t="str">
        <f>HYPERLINK("http://www.ofsted.gov.uk/inspection-reports/find-inspection-report/provider/ELS/130669 ","Ofsted Webpage")</f>
        <v>Ofsted Webpage</v>
      </c>
      <c r="B802" s="151">
        <v>130669</v>
      </c>
      <c r="C802" s="151">
        <v>10000887</v>
      </c>
      <c r="D802" s="46" t="s">
        <v>1734</v>
      </c>
      <c r="E802" s="26" t="s">
        <v>83</v>
      </c>
      <c r="F802" s="26" t="s">
        <v>82</v>
      </c>
      <c r="G802" s="26" t="s">
        <v>526</v>
      </c>
      <c r="H802" s="26" t="s">
        <v>219</v>
      </c>
      <c r="I802" s="26" t="s">
        <v>219</v>
      </c>
      <c r="J802" s="2" t="s">
        <v>72</v>
      </c>
      <c r="K802" s="141" t="s">
        <v>72</v>
      </c>
      <c r="L802" s="141" t="s">
        <v>1735</v>
      </c>
      <c r="M802" s="26" t="s">
        <v>372</v>
      </c>
      <c r="N802" s="2">
        <v>41191</v>
      </c>
      <c r="O802" s="2">
        <v>41194</v>
      </c>
      <c r="P802" s="133">
        <v>41229</v>
      </c>
      <c r="Q802" s="6">
        <v>1</v>
      </c>
      <c r="R802" s="6">
        <v>1</v>
      </c>
      <c r="S802" s="6">
        <v>1</v>
      </c>
      <c r="T802" s="120" t="s">
        <v>178</v>
      </c>
      <c r="U802" s="6">
        <v>1</v>
      </c>
      <c r="V802" s="6" t="s">
        <v>1736</v>
      </c>
      <c r="W802" s="5">
        <v>39388</v>
      </c>
      <c r="X802" s="6">
        <v>2</v>
      </c>
      <c r="Y802" s="6">
        <v>1</v>
      </c>
      <c r="Z802" s="6">
        <v>2</v>
      </c>
      <c r="AA802" s="6" t="s">
        <v>178</v>
      </c>
      <c r="AB802" s="6">
        <v>1</v>
      </c>
      <c r="AC802" s="6" t="s">
        <v>216</v>
      </c>
    </row>
    <row r="803" spans="1:29" x14ac:dyDescent="0.25">
      <c r="A803" s="145" t="str">
        <f>HYPERLINK("http://www.ofsted.gov.uk/inspection-reports/find-inspection-report/provider/ELS/130670 ","Ofsted Webpage")</f>
        <v>Ofsted Webpage</v>
      </c>
      <c r="B803" s="151">
        <v>130670</v>
      </c>
      <c r="C803" s="151">
        <v>10000670</v>
      </c>
      <c r="D803" s="46" t="s">
        <v>1737</v>
      </c>
      <c r="E803" s="26" t="s">
        <v>83</v>
      </c>
      <c r="F803" s="26" t="s">
        <v>82</v>
      </c>
      <c r="G803" s="26" t="s">
        <v>662</v>
      </c>
      <c r="H803" s="26" t="s">
        <v>219</v>
      </c>
      <c r="I803" s="26" t="s">
        <v>219</v>
      </c>
      <c r="J803" s="2">
        <v>42292</v>
      </c>
      <c r="K803" s="141">
        <v>1</v>
      </c>
      <c r="L803" s="141" t="s">
        <v>1738</v>
      </c>
      <c r="M803" s="26" t="s">
        <v>1102</v>
      </c>
      <c r="N803" s="2">
        <v>40484</v>
      </c>
      <c r="O803" s="2">
        <v>40487</v>
      </c>
      <c r="P803" s="133">
        <v>40522</v>
      </c>
      <c r="Q803" s="6">
        <v>2</v>
      </c>
      <c r="R803" s="6">
        <v>2</v>
      </c>
      <c r="S803" s="6">
        <v>2</v>
      </c>
      <c r="T803" s="120" t="s">
        <v>178</v>
      </c>
      <c r="U803" s="6">
        <v>2</v>
      </c>
      <c r="V803" s="6" t="s">
        <v>1739</v>
      </c>
      <c r="W803" s="5">
        <v>39157</v>
      </c>
      <c r="X803" s="6">
        <v>3</v>
      </c>
      <c r="Y803" s="6">
        <v>3</v>
      </c>
      <c r="Z803" s="6">
        <v>3</v>
      </c>
      <c r="AA803" s="6" t="s">
        <v>178</v>
      </c>
      <c r="AB803" s="6">
        <v>3</v>
      </c>
      <c r="AC803" s="6" t="s">
        <v>216</v>
      </c>
    </row>
    <row r="804" spans="1:29" x14ac:dyDescent="0.25">
      <c r="A804" s="145" t="str">
        <f>HYPERLINK("http://www.ofsted.gov.uk/inspection-reports/find-inspection-report/provider/ELS/130672 ","Ofsted Webpage")</f>
        <v>Ofsted Webpage</v>
      </c>
      <c r="B804" s="151">
        <v>130672</v>
      </c>
      <c r="C804" s="151">
        <v>10005981</v>
      </c>
      <c r="D804" s="46" t="s">
        <v>1971</v>
      </c>
      <c r="E804" s="26" t="s">
        <v>81</v>
      </c>
      <c r="F804" s="26" t="s">
        <v>82</v>
      </c>
      <c r="G804" s="26" t="s">
        <v>1406</v>
      </c>
      <c r="H804" s="26" t="s">
        <v>287</v>
      </c>
      <c r="I804" s="26" t="s">
        <v>287</v>
      </c>
      <c r="J804" s="2" t="s">
        <v>72</v>
      </c>
      <c r="K804" s="141" t="s">
        <v>72</v>
      </c>
      <c r="L804" s="141">
        <v>10030724</v>
      </c>
      <c r="M804" s="26" t="s">
        <v>1011</v>
      </c>
      <c r="N804" s="2">
        <v>42864</v>
      </c>
      <c r="O804" s="2">
        <v>42867</v>
      </c>
      <c r="P804" s="133">
        <v>42954</v>
      </c>
      <c r="Q804" s="6">
        <v>2</v>
      </c>
      <c r="R804" s="6">
        <v>2</v>
      </c>
      <c r="S804" s="6">
        <v>2</v>
      </c>
      <c r="T804" s="6">
        <v>2</v>
      </c>
      <c r="U804" s="6">
        <v>2</v>
      </c>
      <c r="V804" s="6" t="s">
        <v>1972</v>
      </c>
      <c r="W804" s="5">
        <v>42139</v>
      </c>
      <c r="X804" s="6">
        <v>3</v>
      </c>
      <c r="Y804" s="6">
        <v>3</v>
      </c>
      <c r="Z804" s="6">
        <v>3</v>
      </c>
      <c r="AA804" s="6" t="s">
        <v>178</v>
      </c>
      <c r="AB804" s="6">
        <v>2</v>
      </c>
      <c r="AC804" s="6" t="s">
        <v>216</v>
      </c>
    </row>
    <row r="805" spans="1:29" x14ac:dyDescent="0.25">
      <c r="A805" s="145" t="str">
        <f>HYPERLINK("http://www.ofsted.gov.uk/inspection-reports/find-inspection-report/provider/ELS/130674 ","Ofsted Webpage")</f>
        <v>Ofsted Webpage</v>
      </c>
      <c r="B805" s="151">
        <v>130674</v>
      </c>
      <c r="C805" s="151">
        <v>10001535</v>
      </c>
      <c r="D805" s="46" t="s">
        <v>1973</v>
      </c>
      <c r="E805" s="26" t="s">
        <v>81</v>
      </c>
      <c r="F805" s="26" t="s">
        <v>82</v>
      </c>
      <c r="G805" s="26" t="s">
        <v>477</v>
      </c>
      <c r="H805" s="26" t="s">
        <v>287</v>
      </c>
      <c r="I805" s="26" t="s">
        <v>287</v>
      </c>
      <c r="J805" s="2" t="s">
        <v>72</v>
      </c>
      <c r="K805" s="141" t="s">
        <v>72</v>
      </c>
      <c r="L805" s="141">
        <v>10008470</v>
      </c>
      <c r="M805" s="26" t="s">
        <v>215</v>
      </c>
      <c r="N805" s="2">
        <v>42409</v>
      </c>
      <c r="O805" s="2">
        <v>42412</v>
      </c>
      <c r="P805" s="133">
        <v>42451</v>
      </c>
      <c r="Q805" s="6">
        <v>2</v>
      </c>
      <c r="R805" s="6">
        <v>2</v>
      </c>
      <c r="S805" s="6">
        <v>2</v>
      </c>
      <c r="T805" s="6">
        <v>2</v>
      </c>
      <c r="U805" s="6">
        <v>2</v>
      </c>
      <c r="V805" s="6" t="s">
        <v>1974</v>
      </c>
      <c r="W805" s="5">
        <v>41726</v>
      </c>
      <c r="X805" s="6">
        <v>3</v>
      </c>
      <c r="Y805" s="6">
        <v>3</v>
      </c>
      <c r="Z805" s="6">
        <v>3</v>
      </c>
      <c r="AA805" s="6" t="s">
        <v>178</v>
      </c>
      <c r="AB805" s="6">
        <v>3</v>
      </c>
      <c r="AC805" s="6" t="s">
        <v>216</v>
      </c>
    </row>
    <row r="806" spans="1:29" x14ac:dyDescent="0.25">
      <c r="A806" s="145" t="str">
        <f>HYPERLINK("http://www.ofsted.gov.uk/inspection-reports/find-inspection-report/provider/ELS/130676 ","Ofsted Webpage")</f>
        <v>Ofsted Webpage</v>
      </c>
      <c r="B806" s="151">
        <v>130676</v>
      </c>
      <c r="C806" s="151">
        <v>10002899</v>
      </c>
      <c r="D806" s="46" t="s">
        <v>1975</v>
      </c>
      <c r="E806" s="26" t="s">
        <v>81</v>
      </c>
      <c r="F806" s="26" t="s">
        <v>82</v>
      </c>
      <c r="G806" s="26" t="s">
        <v>477</v>
      </c>
      <c r="H806" s="26" t="s">
        <v>287</v>
      </c>
      <c r="I806" s="26" t="s">
        <v>287</v>
      </c>
      <c r="J806" s="2" t="s">
        <v>72</v>
      </c>
      <c r="K806" s="141" t="s">
        <v>72</v>
      </c>
      <c r="L806" s="141">
        <v>10004739</v>
      </c>
      <c r="M806" s="26" t="s">
        <v>194</v>
      </c>
      <c r="N806" s="2">
        <v>42382</v>
      </c>
      <c r="O806" s="2">
        <v>42397</v>
      </c>
      <c r="P806" s="133">
        <v>42419</v>
      </c>
      <c r="Q806" s="6">
        <v>2</v>
      </c>
      <c r="R806" s="6">
        <v>2</v>
      </c>
      <c r="S806" s="6">
        <v>2</v>
      </c>
      <c r="T806" s="6">
        <v>2</v>
      </c>
      <c r="U806" s="6">
        <v>2</v>
      </c>
      <c r="V806" s="6" t="s">
        <v>1976</v>
      </c>
      <c r="W806" s="5">
        <v>40508</v>
      </c>
      <c r="X806" s="6">
        <v>2</v>
      </c>
      <c r="Y806" s="6">
        <v>1</v>
      </c>
      <c r="Z806" s="6">
        <v>2</v>
      </c>
      <c r="AA806" s="6" t="s">
        <v>178</v>
      </c>
      <c r="AB806" s="6">
        <v>2</v>
      </c>
      <c r="AC806" s="6" t="s">
        <v>180</v>
      </c>
    </row>
    <row r="807" spans="1:29" x14ac:dyDescent="0.25">
      <c r="A807" s="145" t="str">
        <f>HYPERLINK("http://www.ofsted.gov.uk/inspection-reports/find-inspection-report/provider/ELS/130677 ","Ofsted Webpage")</f>
        <v>Ofsted Webpage</v>
      </c>
      <c r="B807" s="151">
        <v>130677</v>
      </c>
      <c r="C807" s="151">
        <v>10002297</v>
      </c>
      <c r="D807" s="46" t="s">
        <v>1977</v>
      </c>
      <c r="E807" s="26" t="s">
        <v>81</v>
      </c>
      <c r="F807" s="26" t="s">
        <v>82</v>
      </c>
      <c r="G807" s="26" t="s">
        <v>477</v>
      </c>
      <c r="H807" s="26" t="s">
        <v>287</v>
      </c>
      <c r="I807" s="26" t="s">
        <v>287</v>
      </c>
      <c r="J807" s="2" t="s">
        <v>72</v>
      </c>
      <c r="K807" s="141" t="s">
        <v>72</v>
      </c>
      <c r="L807" s="141">
        <v>10004740</v>
      </c>
      <c r="M807" s="26" t="s">
        <v>1011</v>
      </c>
      <c r="N807" s="2">
        <v>42689</v>
      </c>
      <c r="O807" s="2">
        <v>42692</v>
      </c>
      <c r="P807" s="133">
        <v>42741</v>
      </c>
      <c r="Q807" s="6">
        <v>4</v>
      </c>
      <c r="R807" s="6">
        <v>4</v>
      </c>
      <c r="S807" s="6">
        <v>4</v>
      </c>
      <c r="T807" s="6">
        <v>4</v>
      </c>
      <c r="U807" s="6">
        <v>4</v>
      </c>
      <c r="V807" s="6" t="s">
        <v>1978</v>
      </c>
      <c r="W807" s="5">
        <v>41936</v>
      </c>
      <c r="X807" s="6">
        <v>3</v>
      </c>
      <c r="Y807" s="6">
        <v>3</v>
      </c>
      <c r="Z807" s="6">
        <v>3</v>
      </c>
      <c r="AA807" s="6" t="s">
        <v>178</v>
      </c>
      <c r="AB807" s="6">
        <v>2</v>
      </c>
      <c r="AC807" s="6" t="s">
        <v>201</v>
      </c>
    </row>
    <row r="808" spans="1:29" x14ac:dyDescent="0.25">
      <c r="A808" s="145" t="str">
        <f>HYPERLINK("http://www.ofsted.gov.uk/inspection-reports/find-inspection-report/provider/ELS/130679 ","Ofsted Webpage")</f>
        <v>Ofsted Webpage</v>
      </c>
      <c r="B808" s="151">
        <v>130679</v>
      </c>
      <c r="C808" s="151">
        <v>10001353</v>
      </c>
      <c r="D808" s="46" t="s">
        <v>1979</v>
      </c>
      <c r="E808" s="26" t="s">
        <v>81</v>
      </c>
      <c r="F808" s="26" t="s">
        <v>82</v>
      </c>
      <c r="G808" s="26" t="s">
        <v>477</v>
      </c>
      <c r="H808" s="26" t="s">
        <v>287</v>
      </c>
      <c r="I808" s="26" t="s">
        <v>287</v>
      </c>
      <c r="J808" s="2" t="s">
        <v>72</v>
      </c>
      <c r="K808" s="141" t="s">
        <v>72</v>
      </c>
      <c r="L808" s="141">
        <v>10004741</v>
      </c>
      <c r="M808" s="26" t="s">
        <v>215</v>
      </c>
      <c r="N808" s="2">
        <v>42325</v>
      </c>
      <c r="O808" s="2">
        <v>42328</v>
      </c>
      <c r="P808" s="133">
        <v>42354</v>
      </c>
      <c r="Q808" s="6">
        <v>3</v>
      </c>
      <c r="R808" s="6">
        <v>3</v>
      </c>
      <c r="S808" s="6">
        <v>3</v>
      </c>
      <c r="T808" s="6">
        <v>3</v>
      </c>
      <c r="U808" s="6">
        <v>3</v>
      </c>
      <c r="V808" s="6" t="s">
        <v>1980</v>
      </c>
      <c r="W808" s="5">
        <v>41782</v>
      </c>
      <c r="X808" s="6">
        <v>3</v>
      </c>
      <c r="Y808" s="6">
        <v>3</v>
      </c>
      <c r="Z808" s="6">
        <v>3</v>
      </c>
      <c r="AA808" s="6" t="s">
        <v>178</v>
      </c>
      <c r="AB808" s="6">
        <v>3</v>
      </c>
      <c r="AC808" s="6" t="s">
        <v>180</v>
      </c>
    </row>
    <row r="809" spans="1:29" x14ac:dyDescent="0.25">
      <c r="A809" s="145" t="str">
        <f>HYPERLINK("http://www.ofsted.gov.uk/inspection-reports/find-inspection-report/provider/ELS/130680 ","Ofsted Webpage")</f>
        <v>Ofsted Webpage</v>
      </c>
      <c r="B809" s="151">
        <v>130680</v>
      </c>
      <c r="C809" s="151">
        <v>10005881</v>
      </c>
      <c r="D809" s="46" t="s">
        <v>2077</v>
      </c>
      <c r="E809" s="26" t="s">
        <v>83</v>
      </c>
      <c r="F809" s="26" t="s">
        <v>82</v>
      </c>
      <c r="G809" s="26" t="s">
        <v>477</v>
      </c>
      <c r="H809" s="26" t="s">
        <v>287</v>
      </c>
      <c r="I809" s="26" t="s">
        <v>287</v>
      </c>
      <c r="J809" s="2" t="s">
        <v>72</v>
      </c>
      <c r="K809" s="141" t="s">
        <v>72</v>
      </c>
      <c r="L809" s="141" t="s">
        <v>2078</v>
      </c>
      <c r="M809" s="26" t="s">
        <v>372</v>
      </c>
      <c r="N809" s="2">
        <v>41310</v>
      </c>
      <c r="O809" s="2">
        <v>41313</v>
      </c>
      <c r="P809" s="133">
        <v>41348</v>
      </c>
      <c r="Q809" s="6">
        <v>2</v>
      </c>
      <c r="R809" s="6">
        <v>2</v>
      </c>
      <c r="S809" s="6">
        <v>2</v>
      </c>
      <c r="T809" s="120" t="s">
        <v>178</v>
      </c>
      <c r="U809" s="6">
        <v>2</v>
      </c>
      <c r="V809" s="6" t="s">
        <v>2079</v>
      </c>
      <c r="W809" s="5">
        <v>39359</v>
      </c>
      <c r="X809" s="6">
        <v>1</v>
      </c>
      <c r="Y809" s="6">
        <v>1</v>
      </c>
      <c r="Z809" s="6">
        <v>1</v>
      </c>
      <c r="AA809" s="6" t="s">
        <v>178</v>
      </c>
      <c r="AB809" s="6">
        <v>1</v>
      </c>
      <c r="AC809" s="6" t="s">
        <v>201</v>
      </c>
    </row>
    <row r="810" spans="1:29" x14ac:dyDescent="0.25">
      <c r="A810" s="145" t="str">
        <f>HYPERLINK("http://www.ofsted.gov.uk/inspection-reports/find-inspection-report/provider/ELS/130681 ","Ofsted Webpage")</f>
        <v>Ofsted Webpage</v>
      </c>
      <c r="B810" s="151">
        <v>130681</v>
      </c>
      <c r="C810" s="151">
        <v>10005736</v>
      </c>
      <c r="D810" s="46" t="s">
        <v>2080</v>
      </c>
      <c r="E810" s="26" t="s">
        <v>81</v>
      </c>
      <c r="F810" s="26" t="s">
        <v>82</v>
      </c>
      <c r="G810" s="26" t="s">
        <v>477</v>
      </c>
      <c r="H810" s="26" t="s">
        <v>287</v>
      </c>
      <c r="I810" s="26" t="s">
        <v>287</v>
      </c>
      <c r="J810" s="2" t="s">
        <v>72</v>
      </c>
      <c r="K810" s="141" t="s">
        <v>72</v>
      </c>
      <c r="L810" s="141">
        <v>10004742</v>
      </c>
      <c r="M810" s="26" t="s">
        <v>1011</v>
      </c>
      <c r="N810" s="2">
        <v>42710</v>
      </c>
      <c r="O810" s="2">
        <v>42713</v>
      </c>
      <c r="P810" s="133">
        <v>42775</v>
      </c>
      <c r="Q810" s="6">
        <v>3</v>
      </c>
      <c r="R810" s="6">
        <v>3</v>
      </c>
      <c r="S810" s="6">
        <v>3</v>
      </c>
      <c r="T810" s="6">
        <v>2</v>
      </c>
      <c r="U810" s="6">
        <v>3</v>
      </c>
      <c r="V810" s="6" t="s">
        <v>2081</v>
      </c>
      <c r="W810" s="5">
        <v>41915</v>
      </c>
      <c r="X810" s="6">
        <v>3</v>
      </c>
      <c r="Y810" s="6">
        <v>3</v>
      </c>
      <c r="Z810" s="6">
        <v>3</v>
      </c>
      <c r="AA810" s="6" t="s">
        <v>178</v>
      </c>
      <c r="AB810" s="6">
        <v>3</v>
      </c>
      <c r="AC810" s="6" t="s">
        <v>180</v>
      </c>
    </row>
    <row r="811" spans="1:29" x14ac:dyDescent="0.25">
      <c r="A811" s="145" t="str">
        <f>HYPERLINK("http://www.ofsted.gov.uk/inspection-reports/find-inspection-report/provider/ELS/130683 ","Ofsted Webpage")</f>
        <v>Ofsted Webpage</v>
      </c>
      <c r="B811" s="151">
        <v>130683</v>
      </c>
      <c r="C811" s="151">
        <v>10002696</v>
      </c>
      <c r="D811" s="46" t="s">
        <v>2082</v>
      </c>
      <c r="E811" s="26" t="s">
        <v>81</v>
      </c>
      <c r="F811" s="26" t="s">
        <v>82</v>
      </c>
      <c r="G811" s="26" t="s">
        <v>447</v>
      </c>
      <c r="H811" s="26" t="s">
        <v>198</v>
      </c>
      <c r="I811" s="26" t="s">
        <v>198</v>
      </c>
      <c r="J811" s="2" t="s">
        <v>72</v>
      </c>
      <c r="K811" s="141" t="s">
        <v>72</v>
      </c>
      <c r="L811" s="141">
        <v>10011564</v>
      </c>
      <c r="M811" s="26" t="s">
        <v>194</v>
      </c>
      <c r="N811" s="2">
        <v>42633</v>
      </c>
      <c r="O811" s="2">
        <v>42649</v>
      </c>
      <c r="P811" s="133">
        <v>42682</v>
      </c>
      <c r="Q811" s="6">
        <v>2</v>
      </c>
      <c r="R811" s="6">
        <v>2</v>
      </c>
      <c r="S811" s="6">
        <v>2</v>
      </c>
      <c r="T811" s="6">
        <v>2</v>
      </c>
      <c r="U811" s="6">
        <v>2</v>
      </c>
      <c r="V811" s="6" t="s">
        <v>2083</v>
      </c>
      <c r="W811" s="5">
        <v>41355</v>
      </c>
      <c r="X811" s="6">
        <v>2</v>
      </c>
      <c r="Y811" s="6">
        <v>2</v>
      </c>
      <c r="Z811" s="6">
        <v>2</v>
      </c>
      <c r="AA811" s="6" t="s">
        <v>178</v>
      </c>
      <c r="AB811" s="6">
        <v>2</v>
      </c>
      <c r="AC811" s="6" t="s">
        <v>180</v>
      </c>
    </row>
    <row r="812" spans="1:29" x14ac:dyDescent="0.25">
      <c r="A812" s="145" t="str">
        <f>HYPERLINK("http://www.ofsted.gov.uk/inspection-reports/find-inspection-report/provider/ELS/130686 ","Ofsted Webpage")</f>
        <v>Ofsted Webpage</v>
      </c>
      <c r="B812" s="151">
        <v>130686</v>
      </c>
      <c r="C812" s="151">
        <v>10001446</v>
      </c>
      <c r="D812" s="46" t="s">
        <v>2084</v>
      </c>
      <c r="E812" s="26" t="s">
        <v>83</v>
      </c>
      <c r="F812" s="26" t="s">
        <v>82</v>
      </c>
      <c r="G812" s="26" t="s">
        <v>447</v>
      </c>
      <c r="H812" s="26" t="s">
        <v>198</v>
      </c>
      <c r="I812" s="26" t="s">
        <v>198</v>
      </c>
      <c r="J812" s="2" t="s">
        <v>72</v>
      </c>
      <c r="K812" s="141" t="s">
        <v>72</v>
      </c>
      <c r="L812" s="141" t="s">
        <v>2085</v>
      </c>
      <c r="M812" s="26" t="s">
        <v>369</v>
      </c>
      <c r="N812" s="2">
        <v>39055</v>
      </c>
      <c r="O812" s="2">
        <v>39059</v>
      </c>
      <c r="P812" s="133">
        <v>39115</v>
      </c>
      <c r="Q812" s="6">
        <v>1</v>
      </c>
      <c r="R812" s="6">
        <v>1</v>
      </c>
      <c r="S812" s="6">
        <v>2</v>
      </c>
      <c r="T812" s="120" t="s">
        <v>178</v>
      </c>
      <c r="U812" s="6">
        <v>1</v>
      </c>
      <c r="V812" s="6" t="s">
        <v>72</v>
      </c>
      <c r="W812" s="5" t="s">
        <v>72</v>
      </c>
      <c r="X812" s="6" t="s">
        <v>72</v>
      </c>
      <c r="Y812" s="6" t="s">
        <v>72</v>
      </c>
      <c r="Z812" s="6" t="s">
        <v>72</v>
      </c>
      <c r="AA812" s="6" t="s">
        <v>72</v>
      </c>
      <c r="AB812" s="6" t="s">
        <v>72</v>
      </c>
      <c r="AC812" s="6" t="s">
        <v>208</v>
      </c>
    </row>
    <row r="813" spans="1:29" x14ac:dyDescent="0.25">
      <c r="A813" s="145" t="str">
        <f>HYPERLINK("http://www.ofsted.gov.uk/inspection-reports/find-inspection-report/provider/ELS/130687 ","Ofsted Webpage")</f>
        <v>Ofsted Webpage</v>
      </c>
      <c r="B813" s="151">
        <v>130687</v>
      </c>
      <c r="C813" s="151">
        <v>10002919</v>
      </c>
      <c r="D813" s="46" t="s">
        <v>2086</v>
      </c>
      <c r="E813" s="26" t="s">
        <v>87</v>
      </c>
      <c r="F813" s="26" t="s">
        <v>82</v>
      </c>
      <c r="G813" s="26" t="s">
        <v>447</v>
      </c>
      <c r="H813" s="26" t="s">
        <v>198</v>
      </c>
      <c r="I813" s="26" t="s">
        <v>198</v>
      </c>
      <c r="J813" s="2" t="s">
        <v>72</v>
      </c>
      <c r="K813" s="141" t="s">
        <v>72</v>
      </c>
      <c r="L813" s="141" t="s">
        <v>2087</v>
      </c>
      <c r="M813" s="26" t="s">
        <v>194</v>
      </c>
      <c r="N813" s="2">
        <v>42080</v>
      </c>
      <c r="O813" s="2">
        <v>42083</v>
      </c>
      <c r="P813" s="133">
        <v>42123</v>
      </c>
      <c r="Q813" s="6">
        <v>2</v>
      </c>
      <c r="R813" s="6">
        <v>2</v>
      </c>
      <c r="S813" s="6">
        <v>2</v>
      </c>
      <c r="T813" s="120" t="s">
        <v>178</v>
      </c>
      <c r="U813" s="6">
        <v>2</v>
      </c>
      <c r="V813" s="6" t="s">
        <v>2088</v>
      </c>
      <c r="W813" s="5">
        <v>40144</v>
      </c>
      <c r="X813" s="6">
        <v>1</v>
      </c>
      <c r="Y813" s="6">
        <v>1</v>
      </c>
      <c r="Z813" s="6">
        <v>2</v>
      </c>
      <c r="AA813" s="6" t="s">
        <v>178</v>
      </c>
      <c r="AB813" s="6">
        <v>1</v>
      </c>
      <c r="AC813" s="6" t="s">
        <v>201</v>
      </c>
    </row>
    <row r="814" spans="1:29" x14ac:dyDescent="0.25">
      <c r="A814" s="145" t="str">
        <f>HYPERLINK("http://www.ofsted.gov.uk/inspection-reports/find-inspection-report/provider/ELS/130688 ","Ofsted Webpage")</f>
        <v>Ofsted Webpage</v>
      </c>
      <c r="B814" s="151">
        <v>130688</v>
      </c>
      <c r="C814" s="151">
        <v>10000560</v>
      </c>
      <c r="D814" s="46" t="s">
        <v>2089</v>
      </c>
      <c r="E814" s="26" t="s">
        <v>81</v>
      </c>
      <c r="F814" s="26" t="s">
        <v>82</v>
      </c>
      <c r="G814" s="26" t="s">
        <v>261</v>
      </c>
      <c r="H814" s="26" t="s">
        <v>219</v>
      </c>
      <c r="I814" s="26" t="s">
        <v>219</v>
      </c>
      <c r="J814" s="2" t="s">
        <v>72</v>
      </c>
      <c r="K814" s="141" t="s">
        <v>72</v>
      </c>
      <c r="L814" s="141">
        <v>10004744</v>
      </c>
      <c r="M814" s="26" t="s">
        <v>194</v>
      </c>
      <c r="N814" s="2">
        <v>42493</v>
      </c>
      <c r="O814" s="2">
        <v>42496</v>
      </c>
      <c r="P814" s="133">
        <v>42528</v>
      </c>
      <c r="Q814" s="6">
        <v>2</v>
      </c>
      <c r="R814" s="6">
        <v>2</v>
      </c>
      <c r="S814" s="6">
        <v>2</v>
      </c>
      <c r="T814" s="6">
        <v>2</v>
      </c>
      <c r="U814" s="6">
        <v>2</v>
      </c>
      <c r="V814" s="6" t="s">
        <v>2090</v>
      </c>
      <c r="W814" s="5">
        <v>41418</v>
      </c>
      <c r="X814" s="6">
        <v>2</v>
      </c>
      <c r="Y814" s="6">
        <v>2</v>
      </c>
      <c r="Z814" s="6">
        <v>2</v>
      </c>
      <c r="AA814" s="6" t="s">
        <v>178</v>
      </c>
      <c r="AB814" s="6">
        <v>1</v>
      </c>
      <c r="AC814" s="6" t="s">
        <v>180</v>
      </c>
    </row>
    <row r="815" spans="1:29" x14ac:dyDescent="0.25">
      <c r="A815" s="145" t="str">
        <f>HYPERLINK("http://www.ofsted.gov.uk/inspection-reports/find-inspection-report/provider/ELS/130689 ","Ofsted Webpage")</f>
        <v>Ofsted Webpage</v>
      </c>
      <c r="B815" s="151">
        <v>130689</v>
      </c>
      <c r="C815" s="151">
        <v>10002412</v>
      </c>
      <c r="D815" s="46" t="s">
        <v>402</v>
      </c>
      <c r="E815" s="26" t="s">
        <v>81</v>
      </c>
      <c r="F815" s="26" t="s">
        <v>82</v>
      </c>
      <c r="G815" s="26" t="s">
        <v>261</v>
      </c>
      <c r="H815" s="26" t="s">
        <v>219</v>
      </c>
      <c r="I815" s="26" t="s">
        <v>219</v>
      </c>
      <c r="J815" s="2" t="s">
        <v>72</v>
      </c>
      <c r="K815" s="141" t="s">
        <v>72</v>
      </c>
      <c r="L815" s="141" t="s">
        <v>403</v>
      </c>
      <c r="M815" s="26" t="s">
        <v>377</v>
      </c>
      <c r="N815" s="2">
        <v>40861</v>
      </c>
      <c r="O815" s="2">
        <v>40865</v>
      </c>
      <c r="P815" s="133">
        <v>40900</v>
      </c>
      <c r="Q815" s="6">
        <v>1</v>
      </c>
      <c r="R815" s="6">
        <v>1</v>
      </c>
      <c r="S815" s="6">
        <v>2</v>
      </c>
      <c r="T815" s="120" t="s">
        <v>178</v>
      </c>
      <c r="U815" s="6">
        <v>1</v>
      </c>
      <c r="V815" s="6" t="s">
        <v>404</v>
      </c>
      <c r="W815" s="5">
        <v>39416</v>
      </c>
      <c r="X815" s="6">
        <v>3</v>
      </c>
      <c r="Y815" s="6">
        <v>3</v>
      </c>
      <c r="Z815" s="6">
        <v>3</v>
      </c>
      <c r="AA815" s="6" t="s">
        <v>178</v>
      </c>
      <c r="AB815" s="6">
        <v>2</v>
      </c>
      <c r="AC815" s="6" t="s">
        <v>216</v>
      </c>
    </row>
    <row r="816" spans="1:29" x14ac:dyDescent="0.25">
      <c r="A816" s="145" t="str">
        <f>HYPERLINK("http://www.ofsted.gov.uk/inspection-reports/find-inspection-report/provider/ELS/130690 ","Ofsted Webpage")</f>
        <v>Ofsted Webpage</v>
      </c>
      <c r="B816" s="151">
        <v>130690</v>
      </c>
      <c r="C816" s="151">
        <v>10000944</v>
      </c>
      <c r="D816" s="46" t="s">
        <v>405</v>
      </c>
      <c r="E816" s="26" t="s">
        <v>81</v>
      </c>
      <c r="F816" s="26" t="s">
        <v>82</v>
      </c>
      <c r="G816" s="26" t="s">
        <v>261</v>
      </c>
      <c r="H816" s="26" t="s">
        <v>219</v>
      </c>
      <c r="I816" s="26" t="s">
        <v>219</v>
      </c>
      <c r="J816" s="2" t="s">
        <v>72</v>
      </c>
      <c r="K816" s="141" t="s">
        <v>72</v>
      </c>
      <c r="L816" s="141">
        <v>10022532</v>
      </c>
      <c r="M816" s="26" t="s">
        <v>194</v>
      </c>
      <c r="N816" s="2">
        <v>42766</v>
      </c>
      <c r="O816" s="2">
        <v>42769</v>
      </c>
      <c r="P816" s="133">
        <v>42800</v>
      </c>
      <c r="Q816" s="6">
        <v>2</v>
      </c>
      <c r="R816" s="6">
        <v>2</v>
      </c>
      <c r="S816" s="6">
        <v>2</v>
      </c>
      <c r="T816" s="6">
        <v>2</v>
      </c>
      <c r="U816" s="6">
        <v>2</v>
      </c>
      <c r="V816" s="6" t="s">
        <v>406</v>
      </c>
      <c r="W816" s="5">
        <v>39576</v>
      </c>
      <c r="X816" s="6">
        <v>1</v>
      </c>
      <c r="Y816" s="6">
        <v>1</v>
      </c>
      <c r="Z816" s="6">
        <v>1</v>
      </c>
      <c r="AA816" s="6" t="s">
        <v>178</v>
      </c>
      <c r="AB816" s="6">
        <v>1</v>
      </c>
      <c r="AC816" s="6" t="s">
        <v>201</v>
      </c>
    </row>
    <row r="817" spans="1:29" x14ac:dyDescent="0.25">
      <c r="A817" s="145" t="str">
        <f>HYPERLINK("http://www.ofsted.gov.uk/inspection-reports/find-inspection-report/provider/ELS/130691 ","Ofsted Webpage")</f>
        <v>Ofsted Webpage</v>
      </c>
      <c r="B817" s="151">
        <v>130691</v>
      </c>
      <c r="C817" s="151">
        <v>10000256</v>
      </c>
      <c r="D817" s="46" t="s">
        <v>407</v>
      </c>
      <c r="E817" s="26" t="s">
        <v>83</v>
      </c>
      <c r="F817" s="26" t="s">
        <v>82</v>
      </c>
      <c r="G817" s="26" t="s">
        <v>261</v>
      </c>
      <c r="H817" s="26" t="s">
        <v>219</v>
      </c>
      <c r="I817" s="26" t="s">
        <v>219</v>
      </c>
      <c r="J817" s="2" t="s">
        <v>72</v>
      </c>
      <c r="K817" s="141" t="s">
        <v>72</v>
      </c>
      <c r="L817" s="141" t="s">
        <v>408</v>
      </c>
      <c r="M817" s="26" t="s">
        <v>409</v>
      </c>
      <c r="N817" s="2">
        <v>40085</v>
      </c>
      <c r="O817" s="2">
        <v>40088</v>
      </c>
      <c r="P817" s="133">
        <v>40134</v>
      </c>
      <c r="Q817" s="6">
        <v>1</v>
      </c>
      <c r="R817" s="6">
        <v>1</v>
      </c>
      <c r="S817" s="6">
        <v>2</v>
      </c>
      <c r="T817" s="120" t="s">
        <v>178</v>
      </c>
      <c r="U817" s="6">
        <v>1</v>
      </c>
      <c r="V817" s="6" t="s">
        <v>410</v>
      </c>
      <c r="W817" s="5">
        <v>38856</v>
      </c>
      <c r="X817" s="6">
        <v>1</v>
      </c>
      <c r="Y817" s="6">
        <v>1</v>
      </c>
      <c r="Z817" s="6">
        <v>2</v>
      </c>
      <c r="AA817" s="6" t="s">
        <v>178</v>
      </c>
      <c r="AB817" s="6">
        <v>1</v>
      </c>
      <c r="AC817" s="6" t="s">
        <v>180</v>
      </c>
    </row>
    <row r="818" spans="1:29" x14ac:dyDescent="0.25">
      <c r="A818" s="145" t="str">
        <f>HYPERLINK("http://www.ofsted.gov.uk/inspection-reports/find-inspection-report/provider/ELS/130692 ","Ofsted Webpage")</f>
        <v>Ofsted Webpage</v>
      </c>
      <c r="B818" s="151">
        <v>130692</v>
      </c>
      <c r="C818" s="151">
        <v>10002143</v>
      </c>
      <c r="D818" s="46" t="s">
        <v>411</v>
      </c>
      <c r="E818" s="26" t="s">
        <v>81</v>
      </c>
      <c r="F818" s="26" t="s">
        <v>82</v>
      </c>
      <c r="G818" s="26" t="s">
        <v>261</v>
      </c>
      <c r="H818" s="26" t="s">
        <v>219</v>
      </c>
      <c r="I818" s="26" t="s">
        <v>219</v>
      </c>
      <c r="J818" s="2" t="s">
        <v>72</v>
      </c>
      <c r="K818" s="141" t="s">
        <v>72</v>
      </c>
      <c r="L818" s="141" t="s">
        <v>412</v>
      </c>
      <c r="M818" s="26" t="s">
        <v>369</v>
      </c>
      <c r="N818" s="2">
        <v>41050</v>
      </c>
      <c r="O818" s="2">
        <v>41054</v>
      </c>
      <c r="P818" s="133">
        <v>41099</v>
      </c>
      <c r="Q818" s="6">
        <v>1</v>
      </c>
      <c r="R818" s="6">
        <v>1</v>
      </c>
      <c r="S818" s="6">
        <v>2</v>
      </c>
      <c r="T818" s="120" t="s">
        <v>178</v>
      </c>
      <c r="U818" s="6">
        <v>1</v>
      </c>
      <c r="V818" s="6" t="s">
        <v>413</v>
      </c>
      <c r="W818" s="5">
        <v>38856</v>
      </c>
      <c r="X818" s="6">
        <v>2</v>
      </c>
      <c r="Y818" s="6">
        <v>2</v>
      </c>
      <c r="Z818" s="6">
        <v>2</v>
      </c>
      <c r="AA818" s="6" t="s">
        <v>178</v>
      </c>
      <c r="AB818" s="6">
        <v>2</v>
      </c>
      <c r="AC818" s="6" t="s">
        <v>216</v>
      </c>
    </row>
    <row r="819" spans="1:29" x14ac:dyDescent="0.25">
      <c r="A819" s="145" t="str">
        <f>HYPERLINK("http://www.ofsted.gov.uk/inspection-reports/find-inspection-report/provider/ELS/130693 ","Ofsted Webpage")</f>
        <v>Ofsted Webpage</v>
      </c>
      <c r="B819" s="151">
        <v>130693</v>
      </c>
      <c r="C819" s="151">
        <v>10007928</v>
      </c>
      <c r="D819" s="46" t="s">
        <v>414</v>
      </c>
      <c r="E819" s="26" t="s">
        <v>81</v>
      </c>
      <c r="F819" s="26" t="s">
        <v>82</v>
      </c>
      <c r="G819" s="26" t="s">
        <v>261</v>
      </c>
      <c r="H819" s="26" t="s">
        <v>219</v>
      </c>
      <c r="I819" s="26" t="s">
        <v>219</v>
      </c>
      <c r="J819" s="2" t="s">
        <v>72</v>
      </c>
      <c r="K819" s="141" t="s">
        <v>72</v>
      </c>
      <c r="L819" s="141">
        <v>10030681</v>
      </c>
      <c r="M819" s="26" t="s">
        <v>194</v>
      </c>
      <c r="N819" s="2">
        <v>43011</v>
      </c>
      <c r="O819" s="2">
        <v>43014</v>
      </c>
      <c r="P819" s="133">
        <v>43049</v>
      </c>
      <c r="Q819" s="6">
        <v>1</v>
      </c>
      <c r="R819" s="6">
        <v>1</v>
      </c>
      <c r="S819" s="6">
        <v>1</v>
      </c>
      <c r="T819" s="6">
        <v>1</v>
      </c>
      <c r="U819" s="6">
        <v>1</v>
      </c>
      <c r="V819" s="6" t="s">
        <v>415</v>
      </c>
      <c r="W819" s="5">
        <v>41397</v>
      </c>
      <c r="X819" s="6">
        <v>2</v>
      </c>
      <c r="Y819" s="6">
        <v>2</v>
      </c>
      <c r="Z819" s="6">
        <v>2</v>
      </c>
      <c r="AA819" s="6" t="s">
        <v>178</v>
      </c>
      <c r="AB819" s="6">
        <v>2</v>
      </c>
      <c r="AC819" s="6" t="s">
        <v>216</v>
      </c>
    </row>
    <row r="820" spans="1:29" x14ac:dyDescent="0.25">
      <c r="A820" s="145" t="str">
        <f>HYPERLINK("http://www.ofsted.gov.uk/inspection-reports/find-inspection-report/provider/ELS/130695 ","Ofsted Webpage")</f>
        <v>Ofsted Webpage</v>
      </c>
      <c r="B820" s="151">
        <v>130695</v>
      </c>
      <c r="C820" s="151">
        <v>10005979</v>
      </c>
      <c r="D820" s="46" t="s">
        <v>416</v>
      </c>
      <c r="E820" s="26" t="s">
        <v>81</v>
      </c>
      <c r="F820" s="26" t="s">
        <v>82</v>
      </c>
      <c r="G820" s="26" t="s">
        <v>261</v>
      </c>
      <c r="H820" s="26" t="s">
        <v>219</v>
      </c>
      <c r="I820" s="26" t="s">
        <v>219</v>
      </c>
      <c r="J820" s="2" t="s">
        <v>72</v>
      </c>
      <c r="K820" s="141" t="s">
        <v>72</v>
      </c>
      <c r="L820" s="141" t="s">
        <v>417</v>
      </c>
      <c r="M820" s="26" t="s">
        <v>369</v>
      </c>
      <c r="N820" s="2">
        <v>39357</v>
      </c>
      <c r="O820" s="2">
        <v>39358</v>
      </c>
      <c r="P820" s="133">
        <v>39409</v>
      </c>
      <c r="Q820" s="6">
        <v>1</v>
      </c>
      <c r="R820" s="6">
        <v>1</v>
      </c>
      <c r="S820" s="6">
        <v>1</v>
      </c>
      <c r="T820" s="120" t="s">
        <v>178</v>
      </c>
      <c r="U820" s="6">
        <v>1</v>
      </c>
      <c r="V820" s="6" t="s">
        <v>72</v>
      </c>
      <c r="W820" s="5" t="s">
        <v>72</v>
      </c>
      <c r="X820" s="6" t="s">
        <v>72</v>
      </c>
      <c r="Y820" s="6" t="s">
        <v>72</v>
      </c>
      <c r="Z820" s="6" t="s">
        <v>72</v>
      </c>
      <c r="AA820" s="6" t="s">
        <v>72</v>
      </c>
      <c r="AB820" s="6" t="s">
        <v>72</v>
      </c>
      <c r="AC820" s="6" t="s">
        <v>208</v>
      </c>
    </row>
    <row r="821" spans="1:29" x14ac:dyDescent="0.25">
      <c r="A821" s="145" t="str">
        <f>HYPERLINK("http://www.ofsted.gov.uk/inspection-reports/find-inspection-report/provider/ELS/130696 ","Ofsted Webpage")</f>
        <v>Ofsted Webpage</v>
      </c>
      <c r="B821" s="151">
        <v>130696</v>
      </c>
      <c r="C821" s="151">
        <v>10006020</v>
      </c>
      <c r="D821" s="46" t="s">
        <v>1863</v>
      </c>
      <c r="E821" s="26" t="s">
        <v>81</v>
      </c>
      <c r="F821" s="26" t="s">
        <v>82</v>
      </c>
      <c r="G821" s="26" t="s">
        <v>512</v>
      </c>
      <c r="H821" s="26" t="s">
        <v>219</v>
      </c>
      <c r="I821" s="26" t="s">
        <v>219</v>
      </c>
      <c r="J821" s="2" t="s">
        <v>72</v>
      </c>
      <c r="K821" s="141" t="s">
        <v>72</v>
      </c>
      <c r="L821" s="141">
        <v>10022530</v>
      </c>
      <c r="M821" s="26" t="s">
        <v>194</v>
      </c>
      <c r="N821" s="2">
        <v>42822</v>
      </c>
      <c r="O821" s="2">
        <v>42825</v>
      </c>
      <c r="P821" s="133">
        <v>42864</v>
      </c>
      <c r="Q821" s="6">
        <v>3</v>
      </c>
      <c r="R821" s="6">
        <v>3</v>
      </c>
      <c r="S821" s="6">
        <v>3</v>
      </c>
      <c r="T821" s="6">
        <v>3</v>
      </c>
      <c r="U821" s="6">
        <v>3</v>
      </c>
      <c r="V821" s="6" t="s">
        <v>1864</v>
      </c>
      <c r="W821" s="5">
        <v>40613</v>
      </c>
      <c r="X821" s="6">
        <v>2</v>
      </c>
      <c r="Y821" s="6">
        <v>2</v>
      </c>
      <c r="Z821" s="6">
        <v>2</v>
      </c>
      <c r="AA821" s="6" t="s">
        <v>178</v>
      </c>
      <c r="AB821" s="6">
        <v>2</v>
      </c>
      <c r="AC821" s="6" t="s">
        <v>201</v>
      </c>
    </row>
    <row r="822" spans="1:29" x14ac:dyDescent="0.25">
      <c r="A822" s="145" t="str">
        <f>HYPERLINK("http://www.ofsted.gov.uk/inspection-reports/find-inspection-report/provider/ELS/130697 ","Ofsted Webpage")</f>
        <v>Ofsted Webpage</v>
      </c>
      <c r="B822" s="151">
        <v>130697</v>
      </c>
      <c r="C822" s="151">
        <v>10007945</v>
      </c>
      <c r="D822" s="46" t="s">
        <v>1865</v>
      </c>
      <c r="E822" s="26" t="s">
        <v>81</v>
      </c>
      <c r="F822" s="26" t="s">
        <v>82</v>
      </c>
      <c r="G822" s="26" t="s">
        <v>1004</v>
      </c>
      <c r="H822" s="26" t="s">
        <v>219</v>
      </c>
      <c r="I822" s="26" t="s">
        <v>219</v>
      </c>
      <c r="J822" s="2" t="s">
        <v>72</v>
      </c>
      <c r="K822" s="141" t="s">
        <v>72</v>
      </c>
      <c r="L822" s="141" t="s">
        <v>1866</v>
      </c>
      <c r="M822" s="26" t="s">
        <v>369</v>
      </c>
      <c r="N822" s="2">
        <v>40672</v>
      </c>
      <c r="O822" s="2">
        <v>40676</v>
      </c>
      <c r="P822" s="133">
        <v>40714</v>
      </c>
      <c r="Q822" s="6">
        <v>1</v>
      </c>
      <c r="R822" s="6">
        <v>1</v>
      </c>
      <c r="S822" s="6">
        <v>2</v>
      </c>
      <c r="T822" s="120" t="s">
        <v>178</v>
      </c>
      <c r="U822" s="6">
        <v>1</v>
      </c>
      <c r="V822" s="6" t="s">
        <v>1867</v>
      </c>
      <c r="W822" s="5">
        <v>39206</v>
      </c>
      <c r="X822" s="6">
        <v>2</v>
      </c>
      <c r="Y822" s="6">
        <v>2</v>
      </c>
      <c r="Z822" s="6">
        <v>3</v>
      </c>
      <c r="AA822" s="6" t="s">
        <v>178</v>
      </c>
      <c r="AB822" s="6">
        <v>2</v>
      </c>
      <c r="AC822" s="6" t="s">
        <v>216</v>
      </c>
    </row>
    <row r="823" spans="1:29" x14ac:dyDescent="0.25">
      <c r="A823" s="145" t="str">
        <f>HYPERLINK("http://www.ofsted.gov.uk/inspection-reports/find-inspection-report/provider/ELS/130698 ","Ofsted Webpage")</f>
        <v>Ofsted Webpage</v>
      </c>
      <c r="B823" s="151">
        <v>130698</v>
      </c>
      <c r="C823" s="151">
        <v>10006050</v>
      </c>
      <c r="D823" s="46" t="s">
        <v>1868</v>
      </c>
      <c r="E823" s="26" t="s">
        <v>87</v>
      </c>
      <c r="F823" s="26" t="s">
        <v>82</v>
      </c>
      <c r="G823" s="26" t="s">
        <v>261</v>
      </c>
      <c r="H823" s="26" t="s">
        <v>219</v>
      </c>
      <c r="I823" s="26" t="s">
        <v>219</v>
      </c>
      <c r="J823" s="2" t="s">
        <v>72</v>
      </c>
      <c r="K823" s="141" t="s">
        <v>72</v>
      </c>
      <c r="L823" s="141" t="s">
        <v>1869</v>
      </c>
      <c r="M823" s="26" t="s">
        <v>194</v>
      </c>
      <c r="N823" s="2">
        <v>41680</v>
      </c>
      <c r="O823" s="2">
        <v>41684</v>
      </c>
      <c r="P823" s="133">
        <v>41719</v>
      </c>
      <c r="Q823" s="6">
        <v>2</v>
      </c>
      <c r="R823" s="6">
        <v>2</v>
      </c>
      <c r="S823" s="6">
        <v>2</v>
      </c>
      <c r="T823" s="120" t="s">
        <v>178</v>
      </c>
      <c r="U823" s="6">
        <v>2</v>
      </c>
      <c r="V823" s="6" t="s">
        <v>1870</v>
      </c>
      <c r="W823" s="5">
        <v>39570</v>
      </c>
      <c r="X823" s="6">
        <v>2</v>
      </c>
      <c r="Y823" s="6">
        <v>3</v>
      </c>
      <c r="Z823" s="6">
        <v>2</v>
      </c>
      <c r="AA823" s="6" t="s">
        <v>178</v>
      </c>
      <c r="AB823" s="6">
        <v>2</v>
      </c>
      <c r="AC823" s="6" t="s">
        <v>180</v>
      </c>
    </row>
    <row r="824" spans="1:29" x14ac:dyDescent="0.25">
      <c r="A824" s="145" t="str">
        <f>HYPERLINK("http://www.ofsted.gov.uk/inspection-reports/find-inspection-report/provider/ELS/130699 ","Ofsted Webpage")</f>
        <v>Ofsted Webpage</v>
      </c>
      <c r="B824" s="151">
        <v>130699</v>
      </c>
      <c r="C824" s="151">
        <v>10006958</v>
      </c>
      <c r="D824" s="46" t="s">
        <v>1871</v>
      </c>
      <c r="E824" s="26" t="s">
        <v>81</v>
      </c>
      <c r="F824" s="26" t="s">
        <v>82</v>
      </c>
      <c r="G824" s="26" t="s">
        <v>261</v>
      </c>
      <c r="H824" s="26" t="s">
        <v>219</v>
      </c>
      <c r="I824" s="26" t="s">
        <v>219</v>
      </c>
      <c r="J824" s="2" t="s">
        <v>72</v>
      </c>
      <c r="K824" s="141" t="s">
        <v>72</v>
      </c>
      <c r="L824" s="141">
        <v>10030775</v>
      </c>
      <c r="M824" s="26" t="s">
        <v>211</v>
      </c>
      <c r="N824" s="2">
        <v>42892</v>
      </c>
      <c r="O824" s="2">
        <v>42895</v>
      </c>
      <c r="P824" s="133">
        <v>42934</v>
      </c>
      <c r="Q824" s="6">
        <v>3</v>
      </c>
      <c r="R824" s="6">
        <v>3</v>
      </c>
      <c r="S824" s="6">
        <v>3</v>
      </c>
      <c r="T824" s="6">
        <v>3</v>
      </c>
      <c r="U824" s="6">
        <v>3</v>
      </c>
      <c r="V824" s="6" t="s">
        <v>1872</v>
      </c>
      <c r="W824" s="5">
        <v>42125</v>
      </c>
      <c r="X824" s="6">
        <v>4</v>
      </c>
      <c r="Y824" s="6">
        <v>4</v>
      </c>
      <c r="Z824" s="6">
        <v>4</v>
      </c>
      <c r="AA824" s="6" t="s">
        <v>178</v>
      </c>
      <c r="AB824" s="6">
        <v>4</v>
      </c>
      <c r="AC824" s="6" t="s">
        <v>216</v>
      </c>
    </row>
    <row r="825" spans="1:29" x14ac:dyDescent="0.25">
      <c r="A825" s="145" t="str">
        <f>HYPERLINK("http://www.ofsted.gov.uk/inspection-reports/find-inspection-report/provider/ELS/130701 ","Ofsted Webpage")</f>
        <v>Ofsted Webpage</v>
      </c>
      <c r="B825" s="151">
        <v>130701</v>
      </c>
      <c r="C825" s="151">
        <v>10000552</v>
      </c>
      <c r="D825" s="46" t="s">
        <v>1873</v>
      </c>
      <c r="E825" s="26" t="s">
        <v>83</v>
      </c>
      <c r="F825" s="26" t="s">
        <v>82</v>
      </c>
      <c r="G825" s="26" t="s">
        <v>261</v>
      </c>
      <c r="H825" s="26" t="s">
        <v>219</v>
      </c>
      <c r="I825" s="26" t="s">
        <v>219</v>
      </c>
      <c r="J825" s="2">
        <v>42488</v>
      </c>
      <c r="K825" s="141">
        <v>1</v>
      </c>
      <c r="L825" s="141" t="s">
        <v>1874</v>
      </c>
      <c r="M825" s="26" t="s">
        <v>409</v>
      </c>
      <c r="N825" s="2">
        <v>40211</v>
      </c>
      <c r="O825" s="2">
        <v>40214</v>
      </c>
      <c r="P825" s="133">
        <v>40249</v>
      </c>
      <c r="Q825" s="6">
        <v>2</v>
      </c>
      <c r="R825" s="6">
        <v>2</v>
      </c>
      <c r="S825" s="6">
        <v>2</v>
      </c>
      <c r="T825" s="120" t="s">
        <v>178</v>
      </c>
      <c r="U825" s="6">
        <v>1</v>
      </c>
      <c r="V825" s="6" t="s">
        <v>1875</v>
      </c>
      <c r="W825" s="5">
        <v>38779</v>
      </c>
      <c r="X825" s="6">
        <v>2</v>
      </c>
      <c r="Y825" s="6">
        <v>1</v>
      </c>
      <c r="Z825" s="6">
        <v>2</v>
      </c>
      <c r="AA825" s="6" t="s">
        <v>178</v>
      </c>
      <c r="AB825" s="6">
        <v>2</v>
      </c>
      <c r="AC825" s="6" t="s">
        <v>180</v>
      </c>
    </row>
    <row r="826" spans="1:29" x14ac:dyDescent="0.25">
      <c r="A826" s="145" t="str">
        <f>HYPERLINK("http://www.ofsted.gov.uk/inspection-reports/find-inspection-report/provider/ELS/130704 ","Ofsted Webpage")</f>
        <v>Ofsted Webpage</v>
      </c>
      <c r="B826" s="151">
        <v>130704</v>
      </c>
      <c r="C826" s="151">
        <v>10003427</v>
      </c>
      <c r="D826" s="46" t="s">
        <v>1876</v>
      </c>
      <c r="E826" s="26" t="s">
        <v>83</v>
      </c>
      <c r="F826" s="26" t="s">
        <v>82</v>
      </c>
      <c r="G826" s="26" t="s">
        <v>512</v>
      </c>
      <c r="H826" s="26" t="s">
        <v>219</v>
      </c>
      <c r="I826" s="26" t="s">
        <v>219</v>
      </c>
      <c r="J826" s="2" t="s">
        <v>72</v>
      </c>
      <c r="K826" s="141" t="s">
        <v>72</v>
      </c>
      <c r="L826" s="141">
        <v>10022526</v>
      </c>
      <c r="M826" s="26" t="s">
        <v>372</v>
      </c>
      <c r="N826" s="2">
        <v>42766</v>
      </c>
      <c r="O826" s="2">
        <v>42768</v>
      </c>
      <c r="P826" s="133">
        <v>42796</v>
      </c>
      <c r="Q826" s="6">
        <v>3</v>
      </c>
      <c r="R826" s="6">
        <v>3</v>
      </c>
      <c r="S826" s="6">
        <v>3</v>
      </c>
      <c r="T826" s="6">
        <v>3</v>
      </c>
      <c r="U826" s="6">
        <v>3</v>
      </c>
      <c r="V826" s="6" t="s">
        <v>1877</v>
      </c>
      <c r="W826" s="5">
        <v>41551</v>
      </c>
      <c r="X826" s="6">
        <v>2</v>
      </c>
      <c r="Y826" s="6">
        <v>2</v>
      </c>
      <c r="Z826" s="6">
        <v>2</v>
      </c>
      <c r="AA826" s="6" t="s">
        <v>178</v>
      </c>
      <c r="AB826" s="6">
        <v>2</v>
      </c>
      <c r="AC826" s="6" t="s">
        <v>201</v>
      </c>
    </row>
    <row r="827" spans="1:29" x14ac:dyDescent="0.25">
      <c r="A827" s="145" t="str">
        <f>HYPERLINK("http://www.ofsted.gov.uk/inspection-reports/find-inspection-report/provider/ELS/130706 ","Ofsted Webpage")</f>
        <v>Ofsted Webpage</v>
      </c>
      <c r="B827" s="151">
        <v>130706</v>
      </c>
      <c r="C827" s="151">
        <v>10005158</v>
      </c>
      <c r="D827" s="46" t="s">
        <v>1644</v>
      </c>
      <c r="E827" s="26" t="s">
        <v>83</v>
      </c>
      <c r="F827" s="26" t="s">
        <v>82</v>
      </c>
      <c r="G827" s="26" t="s">
        <v>1004</v>
      </c>
      <c r="H827" s="26" t="s">
        <v>219</v>
      </c>
      <c r="I827" s="26" t="s">
        <v>219</v>
      </c>
      <c r="J827" s="2">
        <v>42825</v>
      </c>
      <c r="K827" s="141">
        <v>1</v>
      </c>
      <c r="L827" s="141" t="s">
        <v>1645</v>
      </c>
      <c r="M827" s="26" t="s">
        <v>372</v>
      </c>
      <c r="N827" s="2">
        <v>41345</v>
      </c>
      <c r="O827" s="2">
        <v>41348</v>
      </c>
      <c r="P827" s="133">
        <v>41387</v>
      </c>
      <c r="Q827" s="6">
        <v>2</v>
      </c>
      <c r="R827" s="6">
        <v>2</v>
      </c>
      <c r="S827" s="6">
        <v>2</v>
      </c>
      <c r="T827" s="120" t="s">
        <v>178</v>
      </c>
      <c r="U827" s="6">
        <v>2</v>
      </c>
      <c r="V827" s="6" t="s">
        <v>1646</v>
      </c>
      <c r="W827" s="5">
        <v>40326</v>
      </c>
      <c r="X827" s="6">
        <v>3</v>
      </c>
      <c r="Y827" s="6">
        <v>3</v>
      </c>
      <c r="Z827" s="6">
        <v>2</v>
      </c>
      <c r="AA827" s="6" t="s">
        <v>178</v>
      </c>
      <c r="AB827" s="6">
        <v>2</v>
      </c>
      <c r="AC827" s="6" t="s">
        <v>216</v>
      </c>
    </row>
    <row r="828" spans="1:29" x14ac:dyDescent="0.25">
      <c r="A828" s="145" t="str">
        <f>HYPERLINK("http://www.ofsted.gov.uk/inspection-reports/find-inspection-report/provider/ELS/130708 ","Ofsted Webpage")</f>
        <v>Ofsted Webpage</v>
      </c>
      <c r="B828" s="151">
        <v>130708</v>
      </c>
      <c r="C828" s="151">
        <v>10005072</v>
      </c>
      <c r="D828" s="46" t="s">
        <v>1649</v>
      </c>
      <c r="E828" s="26" t="s">
        <v>83</v>
      </c>
      <c r="F828" s="26" t="s">
        <v>82</v>
      </c>
      <c r="G828" s="26" t="s">
        <v>261</v>
      </c>
      <c r="H828" s="26" t="s">
        <v>219</v>
      </c>
      <c r="I828" s="26" t="s">
        <v>219</v>
      </c>
      <c r="J828" s="2" t="s">
        <v>72</v>
      </c>
      <c r="K828" s="141" t="s">
        <v>72</v>
      </c>
      <c r="L828" s="141" t="s">
        <v>1650</v>
      </c>
      <c r="M828" s="26" t="s">
        <v>409</v>
      </c>
      <c r="N828" s="2">
        <v>39533</v>
      </c>
      <c r="O828" s="2">
        <v>39534</v>
      </c>
      <c r="P828" s="133">
        <v>39584</v>
      </c>
      <c r="Q828" s="6">
        <v>1</v>
      </c>
      <c r="R828" s="6">
        <v>1</v>
      </c>
      <c r="S828" s="6">
        <v>1</v>
      </c>
      <c r="T828" s="120" t="s">
        <v>178</v>
      </c>
      <c r="U828" s="6">
        <v>1</v>
      </c>
      <c r="V828" s="6" t="s">
        <v>72</v>
      </c>
      <c r="W828" s="5" t="s">
        <v>72</v>
      </c>
      <c r="X828" s="6" t="s">
        <v>72</v>
      </c>
      <c r="Y828" s="6" t="s">
        <v>72</v>
      </c>
      <c r="Z828" s="6" t="s">
        <v>72</v>
      </c>
      <c r="AA828" s="6" t="s">
        <v>72</v>
      </c>
      <c r="AB828" s="6" t="s">
        <v>72</v>
      </c>
      <c r="AC828" s="6" t="s">
        <v>208</v>
      </c>
    </row>
    <row r="829" spans="1:29" x14ac:dyDescent="0.25">
      <c r="A829" s="145" t="str">
        <f>HYPERLINK("http://www.ofsted.gov.uk/inspection-reports/find-inspection-report/provider/ELS/130710 ","Ofsted Webpage")</f>
        <v>Ofsted Webpage</v>
      </c>
      <c r="B829" s="151">
        <v>130710</v>
      </c>
      <c r="C829" s="151">
        <v>10003023</v>
      </c>
      <c r="D829" s="46" t="s">
        <v>1651</v>
      </c>
      <c r="E829" s="26" t="s">
        <v>81</v>
      </c>
      <c r="F829" s="26" t="s">
        <v>82</v>
      </c>
      <c r="G829" s="26" t="s">
        <v>455</v>
      </c>
      <c r="H829" s="26" t="s">
        <v>193</v>
      </c>
      <c r="I829" s="26" t="s">
        <v>193</v>
      </c>
      <c r="J829" s="2">
        <v>42425</v>
      </c>
      <c r="K829" s="141">
        <v>1</v>
      </c>
      <c r="L829" s="141" t="s">
        <v>1652</v>
      </c>
      <c r="M829" s="26" t="s">
        <v>369</v>
      </c>
      <c r="N829" s="2">
        <v>40315</v>
      </c>
      <c r="O829" s="2">
        <v>40319</v>
      </c>
      <c r="P829" s="133">
        <v>40357</v>
      </c>
      <c r="Q829" s="6">
        <v>2</v>
      </c>
      <c r="R829" s="6">
        <v>2</v>
      </c>
      <c r="S829" s="6">
        <v>2</v>
      </c>
      <c r="T829" s="120" t="s">
        <v>178</v>
      </c>
      <c r="U829" s="6">
        <v>2</v>
      </c>
      <c r="V829" s="6" t="s">
        <v>1653</v>
      </c>
      <c r="W829" s="5">
        <v>38856</v>
      </c>
      <c r="X829" s="6">
        <v>2</v>
      </c>
      <c r="Y829" s="6">
        <v>2</v>
      </c>
      <c r="Z829" s="6">
        <v>3</v>
      </c>
      <c r="AA829" s="6" t="s">
        <v>178</v>
      </c>
      <c r="AB829" s="6">
        <v>2</v>
      </c>
      <c r="AC829" s="6" t="s">
        <v>180</v>
      </c>
    </row>
    <row r="830" spans="1:29" x14ac:dyDescent="0.25">
      <c r="A830" s="145" t="str">
        <f>HYPERLINK("http://www.ofsted.gov.uk/inspection-reports/find-inspection-report/provider/ELS/130713 ","Ofsted Webpage")</f>
        <v>Ofsted Webpage</v>
      </c>
      <c r="B830" s="151">
        <v>130713</v>
      </c>
      <c r="C830" s="151">
        <v>10007977</v>
      </c>
      <c r="D830" s="46" t="s">
        <v>1654</v>
      </c>
      <c r="E830" s="26" t="s">
        <v>81</v>
      </c>
      <c r="F830" s="26" t="s">
        <v>82</v>
      </c>
      <c r="G830" s="26" t="s">
        <v>327</v>
      </c>
      <c r="H830" s="26" t="s">
        <v>193</v>
      </c>
      <c r="I830" s="26" t="s">
        <v>193</v>
      </c>
      <c r="J830" s="2" t="s">
        <v>72</v>
      </c>
      <c r="K830" s="141" t="s">
        <v>72</v>
      </c>
      <c r="L830" s="141">
        <v>10005120</v>
      </c>
      <c r="M830" s="26" t="s">
        <v>194</v>
      </c>
      <c r="N830" s="2">
        <v>42437</v>
      </c>
      <c r="O830" s="2">
        <v>42440</v>
      </c>
      <c r="P830" s="119">
        <v>42480</v>
      </c>
      <c r="Q830" s="6">
        <v>3</v>
      </c>
      <c r="R830" s="6">
        <v>3</v>
      </c>
      <c r="S830" s="6">
        <v>3</v>
      </c>
      <c r="T830" s="6">
        <v>3</v>
      </c>
      <c r="U830" s="6">
        <v>3</v>
      </c>
      <c r="V830" s="6" t="s">
        <v>1655</v>
      </c>
      <c r="W830" s="5">
        <v>41439</v>
      </c>
      <c r="X830" s="6">
        <v>3</v>
      </c>
      <c r="Y830" s="6">
        <v>3</v>
      </c>
      <c r="Z830" s="6">
        <v>3</v>
      </c>
      <c r="AA830" s="6" t="s">
        <v>178</v>
      </c>
      <c r="AB830" s="6">
        <v>3</v>
      </c>
      <c r="AC830" s="6" t="s">
        <v>180</v>
      </c>
    </row>
    <row r="831" spans="1:29" x14ac:dyDescent="0.25">
      <c r="A831" s="145" t="str">
        <f>HYPERLINK("http://www.ofsted.gov.uk/inspection-reports/find-inspection-report/provider/ELS/130714 ","Ofsted Webpage")</f>
        <v>Ofsted Webpage</v>
      </c>
      <c r="B831" s="151">
        <v>130714</v>
      </c>
      <c r="C831" s="151">
        <v>10003022</v>
      </c>
      <c r="D831" s="46" t="s">
        <v>1539</v>
      </c>
      <c r="E831" s="26" t="s">
        <v>87</v>
      </c>
      <c r="F831" s="26" t="s">
        <v>82</v>
      </c>
      <c r="G831" s="26" t="s">
        <v>455</v>
      </c>
      <c r="H831" s="26" t="s">
        <v>193</v>
      </c>
      <c r="I831" s="26" t="s">
        <v>193</v>
      </c>
      <c r="J831" s="2">
        <v>43020</v>
      </c>
      <c r="K831" s="141">
        <v>1</v>
      </c>
      <c r="L831" s="141" t="s">
        <v>1540</v>
      </c>
      <c r="M831" s="26" t="s">
        <v>194</v>
      </c>
      <c r="N831" s="2">
        <v>41548</v>
      </c>
      <c r="O831" s="2">
        <v>41551</v>
      </c>
      <c r="P831" s="119">
        <v>41596</v>
      </c>
      <c r="Q831" s="6">
        <v>2</v>
      </c>
      <c r="R831" s="6">
        <v>2</v>
      </c>
      <c r="S831" s="6">
        <v>2</v>
      </c>
      <c r="T831" s="120" t="s">
        <v>178</v>
      </c>
      <c r="U831" s="6">
        <v>1</v>
      </c>
      <c r="V831" s="6" t="s">
        <v>1541</v>
      </c>
      <c r="W831" s="5">
        <v>41047</v>
      </c>
      <c r="X831" s="6">
        <v>3</v>
      </c>
      <c r="Y831" s="6">
        <v>3</v>
      </c>
      <c r="Z831" s="6">
        <v>3</v>
      </c>
      <c r="AA831" s="6" t="s">
        <v>178</v>
      </c>
      <c r="AB831" s="6">
        <v>3</v>
      </c>
      <c r="AC831" s="6" t="s">
        <v>216</v>
      </c>
    </row>
    <row r="832" spans="1:29" x14ac:dyDescent="0.25">
      <c r="A832" s="145" t="str">
        <f>HYPERLINK("http://www.ofsted.gov.uk/inspection-reports/find-inspection-report/provider/ELS/130719 ","Ofsted Webpage")</f>
        <v>Ofsted Webpage</v>
      </c>
      <c r="B832" s="151">
        <v>130719</v>
      </c>
      <c r="C832" s="151">
        <v>10008025</v>
      </c>
      <c r="D832" s="46" t="s">
        <v>1542</v>
      </c>
      <c r="E832" s="26" t="s">
        <v>83</v>
      </c>
      <c r="F832" s="26" t="s">
        <v>82</v>
      </c>
      <c r="G832" s="26" t="s">
        <v>327</v>
      </c>
      <c r="H832" s="26" t="s">
        <v>193</v>
      </c>
      <c r="I832" s="26" t="s">
        <v>193</v>
      </c>
      <c r="J832" s="2">
        <v>42404</v>
      </c>
      <c r="K832" s="141">
        <v>1</v>
      </c>
      <c r="L832" s="141" t="s">
        <v>1543</v>
      </c>
      <c r="M832" s="26" t="s">
        <v>372</v>
      </c>
      <c r="N832" s="2">
        <v>41191</v>
      </c>
      <c r="O832" s="2">
        <v>41194</v>
      </c>
      <c r="P832" s="119">
        <v>41229</v>
      </c>
      <c r="Q832" s="6">
        <v>2</v>
      </c>
      <c r="R832" s="6">
        <v>2</v>
      </c>
      <c r="S832" s="6">
        <v>2</v>
      </c>
      <c r="T832" s="120" t="s">
        <v>178</v>
      </c>
      <c r="U832" s="6">
        <v>2</v>
      </c>
      <c r="V832" s="6" t="s">
        <v>1544</v>
      </c>
      <c r="W832" s="5">
        <v>39841</v>
      </c>
      <c r="X832" s="6">
        <v>2</v>
      </c>
      <c r="Y832" s="6">
        <v>2</v>
      </c>
      <c r="Z832" s="6">
        <v>2</v>
      </c>
      <c r="AA832" s="6" t="s">
        <v>178</v>
      </c>
      <c r="AB832" s="6">
        <v>2</v>
      </c>
      <c r="AC832" s="6" t="s">
        <v>180</v>
      </c>
    </row>
    <row r="833" spans="1:29" x14ac:dyDescent="0.25">
      <c r="A833" s="145" t="str">
        <f>HYPERLINK("http://www.ofsted.gov.uk/inspection-reports/find-inspection-report/provider/ELS/130720 ","Ofsted Webpage")</f>
        <v>Ofsted Webpage</v>
      </c>
      <c r="B833" s="151">
        <v>130720</v>
      </c>
      <c r="C833" s="151">
        <v>10007417</v>
      </c>
      <c r="D833" s="46" t="s">
        <v>1545</v>
      </c>
      <c r="E833" s="26" t="s">
        <v>81</v>
      </c>
      <c r="F833" s="26" t="s">
        <v>82</v>
      </c>
      <c r="G833" s="26" t="s">
        <v>1199</v>
      </c>
      <c r="H833" s="26" t="s">
        <v>287</v>
      </c>
      <c r="I833" s="26" t="s">
        <v>287</v>
      </c>
      <c r="J833" s="2" t="s">
        <v>72</v>
      </c>
      <c r="K833" s="141" t="s">
        <v>72</v>
      </c>
      <c r="L833" s="141">
        <v>10030784</v>
      </c>
      <c r="M833" s="26" t="s">
        <v>194</v>
      </c>
      <c r="N833" s="2">
        <v>42850</v>
      </c>
      <c r="O833" s="2">
        <v>42853</v>
      </c>
      <c r="P833" s="119">
        <v>42901</v>
      </c>
      <c r="Q833" s="6">
        <v>2</v>
      </c>
      <c r="R833" s="6">
        <v>2</v>
      </c>
      <c r="S833" s="6">
        <v>2</v>
      </c>
      <c r="T833" s="6">
        <v>2</v>
      </c>
      <c r="U833" s="6">
        <v>2</v>
      </c>
      <c r="V833" s="6" t="s">
        <v>1546</v>
      </c>
      <c r="W833" s="5">
        <v>40256</v>
      </c>
      <c r="X833" s="6">
        <v>1</v>
      </c>
      <c r="Y833" s="6">
        <v>2</v>
      </c>
      <c r="Z833" s="6">
        <v>2</v>
      </c>
      <c r="AA833" s="6" t="s">
        <v>178</v>
      </c>
      <c r="AB833" s="6">
        <v>1</v>
      </c>
      <c r="AC833" s="6" t="s">
        <v>201</v>
      </c>
    </row>
    <row r="834" spans="1:29" x14ac:dyDescent="0.25">
      <c r="A834" s="145" t="str">
        <f>HYPERLINK("http://www.ofsted.gov.uk/inspection-reports/find-inspection-report/provider/ELS/130721 ","Ofsted Webpage")</f>
        <v>Ofsted Webpage</v>
      </c>
      <c r="B834" s="151">
        <v>130721</v>
      </c>
      <c r="C834" s="151">
        <v>10004690</v>
      </c>
      <c r="D834" s="46" t="s">
        <v>1547</v>
      </c>
      <c r="E834" s="26" t="s">
        <v>81</v>
      </c>
      <c r="F834" s="26" t="s">
        <v>82</v>
      </c>
      <c r="G834" s="26" t="s">
        <v>1199</v>
      </c>
      <c r="H834" s="26" t="s">
        <v>287</v>
      </c>
      <c r="I834" s="26" t="s">
        <v>287</v>
      </c>
      <c r="J834" s="2" t="s">
        <v>72</v>
      </c>
      <c r="K834" s="141" t="s">
        <v>72</v>
      </c>
      <c r="L834" s="141">
        <v>10037405</v>
      </c>
      <c r="M834" s="26" t="s">
        <v>215</v>
      </c>
      <c r="N834" s="2">
        <v>43039</v>
      </c>
      <c r="O834" s="2">
        <v>43042</v>
      </c>
      <c r="P834" s="133">
        <v>43062</v>
      </c>
      <c r="Q834" s="6">
        <v>2</v>
      </c>
      <c r="R834" s="6">
        <v>2</v>
      </c>
      <c r="S834" s="6">
        <v>2</v>
      </c>
      <c r="T834" s="6">
        <v>2</v>
      </c>
      <c r="U834" s="6">
        <v>2</v>
      </c>
      <c r="V834" s="6">
        <v>10011438</v>
      </c>
      <c r="W834" s="5">
        <v>42531</v>
      </c>
      <c r="X834" s="6">
        <v>3</v>
      </c>
      <c r="Y834" s="6">
        <v>3</v>
      </c>
      <c r="Z834" s="6">
        <v>3</v>
      </c>
      <c r="AA834" s="6">
        <v>3</v>
      </c>
      <c r="AB834" s="6">
        <v>2</v>
      </c>
      <c r="AC834" s="6" t="s">
        <v>216</v>
      </c>
    </row>
    <row r="835" spans="1:29" x14ac:dyDescent="0.25">
      <c r="A835" s="145" t="str">
        <f>HYPERLINK("http://www.ofsted.gov.uk/inspection-reports/find-inspection-report/provider/ELS/130722 ","Ofsted Webpage")</f>
        <v>Ofsted Webpage</v>
      </c>
      <c r="B835" s="151">
        <v>130722</v>
      </c>
      <c r="C835" s="151">
        <v>10003035</v>
      </c>
      <c r="D835" s="46" t="s">
        <v>1548</v>
      </c>
      <c r="E835" s="26" t="s">
        <v>81</v>
      </c>
      <c r="F835" s="26" t="s">
        <v>82</v>
      </c>
      <c r="G835" s="26" t="s">
        <v>1199</v>
      </c>
      <c r="H835" s="26" t="s">
        <v>287</v>
      </c>
      <c r="I835" s="26" t="s">
        <v>287</v>
      </c>
      <c r="J835" s="2" t="s">
        <v>72</v>
      </c>
      <c r="K835" s="141" t="s">
        <v>72</v>
      </c>
      <c r="L835" s="141">
        <v>10011439</v>
      </c>
      <c r="M835" s="26" t="s">
        <v>194</v>
      </c>
      <c r="N835" s="2">
        <v>42514</v>
      </c>
      <c r="O835" s="2">
        <v>42517</v>
      </c>
      <c r="P835" s="133">
        <v>42555</v>
      </c>
      <c r="Q835" s="6">
        <v>3</v>
      </c>
      <c r="R835" s="6">
        <v>3</v>
      </c>
      <c r="S835" s="6">
        <v>3</v>
      </c>
      <c r="T835" s="6">
        <v>3</v>
      </c>
      <c r="U835" s="6">
        <v>3</v>
      </c>
      <c r="V835" s="6" t="s">
        <v>1549</v>
      </c>
      <c r="W835" s="5">
        <v>41397</v>
      </c>
      <c r="X835" s="6">
        <v>2</v>
      </c>
      <c r="Y835" s="6">
        <v>3</v>
      </c>
      <c r="Z835" s="6">
        <v>2</v>
      </c>
      <c r="AA835" s="6" t="s">
        <v>178</v>
      </c>
      <c r="AB835" s="6">
        <v>2</v>
      </c>
      <c r="AC835" s="6" t="s">
        <v>201</v>
      </c>
    </row>
    <row r="836" spans="1:29" x14ac:dyDescent="0.25">
      <c r="A836" s="145" t="str">
        <f>HYPERLINK("http://www.ofsted.gov.uk/inspection-reports/find-inspection-report/provider/ELS/130723 ","Ofsted Webpage")</f>
        <v>Ofsted Webpage</v>
      </c>
      <c r="B836" s="151">
        <v>130723</v>
      </c>
      <c r="C836" s="151">
        <v>10004835</v>
      </c>
      <c r="D836" s="46" t="s">
        <v>1550</v>
      </c>
      <c r="E836" s="26" t="s">
        <v>81</v>
      </c>
      <c r="F836" s="26" t="s">
        <v>82</v>
      </c>
      <c r="G836" s="26" t="s">
        <v>1199</v>
      </c>
      <c r="H836" s="26" t="s">
        <v>287</v>
      </c>
      <c r="I836" s="26" t="s">
        <v>287</v>
      </c>
      <c r="J836" s="2">
        <v>42319</v>
      </c>
      <c r="K836" s="141">
        <v>1</v>
      </c>
      <c r="L836" s="141" t="s">
        <v>1551</v>
      </c>
      <c r="M836" s="26" t="s">
        <v>377</v>
      </c>
      <c r="N836" s="2">
        <v>40140</v>
      </c>
      <c r="O836" s="2">
        <v>40144</v>
      </c>
      <c r="P836" s="133">
        <v>40192</v>
      </c>
      <c r="Q836" s="6">
        <v>2</v>
      </c>
      <c r="R836" s="6">
        <v>2</v>
      </c>
      <c r="S836" s="6">
        <v>2</v>
      </c>
      <c r="T836" s="120" t="s">
        <v>178</v>
      </c>
      <c r="U836" s="6">
        <v>2</v>
      </c>
      <c r="V836" s="6" t="s">
        <v>1552</v>
      </c>
      <c r="W836" s="5">
        <v>38646</v>
      </c>
      <c r="X836" s="6">
        <v>3</v>
      </c>
      <c r="Y836" s="6">
        <v>3</v>
      </c>
      <c r="Z836" s="6">
        <v>3</v>
      </c>
      <c r="AA836" s="6" t="s">
        <v>178</v>
      </c>
      <c r="AB836" s="6">
        <v>3</v>
      </c>
      <c r="AC836" s="6" t="s">
        <v>216</v>
      </c>
    </row>
    <row r="837" spans="1:29" x14ac:dyDescent="0.25">
      <c r="A837" s="145" t="str">
        <f>HYPERLINK("http://www.ofsted.gov.uk/inspection-reports/find-inspection-report/provider/ELS/130724 ","Ofsted Webpage")</f>
        <v>Ofsted Webpage</v>
      </c>
      <c r="B837" s="151">
        <v>130724</v>
      </c>
      <c r="C837" s="151">
        <v>10003406</v>
      </c>
      <c r="D837" s="46" t="s">
        <v>1740</v>
      </c>
      <c r="E837" s="26" t="s">
        <v>81</v>
      </c>
      <c r="F837" s="26" t="s">
        <v>82</v>
      </c>
      <c r="G837" s="26" t="s">
        <v>458</v>
      </c>
      <c r="H837" s="26" t="s">
        <v>219</v>
      </c>
      <c r="I837" s="26" t="s">
        <v>219</v>
      </c>
      <c r="J837" s="2" t="s">
        <v>72</v>
      </c>
      <c r="K837" s="141" t="s">
        <v>72</v>
      </c>
      <c r="L837" s="141">
        <v>10030828</v>
      </c>
      <c r="M837" s="26" t="s">
        <v>194</v>
      </c>
      <c r="N837" s="2">
        <v>42878</v>
      </c>
      <c r="O837" s="2">
        <v>42881</v>
      </c>
      <c r="P837" s="133">
        <v>42916</v>
      </c>
      <c r="Q837" s="6">
        <v>2</v>
      </c>
      <c r="R837" s="6">
        <v>2</v>
      </c>
      <c r="S837" s="6">
        <v>2</v>
      </c>
      <c r="T837" s="6">
        <v>2</v>
      </c>
      <c r="U837" s="6">
        <v>2</v>
      </c>
      <c r="V837" s="6" t="s">
        <v>1741</v>
      </c>
      <c r="W837" s="5">
        <v>39206</v>
      </c>
      <c r="X837" s="6">
        <v>1</v>
      </c>
      <c r="Y837" s="6">
        <v>1</v>
      </c>
      <c r="Z837" s="6">
        <v>2</v>
      </c>
      <c r="AA837" s="6" t="s">
        <v>178</v>
      </c>
      <c r="AB837" s="6">
        <v>1</v>
      </c>
      <c r="AC837" s="6" t="s">
        <v>201</v>
      </c>
    </row>
    <row r="838" spans="1:29" x14ac:dyDescent="0.25">
      <c r="A838" s="145" t="str">
        <f>HYPERLINK("http://www.ofsted.gov.uk/inspection-reports/find-inspection-report/provider/ELS/130725 ","Ofsted Webpage")</f>
        <v>Ofsted Webpage</v>
      </c>
      <c r="B838" s="151">
        <v>130725</v>
      </c>
      <c r="C838" s="151">
        <v>10004721</v>
      </c>
      <c r="D838" s="46" t="s">
        <v>1742</v>
      </c>
      <c r="E838" s="26" t="s">
        <v>81</v>
      </c>
      <c r="F838" s="26" t="s">
        <v>82</v>
      </c>
      <c r="G838" s="26" t="s">
        <v>218</v>
      </c>
      <c r="H838" s="26" t="s">
        <v>219</v>
      </c>
      <c r="I838" s="26" t="s">
        <v>219</v>
      </c>
      <c r="J838" s="2" t="s">
        <v>72</v>
      </c>
      <c r="K838" s="141" t="s">
        <v>72</v>
      </c>
      <c r="L838" s="141" t="s">
        <v>1743</v>
      </c>
      <c r="M838" s="26" t="s">
        <v>194</v>
      </c>
      <c r="N838" s="2">
        <v>41680</v>
      </c>
      <c r="O838" s="2">
        <v>41684</v>
      </c>
      <c r="P838" s="133">
        <v>41719</v>
      </c>
      <c r="Q838" s="6">
        <v>2</v>
      </c>
      <c r="R838" s="6">
        <v>2</v>
      </c>
      <c r="S838" s="6">
        <v>2</v>
      </c>
      <c r="T838" s="120" t="s">
        <v>178</v>
      </c>
      <c r="U838" s="6">
        <v>2</v>
      </c>
      <c r="V838" s="6" t="s">
        <v>1744</v>
      </c>
      <c r="W838" s="5">
        <v>40508</v>
      </c>
      <c r="X838" s="6">
        <v>3</v>
      </c>
      <c r="Y838" s="6">
        <v>3</v>
      </c>
      <c r="Z838" s="6">
        <v>3</v>
      </c>
      <c r="AA838" s="6" t="s">
        <v>178</v>
      </c>
      <c r="AB838" s="6">
        <v>3</v>
      </c>
      <c r="AC838" s="6" t="s">
        <v>216</v>
      </c>
    </row>
    <row r="839" spans="1:29" x14ac:dyDescent="0.25">
      <c r="A839" s="145" t="str">
        <f>HYPERLINK("http://www.ofsted.gov.uk/inspection-reports/find-inspection-report/provider/ELS/130726 ","Ofsted Webpage")</f>
        <v>Ofsted Webpage</v>
      </c>
      <c r="B839" s="151">
        <v>130726</v>
      </c>
      <c r="C839" s="151">
        <v>10004340</v>
      </c>
      <c r="D839" s="46" t="s">
        <v>1745</v>
      </c>
      <c r="E839" s="26" t="s">
        <v>81</v>
      </c>
      <c r="F839" s="26" t="s">
        <v>82</v>
      </c>
      <c r="G839" s="26" t="s">
        <v>302</v>
      </c>
      <c r="H839" s="26" t="s">
        <v>219</v>
      </c>
      <c r="I839" s="26" t="s">
        <v>219</v>
      </c>
      <c r="J839" s="2" t="s">
        <v>72</v>
      </c>
      <c r="K839" s="141" t="s">
        <v>72</v>
      </c>
      <c r="L839" s="141">
        <v>10022524</v>
      </c>
      <c r="M839" s="26" t="s">
        <v>215</v>
      </c>
      <c r="N839" s="2">
        <v>42766</v>
      </c>
      <c r="O839" s="2">
        <v>42769</v>
      </c>
      <c r="P839" s="133">
        <v>42797</v>
      </c>
      <c r="Q839" s="6">
        <v>3</v>
      </c>
      <c r="R839" s="6">
        <v>3</v>
      </c>
      <c r="S839" s="6">
        <v>3</v>
      </c>
      <c r="T839" s="6">
        <v>3</v>
      </c>
      <c r="U839" s="6">
        <v>3</v>
      </c>
      <c r="V839" s="6" t="s">
        <v>1746</v>
      </c>
      <c r="W839" s="5">
        <v>42069</v>
      </c>
      <c r="X839" s="6">
        <v>3</v>
      </c>
      <c r="Y839" s="6">
        <v>3</v>
      </c>
      <c r="Z839" s="6">
        <v>3</v>
      </c>
      <c r="AA839" s="6" t="s">
        <v>178</v>
      </c>
      <c r="AB839" s="6">
        <v>3</v>
      </c>
      <c r="AC839" s="6" t="s">
        <v>180</v>
      </c>
    </row>
    <row r="840" spans="1:29" x14ac:dyDescent="0.25">
      <c r="A840" s="145" t="str">
        <f>HYPERLINK("http://www.ofsted.gov.uk/inspection-reports/find-inspection-report/provider/ELS/130727 ","Ofsted Webpage")</f>
        <v>Ofsted Webpage</v>
      </c>
      <c r="B840" s="151">
        <v>130727</v>
      </c>
      <c r="C840" s="151">
        <v>10007419</v>
      </c>
      <c r="D840" s="46" t="s">
        <v>1747</v>
      </c>
      <c r="E840" s="26" t="s">
        <v>81</v>
      </c>
      <c r="F840" s="26" t="s">
        <v>82</v>
      </c>
      <c r="G840" s="26" t="s">
        <v>218</v>
      </c>
      <c r="H840" s="26" t="s">
        <v>219</v>
      </c>
      <c r="I840" s="26" t="s">
        <v>219</v>
      </c>
      <c r="J840" s="2" t="s">
        <v>72</v>
      </c>
      <c r="K840" s="141" t="s">
        <v>72</v>
      </c>
      <c r="L840" s="141">
        <v>10004755</v>
      </c>
      <c r="M840" s="26" t="s">
        <v>194</v>
      </c>
      <c r="N840" s="2">
        <v>42794</v>
      </c>
      <c r="O840" s="2">
        <v>42797</v>
      </c>
      <c r="P840" s="133">
        <v>42825</v>
      </c>
      <c r="Q840" s="6">
        <v>3</v>
      </c>
      <c r="R840" s="6">
        <v>3</v>
      </c>
      <c r="S840" s="6">
        <v>3</v>
      </c>
      <c r="T840" s="6">
        <v>3</v>
      </c>
      <c r="U840" s="6">
        <v>3</v>
      </c>
      <c r="V840" s="6" t="s">
        <v>1748</v>
      </c>
      <c r="W840" s="5">
        <v>41586</v>
      </c>
      <c r="X840" s="6">
        <v>4</v>
      </c>
      <c r="Y840" s="6">
        <v>4</v>
      </c>
      <c r="Z840" s="6">
        <v>4</v>
      </c>
      <c r="AA840" s="6" t="s">
        <v>178</v>
      </c>
      <c r="AB840" s="6">
        <v>4</v>
      </c>
      <c r="AC840" s="6" t="s">
        <v>216</v>
      </c>
    </row>
    <row r="841" spans="1:29" x14ac:dyDescent="0.25">
      <c r="A841" s="145" t="str">
        <f>HYPERLINK("http://www.ofsted.gov.uk/inspection-reports/find-inspection-report/provider/ELS/130728 ","Ofsted Webpage")</f>
        <v>Ofsted Webpage</v>
      </c>
      <c r="B841" s="151">
        <v>130728</v>
      </c>
      <c r="C841" s="151">
        <v>10006570</v>
      </c>
      <c r="D841" s="46" t="s">
        <v>1749</v>
      </c>
      <c r="E841" s="26" t="s">
        <v>81</v>
      </c>
      <c r="F841" s="26" t="s">
        <v>82</v>
      </c>
      <c r="G841" s="26" t="s">
        <v>218</v>
      </c>
      <c r="H841" s="26" t="s">
        <v>219</v>
      </c>
      <c r="I841" s="26" t="s">
        <v>219</v>
      </c>
      <c r="J841" s="2" t="s">
        <v>72</v>
      </c>
      <c r="K841" s="141" t="s">
        <v>72</v>
      </c>
      <c r="L841" s="141">
        <v>10022518</v>
      </c>
      <c r="M841" s="26" t="s">
        <v>194</v>
      </c>
      <c r="N841" s="2">
        <v>42759</v>
      </c>
      <c r="O841" s="2">
        <v>42762</v>
      </c>
      <c r="P841" s="133">
        <v>42800</v>
      </c>
      <c r="Q841" s="6">
        <v>2</v>
      </c>
      <c r="R841" s="6">
        <v>2</v>
      </c>
      <c r="S841" s="6">
        <v>2</v>
      </c>
      <c r="T841" s="6">
        <v>1</v>
      </c>
      <c r="U841" s="6">
        <v>1</v>
      </c>
      <c r="V841" s="6" t="s">
        <v>1750</v>
      </c>
      <c r="W841" s="5">
        <v>41341</v>
      </c>
      <c r="X841" s="6">
        <v>2</v>
      </c>
      <c r="Y841" s="6">
        <v>2</v>
      </c>
      <c r="Z841" s="6">
        <v>2</v>
      </c>
      <c r="AA841" s="6" t="s">
        <v>178</v>
      </c>
      <c r="AB841" s="6">
        <v>1</v>
      </c>
      <c r="AC841" s="6" t="s">
        <v>180</v>
      </c>
    </row>
    <row r="842" spans="1:29" x14ac:dyDescent="0.25">
      <c r="A842" s="145" t="str">
        <f>HYPERLINK("http://www.ofsted.gov.uk/inspection-reports/find-inspection-report/provider/ELS/130730 ","Ofsted Webpage")</f>
        <v>Ofsted Webpage</v>
      </c>
      <c r="B842" s="151">
        <v>130730</v>
      </c>
      <c r="C842" s="151">
        <v>10001144</v>
      </c>
      <c r="D842" s="46" t="s">
        <v>1751</v>
      </c>
      <c r="E842" s="26" t="s">
        <v>81</v>
      </c>
      <c r="F842" s="26" t="s">
        <v>82</v>
      </c>
      <c r="G842" s="26" t="s">
        <v>218</v>
      </c>
      <c r="H842" s="26" t="s">
        <v>219</v>
      </c>
      <c r="I842" s="26" t="s">
        <v>219</v>
      </c>
      <c r="J842" s="2" t="s">
        <v>72</v>
      </c>
      <c r="K842" s="141" t="s">
        <v>72</v>
      </c>
      <c r="L842" s="141">
        <v>10022516</v>
      </c>
      <c r="M842" s="26" t="s">
        <v>1011</v>
      </c>
      <c r="N842" s="2">
        <v>42794</v>
      </c>
      <c r="O842" s="2">
        <v>42797</v>
      </c>
      <c r="P842" s="133">
        <v>42822</v>
      </c>
      <c r="Q842" s="6">
        <v>2</v>
      </c>
      <c r="R842" s="6">
        <v>2</v>
      </c>
      <c r="S842" s="6">
        <v>2</v>
      </c>
      <c r="T842" s="6">
        <v>2</v>
      </c>
      <c r="U842" s="6">
        <v>2</v>
      </c>
      <c r="V842" s="6" t="s">
        <v>1752</v>
      </c>
      <c r="W842" s="5">
        <v>42139</v>
      </c>
      <c r="X842" s="6">
        <v>3</v>
      </c>
      <c r="Y842" s="6">
        <v>3</v>
      </c>
      <c r="Z842" s="6">
        <v>3</v>
      </c>
      <c r="AA842" s="6" t="s">
        <v>178</v>
      </c>
      <c r="AB842" s="6">
        <v>3</v>
      </c>
      <c r="AC842" s="6" t="s">
        <v>216</v>
      </c>
    </row>
    <row r="843" spans="1:29" x14ac:dyDescent="0.25">
      <c r="A843" s="145" t="str">
        <f>HYPERLINK("http://www.ofsted.gov.uk/inspection-reports/find-inspection-report/provider/ELS/130733 ","Ofsted Webpage")</f>
        <v>Ofsted Webpage</v>
      </c>
      <c r="B843" s="151">
        <v>130733</v>
      </c>
      <c r="C843" s="151">
        <v>10002843</v>
      </c>
      <c r="D843" s="46" t="s">
        <v>1981</v>
      </c>
      <c r="E843" s="26" t="s">
        <v>87</v>
      </c>
      <c r="F843" s="26" t="s">
        <v>82</v>
      </c>
      <c r="G843" s="26" t="s">
        <v>218</v>
      </c>
      <c r="H843" s="26" t="s">
        <v>219</v>
      </c>
      <c r="I843" s="26" t="s">
        <v>219</v>
      </c>
      <c r="J843" s="2" t="s">
        <v>72</v>
      </c>
      <c r="K843" s="141" t="s">
        <v>72</v>
      </c>
      <c r="L843" s="141" t="s">
        <v>1982</v>
      </c>
      <c r="M843" s="26" t="s">
        <v>369</v>
      </c>
      <c r="N843" s="2">
        <v>40336</v>
      </c>
      <c r="O843" s="2">
        <v>40340</v>
      </c>
      <c r="P843" s="133">
        <v>40375</v>
      </c>
      <c r="Q843" s="6">
        <v>1</v>
      </c>
      <c r="R843" s="6">
        <v>1</v>
      </c>
      <c r="S843" s="6">
        <v>2</v>
      </c>
      <c r="T843" s="120" t="s">
        <v>178</v>
      </c>
      <c r="U843" s="6">
        <v>1</v>
      </c>
      <c r="V843" s="6" t="s">
        <v>1983</v>
      </c>
      <c r="W843" s="5">
        <v>38695</v>
      </c>
      <c r="X843" s="6">
        <v>2</v>
      </c>
      <c r="Y843" s="6">
        <v>2</v>
      </c>
      <c r="Z843" s="6">
        <v>3</v>
      </c>
      <c r="AA843" s="6" t="s">
        <v>178</v>
      </c>
      <c r="AB843" s="6">
        <v>2</v>
      </c>
      <c r="AC843" s="6" t="s">
        <v>216</v>
      </c>
    </row>
    <row r="844" spans="1:29" x14ac:dyDescent="0.25">
      <c r="A844" s="145" t="str">
        <f>HYPERLINK("http://www.ofsted.gov.uk/inspection-reports/find-inspection-report/provider/ELS/130734 ","Ofsted Webpage")</f>
        <v>Ofsted Webpage</v>
      </c>
      <c r="B844" s="151">
        <v>130734</v>
      </c>
      <c r="C844" s="151">
        <v>10000093</v>
      </c>
      <c r="D844" s="46" t="s">
        <v>1984</v>
      </c>
      <c r="E844" s="26" t="s">
        <v>81</v>
      </c>
      <c r="F844" s="26" t="s">
        <v>82</v>
      </c>
      <c r="G844" s="26" t="s">
        <v>851</v>
      </c>
      <c r="H844" s="26" t="s">
        <v>238</v>
      </c>
      <c r="I844" s="26" t="s">
        <v>238</v>
      </c>
      <c r="J844" s="2" t="s">
        <v>72</v>
      </c>
      <c r="K844" s="141" t="s">
        <v>72</v>
      </c>
      <c r="L844" s="141">
        <v>10011562</v>
      </c>
      <c r="M844" s="26" t="s">
        <v>194</v>
      </c>
      <c r="N844" s="2">
        <v>42500</v>
      </c>
      <c r="O844" s="2">
        <v>42503</v>
      </c>
      <c r="P844" s="133">
        <v>42535</v>
      </c>
      <c r="Q844" s="6">
        <v>3</v>
      </c>
      <c r="R844" s="6">
        <v>3</v>
      </c>
      <c r="S844" s="6">
        <v>3</v>
      </c>
      <c r="T844" s="6">
        <v>3</v>
      </c>
      <c r="U844" s="6">
        <v>3</v>
      </c>
      <c r="V844" s="6" t="s">
        <v>1985</v>
      </c>
      <c r="W844" s="5">
        <v>39885</v>
      </c>
      <c r="X844" s="6">
        <v>1</v>
      </c>
      <c r="Y844" s="6">
        <v>1</v>
      </c>
      <c r="Z844" s="6">
        <v>1</v>
      </c>
      <c r="AA844" s="6" t="s">
        <v>178</v>
      </c>
      <c r="AB844" s="6">
        <v>1</v>
      </c>
      <c r="AC844" s="6" t="s">
        <v>201</v>
      </c>
    </row>
    <row r="845" spans="1:29" x14ac:dyDescent="0.25">
      <c r="A845" s="145" t="str">
        <f>HYPERLINK("http://www.ofsted.gov.uk/inspection-reports/find-inspection-report/provider/ELS/130735 ","Ofsted Webpage")</f>
        <v>Ofsted Webpage</v>
      </c>
      <c r="B845" s="151">
        <v>130735</v>
      </c>
      <c r="C845" s="151">
        <v>10001000</v>
      </c>
      <c r="D845" s="46" t="s">
        <v>1986</v>
      </c>
      <c r="E845" s="26" t="s">
        <v>81</v>
      </c>
      <c r="F845" s="26" t="s">
        <v>82</v>
      </c>
      <c r="G845" s="26" t="s">
        <v>851</v>
      </c>
      <c r="H845" s="26" t="s">
        <v>238</v>
      </c>
      <c r="I845" s="26" t="s">
        <v>238</v>
      </c>
      <c r="J845" s="2" t="s">
        <v>72</v>
      </c>
      <c r="K845" s="141" t="s">
        <v>72</v>
      </c>
      <c r="L845" s="141" t="s">
        <v>1987</v>
      </c>
      <c r="M845" s="26" t="s">
        <v>369</v>
      </c>
      <c r="N845" s="2">
        <v>39888</v>
      </c>
      <c r="O845" s="2">
        <v>39892</v>
      </c>
      <c r="P845" s="133">
        <v>39948</v>
      </c>
      <c r="Q845" s="6">
        <v>1</v>
      </c>
      <c r="R845" s="6">
        <v>1</v>
      </c>
      <c r="S845" s="6">
        <v>1</v>
      </c>
      <c r="T845" s="120" t="s">
        <v>178</v>
      </c>
      <c r="U845" s="6">
        <v>1</v>
      </c>
      <c r="V845" s="6" t="s">
        <v>72</v>
      </c>
      <c r="W845" s="5" t="s">
        <v>72</v>
      </c>
      <c r="X845" s="6" t="s">
        <v>72</v>
      </c>
      <c r="Y845" s="6" t="s">
        <v>72</v>
      </c>
      <c r="Z845" s="6" t="s">
        <v>72</v>
      </c>
      <c r="AA845" s="6" t="s">
        <v>72</v>
      </c>
      <c r="AB845" s="6" t="s">
        <v>72</v>
      </c>
      <c r="AC845" s="6" t="s">
        <v>208</v>
      </c>
    </row>
    <row r="846" spans="1:29" x14ac:dyDescent="0.25">
      <c r="A846" s="145" t="str">
        <f>HYPERLINK("http://www.ofsted.gov.uk/inspection-reports/find-inspection-report/provider/ELS/130736 ","Ofsted Webpage")</f>
        <v>Ofsted Webpage</v>
      </c>
      <c r="B846" s="151">
        <v>130736</v>
      </c>
      <c r="C846" s="151">
        <v>10000747</v>
      </c>
      <c r="D846" s="46" t="s">
        <v>1988</v>
      </c>
      <c r="E846" s="26" t="s">
        <v>81</v>
      </c>
      <c r="F846" s="26" t="s">
        <v>82</v>
      </c>
      <c r="G846" s="26" t="s">
        <v>1254</v>
      </c>
      <c r="H846" s="26" t="s">
        <v>238</v>
      </c>
      <c r="I846" s="26" t="s">
        <v>238</v>
      </c>
      <c r="J846" s="2" t="s">
        <v>72</v>
      </c>
      <c r="K846" s="141" t="s">
        <v>72</v>
      </c>
      <c r="L846" s="141">
        <v>10020109</v>
      </c>
      <c r="M846" s="26" t="s">
        <v>194</v>
      </c>
      <c r="N846" s="2">
        <v>42808</v>
      </c>
      <c r="O846" s="2">
        <v>42811</v>
      </c>
      <c r="P846" s="133">
        <v>42859</v>
      </c>
      <c r="Q846" s="6">
        <v>3</v>
      </c>
      <c r="R846" s="6">
        <v>3</v>
      </c>
      <c r="S846" s="6">
        <v>3</v>
      </c>
      <c r="T846" s="6">
        <v>3</v>
      </c>
      <c r="U846" s="6">
        <v>3</v>
      </c>
      <c r="V846" s="6" t="s">
        <v>1989</v>
      </c>
      <c r="W846" s="5">
        <v>39402</v>
      </c>
      <c r="X846" s="6">
        <v>1</v>
      </c>
      <c r="Y846" s="6">
        <v>1</v>
      </c>
      <c r="Z846" s="6">
        <v>1</v>
      </c>
      <c r="AA846" s="6" t="s">
        <v>178</v>
      </c>
      <c r="AB846" s="6">
        <v>1</v>
      </c>
      <c r="AC846" s="6" t="s">
        <v>201</v>
      </c>
    </row>
    <row r="847" spans="1:29" x14ac:dyDescent="0.25">
      <c r="A847" s="145" t="str">
        <f>HYPERLINK("http://www.ofsted.gov.uk/inspection-reports/find-inspection-report/provider/ELS/130737 ","Ofsted Webpage")</f>
        <v>Ofsted Webpage</v>
      </c>
      <c r="B847" s="151">
        <v>130737</v>
      </c>
      <c r="C847" s="151">
        <v>10003768</v>
      </c>
      <c r="D847" s="46" t="s">
        <v>1990</v>
      </c>
      <c r="E847" s="26" t="s">
        <v>81</v>
      </c>
      <c r="F847" s="26" t="s">
        <v>82</v>
      </c>
      <c r="G847" s="26" t="s">
        <v>851</v>
      </c>
      <c r="H847" s="26" t="s">
        <v>238</v>
      </c>
      <c r="I847" s="26" t="s">
        <v>238</v>
      </c>
      <c r="J847" s="2" t="s">
        <v>72</v>
      </c>
      <c r="K847" s="141" t="s">
        <v>72</v>
      </c>
      <c r="L847" s="141">
        <v>10017527</v>
      </c>
      <c r="M847" s="26" t="s">
        <v>194</v>
      </c>
      <c r="N847" s="2">
        <v>42507</v>
      </c>
      <c r="O847" s="2">
        <v>42510</v>
      </c>
      <c r="P847" s="133">
        <v>42538</v>
      </c>
      <c r="Q847" s="6">
        <v>3</v>
      </c>
      <c r="R847" s="6">
        <v>3</v>
      </c>
      <c r="S847" s="6">
        <v>3</v>
      </c>
      <c r="T847" s="6">
        <v>3</v>
      </c>
      <c r="U847" s="6">
        <v>3</v>
      </c>
      <c r="V847" s="6" t="s">
        <v>1991</v>
      </c>
      <c r="W847" s="5">
        <v>41257</v>
      </c>
      <c r="X847" s="6">
        <v>2</v>
      </c>
      <c r="Y847" s="6">
        <v>2</v>
      </c>
      <c r="Z847" s="6">
        <v>2</v>
      </c>
      <c r="AA847" s="6" t="s">
        <v>178</v>
      </c>
      <c r="AB847" s="6">
        <v>2</v>
      </c>
      <c r="AC847" s="6" t="s">
        <v>201</v>
      </c>
    </row>
    <row r="848" spans="1:29" x14ac:dyDescent="0.25">
      <c r="A848" s="145" t="str">
        <f>HYPERLINK("http://www.ofsted.gov.uk/inspection-reports/find-inspection-report/provider/ELS/130738 ","Ofsted Webpage")</f>
        <v>Ofsted Webpage</v>
      </c>
      <c r="B848" s="151">
        <v>130738</v>
      </c>
      <c r="C848" s="151">
        <v>10004552</v>
      </c>
      <c r="D848" s="46" t="s">
        <v>1992</v>
      </c>
      <c r="E848" s="26" t="s">
        <v>81</v>
      </c>
      <c r="F848" s="26" t="s">
        <v>82</v>
      </c>
      <c r="G848" s="26" t="s">
        <v>851</v>
      </c>
      <c r="H848" s="26" t="s">
        <v>238</v>
      </c>
      <c r="I848" s="26" t="s">
        <v>238</v>
      </c>
      <c r="J848" s="2" t="s">
        <v>72</v>
      </c>
      <c r="K848" s="141" t="s">
        <v>72</v>
      </c>
      <c r="L848" s="141" t="s">
        <v>1993</v>
      </c>
      <c r="M848" s="26" t="s">
        <v>369</v>
      </c>
      <c r="N848" s="2">
        <v>39567</v>
      </c>
      <c r="O848" s="2">
        <v>39568</v>
      </c>
      <c r="P848" s="133">
        <v>39619</v>
      </c>
      <c r="Q848" s="6">
        <v>1</v>
      </c>
      <c r="R848" s="6">
        <v>2</v>
      </c>
      <c r="S848" s="6">
        <v>1</v>
      </c>
      <c r="T848" s="120" t="s">
        <v>178</v>
      </c>
      <c r="U848" s="6">
        <v>1</v>
      </c>
      <c r="V848" s="6" t="s">
        <v>72</v>
      </c>
      <c r="W848" s="5" t="s">
        <v>72</v>
      </c>
      <c r="X848" s="6" t="s">
        <v>72</v>
      </c>
      <c r="Y848" s="6" t="s">
        <v>72</v>
      </c>
      <c r="Z848" s="6" t="s">
        <v>72</v>
      </c>
      <c r="AA848" s="6" t="s">
        <v>72</v>
      </c>
      <c r="AB848" s="6" t="s">
        <v>72</v>
      </c>
      <c r="AC848" s="6" t="s">
        <v>208</v>
      </c>
    </row>
    <row r="849" spans="1:29" x14ac:dyDescent="0.25">
      <c r="A849" s="145" t="str">
        <f>HYPERLINK("http://www.ofsted.gov.uk/inspection-reports/find-inspection-report/provider/ELS/130739 ","Ofsted Webpage")</f>
        <v>Ofsted Webpage</v>
      </c>
      <c r="B849" s="151">
        <v>130739</v>
      </c>
      <c r="C849" s="151">
        <v>10000754</v>
      </c>
      <c r="D849" s="46" t="s">
        <v>2091</v>
      </c>
      <c r="E849" s="26" t="s">
        <v>81</v>
      </c>
      <c r="F849" s="26" t="s">
        <v>82</v>
      </c>
      <c r="G849" s="26" t="s">
        <v>1258</v>
      </c>
      <c r="H849" s="26" t="s">
        <v>238</v>
      </c>
      <c r="I849" s="26" t="s">
        <v>238</v>
      </c>
      <c r="J849" s="2" t="s">
        <v>72</v>
      </c>
      <c r="K849" s="141" t="s">
        <v>72</v>
      </c>
      <c r="L849" s="141" t="s">
        <v>2092</v>
      </c>
      <c r="M849" s="26" t="s">
        <v>194</v>
      </c>
      <c r="N849" s="2">
        <v>41554</v>
      </c>
      <c r="O849" s="2">
        <v>41558</v>
      </c>
      <c r="P849" s="133">
        <v>41593</v>
      </c>
      <c r="Q849" s="6">
        <v>1</v>
      </c>
      <c r="R849" s="6">
        <v>1</v>
      </c>
      <c r="S849" s="6">
        <v>1</v>
      </c>
      <c r="T849" s="120" t="s">
        <v>178</v>
      </c>
      <c r="U849" s="6">
        <v>1</v>
      </c>
      <c r="V849" s="6" t="s">
        <v>2093</v>
      </c>
      <c r="W849" s="5">
        <v>39415</v>
      </c>
      <c r="X849" s="6">
        <v>2</v>
      </c>
      <c r="Y849" s="6">
        <v>2</v>
      </c>
      <c r="Z849" s="6">
        <v>2</v>
      </c>
      <c r="AA849" s="6" t="s">
        <v>178</v>
      </c>
      <c r="AB849" s="6">
        <v>2</v>
      </c>
      <c r="AC849" s="6" t="s">
        <v>216</v>
      </c>
    </row>
    <row r="850" spans="1:29" x14ac:dyDescent="0.25">
      <c r="A850" s="145" t="str">
        <f>HYPERLINK("http://www.ofsted.gov.uk/inspection-reports/find-inspection-report/provider/ELS/130740 ","Ofsted Webpage")</f>
        <v>Ofsted Webpage</v>
      </c>
      <c r="B850" s="151">
        <v>130740</v>
      </c>
      <c r="C850" s="151">
        <v>10005200</v>
      </c>
      <c r="D850" s="46" t="s">
        <v>2094</v>
      </c>
      <c r="E850" s="26" t="s">
        <v>81</v>
      </c>
      <c r="F850" s="26" t="s">
        <v>82</v>
      </c>
      <c r="G850" s="26" t="s">
        <v>851</v>
      </c>
      <c r="H850" s="26" t="s">
        <v>238</v>
      </c>
      <c r="I850" s="26" t="s">
        <v>238</v>
      </c>
      <c r="J850" s="2" t="s">
        <v>72</v>
      </c>
      <c r="K850" s="141" t="s">
        <v>72</v>
      </c>
      <c r="L850" s="141">
        <v>10020189</v>
      </c>
      <c r="M850" s="26" t="s">
        <v>194</v>
      </c>
      <c r="N850" s="2">
        <v>42703</v>
      </c>
      <c r="O850" s="2">
        <v>42706</v>
      </c>
      <c r="P850" s="133">
        <v>42747</v>
      </c>
      <c r="Q850" s="6">
        <v>3</v>
      </c>
      <c r="R850" s="6">
        <v>3</v>
      </c>
      <c r="S850" s="6">
        <v>3</v>
      </c>
      <c r="T850" s="6">
        <v>3</v>
      </c>
      <c r="U850" s="6">
        <v>3</v>
      </c>
      <c r="V850" s="6" t="s">
        <v>2095</v>
      </c>
      <c r="W850" s="5">
        <v>41593</v>
      </c>
      <c r="X850" s="6">
        <v>2</v>
      </c>
      <c r="Y850" s="6">
        <v>2</v>
      </c>
      <c r="Z850" s="6">
        <v>2</v>
      </c>
      <c r="AA850" s="6" t="s">
        <v>178</v>
      </c>
      <c r="AB850" s="6">
        <v>2</v>
      </c>
      <c r="AC850" s="6" t="s">
        <v>201</v>
      </c>
    </row>
    <row r="851" spans="1:29" x14ac:dyDescent="0.25">
      <c r="A851" s="145" t="str">
        <f>HYPERLINK("http://www.ofsted.gov.uk/inspection-reports/find-inspection-report/provider/ELS/130741 ","Ofsted Webpage")</f>
        <v>Ofsted Webpage</v>
      </c>
      <c r="B851" s="151">
        <v>130741</v>
      </c>
      <c r="C851" s="151">
        <v>10005575</v>
      </c>
      <c r="D851" s="46" t="s">
        <v>2096</v>
      </c>
      <c r="E851" s="26" t="s">
        <v>81</v>
      </c>
      <c r="F851" s="26" t="s">
        <v>82</v>
      </c>
      <c r="G851" s="26" t="s">
        <v>851</v>
      </c>
      <c r="H851" s="26" t="s">
        <v>238</v>
      </c>
      <c r="I851" s="26" t="s">
        <v>238</v>
      </c>
      <c r="J851" s="2" t="s">
        <v>72</v>
      </c>
      <c r="K851" s="141" t="s">
        <v>72</v>
      </c>
      <c r="L851" s="141" t="s">
        <v>2097</v>
      </c>
      <c r="M851" s="26" t="s">
        <v>369</v>
      </c>
      <c r="N851" s="2">
        <v>39589</v>
      </c>
      <c r="O851" s="2">
        <v>39590</v>
      </c>
      <c r="P851" s="133">
        <v>39640</v>
      </c>
      <c r="Q851" s="6">
        <v>1</v>
      </c>
      <c r="R851" s="6">
        <v>1</v>
      </c>
      <c r="S851" s="6">
        <v>1</v>
      </c>
      <c r="T851" s="120" t="s">
        <v>178</v>
      </c>
      <c r="U851" s="6">
        <v>1</v>
      </c>
      <c r="V851" s="6" t="s">
        <v>72</v>
      </c>
      <c r="W851" s="5" t="s">
        <v>72</v>
      </c>
      <c r="X851" s="6" t="s">
        <v>72</v>
      </c>
      <c r="Y851" s="6" t="s">
        <v>72</v>
      </c>
      <c r="Z851" s="6" t="s">
        <v>72</v>
      </c>
      <c r="AA851" s="6" t="s">
        <v>72</v>
      </c>
      <c r="AB851" s="6" t="s">
        <v>72</v>
      </c>
      <c r="AC851" s="6" t="s">
        <v>208</v>
      </c>
    </row>
    <row r="852" spans="1:29" x14ac:dyDescent="0.25">
      <c r="A852" s="145" t="str">
        <f>HYPERLINK("http://www.ofsted.gov.uk/inspection-reports/find-inspection-report/provider/ELS/130743 ","Ofsted Webpage")</f>
        <v>Ofsted Webpage</v>
      </c>
      <c r="B852" s="151">
        <v>130743</v>
      </c>
      <c r="C852" s="151">
        <v>10004478</v>
      </c>
      <c r="D852" s="46" t="s">
        <v>2098</v>
      </c>
      <c r="E852" s="26" t="s">
        <v>87</v>
      </c>
      <c r="F852" s="26" t="s">
        <v>82</v>
      </c>
      <c r="G852" s="26" t="s">
        <v>851</v>
      </c>
      <c r="H852" s="26" t="s">
        <v>238</v>
      </c>
      <c r="I852" s="26" t="s">
        <v>238</v>
      </c>
      <c r="J852" s="2">
        <v>42796</v>
      </c>
      <c r="K852" s="141">
        <v>1</v>
      </c>
      <c r="L852" s="141" t="s">
        <v>2099</v>
      </c>
      <c r="M852" s="26" t="s">
        <v>194</v>
      </c>
      <c r="N852" s="2">
        <v>41428</v>
      </c>
      <c r="O852" s="2">
        <v>41432</v>
      </c>
      <c r="P852" s="133">
        <v>41465</v>
      </c>
      <c r="Q852" s="6">
        <v>2</v>
      </c>
      <c r="R852" s="6">
        <v>2</v>
      </c>
      <c r="S852" s="6">
        <v>2</v>
      </c>
      <c r="T852" s="120" t="s">
        <v>178</v>
      </c>
      <c r="U852" s="6">
        <v>2</v>
      </c>
      <c r="V852" s="6" t="s">
        <v>2100</v>
      </c>
      <c r="W852" s="5">
        <v>40326</v>
      </c>
      <c r="X852" s="6">
        <v>3</v>
      </c>
      <c r="Y852" s="6">
        <v>3</v>
      </c>
      <c r="Z852" s="6">
        <v>3</v>
      </c>
      <c r="AA852" s="6" t="s">
        <v>178</v>
      </c>
      <c r="AB852" s="6">
        <v>3</v>
      </c>
      <c r="AC852" s="6" t="s">
        <v>216</v>
      </c>
    </row>
    <row r="853" spans="1:29" x14ac:dyDescent="0.25">
      <c r="A853" s="145" t="str">
        <f>HYPERLINK("http://www.ofsted.gov.uk/inspection-reports/find-inspection-report/provider/ELS/130744 ","Ofsted Webpage")</f>
        <v>Ofsted Webpage</v>
      </c>
      <c r="B853" s="151">
        <v>130744</v>
      </c>
      <c r="C853" s="151">
        <v>10000756</v>
      </c>
      <c r="D853" s="46" t="s">
        <v>2101</v>
      </c>
      <c r="E853" s="26" t="s">
        <v>83</v>
      </c>
      <c r="F853" s="26" t="s">
        <v>82</v>
      </c>
      <c r="G853" s="26" t="s">
        <v>1258</v>
      </c>
      <c r="H853" s="26" t="s">
        <v>238</v>
      </c>
      <c r="I853" s="26" t="s">
        <v>238</v>
      </c>
      <c r="J853" s="2" t="s">
        <v>72</v>
      </c>
      <c r="K853" s="141" t="s">
        <v>72</v>
      </c>
      <c r="L853" s="141" t="s">
        <v>2102</v>
      </c>
      <c r="M853" s="26" t="s">
        <v>1102</v>
      </c>
      <c r="N853" s="2">
        <v>39944</v>
      </c>
      <c r="O853" s="2">
        <v>39948</v>
      </c>
      <c r="P853" s="133">
        <v>39983</v>
      </c>
      <c r="Q853" s="6">
        <v>1</v>
      </c>
      <c r="R853" s="6">
        <v>2</v>
      </c>
      <c r="S853" s="6">
        <v>1</v>
      </c>
      <c r="T853" s="120" t="s">
        <v>178</v>
      </c>
      <c r="U853" s="6">
        <v>1</v>
      </c>
      <c r="V853" s="6" t="s">
        <v>72</v>
      </c>
      <c r="W853" s="5" t="s">
        <v>72</v>
      </c>
      <c r="X853" s="6" t="s">
        <v>72</v>
      </c>
      <c r="Y853" s="6" t="s">
        <v>72</v>
      </c>
      <c r="Z853" s="6" t="s">
        <v>72</v>
      </c>
      <c r="AA853" s="6" t="s">
        <v>72</v>
      </c>
      <c r="AB853" s="6" t="s">
        <v>72</v>
      </c>
      <c r="AC853" s="6" t="s">
        <v>208</v>
      </c>
    </row>
    <row r="854" spans="1:29" x14ac:dyDescent="0.25">
      <c r="A854" s="145" t="str">
        <f>HYPERLINK("http://www.ofsted.gov.uk/inspection-reports/find-inspection-report/provider/ELS/130745 ","Ofsted Webpage")</f>
        <v>Ofsted Webpage</v>
      </c>
      <c r="B854" s="151">
        <v>130745</v>
      </c>
      <c r="C854" s="151">
        <v>10001165</v>
      </c>
      <c r="D854" s="46" t="s">
        <v>2103</v>
      </c>
      <c r="E854" s="26" t="s">
        <v>83</v>
      </c>
      <c r="F854" s="26" t="s">
        <v>82</v>
      </c>
      <c r="G854" s="26" t="s">
        <v>851</v>
      </c>
      <c r="H854" s="26" t="s">
        <v>238</v>
      </c>
      <c r="I854" s="26" t="s">
        <v>238</v>
      </c>
      <c r="J854" s="2" t="s">
        <v>72</v>
      </c>
      <c r="K854" s="141" t="s">
        <v>72</v>
      </c>
      <c r="L854" s="141" t="s">
        <v>2104</v>
      </c>
      <c r="M854" s="26" t="s">
        <v>409</v>
      </c>
      <c r="N854" s="2">
        <v>39952</v>
      </c>
      <c r="O854" s="2">
        <v>39953</v>
      </c>
      <c r="P854" s="133">
        <v>39990</v>
      </c>
      <c r="Q854" s="6">
        <v>1</v>
      </c>
      <c r="R854" s="6">
        <v>1</v>
      </c>
      <c r="S854" s="6">
        <v>1</v>
      </c>
      <c r="T854" s="120" t="s">
        <v>178</v>
      </c>
      <c r="U854" s="6">
        <v>1</v>
      </c>
      <c r="V854" s="6" t="s">
        <v>72</v>
      </c>
      <c r="W854" s="5" t="s">
        <v>72</v>
      </c>
      <c r="X854" s="6" t="s">
        <v>72</v>
      </c>
      <c r="Y854" s="6" t="s">
        <v>72</v>
      </c>
      <c r="Z854" s="6" t="s">
        <v>72</v>
      </c>
      <c r="AA854" s="6" t="s">
        <v>72</v>
      </c>
      <c r="AB854" s="6" t="s">
        <v>72</v>
      </c>
      <c r="AC854" s="6" t="s">
        <v>208</v>
      </c>
    </row>
    <row r="855" spans="1:29" x14ac:dyDescent="0.25">
      <c r="A855" s="145" t="str">
        <f>HYPERLINK("http://www.ofsted.gov.uk/inspection-reports/find-inspection-report/provider/ELS/130746 ","Ofsted Webpage")</f>
        <v>Ofsted Webpage</v>
      </c>
      <c r="B855" s="151">
        <v>130746</v>
      </c>
      <c r="C855" s="151">
        <v>10006226</v>
      </c>
      <c r="D855" s="46" t="s">
        <v>1878</v>
      </c>
      <c r="E855" s="26" t="s">
        <v>83</v>
      </c>
      <c r="F855" s="26" t="s">
        <v>82</v>
      </c>
      <c r="G855" s="26" t="s">
        <v>1254</v>
      </c>
      <c r="H855" s="26" t="s">
        <v>238</v>
      </c>
      <c r="I855" s="26" t="s">
        <v>238</v>
      </c>
      <c r="J855" s="2" t="s">
        <v>72</v>
      </c>
      <c r="K855" s="141" t="s">
        <v>72</v>
      </c>
      <c r="L855" s="141">
        <v>10023043</v>
      </c>
      <c r="M855" s="26" t="s">
        <v>372</v>
      </c>
      <c r="N855" s="2">
        <v>42809</v>
      </c>
      <c r="O855" s="2">
        <v>42811</v>
      </c>
      <c r="P855" s="133">
        <v>42860</v>
      </c>
      <c r="Q855" s="6">
        <v>3</v>
      </c>
      <c r="R855" s="6">
        <v>3</v>
      </c>
      <c r="S855" s="6">
        <v>3</v>
      </c>
      <c r="T855" s="6">
        <v>2</v>
      </c>
      <c r="U855" s="6">
        <v>3</v>
      </c>
      <c r="V855" s="6" t="s">
        <v>1879</v>
      </c>
      <c r="W855" s="5">
        <v>41537</v>
      </c>
      <c r="X855" s="6">
        <v>2</v>
      </c>
      <c r="Y855" s="6">
        <v>2</v>
      </c>
      <c r="Z855" s="6">
        <v>2</v>
      </c>
      <c r="AA855" s="6" t="s">
        <v>178</v>
      </c>
      <c r="AB855" s="6">
        <v>3</v>
      </c>
      <c r="AC855" s="6" t="s">
        <v>201</v>
      </c>
    </row>
    <row r="856" spans="1:29" x14ac:dyDescent="0.25">
      <c r="A856" s="145" t="str">
        <f>HYPERLINK("http://www.ofsted.gov.uk/inspection-reports/find-inspection-report/provider/ELS/130747 ","Ofsted Webpage")</f>
        <v>Ofsted Webpage</v>
      </c>
      <c r="B856" s="151">
        <v>130747</v>
      </c>
      <c r="C856" s="151">
        <v>10006322</v>
      </c>
      <c r="D856" s="46" t="s">
        <v>1880</v>
      </c>
      <c r="E856" s="26" t="s">
        <v>81</v>
      </c>
      <c r="F856" s="26" t="s">
        <v>82</v>
      </c>
      <c r="G856" s="26" t="s">
        <v>768</v>
      </c>
      <c r="H856" s="26" t="s">
        <v>214</v>
      </c>
      <c r="I856" s="26" t="s">
        <v>214</v>
      </c>
      <c r="J856" s="2" t="s">
        <v>72</v>
      </c>
      <c r="K856" s="141" t="s">
        <v>72</v>
      </c>
      <c r="L856" s="141">
        <v>10034351</v>
      </c>
      <c r="M856" s="26" t="s">
        <v>194</v>
      </c>
      <c r="N856" s="2">
        <v>42864</v>
      </c>
      <c r="O856" s="2">
        <v>42867</v>
      </c>
      <c r="P856" s="133">
        <v>42900</v>
      </c>
      <c r="Q856" s="6">
        <v>2</v>
      </c>
      <c r="R856" s="6">
        <v>2</v>
      </c>
      <c r="S856" s="6">
        <v>2</v>
      </c>
      <c r="T856" s="6">
        <v>2</v>
      </c>
      <c r="U856" s="6">
        <v>2</v>
      </c>
      <c r="V856" s="6" t="s">
        <v>1881</v>
      </c>
      <c r="W856" s="5">
        <v>41607</v>
      </c>
      <c r="X856" s="6">
        <v>2</v>
      </c>
      <c r="Y856" s="6">
        <v>3</v>
      </c>
      <c r="Z856" s="6">
        <v>2</v>
      </c>
      <c r="AA856" s="6" t="s">
        <v>178</v>
      </c>
      <c r="AB856" s="6">
        <v>2</v>
      </c>
      <c r="AC856" s="6" t="s">
        <v>180</v>
      </c>
    </row>
    <row r="857" spans="1:29" x14ac:dyDescent="0.25">
      <c r="A857" s="145" t="str">
        <f>HYPERLINK("http://www.ofsted.gov.uk/inspection-reports/find-inspection-report/provider/ELS/130748 ","Ofsted Webpage")</f>
        <v>Ofsted Webpage</v>
      </c>
      <c r="B857" s="151">
        <v>130748</v>
      </c>
      <c r="C857" s="151">
        <v>10004112</v>
      </c>
      <c r="D857" s="46" t="s">
        <v>1882</v>
      </c>
      <c r="E857" s="26" t="s">
        <v>81</v>
      </c>
      <c r="F857" s="26" t="s">
        <v>82</v>
      </c>
      <c r="G857" s="26" t="s">
        <v>768</v>
      </c>
      <c r="H857" s="26" t="s">
        <v>214</v>
      </c>
      <c r="I857" s="26" t="s">
        <v>214</v>
      </c>
      <c r="J857" s="2" t="s">
        <v>72</v>
      </c>
      <c r="K857" s="141" t="s">
        <v>72</v>
      </c>
      <c r="L857" s="141">
        <v>10022571</v>
      </c>
      <c r="M857" s="26" t="s">
        <v>194</v>
      </c>
      <c r="N857" s="2">
        <v>42878</v>
      </c>
      <c r="O857" s="2">
        <v>42881</v>
      </c>
      <c r="P857" s="133">
        <v>42914</v>
      </c>
      <c r="Q857" s="6">
        <v>2</v>
      </c>
      <c r="R857" s="6">
        <v>2</v>
      </c>
      <c r="S857" s="6">
        <v>2</v>
      </c>
      <c r="T857" s="6">
        <v>2</v>
      </c>
      <c r="U857" s="6">
        <v>2</v>
      </c>
      <c r="V857" s="6" t="s">
        <v>1883</v>
      </c>
      <c r="W857" s="5">
        <v>41334</v>
      </c>
      <c r="X857" s="6">
        <v>2</v>
      </c>
      <c r="Y857" s="6">
        <v>3</v>
      </c>
      <c r="Z857" s="6">
        <v>2</v>
      </c>
      <c r="AA857" s="6" t="s">
        <v>178</v>
      </c>
      <c r="AB857" s="6">
        <v>2</v>
      </c>
      <c r="AC857" s="6" t="s">
        <v>180</v>
      </c>
    </row>
    <row r="858" spans="1:29" x14ac:dyDescent="0.25">
      <c r="A858" s="145" t="str">
        <f>HYPERLINK("http://www.ofsted.gov.uk/inspection-reports/find-inspection-report/provider/ELS/130754 ","Ofsted Webpage")</f>
        <v>Ofsted Webpage</v>
      </c>
      <c r="B858" s="151">
        <v>130754</v>
      </c>
      <c r="C858" s="151">
        <v>10000952</v>
      </c>
      <c r="D858" s="46" t="s">
        <v>1884</v>
      </c>
      <c r="E858" s="26" t="s">
        <v>87</v>
      </c>
      <c r="F858" s="26" t="s">
        <v>82</v>
      </c>
      <c r="G858" s="26" t="s">
        <v>768</v>
      </c>
      <c r="H858" s="26" t="s">
        <v>214</v>
      </c>
      <c r="I858" s="26" t="s">
        <v>214</v>
      </c>
      <c r="J858" s="2">
        <v>42676</v>
      </c>
      <c r="K858" s="141">
        <v>1</v>
      </c>
      <c r="L858" s="141" t="s">
        <v>1885</v>
      </c>
      <c r="M858" s="26" t="s">
        <v>194</v>
      </c>
      <c r="N858" s="2">
        <v>41226</v>
      </c>
      <c r="O858" s="2">
        <v>41229</v>
      </c>
      <c r="P858" s="133">
        <v>41264</v>
      </c>
      <c r="Q858" s="6">
        <v>2</v>
      </c>
      <c r="R858" s="6">
        <v>2</v>
      </c>
      <c r="S858" s="6">
        <v>2</v>
      </c>
      <c r="T858" s="120" t="s">
        <v>178</v>
      </c>
      <c r="U858" s="6">
        <v>2</v>
      </c>
      <c r="V858" s="6" t="s">
        <v>1886</v>
      </c>
      <c r="W858" s="5">
        <v>40214</v>
      </c>
      <c r="X858" s="6">
        <v>3</v>
      </c>
      <c r="Y858" s="6">
        <v>3</v>
      </c>
      <c r="Z858" s="6">
        <v>3</v>
      </c>
      <c r="AA858" s="6" t="s">
        <v>178</v>
      </c>
      <c r="AB858" s="6">
        <v>3</v>
      </c>
      <c r="AC858" s="6" t="s">
        <v>216</v>
      </c>
    </row>
    <row r="859" spans="1:29" x14ac:dyDescent="0.25">
      <c r="A859" s="145" t="str">
        <f>HYPERLINK("http://www.ofsted.gov.uk/inspection-reports/find-inspection-report/provider/ELS/130755 ","Ofsted Webpage")</f>
        <v>Ofsted Webpage</v>
      </c>
      <c r="B859" s="151">
        <v>130755</v>
      </c>
      <c r="C859" s="151">
        <v>10002642</v>
      </c>
      <c r="D859" s="46" t="s">
        <v>1887</v>
      </c>
      <c r="E859" s="26" t="s">
        <v>83</v>
      </c>
      <c r="F859" s="26" t="s">
        <v>82</v>
      </c>
      <c r="G859" s="26" t="s">
        <v>227</v>
      </c>
      <c r="H859" s="26" t="s">
        <v>214</v>
      </c>
      <c r="I859" s="26" t="s">
        <v>214</v>
      </c>
      <c r="J859" s="2" t="s">
        <v>72</v>
      </c>
      <c r="K859" s="141" t="s">
        <v>72</v>
      </c>
      <c r="L859" s="141">
        <v>10020150</v>
      </c>
      <c r="M859" s="26" t="s">
        <v>372</v>
      </c>
      <c r="N859" s="2">
        <v>42654</v>
      </c>
      <c r="O859" s="2">
        <v>42657</v>
      </c>
      <c r="P859" s="133">
        <v>42691</v>
      </c>
      <c r="Q859" s="6">
        <v>4</v>
      </c>
      <c r="R859" s="6">
        <v>4</v>
      </c>
      <c r="S859" s="6">
        <v>4</v>
      </c>
      <c r="T859" s="6">
        <v>4</v>
      </c>
      <c r="U859" s="6">
        <v>4</v>
      </c>
      <c r="V859" s="6" t="s">
        <v>1888</v>
      </c>
      <c r="W859" s="5">
        <v>41670</v>
      </c>
      <c r="X859" s="6">
        <v>2</v>
      </c>
      <c r="Y859" s="6">
        <v>2</v>
      </c>
      <c r="Z859" s="6">
        <v>2</v>
      </c>
      <c r="AA859" s="6" t="s">
        <v>178</v>
      </c>
      <c r="AB859" s="6">
        <v>2</v>
      </c>
      <c r="AC859" s="6" t="s">
        <v>201</v>
      </c>
    </row>
    <row r="860" spans="1:29" x14ac:dyDescent="0.25">
      <c r="A860" s="145" t="str">
        <f>HYPERLINK("http://www.ofsted.gov.uk/inspection-reports/find-inspection-report/provider/ELS/130756 ","Ofsted Webpage")</f>
        <v>Ofsted Webpage</v>
      </c>
      <c r="B860" s="151">
        <v>130756</v>
      </c>
      <c r="C860" s="151">
        <v>10007671</v>
      </c>
      <c r="D860" s="46" t="s">
        <v>1889</v>
      </c>
      <c r="E860" s="26" t="s">
        <v>83</v>
      </c>
      <c r="F860" s="26" t="s">
        <v>82</v>
      </c>
      <c r="G860" s="26" t="s">
        <v>227</v>
      </c>
      <c r="H860" s="26" t="s">
        <v>214</v>
      </c>
      <c r="I860" s="26" t="s">
        <v>214</v>
      </c>
      <c r="J860" s="2" t="s">
        <v>72</v>
      </c>
      <c r="K860" s="141" t="s">
        <v>72</v>
      </c>
      <c r="L860" s="141">
        <v>10040627</v>
      </c>
      <c r="M860" s="26" t="s">
        <v>228</v>
      </c>
      <c r="N860" s="2">
        <v>43039</v>
      </c>
      <c r="O860" s="2">
        <v>43042</v>
      </c>
      <c r="P860" s="133">
        <v>43066</v>
      </c>
      <c r="Q860" s="6">
        <v>2</v>
      </c>
      <c r="R860" s="6">
        <v>2</v>
      </c>
      <c r="S860" s="6">
        <v>2</v>
      </c>
      <c r="T860" s="6">
        <v>2</v>
      </c>
      <c r="U860" s="6">
        <v>2</v>
      </c>
      <c r="V860" s="6">
        <v>10004757</v>
      </c>
      <c r="W860" s="5">
        <v>42440</v>
      </c>
      <c r="X860" s="6">
        <v>3</v>
      </c>
      <c r="Y860" s="6">
        <v>3</v>
      </c>
      <c r="Z860" s="6">
        <v>3</v>
      </c>
      <c r="AA860" s="6">
        <v>2</v>
      </c>
      <c r="AB860" s="6">
        <v>3</v>
      </c>
      <c r="AC860" s="6" t="s">
        <v>216</v>
      </c>
    </row>
    <row r="861" spans="1:29" x14ac:dyDescent="0.25">
      <c r="A861" s="145" t="str">
        <f>HYPERLINK("http://www.ofsted.gov.uk/inspection-reports/find-inspection-report/provider/ELS/130757 ","Ofsted Webpage")</f>
        <v>Ofsted Webpage</v>
      </c>
      <c r="B861" s="151">
        <v>130757</v>
      </c>
      <c r="C861" s="151">
        <v>10005429</v>
      </c>
      <c r="D861" s="46" t="s">
        <v>226</v>
      </c>
      <c r="E861" s="26" t="s">
        <v>83</v>
      </c>
      <c r="F861" s="26" t="s">
        <v>82</v>
      </c>
      <c r="G861" s="26" t="s">
        <v>227</v>
      </c>
      <c r="H861" s="26" t="s">
        <v>214</v>
      </c>
      <c r="I861" s="26" t="s">
        <v>214</v>
      </c>
      <c r="J861" s="2" t="s">
        <v>72</v>
      </c>
      <c r="K861" s="141" t="s">
        <v>72</v>
      </c>
      <c r="L861" s="141">
        <v>10040628</v>
      </c>
      <c r="M861" s="26" t="s">
        <v>228</v>
      </c>
      <c r="N861" s="2">
        <v>42997</v>
      </c>
      <c r="O861" s="2">
        <v>43000</v>
      </c>
      <c r="P861" s="133">
        <v>43032</v>
      </c>
      <c r="Q861" s="6">
        <v>2</v>
      </c>
      <c r="R861" s="6">
        <v>2</v>
      </c>
      <c r="S861" s="6">
        <v>2</v>
      </c>
      <c r="T861" s="6">
        <v>2</v>
      </c>
      <c r="U861" s="6">
        <v>2</v>
      </c>
      <c r="V861" s="6">
        <v>10004758</v>
      </c>
      <c r="W861" s="5">
        <v>42453</v>
      </c>
      <c r="X861" s="6">
        <v>3</v>
      </c>
      <c r="Y861" s="6">
        <v>3</v>
      </c>
      <c r="Z861" s="6">
        <v>3</v>
      </c>
      <c r="AA861" s="6">
        <v>3</v>
      </c>
      <c r="AB861" s="6">
        <v>3</v>
      </c>
      <c r="AC861" s="6" t="s">
        <v>216</v>
      </c>
    </row>
    <row r="862" spans="1:29" x14ac:dyDescent="0.25">
      <c r="A862" s="145" t="str">
        <f>HYPERLINK("http://www.ofsted.gov.uk/inspection-reports/find-inspection-report/provider/ELS/130759 ","Ofsted Webpage")</f>
        <v>Ofsted Webpage</v>
      </c>
      <c r="B862" s="151">
        <v>130759</v>
      </c>
      <c r="C862" s="151">
        <v>10002743</v>
      </c>
      <c r="D862" s="46" t="s">
        <v>212</v>
      </c>
      <c r="E862" s="26" t="s">
        <v>81</v>
      </c>
      <c r="F862" s="26" t="s">
        <v>82</v>
      </c>
      <c r="G862" s="26" t="s">
        <v>213</v>
      </c>
      <c r="H862" s="26" t="s">
        <v>214</v>
      </c>
      <c r="I862" s="26" t="s">
        <v>214</v>
      </c>
      <c r="J862" s="2" t="s">
        <v>72</v>
      </c>
      <c r="K862" s="141" t="s">
        <v>72</v>
      </c>
      <c r="L862" s="141">
        <v>10030741</v>
      </c>
      <c r="M862" s="26" t="s">
        <v>215</v>
      </c>
      <c r="N862" s="2">
        <v>42997</v>
      </c>
      <c r="O862" s="2">
        <v>43000</v>
      </c>
      <c r="P862" s="133">
        <v>43039</v>
      </c>
      <c r="Q862" s="6">
        <v>2</v>
      </c>
      <c r="R862" s="6">
        <v>2</v>
      </c>
      <c r="S862" s="6">
        <v>2</v>
      </c>
      <c r="T862" s="6">
        <v>2</v>
      </c>
      <c r="U862" s="6">
        <v>2</v>
      </c>
      <c r="V862" s="6">
        <v>10004759</v>
      </c>
      <c r="W862" s="5">
        <v>42356</v>
      </c>
      <c r="X862" s="6">
        <v>3</v>
      </c>
      <c r="Y862" s="6">
        <v>3</v>
      </c>
      <c r="Z862" s="6">
        <v>3</v>
      </c>
      <c r="AA862" s="6">
        <v>3</v>
      </c>
      <c r="AB862" s="6">
        <v>3</v>
      </c>
      <c r="AC862" s="6" t="s">
        <v>216</v>
      </c>
    </row>
    <row r="863" spans="1:29" x14ac:dyDescent="0.25">
      <c r="A863" s="145" t="str">
        <f>HYPERLINK("http://www.ofsted.gov.uk/inspection-reports/find-inspection-report/provider/ELS/130760 ","Ofsted Webpage")</f>
        <v>Ofsted Webpage</v>
      </c>
      <c r="B863" s="151">
        <v>130760</v>
      </c>
      <c r="C863" s="151">
        <v>10006303</v>
      </c>
      <c r="D863" s="46" t="s">
        <v>1656</v>
      </c>
      <c r="E863" s="26" t="s">
        <v>81</v>
      </c>
      <c r="F863" s="26" t="s">
        <v>82</v>
      </c>
      <c r="G863" s="26" t="s">
        <v>213</v>
      </c>
      <c r="H863" s="26" t="s">
        <v>214</v>
      </c>
      <c r="I863" s="26" t="s">
        <v>214</v>
      </c>
      <c r="J863" s="2" t="s">
        <v>72</v>
      </c>
      <c r="K863" s="141" t="s">
        <v>72</v>
      </c>
      <c r="L863" s="141">
        <v>10022569</v>
      </c>
      <c r="M863" s="26" t="s">
        <v>215</v>
      </c>
      <c r="N863" s="2">
        <v>42794</v>
      </c>
      <c r="O863" s="2">
        <v>42797</v>
      </c>
      <c r="P863" s="133">
        <v>42821</v>
      </c>
      <c r="Q863" s="6">
        <v>2</v>
      </c>
      <c r="R863" s="6">
        <v>2</v>
      </c>
      <c r="S863" s="6">
        <v>2</v>
      </c>
      <c r="T863" s="6">
        <v>2</v>
      </c>
      <c r="U863" s="6">
        <v>2</v>
      </c>
      <c r="V863" s="6" t="s">
        <v>1657</v>
      </c>
      <c r="W863" s="5">
        <v>42090</v>
      </c>
      <c r="X863" s="6">
        <v>3</v>
      </c>
      <c r="Y863" s="6">
        <v>3</v>
      </c>
      <c r="Z863" s="6">
        <v>3</v>
      </c>
      <c r="AA863" s="6" t="s">
        <v>178</v>
      </c>
      <c r="AB863" s="6">
        <v>3</v>
      </c>
      <c r="AC863" s="6" t="s">
        <v>216</v>
      </c>
    </row>
    <row r="864" spans="1:29" x14ac:dyDescent="0.25">
      <c r="A864" s="145" t="str">
        <f>HYPERLINK("http://www.ofsted.gov.uk/inspection-reports/find-inspection-report/provider/ELS/130761 ","Ofsted Webpage")</f>
        <v>Ofsted Webpage</v>
      </c>
      <c r="B864" s="151">
        <v>130761</v>
      </c>
      <c r="C864" s="151">
        <v>10000812</v>
      </c>
      <c r="D864" s="46" t="s">
        <v>1658</v>
      </c>
      <c r="E864" s="26" t="s">
        <v>81</v>
      </c>
      <c r="F864" s="26" t="s">
        <v>82</v>
      </c>
      <c r="G864" s="26" t="s">
        <v>213</v>
      </c>
      <c r="H864" s="26" t="s">
        <v>214</v>
      </c>
      <c r="I864" s="26" t="s">
        <v>214</v>
      </c>
      <c r="J864" s="2">
        <v>43055</v>
      </c>
      <c r="K864" s="141">
        <v>1</v>
      </c>
      <c r="L864" s="141" t="s">
        <v>1659</v>
      </c>
      <c r="M864" s="26" t="s">
        <v>215</v>
      </c>
      <c r="N864" s="2">
        <v>41792</v>
      </c>
      <c r="O864" s="2">
        <v>41796</v>
      </c>
      <c r="P864" s="133">
        <v>41827</v>
      </c>
      <c r="Q864" s="6">
        <v>2</v>
      </c>
      <c r="R864" s="6">
        <v>2</v>
      </c>
      <c r="S864" s="6">
        <v>2</v>
      </c>
      <c r="T864" s="120" t="s">
        <v>178</v>
      </c>
      <c r="U864" s="6">
        <v>2</v>
      </c>
      <c r="V864" s="6" t="s">
        <v>1660</v>
      </c>
      <c r="W864" s="5">
        <v>41306</v>
      </c>
      <c r="X864" s="6">
        <v>3</v>
      </c>
      <c r="Y864" s="6">
        <v>3</v>
      </c>
      <c r="Z864" s="6">
        <v>3</v>
      </c>
      <c r="AA864" s="6" t="s">
        <v>178</v>
      </c>
      <c r="AB864" s="6">
        <v>3</v>
      </c>
      <c r="AC864" s="6" t="s">
        <v>216</v>
      </c>
    </row>
    <row r="865" spans="1:29" x14ac:dyDescent="0.25">
      <c r="A865" s="145" t="str">
        <f>HYPERLINK("http://www.ofsted.gov.uk/inspection-reports/find-inspection-report/provider/ELS/130762 ","Ofsted Webpage")</f>
        <v>Ofsted Webpage</v>
      </c>
      <c r="B865" s="151">
        <v>130762</v>
      </c>
      <c r="C865" s="151">
        <v>10003928</v>
      </c>
      <c r="D865" s="46" t="s">
        <v>1661</v>
      </c>
      <c r="E865" s="26" t="s">
        <v>81</v>
      </c>
      <c r="F865" s="26" t="s">
        <v>82</v>
      </c>
      <c r="G865" s="26" t="s">
        <v>213</v>
      </c>
      <c r="H865" s="26" t="s">
        <v>214</v>
      </c>
      <c r="I865" s="26" t="s">
        <v>214</v>
      </c>
      <c r="J865" s="2" t="s">
        <v>72</v>
      </c>
      <c r="K865" s="141" t="s">
        <v>72</v>
      </c>
      <c r="L865" s="141">
        <v>10019027</v>
      </c>
      <c r="M865" s="26" t="s">
        <v>194</v>
      </c>
      <c r="N865" s="2">
        <v>42507</v>
      </c>
      <c r="O865" s="2">
        <v>42510</v>
      </c>
      <c r="P865" s="133">
        <v>42558</v>
      </c>
      <c r="Q865" s="6">
        <v>3</v>
      </c>
      <c r="R865" s="6">
        <v>3</v>
      </c>
      <c r="S865" s="6">
        <v>3</v>
      </c>
      <c r="T865" s="6">
        <v>3</v>
      </c>
      <c r="U865" s="6">
        <v>3</v>
      </c>
      <c r="V865" s="6" t="s">
        <v>1662</v>
      </c>
      <c r="W865" s="5">
        <v>40592</v>
      </c>
      <c r="X865" s="6">
        <v>1</v>
      </c>
      <c r="Y865" s="6">
        <v>1</v>
      </c>
      <c r="Z865" s="6">
        <v>2</v>
      </c>
      <c r="AA865" s="6" t="s">
        <v>178</v>
      </c>
      <c r="AB865" s="6">
        <v>1</v>
      </c>
      <c r="AC865" s="6" t="s">
        <v>201</v>
      </c>
    </row>
    <row r="866" spans="1:29" x14ac:dyDescent="0.25">
      <c r="A866" s="145" t="str">
        <f>HYPERLINK("http://www.ofsted.gov.uk/inspection-reports/find-inspection-report/provider/ELS/130763 ","Ofsted Webpage")</f>
        <v>Ofsted Webpage</v>
      </c>
      <c r="B866" s="151">
        <v>130763</v>
      </c>
      <c r="C866" s="151">
        <v>10007916</v>
      </c>
      <c r="D866" s="46" t="s">
        <v>1663</v>
      </c>
      <c r="E866" s="26" t="s">
        <v>81</v>
      </c>
      <c r="F866" s="26" t="s">
        <v>82</v>
      </c>
      <c r="G866" s="26" t="s">
        <v>296</v>
      </c>
      <c r="H866" s="26" t="s">
        <v>287</v>
      </c>
      <c r="I866" s="26" t="s">
        <v>287</v>
      </c>
      <c r="J866" s="2" t="s">
        <v>72</v>
      </c>
      <c r="K866" s="141" t="s">
        <v>72</v>
      </c>
      <c r="L866" s="141">
        <v>10022608</v>
      </c>
      <c r="M866" s="26" t="s">
        <v>194</v>
      </c>
      <c r="N866" s="2">
        <v>42746</v>
      </c>
      <c r="O866" s="2">
        <v>42752</v>
      </c>
      <c r="P866" s="133">
        <v>42808</v>
      </c>
      <c r="Q866" s="6">
        <v>3</v>
      </c>
      <c r="R866" s="6">
        <v>3</v>
      </c>
      <c r="S866" s="6">
        <v>3</v>
      </c>
      <c r="T866" s="6">
        <v>3</v>
      </c>
      <c r="U866" s="6">
        <v>3</v>
      </c>
      <c r="V866" s="6" t="s">
        <v>1664</v>
      </c>
      <c r="W866" s="5">
        <v>41292</v>
      </c>
      <c r="X866" s="6">
        <v>2</v>
      </c>
      <c r="Y866" s="6">
        <v>2</v>
      </c>
      <c r="Z866" s="6">
        <v>2</v>
      </c>
      <c r="AA866" s="6" t="s">
        <v>178</v>
      </c>
      <c r="AB866" s="6">
        <v>2</v>
      </c>
      <c r="AC866" s="6" t="s">
        <v>201</v>
      </c>
    </row>
    <row r="867" spans="1:29" x14ac:dyDescent="0.25">
      <c r="A867" s="145" t="str">
        <f>HYPERLINK("http://www.ofsted.gov.uk/inspection-reports/find-inspection-report/provider/ELS/130764 ","Ofsted Webpage")</f>
        <v>Ofsted Webpage</v>
      </c>
      <c r="B867" s="151">
        <v>130764</v>
      </c>
      <c r="C867" s="151">
        <v>10004772</v>
      </c>
      <c r="D867" s="46" t="s">
        <v>1553</v>
      </c>
      <c r="E867" s="26" t="s">
        <v>81</v>
      </c>
      <c r="F867" s="26" t="s">
        <v>82</v>
      </c>
      <c r="G867" s="26" t="s">
        <v>296</v>
      </c>
      <c r="H867" s="26" t="s">
        <v>287</v>
      </c>
      <c r="I867" s="26" t="s">
        <v>287</v>
      </c>
      <c r="J867" s="2" t="s">
        <v>72</v>
      </c>
      <c r="K867" s="141" t="s">
        <v>72</v>
      </c>
      <c r="L867" s="141">
        <v>10022603</v>
      </c>
      <c r="M867" s="26" t="s">
        <v>194</v>
      </c>
      <c r="N867" s="2">
        <v>42773</v>
      </c>
      <c r="O867" s="2">
        <v>42776</v>
      </c>
      <c r="P867" s="133">
        <v>42825</v>
      </c>
      <c r="Q867" s="6">
        <v>2</v>
      </c>
      <c r="R867" s="6">
        <v>2</v>
      </c>
      <c r="S867" s="6">
        <v>2</v>
      </c>
      <c r="T867" s="6">
        <v>2</v>
      </c>
      <c r="U867" s="6">
        <v>2</v>
      </c>
      <c r="V867" s="6" t="s">
        <v>1554</v>
      </c>
      <c r="W867" s="5">
        <v>41355</v>
      </c>
      <c r="X867" s="6">
        <v>2</v>
      </c>
      <c r="Y867" s="6">
        <v>3</v>
      </c>
      <c r="Z867" s="6">
        <v>2</v>
      </c>
      <c r="AA867" s="6" t="s">
        <v>178</v>
      </c>
      <c r="AB867" s="6">
        <v>2</v>
      </c>
      <c r="AC867" s="6" t="s">
        <v>180</v>
      </c>
    </row>
    <row r="868" spans="1:29" x14ac:dyDescent="0.25">
      <c r="A868" s="145" t="str">
        <f>HYPERLINK("http://www.ofsted.gov.uk/inspection-reports/find-inspection-report/provider/ELS/130767 ","Ofsted Webpage")</f>
        <v>Ofsted Webpage</v>
      </c>
      <c r="B868" s="151">
        <v>130767</v>
      </c>
      <c r="C868" s="151">
        <v>10002122</v>
      </c>
      <c r="D868" s="46" t="s">
        <v>1555</v>
      </c>
      <c r="E868" s="26" t="s">
        <v>83</v>
      </c>
      <c r="F868" s="26" t="s">
        <v>82</v>
      </c>
      <c r="G868" s="26" t="s">
        <v>296</v>
      </c>
      <c r="H868" s="26" t="s">
        <v>287</v>
      </c>
      <c r="I868" s="26" t="s">
        <v>287</v>
      </c>
      <c r="J868" s="2" t="s">
        <v>72</v>
      </c>
      <c r="K868" s="141" t="s">
        <v>72</v>
      </c>
      <c r="L868" s="141">
        <v>10020140</v>
      </c>
      <c r="M868" s="26" t="s">
        <v>372</v>
      </c>
      <c r="N868" s="2">
        <v>42661</v>
      </c>
      <c r="O868" s="2">
        <v>42678</v>
      </c>
      <c r="P868" s="133">
        <v>42751</v>
      </c>
      <c r="Q868" s="6">
        <v>2</v>
      </c>
      <c r="R868" s="6">
        <v>2</v>
      </c>
      <c r="S868" s="6">
        <v>2</v>
      </c>
      <c r="T868" s="6">
        <v>2</v>
      </c>
      <c r="U868" s="6">
        <v>2</v>
      </c>
      <c r="V868" s="6" t="s">
        <v>1556</v>
      </c>
      <c r="W868" s="5">
        <v>41537</v>
      </c>
      <c r="X868" s="6">
        <v>2</v>
      </c>
      <c r="Y868" s="6">
        <v>3</v>
      </c>
      <c r="Z868" s="6">
        <v>2</v>
      </c>
      <c r="AA868" s="6" t="s">
        <v>178</v>
      </c>
      <c r="AB868" s="6">
        <v>2</v>
      </c>
      <c r="AC868" s="6" t="s">
        <v>180</v>
      </c>
    </row>
    <row r="869" spans="1:29" x14ac:dyDescent="0.25">
      <c r="A869" s="145" t="str">
        <f>HYPERLINK("http://www.ofsted.gov.uk/inspection-reports/find-inspection-report/provider/ELS/130768 ","Ofsted Webpage")</f>
        <v>Ofsted Webpage</v>
      </c>
      <c r="B869" s="151">
        <v>130768</v>
      </c>
      <c r="C869" s="151">
        <v>10005001</v>
      </c>
      <c r="D869" s="46" t="s">
        <v>2874</v>
      </c>
      <c r="E869" s="26" t="s">
        <v>83</v>
      </c>
      <c r="F869" s="26" t="s">
        <v>82</v>
      </c>
      <c r="G869" s="26" t="s">
        <v>296</v>
      </c>
      <c r="H869" s="26" t="s">
        <v>287</v>
      </c>
      <c r="I869" s="26" t="s">
        <v>287</v>
      </c>
      <c r="J869" s="2" t="s">
        <v>72</v>
      </c>
      <c r="K869" s="141" t="s">
        <v>72</v>
      </c>
      <c r="L869" s="141">
        <v>10004760</v>
      </c>
      <c r="M869" s="26" t="s">
        <v>372</v>
      </c>
      <c r="N869" s="2">
        <v>42347</v>
      </c>
      <c r="O869" s="2">
        <v>42349</v>
      </c>
      <c r="P869" s="133">
        <v>42384</v>
      </c>
      <c r="Q869" s="6">
        <v>2</v>
      </c>
      <c r="R869" s="6">
        <v>2</v>
      </c>
      <c r="S869" s="6">
        <v>2</v>
      </c>
      <c r="T869" s="6">
        <v>2</v>
      </c>
      <c r="U869" s="6">
        <v>2</v>
      </c>
      <c r="V869" s="6" t="s">
        <v>1557</v>
      </c>
      <c r="W869" s="5">
        <v>40620</v>
      </c>
      <c r="X869" s="6">
        <v>2</v>
      </c>
      <c r="Y869" s="6">
        <v>2</v>
      </c>
      <c r="Z869" s="6">
        <v>2</v>
      </c>
      <c r="AA869" s="6" t="s">
        <v>178</v>
      </c>
      <c r="AB869" s="6">
        <v>2</v>
      </c>
      <c r="AC869" s="6" t="s">
        <v>180</v>
      </c>
    </row>
    <row r="870" spans="1:29" x14ac:dyDescent="0.25">
      <c r="A870" s="145" t="str">
        <f>HYPERLINK("http://www.ofsted.gov.uk/inspection-reports/find-inspection-report/provider/ELS/130769 ","Ofsted Webpage")</f>
        <v>Ofsted Webpage</v>
      </c>
      <c r="B870" s="151">
        <v>130769</v>
      </c>
      <c r="C870" s="151">
        <v>10007011</v>
      </c>
      <c r="D870" s="46" t="s">
        <v>1558</v>
      </c>
      <c r="E870" s="26" t="s">
        <v>81</v>
      </c>
      <c r="F870" s="26" t="s">
        <v>82</v>
      </c>
      <c r="G870" s="26" t="s">
        <v>504</v>
      </c>
      <c r="H870" s="26" t="s">
        <v>214</v>
      </c>
      <c r="I870" s="26" t="s">
        <v>214</v>
      </c>
      <c r="J870" s="2" t="s">
        <v>72</v>
      </c>
      <c r="K870" s="141" t="s">
        <v>72</v>
      </c>
      <c r="L870" s="141">
        <v>10022574</v>
      </c>
      <c r="M870" s="26" t="s">
        <v>194</v>
      </c>
      <c r="N870" s="2">
        <v>42849</v>
      </c>
      <c r="O870" s="2">
        <v>42852</v>
      </c>
      <c r="P870" s="133">
        <v>42878</v>
      </c>
      <c r="Q870" s="6">
        <v>3</v>
      </c>
      <c r="R870" s="6">
        <v>3</v>
      </c>
      <c r="S870" s="6">
        <v>3</v>
      </c>
      <c r="T870" s="6">
        <v>3</v>
      </c>
      <c r="U870" s="6">
        <v>3</v>
      </c>
      <c r="V870" s="6" t="s">
        <v>1559</v>
      </c>
      <c r="W870" s="5">
        <v>41313</v>
      </c>
      <c r="X870" s="6">
        <v>2</v>
      </c>
      <c r="Y870" s="6">
        <v>2</v>
      </c>
      <c r="Z870" s="6">
        <v>2</v>
      </c>
      <c r="AA870" s="6" t="s">
        <v>178</v>
      </c>
      <c r="AB870" s="6">
        <v>2</v>
      </c>
      <c r="AC870" s="6" t="s">
        <v>201</v>
      </c>
    </row>
    <row r="871" spans="1:29" x14ac:dyDescent="0.25">
      <c r="A871" s="145" t="str">
        <f>HYPERLINK("http://www.ofsted.gov.uk/inspection-reports/find-inspection-report/provider/ELS/130772 ","Ofsted Webpage")</f>
        <v>Ofsted Webpage</v>
      </c>
      <c r="B871" s="151">
        <v>130772</v>
      </c>
      <c r="C871" s="151">
        <v>10004442</v>
      </c>
      <c r="D871" s="46" t="s">
        <v>1560</v>
      </c>
      <c r="E871" s="26" t="s">
        <v>87</v>
      </c>
      <c r="F871" s="26" t="s">
        <v>82</v>
      </c>
      <c r="G871" s="26" t="s">
        <v>504</v>
      </c>
      <c r="H871" s="26" t="s">
        <v>214</v>
      </c>
      <c r="I871" s="26" t="s">
        <v>214</v>
      </c>
      <c r="J871" s="2" t="s">
        <v>72</v>
      </c>
      <c r="K871" s="141" t="s">
        <v>72</v>
      </c>
      <c r="L871" s="141">
        <v>10011441</v>
      </c>
      <c r="M871" s="26" t="s">
        <v>194</v>
      </c>
      <c r="N871" s="2">
        <v>42486</v>
      </c>
      <c r="O871" s="2">
        <v>42489</v>
      </c>
      <c r="P871" s="133">
        <v>42530</v>
      </c>
      <c r="Q871" s="6">
        <v>3</v>
      </c>
      <c r="R871" s="6">
        <v>3</v>
      </c>
      <c r="S871" s="6">
        <v>3</v>
      </c>
      <c r="T871" s="6">
        <v>3</v>
      </c>
      <c r="U871" s="6">
        <v>3</v>
      </c>
      <c r="V871" s="6" t="s">
        <v>1561</v>
      </c>
      <c r="W871" s="5">
        <v>39576</v>
      </c>
      <c r="X871" s="6">
        <v>1</v>
      </c>
      <c r="Y871" s="6">
        <v>1</v>
      </c>
      <c r="Z871" s="6">
        <v>1</v>
      </c>
      <c r="AA871" s="6" t="s">
        <v>178</v>
      </c>
      <c r="AB871" s="6">
        <v>1</v>
      </c>
      <c r="AC871" s="6" t="s">
        <v>201</v>
      </c>
    </row>
    <row r="872" spans="1:29" x14ac:dyDescent="0.25">
      <c r="A872" s="145" t="str">
        <f>HYPERLINK("http://www.ofsted.gov.uk/inspection-reports/find-inspection-report/provider/ELS/130773 ","Ofsted Webpage")</f>
        <v>Ofsted Webpage</v>
      </c>
      <c r="B872" s="151">
        <v>130773</v>
      </c>
      <c r="C872" s="151">
        <v>10004760</v>
      </c>
      <c r="D872" s="46" t="s">
        <v>1562</v>
      </c>
      <c r="E872" s="26" t="s">
        <v>81</v>
      </c>
      <c r="F872" s="26" t="s">
        <v>82</v>
      </c>
      <c r="G872" s="26" t="s">
        <v>723</v>
      </c>
      <c r="H872" s="26" t="s">
        <v>204</v>
      </c>
      <c r="I872" s="26" t="s">
        <v>188</v>
      </c>
      <c r="J872" s="2">
        <v>42860</v>
      </c>
      <c r="K872" s="141">
        <v>1</v>
      </c>
      <c r="L872" s="141" t="s">
        <v>1563</v>
      </c>
      <c r="M872" s="26" t="s">
        <v>194</v>
      </c>
      <c r="N872" s="2">
        <v>41302</v>
      </c>
      <c r="O872" s="2">
        <v>41306</v>
      </c>
      <c r="P872" s="133">
        <v>41341</v>
      </c>
      <c r="Q872" s="6">
        <v>2</v>
      </c>
      <c r="R872" s="6">
        <v>2</v>
      </c>
      <c r="S872" s="6">
        <v>2</v>
      </c>
      <c r="T872" s="120" t="s">
        <v>178</v>
      </c>
      <c r="U872" s="6">
        <v>2</v>
      </c>
      <c r="V872" s="6" t="s">
        <v>1564</v>
      </c>
      <c r="W872" s="5">
        <v>40095</v>
      </c>
      <c r="X872" s="6">
        <v>3</v>
      </c>
      <c r="Y872" s="6">
        <v>3</v>
      </c>
      <c r="Z872" s="6">
        <v>3</v>
      </c>
      <c r="AA872" s="6" t="s">
        <v>178</v>
      </c>
      <c r="AB872" s="6">
        <v>3</v>
      </c>
      <c r="AC872" s="6" t="s">
        <v>216</v>
      </c>
    </row>
    <row r="873" spans="1:29" x14ac:dyDescent="0.25">
      <c r="A873" s="145" t="str">
        <f>HYPERLINK("http://www.ofsted.gov.uk/inspection-reports/find-inspection-report/provider/ELS/130776 ","Ofsted Webpage")</f>
        <v>Ofsted Webpage</v>
      </c>
      <c r="B873" s="151">
        <v>130776</v>
      </c>
      <c r="C873" s="151">
        <v>10004577</v>
      </c>
      <c r="D873" s="46" t="s">
        <v>1010</v>
      </c>
      <c r="E873" s="26" t="s">
        <v>81</v>
      </c>
      <c r="F873" s="26" t="s">
        <v>82</v>
      </c>
      <c r="G873" s="26" t="s">
        <v>437</v>
      </c>
      <c r="H873" s="26" t="s">
        <v>214</v>
      </c>
      <c r="I873" s="26" t="s">
        <v>214</v>
      </c>
      <c r="J873" s="2" t="s">
        <v>72</v>
      </c>
      <c r="K873" s="141" t="s">
        <v>72</v>
      </c>
      <c r="L873" s="141">
        <v>10004763</v>
      </c>
      <c r="M873" s="26" t="s">
        <v>1011</v>
      </c>
      <c r="N873" s="2">
        <v>42339</v>
      </c>
      <c r="O873" s="2">
        <v>42342</v>
      </c>
      <c r="P873" s="133">
        <v>42375</v>
      </c>
      <c r="Q873" s="6">
        <v>2</v>
      </c>
      <c r="R873" s="6">
        <v>2</v>
      </c>
      <c r="S873" s="6">
        <v>2</v>
      </c>
      <c r="T873" s="6">
        <v>2</v>
      </c>
      <c r="U873" s="6">
        <v>2</v>
      </c>
      <c r="V873" s="6" t="s">
        <v>1012</v>
      </c>
      <c r="W873" s="5">
        <v>41775</v>
      </c>
      <c r="X873" s="6">
        <v>3</v>
      </c>
      <c r="Y873" s="6">
        <v>3</v>
      </c>
      <c r="Z873" s="6">
        <v>3</v>
      </c>
      <c r="AA873" s="6" t="s">
        <v>178</v>
      </c>
      <c r="AB873" s="6">
        <v>3</v>
      </c>
      <c r="AC873" s="6" t="s">
        <v>216</v>
      </c>
    </row>
    <row r="874" spans="1:29" x14ac:dyDescent="0.25">
      <c r="A874" s="145" t="str">
        <f>HYPERLINK("http://www.ofsted.gov.uk/inspection-reports/find-inspection-report/provider/ELS/130777 ","Ofsted Webpage")</f>
        <v>Ofsted Webpage</v>
      </c>
      <c r="B874" s="151">
        <v>130777</v>
      </c>
      <c r="C874" s="151">
        <v>10007427</v>
      </c>
      <c r="D874" s="46" t="s">
        <v>1013</v>
      </c>
      <c r="E874" s="26" t="s">
        <v>81</v>
      </c>
      <c r="F874" s="26" t="s">
        <v>82</v>
      </c>
      <c r="G874" s="26" t="s">
        <v>331</v>
      </c>
      <c r="H874" s="26" t="s">
        <v>214</v>
      </c>
      <c r="I874" s="26" t="s">
        <v>214</v>
      </c>
      <c r="J874" s="2" t="s">
        <v>72</v>
      </c>
      <c r="K874" s="141" t="s">
        <v>72</v>
      </c>
      <c r="L874" s="141">
        <v>10011442</v>
      </c>
      <c r="M874" s="26" t="s">
        <v>194</v>
      </c>
      <c r="N874" s="2">
        <v>42773</v>
      </c>
      <c r="O874" s="2">
        <v>42776</v>
      </c>
      <c r="P874" s="133">
        <v>42815</v>
      </c>
      <c r="Q874" s="6">
        <v>2</v>
      </c>
      <c r="R874" s="6">
        <v>2</v>
      </c>
      <c r="S874" s="6">
        <v>2</v>
      </c>
      <c r="T874" s="6">
        <v>2</v>
      </c>
      <c r="U874" s="6">
        <v>2</v>
      </c>
      <c r="V874" s="6" t="s">
        <v>1014</v>
      </c>
      <c r="W874" s="5">
        <v>41061</v>
      </c>
      <c r="X874" s="6">
        <v>2</v>
      </c>
      <c r="Y874" s="6">
        <v>2</v>
      </c>
      <c r="Z874" s="6">
        <v>3</v>
      </c>
      <c r="AA874" s="6" t="s">
        <v>178</v>
      </c>
      <c r="AB874" s="6">
        <v>2</v>
      </c>
      <c r="AC874" s="6" t="s">
        <v>180</v>
      </c>
    </row>
    <row r="875" spans="1:29" x14ac:dyDescent="0.25">
      <c r="A875" s="145" t="str">
        <f>HYPERLINK("http://www.ofsted.gov.uk/inspection-reports/find-inspection-report/provider/ELS/130787 ","Ofsted Webpage")</f>
        <v>Ofsted Webpage</v>
      </c>
      <c r="B875" s="151">
        <v>130787</v>
      </c>
      <c r="C875" s="151">
        <v>10000695</v>
      </c>
      <c r="D875" s="46" t="s">
        <v>1015</v>
      </c>
      <c r="E875" s="26" t="s">
        <v>83</v>
      </c>
      <c r="F875" s="26" t="s">
        <v>82</v>
      </c>
      <c r="G875" s="26" t="s">
        <v>437</v>
      </c>
      <c r="H875" s="26" t="s">
        <v>214</v>
      </c>
      <c r="I875" s="26" t="s">
        <v>214</v>
      </c>
      <c r="J875" s="2" t="s">
        <v>72</v>
      </c>
      <c r="K875" s="141" t="s">
        <v>72</v>
      </c>
      <c r="L875" s="141">
        <v>10008473</v>
      </c>
      <c r="M875" s="26" t="s">
        <v>228</v>
      </c>
      <c r="N875" s="2">
        <v>42640</v>
      </c>
      <c r="O875" s="2">
        <v>42643</v>
      </c>
      <c r="P875" s="133">
        <v>42676</v>
      </c>
      <c r="Q875" s="6">
        <v>2</v>
      </c>
      <c r="R875" s="6">
        <v>2</v>
      </c>
      <c r="S875" s="6">
        <v>2</v>
      </c>
      <c r="T875" s="6">
        <v>2</v>
      </c>
      <c r="U875" s="6">
        <v>2</v>
      </c>
      <c r="V875" s="6" t="s">
        <v>1016</v>
      </c>
      <c r="W875" s="5">
        <v>42027</v>
      </c>
      <c r="X875" s="6">
        <v>3</v>
      </c>
      <c r="Y875" s="6">
        <v>3</v>
      </c>
      <c r="Z875" s="6">
        <v>3</v>
      </c>
      <c r="AA875" s="6" t="s">
        <v>178</v>
      </c>
      <c r="AB875" s="6">
        <v>3</v>
      </c>
      <c r="AC875" s="6" t="s">
        <v>216</v>
      </c>
    </row>
    <row r="876" spans="1:29" x14ac:dyDescent="0.25">
      <c r="A876" s="145" t="str">
        <f>HYPERLINK("http://www.ofsted.gov.uk/inspection-reports/find-inspection-report/provider/ELS/130789 ","Ofsted Webpage")</f>
        <v>Ofsted Webpage</v>
      </c>
      <c r="B876" s="151">
        <v>130789</v>
      </c>
      <c r="C876" s="151">
        <v>10003011</v>
      </c>
      <c r="D876" s="46" t="s">
        <v>1017</v>
      </c>
      <c r="E876" s="26" t="s">
        <v>83</v>
      </c>
      <c r="F876" s="26" t="s">
        <v>82</v>
      </c>
      <c r="G876" s="26" t="s">
        <v>590</v>
      </c>
      <c r="H876" s="26" t="s">
        <v>219</v>
      </c>
      <c r="I876" s="26" t="s">
        <v>219</v>
      </c>
      <c r="J876" s="2">
        <v>42502</v>
      </c>
      <c r="K876" s="141">
        <v>1</v>
      </c>
      <c r="L876" s="141" t="s">
        <v>1018</v>
      </c>
      <c r="M876" s="26" t="s">
        <v>369</v>
      </c>
      <c r="N876" s="2">
        <v>40490</v>
      </c>
      <c r="O876" s="2">
        <v>40494</v>
      </c>
      <c r="P876" s="133">
        <v>40529</v>
      </c>
      <c r="Q876" s="6">
        <v>2</v>
      </c>
      <c r="R876" s="6">
        <v>2</v>
      </c>
      <c r="S876" s="6">
        <v>2</v>
      </c>
      <c r="T876" s="120" t="s">
        <v>178</v>
      </c>
      <c r="U876" s="6">
        <v>2</v>
      </c>
      <c r="V876" s="6" t="s">
        <v>1019</v>
      </c>
      <c r="W876" s="5">
        <v>39052</v>
      </c>
      <c r="X876" s="6">
        <v>2</v>
      </c>
      <c r="Y876" s="6">
        <v>2</v>
      </c>
      <c r="Z876" s="6">
        <v>2</v>
      </c>
      <c r="AA876" s="6" t="s">
        <v>178</v>
      </c>
      <c r="AB876" s="6">
        <v>2</v>
      </c>
      <c r="AC876" s="6" t="s">
        <v>180</v>
      </c>
    </row>
    <row r="877" spans="1:29" x14ac:dyDescent="0.25">
      <c r="A877" s="145" t="str">
        <f>HYPERLINK("http://www.ofsted.gov.uk/inspection-reports/find-inspection-report/provider/ELS/130793 ","Ofsted Webpage")</f>
        <v>Ofsted Webpage</v>
      </c>
      <c r="B877" s="151">
        <v>130793</v>
      </c>
      <c r="C877" s="151">
        <v>10000055</v>
      </c>
      <c r="D877" s="46" t="s">
        <v>1020</v>
      </c>
      <c r="E877" s="26" t="s">
        <v>81</v>
      </c>
      <c r="F877" s="26" t="s">
        <v>82</v>
      </c>
      <c r="G877" s="26" t="s">
        <v>590</v>
      </c>
      <c r="H877" s="26" t="s">
        <v>219</v>
      </c>
      <c r="I877" s="26" t="s">
        <v>219</v>
      </c>
      <c r="J877" s="2" t="s">
        <v>72</v>
      </c>
      <c r="K877" s="141" t="s">
        <v>72</v>
      </c>
      <c r="L877" s="141">
        <v>10020080</v>
      </c>
      <c r="M877" s="26" t="s">
        <v>194</v>
      </c>
      <c r="N877" s="2">
        <v>42822</v>
      </c>
      <c r="O877" s="2">
        <v>42825</v>
      </c>
      <c r="P877" s="133">
        <v>42863</v>
      </c>
      <c r="Q877" s="6">
        <v>2</v>
      </c>
      <c r="R877" s="6">
        <v>2</v>
      </c>
      <c r="S877" s="6">
        <v>2</v>
      </c>
      <c r="T877" s="6">
        <v>2</v>
      </c>
      <c r="U877" s="6">
        <v>2</v>
      </c>
      <c r="V877" s="6" t="s">
        <v>1021</v>
      </c>
      <c r="W877" s="5">
        <v>41670</v>
      </c>
      <c r="X877" s="6">
        <v>2</v>
      </c>
      <c r="Y877" s="6">
        <v>2</v>
      </c>
      <c r="Z877" s="6">
        <v>2</v>
      </c>
      <c r="AA877" s="6" t="s">
        <v>178</v>
      </c>
      <c r="AB877" s="6">
        <v>1</v>
      </c>
      <c r="AC877" s="6" t="s">
        <v>180</v>
      </c>
    </row>
    <row r="878" spans="1:29" x14ac:dyDescent="0.25">
      <c r="A878" s="145" t="str">
        <f>HYPERLINK("http://www.ofsted.gov.uk/inspection-reports/find-inspection-report/provider/ELS/130794 ","Ofsted Webpage")</f>
        <v>Ofsted Webpage</v>
      </c>
      <c r="B878" s="151">
        <v>130794</v>
      </c>
      <c r="C878" s="151">
        <v>10005583</v>
      </c>
      <c r="D878" s="46" t="s">
        <v>589</v>
      </c>
      <c r="E878" s="26" t="s">
        <v>84</v>
      </c>
      <c r="F878" s="26" t="s">
        <v>76</v>
      </c>
      <c r="G878" s="26" t="s">
        <v>590</v>
      </c>
      <c r="H878" s="26" t="s">
        <v>219</v>
      </c>
      <c r="I878" s="26" t="s">
        <v>219</v>
      </c>
      <c r="J878" s="2">
        <v>42641</v>
      </c>
      <c r="K878" s="141">
        <v>1</v>
      </c>
      <c r="L878" s="141" t="s">
        <v>591</v>
      </c>
      <c r="M878" s="26" t="s">
        <v>549</v>
      </c>
      <c r="N878" s="2">
        <v>41233</v>
      </c>
      <c r="O878" s="2">
        <v>41236</v>
      </c>
      <c r="P878" s="133">
        <v>41275</v>
      </c>
      <c r="Q878" s="6">
        <v>2</v>
      </c>
      <c r="R878" s="6">
        <v>2</v>
      </c>
      <c r="S878" s="6">
        <v>2</v>
      </c>
      <c r="T878" s="120" t="s">
        <v>178</v>
      </c>
      <c r="U878" s="6">
        <v>2</v>
      </c>
      <c r="V878" s="6" t="s">
        <v>592</v>
      </c>
      <c r="W878" s="5">
        <v>39367</v>
      </c>
      <c r="X878" s="6">
        <v>2</v>
      </c>
      <c r="Y878" s="6">
        <v>2</v>
      </c>
      <c r="Z878" s="6">
        <v>2</v>
      </c>
      <c r="AA878" s="6" t="s">
        <v>178</v>
      </c>
      <c r="AB878" s="6">
        <v>2</v>
      </c>
      <c r="AC878" s="6" t="s">
        <v>180</v>
      </c>
    </row>
    <row r="879" spans="1:29" x14ac:dyDescent="0.25">
      <c r="A879" s="145" t="str">
        <f>HYPERLINK("http://www.ofsted.gov.uk/inspection-reports/find-inspection-report/provider/ELS/130796 ","Ofsted Webpage")</f>
        <v>Ofsted Webpage</v>
      </c>
      <c r="B879" s="151">
        <v>130796</v>
      </c>
      <c r="C879" s="151">
        <v>10006549</v>
      </c>
      <c r="D879" s="46" t="s">
        <v>1022</v>
      </c>
      <c r="E879" s="26" t="s">
        <v>81</v>
      </c>
      <c r="F879" s="26" t="s">
        <v>82</v>
      </c>
      <c r="G879" s="26" t="s">
        <v>281</v>
      </c>
      <c r="H879" s="26" t="s">
        <v>193</v>
      </c>
      <c r="I879" s="26" t="s">
        <v>193</v>
      </c>
      <c r="J879" s="2" t="s">
        <v>72</v>
      </c>
      <c r="K879" s="141" t="s">
        <v>72</v>
      </c>
      <c r="L879" s="141">
        <v>10030742</v>
      </c>
      <c r="M879" s="26" t="s">
        <v>622</v>
      </c>
      <c r="N879" s="2">
        <v>42892</v>
      </c>
      <c r="O879" s="2">
        <v>42895</v>
      </c>
      <c r="P879" s="133">
        <v>42915</v>
      </c>
      <c r="Q879" s="6">
        <v>3</v>
      </c>
      <c r="R879" s="6">
        <v>3</v>
      </c>
      <c r="S879" s="6">
        <v>3</v>
      </c>
      <c r="T879" s="6">
        <v>3</v>
      </c>
      <c r="U879" s="6">
        <v>3</v>
      </c>
      <c r="V879" s="6">
        <v>10012691</v>
      </c>
      <c r="W879" s="5">
        <v>42496</v>
      </c>
      <c r="X879" s="6">
        <v>4</v>
      </c>
      <c r="Y879" s="6">
        <v>4</v>
      </c>
      <c r="Z879" s="6">
        <v>4</v>
      </c>
      <c r="AA879" s="6">
        <v>4</v>
      </c>
      <c r="AB879" s="6">
        <v>4</v>
      </c>
      <c r="AC879" s="6" t="s">
        <v>216</v>
      </c>
    </row>
    <row r="880" spans="1:29" x14ac:dyDescent="0.25">
      <c r="A880" s="145" t="str">
        <f>HYPERLINK("http://www.ofsted.gov.uk/inspection-reports/find-inspection-report/provider/ELS/130797 ","Ofsted Webpage")</f>
        <v>Ofsted Webpage</v>
      </c>
      <c r="B880" s="151">
        <v>130797</v>
      </c>
      <c r="C880" s="151">
        <v>10007299</v>
      </c>
      <c r="D880" s="46" t="s">
        <v>1753</v>
      </c>
      <c r="E880" s="26" t="s">
        <v>81</v>
      </c>
      <c r="F880" s="26" t="s">
        <v>82</v>
      </c>
      <c r="G880" s="26" t="s">
        <v>1228</v>
      </c>
      <c r="H880" s="26" t="s">
        <v>193</v>
      </c>
      <c r="I880" s="26" t="s">
        <v>193</v>
      </c>
      <c r="J880" s="2" t="s">
        <v>72</v>
      </c>
      <c r="K880" s="141" t="s">
        <v>72</v>
      </c>
      <c r="L880" s="141">
        <v>10030716</v>
      </c>
      <c r="M880" s="26" t="s">
        <v>622</v>
      </c>
      <c r="N880" s="2">
        <v>42864</v>
      </c>
      <c r="O880" s="2">
        <v>42867</v>
      </c>
      <c r="P880" s="133">
        <v>42891</v>
      </c>
      <c r="Q880" s="6">
        <v>3</v>
      </c>
      <c r="R880" s="6">
        <v>3</v>
      </c>
      <c r="S880" s="6">
        <v>3</v>
      </c>
      <c r="T880" s="6">
        <v>2</v>
      </c>
      <c r="U880" s="6">
        <v>3</v>
      </c>
      <c r="V880" s="6">
        <v>10004771</v>
      </c>
      <c r="W880" s="5">
        <v>42398</v>
      </c>
      <c r="X880" s="6">
        <v>4</v>
      </c>
      <c r="Y880" s="6">
        <v>3</v>
      </c>
      <c r="Z880" s="6">
        <v>3</v>
      </c>
      <c r="AA880" s="6">
        <v>3</v>
      </c>
      <c r="AB880" s="6">
        <v>4</v>
      </c>
      <c r="AC880" s="6" t="s">
        <v>216</v>
      </c>
    </row>
    <row r="881" spans="1:29" x14ac:dyDescent="0.25">
      <c r="A881" s="145" t="str">
        <f>HYPERLINK("http://www.ofsted.gov.uk/inspection-reports/find-inspection-report/provider/ELS/130800 ","Ofsted Webpage")</f>
        <v>Ofsted Webpage</v>
      </c>
      <c r="B881" s="151">
        <v>130800</v>
      </c>
      <c r="C881" s="151">
        <v>10005822</v>
      </c>
      <c r="D881" s="46" t="s">
        <v>1754</v>
      </c>
      <c r="E881" s="26" t="s">
        <v>83</v>
      </c>
      <c r="F881" s="26" t="s">
        <v>82</v>
      </c>
      <c r="G881" s="26" t="s">
        <v>1228</v>
      </c>
      <c r="H881" s="26" t="s">
        <v>193</v>
      </c>
      <c r="I881" s="26" t="s">
        <v>193</v>
      </c>
      <c r="J881" s="2" t="s">
        <v>72</v>
      </c>
      <c r="K881" s="141" t="s">
        <v>72</v>
      </c>
      <c r="L881" s="141" t="s">
        <v>1755</v>
      </c>
      <c r="M881" s="26" t="s">
        <v>372</v>
      </c>
      <c r="N881" s="2">
        <v>41562</v>
      </c>
      <c r="O881" s="2">
        <v>41565</v>
      </c>
      <c r="P881" s="133">
        <v>41590</v>
      </c>
      <c r="Q881" s="6">
        <v>2</v>
      </c>
      <c r="R881" s="6">
        <v>2</v>
      </c>
      <c r="S881" s="6">
        <v>2</v>
      </c>
      <c r="T881" s="120" t="s">
        <v>178</v>
      </c>
      <c r="U881" s="6">
        <v>2</v>
      </c>
      <c r="V881" s="6" t="s">
        <v>1756</v>
      </c>
      <c r="W881" s="5">
        <v>39521</v>
      </c>
      <c r="X881" s="6">
        <v>2</v>
      </c>
      <c r="Y881" s="6">
        <v>2</v>
      </c>
      <c r="Z881" s="6">
        <v>2</v>
      </c>
      <c r="AA881" s="6" t="s">
        <v>178</v>
      </c>
      <c r="AB881" s="6">
        <v>2</v>
      </c>
      <c r="AC881" s="6" t="s">
        <v>180</v>
      </c>
    </row>
    <row r="882" spans="1:29" x14ac:dyDescent="0.25">
      <c r="A882" s="145" t="str">
        <f>HYPERLINK("http://www.ofsted.gov.uk/inspection-reports/find-inspection-report/provider/ELS/130801 ","Ofsted Webpage")</f>
        <v>Ofsted Webpage</v>
      </c>
      <c r="B882" s="151">
        <v>130801</v>
      </c>
      <c r="C882" s="151">
        <v>10004580</v>
      </c>
      <c r="D882" s="46" t="s">
        <v>1757</v>
      </c>
      <c r="E882" s="26" t="s">
        <v>83</v>
      </c>
      <c r="F882" s="26" t="s">
        <v>82</v>
      </c>
      <c r="G882" s="26" t="s">
        <v>281</v>
      </c>
      <c r="H882" s="26" t="s">
        <v>193</v>
      </c>
      <c r="I882" s="26" t="s">
        <v>193</v>
      </c>
      <c r="J882" s="2" t="s">
        <v>72</v>
      </c>
      <c r="K882" s="141" t="s">
        <v>72</v>
      </c>
      <c r="L882" s="141">
        <v>10004772</v>
      </c>
      <c r="M882" s="26" t="s">
        <v>228</v>
      </c>
      <c r="N882" s="2">
        <v>42710</v>
      </c>
      <c r="O882" s="2">
        <v>42712</v>
      </c>
      <c r="P882" s="133">
        <v>42753</v>
      </c>
      <c r="Q882" s="6">
        <v>3</v>
      </c>
      <c r="R882" s="6">
        <v>3</v>
      </c>
      <c r="S882" s="6">
        <v>3</v>
      </c>
      <c r="T882" s="6">
        <v>2</v>
      </c>
      <c r="U882" s="6">
        <v>3</v>
      </c>
      <c r="V882" s="6" t="s">
        <v>1758</v>
      </c>
      <c r="W882" s="5">
        <v>42048</v>
      </c>
      <c r="X882" s="6">
        <v>3</v>
      </c>
      <c r="Y882" s="6">
        <v>3</v>
      </c>
      <c r="Z882" s="6">
        <v>3</v>
      </c>
      <c r="AA882" s="6" t="s">
        <v>178</v>
      </c>
      <c r="AB882" s="6">
        <v>3</v>
      </c>
      <c r="AC882" s="6" t="s">
        <v>180</v>
      </c>
    </row>
    <row r="883" spans="1:29" x14ac:dyDescent="0.25">
      <c r="A883" s="145" t="str">
        <f>HYPERLINK("http://www.ofsted.gov.uk/inspection-reports/find-inspection-report/provider/ELS/130803 ","Ofsted Webpage")</f>
        <v>Ofsted Webpage</v>
      </c>
      <c r="B883" s="151">
        <v>130803</v>
      </c>
      <c r="C883" s="151">
        <v>10000878</v>
      </c>
      <c r="D883" s="46" t="s">
        <v>1759</v>
      </c>
      <c r="E883" s="26" t="s">
        <v>81</v>
      </c>
      <c r="F883" s="26" t="s">
        <v>82</v>
      </c>
      <c r="G883" s="26" t="s">
        <v>464</v>
      </c>
      <c r="H883" s="26" t="s">
        <v>198</v>
      </c>
      <c r="I883" s="26" t="s">
        <v>198</v>
      </c>
      <c r="J883" s="2" t="s">
        <v>72</v>
      </c>
      <c r="K883" s="141" t="s">
        <v>72</v>
      </c>
      <c r="L883" s="141" t="s">
        <v>1760</v>
      </c>
      <c r="M883" s="26" t="s">
        <v>1592</v>
      </c>
      <c r="N883" s="2">
        <v>39038</v>
      </c>
      <c r="O883" s="2">
        <v>39038</v>
      </c>
      <c r="P883" s="133">
        <v>39094</v>
      </c>
      <c r="Q883" s="6">
        <v>1</v>
      </c>
      <c r="R883" s="6">
        <v>1</v>
      </c>
      <c r="S883" s="6">
        <v>1</v>
      </c>
      <c r="T883" s="120" t="s">
        <v>178</v>
      </c>
      <c r="U883" s="6">
        <v>1</v>
      </c>
      <c r="V883" s="6" t="s">
        <v>72</v>
      </c>
      <c r="W883" s="5" t="s">
        <v>72</v>
      </c>
      <c r="X883" s="6" t="s">
        <v>72</v>
      </c>
      <c r="Y883" s="6" t="s">
        <v>72</v>
      </c>
      <c r="Z883" s="6" t="s">
        <v>72</v>
      </c>
      <c r="AA883" s="6" t="s">
        <v>72</v>
      </c>
      <c r="AB883" s="6" t="s">
        <v>72</v>
      </c>
      <c r="AC883" s="6" t="s">
        <v>208</v>
      </c>
    </row>
    <row r="884" spans="1:29" x14ac:dyDescent="0.25">
      <c r="A884" s="145" t="str">
        <f>HYPERLINK("http://www.ofsted.gov.uk/inspection-reports/find-inspection-report/provider/ELS/130805 ","Ofsted Webpage")</f>
        <v>Ofsted Webpage</v>
      </c>
      <c r="B884" s="151">
        <v>130805</v>
      </c>
      <c r="C884" s="151">
        <v>10007696</v>
      </c>
      <c r="D884" s="46" t="s">
        <v>1761</v>
      </c>
      <c r="E884" s="26" t="s">
        <v>81</v>
      </c>
      <c r="F884" s="26" t="s">
        <v>82</v>
      </c>
      <c r="G884" s="26" t="s">
        <v>464</v>
      </c>
      <c r="H884" s="26" t="s">
        <v>198</v>
      </c>
      <c r="I884" s="26" t="s">
        <v>198</v>
      </c>
      <c r="J884" s="2" t="s">
        <v>72</v>
      </c>
      <c r="K884" s="141" t="s">
        <v>72</v>
      </c>
      <c r="L884" s="141">
        <v>10020108</v>
      </c>
      <c r="M884" s="26" t="s">
        <v>194</v>
      </c>
      <c r="N884" s="2">
        <v>42647</v>
      </c>
      <c r="O884" s="2">
        <v>42650</v>
      </c>
      <c r="P884" s="133">
        <v>42690</v>
      </c>
      <c r="Q884" s="6">
        <v>2</v>
      </c>
      <c r="R884" s="6">
        <v>2</v>
      </c>
      <c r="S884" s="6">
        <v>2</v>
      </c>
      <c r="T884" s="6">
        <v>2</v>
      </c>
      <c r="U884" s="6">
        <v>2</v>
      </c>
      <c r="V884" s="6" t="s">
        <v>1762</v>
      </c>
      <c r="W884" s="5">
        <v>41019</v>
      </c>
      <c r="X884" s="6">
        <v>2</v>
      </c>
      <c r="Y884" s="6">
        <v>3</v>
      </c>
      <c r="Z884" s="6">
        <v>2</v>
      </c>
      <c r="AA884" s="6" t="s">
        <v>178</v>
      </c>
      <c r="AB884" s="6">
        <v>2</v>
      </c>
      <c r="AC884" s="6" t="s">
        <v>180</v>
      </c>
    </row>
    <row r="885" spans="1:29" x14ac:dyDescent="0.25">
      <c r="A885" s="145" t="str">
        <f>HYPERLINK("http://www.ofsted.gov.uk/inspection-reports/find-inspection-report/provider/ELS/130806 ","Ofsted Webpage")</f>
        <v>Ofsted Webpage</v>
      </c>
      <c r="B885" s="151">
        <v>130806</v>
      </c>
      <c r="C885" s="151">
        <v>10006378</v>
      </c>
      <c r="D885" s="46" t="s">
        <v>1763</v>
      </c>
      <c r="E885" s="26" t="s">
        <v>81</v>
      </c>
      <c r="F885" s="26" t="s">
        <v>82</v>
      </c>
      <c r="G885" s="26" t="s">
        <v>464</v>
      </c>
      <c r="H885" s="26" t="s">
        <v>198</v>
      </c>
      <c r="I885" s="26" t="s">
        <v>198</v>
      </c>
      <c r="J885" s="2" t="s">
        <v>72</v>
      </c>
      <c r="K885" s="141" t="s">
        <v>72</v>
      </c>
      <c r="L885" s="141" t="s">
        <v>1764</v>
      </c>
      <c r="M885" s="26" t="s">
        <v>194</v>
      </c>
      <c r="N885" s="2">
        <v>41905</v>
      </c>
      <c r="O885" s="2">
        <v>41908</v>
      </c>
      <c r="P885" s="133">
        <v>41943</v>
      </c>
      <c r="Q885" s="6">
        <v>1</v>
      </c>
      <c r="R885" s="6">
        <v>1</v>
      </c>
      <c r="S885" s="6">
        <v>1</v>
      </c>
      <c r="T885" s="120" t="s">
        <v>178</v>
      </c>
      <c r="U885" s="6">
        <v>1</v>
      </c>
      <c r="V885" s="6" t="s">
        <v>1765</v>
      </c>
      <c r="W885" s="5">
        <v>39723</v>
      </c>
      <c r="X885" s="6">
        <v>2</v>
      </c>
      <c r="Y885" s="6">
        <v>2</v>
      </c>
      <c r="Z885" s="6">
        <v>2</v>
      </c>
      <c r="AA885" s="6" t="s">
        <v>178</v>
      </c>
      <c r="AB885" s="6">
        <v>2</v>
      </c>
      <c r="AC885" s="6" t="s">
        <v>216</v>
      </c>
    </row>
    <row r="886" spans="1:29" x14ac:dyDescent="0.25">
      <c r="A886" s="145" t="str">
        <f>HYPERLINK("http://www.ofsted.gov.uk/inspection-reports/find-inspection-report/provider/ELS/130808 ","Ofsted Webpage")</f>
        <v>Ofsted Webpage</v>
      </c>
      <c r="B886" s="151">
        <v>130808</v>
      </c>
      <c r="C886" s="151">
        <v>10005465</v>
      </c>
      <c r="D886" s="46" t="s">
        <v>1994</v>
      </c>
      <c r="E886" s="26" t="s">
        <v>83</v>
      </c>
      <c r="F886" s="26" t="s">
        <v>82</v>
      </c>
      <c r="G886" s="26" t="s">
        <v>464</v>
      </c>
      <c r="H886" s="26" t="s">
        <v>198</v>
      </c>
      <c r="I886" s="26" t="s">
        <v>198</v>
      </c>
      <c r="J886" s="2" t="s">
        <v>72</v>
      </c>
      <c r="K886" s="141" t="s">
        <v>72</v>
      </c>
      <c r="L886" s="141" t="s">
        <v>1995</v>
      </c>
      <c r="M886" s="26" t="s">
        <v>409</v>
      </c>
      <c r="N886" s="2">
        <v>39357</v>
      </c>
      <c r="O886" s="2">
        <v>39358</v>
      </c>
      <c r="P886" s="133">
        <v>39409</v>
      </c>
      <c r="Q886" s="6">
        <v>1</v>
      </c>
      <c r="R886" s="6">
        <v>1</v>
      </c>
      <c r="S886" s="6">
        <v>1</v>
      </c>
      <c r="T886" s="120" t="s">
        <v>178</v>
      </c>
      <c r="U886" s="6">
        <v>1</v>
      </c>
      <c r="V886" s="6" t="s">
        <v>72</v>
      </c>
      <c r="W886" s="5" t="s">
        <v>72</v>
      </c>
      <c r="X886" s="6" t="s">
        <v>72</v>
      </c>
      <c r="Y886" s="6" t="s">
        <v>72</v>
      </c>
      <c r="Z886" s="6" t="s">
        <v>72</v>
      </c>
      <c r="AA886" s="6" t="s">
        <v>72</v>
      </c>
      <c r="AB886" s="6" t="s">
        <v>72</v>
      </c>
      <c r="AC886" s="6" t="s">
        <v>208</v>
      </c>
    </row>
    <row r="887" spans="1:29" x14ac:dyDescent="0.25">
      <c r="A887" s="145" t="str">
        <f>HYPERLINK("http://www.ofsted.gov.uk/inspection-reports/find-inspection-report/provider/ELS/130809 ","Ofsted Webpage")</f>
        <v>Ofsted Webpage</v>
      </c>
      <c r="B887" s="151">
        <v>130809</v>
      </c>
      <c r="C887" s="151">
        <v>10001004</v>
      </c>
      <c r="D887" s="46" t="s">
        <v>253</v>
      </c>
      <c r="E887" s="26" t="s">
        <v>81</v>
      </c>
      <c r="F887" s="26" t="s">
        <v>82</v>
      </c>
      <c r="G887" s="26" t="s">
        <v>254</v>
      </c>
      <c r="H887" s="26" t="s">
        <v>193</v>
      </c>
      <c r="I887" s="26" t="s">
        <v>193</v>
      </c>
      <c r="J887" s="2" t="s">
        <v>72</v>
      </c>
      <c r="K887" s="141" t="s">
        <v>72</v>
      </c>
      <c r="L887" s="141">
        <v>10037406</v>
      </c>
      <c r="M887" s="26" t="s">
        <v>215</v>
      </c>
      <c r="N887" s="2">
        <v>43004</v>
      </c>
      <c r="O887" s="2">
        <v>43007</v>
      </c>
      <c r="P887" s="133">
        <v>43028</v>
      </c>
      <c r="Q887" s="6">
        <v>2</v>
      </c>
      <c r="R887" s="6">
        <v>2</v>
      </c>
      <c r="S887" s="6">
        <v>2</v>
      </c>
      <c r="T887" s="6">
        <v>2</v>
      </c>
      <c r="U887" s="6">
        <v>2</v>
      </c>
      <c r="V887" s="6">
        <v>10008495</v>
      </c>
      <c r="W887" s="5">
        <v>42433</v>
      </c>
      <c r="X887" s="6">
        <v>3</v>
      </c>
      <c r="Y887" s="6">
        <v>3</v>
      </c>
      <c r="Z887" s="6">
        <v>3</v>
      </c>
      <c r="AA887" s="6">
        <v>2</v>
      </c>
      <c r="AB887" s="6">
        <v>3</v>
      </c>
      <c r="AC887" s="6" t="s">
        <v>216</v>
      </c>
    </row>
    <row r="888" spans="1:29" x14ac:dyDescent="0.25">
      <c r="A888" s="145" t="str">
        <f>HYPERLINK("http://www.ofsted.gov.uk/inspection-reports/find-inspection-report/provider/ELS/130812 ","Ofsted Webpage")</f>
        <v>Ofsted Webpage</v>
      </c>
      <c r="B888" s="151">
        <v>130812</v>
      </c>
      <c r="C888" s="151">
        <v>10004603</v>
      </c>
      <c r="D888" s="46" t="s">
        <v>1996</v>
      </c>
      <c r="E888" s="26" t="s">
        <v>81</v>
      </c>
      <c r="F888" s="26" t="s">
        <v>82</v>
      </c>
      <c r="G888" s="26" t="s">
        <v>254</v>
      </c>
      <c r="H888" s="26" t="s">
        <v>193</v>
      </c>
      <c r="I888" s="26" t="s">
        <v>193</v>
      </c>
      <c r="J888" s="2" t="s">
        <v>72</v>
      </c>
      <c r="K888" s="141" t="s">
        <v>72</v>
      </c>
      <c r="L888" s="141" t="s">
        <v>1997</v>
      </c>
      <c r="M888" s="26" t="s">
        <v>194</v>
      </c>
      <c r="N888" s="2">
        <v>41603</v>
      </c>
      <c r="O888" s="2">
        <v>41607</v>
      </c>
      <c r="P888" s="133">
        <v>41647</v>
      </c>
      <c r="Q888" s="6">
        <v>2</v>
      </c>
      <c r="R888" s="6">
        <v>2</v>
      </c>
      <c r="S888" s="6">
        <v>2</v>
      </c>
      <c r="T888" s="120" t="s">
        <v>178</v>
      </c>
      <c r="U888" s="6">
        <v>2</v>
      </c>
      <c r="V888" s="6" t="s">
        <v>1998</v>
      </c>
      <c r="W888" s="5">
        <v>39388</v>
      </c>
      <c r="X888" s="6">
        <v>2</v>
      </c>
      <c r="Y888" s="6">
        <v>2</v>
      </c>
      <c r="Z888" s="6">
        <v>2</v>
      </c>
      <c r="AA888" s="6" t="s">
        <v>178</v>
      </c>
      <c r="AB888" s="6">
        <v>2</v>
      </c>
      <c r="AC888" s="6" t="s">
        <v>180</v>
      </c>
    </row>
    <row r="889" spans="1:29" x14ac:dyDescent="0.25">
      <c r="A889" s="145" t="str">
        <f>HYPERLINK("http://www.ofsted.gov.uk/inspection-reports/find-inspection-report/provider/ELS/130815 ","Ofsted Webpage")</f>
        <v>Ofsted Webpage</v>
      </c>
      <c r="B889" s="151">
        <v>130815</v>
      </c>
      <c r="C889" s="151">
        <v>10006349</v>
      </c>
      <c r="D889" s="46" t="s">
        <v>1999</v>
      </c>
      <c r="E889" s="26" t="s">
        <v>81</v>
      </c>
      <c r="F889" s="26" t="s">
        <v>82</v>
      </c>
      <c r="G889" s="26" t="s">
        <v>530</v>
      </c>
      <c r="H889" s="26" t="s">
        <v>193</v>
      </c>
      <c r="I889" s="26" t="s">
        <v>193</v>
      </c>
      <c r="J889" s="2" t="s">
        <v>72</v>
      </c>
      <c r="K889" s="141" t="s">
        <v>72</v>
      </c>
      <c r="L889" s="141">
        <v>10020091</v>
      </c>
      <c r="M889" s="26" t="s">
        <v>194</v>
      </c>
      <c r="N889" s="2">
        <v>42633</v>
      </c>
      <c r="O889" s="2">
        <v>42636</v>
      </c>
      <c r="P889" s="133">
        <v>42690</v>
      </c>
      <c r="Q889" s="6">
        <v>3</v>
      </c>
      <c r="R889" s="6">
        <v>3</v>
      </c>
      <c r="S889" s="6">
        <v>3</v>
      </c>
      <c r="T889" s="6">
        <v>3</v>
      </c>
      <c r="U889" s="6">
        <v>3</v>
      </c>
      <c r="V889" s="6" t="s">
        <v>2000</v>
      </c>
      <c r="W889" s="5">
        <v>41614</v>
      </c>
      <c r="X889" s="6">
        <v>2</v>
      </c>
      <c r="Y889" s="6">
        <v>2</v>
      </c>
      <c r="Z889" s="6">
        <v>2</v>
      </c>
      <c r="AA889" s="6" t="s">
        <v>178</v>
      </c>
      <c r="AB889" s="6">
        <v>2</v>
      </c>
      <c r="AC889" s="6" t="s">
        <v>201</v>
      </c>
    </row>
    <row r="890" spans="1:29" x14ac:dyDescent="0.25">
      <c r="A890" s="145" t="str">
        <f>HYPERLINK("http://www.ofsted.gov.uk/inspection-reports/find-inspection-report/provider/ELS/130818 ","Ofsted Webpage")</f>
        <v>Ofsted Webpage</v>
      </c>
      <c r="B890" s="151">
        <v>130818</v>
      </c>
      <c r="C890" s="151">
        <v>10007431</v>
      </c>
      <c r="D890" s="46" t="s">
        <v>2001</v>
      </c>
      <c r="E890" s="26" t="s">
        <v>81</v>
      </c>
      <c r="F890" s="26" t="s">
        <v>82</v>
      </c>
      <c r="G890" s="26" t="s">
        <v>419</v>
      </c>
      <c r="H890" s="26" t="s">
        <v>287</v>
      </c>
      <c r="I890" s="26" t="s">
        <v>287</v>
      </c>
      <c r="J890" s="2">
        <v>42501</v>
      </c>
      <c r="K890" s="141">
        <v>1</v>
      </c>
      <c r="L890" s="141" t="s">
        <v>2002</v>
      </c>
      <c r="M890" s="26" t="s">
        <v>369</v>
      </c>
      <c r="N890" s="2">
        <v>40322</v>
      </c>
      <c r="O890" s="2">
        <v>40326</v>
      </c>
      <c r="P890" s="133">
        <v>40364</v>
      </c>
      <c r="Q890" s="6">
        <v>2</v>
      </c>
      <c r="R890" s="6">
        <v>2</v>
      </c>
      <c r="S890" s="6">
        <v>2</v>
      </c>
      <c r="T890" s="120" t="s">
        <v>178</v>
      </c>
      <c r="U890" s="6">
        <v>2</v>
      </c>
      <c r="V890" s="6" t="s">
        <v>2003</v>
      </c>
      <c r="W890" s="5">
        <v>38863</v>
      </c>
      <c r="X890" s="6">
        <v>1</v>
      </c>
      <c r="Y890" s="6">
        <v>1</v>
      </c>
      <c r="Z890" s="6">
        <v>2</v>
      </c>
      <c r="AA890" s="6" t="s">
        <v>178</v>
      </c>
      <c r="AB890" s="6">
        <v>1</v>
      </c>
      <c r="AC890" s="6" t="s">
        <v>201</v>
      </c>
    </row>
    <row r="891" spans="1:29" x14ac:dyDescent="0.25">
      <c r="A891" s="145" t="str">
        <f>HYPERLINK("http://www.ofsted.gov.uk/inspection-reports/find-inspection-report/provider/ELS/130819 ","Ofsted Webpage")</f>
        <v>Ofsted Webpage</v>
      </c>
      <c r="B891" s="151">
        <v>130819</v>
      </c>
      <c r="C891" s="151">
        <v>10004116</v>
      </c>
      <c r="D891" s="46" t="s">
        <v>2004</v>
      </c>
      <c r="E891" s="26" t="s">
        <v>81</v>
      </c>
      <c r="F891" s="26" t="s">
        <v>82</v>
      </c>
      <c r="G891" s="26" t="s">
        <v>419</v>
      </c>
      <c r="H891" s="26" t="s">
        <v>287</v>
      </c>
      <c r="I891" s="26" t="s">
        <v>287</v>
      </c>
      <c r="J891" s="2" t="s">
        <v>72</v>
      </c>
      <c r="K891" s="141" t="s">
        <v>72</v>
      </c>
      <c r="L891" s="141">
        <v>10011445</v>
      </c>
      <c r="M891" s="26" t="s">
        <v>1011</v>
      </c>
      <c r="N891" s="2">
        <v>42486</v>
      </c>
      <c r="O891" s="2">
        <v>42489</v>
      </c>
      <c r="P891" s="133">
        <v>42515</v>
      </c>
      <c r="Q891" s="6">
        <v>3</v>
      </c>
      <c r="R891" s="6">
        <v>3</v>
      </c>
      <c r="S891" s="6">
        <v>3</v>
      </c>
      <c r="T891" s="6">
        <v>3</v>
      </c>
      <c r="U891" s="6">
        <v>3</v>
      </c>
      <c r="V891" s="6" t="s">
        <v>2005</v>
      </c>
      <c r="W891" s="5">
        <v>41978</v>
      </c>
      <c r="X891" s="6">
        <v>3</v>
      </c>
      <c r="Y891" s="6">
        <v>3</v>
      </c>
      <c r="Z891" s="6">
        <v>3</v>
      </c>
      <c r="AA891" s="6" t="s">
        <v>178</v>
      </c>
      <c r="AB891" s="6">
        <v>3</v>
      </c>
      <c r="AC891" s="6" t="s">
        <v>180</v>
      </c>
    </row>
    <row r="892" spans="1:29" x14ac:dyDescent="0.25">
      <c r="A892" s="145" t="str">
        <f>HYPERLINK("http://www.ofsted.gov.uk/inspection-reports/find-inspection-report/provider/ELS/130820 ","Ofsted Webpage")</f>
        <v>Ofsted Webpage</v>
      </c>
      <c r="B892" s="151">
        <v>130820</v>
      </c>
      <c r="C892" s="151">
        <v>10006398</v>
      </c>
      <c r="D892" s="46" t="s">
        <v>418</v>
      </c>
      <c r="E892" s="26" t="s">
        <v>81</v>
      </c>
      <c r="F892" s="26" t="s">
        <v>82</v>
      </c>
      <c r="G892" s="26" t="s">
        <v>419</v>
      </c>
      <c r="H892" s="26" t="s">
        <v>287</v>
      </c>
      <c r="I892" s="26" t="s">
        <v>287</v>
      </c>
      <c r="J892" s="2" t="s">
        <v>72</v>
      </c>
      <c r="K892" s="141" t="s">
        <v>72</v>
      </c>
      <c r="L892" s="141">
        <v>10037407</v>
      </c>
      <c r="M892" s="26" t="s">
        <v>215</v>
      </c>
      <c r="N892" s="2">
        <v>43025</v>
      </c>
      <c r="O892" s="2">
        <v>43028</v>
      </c>
      <c r="P892" s="133">
        <v>43069</v>
      </c>
      <c r="Q892" s="6">
        <v>2</v>
      </c>
      <c r="R892" s="6">
        <v>2</v>
      </c>
      <c r="S892" s="6">
        <v>2</v>
      </c>
      <c r="T892" s="6">
        <v>2</v>
      </c>
      <c r="U892" s="6">
        <v>2</v>
      </c>
      <c r="V892" s="6">
        <v>10004779</v>
      </c>
      <c r="W892" s="5">
        <v>42321</v>
      </c>
      <c r="X892" s="6">
        <v>3</v>
      </c>
      <c r="Y892" s="6">
        <v>3</v>
      </c>
      <c r="Z892" s="6">
        <v>3</v>
      </c>
      <c r="AA892" s="6">
        <v>2</v>
      </c>
      <c r="AB892" s="6">
        <v>3</v>
      </c>
      <c r="AC892" s="6" t="s">
        <v>216</v>
      </c>
    </row>
    <row r="893" spans="1:29" x14ac:dyDescent="0.25">
      <c r="A893" s="145" t="str">
        <f>HYPERLINK("http://www.ofsted.gov.uk/inspection-reports/find-inspection-report/provider/ELS/130822 ","Ofsted Webpage")</f>
        <v>Ofsted Webpage</v>
      </c>
      <c r="B893" s="151">
        <v>130822</v>
      </c>
      <c r="C893" s="151">
        <v>10004686</v>
      </c>
      <c r="D893" s="46" t="s">
        <v>420</v>
      </c>
      <c r="E893" s="26" t="s">
        <v>81</v>
      </c>
      <c r="F893" s="26" t="s">
        <v>82</v>
      </c>
      <c r="G893" s="26" t="s">
        <v>421</v>
      </c>
      <c r="H893" s="26" t="s">
        <v>219</v>
      </c>
      <c r="I893" s="26" t="s">
        <v>219</v>
      </c>
      <c r="J893" s="2">
        <v>42383</v>
      </c>
      <c r="K893" s="141">
        <v>1</v>
      </c>
      <c r="L893" s="141" t="s">
        <v>422</v>
      </c>
      <c r="M893" s="26" t="s">
        <v>377</v>
      </c>
      <c r="N893" s="2">
        <v>40448</v>
      </c>
      <c r="O893" s="2">
        <v>40452</v>
      </c>
      <c r="P893" s="133">
        <v>40486</v>
      </c>
      <c r="Q893" s="6">
        <v>2</v>
      </c>
      <c r="R893" s="6">
        <v>2</v>
      </c>
      <c r="S893" s="6">
        <v>2</v>
      </c>
      <c r="T893" s="120" t="s">
        <v>178</v>
      </c>
      <c r="U893" s="6">
        <v>1</v>
      </c>
      <c r="V893" s="6" t="s">
        <v>423</v>
      </c>
      <c r="W893" s="5">
        <v>39059</v>
      </c>
      <c r="X893" s="6">
        <v>3</v>
      </c>
      <c r="Y893" s="6">
        <v>3</v>
      </c>
      <c r="Z893" s="6">
        <v>3</v>
      </c>
      <c r="AA893" s="6" t="s">
        <v>178</v>
      </c>
      <c r="AB893" s="6">
        <v>2</v>
      </c>
      <c r="AC893" s="6" t="s">
        <v>216</v>
      </c>
    </row>
    <row r="894" spans="1:29" x14ac:dyDescent="0.25">
      <c r="A894" s="145" t="str">
        <f>HYPERLINK("http://www.ofsted.gov.uk/inspection-reports/find-inspection-report/provider/ELS/130823 ","Ofsted Webpage")</f>
        <v>Ofsted Webpage</v>
      </c>
      <c r="B894" s="151">
        <v>130823</v>
      </c>
      <c r="C894" s="151">
        <v>10002815</v>
      </c>
      <c r="D894" s="46" t="s">
        <v>424</v>
      </c>
      <c r="E894" s="26" t="s">
        <v>81</v>
      </c>
      <c r="F894" s="26" t="s">
        <v>82</v>
      </c>
      <c r="G894" s="26" t="s">
        <v>421</v>
      </c>
      <c r="H894" s="26" t="s">
        <v>219</v>
      </c>
      <c r="I894" s="26" t="s">
        <v>219</v>
      </c>
      <c r="J894" s="2" t="s">
        <v>72</v>
      </c>
      <c r="K894" s="141" t="s">
        <v>72</v>
      </c>
      <c r="L894" s="141">
        <v>10030682</v>
      </c>
      <c r="M894" s="26" t="s">
        <v>215</v>
      </c>
      <c r="N894" s="2">
        <v>42864</v>
      </c>
      <c r="O894" s="2">
        <v>42867</v>
      </c>
      <c r="P894" s="133">
        <v>42906</v>
      </c>
      <c r="Q894" s="6">
        <v>3</v>
      </c>
      <c r="R894" s="6">
        <v>3</v>
      </c>
      <c r="S894" s="6">
        <v>3</v>
      </c>
      <c r="T894" s="6">
        <v>3</v>
      </c>
      <c r="U894" s="6">
        <v>3</v>
      </c>
      <c r="V894" s="6" t="s">
        <v>425</v>
      </c>
      <c r="W894" s="5">
        <v>42160</v>
      </c>
      <c r="X894" s="6">
        <v>3</v>
      </c>
      <c r="Y894" s="6">
        <v>3</v>
      </c>
      <c r="Z894" s="6">
        <v>3</v>
      </c>
      <c r="AA894" s="6" t="s">
        <v>178</v>
      </c>
      <c r="AB894" s="6">
        <v>3</v>
      </c>
      <c r="AC894" s="6" t="s">
        <v>180</v>
      </c>
    </row>
    <row r="895" spans="1:29" x14ac:dyDescent="0.25">
      <c r="A895" s="145" t="str">
        <f>HYPERLINK("http://www.ofsted.gov.uk/inspection-reports/find-inspection-report/provider/ELS/130824 ","Ofsted Webpage")</f>
        <v>Ofsted Webpage</v>
      </c>
      <c r="B895" s="151">
        <v>130824</v>
      </c>
      <c r="C895" s="151">
        <v>10002130</v>
      </c>
      <c r="D895" s="46" t="s">
        <v>426</v>
      </c>
      <c r="E895" s="26" t="s">
        <v>81</v>
      </c>
      <c r="F895" s="26" t="s">
        <v>82</v>
      </c>
      <c r="G895" s="26" t="s">
        <v>421</v>
      </c>
      <c r="H895" s="26" t="s">
        <v>219</v>
      </c>
      <c r="I895" s="26" t="s">
        <v>219</v>
      </c>
      <c r="J895" s="2">
        <v>43020</v>
      </c>
      <c r="K895" s="141">
        <v>1</v>
      </c>
      <c r="L895" s="141" t="s">
        <v>427</v>
      </c>
      <c r="M895" s="26" t="s">
        <v>194</v>
      </c>
      <c r="N895" s="2">
        <v>41982</v>
      </c>
      <c r="O895" s="2">
        <v>41985</v>
      </c>
      <c r="P895" s="133">
        <v>42025</v>
      </c>
      <c r="Q895" s="6">
        <v>2</v>
      </c>
      <c r="R895" s="6">
        <v>2</v>
      </c>
      <c r="S895" s="6">
        <v>2</v>
      </c>
      <c r="T895" s="120" t="s">
        <v>178</v>
      </c>
      <c r="U895" s="6">
        <v>2</v>
      </c>
      <c r="V895" s="6" t="s">
        <v>428</v>
      </c>
      <c r="W895" s="5">
        <v>39829</v>
      </c>
      <c r="X895" s="6">
        <v>2</v>
      </c>
      <c r="Y895" s="6">
        <v>2</v>
      </c>
      <c r="Z895" s="6">
        <v>2</v>
      </c>
      <c r="AA895" s="6" t="s">
        <v>178</v>
      </c>
      <c r="AB895" s="6">
        <v>2</v>
      </c>
      <c r="AC895" s="6" t="s">
        <v>180</v>
      </c>
    </row>
    <row r="896" spans="1:29" x14ac:dyDescent="0.25">
      <c r="A896" s="145" t="str">
        <f>HYPERLINK("http://www.ofsted.gov.uk/inspection-reports/find-inspection-report/provider/ELS/130825 ","Ofsted Webpage")</f>
        <v>Ofsted Webpage</v>
      </c>
      <c r="B896" s="151">
        <v>130825</v>
      </c>
      <c r="C896" s="151">
        <v>10000950</v>
      </c>
      <c r="D896" s="46" t="s">
        <v>429</v>
      </c>
      <c r="E896" s="26" t="s">
        <v>81</v>
      </c>
      <c r="F896" s="26" t="s">
        <v>82</v>
      </c>
      <c r="G896" s="26" t="s">
        <v>421</v>
      </c>
      <c r="H896" s="26" t="s">
        <v>219</v>
      </c>
      <c r="I896" s="26" t="s">
        <v>219</v>
      </c>
      <c r="J896" s="2">
        <v>43041</v>
      </c>
      <c r="K896" s="141">
        <v>1</v>
      </c>
      <c r="L896" s="141" t="s">
        <v>430</v>
      </c>
      <c r="M896" s="26" t="s">
        <v>194</v>
      </c>
      <c r="N896" s="2">
        <v>41610</v>
      </c>
      <c r="O896" s="2">
        <v>41614</v>
      </c>
      <c r="P896" s="133">
        <v>41654</v>
      </c>
      <c r="Q896" s="6">
        <v>2</v>
      </c>
      <c r="R896" s="6">
        <v>3</v>
      </c>
      <c r="S896" s="6">
        <v>2</v>
      </c>
      <c r="T896" s="120" t="s">
        <v>178</v>
      </c>
      <c r="U896" s="6">
        <v>2</v>
      </c>
      <c r="V896" s="6" t="s">
        <v>431</v>
      </c>
      <c r="W896" s="5">
        <v>40949</v>
      </c>
      <c r="X896" s="6">
        <v>3</v>
      </c>
      <c r="Y896" s="6">
        <v>3</v>
      </c>
      <c r="Z896" s="6">
        <v>3</v>
      </c>
      <c r="AA896" s="6" t="s">
        <v>178</v>
      </c>
      <c r="AB896" s="6">
        <v>3</v>
      </c>
      <c r="AC896" s="6" t="s">
        <v>216</v>
      </c>
    </row>
    <row r="897" spans="1:29" x14ac:dyDescent="0.25">
      <c r="A897" s="145" t="str">
        <f>HYPERLINK("http://www.ofsted.gov.uk/inspection-reports/find-inspection-report/provider/ELS/130828 ","Ofsted Webpage")</f>
        <v>Ofsted Webpage</v>
      </c>
      <c r="B897" s="151">
        <v>130828</v>
      </c>
      <c r="C897" s="151">
        <v>10002710</v>
      </c>
      <c r="D897" s="46" t="s">
        <v>432</v>
      </c>
      <c r="E897" s="26" t="s">
        <v>83</v>
      </c>
      <c r="F897" s="26" t="s">
        <v>82</v>
      </c>
      <c r="G897" s="26" t="s">
        <v>421</v>
      </c>
      <c r="H897" s="26" t="s">
        <v>219</v>
      </c>
      <c r="I897" s="26" t="s">
        <v>219</v>
      </c>
      <c r="J897" s="2" t="s">
        <v>72</v>
      </c>
      <c r="K897" s="141" t="s">
        <v>72</v>
      </c>
      <c r="L897" s="141" t="s">
        <v>433</v>
      </c>
      <c r="M897" s="26" t="s">
        <v>369</v>
      </c>
      <c r="N897" s="2">
        <v>39589</v>
      </c>
      <c r="O897" s="2">
        <v>39590</v>
      </c>
      <c r="P897" s="133">
        <v>39640</v>
      </c>
      <c r="Q897" s="6">
        <v>1</v>
      </c>
      <c r="R897" s="6">
        <v>1</v>
      </c>
      <c r="S897" s="6">
        <v>1</v>
      </c>
      <c r="T897" s="120" t="s">
        <v>178</v>
      </c>
      <c r="U897" s="6">
        <v>1</v>
      </c>
      <c r="V897" s="6" t="s">
        <v>72</v>
      </c>
      <c r="W897" s="5" t="s">
        <v>72</v>
      </c>
      <c r="X897" s="6" t="s">
        <v>72</v>
      </c>
      <c r="Y897" s="6" t="s">
        <v>72</v>
      </c>
      <c r="Z897" s="6" t="s">
        <v>72</v>
      </c>
      <c r="AA897" s="6" t="s">
        <v>72</v>
      </c>
      <c r="AB897" s="6" t="s">
        <v>72</v>
      </c>
      <c r="AC897" s="6" t="s">
        <v>208</v>
      </c>
    </row>
    <row r="898" spans="1:29" x14ac:dyDescent="0.25">
      <c r="A898" s="145" t="str">
        <f>HYPERLINK("http://www.ofsted.gov.uk/inspection-reports/find-inspection-report/provider/ELS/130830 ","Ofsted Webpage")</f>
        <v>Ofsted Webpage</v>
      </c>
      <c r="B898" s="151">
        <v>130830</v>
      </c>
      <c r="C898" s="151">
        <v>10002314</v>
      </c>
      <c r="D898" s="46" t="s">
        <v>2105</v>
      </c>
      <c r="E898" s="26" t="s">
        <v>83</v>
      </c>
      <c r="F898" s="26" t="s">
        <v>82</v>
      </c>
      <c r="G898" s="26" t="s">
        <v>421</v>
      </c>
      <c r="H898" s="26" t="s">
        <v>219</v>
      </c>
      <c r="I898" s="26" t="s">
        <v>219</v>
      </c>
      <c r="J898" s="2" t="s">
        <v>72</v>
      </c>
      <c r="K898" s="141" t="s">
        <v>72</v>
      </c>
      <c r="L898" s="141" t="s">
        <v>2106</v>
      </c>
      <c r="M898" s="26" t="s">
        <v>369</v>
      </c>
      <c r="N898" s="2">
        <v>39575</v>
      </c>
      <c r="O898" s="2">
        <v>39576</v>
      </c>
      <c r="P898" s="133">
        <v>39626</v>
      </c>
      <c r="Q898" s="6">
        <v>1</v>
      </c>
      <c r="R898" s="6">
        <v>1</v>
      </c>
      <c r="S898" s="6">
        <v>1</v>
      </c>
      <c r="T898" s="120" t="s">
        <v>178</v>
      </c>
      <c r="U898" s="6">
        <v>1</v>
      </c>
      <c r="V898" s="6" t="s">
        <v>72</v>
      </c>
      <c r="W898" s="5" t="s">
        <v>72</v>
      </c>
      <c r="X898" s="6" t="s">
        <v>72</v>
      </c>
      <c r="Y898" s="6" t="s">
        <v>72</v>
      </c>
      <c r="Z898" s="6" t="s">
        <v>72</v>
      </c>
      <c r="AA898" s="6" t="s">
        <v>72</v>
      </c>
      <c r="AB898" s="6" t="s">
        <v>72</v>
      </c>
      <c r="AC898" s="6" t="s">
        <v>208</v>
      </c>
    </row>
    <row r="899" spans="1:29" x14ac:dyDescent="0.25">
      <c r="A899" s="145" t="str">
        <f>HYPERLINK("http://www.ofsted.gov.uk/inspection-reports/find-inspection-report/provider/ELS/130835 ","Ofsted Webpage")</f>
        <v>Ofsted Webpage</v>
      </c>
      <c r="B899" s="151">
        <v>130835</v>
      </c>
      <c r="C899" s="151">
        <v>10007859</v>
      </c>
      <c r="D899" s="46" t="s">
        <v>2107</v>
      </c>
      <c r="E899" s="26" t="s">
        <v>81</v>
      </c>
      <c r="F899" s="26" t="s">
        <v>82</v>
      </c>
      <c r="G899" s="26" t="s">
        <v>258</v>
      </c>
      <c r="H899" s="26" t="s">
        <v>193</v>
      </c>
      <c r="I899" s="26" t="s">
        <v>193</v>
      </c>
      <c r="J899" s="2" t="s">
        <v>72</v>
      </c>
      <c r="K899" s="141" t="s">
        <v>72</v>
      </c>
      <c r="L899" s="141" t="s">
        <v>2108</v>
      </c>
      <c r="M899" s="26" t="s">
        <v>194</v>
      </c>
      <c r="N899" s="2">
        <v>42072</v>
      </c>
      <c r="O899" s="2">
        <v>42076</v>
      </c>
      <c r="P899" s="133">
        <v>42096</v>
      </c>
      <c r="Q899" s="6">
        <v>2</v>
      </c>
      <c r="R899" s="6">
        <v>3</v>
      </c>
      <c r="S899" s="6">
        <v>2</v>
      </c>
      <c r="T899" s="120" t="s">
        <v>178</v>
      </c>
      <c r="U899" s="6">
        <v>2</v>
      </c>
      <c r="V899" s="6" t="s">
        <v>2109</v>
      </c>
      <c r="W899" s="5">
        <v>39472</v>
      </c>
      <c r="X899" s="6">
        <v>1</v>
      </c>
      <c r="Y899" s="6">
        <v>2</v>
      </c>
      <c r="Z899" s="6">
        <v>2</v>
      </c>
      <c r="AA899" s="6" t="s">
        <v>178</v>
      </c>
      <c r="AB899" s="6">
        <v>1</v>
      </c>
      <c r="AC899" s="6" t="s">
        <v>201</v>
      </c>
    </row>
    <row r="900" spans="1:29" x14ac:dyDescent="0.25">
      <c r="A900" s="145" t="str">
        <f>HYPERLINK("http://www.ofsted.gov.uk/inspection-reports/find-inspection-report/provider/ELS/130836 ","Ofsted Webpage")</f>
        <v>Ofsted Webpage</v>
      </c>
      <c r="B900" s="151">
        <v>130836</v>
      </c>
      <c r="C900" s="151">
        <v>10004718</v>
      </c>
      <c r="D900" s="46" t="s">
        <v>2110</v>
      </c>
      <c r="E900" s="26" t="s">
        <v>81</v>
      </c>
      <c r="F900" s="26" t="s">
        <v>82</v>
      </c>
      <c r="G900" s="26" t="s">
        <v>258</v>
      </c>
      <c r="H900" s="26" t="s">
        <v>193</v>
      </c>
      <c r="I900" s="26" t="s">
        <v>193</v>
      </c>
      <c r="J900" s="2" t="s">
        <v>72</v>
      </c>
      <c r="K900" s="141" t="s">
        <v>72</v>
      </c>
      <c r="L900" s="141" t="s">
        <v>2111</v>
      </c>
      <c r="M900" s="26" t="s">
        <v>369</v>
      </c>
      <c r="N900" s="2">
        <v>40980</v>
      </c>
      <c r="O900" s="2">
        <v>40984</v>
      </c>
      <c r="P900" s="133">
        <v>41023</v>
      </c>
      <c r="Q900" s="6">
        <v>2</v>
      </c>
      <c r="R900" s="6">
        <v>3</v>
      </c>
      <c r="S900" s="6">
        <v>2</v>
      </c>
      <c r="T900" s="120" t="s">
        <v>178</v>
      </c>
      <c r="U900" s="6">
        <v>2</v>
      </c>
      <c r="V900" s="6" t="s">
        <v>2112</v>
      </c>
      <c r="W900" s="5">
        <v>39388</v>
      </c>
      <c r="X900" s="6">
        <v>1</v>
      </c>
      <c r="Y900" s="6">
        <v>2</v>
      </c>
      <c r="Z900" s="6">
        <v>2</v>
      </c>
      <c r="AA900" s="6" t="s">
        <v>178</v>
      </c>
      <c r="AB900" s="6">
        <v>1</v>
      </c>
      <c r="AC900" s="6" t="s">
        <v>201</v>
      </c>
    </row>
    <row r="901" spans="1:29" x14ac:dyDescent="0.25">
      <c r="A901" s="145" t="str">
        <f>HYPERLINK("http://www.ofsted.gov.uk/inspection-reports/find-inspection-report/provider/ELS/130837 ","Ofsted Webpage")</f>
        <v>Ofsted Webpage</v>
      </c>
      <c r="B901" s="151">
        <v>130837</v>
      </c>
      <c r="C901" s="151">
        <v>10006002</v>
      </c>
      <c r="D901" s="46" t="s">
        <v>257</v>
      </c>
      <c r="E901" s="26" t="s">
        <v>81</v>
      </c>
      <c r="F901" s="26" t="s">
        <v>82</v>
      </c>
      <c r="G901" s="26" t="s">
        <v>258</v>
      </c>
      <c r="H901" s="26" t="s">
        <v>193</v>
      </c>
      <c r="I901" s="26" t="s">
        <v>193</v>
      </c>
      <c r="J901" s="2" t="s">
        <v>72</v>
      </c>
      <c r="K901" s="141" t="s">
        <v>72</v>
      </c>
      <c r="L901" s="141">
        <v>10037376</v>
      </c>
      <c r="M901" s="26" t="s">
        <v>194</v>
      </c>
      <c r="N901" s="2">
        <v>42997</v>
      </c>
      <c r="O901" s="2">
        <v>43000</v>
      </c>
      <c r="P901" s="133">
        <v>43038</v>
      </c>
      <c r="Q901" s="6">
        <v>3</v>
      </c>
      <c r="R901" s="6">
        <v>3</v>
      </c>
      <c r="S901" s="6">
        <v>3</v>
      </c>
      <c r="T901" s="6">
        <v>2</v>
      </c>
      <c r="U901" s="6">
        <v>3</v>
      </c>
      <c r="V901" s="6" t="s">
        <v>259</v>
      </c>
      <c r="W901" s="5">
        <v>42083</v>
      </c>
      <c r="X901" s="6">
        <v>2</v>
      </c>
      <c r="Y901" s="6">
        <v>3</v>
      </c>
      <c r="Z901" s="6">
        <v>2</v>
      </c>
      <c r="AA901" s="6" t="s">
        <v>178</v>
      </c>
      <c r="AB901" s="6">
        <v>2</v>
      </c>
      <c r="AC901" s="6" t="s">
        <v>201</v>
      </c>
    </row>
    <row r="902" spans="1:29" x14ac:dyDescent="0.25">
      <c r="A902" s="145" t="str">
        <f>HYPERLINK("http://www.ofsted.gov.uk/inspection-reports/find-inspection-report/provider/ELS/130840 ","Ofsted Webpage")</f>
        <v>Ofsted Webpage</v>
      </c>
      <c r="B902" s="151">
        <v>130840</v>
      </c>
      <c r="C902" s="151">
        <v>10003624</v>
      </c>
      <c r="D902" s="46" t="s">
        <v>2113</v>
      </c>
      <c r="E902" s="26" t="s">
        <v>83</v>
      </c>
      <c r="F902" s="26" t="s">
        <v>82</v>
      </c>
      <c r="G902" s="26" t="s">
        <v>258</v>
      </c>
      <c r="H902" s="26" t="s">
        <v>193</v>
      </c>
      <c r="I902" s="26" t="s">
        <v>193</v>
      </c>
      <c r="J902" s="2" t="s">
        <v>72</v>
      </c>
      <c r="K902" s="141" t="s">
        <v>72</v>
      </c>
      <c r="L902" s="141" t="s">
        <v>2114</v>
      </c>
      <c r="M902" s="26" t="s">
        <v>228</v>
      </c>
      <c r="N902" s="2">
        <v>42122</v>
      </c>
      <c r="O902" s="2">
        <v>42125</v>
      </c>
      <c r="P902" s="133">
        <v>42158</v>
      </c>
      <c r="Q902" s="6">
        <v>2</v>
      </c>
      <c r="R902" s="6">
        <v>2</v>
      </c>
      <c r="S902" s="6">
        <v>2</v>
      </c>
      <c r="T902" s="120" t="s">
        <v>178</v>
      </c>
      <c r="U902" s="6">
        <v>2</v>
      </c>
      <c r="V902" s="6" t="s">
        <v>2115</v>
      </c>
      <c r="W902" s="5">
        <v>41621</v>
      </c>
      <c r="X902" s="6">
        <v>3</v>
      </c>
      <c r="Y902" s="6">
        <v>3</v>
      </c>
      <c r="Z902" s="6">
        <v>3</v>
      </c>
      <c r="AA902" s="6" t="s">
        <v>178</v>
      </c>
      <c r="AB902" s="6">
        <v>3</v>
      </c>
      <c r="AC902" s="6" t="s">
        <v>216</v>
      </c>
    </row>
    <row r="903" spans="1:29" x14ac:dyDescent="0.25">
      <c r="A903" s="145" t="str">
        <f>HYPERLINK("http://www.ofsted.gov.uk/inspection-reports/find-inspection-report/provider/ELS/130842 ","Ofsted Webpage")</f>
        <v>Ofsted Webpage</v>
      </c>
      <c r="B903" s="151">
        <v>130842</v>
      </c>
      <c r="C903" s="151">
        <v>10004736</v>
      </c>
      <c r="D903" s="46" t="s">
        <v>2116</v>
      </c>
      <c r="E903" s="26" t="s">
        <v>81</v>
      </c>
      <c r="F903" s="26" t="s">
        <v>82</v>
      </c>
      <c r="G903" s="26" t="s">
        <v>452</v>
      </c>
      <c r="H903" s="26" t="s">
        <v>219</v>
      </c>
      <c r="I903" s="26" t="s">
        <v>219</v>
      </c>
      <c r="J903" s="2" t="s">
        <v>72</v>
      </c>
      <c r="K903" s="141" t="s">
        <v>72</v>
      </c>
      <c r="L903" s="141" t="s">
        <v>2117</v>
      </c>
      <c r="M903" s="26" t="s">
        <v>194</v>
      </c>
      <c r="N903" s="2">
        <v>41561</v>
      </c>
      <c r="O903" s="2">
        <v>41565</v>
      </c>
      <c r="P903" s="133">
        <v>41600</v>
      </c>
      <c r="Q903" s="6">
        <v>2</v>
      </c>
      <c r="R903" s="6">
        <v>2</v>
      </c>
      <c r="S903" s="6">
        <v>2</v>
      </c>
      <c r="T903" s="120" t="s">
        <v>178</v>
      </c>
      <c r="U903" s="6">
        <v>1</v>
      </c>
      <c r="V903" s="6" t="s">
        <v>2118</v>
      </c>
      <c r="W903" s="5">
        <v>41061</v>
      </c>
      <c r="X903" s="6">
        <v>3</v>
      </c>
      <c r="Y903" s="6">
        <v>3</v>
      </c>
      <c r="Z903" s="6">
        <v>2</v>
      </c>
      <c r="AA903" s="6" t="s">
        <v>178</v>
      </c>
      <c r="AB903" s="6">
        <v>2</v>
      </c>
      <c r="AC903" s="6" t="s">
        <v>216</v>
      </c>
    </row>
    <row r="904" spans="1:29" x14ac:dyDescent="0.25">
      <c r="A904" s="145" t="str">
        <f>HYPERLINK("http://www.ofsted.gov.uk/inspection-reports/find-inspection-report/provider/ELS/130843 ","Ofsted Webpage")</f>
        <v>Ofsted Webpage</v>
      </c>
      <c r="B904" s="151">
        <v>130843</v>
      </c>
      <c r="C904" s="151">
        <v>10007817</v>
      </c>
      <c r="D904" s="46" t="s">
        <v>1890</v>
      </c>
      <c r="E904" s="26" t="s">
        <v>81</v>
      </c>
      <c r="F904" s="26" t="s">
        <v>82</v>
      </c>
      <c r="G904" s="26" t="s">
        <v>452</v>
      </c>
      <c r="H904" s="26" t="s">
        <v>219</v>
      </c>
      <c r="I904" s="26" t="s">
        <v>219</v>
      </c>
      <c r="J904" s="2" t="s">
        <v>72</v>
      </c>
      <c r="K904" s="141" t="s">
        <v>72</v>
      </c>
      <c r="L904" s="141" t="s">
        <v>1891</v>
      </c>
      <c r="M904" s="26" t="s">
        <v>194</v>
      </c>
      <c r="N904" s="2">
        <v>41701</v>
      </c>
      <c r="O904" s="2">
        <v>41705</v>
      </c>
      <c r="P904" s="133">
        <v>41731</v>
      </c>
      <c r="Q904" s="6">
        <v>1</v>
      </c>
      <c r="R904" s="6">
        <v>1</v>
      </c>
      <c r="S904" s="6">
        <v>1</v>
      </c>
      <c r="T904" s="120" t="s">
        <v>178</v>
      </c>
      <c r="U904" s="6">
        <v>1</v>
      </c>
      <c r="V904" s="6" t="s">
        <v>1892</v>
      </c>
      <c r="W904" s="5">
        <v>39507</v>
      </c>
      <c r="X904" s="6">
        <v>2</v>
      </c>
      <c r="Y904" s="6">
        <v>3</v>
      </c>
      <c r="Z904" s="6">
        <v>2</v>
      </c>
      <c r="AA904" s="6" t="s">
        <v>178</v>
      </c>
      <c r="AB904" s="6">
        <v>2</v>
      </c>
      <c r="AC904" s="6" t="s">
        <v>216</v>
      </c>
    </row>
    <row r="905" spans="1:29" x14ac:dyDescent="0.25">
      <c r="A905" s="145" t="str">
        <f>HYPERLINK("http://www.ofsted.gov.uk/inspection-reports/find-inspection-report/provider/ELS/130845 ","Ofsted Webpage")</f>
        <v>Ofsted Webpage</v>
      </c>
      <c r="B905" s="151">
        <v>130845</v>
      </c>
      <c r="C905" s="151">
        <v>10007643</v>
      </c>
      <c r="D905" s="46" t="s">
        <v>1893</v>
      </c>
      <c r="E905" s="26" t="s">
        <v>81</v>
      </c>
      <c r="F905" s="26" t="s">
        <v>82</v>
      </c>
      <c r="G905" s="26" t="s">
        <v>452</v>
      </c>
      <c r="H905" s="26" t="s">
        <v>219</v>
      </c>
      <c r="I905" s="26" t="s">
        <v>219</v>
      </c>
      <c r="J905" s="2" t="s">
        <v>72</v>
      </c>
      <c r="K905" s="141" t="s">
        <v>72</v>
      </c>
      <c r="L905" s="141">
        <v>10004783</v>
      </c>
      <c r="M905" s="26" t="s">
        <v>1011</v>
      </c>
      <c r="N905" s="2">
        <v>42422</v>
      </c>
      <c r="O905" s="2">
        <v>42425</v>
      </c>
      <c r="P905" s="133">
        <v>42473</v>
      </c>
      <c r="Q905" s="6">
        <v>2</v>
      </c>
      <c r="R905" s="6">
        <v>2</v>
      </c>
      <c r="S905" s="6">
        <v>2</v>
      </c>
      <c r="T905" s="6">
        <v>2</v>
      </c>
      <c r="U905" s="6">
        <v>2</v>
      </c>
      <c r="V905" s="6" t="s">
        <v>1894</v>
      </c>
      <c r="W905" s="5">
        <v>41922</v>
      </c>
      <c r="X905" s="6">
        <v>3</v>
      </c>
      <c r="Y905" s="6">
        <v>3</v>
      </c>
      <c r="Z905" s="6">
        <v>3</v>
      </c>
      <c r="AA905" s="6" t="s">
        <v>178</v>
      </c>
      <c r="AB905" s="6">
        <v>3</v>
      </c>
      <c r="AC905" s="6" t="s">
        <v>216</v>
      </c>
    </row>
    <row r="906" spans="1:29" x14ac:dyDescent="0.25">
      <c r="A906" s="145" t="str">
        <f>HYPERLINK("http://www.ofsted.gov.uk/inspection-reports/find-inspection-report/provider/ELS/130847 ","Ofsted Webpage")</f>
        <v>Ofsted Webpage</v>
      </c>
      <c r="B906" s="151">
        <v>130847</v>
      </c>
      <c r="C906" s="151">
        <v>10001550</v>
      </c>
      <c r="D906" s="46" t="s">
        <v>1895</v>
      </c>
      <c r="E906" s="26" t="s">
        <v>83</v>
      </c>
      <c r="F906" s="26" t="s">
        <v>82</v>
      </c>
      <c r="G906" s="26" t="s">
        <v>452</v>
      </c>
      <c r="H906" s="26" t="s">
        <v>219</v>
      </c>
      <c r="I906" s="26" t="s">
        <v>219</v>
      </c>
      <c r="J906" s="2" t="s">
        <v>72</v>
      </c>
      <c r="K906" s="141" t="s">
        <v>72</v>
      </c>
      <c r="L906" s="141" t="s">
        <v>1896</v>
      </c>
      <c r="M906" s="26" t="s">
        <v>409</v>
      </c>
      <c r="N906" s="2">
        <v>39533</v>
      </c>
      <c r="O906" s="2">
        <v>39534</v>
      </c>
      <c r="P906" s="133">
        <v>39584</v>
      </c>
      <c r="Q906" s="6">
        <v>1</v>
      </c>
      <c r="R906" s="6">
        <v>2</v>
      </c>
      <c r="S906" s="6">
        <v>1</v>
      </c>
      <c r="T906" s="120" t="s">
        <v>178</v>
      </c>
      <c r="U906" s="6">
        <v>1</v>
      </c>
      <c r="V906" s="6" t="s">
        <v>72</v>
      </c>
      <c r="W906" s="5" t="s">
        <v>72</v>
      </c>
      <c r="X906" s="6" t="s">
        <v>72</v>
      </c>
      <c r="Y906" s="6" t="s">
        <v>72</v>
      </c>
      <c r="Z906" s="6" t="s">
        <v>72</v>
      </c>
      <c r="AA906" s="6" t="s">
        <v>72</v>
      </c>
      <c r="AB906" s="6" t="s">
        <v>72</v>
      </c>
      <c r="AC906" s="6" t="s">
        <v>208</v>
      </c>
    </row>
    <row r="907" spans="1:29" x14ac:dyDescent="0.25">
      <c r="A907" s="145" t="str">
        <f>HYPERLINK("http://www.ofsted.gov.uk/inspection-reports/find-inspection-report/provider/ELS/130849 ","Ofsted Webpage")</f>
        <v>Ofsted Webpage</v>
      </c>
      <c r="B907" s="151">
        <v>130849</v>
      </c>
      <c r="C907" s="151">
        <v>10006463</v>
      </c>
      <c r="D907" s="46" t="s">
        <v>1897</v>
      </c>
      <c r="E907" s="26" t="s">
        <v>81</v>
      </c>
      <c r="F907" s="26" t="s">
        <v>82</v>
      </c>
      <c r="G907" s="26" t="s">
        <v>197</v>
      </c>
      <c r="H907" s="26" t="s">
        <v>198</v>
      </c>
      <c r="I907" s="26" t="s">
        <v>198</v>
      </c>
      <c r="J907" s="2" t="s">
        <v>72</v>
      </c>
      <c r="K907" s="141" t="s">
        <v>72</v>
      </c>
      <c r="L907" s="141" t="s">
        <v>1898</v>
      </c>
      <c r="M907" s="26" t="s">
        <v>194</v>
      </c>
      <c r="N907" s="2">
        <v>41330</v>
      </c>
      <c r="O907" s="2">
        <v>41334</v>
      </c>
      <c r="P907" s="133">
        <v>41373</v>
      </c>
      <c r="Q907" s="6">
        <v>1</v>
      </c>
      <c r="R907" s="6">
        <v>1</v>
      </c>
      <c r="S907" s="6">
        <v>1</v>
      </c>
      <c r="T907" s="120" t="s">
        <v>178</v>
      </c>
      <c r="U907" s="6">
        <v>1</v>
      </c>
      <c r="V907" s="6" t="s">
        <v>1899</v>
      </c>
      <c r="W907" s="5">
        <v>39885</v>
      </c>
      <c r="X907" s="6">
        <v>3</v>
      </c>
      <c r="Y907" s="6">
        <v>3</v>
      </c>
      <c r="Z907" s="6">
        <v>3</v>
      </c>
      <c r="AA907" s="6" t="s">
        <v>178</v>
      </c>
      <c r="AB907" s="6">
        <v>3</v>
      </c>
      <c r="AC907" s="6" t="s">
        <v>216</v>
      </c>
    </row>
    <row r="908" spans="1:29" x14ac:dyDescent="0.25">
      <c r="A908" s="145" t="str">
        <f>HYPERLINK("http://www.ofsted.gov.uk/inspection-reports/find-inspection-report/provider/ELS/130851 ","Ofsted Webpage")</f>
        <v>Ofsted Webpage</v>
      </c>
      <c r="B908" s="151">
        <v>130851</v>
      </c>
      <c r="C908" s="151">
        <v>10004579</v>
      </c>
      <c r="D908" s="46" t="s">
        <v>1900</v>
      </c>
      <c r="E908" s="26" t="s">
        <v>81</v>
      </c>
      <c r="F908" s="26" t="s">
        <v>82</v>
      </c>
      <c r="G908" s="26" t="s">
        <v>197</v>
      </c>
      <c r="H908" s="26" t="s">
        <v>198</v>
      </c>
      <c r="I908" s="26" t="s">
        <v>198</v>
      </c>
      <c r="J908" s="2">
        <v>43042</v>
      </c>
      <c r="K908" s="141">
        <v>1</v>
      </c>
      <c r="L908" s="141" t="s">
        <v>1901</v>
      </c>
      <c r="M908" s="26" t="s">
        <v>194</v>
      </c>
      <c r="N908" s="2">
        <v>41974</v>
      </c>
      <c r="O908" s="2">
        <v>41978</v>
      </c>
      <c r="P908" s="133">
        <v>42018</v>
      </c>
      <c r="Q908" s="6">
        <v>2</v>
      </c>
      <c r="R908" s="6">
        <v>2</v>
      </c>
      <c r="S908" s="6">
        <v>2</v>
      </c>
      <c r="T908" s="120" t="s">
        <v>178</v>
      </c>
      <c r="U908" s="6">
        <v>2</v>
      </c>
      <c r="V908" s="6" t="s">
        <v>1902</v>
      </c>
      <c r="W908" s="5">
        <v>39836</v>
      </c>
      <c r="X908" s="6">
        <v>2</v>
      </c>
      <c r="Y908" s="6">
        <v>2</v>
      </c>
      <c r="Z908" s="6">
        <v>2</v>
      </c>
      <c r="AA908" s="6" t="s">
        <v>178</v>
      </c>
      <c r="AB908" s="6">
        <v>2</v>
      </c>
      <c r="AC908" s="6" t="s">
        <v>180</v>
      </c>
    </row>
    <row r="909" spans="1:29" x14ac:dyDescent="0.25">
      <c r="A909" s="145" t="str">
        <f>HYPERLINK("http://www.ofsted.gov.uk/inspection-reports/find-inspection-report/provider/ELS/131094 ","Ofsted Webpage")</f>
        <v>Ofsted Webpage</v>
      </c>
      <c r="B909" s="151">
        <v>131094</v>
      </c>
      <c r="C909" s="151">
        <v>10001467</v>
      </c>
      <c r="D909" s="46" t="s">
        <v>1903</v>
      </c>
      <c r="E909" s="26" t="s">
        <v>81</v>
      </c>
      <c r="F909" s="26" t="s">
        <v>82</v>
      </c>
      <c r="G909" s="26" t="s">
        <v>361</v>
      </c>
      <c r="H909" s="26" t="s">
        <v>198</v>
      </c>
      <c r="I909" s="26" t="s">
        <v>198</v>
      </c>
      <c r="J909" s="2" t="s">
        <v>72</v>
      </c>
      <c r="K909" s="141" t="s">
        <v>72</v>
      </c>
      <c r="L909" s="141">
        <v>10034053</v>
      </c>
      <c r="M909" s="26" t="s">
        <v>622</v>
      </c>
      <c r="N909" s="2">
        <v>42871</v>
      </c>
      <c r="O909" s="2">
        <v>42874</v>
      </c>
      <c r="P909" s="133">
        <v>42891</v>
      </c>
      <c r="Q909" s="6">
        <v>3</v>
      </c>
      <c r="R909" s="6">
        <v>3</v>
      </c>
      <c r="S909" s="6">
        <v>3</v>
      </c>
      <c r="T909" s="6">
        <v>3</v>
      </c>
      <c r="U909" s="6">
        <v>3</v>
      </c>
      <c r="V909" s="6">
        <v>10004784</v>
      </c>
      <c r="W909" s="5">
        <v>42398</v>
      </c>
      <c r="X909" s="6">
        <v>4</v>
      </c>
      <c r="Y909" s="6">
        <v>4</v>
      </c>
      <c r="Z909" s="6">
        <v>3</v>
      </c>
      <c r="AA909" s="6">
        <v>4</v>
      </c>
      <c r="AB909" s="6">
        <v>4</v>
      </c>
      <c r="AC909" s="6" t="s">
        <v>216</v>
      </c>
    </row>
    <row r="910" spans="1:29" x14ac:dyDescent="0.25">
      <c r="A910" s="145" t="str">
        <f>HYPERLINK("http://www.ofsted.gov.uk/inspection-reports/find-inspection-report/provider/ELS/131347 ","Ofsted Webpage")</f>
        <v>Ofsted Webpage</v>
      </c>
      <c r="B910" s="151">
        <v>131347</v>
      </c>
      <c r="C910" s="151">
        <v>10001475</v>
      </c>
      <c r="D910" s="46" t="s">
        <v>1665</v>
      </c>
      <c r="E910" s="26" t="s">
        <v>81</v>
      </c>
      <c r="F910" s="26" t="s">
        <v>82</v>
      </c>
      <c r="G910" s="26" t="s">
        <v>265</v>
      </c>
      <c r="H910" s="26" t="s">
        <v>204</v>
      </c>
      <c r="I910" s="26" t="s">
        <v>188</v>
      </c>
      <c r="J910" s="2" t="s">
        <v>72</v>
      </c>
      <c r="K910" s="141" t="s">
        <v>72</v>
      </c>
      <c r="L910" s="141">
        <v>10007753</v>
      </c>
      <c r="M910" s="26" t="s">
        <v>194</v>
      </c>
      <c r="N910" s="2">
        <v>42528</v>
      </c>
      <c r="O910" s="2">
        <v>42531</v>
      </c>
      <c r="P910" s="133">
        <v>42557</v>
      </c>
      <c r="Q910" s="6">
        <v>2</v>
      </c>
      <c r="R910" s="6">
        <v>2</v>
      </c>
      <c r="S910" s="6">
        <v>2</v>
      </c>
      <c r="T910" s="6">
        <v>2</v>
      </c>
      <c r="U910" s="6">
        <v>2</v>
      </c>
      <c r="V910" s="6" t="s">
        <v>1666</v>
      </c>
      <c r="W910" s="5">
        <v>40207</v>
      </c>
      <c r="X910" s="6">
        <v>2</v>
      </c>
      <c r="Y910" s="6">
        <v>2</v>
      </c>
      <c r="Z910" s="6">
        <v>2</v>
      </c>
      <c r="AA910" s="6" t="s">
        <v>178</v>
      </c>
      <c r="AB910" s="6">
        <v>1</v>
      </c>
      <c r="AC910" s="6" t="s">
        <v>180</v>
      </c>
    </row>
    <row r="911" spans="1:29" x14ac:dyDescent="0.25">
      <c r="A911" s="145" t="str">
        <f>HYPERLINK("http://www.ofsted.gov.uk/inspection-reports/find-inspection-report/provider/ELS/131840 ","Ofsted Webpage")</f>
        <v>Ofsted Webpage</v>
      </c>
      <c r="B911" s="151">
        <v>131840</v>
      </c>
      <c r="C911" s="151">
        <v>10000599</v>
      </c>
      <c r="D911" s="46" t="s">
        <v>1109</v>
      </c>
      <c r="E911" s="26" t="s">
        <v>70</v>
      </c>
      <c r="F911" s="26" t="s">
        <v>71</v>
      </c>
      <c r="G911" s="26" t="s">
        <v>851</v>
      </c>
      <c r="H911" s="26" t="s">
        <v>238</v>
      </c>
      <c r="I911" s="26" t="s">
        <v>238</v>
      </c>
      <c r="J911" s="2" t="s">
        <v>72</v>
      </c>
      <c r="K911" s="141" t="s">
        <v>72</v>
      </c>
      <c r="L911" s="141">
        <v>10011446</v>
      </c>
      <c r="M911" s="26" t="s">
        <v>270</v>
      </c>
      <c r="N911" s="2">
        <v>42494</v>
      </c>
      <c r="O911" s="2">
        <v>42496</v>
      </c>
      <c r="P911" s="119">
        <v>42522</v>
      </c>
      <c r="Q911" s="6">
        <v>2</v>
      </c>
      <c r="R911" s="6">
        <v>2</v>
      </c>
      <c r="S911" s="6">
        <v>2</v>
      </c>
      <c r="T911" s="6">
        <v>1</v>
      </c>
      <c r="U911" s="6">
        <v>2</v>
      </c>
      <c r="V911" s="6" t="s">
        <v>1110</v>
      </c>
      <c r="W911" s="5">
        <v>40157</v>
      </c>
      <c r="X911" s="6">
        <v>1</v>
      </c>
      <c r="Y911" s="6">
        <v>1</v>
      </c>
      <c r="Z911" s="6">
        <v>1</v>
      </c>
      <c r="AA911" s="6" t="s">
        <v>178</v>
      </c>
      <c r="AB911" s="6">
        <v>1</v>
      </c>
      <c r="AC911" s="6" t="s">
        <v>201</v>
      </c>
    </row>
    <row r="912" spans="1:29" x14ac:dyDescent="0.25">
      <c r="A912" s="145" t="str">
        <f>HYPERLINK("http://www.ofsted.gov.uk/inspection-reports/find-inspection-report/provider/ELS/131857 ","Ofsted Webpage")</f>
        <v>Ofsted Webpage</v>
      </c>
      <c r="B912" s="151">
        <v>131857</v>
      </c>
      <c r="C912" s="151">
        <v>10009120</v>
      </c>
      <c r="D912" s="46" t="s">
        <v>1227</v>
      </c>
      <c r="E912" s="26" t="s">
        <v>70</v>
      </c>
      <c r="F912" s="26" t="s">
        <v>71</v>
      </c>
      <c r="G912" s="26" t="s">
        <v>1228</v>
      </c>
      <c r="H912" s="26" t="s">
        <v>193</v>
      </c>
      <c r="I912" s="26" t="s">
        <v>193</v>
      </c>
      <c r="J912" s="2" t="s">
        <v>72</v>
      </c>
      <c r="K912" s="141" t="s">
        <v>72</v>
      </c>
      <c r="L912" s="141" t="s">
        <v>1229</v>
      </c>
      <c r="M912" s="26" t="s">
        <v>532</v>
      </c>
      <c r="N912" s="2">
        <v>41717</v>
      </c>
      <c r="O912" s="2">
        <v>41719</v>
      </c>
      <c r="P912" s="133">
        <v>41759</v>
      </c>
      <c r="Q912" s="6">
        <v>2</v>
      </c>
      <c r="R912" s="6">
        <v>2</v>
      </c>
      <c r="S912" s="6">
        <v>2</v>
      </c>
      <c r="T912" s="120" t="s">
        <v>178</v>
      </c>
      <c r="U912" s="6">
        <v>2</v>
      </c>
      <c r="V912" s="6" t="s">
        <v>1230</v>
      </c>
      <c r="W912" s="5">
        <v>41200</v>
      </c>
      <c r="X912" s="6">
        <v>3</v>
      </c>
      <c r="Y912" s="6">
        <v>3</v>
      </c>
      <c r="Z912" s="6">
        <v>3</v>
      </c>
      <c r="AA912" s="6" t="s">
        <v>178</v>
      </c>
      <c r="AB912" s="6">
        <v>3</v>
      </c>
      <c r="AC912" s="6" t="s">
        <v>216</v>
      </c>
    </row>
    <row r="913" spans="1:29" x14ac:dyDescent="0.25">
      <c r="A913" s="145" t="str">
        <f>HYPERLINK("http://www.ofsted.gov.uk/inspection-reports/find-inspection-report/provider/ELS/131859 ","Ofsted Webpage")</f>
        <v>Ofsted Webpage</v>
      </c>
      <c r="B913" s="151">
        <v>131859</v>
      </c>
      <c r="C913" s="151">
        <v>10002111</v>
      </c>
      <c r="D913" s="46" t="s">
        <v>1667</v>
      </c>
      <c r="E913" s="26" t="s">
        <v>81</v>
      </c>
      <c r="F913" s="26" t="s">
        <v>82</v>
      </c>
      <c r="G913" s="26" t="s">
        <v>586</v>
      </c>
      <c r="H913" s="26" t="s">
        <v>204</v>
      </c>
      <c r="I913" s="26" t="s">
        <v>188</v>
      </c>
      <c r="J913" s="2" t="s">
        <v>72</v>
      </c>
      <c r="K913" s="141" t="s">
        <v>72</v>
      </c>
      <c r="L913" s="141" t="s">
        <v>1668</v>
      </c>
      <c r="M913" s="26" t="s">
        <v>194</v>
      </c>
      <c r="N913" s="2">
        <v>41694</v>
      </c>
      <c r="O913" s="2">
        <v>41698</v>
      </c>
      <c r="P913" s="133">
        <v>41731</v>
      </c>
      <c r="Q913" s="6">
        <v>2</v>
      </c>
      <c r="R913" s="6">
        <v>2</v>
      </c>
      <c r="S913" s="6">
        <v>2</v>
      </c>
      <c r="T913" s="120" t="s">
        <v>178</v>
      </c>
      <c r="U913" s="6">
        <v>2</v>
      </c>
      <c r="V913" s="6" t="s">
        <v>1669</v>
      </c>
      <c r="W913" s="5">
        <v>39605</v>
      </c>
      <c r="X913" s="6">
        <v>2</v>
      </c>
      <c r="Y913" s="6">
        <v>1</v>
      </c>
      <c r="Z913" s="6">
        <v>2</v>
      </c>
      <c r="AA913" s="6" t="s">
        <v>178</v>
      </c>
      <c r="AB913" s="6">
        <v>2</v>
      </c>
      <c r="AC913" s="6" t="s">
        <v>180</v>
      </c>
    </row>
    <row r="914" spans="1:29" x14ac:dyDescent="0.25">
      <c r="A914" s="145" t="str">
        <f>HYPERLINK("http://www.ofsted.gov.uk/inspection-reports/find-inspection-report/provider/ELS/131860 ","Ofsted Webpage")</f>
        <v>Ofsted Webpage</v>
      </c>
      <c r="B914" s="151">
        <v>131860</v>
      </c>
      <c r="C914" s="151">
        <v>10001867</v>
      </c>
      <c r="D914" s="46" t="s">
        <v>534</v>
      </c>
      <c r="E914" s="26" t="s">
        <v>70</v>
      </c>
      <c r="F914" s="26" t="s">
        <v>71</v>
      </c>
      <c r="G914" s="26" t="s">
        <v>535</v>
      </c>
      <c r="H914" s="26" t="s">
        <v>238</v>
      </c>
      <c r="I914" s="26" t="s">
        <v>238</v>
      </c>
      <c r="J914" s="2" t="s">
        <v>72</v>
      </c>
      <c r="K914" s="141" t="s">
        <v>72</v>
      </c>
      <c r="L914" s="141">
        <v>10022625</v>
      </c>
      <c r="M914" s="26" t="s">
        <v>270</v>
      </c>
      <c r="N914" s="2">
        <v>42871</v>
      </c>
      <c r="O914" s="2">
        <v>42873</v>
      </c>
      <c r="P914" s="133">
        <v>42908</v>
      </c>
      <c r="Q914" s="6">
        <v>1</v>
      </c>
      <c r="R914" s="6">
        <v>1</v>
      </c>
      <c r="S914" s="6">
        <v>1</v>
      </c>
      <c r="T914" s="6">
        <v>1</v>
      </c>
      <c r="U914" s="6">
        <v>1</v>
      </c>
      <c r="V914" s="6" t="s">
        <v>536</v>
      </c>
      <c r="W914" s="5">
        <v>41355</v>
      </c>
      <c r="X914" s="6">
        <v>1</v>
      </c>
      <c r="Y914" s="6">
        <v>1</v>
      </c>
      <c r="Z914" s="6">
        <v>1</v>
      </c>
      <c r="AA914" s="6" t="s">
        <v>178</v>
      </c>
      <c r="AB914" s="6">
        <v>1</v>
      </c>
      <c r="AC914" s="6" t="s">
        <v>180</v>
      </c>
    </row>
    <row r="915" spans="1:29" x14ac:dyDescent="0.25">
      <c r="A915" s="145" t="str">
        <f>HYPERLINK("http://www.ofsted.gov.uk/inspection-reports/find-inspection-report/provider/ELS/131863 ","Ofsted Webpage")</f>
        <v>Ofsted Webpage</v>
      </c>
      <c r="B915" s="151">
        <v>131863</v>
      </c>
      <c r="C915" s="151">
        <v>10003867</v>
      </c>
      <c r="D915" s="46" t="s">
        <v>1670</v>
      </c>
      <c r="E915" s="26" t="s">
        <v>81</v>
      </c>
      <c r="F915" s="26" t="s">
        <v>82</v>
      </c>
      <c r="G915" s="26" t="s">
        <v>227</v>
      </c>
      <c r="H915" s="26" t="s">
        <v>214</v>
      </c>
      <c r="I915" s="26" t="s">
        <v>214</v>
      </c>
      <c r="J915" s="2" t="s">
        <v>72</v>
      </c>
      <c r="K915" s="141" t="s">
        <v>72</v>
      </c>
      <c r="L915" s="141">
        <v>10004787</v>
      </c>
      <c r="M915" s="26" t="s">
        <v>194</v>
      </c>
      <c r="N915" s="2">
        <v>42410</v>
      </c>
      <c r="O915" s="2">
        <v>42423</v>
      </c>
      <c r="P915" s="133">
        <v>42465</v>
      </c>
      <c r="Q915" s="6">
        <v>3</v>
      </c>
      <c r="R915" s="6">
        <v>3</v>
      </c>
      <c r="S915" s="6">
        <v>3</v>
      </c>
      <c r="T915" s="6">
        <v>3</v>
      </c>
      <c r="U915" s="6">
        <v>3</v>
      </c>
      <c r="V915" s="6" t="s">
        <v>1671</v>
      </c>
      <c r="W915" s="5">
        <v>40571</v>
      </c>
      <c r="X915" s="6">
        <v>2</v>
      </c>
      <c r="Y915" s="6">
        <v>2</v>
      </c>
      <c r="Z915" s="6">
        <v>2</v>
      </c>
      <c r="AA915" s="6" t="s">
        <v>178</v>
      </c>
      <c r="AB915" s="6">
        <v>1</v>
      </c>
      <c r="AC915" s="6" t="s">
        <v>201</v>
      </c>
    </row>
    <row r="916" spans="1:29" x14ac:dyDescent="0.25">
      <c r="A916" s="145" t="str">
        <f>HYPERLINK("http://www.ofsted.gov.uk/inspection-reports/find-inspection-report/provider/ELS/131867 ","Ofsted Webpage")</f>
        <v>Ofsted Webpage</v>
      </c>
      <c r="B916" s="151">
        <v>131867</v>
      </c>
      <c r="C916" s="151">
        <v>10000796</v>
      </c>
      <c r="D916" s="46" t="s">
        <v>1672</v>
      </c>
      <c r="E916" s="26" t="s">
        <v>83</v>
      </c>
      <c r="F916" s="26" t="s">
        <v>82</v>
      </c>
      <c r="G916" s="26" t="s">
        <v>640</v>
      </c>
      <c r="H916" s="26" t="s">
        <v>238</v>
      </c>
      <c r="I916" s="26" t="s">
        <v>238</v>
      </c>
      <c r="J916" s="2">
        <v>42878</v>
      </c>
      <c r="K916" s="141">
        <v>1</v>
      </c>
      <c r="L916" s="141" t="s">
        <v>1673</v>
      </c>
      <c r="M916" s="26" t="s">
        <v>372</v>
      </c>
      <c r="N916" s="2">
        <v>41653</v>
      </c>
      <c r="O916" s="2">
        <v>41656</v>
      </c>
      <c r="P916" s="133">
        <v>41688</v>
      </c>
      <c r="Q916" s="6">
        <v>2</v>
      </c>
      <c r="R916" s="6">
        <v>2</v>
      </c>
      <c r="S916" s="6">
        <v>2</v>
      </c>
      <c r="T916" s="120" t="s">
        <v>178</v>
      </c>
      <c r="U916" s="6">
        <v>2</v>
      </c>
      <c r="V916" s="6" t="s">
        <v>1674</v>
      </c>
      <c r="W916" s="5">
        <v>40865</v>
      </c>
      <c r="X916" s="6">
        <v>3</v>
      </c>
      <c r="Y916" s="6">
        <v>3</v>
      </c>
      <c r="Z916" s="6">
        <v>2</v>
      </c>
      <c r="AA916" s="6" t="s">
        <v>178</v>
      </c>
      <c r="AB916" s="6">
        <v>3</v>
      </c>
      <c r="AC916" s="6" t="s">
        <v>216</v>
      </c>
    </row>
    <row r="917" spans="1:29" x14ac:dyDescent="0.25">
      <c r="A917" s="145" t="str">
        <f>HYPERLINK("http://www.ofsted.gov.uk/inspection-reports/find-inspection-report/provider/ELS/131868 ","Ofsted Webpage")</f>
        <v>Ofsted Webpage</v>
      </c>
      <c r="B917" s="151">
        <v>131868</v>
      </c>
      <c r="C917" s="151">
        <v>10012822</v>
      </c>
      <c r="D917" s="46" t="s">
        <v>1116</v>
      </c>
      <c r="E917" s="26" t="s">
        <v>70</v>
      </c>
      <c r="F917" s="26" t="s">
        <v>71</v>
      </c>
      <c r="G917" s="26" t="s">
        <v>723</v>
      </c>
      <c r="H917" s="26" t="s">
        <v>204</v>
      </c>
      <c r="I917" s="26" t="s">
        <v>188</v>
      </c>
      <c r="J917" s="2">
        <v>43048</v>
      </c>
      <c r="K917" s="141">
        <v>1</v>
      </c>
      <c r="L917" s="141" t="s">
        <v>1117</v>
      </c>
      <c r="M917" s="26" t="s">
        <v>270</v>
      </c>
      <c r="N917" s="2">
        <v>41290</v>
      </c>
      <c r="O917" s="2">
        <v>41292</v>
      </c>
      <c r="P917" s="133">
        <v>41325</v>
      </c>
      <c r="Q917" s="6">
        <v>2</v>
      </c>
      <c r="R917" s="6">
        <v>2</v>
      </c>
      <c r="S917" s="6">
        <v>2</v>
      </c>
      <c r="T917" s="120" t="s">
        <v>178</v>
      </c>
      <c r="U917" s="6">
        <v>2</v>
      </c>
      <c r="V917" s="6" t="s">
        <v>1118</v>
      </c>
      <c r="W917" s="5">
        <v>39115</v>
      </c>
      <c r="X917" s="6">
        <v>2</v>
      </c>
      <c r="Y917" s="6">
        <v>2</v>
      </c>
      <c r="Z917" s="6">
        <v>2</v>
      </c>
      <c r="AA917" s="6" t="s">
        <v>178</v>
      </c>
      <c r="AB917" s="6">
        <v>2</v>
      </c>
      <c r="AC917" s="6" t="s">
        <v>180</v>
      </c>
    </row>
    <row r="918" spans="1:29" x14ac:dyDescent="0.25">
      <c r="A918" s="145" t="str">
        <f>HYPERLINK("http://www.ofsted.gov.uk/inspection-reports/find-inspection-report/provider/ELS/131869 ","Ofsted Webpage")</f>
        <v>Ofsted Webpage</v>
      </c>
      <c r="B918" s="151">
        <v>131869</v>
      </c>
      <c r="C918" s="151">
        <v>10002006</v>
      </c>
      <c r="D918" s="46" t="s">
        <v>1224</v>
      </c>
      <c r="E918" s="26" t="s">
        <v>70</v>
      </c>
      <c r="F918" s="26" t="s">
        <v>71</v>
      </c>
      <c r="G918" s="26" t="s">
        <v>994</v>
      </c>
      <c r="H918" s="26" t="s">
        <v>187</v>
      </c>
      <c r="I918" s="26" t="s">
        <v>188</v>
      </c>
      <c r="J918" s="2" t="s">
        <v>72</v>
      </c>
      <c r="K918" s="141" t="s">
        <v>72</v>
      </c>
      <c r="L918" s="141" t="s">
        <v>1225</v>
      </c>
      <c r="M918" s="26" t="s">
        <v>270</v>
      </c>
      <c r="N918" s="2">
        <v>41954</v>
      </c>
      <c r="O918" s="2">
        <v>41956</v>
      </c>
      <c r="P918" s="133">
        <v>41989</v>
      </c>
      <c r="Q918" s="6">
        <v>2</v>
      </c>
      <c r="R918" s="6">
        <v>2</v>
      </c>
      <c r="S918" s="6">
        <v>2</v>
      </c>
      <c r="T918" s="120" t="s">
        <v>178</v>
      </c>
      <c r="U918" s="6">
        <v>2</v>
      </c>
      <c r="V918" s="6" t="s">
        <v>1226</v>
      </c>
      <c r="W918" s="5">
        <v>39360</v>
      </c>
      <c r="X918" s="6">
        <v>2</v>
      </c>
      <c r="Y918" s="6">
        <v>2</v>
      </c>
      <c r="Z918" s="6">
        <v>2</v>
      </c>
      <c r="AA918" s="6" t="s">
        <v>178</v>
      </c>
      <c r="AB918" s="6">
        <v>2</v>
      </c>
      <c r="AC918" s="6" t="s">
        <v>180</v>
      </c>
    </row>
    <row r="919" spans="1:29" x14ac:dyDescent="0.25">
      <c r="A919" s="145" t="str">
        <f>HYPERLINK("http://www.ofsted.gov.uk/inspection-reports/find-inspection-report/provider/ELS/131872 ","Ofsted Webpage")</f>
        <v>Ofsted Webpage</v>
      </c>
      <c r="B919" s="151">
        <v>131872</v>
      </c>
      <c r="C919" s="151">
        <v>10002345</v>
      </c>
      <c r="D919" s="46" t="s">
        <v>1350</v>
      </c>
      <c r="E919" s="26" t="s">
        <v>70</v>
      </c>
      <c r="F919" s="26" t="s">
        <v>71</v>
      </c>
      <c r="G919" s="26" t="s">
        <v>265</v>
      </c>
      <c r="H919" s="26" t="s">
        <v>204</v>
      </c>
      <c r="I919" s="26" t="s">
        <v>188</v>
      </c>
      <c r="J919" s="2" t="s">
        <v>72</v>
      </c>
      <c r="K919" s="141" t="s">
        <v>72</v>
      </c>
      <c r="L919" s="141">
        <v>10011448</v>
      </c>
      <c r="M919" s="26" t="s">
        <v>270</v>
      </c>
      <c r="N919" s="2">
        <v>42683</v>
      </c>
      <c r="O919" s="2">
        <v>42685</v>
      </c>
      <c r="P919" s="133">
        <v>42723</v>
      </c>
      <c r="Q919" s="6">
        <v>2</v>
      </c>
      <c r="R919" s="6">
        <v>2</v>
      </c>
      <c r="S919" s="6">
        <v>2</v>
      </c>
      <c r="T919" s="6">
        <v>2</v>
      </c>
      <c r="U919" s="6">
        <v>2</v>
      </c>
      <c r="V919" s="6" t="s">
        <v>1351</v>
      </c>
      <c r="W919" s="5">
        <v>40200</v>
      </c>
      <c r="X919" s="6">
        <v>2</v>
      </c>
      <c r="Y919" s="6">
        <v>2</v>
      </c>
      <c r="Z919" s="6">
        <v>2</v>
      </c>
      <c r="AA919" s="6" t="s">
        <v>178</v>
      </c>
      <c r="AB919" s="6">
        <v>2</v>
      </c>
      <c r="AC919" s="6" t="s">
        <v>180</v>
      </c>
    </row>
    <row r="920" spans="1:29" x14ac:dyDescent="0.25">
      <c r="A920" s="145" t="str">
        <f>HYPERLINK("http://www.ofsted.gov.uk/inspection-reports/find-inspection-report/provider/ELS/131875 ","Ofsted Webpage")</f>
        <v>Ofsted Webpage</v>
      </c>
      <c r="B920" s="151">
        <v>131875</v>
      </c>
      <c r="C920" s="151">
        <v>10002396</v>
      </c>
      <c r="D920" s="46" t="s">
        <v>1355</v>
      </c>
      <c r="E920" s="26" t="s">
        <v>70</v>
      </c>
      <c r="F920" s="26" t="s">
        <v>71</v>
      </c>
      <c r="G920" s="26" t="s">
        <v>294</v>
      </c>
      <c r="H920" s="26" t="s">
        <v>198</v>
      </c>
      <c r="I920" s="26" t="s">
        <v>198</v>
      </c>
      <c r="J920" s="2" t="s">
        <v>72</v>
      </c>
      <c r="K920" s="141" t="s">
        <v>72</v>
      </c>
      <c r="L920" s="141">
        <v>10004790</v>
      </c>
      <c r="M920" s="26" t="s">
        <v>270</v>
      </c>
      <c r="N920" s="2">
        <v>42298</v>
      </c>
      <c r="O920" s="2">
        <v>42300</v>
      </c>
      <c r="P920" s="133">
        <v>42341</v>
      </c>
      <c r="Q920" s="6">
        <v>2</v>
      </c>
      <c r="R920" s="6">
        <v>2</v>
      </c>
      <c r="S920" s="6">
        <v>2</v>
      </c>
      <c r="T920" s="6">
        <v>2</v>
      </c>
      <c r="U920" s="6">
        <v>2</v>
      </c>
      <c r="V920" s="6" t="s">
        <v>1356</v>
      </c>
      <c r="W920" s="5">
        <v>40514</v>
      </c>
      <c r="X920" s="6">
        <v>2</v>
      </c>
      <c r="Y920" s="6">
        <v>2</v>
      </c>
      <c r="Z920" s="6">
        <v>2</v>
      </c>
      <c r="AA920" s="6" t="s">
        <v>178</v>
      </c>
      <c r="AB920" s="6">
        <v>2</v>
      </c>
      <c r="AC920" s="6" t="s">
        <v>180</v>
      </c>
    </row>
    <row r="921" spans="1:29" x14ac:dyDescent="0.25">
      <c r="A921" s="145" t="str">
        <f>HYPERLINK("http://www.ofsted.gov.uk/inspection-reports/find-inspection-report/provider/ELS/131878 ","Ofsted Webpage")</f>
        <v>Ofsted Webpage</v>
      </c>
      <c r="B921" s="151">
        <v>131878</v>
      </c>
      <c r="C921" s="151">
        <v>10002409</v>
      </c>
      <c r="D921" s="46" t="s">
        <v>1357</v>
      </c>
      <c r="E921" s="26" t="s">
        <v>70</v>
      </c>
      <c r="F921" s="26" t="s">
        <v>71</v>
      </c>
      <c r="G921" s="26" t="s">
        <v>464</v>
      </c>
      <c r="H921" s="26" t="s">
        <v>198</v>
      </c>
      <c r="I921" s="26" t="s">
        <v>198</v>
      </c>
      <c r="J921" s="2">
        <v>42320</v>
      </c>
      <c r="K921" s="141">
        <v>1</v>
      </c>
      <c r="L921" s="141" t="s">
        <v>1358</v>
      </c>
      <c r="M921" s="26" t="s">
        <v>270</v>
      </c>
      <c r="N921" s="2">
        <v>41345</v>
      </c>
      <c r="O921" s="2">
        <v>41347</v>
      </c>
      <c r="P921" s="133">
        <v>41383</v>
      </c>
      <c r="Q921" s="6">
        <v>2</v>
      </c>
      <c r="R921" s="6">
        <v>2</v>
      </c>
      <c r="S921" s="6">
        <v>2</v>
      </c>
      <c r="T921" s="120" t="s">
        <v>178</v>
      </c>
      <c r="U921" s="6">
        <v>3</v>
      </c>
      <c r="V921" s="6" t="s">
        <v>1359</v>
      </c>
      <c r="W921" s="5">
        <v>39247</v>
      </c>
      <c r="X921" s="6">
        <v>2</v>
      </c>
      <c r="Y921" s="6">
        <v>2</v>
      </c>
      <c r="Z921" s="6">
        <v>3</v>
      </c>
      <c r="AA921" s="6" t="s">
        <v>178</v>
      </c>
      <c r="AB921" s="6">
        <v>2</v>
      </c>
      <c r="AC921" s="6" t="s">
        <v>180</v>
      </c>
    </row>
    <row r="922" spans="1:29" x14ac:dyDescent="0.25">
      <c r="A922" s="145" t="str">
        <f>HYPERLINK("http://www.ofsted.gov.uk/inspection-reports/find-inspection-report/provider/ELS/131888 ","Ofsted Webpage")</f>
        <v>Ofsted Webpage</v>
      </c>
      <c r="B922" s="151">
        <v>131888</v>
      </c>
      <c r="C922" s="151">
        <v>10007929</v>
      </c>
      <c r="D922" s="46" t="s">
        <v>1236</v>
      </c>
      <c r="E922" s="26" t="s">
        <v>70</v>
      </c>
      <c r="F922" s="26" t="s">
        <v>71</v>
      </c>
      <c r="G922" s="26" t="s">
        <v>197</v>
      </c>
      <c r="H922" s="26" t="s">
        <v>198</v>
      </c>
      <c r="I922" s="26" t="s">
        <v>198</v>
      </c>
      <c r="J922" s="2" t="s">
        <v>72</v>
      </c>
      <c r="K922" s="141" t="s">
        <v>72</v>
      </c>
      <c r="L922" s="141">
        <v>10020190</v>
      </c>
      <c r="M922" s="26" t="s">
        <v>270</v>
      </c>
      <c r="N922" s="2">
        <v>42689</v>
      </c>
      <c r="O922" s="2">
        <v>42691</v>
      </c>
      <c r="P922" s="133">
        <v>42740</v>
      </c>
      <c r="Q922" s="6">
        <v>2</v>
      </c>
      <c r="R922" s="6">
        <v>2</v>
      </c>
      <c r="S922" s="6">
        <v>2</v>
      </c>
      <c r="T922" s="6">
        <v>2</v>
      </c>
      <c r="U922" s="6">
        <v>2</v>
      </c>
      <c r="V922" s="6" t="s">
        <v>1237</v>
      </c>
      <c r="W922" s="5">
        <v>41761</v>
      </c>
      <c r="X922" s="6">
        <v>2</v>
      </c>
      <c r="Y922" s="6">
        <v>2</v>
      </c>
      <c r="Z922" s="6">
        <v>2</v>
      </c>
      <c r="AA922" s="6" t="s">
        <v>178</v>
      </c>
      <c r="AB922" s="6">
        <v>2</v>
      </c>
      <c r="AC922" s="6" t="s">
        <v>180</v>
      </c>
    </row>
    <row r="923" spans="1:29" x14ac:dyDescent="0.25">
      <c r="A923" s="145" t="str">
        <f>HYPERLINK("http://www.ofsted.gov.uk/inspection-reports/find-inspection-report/provider/ELS/131891 ","Ofsted Webpage")</f>
        <v>Ofsted Webpage</v>
      </c>
      <c r="B923" s="151">
        <v>131891</v>
      </c>
      <c r="C923" s="151">
        <v>10002546</v>
      </c>
      <c r="D923" s="46" t="s">
        <v>537</v>
      </c>
      <c r="E923" s="26" t="s">
        <v>70</v>
      </c>
      <c r="F923" s="26" t="s">
        <v>71</v>
      </c>
      <c r="G923" s="26" t="s">
        <v>261</v>
      </c>
      <c r="H923" s="26" t="s">
        <v>219</v>
      </c>
      <c r="I923" s="26" t="s">
        <v>198</v>
      </c>
      <c r="J923" s="2">
        <v>42509</v>
      </c>
      <c r="K923" s="141">
        <v>1</v>
      </c>
      <c r="L923" s="141" t="s">
        <v>538</v>
      </c>
      <c r="M923" s="26" t="s">
        <v>539</v>
      </c>
      <c r="N923" s="2">
        <v>41057</v>
      </c>
      <c r="O923" s="2">
        <v>41059</v>
      </c>
      <c r="P923" s="133">
        <v>41096</v>
      </c>
      <c r="Q923" s="6">
        <v>2</v>
      </c>
      <c r="R923" s="6">
        <v>2</v>
      </c>
      <c r="S923" s="6">
        <v>2</v>
      </c>
      <c r="T923" s="120" t="s">
        <v>178</v>
      </c>
      <c r="U923" s="6">
        <v>2</v>
      </c>
      <c r="V923" s="6" t="s">
        <v>540</v>
      </c>
      <c r="W923" s="5">
        <v>39471</v>
      </c>
      <c r="X923" s="6">
        <v>3</v>
      </c>
      <c r="Y923" s="6">
        <v>3</v>
      </c>
      <c r="Z923" s="6">
        <v>2</v>
      </c>
      <c r="AA923" s="6" t="s">
        <v>178</v>
      </c>
      <c r="AB923" s="6">
        <v>3</v>
      </c>
      <c r="AC923" s="6" t="s">
        <v>216</v>
      </c>
    </row>
    <row r="924" spans="1:29" x14ac:dyDescent="0.25">
      <c r="A924" s="145" t="str">
        <f>HYPERLINK("http://www.ofsted.gov.uk/inspection-reports/find-inspection-report/provider/ELS/131892 ","Ofsted Webpage")</f>
        <v>Ofsted Webpage</v>
      </c>
      <c r="B924" s="151">
        <v>131892</v>
      </c>
      <c r="C924" s="151">
        <v>10002560</v>
      </c>
      <c r="D924" s="46" t="s">
        <v>1360</v>
      </c>
      <c r="E924" s="26" t="s">
        <v>70</v>
      </c>
      <c r="F924" s="26" t="s">
        <v>71</v>
      </c>
      <c r="G924" s="26" t="s">
        <v>464</v>
      </c>
      <c r="H924" s="26" t="s">
        <v>198</v>
      </c>
      <c r="I924" s="26" t="s">
        <v>198</v>
      </c>
      <c r="J924" s="2" t="s">
        <v>72</v>
      </c>
      <c r="K924" s="141" t="s">
        <v>72</v>
      </c>
      <c r="L924" s="141" t="s">
        <v>1361</v>
      </c>
      <c r="M924" s="26" t="s">
        <v>270</v>
      </c>
      <c r="N924" s="2">
        <v>41408</v>
      </c>
      <c r="O924" s="2">
        <v>41410</v>
      </c>
      <c r="P924" s="133">
        <v>41446</v>
      </c>
      <c r="Q924" s="6">
        <v>1</v>
      </c>
      <c r="R924" s="6">
        <v>1</v>
      </c>
      <c r="S924" s="6">
        <v>1</v>
      </c>
      <c r="T924" s="120" t="s">
        <v>178</v>
      </c>
      <c r="U924" s="6">
        <v>1</v>
      </c>
      <c r="V924" s="6" t="s">
        <v>1362</v>
      </c>
      <c r="W924" s="5">
        <v>38995</v>
      </c>
      <c r="X924" s="6">
        <v>1</v>
      </c>
      <c r="Y924" s="6">
        <v>1</v>
      </c>
      <c r="Z924" s="6">
        <v>1</v>
      </c>
      <c r="AA924" s="6" t="s">
        <v>178</v>
      </c>
      <c r="AB924" s="6">
        <v>1</v>
      </c>
      <c r="AC924" s="6" t="s">
        <v>180</v>
      </c>
    </row>
    <row r="925" spans="1:29" x14ac:dyDescent="0.25">
      <c r="A925" s="145" t="str">
        <f>HYPERLINK("http://www.ofsted.gov.uk/inspection-reports/find-inspection-report/provider/ELS/131893 ","Ofsted Webpage")</f>
        <v>Ofsted Webpage</v>
      </c>
      <c r="B925" s="151">
        <v>131893</v>
      </c>
      <c r="C925" s="151">
        <v>10003136</v>
      </c>
      <c r="D925" s="46" t="s">
        <v>787</v>
      </c>
      <c r="E925" s="26" t="s">
        <v>70</v>
      </c>
      <c r="F925" s="26" t="s">
        <v>71</v>
      </c>
      <c r="G925" s="26" t="s">
        <v>768</v>
      </c>
      <c r="H925" s="26" t="s">
        <v>214</v>
      </c>
      <c r="I925" s="26" t="s">
        <v>214</v>
      </c>
      <c r="J925" s="2">
        <v>42916</v>
      </c>
      <c r="K925" s="141">
        <v>1</v>
      </c>
      <c r="L925" s="141" t="s">
        <v>788</v>
      </c>
      <c r="M925" s="26" t="s">
        <v>270</v>
      </c>
      <c r="N925" s="2">
        <v>41604</v>
      </c>
      <c r="O925" s="2">
        <v>41606</v>
      </c>
      <c r="P925" s="133">
        <v>41646</v>
      </c>
      <c r="Q925" s="6">
        <v>2</v>
      </c>
      <c r="R925" s="6">
        <v>2</v>
      </c>
      <c r="S925" s="6">
        <v>2</v>
      </c>
      <c r="T925" s="120" t="s">
        <v>178</v>
      </c>
      <c r="U925" s="6">
        <v>2</v>
      </c>
      <c r="V925" s="6" t="s">
        <v>789</v>
      </c>
      <c r="W925" s="5">
        <v>39737</v>
      </c>
      <c r="X925" s="6">
        <v>2</v>
      </c>
      <c r="Y925" s="6">
        <v>2</v>
      </c>
      <c r="Z925" s="6">
        <v>2</v>
      </c>
      <c r="AA925" s="6" t="s">
        <v>178</v>
      </c>
      <c r="AB925" s="6">
        <v>2</v>
      </c>
      <c r="AC925" s="6" t="s">
        <v>180</v>
      </c>
    </row>
    <row r="926" spans="1:29" x14ac:dyDescent="0.25">
      <c r="A926" s="145" t="str">
        <f>HYPERLINK("http://www.ofsted.gov.uk/inspection-reports/find-inspection-report/provider/ELS/131900 ","Ofsted Webpage")</f>
        <v>Ofsted Webpage</v>
      </c>
      <c r="B926" s="151">
        <v>131900</v>
      </c>
      <c r="C926" s="151">
        <v>10003774</v>
      </c>
      <c r="D926" s="46" t="s">
        <v>652</v>
      </c>
      <c r="E926" s="26" t="s">
        <v>70</v>
      </c>
      <c r="F926" s="26" t="s">
        <v>71</v>
      </c>
      <c r="G926" s="26" t="s">
        <v>324</v>
      </c>
      <c r="H926" s="26" t="s">
        <v>214</v>
      </c>
      <c r="I926" s="26" t="s">
        <v>214</v>
      </c>
      <c r="J926" s="2" t="s">
        <v>72</v>
      </c>
      <c r="K926" s="141" t="s">
        <v>72</v>
      </c>
      <c r="L926" s="141" t="s">
        <v>653</v>
      </c>
      <c r="M926" s="26" t="s">
        <v>532</v>
      </c>
      <c r="N926" s="2">
        <v>41780</v>
      </c>
      <c r="O926" s="2">
        <v>41782</v>
      </c>
      <c r="P926" s="133">
        <v>41807</v>
      </c>
      <c r="Q926" s="6">
        <v>2</v>
      </c>
      <c r="R926" s="6">
        <v>2</v>
      </c>
      <c r="S926" s="6">
        <v>2</v>
      </c>
      <c r="T926" s="120" t="s">
        <v>178</v>
      </c>
      <c r="U926" s="6">
        <v>2</v>
      </c>
      <c r="V926" s="6" t="s">
        <v>654</v>
      </c>
      <c r="W926" s="5">
        <v>41312</v>
      </c>
      <c r="X926" s="6">
        <v>3</v>
      </c>
      <c r="Y926" s="6">
        <v>3</v>
      </c>
      <c r="Z926" s="6">
        <v>3</v>
      </c>
      <c r="AA926" s="6" t="s">
        <v>178</v>
      </c>
      <c r="AB926" s="6">
        <v>3</v>
      </c>
      <c r="AC926" s="6" t="s">
        <v>216</v>
      </c>
    </row>
    <row r="927" spans="1:29" x14ac:dyDescent="0.25">
      <c r="A927" s="145" t="str">
        <f>HYPERLINK("http://www.ofsted.gov.uk/inspection-reports/find-inspection-report/provider/ELS/131910 ","Ofsted Webpage")</f>
        <v>Ofsted Webpage</v>
      </c>
      <c r="B927" s="151">
        <v>131910</v>
      </c>
      <c r="C927" s="151">
        <v>10003775</v>
      </c>
      <c r="D927" s="46" t="s">
        <v>655</v>
      </c>
      <c r="E927" s="26" t="s">
        <v>70</v>
      </c>
      <c r="F927" s="26" t="s">
        <v>71</v>
      </c>
      <c r="G927" s="26" t="s">
        <v>656</v>
      </c>
      <c r="H927" s="26" t="s">
        <v>238</v>
      </c>
      <c r="I927" s="26" t="s">
        <v>238</v>
      </c>
      <c r="J927" s="2" t="s">
        <v>72</v>
      </c>
      <c r="K927" s="141" t="s">
        <v>72</v>
      </c>
      <c r="L927" s="141">
        <v>10012473</v>
      </c>
      <c r="M927" s="26" t="s">
        <v>270</v>
      </c>
      <c r="N927" s="2">
        <v>42396</v>
      </c>
      <c r="O927" s="2">
        <v>42398</v>
      </c>
      <c r="P927" s="133">
        <v>42450</v>
      </c>
      <c r="Q927" s="6">
        <v>3</v>
      </c>
      <c r="R927" s="6">
        <v>3</v>
      </c>
      <c r="S927" s="6">
        <v>3</v>
      </c>
      <c r="T927" s="6">
        <v>2</v>
      </c>
      <c r="U927" s="6">
        <v>3</v>
      </c>
      <c r="V927" s="6" t="s">
        <v>657</v>
      </c>
      <c r="W927" s="5">
        <v>41438</v>
      </c>
      <c r="X927" s="6">
        <v>2</v>
      </c>
      <c r="Y927" s="6">
        <v>2</v>
      </c>
      <c r="Z927" s="6">
        <v>2</v>
      </c>
      <c r="AA927" s="6" t="s">
        <v>178</v>
      </c>
      <c r="AB927" s="6">
        <v>2</v>
      </c>
      <c r="AC927" s="6" t="s">
        <v>201</v>
      </c>
    </row>
    <row r="928" spans="1:29" x14ac:dyDescent="0.25">
      <c r="A928" s="145" t="str">
        <f>HYPERLINK("http://www.ofsted.gov.uk/inspection-reports/find-inspection-report/provider/ELS/131913 ","Ofsted Webpage")</f>
        <v>Ofsted Webpage</v>
      </c>
      <c r="B928" s="151">
        <v>131913</v>
      </c>
      <c r="C928" s="151">
        <v>10003940</v>
      </c>
      <c r="D928" s="46" t="s">
        <v>658</v>
      </c>
      <c r="E928" s="26" t="s">
        <v>70</v>
      </c>
      <c r="F928" s="26" t="s">
        <v>71</v>
      </c>
      <c r="G928" s="26" t="s">
        <v>213</v>
      </c>
      <c r="H928" s="26" t="s">
        <v>214</v>
      </c>
      <c r="I928" s="26" t="s">
        <v>188</v>
      </c>
      <c r="J928" s="2">
        <v>42690</v>
      </c>
      <c r="K928" s="141">
        <v>1</v>
      </c>
      <c r="L928" s="141" t="s">
        <v>659</v>
      </c>
      <c r="M928" s="26" t="s">
        <v>270</v>
      </c>
      <c r="N928" s="2">
        <v>41311</v>
      </c>
      <c r="O928" s="2">
        <v>41313</v>
      </c>
      <c r="P928" s="133">
        <v>41346</v>
      </c>
      <c r="Q928" s="6">
        <v>2</v>
      </c>
      <c r="R928" s="6">
        <v>1</v>
      </c>
      <c r="S928" s="6">
        <v>2</v>
      </c>
      <c r="T928" s="120" t="s">
        <v>178</v>
      </c>
      <c r="U928" s="6">
        <v>2</v>
      </c>
      <c r="V928" s="6" t="s">
        <v>660</v>
      </c>
      <c r="W928" s="5">
        <v>39422</v>
      </c>
      <c r="X928" s="6">
        <v>1</v>
      </c>
      <c r="Y928" s="6">
        <v>1</v>
      </c>
      <c r="Z928" s="6">
        <v>1</v>
      </c>
      <c r="AA928" s="6" t="s">
        <v>178</v>
      </c>
      <c r="AB928" s="6">
        <v>2</v>
      </c>
      <c r="AC928" s="6" t="s">
        <v>201</v>
      </c>
    </row>
    <row r="929" spans="1:29" x14ac:dyDescent="0.25">
      <c r="A929" s="145" t="str">
        <f>HYPERLINK("http://www.ofsted.gov.uk/inspection-reports/find-inspection-report/provider/ELS/131921 ","Ofsted Webpage")</f>
        <v>Ofsted Webpage</v>
      </c>
      <c r="B929" s="151">
        <v>131921</v>
      </c>
      <c r="C929" s="151">
        <v>10012804</v>
      </c>
      <c r="D929" s="46" t="s">
        <v>1219</v>
      </c>
      <c r="E929" s="26" t="s">
        <v>70</v>
      </c>
      <c r="F929" s="26" t="s">
        <v>71</v>
      </c>
      <c r="G929" s="26" t="s">
        <v>464</v>
      </c>
      <c r="H929" s="26" t="s">
        <v>198</v>
      </c>
      <c r="I929" s="26" t="s">
        <v>198</v>
      </c>
      <c r="J929" s="2" t="s">
        <v>72</v>
      </c>
      <c r="K929" s="141" t="s">
        <v>72</v>
      </c>
      <c r="L929" s="141">
        <v>10004794</v>
      </c>
      <c r="M929" s="26" t="s">
        <v>270</v>
      </c>
      <c r="N929" s="2">
        <v>42556</v>
      </c>
      <c r="O929" s="2">
        <v>42558</v>
      </c>
      <c r="P929" s="133">
        <v>42580</v>
      </c>
      <c r="Q929" s="6">
        <v>2</v>
      </c>
      <c r="R929" s="6">
        <v>1</v>
      </c>
      <c r="S929" s="6">
        <v>2</v>
      </c>
      <c r="T929" s="6">
        <v>2</v>
      </c>
      <c r="U929" s="6">
        <v>2</v>
      </c>
      <c r="V929" s="6" t="s">
        <v>1220</v>
      </c>
      <c r="W929" s="5">
        <v>41535</v>
      </c>
      <c r="X929" s="6">
        <v>2</v>
      </c>
      <c r="Y929" s="6">
        <v>2</v>
      </c>
      <c r="Z929" s="6">
        <v>2</v>
      </c>
      <c r="AA929" s="6" t="s">
        <v>178</v>
      </c>
      <c r="AB929" s="6">
        <v>2</v>
      </c>
      <c r="AC929" s="6" t="s">
        <v>180</v>
      </c>
    </row>
    <row r="930" spans="1:29" x14ac:dyDescent="0.25">
      <c r="A930" s="145" t="str">
        <f>HYPERLINK("http://www.ofsted.gov.uk/inspection-reports/find-inspection-report/provider/ELS/131923 ","Ofsted Webpage")</f>
        <v>Ofsted Webpage</v>
      </c>
      <c r="B930" s="151">
        <v>131923</v>
      </c>
      <c r="C930" s="151">
        <v>10004444</v>
      </c>
      <c r="D930" s="46" t="s">
        <v>661</v>
      </c>
      <c r="E930" s="26" t="s">
        <v>70</v>
      </c>
      <c r="F930" s="26" t="s">
        <v>71</v>
      </c>
      <c r="G930" s="26" t="s">
        <v>662</v>
      </c>
      <c r="H930" s="26" t="s">
        <v>219</v>
      </c>
      <c r="I930" s="26" t="s">
        <v>219</v>
      </c>
      <c r="J930" s="2" t="s">
        <v>72</v>
      </c>
      <c r="K930" s="141" t="s">
        <v>72</v>
      </c>
      <c r="L930" s="141" t="s">
        <v>663</v>
      </c>
      <c r="M930" s="26" t="s">
        <v>270</v>
      </c>
      <c r="N930" s="2">
        <v>41829</v>
      </c>
      <c r="O930" s="2">
        <v>41831</v>
      </c>
      <c r="P930" s="133">
        <v>41866</v>
      </c>
      <c r="Q930" s="6">
        <v>2</v>
      </c>
      <c r="R930" s="6">
        <v>2</v>
      </c>
      <c r="S930" s="6">
        <v>2</v>
      </c>
      <c r="T930" s="120" t="s">
        <v>178</v>
      </c>
      <c r="U930" s="6">
        <v>2</v>
      </c>
      <c r="V930" s="6" t="s">
        <v>664</v>
      </c>
      <c r="W930" s="5">
        <v>40563</v>
      </c>
      <c r="X930" s="6">
        <v>3</v>
      </c>
      <c r="Y930" s="6">
        <v>3</v>
      </c>
      <c r="Z930" s="6">
        <v>2</v>
      </c>
      <c r="AA930" s="6" t="s">
        <v>178</v>
      </c>
      <c r="AB930" s="6">
        <v>3</v>
      </c>
      <c r="AC930" s="6" t="s">
        <v>216</v>
      </c>
    </row>
    <row r="931" spans="1:29" x14ac:dyDescent="0.25">
      <c r="A931" s="145" t="str">
        <f>HYPERLINK("http://www.ofsted.gov.uk/inspection-reports/find-inspection-report/provider/ELS/131924 ","Ofsted Webpage")</f>
        <v>Ofsted Webpage</v>
      </c>
      <c r="B931" s="151">
        <v>131924</v>
      </c>
      <c r="C931" s="151">
        <v>10012810</v>
      </c>
      <c r="D931" s="46" t="s">
        <v>3082</v>
      </c>
      <c r="E931" s="26" t="s">
        <v>70</v>
      </c>
      <c r="F931" s="26" t="s">
        <v>71</v>
      </c>
      <c r="G931" s="26" t="s">
        <v>665</v>
      </c>
      <c r="H931" s="26" t="s">
        <v>175</v>
      </c>
      <c r="I931" s="26" t="s">
        <v>175</v>
      </c>
      <c r="J931" s="2" t="s">
        <v>72</v>
      </c>
      <c r="K931" s="141" t="s">
        <v>72</v>
      </c>
      <c r="L931" s="141">
        <v>10011451</v>
      </c>
      <c r="M931" s="26" t="s">
        <v>270</v>
      </c>
      <c r="N931" s="2">
        <v>42556</v>
      </c>
      <c r="O931" s="2">
        <v>42558</v>
      </c>
      <c r="P931" s="133">
        <v>42613</v>
      </c>
      <c r="Q931" s="6">
        <v>2</v>
      </c>
      <c r="R931" s="6">
        <v>2</v>
      </c>
      <c r="S931" s="6">
        <v>2</v>
      </c>
      <c r="T931" s="6">
        <v>2</v>
      </c>
      <c r="U931" s="6">
        <v>2</v>
      </c>
      <c r="V931" s="6" t="s">
        <v>666</v>
      </c>
      <c r="W931" s="5">
        <v>41340</v>
      </c>
      <c r="X931" s="6">
        <v>2</v>
      </c>
      <c r="Y931" s="6">
        <v>2</v>
      </c>
      <c r="Z931" s="6">
        <v>2</v>
      </c>
      <c r="AA931" s="6" t="s">
        <v>178</v>
      </c>
      <c r="AB931" s="6">
        <v>2</v>
      </c>
      <c r="AC931" s="6" t="s">
        <v>180</v>
      </c>
    </row>
    <row r="932" spans="1:29" x14ac:dyDescent="0.25">
      <c r="A932" s="145" t="str">
        <f>HYPERLINK("http://www.ofsted.gov.uk/inspection-reports/find-inspection-report/provider/ELS/131935 ","Ofsted Webpage")</f>
        <v>Ofsted Webpage</v>
      </c>
      <c r="B932" s="151">
        <v>131935</v>
      </c>
      <c r="C932" s="151">
        <v>10000350</v>
      </c>
      <c r="D932" s="46" t="s">
        <v>1104</v>
      </c>
      <c r="E932" s="26" t="s">
        <v>70</v>
      </c>
      <c r="F932" s="26" t="s">
        <v>71</v>
      </c>
      <c r="G932" s="26" t="s">
        <v>237</v>
      </c>
      <c r="H932" s="26" t="s">
        <v>238</v>
      </c>
      <c r="I932" s="26" t="s">
        <v>238</v>
      </c>
      <c r="J932" s="2">
        <v>42908</v>
      </c>
      <c r="K932" s="141">
        <v>1</v>
      </c>
      <c r="L932" s="141" t="s">
        <v>1105</v>
      </c>
      <c r="M932" s="26" t="s">
        <v>532</v>
      </c>
      <c r="N932" s="2">
        <v>41793</v>
      </c>
      <c r="O932" s="2">
        <v>41795</v>
      </c>
      <c r="P932" s="133">
        <v>41828</v>
      </c>
      <c r="Q932" s="6">
        <v>2</v>
      </c>
      <c r="R932" s="6">
        <v>2</v>
      </c>
      <c r="S932" s="6">
        <v>2</v>
      </c>
      <c r="T932" s="120" t="s">
        <v>178</v>
      </c>
      <c r="U932" s="6">
        <v>2</v>
      </c>
      <c r="V932" s="6" t="s">
        <v>1106</v>
      </c>
      <c r="W932" s="5">
        <v>41404</v>
      </c>
      <c r="X932" s="6">
        <v>3</v>
      </c>
      <c r="Y932" s="6">
        <v>2</v>
      </c>
      <c r="Z932" s="6">
        <v>3</v>
      </c>
      <c r="AA932" s="6" t="s">
        <v>178</v>
      </c>
      <c r="AB932" s="6">
        <v>3</v>
      </c>
      <c r="AC932" s="6" t="s">
        <v>216</v>
      </c>
    </row>
    <row r="933" spans="1:29" x14ac:dyDescent="0.25">
      <c r="A933" s="145" t="str">
        <f>HYPERLINK("http://www.ofsted.gov.uk/inspection-reports/find-inspection-report/provider/ELS/131944 ","Ofsted Webpage")</f>
        <v>Ofsted Webpage</v>
      </c>
      <c r="B933" s="151">
        <v>131944</v>
      </c>
      <c r="C933" s="151">
        <v>10004527</v>
      </c>
      <c r="D933" s="46" t="s">
        <v>1119</v>
      </c>
      <c r="E933" s="26" t="s">
        <v>70</v>
      </c>
      <c r="F933" s="26" t="s">
        <v>71</v>
      </c>
      <c r="G933" s="26" t="s">
        <v>447</v>
      </c>
      <c r="H933" s="26" t="s">
        <v>198</v>
      </c>
      <c r="I933" s="26" t="s">
        <v>198</v>
      </c>
      <c r="J933" s="2" t="s">
        <v>72</v>
      </c>
      <c r="K933" s="141" t="s">
        <v>72</v>
      </c>
      <c r="L933" s="141" t="s">
        <v>1120</v>
      </c>
      <c r="M933" s="26" t="s">
        <v>903</v>
      </c>
      <c r="N933" s="2">
        <v>41072</v>
      </c>
      <c r="O933" s="2">
        <v>41075</v>
      </c>
      <c r="P933" s="133">
        <v>41110</v>
      </c>
      <c r="Q933" s="6">
        <v>1</v>
      </c>
      <c r="R933" s="6">
        <v>1</v>
      </c>
      <c r="S933" s="6">
        <v>2</v>
      </c>
      <c r="T933" s="120" t="s">
        <v>178</v>
      </c>
      <c r="U933" s="6">
        <v>1</v>
      </c>
      <c r="V933" s="6" t="s">
        <v>1121</v>
      </c>
      <c r="W933" s="5">
        <v>38681</v>
      </c>
      <c r="X933" s="6">
        <v>2</v>
      </c>
      <c r="Y933" s="6">
        <v>2</v>
      </c>
      <c r="Z933" s="6">
        <v>2</v>
      </c>
      <c r="AA933" s="6" t="s">
        <v>178</v>
      </c>
      <c r="AB933" s="6">
        <v>2</v>
      </c>
      <c r="AC933" s="6" t="s">
        <v>216</v>
      </c>
    </row>
    <row r="934" spans="1:29" x14ac:dyDescent="0.25">
      <c r="A934" s="145" t="str">
        <f>HYPERLINK("http://www.ofsted.gov.uk/inspection-reports/find-inspection-report/provider/ELS/131947 ","Ofsted Webpage")</f>
        <v>Ofsted Webpage</v>
      </c>
      <c r="B934" s="151">
        <v>131947</v>
      </c>
      <c r="C934" s="151">
        <v>10004841</v>
      </c>
      <c r="D934" s="46" t="s">
        <v>1123</v>
      </c>
      <c r="E934" s="26" t="s">
        <v>70</v>
      </c>
      <c r="F934" s="26" t="s">
        <v>71</v>
      </c>
      <c r="G934" s="26" t="s">
        <v>802</v>
      </c>
      <c r="H934" s="26" t="s">
        <v>198</v>
      </c>
      <c r="I934" s="26" t="s">
        <v>198</v>
      </c>
      <c r="J934" s="2" t="s">
        <v>72</v>
      </c>
      <c r="K934" s="141" t="s">
        <v>72</v>
      </c>
      <c r="L934" s="141">
        <v>10004796</v>
      </c>
      <c r="M934" s="26" t="s">
        <v>270</v>
      </c>
      <c r="N934" s="2">
        <v>42319</v>
      </c>
      <c r="O934" s="2">
        <v>42321</v>
      </c>
      <c r="P934" s="133">
        <v>42339</v>
      </c>
      <c r="Q934" s="6">
        <v>2</v>
      </c>
      <c r="R934" s="6">
        <v>2</v>
      </c>
      <c r="S934" s="6">
        <v>2</v>
      </c>
      <c r="T934" s="6">
        <v>2</v>
      </c>
      <c r="U934" s="6">
        <v>2</v>
      </c>
      <c r="V934" s="6" t="s">
        <v>1124</v>
      </c>
      <c r="W934" s="5">
        <v>41229</v>
      </c>
      <c r="X934" s="6">
        <v>2</v>
      </c>
      <c r="Y934" s="6">
        <v>2</v>
      </c>
      <c r="Z934" s="6">
        <v>2</v>
      </c>
      <c r="AA934" s="6" t="s">
        <v>178</v>
      </c>
      <c r="AB934" s="6">
        <v>2</v>
      </c>
      <c r="AC934" s="6" t="s">
        <v>180</v>
      </c>
    </row>
    <row r="935" spans="1:29" x14ac:dyDescent="0.25">
      <c r="A935" s="145" t="str">
        <f>HYPERLINK("http://www.ofsted.gov.uk/inspection-reports/find-inspection-report/provider/ELS/131948 ","Ofsted Webpage")</f>
        <v>Ofsted Webpage</v>
      </c>
      <c r="B935" s="151">
        <v>131948</v>
      </c>
      <c r="C935" s="151">
        <v>10054747</v>
      </c>
      <c r="D935" s="46" t="s">
        <v>267</v>
      </c>
      <c r="E935" s="26" t="s">
        <v>84</v>
      </c>
      <c r="F935" s="26" t="s">
        <v>76</v>
      </c>
      <c r="G935" s="26" t="s">
        <v>268</v>
      </c>
      <c r="H935" s="26" t="s">
        <v>175</v>
      </c>
      <c r="I935" s="26" t="s">
        <v>175</v>
      </c>
      <c r="J935" s="2" t="s">
        <v>72</v>
      </c>
      <c r="K935" s="141" t="s">
        <v>72</v>
      </c>
      <c r="L935" s="141" t="s">
        <v>269</v>
      </c>
      <c r="M935" s="26" t="s">
        <v>270</v>
      </c>
      <c r="N935" s="2">
        <v>41598</v>
      </c>
      <c r="O935" s="2">
        <v>41600</v>
      </c>
      <c r="P935" s="133">
        <v>41632</v>
      </c>
      <c r="Q935" s="6">
        <v>1</v>
      </c>
      <c r="R935" s="6">
        <v>1</v>
      </c>
      <c r="S935" s="6">
        <v>1</v>
      </c>
      <c r="T935" s="120" t="s">
        <v>178</v>
      </c>
      <c r="U935" s="6">
        <v>1</v>
      </c>
      <c r="V935" s="6" t="s">
        <v>271</v>
      </c>
      <c r="W935" s="5">
        <v>39618</v>
      </c>
      <c r="X935" s="6">
        <v>2</v>
      </c>
      <c r="Y935" s="6">
        <v>2</v>
      </c>
      <c r="Z935" s="6">
        <v>2</v>
      </c>
      <c r="AA935" s="6" t="s">
        <v>178</v>
      </c>
      <c r="AB935" s="6">
        <v>2</v>
      </c>
      <c r="AC935" s="6" t="s">
        <v>216</v>
      </c>
    </row>
    <row r="936" spans="1:29" x14ac:dyDescent="0.25">
      <c r="A936" s="145" t="str">
        <f>HYPERLINK("http://www.ofsted.gov.uk/inspection-reports/find-inspection-report/provider/ELS/131950 ","Ofsted Webpage")</f>
        <v>Ofsted Webpage</v>
      </c>
      <c r="B936" s="151">
        <v>131950</v>
      </c>
      <c r="C936" s="151">
        <v>10009111</v>
      </c>
      <c r="D936" s="46" t="s">
        <v>1125</v>
      </c>
      <c r="E936" s="26" t="s">
        <v>70</v>
      </c>
      <c r="F936" s="26" t="s">
        <v>71</v>
      </c>
      <c r="G936" s="26" t="s">
        <v>421</v>
      </c>
      <c r="H936" s="26" t="s">
        <v>219</v>
      </c>
      <c r="I936" s="26" t="s">
        <v>219</v>
      </c>
      <c r="J936" s="2" t="s">
        <v>72</v>
      </c>
      <c r="K936" s="141" t="s">
        <v>72</v>
      </c>
      <c r="L936" s="141">
        <v>10008474</v>
      </c>
      <c r="M936" s="26" t="s">
        <v>532</v>
      </c>
      <c r="N936" s="2">
        <v>42430</v>
      </c>
      <c r="O936" s="2">
        <v>42432</v>
      </c>
      <c r="P936" s="133">
        <v>42473</v>
      </c>
      <c r="Q936" s="6">
        <v>3</v>
      </c>
      <c r="R936" s="6">
        <v>3</v>
      </c>
      <c r="S936" s="6">
        <v>3</v>
      </c>
      <c r="T936" s="6">
        <v>3</v>
      </c>
      <c r="U936" s="6">
        <v>3</v>
      </c>
      <c r="V936" s="6" t="s">
        <v>1126</v>
      </c>
      <c r="W936" s="5">
        <v>41934</v>
      </c>
      <c r="X936" s="6">
        <v>3</v>
      </c>
      <c r="Y936" s="6">
        <v>3</v>
      </c>
      <c r="Z936" s="6">
        <v>3</v>
      </c>
      <c r="AA936" s="6" t="s">
        <v>178</v>
      </c>
      <c r="AB936" s="6">
        <v>3</v>
      </c>
      <c r="AC936" s="6" t="s">
        <v>180</v>
      </c>
    </row>
    <row r="937" spans="1:29" x14ac:dyDescent="0.25">
      <c r="A937" s="145" t="str">
        <f>HYPERLINK("http://www.ofsted.gov.uk/inspection-reports/find-inspection-report/provider/ELS/131958 ","Ofsted Webpage")</f>
        <v>Ofsted Webpage</v>
      </c>
      <c r="B937" s="151">
        <v>131958</v>
      </c>
      <c r="C937" s="151">
        <v>10005036</v>
      </c>
      <c r="D937" s="46" t="s">
        <v>1127</v>
      </c>
      <c r="E937" s="26" t="s">
        <v>70</v>
      </c>
      <c r="F937" s="26" t="s">
        <v>71</v>
      </c>
      <c r="G937" s="26" t="s">
        <v>1128</v>
      </c>
      <c r="H937" s="26" t="s">
        <v>187</v>
      </c>
      <c r="I937" s="26" t="s">
        <v>188</v>
      </c>
      <c r="J937" s="2" t="s">
        <v>72</v>
      </c>
      <c r="K937" s="141" t="s">
        <v>72</v>
      </c>
      <c r="L937" s="141" t="s">
        <v>1129</v>
      </c>
      <c r="M937" s="26" t="s">
        <v>270</v>
      </c>
      <c r="N937" s="2">
        <v>41779</v>
      </c>
      <c r="O937" s="2">
        <v>41781</v>
      </c>
      <c r="P937" s="133">
        <v>41814</v>
      </c>
      <c r="Q937" s="6">
        <v>2</v>
      </c>
      <c r="R937" s="6">
        <v>2</v>
      </c>
      <c r="S937" s="6">
        <v>2</v>
      </c>
      <c r="T937" s="120" t="s">
        <v>178</v>
      </c>
      <c r="U937" s="6">
        <v>2</v>
      </c>
      <c r="V937" s="6" t="s">
        <v>1130</v>
      </c>
      <c r="W937" s="5">
        <v>40619</v>
      </c>
      <c r="X937" s="6">
        <v>3</v>
      </c>
      <c r="Y937" s="6">
        <v>2</v>
      </c>
      <c r="Z937" s="6">
        <v>3</v>
      </c>
      <c r="AA937" s="6" t="s">
        <v>178</v>
      </c>
      <c r="AB937" s="6">
        <v>3</v>
      </c>
      <c r="AC937" s="6" t="s">
        <v>216</v>
      </c>
    </row>
    <row r="938" spans="1:29" x14ac:dyDescent="0.25">
      <c r="A938" s="145" t="str">
        <f>HYPERLINK("http://www.ofsted.gov.uk/inspection-reports/find-inspection-report/provider/ELS/131959 ","Ofsted Webpage")</f>
        <v>Ofsted Webpage</v>
      </c>
      <c r="B938" s="151">
        <v>131959</v>
      </c>
      <c r="C938" s="151">
        <v>10005151</v>
      </c>
      <c r="D938" s="46" t="s">
        <v>1233</v>
      </c>
      <c r="E938" s="26" t="s">
        <v>70</v>
      </c>
      <c r="F938" s="26" t="s">
        <v>71</v>
      </c>
      <c r="G938" s="26" t="s">
        <v>331</v>
      </c>
      <c r="H938" s="26" t="s">
        <v>214</v>
      </c>
      <c r="I938" s="26" t="s">
        <v>214</v>
      </c>
      <c r="J938" s="2">
        <v>43026</v>
      </c>
      <c r="K938" s="141">
        <v>1</v>
      </c>
      <c r="L938" s="141" t="s">
        <v>1234</v>
      </c>
      <c r="M938" s="26" t="s">
        <v>532</v>
      </c>
      <c r="N938" s="2">
        <v>41717</v>
      </c>
      <c r="O938" s="2">
        <v>41719</v>
      </c>
      <c r="P938" s="133">
        <v>41754</v>
      </c>
      <c r="Q938" s="6">
        <v>2</v>
      </c>
      <c r="R938" s="6">
        <v>2</v>
      </c>
      <c r="S938" s="6">
        <v>2</v>
      </c>
      <c r="T938" s="120" t="s">
        <v>178</v>
      </c>
      <c r="U938" s="6">
        <v>2</v>
      </c>
      <c r="V938" s="6" t="s">
        <v>1235</v>
      </c>
      <c r="W938" s="5">
        <v>41179</v>
      </c>
      <c r="X938" s="6">
        <v>3</v>
      </c>
      <c r="Y938" s="6">
        <v>2</v>
      </c>
      <c r="Z938" s="6">
        <v>3</v>
      </c>
      <c r="AA938" s="6" t="s">
        <v>178</v>
      </c>
      <c r="AB938" s="6">
        <v>3</v>
      </c>
      <c r="AC938" s="6" t="s">
        <v>216</v>
      </c>
    </row>
    <row r="939" spans="1:29" x14ac:dyDescent="0.25">
      <c r="A939" s="145" t="str">
        <f>HYPERLINK("http://www.ofsted.gov.uk/inspection-reports/find-inspection-report/provider/ELS/131963 ","Ofsted Webpage")</f>
        <v>Ofsted Webpage</v>
      </c>
      <c r="B939" s="151">
        <v>131963</v>
      </c>
      <c r="C939" s="151">
        <v>10005320</v>
      </c>
      <c r="D939" s="46" t="s">
        <v>1238</v>
      </c>
      <c r="E939" s="26" t="s">
        <v>70</v>
      </c>
      <c r="F939" s="26" t="s">
        <v>71</v>
      </c>
      <c r="G939" s="26" t="s">
        <v>223</v>
      </c>
      <c r="H939" s="26" t="s">
        <v>193</v>
      </c>
      <c r="I939" s="26" t="s">
        <v>193</v>
      </c>
      <c r="J939" s="2">
        <v>42530</v>
      </c>
      <c r="K939" s="141">
        <v>1</v>
      </c>
      <c r="L939" s="141" t="s">
        <v>1239</v>
      </c>
      <c r="M939" s="26" t="s">
        <v>539</v>
      </c>
      <c r="N939" s="2">
        <v>40708</v>
      </c>
      <c r="O939" s="2">
        <v>40711</v>
      </c>
      <c r="P939" s="133">
        <v>40746</v>
      </c>
      <c r="Q939" s="6">
        <v>2</v>
      </c>
      <c r="R939" s="6">
        <v>2</v>
      </c>
      <c r="S939" s="6">
        <v>2</v>
      </c>
      <c r="T939" s="120" t="s">
        <v>178</v>
      </c>
      <c r="U939" s="6">
        <v>2</v>
      </c>
      <c r="V939" s="6" t="s">
        <v>1240</v>
      </c>
      <c r="W939" s="5">
        <v>39402</v>
      </c>
      <c r="X939" s="6">
        <v>3</v>
      </c>
      <c r="Y939" s="6">
        <v>2</v>
      </c>
      <c r="Z939" s="6">
        <v>3</v>
      </c>
      <c r="AA939" s="6" t="s">
        <v>178</v>
      </c>
      <c r="AB939" s="6">
        <v>3</v>
      </c>
      <c r="AC939" s="6" t="s">
        <v>216</v>
      </c>
    </row>
    <row r="940" spans="1:29" x14ac:dyDescent="0.25">
      <c r="A940" s="145" t="str">
        <f>HYPERLINK("http://www.ofsted.gov.uk/inspection-reports/find-inspection-report/provider/ELS/131968 ","Ofsted Webpage")</f>
        <v>Ofsted Webpage</v>
      </c>
      <c r="B940" s="151">
        <v>131968</v>
      </c>
      <c r="C940" s="151">
        <v>10008456</v>
      </c>
      <c r="D940" s="46" t="s">
        <v>226</v>
      </c>
      <c r="E940" s="26" t="s">
        <v>70</v>
      </c>
      <c r="F940" s="26" t="s">
        <v>71</v>
      </c>
      <c r="G940" s="26" t="s">
        <v>530</v>
      </c>
      <c r="H940" s="26" t="s">
        <v>193</v>
      </c>
      <c r="I940" s="26" t="s">
        <v>193</v>
      </c>
      <c r="J940" s="2" t="s">
        <v>72</v>
      </c>
      <c r="K940" s="141" t="s">
        <v>72</v>
      </c>
      <c r="L940" s="141" t="s">
        <v>1241</v>
      </c>
      <c r="M940" s="26" t="s">
        <v>270</v>
      </c>
      <c r="N940" s="2">
        <v>41675</v>
      </c>
      <c r="O940" s="2">
        <v>41677</v>
      </c>
      <c r="P940" s="133">
        <v>41710</v>
      </c>
      <c r="Q940" s="6">
        <v>2</v>
      </c>
      <c r="R940" s="6">
        <v>2</v>
      </c>
      <c r="S940" s="6">
        <v>2</v>
      </c>
      <c r="T940" s="120" t="s">
        <v>178</v>
      </c>
      <c r="U940" s="6">
        <v>2</v>
      </c>
      <c r="V940" s="6" t="s">
        <v>1242</v>
      </c>
      <c r="W940" s="5">
        <v>40612</v>
      </c>
      <c r="X940" s="6">
        <v>3</v>
      </c>
      <c r="Y940" s="6">
        <v>3</v>
      </c>
      <c r="Z940" s="6">
        <v>3</v>
      </c>
      <c r="AA940" s="6" t="s">
        <v>178</v>
      </c>
      <c r="AB940" s="6">
        <v>3</v>
      </c>
      <c r="AC940" s="6" t="s">
        <v>216</v>
      </c>
    </row>
    <row r="941" spans="1:29" x14ac:dyDescent="0.25">
      <c r="A941" s="145" t="str">
        <f>HYPERLINK("http://www.ofsted.gov.uk/inspection-reports/find-inspection-report/provider/ELS/131990 ","Ofsted Webpage")</f>
        <v>Ofsted Webpage</v>
      </c>
      <c r="B941" s="151">
        <v>131990</v>
      </c>
      <c r="C941" s="151">
        <v>10027384</v>
      </c>
      <c r="D941" s="46" t="s">
        <v>1243</v>
      </c>
      <c r="E941" s="26" t="s">
        <v>70</v>
      </c>
      <c r="F941" s="26" t="s">
        <v>71</v>
      </c>
      <c r="G941" s="26" t="s">
        <v>768</v>
      </c>
      <c r="H941" s="26" t="s">
        <v>214</v>
      </c>
      <c r="I941" s="26" t="s">
        <v>214</v>
      </c>
      <c r="J941" s="2">
        <v>42810</v>
      </c>
      <c r="K941" s="141">
        <v>1</v>
      </c>
      <c r="L941" s="141" t="s">
        <v>1244</v>
      </c>
      <c r="M941" s="26" t="s">
        <v>270</v>
      </c>
      <c r="N941" s="2">
        <v>41597</v>
      </c>
      <c r="O941" s="2">
        <v>41599</v>
      </c>
      <c r="P941" s="133">
        <v>41626</v>
      </c>
      <c r="Q941" s="6">
        <v>2</v>
      </c>
      <c r="R941" s="6">
        <v>2</v>
      </c>
      <c r="S941" s="6">
        <v>2</v>
      </c>
      <c r="T941" s="120" t="s">
        <v>178</v>
      </c>
      <c r="U941" s="6">
        <v>2</v>
      </c>
      <c r="V941" s="6" t="s">
        <v>1245</v>
      </c>
      <c r="W941" s="5">
        <v>39506</v>
      </c>
      <c r="X941" s="6">
        <v>2</v>
      </c>
      <c r="Y941" s="6">
        <v>2</v>
      </c>
      <c r="Z941" s="6">
        <v>3</v>
      </c>
      <c r="AA941" s="6" t="s">
        <v>178</v>
      </c>
      <c r="AB941" s="6">
        <v>2</v>
      </c>
      <c r="AC941" s="6" t="s">
        <v>180</v>
      </c>
    </row>
    <row r="942" spans="1:29" x14ac:dyDescent="0.25">
      <c r="A942" s="145" t="str">
        <f>HYPERLINK("http://www.ofsted.gov.uk/inspection-reports/find-inspection-report/provider/ELS/132001 ","Ofsted Webpage")</f>
        <v>Ofsted Webpage</v>
      </c>
      <c r="B942" s="151">
        <v>132001</v>
      </c>
      <c r="C942" s="151">
        <v>10024771</v>
      </c>
      <c r="D942" s="46" t="s">
        <v>1352</v>
      </c>
      <c r="E942" s="26" t="s">
        <v>70</v>
      </c>
      <c r="F942" s="26" t="s">
        <v>71</v>
      </c>
      <c r="G942" s="26" t="s">
        <v>802</v>
      </c>
      <c r="H942" s="26" t="s">
        <v>198</v>
      </c>
      <c r="I942" s="26" t="s">
        <v>198</v>
      </c>
      <c r="J942" s="2" t="s">
        <v>72</v>
      </c>
      <c r="K942" s="141" t="s">
        <v>72</v>
      </c>
      <c r="L942" s="141" t="s">
        <v>1353</v>
      </c>
      <c r="M942" s="26" t="s">
        <v>270</v>
      </c>
      <c r="N942" s="2">
        <v>41773</v>
      </c>
      <c r="O942" s="2">
        <v>41775</v>
      </c>
      <c r="P942" s="133">
        <v>41815</v>
      </c>
      <c r="Q942" s="6">
        <v>2</v>
      </c>
      <c r="R942" s="6">
        <v>2</v>
      </c>
      <c r="S942" s="6">
        <v>2</v>
      </c>
      <c r="T942" s="120" t="s">
        <v>178</v>
      </c>
      <c r="U942" s="6">
        <v>2</v>
      </c>
      <c r="V942" s="6" t="s">
        <v>1354</v>
      </c>
      <c r="W942" s="5">
        <v>40983</v>
      </c>
      <c r="X942" s="6">
        <v>3</v>
      </c>
      <c r="Y942" s="6">
        <v>3</v>
      </c>
      <c r="Z942" s="6">
        <v>3</v>
      </c>
      <c r="AA942" s="6" t="s">
        <v>178</v>
      </c>
      <c r="AB942" s="6">
        <v>3</v>
      </c>
      <c r="AC942" s="6" t="s">
        <v>216</v>
      </c>
    </row>
    <row r="943" spans="1:29" x14ac:dyDescent="0.25">
      <c r="A943" s="145" t="str">
        <f>HYPERLINK("http://www.ofsted.gov.uk/inspection-reports/find-inspection-report/provider/ELS/132002 ","Ofsted Webpage")</f>
        <v>Ofsted Webpage</v>
      </c>
      <c r="B943" s="151">
        <v>132002</v>
      </c>
      <c r="C943" s="151">
        <v>10025915</v>
      </c>
      <c r="D943" s="46" t="s">
        <v>778</v>
      </c>
      <c r="E943" s="26" t="s">
        <v>70</v>
      </c>
      <c r="F943" s="26" t="s">
        <v>71</v>
      </c>
      <c r="G943" s="26" t="s">
        <v>230</v>
      </c>
      <c r="H943" s="26" t="s">
        <v>187</v>
      </c>
      <c r="I943" s="26" t="s">
        <v>188</v>
      </c>
      <c r="J943" s="2" t="s">
        <v>72</v>
      </c>
      <c r="K943" s="141" t="s">
        <v>72</v>
      </c>
      <c r="L943" s="141">
        <v>10011453</v>
      </c>
      <c r="M943" s="26" t="s">
        <v>270</v>
      </c>
      <c r="N943" s="2">
        <v>42543</v>
      </c>
      <c r="O943" s="2">
        <v>42545</v>
      </c>
      <c r="P943" s="133">
        <v>42572</v>
      </c>
      <c r="Q943" s="6">
        <v>2</v>
      </c>
      <c r="R943" s="6">
        <v>2</v>
      </c>
      <c r="S943" s="6">
        <v>2</v>
      </c>
      <c r="T943" s="6">
        <v>2</v>
      </c>
      <c r="U943" s="6">
        <v>2</v>
      </c>
      <c r="V943" s="6" t="s">
        <v>779</v>
      </c>
      <c r="W943" s="5">
        <v>40318</v>
      </c>
      <c r="X943" s="6">
        <v>2</v>
      </c>
      <c r="Y943" s="6">
        <v>2</v>
      </c>
      <c r="Z943" s="6">
        <v>3</v>
      </c>
      <c r="AA943" s="6" t="s">
        <v>178</v>
      </c>
      <c r="AB943" s="6">
        <v>2</v>
      </c>
      <c r="AC943" s="6" t="s">
        <v>180</v>
      </c>
    </row>
    <row r="944" spans="1:29" x14ac:dyDescent="0.25">
      <c r="A944" s="145" t="str">
        <f>HYPERLINK("http://www.ofsted.gov.uk/inspection-reports/find-inspection-report/provider/ELS/132004 ","Ofsted Webpage")</f>
        <v>Ofsted Webpage</v>
      </c>
      <c r="B944" s="151">
        <v>132004</v>
      </c>
      <c r="C944" s="151">
        <v>10025914</v>
      </c>
      <c r="D944" s="46" t="s">
        <v>780</v>
      </c>
      <c r="E944" s="26" t="s">
        <v>70</v>
      </c>
      <c r="F944" s="26" t="s">
        <v>71</v>
      </c>
      <c r="G944" s="26" t="s">
        <v>192</v>
      </c>
      <c r="H944" s="26" t="s">
        <v>193</v>
      </c>
      <c r="I944" s="26" t="s">
        <v>193</v>
      </c>
      <c r="J944" s="2" t="s">
        <v>72</v>
      </c>
      <c r="K944" s="141" t="s">
        <v>72</v>
      </c>
      <c r="L944" s="141">
        <v>10011454</v>
      </c>
      <c r="M944" s="26" t="s">
        <v>270</v>
      </c>
      <c r="N944" s="2">
        <v>42507</v>
      </c>
      <c r="O944" s="2">
        <v>42509</v>
      </c>
      <c r="P944" s="133">
        <v>42555</v>
      </c>
      <c r="Q944" s="6">
        <v>2</v>
      </c>
      <c r="R944" s="6">
        <v>2</v>
      </c>
      <c r="S944" s="6">
        <v>2</v>
      </c>
      <c r="T944" s="6">
        <v>2</v>
      </c>
      <c r="U944" s="6">
        <v>2</v>
      </c>
      <c r="V944" s="6" t="s">
        <v>781</v>
      </c>
      <c r="W944" s="5">
        <v>40144</v>
      </c>
      <c r="X944" s="6">
        <v>2</v>
      </c>
      <c r="Y944" s="6">
        <v>2</v>
      </c>
      <c r="Z944" s="6">
        <v>2</v>
      </c>
      <c r="AA944" s="6" t="s">
        <v>178</v>
      </c>
      <c r="AB944" s="6">
        <v>2</v>
      </c>
      <c r="AC944" s="6" t="s">
        <v>180</v>
      </c>
    </row>
    <row r="945" spans="1:29" x14ac:dyDescent="0.25">
      <c r="A945" s="145" t="str">
        <f>HYPERLINK("http://www.ofsted.gov.uk/inspection-reports/find-inspection-report/provider/ELS/132011 ","Ofsted Webpage")</f>
        <v>Ofsted Webpage</v>
      </c>
      <c r="B945" s="151">
        <v>132011</v>
      </c>
      <c r="C945" s="151">
        <v>10005748</v>
      </c>
      <c r="D945" s="46" t="s">
        <v>1370</v>
      </c>
      <c r="E945" s="26" t="s">
        <v>70</v>
      </c>
      <c r="F945" s="26" t="s">
        <v>71</v>
      </c>
      <c r="G945" s="26" t="s">
        <v>910</v>
      </c>
      <c r="H945" s="26" t="s">
        <v>287</v>
      </c>
      <c r="I945" s="26" t="s">
        <v>287</v>
      </c>
      <c r="J945" s="2" t="s">
        <v>72</v>
      </c>
      <c r="K945" s="141" t="s">
        <v>72</v>
      </c>
      <c r="L945" s="141">
        <v>10022598</v>
      </c>
      <c r="M945" s="26" t="s">
        <v>270</v>
      </c>
      <c r="N945" s="2">
        <v>42773</v>
      </c>
      <c r="O945" s="2">
        <v>42775</v>
      </c>
      <c r="P945" s="133">
        <v>42821</v>
      </c>
      <c r="Q945" s="6">
        <v>2</v>
      </c>
      <c r="R945" s="6">
        <v>2</v>
      </c>
      <c r="S945" s="6">
        <v>2</v>
      </c>
      <c r="T945" s="6">
        <v>2</v>
      </c>
      <c r="U945" s="6">
        <v>2</v>
      </c>
      <c r="V945" s="6" t="s">
        <v>1371</v>
      </c>
      <c r="W945" s="5">
        <v>41808</v>
      </c>
      <c r="X945" s="6">
        <v>2</v>
      </c>
      <c r="Y945" s="6">
        <v>2</v>
      </c>
      <c r="Z945" s="6">
        <v>2</v>
      </c>
      <c r="AA945" s="6" t="s">
        <v>178</v>
      </c>
      <c r="AB945" s="6">
        <v>3</v>
      </c>
      <c r="AC945" s="6" t="s">
        <v>180</v>
      </c>
    </row>
    <row r="946" spans="1:29" x14ac:dyDescent="0.25">
      <c r="A946" s="145" t="str">
        <f>HYPERLINK("http://www.ofsted.gov.uk/inspection-reports/find-inspection-report/provider/ELS/132015 ","Ofsted Webpage")</f>
        <v>Ofsted Webpage</v>
      </c>
      <c r="B946" s="151">
        <v>132015</v>
      </c>
      <c r="C946" s="151">
        <v>10006159</v>
      </c>
      <c r="D946" s="46" t="s">
        <v>1374</v>
      </c>
      <c r="E946" s="26" t="s">
        <v>70</v>
      </c>
      <c r="F946" s="26" t="s">
        <v>71</v>
      </c>
      <c r="G946" s="26" t="s">
        <v>1199</v>
      </c>
      <c r="H946" s="26" t="s">
        <v>287</v>
      </c>
      <c r="I946" s="26" t="s">
        <v>287</v>
      </c>
      <c r="J946" s="2" t="s">
        <v>72</v>
      </c>
      <c r="K946" s="141" t="s">
        <v>72</v>
      </c>
      <c r="L946" s="141">
        <v>10004801</v>
      </c>
      <c r="M946" s="26" t="s">
        <v>532</v>
      </c>
      <c r="N946" s="2">
        <v>42332</v>
      </c>
      <c r="O946" s="2">
        <v>42334</v>
      </c>
      <c r="P946" s="133">
        <v>42376</v>
      </c>
      <c r="Q946" s="6">
        <v>3</v>
      </c>
      <c r="R946" s="6">
        <v>3</v>
      </c>
      <c r="S946" s="6">
        <v>3</v>
      </c>
      <c r="T946" s="6">
        <v>2</v>
      </c>
      <c r="U946" s="6">
        <v>3</v>
      </c>
      <c r="V946" s="6" t="s">
        <v>1375</v>
      </c>
      <c r="W946" s="5">
        <v>41796</v>
      </c>
      <c r="X946" s="6">
        <v>3</v>
      </c>
      <c r="Y946" s="6">
        <v>3</v>
      </c>
      <c r="Z946" s="6">
        <v>3</v>
      </c>
      <c r="AA946" s="6" t="s">
        <v>178</v>
      </c>
      <c r="AB946" s="6">
        <v>3</v>
      </c>
      <c r="AC946" s="6" t="s">
        <v>180</v>
      </c>
    </row>
    <row r="947" spans="1:29" x14ac:dyDescent="0.25">
      <c r="A947" s="145" t="str">
        <f>HYPERLINK("http://www.ofsted.gov.uk/inspection-reports/find-inspection-report/provider/ELS/132016 ","Ofsted Webpage")</f>
        <v>Ofsted Webpage</v>
      </c>
      <c r="B947" s="151">
        <v>132016</v>
      </c>
      <c r="C947" s="151">
        <v>10006199</v>
      </c>
      <c r="D947" s="46" t="s">
        <v>525</v>
      </c>
      <c r="E947" s="26" t="s">
        <v>70</v>
      </c>
      <c r="F947" s="26" t="s">
        <v>71</v>
      </c>
      <c r="G947" s="26" t="s">
        <v>526</v>
      </c>
      <c r="H947" s="26" t="s">
        <v>219</v>
      </c>
      <c r="I947" s="26" t="s">
        <v>219</v>
      </c>
      <c r="J947" s="2" t="s">
        <v>72</v>
      </c>
      <c r="K947" s="141" t="s">
        <v>72</v>
      </c>
      <c r="L947" s="141">
        <v>10022528</v>
      </c>
      <c r="M947" s="26" t="s">
        <v>270</v>
      </c>
      <c r="N947" s="2">
        <v>42759</v>
      </c>
      <c r="O947" s="2">
        <v>42761</v>
      </c>
      <c r="P947" s="133">
        <v>42795</v>
      </c>
      <c r="Q947" s="6">
        <v>3</v>
      </c>
      <c r="R947" s="6">
        <v>2</v>
      </c>
      <c r="S947" s="6">
        <v>3</v>
      </c>
      <c r="T947" s="6">
        <v>2</v>
      </c>
      <c r="U947" s="6">
        <v>3</v>
      </c>
      <c r="V947" s="6" t="s">
        <v>527</v>
      </c>
      <c r="W947" s="5">
        <v>41208</v>
      </c>
      <c r="X947" s="6">
        <v>2</v>
      </c>
      <c r="Y947" s="6">
        <v>2</v>
      </c>
      <c r="Z947" s="6">
        <v>2</v>
      </c>
      <c r="AA947" s="6" t="s">
        <v>178</v>
      </c>
      <c r="AB947" s="6">
        <v>2</v>
      </c>
      <c r="AC947" s="6" t="s">
        <v>201</v>
      </c>
    </row>
    <row r="948" spans="1:29" x14ac:dyDescent="0.25">
      <c r="A948" s="145" t="str">
        <f>HYPERLINK("http://www.ofsted.gov.uk/inspection-reports/find-inspection-report/provider/ELS/132021 ","Ofsted Webpage")</f>
        <v>Ofsted Webpage</v>
      </c>
      <c r="B948" s="151">
        <v>132021</v>
      </c>
      <c r="C948" s="151">
        <v>10006374</v>
      </c>
      <c r="D948" s="46" t="s">
        <v>529</v>
      </c>
      <c r="E948" s="26" t="s">
        <v>70</v>
      </c>
      <c r="F948" s="26" t="s">
        <v>71</v>
      </c>
      <c r="G948" s="26" t="s">
        <v>530</v>
      </c>
      <c r="H948" s="26" t="s">
        <v>193</v>
      </c>
      <c r="I948" s="26" t="s">
        <v>193</v>
      </c>
      <c r="J948" s="2" t="s">
        <v>72</v>
      </c>
      <c r="K948" s="141" t="s">
        <v>72</v>
      </c>
      <c r="L948" s="141" t="s">
        <v>531</v>
      </c>
      <c r="M948" s="26" t="s">
        <v>532</v>
      </c>
      <c r="N948" s="2">
        <v>42088</v>
      </c>
      <c r="O948" s="2">
        <v>42090</v>
      </c>
      <c r="P948" s="133">
        <v>42123</v>
      </c>
      <c r="Q948" s="6">
        <v>2</v>
      </c>
      <c r="R948" s="6">
        <v>2</v>
      </c>
      <c r="S948" s="6">
        <v>2</v>
      </c>
      <c r="T948" s="120" t="s">
        <v>178</v>
      </c>
      <c r="U948" s="6">
        <v>2</v>
      </c>
      <c r="V948" s="6" t="s">
        <v>533</v>
      </c>
      <c r="W948" s="5">
        <v>41697</v>
      </c>
      <c r="X948" s="6">
        <v>3</v>
      </c>
      <c r="Y948" s="6">
        <v>2</v>
      </c>
      <c r="Z948" s="6">
        <v>3</v>
      </c>
      <c r="AA948" s="6" t="s">
        <v>178</v>
      </c>
      <c r="AB948" s="6">
        <v>3</v>
      </c>
      <c r="AC948" s="6" t="s">
        <v>216</v>
      </c>
    </row>
    <row r="949" spans="1:29" x14ac:dyDescent="0.25">
      <c r="A949" s="145" t="str">
        <f>HYPERLINK("http://www.ofsted.gov.uk/inspection-reports/find-inspection-report/provider/ELS/132030 ","Ofsted Webpage")</f>
        <v>Ofsted Webpage</v>
      </c>
      <c r="B949" s="151">
        <v>132030</v>
      </c>
      <c r="C949" s="151">
        <v>10009777</v>
      </c>
      <c r="D949" s="46" t="s">
        <v>892</v>
      </c>
      <c r="E949" s="26" t="s">
        <v>70</v>
      </c>
      <c r="F949" s="26" t="s">
        <v>71</v>
      </c>
      <c r="G949" s="26" t="s">
        <v>586</v>
      </c>
      <c r="H949" s="26" t="s">
        <v>204</v>
      </c>
      <c r="I949" s="26" t="s">
        <v>188</v>
      </c>
      <c r="J949" s="2" t="s">
        <v>72</v>
      </c>
      <c r="K949" s="141" t="s">
        <v>72</v>
      </c>
      <c r="L949" s="141">
        <v>10011568</v>
      </c>
      <c r="M949" s="26" t="s">
        <v>270</v>
      </c>
      <c r="N949" s="2">
        <v>42535</v>
      </c>
      <c r="O949" s="2">
        <v>42537</v>
      </c>
      <c r="P949" s="133">
        <v>42564</v>
      </c>
      <c r="Q949" s="6">
        <v>2</v>
      </c>
      <c r="R949" s="6">
        <v>2</v>
      </c>
      <c r="S949" s="6">
        <v>2</v>
      </c>
      <c r="T949" s="6">
        <v>1</v>
      </c>
      <c r="U949" s="6">
        <v>2</v>
      </c>
      <c r="V949" s="6" t="s">
        <v>893</v>
      </c>
      <c r="W949" s="5">
        <v>40080</v>
      </c>
      <c r="X949" s="6">
        <v>1</v>
      </c>
      <c r="Y949" s="6">
        <v>1</v>
      </c>
      <c r="Z949" s="6">
        <v>1</v>
      </c>
      <c r="AA949" s="6" t="s">
        <v>178</v>
      </c>
      <c r="AB949" s="6">
        <v>1</v>
      </c>
      <c r="AC949" s="6" t="s">
        <v>201</v>
      </c>
    </row>
    <row r="950" spans="1:29" x14ac:dyDescent="0.25">
      <c r="A950" s="145" t="str">
        <f>HYPERLINK("http://www.ofsted.gov.uk/inspection-reports/find-inspection-report/provider/ELS/132042 ","Ofsted Webpage")</f>
        <v>Ofsted Webpage</v>
      </c>
      <c r="B950" s="151">
        <v>132042</v>
      </c>
      <c r="C950" s="151">
        <v>10012825</v>
      </c>
      <c r="D950" s="46" t="s">
        <v>899</v>
      </c>
      <c r="E950" s="26" t="s">
        <v>70</v>
      </c>
      <c r="F950" s="26" t="s">
        <v>71</v>
      </c>
      <c r="G950" s="26" t="s">
        <v>802</v>
      </c>
      <c r="H950" s="26" t="s">
        <v>198</v>
      </c>
      <c r="I950" s="26" t="s">
        <v>198</v>
      </c>
      <c r="J950" s="2" t="s">
        <v>72</v>
      </c>
      <c r="K950" s="141" t="s">
        <v>72</v>
      </c>
      <c r="L950" s="141">
        <v>10004803</v>
      </c>
      <c r="M950" s="26" t="s">
        <v>532</v>
      </c>
      <c r="N950" s="2">
        <v>42270</v>
      </c>
      <c r="O950" s="2">
        <v>42272</v>
      </c>
      <c r="P950" s="133">
        <v>42317</v>
      </c>
      <c r="Q950" s="6">
        <v>2</v>
      </c>
      <c r="R950" s="6">
        <v>2</v>
      </c>
      <c r="S950" s="6">
        <v>2</v>
      </c>
      <c r="T950" s="6">
        <v>2</v>
      </c>
      <c r="U950" s="6">
        <v>2</v>
      </c>
      <c r="V950" s="6" t="s">
        <v>900</v>
      </c>
      <c r="W950" s="5">
        <v>41781</v>
      </c>
      <c r="X950" s="6">
        <v>3</v>
      </c>
      <c r="Y950" s="6">
        <v>3</v>
      </c>
      <c r="Z950" s="6">
        <v>3</v>
      </c>
      <c r="AA950" s="6" t="s">
        <v>178</v>
      </c>
      <c r="AB950" s="6">
        <v>3</v>
      </c>
      <c r="AC950" s="6" t="s">
        <v>216</v>
      </c>
    </row>
    <row r="951" spans="1:29" x14ac:dyDescent="0.25">
      <c r="A951" s="145" t="str">
        <f>HYPERLINK("http://www.ofsted.gov.uk/inspection-reports/find-inspection-report/provider/ELS/132067 ","Ofsted Webpage")</f>
        <v>Ofsted Webpage</v>
      </c>
      <c r="B951" s="151">
        <v>132067</v>
      </c>
      <c r="C951" s="151">
        <v>10007514</v>
      </c>
      <c r="D951" s="46" t="s">
        <v>901</v>
      </c>
      <c r="E951" s="26" t="s">
        <v>70</v>
      </c>
      <c r="F951" s="26" t="s">
        <v>71</v>
      </c>
      <c r="G951" s="26" t="s">
        <v>447</v>
      </c>
      <c r="H951" s="26" t="s">
        <v>198</v>
      </c>
      <c r="I951" s="26" t="s">
        <v>198</v>
      </c>
      <c r="J951" s="2">
        <v>42537</v>
      </c>
      <c r="K951" s="141">
        <v>1</v>
      </c>
      <c r="L951" s="141" t="s">
        <v>902</v>
      </c>
      <c r="M951" s="26" t="s">
        <v>903</v>
      </c>
      <c r="N951" s="2">
        <v>40981</v>
      </c>
      <c r="O951" s="2">
        <v>40983</v>
      </c>
      <c r="P951" s="133">
        <v>41022</v>
      </c>
      <c r="Q951" s="6">
        <v>2</v>
      </c>
      <c r="R951" s="6">
        <v>2</v>
      </c>
      <c r="S951" s="6">
        <v>2</v>
      </c>
      <c r="T951" s="120" t="s">
        <v>178</v>
      </c>
      <c r="U951" s="6">
        <v>2</v>
      </c>
      <c r="V951" s="6" t="s">
        <v>904</v>
      </c>
      <c r="W951" s="5">
        <v>38833</v>
      </c>
      <c r="X951" s="6">
        <v>2</v>
      </c>
      <c r="Y951" s="6">
        <v>2</v>
      </c>
      <c r="Z951" s="6">
        <v>2</v>
      </c>
      <c r="AA951" s="6" t="s">
        <v>178</v>
      </c>
      <c r="AB951" s="6">
        <v>2</v>
      </c>
      <c r="AC951" s="6" t="s">
        <v>180</v>
      </c>
    </row>
    <row r="952" spans="1:29" x14ac:dyDescent="0.25">
      <c r="A952" s="145" t="str">
        <f>HYPERLINK("http://www.ofsted.gov.uk/inspection-reports/find-inspection-report/provider/ELS/132082 ","Ofsted Webpage")</f>
        <v>Ofsted Webpage</v>
      </c>
      <c r="B952" s="151">
        <v>132082</v>
      </c>
      <c r="C952" s="151">
        <v>10027379</v>
      </c>
      <c r="D952" s="46" t="s">
        <v>1221</v>
      </c>
      <c r="E952" s="26" t="s">
        <v>70</v>
      </c>
      <c r="F952" s="26" t="s">
        <v>71</v>
      </c>
      <c r="G952" s="26" t="s">
        <v>1222</v>
      </c>
      <c r="H952" s="26" t="s">
        <v>198</v>
      </c>
      <c r="I952" s="26" t="s">
        <v>198</v>
      </c>
      <c r="J952" s="2" t="s">
        <v>72</v>
      </c>
      <c r="K952" s="141" t="s">
        <v>72</v>
      </c>
      <c r="L952" s="141">
        <v>10011456</v>
      </c>
      <c r="M952" s="26" t="s">
        <v>270</v>
      </c>
      <c r="N952" s="2">
        <v>42689</v>
      </c>
      <c r="O952" s="2">
        <v>42691</v>
      </c>
      <c r="P952" s="133">
        <v>42727</v>
      </c>
      <c r="Q952" s="6">
        <v>2</v>
      </c>
      <c r="R952" s="6">
        <v>2</v>
      </c>
      <c r="S952" s="6">
        <v>2</v>
      </c>
      <c r="T952" s="6">
        <v>2</v>
      </c>
      <c r="U952" s="6">
        <v>2</v>
      </c>
      <c r="V952" s="6" t="s">
        <v>72</v>
      </c>
      <c r="W952" s="5" t="s">
        <v>72</v>
      </c>
      <c r="X952" s="6" t="s">
        <v>72</v>
      </c>
      <c r="Y952" s="6" t="s">
        <v>72</v>
      </c>
      <c r="Z952" s="6" t="s">
        <v>72</v>
      </c>
      <c r="AA952" s="6" t="s">
        <v>72</v>
      </c>
      <c r="AB952" s="6" t="s">
        <v>72</v>
      </c>
      <c r="AC952" s="6" t="s">
        <v>208</v>
      </c>
    </row>
    <row r="953" spans="1:29" x14ac:dyDescent="0.25">
      <c r="A953" s="145" t="str">
        <f>HYPERLINK("http://www.ofsted.gov.uk/inspection-reports/find-inspection-report/provider/ELS/132779 ","Ofsted Webpage")</f>
        <v>Ofsted Webpage</v>
      </c>
      <c r="B953" s="151">
        <v>132779</v>
      </c>
      <c r="C953" s="151">
        <v>10007527</v>
      </c>
      <c r="D953" s="46" t="s">
        <v>1675</v>
      </c>
      <c r="E953" s="26" t="s">
        <v>81</v>
      </c>
      <c r="F953" s="26" t="s">
        <v>82</v>
      </c>
      <c r="G953" s="26" t="s">
        <v>294</v>
      </c>
      <c r="H953" s="26" t="s">
        <v>198</v>
      </c>
      <c r="I953" s="26" t="s">
        <v>198</v>
      </c>
      <c r="J953" s="2" t="s">
        <v>72</v>
      </c>
      <c r="K953" s="141" t="s">
        <v>72</v>
      </c>
      <c r="L953" s="141" t="s">
        <v>1676</v>
      </c>
      <c r="M953" s="26" t="s">
        <v>215</v>
      </c>
      <c r="N953" s="2">
        <v>42163</v>
      </c>
      <c r="O953" s="2">
        <v>42167</v>
      </c>
      <c r="P953" s="133">
        <v>42202</v>
      </c>
      <c r="Q953" s="6">
        <v>2</v>
      </c>
      <c r="R953" s="6">
        <v>3</v>
      </c>
      <c r="S953" s="6">
        <v>2</v>
      </c>
      <c r="T953" s="120" t="s">
        <v>178</v>
      </c>
      <c r="U953" s="6">
        <v>2</v>
      </c>
      <c r="V953" s="6" t="s">
        <v>1677</v>
      </c>
      <c r="W953" s="5">
        <v>41705</v>
      </c>
      <c r="X953" s="6">
        <v>3</v>
      </c>
      <c r="Y953" s="6">
        <v>3</v>
      </c>
      <c r="Z953" s="6">
        <v>3</v>
      </c>
      <c r="AA953" s="6" t="s">
        <v>178</v>
      </c>
      <c r="AB953" s="6">
        <v>3</v>
      </c>
      <c r="AC953" s="6" t="s">
        <v>216</v>
      </c>
    </row>
    <row r="954" spans="1:29" x14ac:dyDescent="0.25">
      <c r="A954" s="145" t="str">
        <f>HYPERLINK("http://www.ofsted.gov.uk/inspection-reports/find-inspection-report/provider/ELS/132980 ","Ofsted Webpage")</f>
        <v>Ofsted Webpage</v>
      </c>
      <c r="B954" s="151">
        <v>132980</v>
      </c>
      <c r="C954" s="151">
        <v>10007031</v>
      </c>
      <c r="D954" s="46" t="s">
        <v>894</v>
      </c>
      <c r="E954" s="26" t="s">
        <v>70</v>
      </c>
      <c r="F954" s="26" t="s">
        <v>71</v>
      </c>
      <c r="G954" s="26" t="s">
        <v>261</v>
      </c>
      <c r="H954" s="26" t="s">
        <v>219</v>
      </c>
      <c r="I954" s="26" t="s">
        <v>219</v>
      </c>
      <c r="J954" s="2" t="s">
        <v>72</v>
      </c>
      <c r="K954" s="141" t="s">
        <v>72</v>
      </c>
      <c r="L954" s="141">
        <v>10021343</v>
      </c>
      <c r="M954" s="26" t="s">
        <v>270</v>
      </c>
      <c r="N954" s="2">
        <v>42710</v>
      </c>
      <c r="O954" s="2">
        <v>42712</v>
      </c>
      <c r="P954" s="133">
        <v>42755</v>
      </c>
      <c r="Q954" s="6">
        <v>1</v>
      </c>
      <c r="R954" s="6">
        <v>1</v>
      </c>
      <c r="S954" s="6">
        <v>1</v>
      </c>
      <c r="T954" s="6">
        <v>1</v>
      </c>
      <c r="U954" s="6">
        <v>1</v>
      </c>
      <c r="V954" s="6" t="s">
        <v>895</v>
      </c>
      <c r="W954" s="5">
        <v>41320</v>
      </c>
      <c r="X954" s="6">
        <v>2</v>
      </c>
      <c r="Y954" s="6">
        <v>2</v>
      </c>
      <c r="Z954" s="6">
        <v>2</v>
      </c>
      <c r="AA954" s="6" t="s">
        <v>178</v>
      </c>
      <c r="AB954" s="6">
        <v>2</v>
      </c>
      <c r="AC954" s="6" t="s">
        <v>216</v>
      </c>
    </row>
    <row r="955" spans="1:29" x14ac:dyDescent="0.25">
      <c r="A955" s="145" t="str">
        <f>HYPERLINK("http://www.ofsted.gov.uk/inspection-reports/find-inspection-report/provider/ELS/133001 ","Ofsted Webpage")</f>
        <v>Ofsted Webpage</v>
      </c>
      <c r="B955" s="151">
        <v>133001</v>
      </c>
      <c r="C955" s="151">
        <v>10009069</v>
      </c>
      <c r="D955" s="46" t="s">
        <v>1348</v>
      </c>
      <c r="E955" s="26" t="s">
        <v>70</v>
      </c>
      <c r="F955" s="26" t="s">
        <v>71</v>
      </c>
      <c r="G955" s="26" t="s">
        <v>218</v>
      </c>
      <c r="H955" s="26" t="s">
        <v>219</v>
      </c>
      <c r="I955" s="26" t="s">
        <v>219</v>
      </c>
      <c r="J955" s="2" t="s">
        <v>72</v>
      </c>
      <c r="K955" s="141" t="s">
        <v>72</v>
      </c>
      <c r="L955" s="141">
        <v>10005119</v>
      </c>
      <c r="M955" s="26" t="s">
        <v>270</v>
      </c>
      <c r="N955" s="2">
        <v>42353</v>
      </c>
      <c r="O955" s="2">
        <v>42355</v>
      </c>
      <c r="P955" s="133">
        <v>42402</v>
      </c>
      <c r="Q955" s="6">
        <v>2</v>
      </c>
      <c r="R955" s="6">
        <v>2</v>
      </c>
      <c r="S955" s="6">
        <v>2</v>
      </c>
      <c r="T955" s="6">
        <v>2</v>
      </c>
      <c r="U955" s="6">
        <v>2</v>
      </c>
      <c r="V955" s="6" t="s">
        <v>1349</v>
      </c>
      <c r="W955" s="5">
        <v>40927</v>
      </c>
      <c r="X955" s="6">
        <v>3</v>
      </c>
      <c r="Y955" s="6">
        <v>3</v>
      </c>
      <c r="Z955" s="6">
        <v>3</v>
      </c>
      <c r="AA955" s="6" t="s">
        <v>178</v>
      </c>
      <c r="AB955" s="6">
        <v>3</v>
      </c>
      <c r="AC955" s="6" t="s">
        <v>216</v>
      </c>
    </row>
    <row r="956" spans="1:29" x14ac:dyDescent="0.25">
      <c r="A956" s="145" t="str">
        <f>HYPERLINK("http://www.ofsted.gov.uk/inspection-reports/find-inspection-report/provider/ELS/133036 ","Ofsted Webpage")</f>
        <v>Ofsted Webpage</v>
      </c>
      <c r="B956" s="151">
        <v>133036</v>
      </c>
      <c r="C956" s="151">
        <v>10009031</v>
      </c>
      <c r="D956" s="46" t="s">
        <v>1367</v>
      </c>
      <c r="E956" s="26" t="s">
        <v>70</v>
      </c>
      <c r="F956" s="26" t="s">
        <v>71</v>
      </c>
      <c r="G956" s="26" t="s">
        <v>447</v>
      </c>
      <c r="H956" s="26" t="s">
        <v>198</v>
      </c>
      <c r="I956" s="26" t="s">
        <v>198</v>
      </c>
      <c r="J956" s="2" t="s">
        <v>72</v>
      </c>
      <c r="K956" s="141" t="s">
        <v>72</v>
      </c>
      <c r="L956" s="141" t="s">
        <v>1368</v>
      </c>
      <c r="M956" s="26" t="s">
        <v>897</v>
      </c>
      <c r="N956" s="2">
        <v>42142</v>
      </c>
      <c r="O956" s="2">
        <v>42144</v>
      </c>
      <c r="P956" s="133">
        <v>42173</v>
      </c>
      <c r="Q956" s="6">
        <v>2</v>
      </c>
      <c r="R956" s="6">
        <v>2</v>
      </c>
      <c r="S956" s="6">
        <v>2</v>
      </c>
      <c r="T956" s="120" t="s">
        <v>178</v>
      </c>
      <c r="U956" s="6">
        <v>2</v>
      </c>
      <c r="V956" s="6" t="s">
        <v>1369</v>
      </c>
      <c r="W956" s="5">
        <v>41719</v>
      </c>
      <c r="X956" s="6">
        <v>4</v>
      </c>
      <c r="Y956" s="6">
        <v>2</v>
      </c>
      <c r="Z956" s="6">
        <v>2</v>
      </c>
      <c r="AA956" s="6" t="s">
        <v>178</v>
      </c>
      <c r="AB956" s="6">
        <v>4</v>
      </c>
      <c r="AC956" s="6" t="s">
        <v>216</v>
      </c>
    </row>
    <row r="957" spans="1:29" x14ac:dyDescent="0.25">
      <c r="A957" s="145" t="str">
        <f>HYPERLINK("http://www.ofsted.gov.uk/inspection-reports/find-inspection-report/provider/ELS/133053 ","Ofsted Webpage")</f>
        <v>Ofsted Webpage</v>
      </c>
      <c r="B957" s="151">
        <v>133053</v>
      </c>
      <c r="C957" s="151">
        <v>10003088</v>
      </c>
      <c r="D957" s="46" t="s">
        <v>1571</v>
      </c>
      <c r="E957" s="26" t="s">
        <v>84</v>
      </c>
      <c r="F957" s="26" t="s">
        <v>76</v>
      </c>
      <c r="G957" s="26" t="s">
        <v>383</v>
      </c>
      <c r="H957" s="26" t="s">
        <v>175</v>
      </c>
      <c r="I957" s="26" t="s">
        <v>175</v>
      </c>
      <c r="J957" s="2" t="s">
        <v>72</v>
      </c>
      <c r="K957" s="141" t="s">
        <v>72</v>
      </c>
      <c r="L957" s="141" t="s">
        <v>1572</v>
      </c>
      <c r="M957" s="26" t="s">
        <v>1573</v>
      </c>
      <c r="N957" s="2">
        <v>41667</v>
      </c>
      <c r="O957" s="2">
        <v>41670</v>
      </c>
      <c r="P957" s="133">
        <v>41705</v>
      </c>
      <c r="Q957" s="6">
        <v>2</v>
      </c>
      <c r="R957" s="6">
        <v>2</v>
      </c>
      <c r="S957" s="6">
        <v>2</v>
      </c>
      <c r="T957" s="120" t="s">
        <v>178</v>
      </c>
      <c r="U957" s="6">
        <v>2</v>
      </c>
      <c r="V957" s="6" t="s">
        <v>1574</v>
      </c>
      <c r="W957" s="5">
        <v>41260</v>
      </c>
      <c r="X957" s="6">
        <v>4</v>
      </c>
      <c r="Y957" s="6">
        <v>4</v>
      </c>
      <c r="Z957" s="6">
        <v>3</v>
      </c>
      <c r="AA957" s="6" t="s">
        <v>178</v>
      </c>
      <c r="AB957" s="6">
        <v>3</v>
      </c>
      <c r="AC957" s="6" t="s">
        <v>216</v>
      </c>
    </row>
    <row r="958" spans="1:29" x14ac:dyDescent="0.25">
      <c r="A958" s="145" t="str">
        <f>HYPERLINK("http://www.ofsted.gov.uk/inspection-reports/find-inspection-report/provider/ELS/133108 ","Ofsted Webpage")</f>
        <v>Ofsted Webpage</v>
      </c>
      <c r="B958" s="151">
        <v>133108</v>
      </c>
      <c r="C958" s="151">
        <v>10005558</v>
      </c>
      <c r="D958" s="46" t="s">
        <v>1365</v>
      </c>
      <c r="E958" s="26" t="s">
        <v>70</v>
      </c>
      <c r="F958" s="26" t="s">
        <v>71</v>
      </c>
      <c r="G958" s="26" t="s">
        <v>455</v>
      </c>
      <c r="H958" s="26" t="s">
        <v>193</v>
      </c>
      <c r="I958" s="26" t="s">
        <v>193</v>
      </c>
      <c r="J958" s="2" t="s">
        <v>72</v>
      </c>
      <c r="K958" s="141" t="s">
        <v>72</v>
      </c>
      <c r="L958" s="141">
        <v>10022586</v>
      </c>
      <c r="M958" s="26" t="s">
        <v>270</v>
      </c>
      <c r="N958" s="2">
        <v>42808</v>
      </c>
      <c r="O958" s="2">
        <v>42810</v>
      </c>
      <c r="P958" s="133">
        <v>42859</v>
      </c>
      <c r="Q958" s="6">
        <v>2</v>
      </c>
      <c r="R958" s="6">
        <v>2</v>
      </c>
      <c r="S958" s="6">
        <v>2</v>
      </c>
      <c r="T958" s="6">
        <v>2</v>
      </c>
      <c r="U958" s="6">
        <v>2</v>
      </c>
      <c r="V958" s="6" t="s">
        <v>1366</v>
      </c>
      <c r="W958" s="5">
        <v>41558</v>
      </c>
      <c r="X958" s="6">
        <v>2</v>
      </c>
      <c r="Y958" s="6">
        <v>2</v>
      </c>
      <c r="Z958" s="6">
        <v>2</v>
      </c>
      <c r="AA958" s="6" t="s">
        <v>178</v>
      </c>
      <c r="AB958" s="6">
        <v>2</v>
      </c>
      <c r="AC958" s="6" t="s">
        <v>180</v>
      </c>
    </row>
    <row r="959" spans="1:29" x14ac:dyDescent="0.25">
      <c r="A959" s="145" t="str">
        <f>HYPERLINK("http://www.ofsted.gov.uk/inspection-reports/find-inspection-report/provider/ELS/133173 ","Ofsted Webpage")</f>
        <v>Ofsted Webpage</v>
      </c>
      <c r="B959" s="151">
        <v>133173</v>
      </c>
      <c r="C959" s="151">
        <v>10001929</v>
      </c>
      <c r="D959" s="46" t="s">
        <v>1231</v>
      </c>
      <c r="E959" s="26" t="s">
        <v>70</v>
      </c>
      <c r="F959" s="26" t="s">
        <v>71</v>
      </c>
      <c r="G959" s="26" t="s">
        <v>1228</v>
      </c>
      <c r="H959" s="26" t="s">
        <v>193</v>
      </c>
      <c r="I959" s="26" t="s">
        <v>193</v>
      </c>
      <c r="J959" s="2" t="s">
        <v>72</v>
      </c>
      <c r="K959" s="141" t="s">
        <v>72</v>
      </c>
      <c r="L959" s="141">
        <v>10011457</v>
      </c>
      <c r="M959" s="26" t="s">
        <v>270</v>
      </c>
      <c r="N959" s="2">
        <v>42480</v>
      </c>
      <c r="O959" s="2">
        <v>42482</v>
      </c>
      <c r="P959" s="133">
        <v>42513</v>
      </c>
      <c r="Q959" s="6">
        <v>1</v>
      </c>
      <c r="R959" s="6">
        <v>1</v>
      </c>
      <c r="S959" s="6">
        <v>1</v>
      </c>
      <c r="T959" s="6">
        <v>1</v>
      </c>
      <c r="U959" s="6">
        <v>1</v>
      </c>
      <c r="V959" s="6" t="s">
        <v>1232</v>
      </c>
      <c r="W959" s="5">
        <v>40970</v>
      </c>
      <c r="X959" s="6">
        <v>1</v>
      </c>
      <c r="Y959" s="6">
        <v>1</v>
      </c>
      <c r="Z959" s="6">
        <v>2</v>
      </c>
      <c r="AA959" s="6" t="s">
        <v>178</v>
      </c>
      <c r="AB959" s="6">
        <v>1</v>
      </c>
      <c r="AC959" s="6" t="s">
        <v>180</v>
      </c>
    </row>
    <row r="960" spans="1:29" x14ac:dyDescent="0.25">
      <c r="A960" s="145" t="str">
        <f>HYPERLINK("http://www.ofsted.gov.uk/inspection-reports/find-inspection-report/provider/ELS/133435 ","Ofsted Webpage")</f>
        <v>Ofsted Webpage</v>
      </c>
      <c r="B960" s="151">
        <v>133435</v>
      </c>
      <c r="C960" s="151">
        <v>10006432</v>
      </c>
      <c r="D960" s="46" t="s">
        <v>1678</v>
      </c>
      <c r="E960" s="26" t="s">
        <v>81</v>
      </c>
      <c r="F960" s="26" t="s">
        <v>82</v>
      </c>
      <c r="G960" s="26" t="s">
        <v>662</v>
      </c>
      <c r="H960" s="26" t="s">
        <v>219</v>
      </c>
      <c r="I960" s="26" t="s">
        <v>219</v>
      </c>
      <c r="J960" s="2" t="s">
        <v>72</v>
      </c>
      <c r="K960" s="141" t="s">
        <v>72</v>
      </c>
      <c r="L960" s="141">
        <v>10037409</v>
      </c>
      <c r="M960" s="26" t="s">
        <v>215</v>
      </c>
      <c r="N960" s="2">
        <v>43039</v>
      </c>
      <c r="O960" s="2">
        <v>43042</v>
      </c>
      <c r="P960" s="133">
        <v>43077</v>
      </c>
      <c r="Q960" s="6">
        <v>3</v>
      </c>
      <c r="R960" s="6">
        <v>3</v>
      </c>
      <c r="S960" s="6">
        <v>3</v>
      </c>
      <c r="T960" s="6">
        <v>2</v>
      </c>
      <c r="U960" s="6">
        <v>3</v>
      </c>
      <c r="V960" s="6">
        <v>10004809</v>
      </c>
      <c r="W960" s="5">
        <v>42314</v>
      </c>
      <c r="X960" s="6">
        <v>3</v>
      </c>
      <c r="Y960" s="6">
        <v>3</v>
      </c>
      <c r="Z960" s="6">
        <v>3</v>
      </c>
      <c r="AA960" s="6">
        <v>2</v>
      </c>
      <c r="AB960" s="6">
        <v>3</v>
      </c>
      <c r="AC960" s="6" t="s">
        <v>180</v>
      </c>
    </row>
    <row r="961" spans="1:29" x14ac:dyDescent="0.25">
      <c r="A961" s="145" t="str">
        <f>HYPERLINK("http://www.ofsted.gov.uk/inspection-reports/find-inspection-report/provider/ELS/133585 ","Ofsted Webpage")</f>
        <v>Ofsted Webpage</v>
      </c>
      <c r="B961" s="151">
        <v>133585</v>
      </c>
      <c r="C961" s="151">
        <v>10001919</v>
      </c>
      <c r="D961" s="46" t="s">
        <v>2119</v>
      </c>
      <c r="E961" s="26" t="s">
        <v>81</v>
      </c>
      <c r="F961" s="26" t="s">
        <v>82</v>
      </c>
      <c r="G961" s="26" t="s">
        <v>340</v>
      </c>
      <c r="H961" s="26" t="s">
        <v>214</v>
      </c>
      <c r="I961" s="26" t="s">
        <v>214</v>
      </c>
      <c r="J961" s="2" t="s">
        <v>72</v>
      </c>
      <c r="K961" s="141" t="s">
        <v>72</v>
      </c>
      <c r="L961" s="141">
        <v>10004810</v>
      </c>
      <c r="M961" s="26" t="s">
        <v>215</v>
      </c>
      <c r="N961" s="2">
        <v>42430</v>
      </c>
      <c r="O961" s="2">
        <v>42433</v>
      </c>
      <c r="P961" s="133">
        <v>42465</v>
      </c>
      <c r="Q961" s="6">
        <v>2</v>
      </c>
      <c r="R961" s="6">
        <v>2</v>
      </c>
      <c r="S961" s="6">
        <v>2</v>
      </c>
      <c r="T961" s="6">
        <v>2</v>
      </c>
      <c r="U961" s="6">
        <v>2</v>
      </c>
      <c r="V961" s="6" t="s">
        <v>2120</v>
      </c>
      <c r="W961" s="5">
        <v>41775</v>
      </c>
      <c r="X961" s="6">
        <v>3</v>
      </c>
      <c r="Y961" s="6">
        <v>3</v>
      </c>
      <c r="Z961" s="6">
        <v>3</v>
      </c>
      <c r="AA961" s="6" t="s">
        <v>178</v>
      </c>
      <c r="AB961" s="6">
        <v>3</v>
      </c>
      <c r="AC961" s="6" t="s">
        <v>216</v>
      </c>
    </row>
    <row r="962" spans="1:29" x14ac:dyDescent="0.25">
      <c r="A962" s="145" t="str">
        <f>HYPERLINK("http://www.ofsted.gov.uk/inspection-reports/find-inspection-report/provider/ELS/133608 ","Ofsted Webpage")</f>
        <v>Ofsted Webpage</v>
      </c>
      <c r="B962" s="151">
        <v>133608</v>
      </c>
      <c r="C962" s="151">
        <v>10006813</v>
      </c>
      <c r="D962" s="46" t="s">
        <v>2121</v>
      </c>
      <c r="E962" s="26" t="s">
        <v>83</v>
      </c>
      <c r="F962" s="26" t="s">
        <v>82</v>
      </c>
      <c r="G962" s="26" t="s">
        <v>600</v>
      </c>
      <c r="H962" s="26" t="s">
        <v>175</v>
      </c>
      <c r="I962" s="26" t="s">
        <v>175</v>
      </c>
      <c r="J962" s="2" t="s">
        <v>72</v>
      </c>
      <c r="K962" s="141" t="s">
        <v>72</v>
      </c>
      <c r="L962" s="141">
        <v>10011458</v>
      </c>
      <c r="M962" s="26" t="s">
        <v>372</v>
      </c>
      <c r="N962" s="2">
        <v>42486</v>
      </c>
      <c r="O962" s="2">
        <v>42489</v>
      </c>
      <c r="P962" s="133">
        <v>42529</v>
      </c>
      <c r="Q962" s="6">
        <v>3</v>
      </c>
      <c r="R962" s="6">
        <v>3</v>
      </c>
      <c r="S962" s="6">
        <v>3</v>
      </c>
      <c r="T962" s="6">
        <v>3</v>
      </c>
      <c r="U962" s="6">
        <v>3</v>
      </c>
      <c r="V962" s="6" t="s">
        <v>2122</v>
      </c>
      <c r="W962" s="5">
        <v>41355</v>
      </c>
      <c r="X962" s="6">
        <v>2</v>
      </c>
      <c r="Y962" s="6">
        <v>3</v>
      </c>
      <c r="Z962" s="6">
        <v>2</v>
      </c>
      <c r="AA962" s="6" t="s">
        <v>178</v>
      </c>
      <c r="AB962" s="6">
        <v>2</v>
      </c>
      <c r="AC962" s="6" t="s">
        <v>201</v>
      </c>
    </row>
    <row r="963" spans="1:29" x14ac:dyDescent="0.25">
      <c r="A963" s="145" t="str">
        <f>HYPERLINK("http://www.ofsted.gov.uk/inspection-reports/find-inspection-report/provider/ELS/133783 ","Ofsted Webpage")</f>
        <v>Ofsted Webpage</v>
      </c>
      <c r="B963" s="151">
        <v>133783</v>
      </c>
      <c r="C963" s="151">
        <v>10007147</v>
      </c>
      <c r="D963" s="46" t="s">
        <v>2936</v>
      </c>
      <c r="E963" s="26" t="s">
        <v>69</v>
      </c>
      <c r="F963" s="26" t="s">
        <v>222</v>
      </c>
      <c r="G963" s="26" t="s">
        <v>1199</v>
      </c>
      <c r="H963" s="26" t="s">
        <v>287</v>
      </c>
      <c r="I963" s="26" t="s">
        <v>287</v>
      </c>
      <c r="J963" s="2" t="s">
        <v>72</v>
      </c>
      <c r="K963" s="141" t="s">
        <v>72</v>
      </c>
      <c r="L963" s="141" t="s">
        <v>72</v>
      </c>
      <c r="M963" s="26" t="s">
        <v>72</v>
      </c>
      <c r="N963" s="2" t="s">
        <v>72</v>
      </c>
      <c r="O963" s="2" t="s">
        <v>72</v>
      </c>
      <c r="P963" s="133" t="s">
        <v>72</v>
      </c>
      <c r="Q963" s="6" t="s">
        <v>72</v>
      </c>
      <c r="R963" s="6" t="s">
        <v>72</v>
      </c>
      <c r="S963" s="6" t="s">
        <v>72</v>
      </c>
      <c r="T963" s="6" t="s">
        <v>72</v>
      </c>
      <c r="U963" s="6" t="s">
        <v>72</v>
      </c>
      <c r="V963" s="6" t="s">
        <v>72</v>
      </c>
      <c r="W963" s="5" t="s">
        <v>72</v>
      </c>
      <c r="X963" s="6" t="s">
        <v>72</v>
      </c>
      <c r="Y963" s="6" t="s">
        <v>72</v>
      </c>
      <c r="Z963" s="6" t="s">
        <v>72</v>
      </c>
      <c r="AA963" s="6" t="s">
        <v>72</v>
      </c>
      <c r="AB963" s="6" t="s">
        <v>72</v>
      </c>
      <c r="AC963" s="6" t="s">
        <v>72</v>
      </c>
    </row>
    <row r="964" spans="1:29" x14ac:dyDescent="0.25">
      <c r="A964" s="145" t="str">
        <f>HYPERLINK("http://www.ofsted.gov.uk/inspection-reports/find-inspection-report/provider/ELS/133785 ","Ofsted Webpage")</f>
        <v>Ofsted Webpage</v>
      </c>
      <c r="B964" s="151">
        <v>133785</v>
      </c>
      <c r="C964" s="151">
        <v>10000712</v>
      </c>
      <c r="D964" s="46" t="s">
        <v>221</v>
      </c>
      <c r="E964" s="26" t="s">
        <v>69</v>
      </c>
      <c r="F964" s="26" t="s">
        <v>222</v>
      </c>
      <c r="G964" s="26" t="s">
        <v>223</v>
      </c>
      <c r="H964" s="26" t="s">
        <v>193</v>
      </c>
      <c r="I964" s="26" t="s">
        <v>193</v>
      </c>
      <c r="J964" s="2" t="s">
        <v>72</v>
      </c>
      <c r="K964" s="141" t="s">
        <v>72</v>
      </c>
      <c r="L964" s="141">
        <v>10037421</v>
      </c>
      <c r="M964" s="26" t="s">
        <v>224</v>
      </c>
      <c r="N964" s="2">
        <v>43011</v>
      </c>
      <c r="O964" s="2">
        <v>43014</v>
      </c>
      <c r="P964" s="133">
        <v>43038</v>
      </c>
      <c r="Q964" s="6">
        <v>2</v>
      </c>
      <c r="R964" s="6">
        <v>2</v>
      </c>
      <c r="S964" s="6">
        <v>2</v>
      </c>
      <c r="T964" s="6">
        <v>1</v>
      </c>
      <c r="U964" s="6">
        <v>2</v>
      </c>
      <c r="V964" s="6" t="s">
        <v>225</v>
      </c>
      <c r="W964" s="5">
        <v>40949</v>
      </c>
      <c r="X964" s="6">
        <v>1</v>
      </c>
      <c r="Y964" s="6">
        <v>1</v>
      </c>
      <c r="Z964" s="6">
        <v>1</v>
      </c>
      <c r="AA964" s="6" t="s">
        <v>178</v>
      </c>
      <c r="AB964" s="6">
        <v>1</v>
      </c>
      <c r="AC964" s="6" t="s">
        <v>201</v>
      </c>
    </row>
    <row r="965" spans="1:29" x14ac:dyDescent="0.25">
      <c r="A965" s="145" t="str">
        <f>HYPERLINK("http://www.ofsted.gov.uk/inspection-reports/find-inspection-report/provider/ELS/133787 ","Ofsted Webpage")</f>
        <v>Ofsted Webpage</v>
      </c>
      <c r="B965" s="151">
        <v>133787</v>
      </c>
      <c r="C965" s="151">
        <v>10007759</v>
      </c>
      <c r="D965" s="46" t="s">
        <v>2903</v>
      </c>
      <c r="E965" s="26" t="s">
        <v>69</v>
      </c>
      <c r="F965" s="26" t="s">
        <v>222</v>
      </c>
      <c r="G965" s="26" t="s">
        <v>223</v>
      </c>
      <c r="H965" s="26" t="s">
        <v>193</v>
      </c>
      <c r="I965" s="26" t="s">
        <v>193</v>
      </c>
      <c r="J965" s="2" t="s">
        <v>72</v>
      </c>
      <c r="K965" s="141" t="s">
        <v>72</v>
      </c>
      <c r="L965" s="141" t="s">
        <v>72</v>
      </c>
      <c r="M965" s="26" t="s">
        <v>72</v>
      </c>
      <c r="N965" s="2" t="s">
        <v>72</v>
      </c>
      <c r="O965" s="2" t="s">
        <v>72</v>
      </c>
      <c r="P965" s="133" t="s">
        <v>72</v>
      </c>
      <c r="Q965" s="6" t="s">
        <v>72</v>
      </c>
      <c r="R965" s="6" t="s">
        <v>72</v>
      </c>
      <c r="S965" s="6" t="s">
        <v>72</v>
      </c>
      <c r="T965" s="6" t="s">
        <v>72</v>
      </c>
      <c r="U965" s="6" t="s">
        <v>72</v>
      </c>
      <c r="V965" s="6" t="s">
        <v>72</v>
      </c>
      <c r="W965" s="5" t="s">
        <v>72</v>
      </c>
      <c r="X965" s="6" t="s">
        <v>72</v>
      </c>
      <c r="Y965" s="6" t="s">
        <v>72</v>
      </c>
      <c r="Z965" s="6" t="s">
        <v>72</v>
      </c>
      <c r="AA965" s="6" t="s">
        <v>72</v>
      </c>
      <c r="AB965" s="6" t="s">
        <v>72</v>
      </c>
      <c r="AC965" s="6" t="s">
        <v>72</v>
      </c>
    </row>
    <row r="966" spans="1:29" x14ac:dyDescent="0.25">
      <c r="A966" s="145" t="str">
        <f>HYPERLINK("http://www.ofsted.gov.uk/inspection-reports/find-inspection-report/provider/ELS/133788 ","Ofsted Webpage")</f>
        <v>Ofsted Webpage</v>
      </c>
      <c r="B966" s="151">
        <v>133788</v>
      </c>
      <c r="C966" s="151">
        <v>10007140</v>
      </c>
      <c r="D966" s="46" t="s">
        <v>2904</v>
      </c>
      <c r="E966" s="26" t="s">
        <v>69</v>
      </c>
      <c r="F966" s="26" t="s">
        <v>222</v>
      </c>
      <c r="G966" s="26" t="s">
        <v>223</v>
      </c>
      <c r="H966" s="26" t="s">
        <v>193</v>
      </c>
      <c r="I966" s="26" t="s">
        <v>193</v>
      </c>
      <c r="J966" s="2" t="s">
        <v>72</v>
      </c>
      <c r="K966" s="141" t="s">
        <v>72</v>
      </c>
      <c r="L966" s="141" t="s">
        <v>2905</v>
      </c>
      <c r="M966" s="26" t="s">
        <v>518</v>
      </c>
      <c r="N966" s="2">
        <v>41043</v>
      </c>
      <c r="O966" s="2">
        <v>41047</v>
      </c>
      <c r="P966" s="119">
        <v>41086</v>
      </c>
      <c r="Q966" s="6">
        <v>2</v>
      </c>
      <c r="R966" s="6">
        <v>2</v>
      </c>
      <c r="S966" s="6">
        <v>2</v>
      </c>
      <c r="T966" s="120" t="s">
        <v>178</v>
      </c>
      <c r="U966" s="6">
        <v>3</v>
      </c>
      <c r="V966" s="6" t="s">
        <v>72</v>
      </c>
      <c r="W966" s="5" t="s">
        <v>72</v>
      </c>
      <c r="X966" s="6" t="s">
        <v>72</v>
      </c>
      <c r="Y966" s="6" t="s">
        <v>72</v>
      </c>
      <c r="Z966" s="6" t="s">
        <v>72</v>
      </c>
      <c r="AA966" s="6" t="s">
        <v>72</v>
      </c>
      <c r="AB966" s="6" t="s">
        <v>72</v>
      </c>
      <c r="AC966" s="6" t="s">
        <v>208</v>
      </c>
    </row>
    <row r="967" spans="1:29" x14ac:dyDescent="0.25">
      <c r="A967" s="145" t="str">
        <f>HYPERLINK("http://www.ofsted.gov.uk/inspection-reports/find-inspection-report/provider/ELS/133791 ","Ofsted Webpage")</f>
        <v>Ofsted Webpage</v>
      </c>
      <c r="B967" s="151">
        <v>133791</v>
      </c>
      <c r="C967" s="151">
        <v>10007785</v>
      </c>
      <c r="D967" s="46" t="s">
        <v>2922</v>
      </c>
      <c r="E967" s="26" t="s">
        <v>69</v>
      </c>
      <c r="F967" s="26" t="s">
        <v>222</v>
      </c>
      <c r="G967" s="26" t="s">
        <v>914</v>
      </c>
      <c r="H967" s="26" t="s">
        <v>187</v>
      </c>
      <c r="I967" s="26" t="s">
        <v>188</v>
      </c>
      <c r="J967" s="2" t="s">
        <v>72</v>
      </c>
      <c r="K967" s="141" t="s">
        <v>72</v>
      </c>
      <c r="L967" s="141" t="s">
        <v>72</v>
      </c>
      <c r="M967" s="26" t="s">
        <v>72</v>
      </c>
      <c r="N967" s="2" t="s">
        <v>72</v>
      </c>
      <c r="O967" s="2" t="s">
        <v>72</v>
      </c>
      <c r="P967" s="133" t="s">
        <v>72</v>
      </c>
      <c r="Q967" s="6" t="s">
        <v>72</v>
      </c>
      <c r="R967" s="6" t="s">
        <v>72</v>
      </c>
      <c r="S967" s="6" t="s">
        <v>72</v>
      </c>
      <c r="T967" s="6" t="s">
        <v>72</v>
      </c>
      <c r="U967" s="6" t="s">
        <v>72</v>
      </c>
      <c r="V967" s="6" t="s">
        <v>72</v>
      </c>
      <c r="W967" s="5" t="s">
        <v>72</v>
      </c>
      <c r="X967" s="6" t="s">
        <v>72</v>
      </c>
      <c r="Y967" s="6" t="s">
        <v>72</v>
      </c>
      <c r="Z967" s="6" t="s">
        <v>72</v>
      </c>
      <c r="AA967" s="6" t="s">
        <v>72</v>
      </c>
      <c r="AB967" s="6" t="s">
        <v>72</v>
      </c>
      <c r="AC967" s="6" t="s">
        <v>72</v>
      </c>
    </row>
    <row r="968" spans="1:29" x14ac:dyDescent="0.25">
      <c r="A968" s="145" t="str">
        <f>HYPERLINK("http://www.ofsted.gov.uk/inspection-reports/find-inspection-report/provider/ELS/133793 ","Ofsted Webpage")</f>
        <v>Ofsted Webpage</v>
      </c>
      <c r="B968" s="151">
        <v>133793</v>
      </c>
      <c r="C968" s="151">
        <v>10000385</v>
      </c>
      <c r="D968" s="46" t="s">
        <v>515</v>
      </c>
      <c r="E968" s="26" t="s">
        <v>69</v>
      </c>
      <c r="F968" s="26" t="s">
        <v>222</v>
      </c>
      <c r="G968" s="26" t="s">
        <v>516</v>
      </c>
      <c r="H968" s="26" t="s">
        <v>198</v>
      </c>
      <c r="I968" s="26" t="s">
        <v>198</v>
      </c>
      <c r="J968" s="2" t="s">
        <v>72</v>
      </c>
      <c r="K968" s="141" t="s">
        <v>72</v>
      </c>
      <c r="L968" s="141" t="s">
        <v>517</v>
      </c>
      <c r="M968" s="26" t="s">
        <v>518</v>
      </c>
      <c r="N968" s="2">
        <v>41022</v>
      </c>
      <c r="O968" s="2">
        <v>41026</v>
      </c>
      <c r="P968" s="133">
        <v>41064</v>
      </c>
      <c r="Q968" s="6">
        <v>1</v>
      </c>
      <c r="R968" s="6">
        <v>1</v>
      </c>
      <c r="S968" s="6">
        <v>1</v>
      </c>
      <c r="T968" s="120" t="s">
        <v>178</v>
      </c>
      <c r="U968" s="6">
        <v>2</v>
      </c>
      <c r="V968" s="6" t="s">
        <v>72</v>
      </c>
      <c r="W968" s="5" t="s">
        <v>72</v>
      </c>
      <c r="X968" s="6" t="s">
        <v>72</v>
      </c>
      <c r="Y968" s="6" t="s">
        <v>72</v>
      </c>
      <c r="Z968" s="6" t="s">
        <v>72</v>
      </c>
      <c r="AA968" s="6" t="s">
        <v>72</v>
      </c>
      <c r="AB968" s="6" t="s">
        <v>72</v>
      </c>
      <c r="AC968" s="6" t="s">
        <v>208</v>
      </c>
    </row>
    <row r="969" spans="1:29" x14ac:dyDescent="0.25">
      <c r="A969" s="145" t="str">
        <f>HYPERLINK("http://www.ofsted.gov.uk/inspection-reports/find-inspection-report/provider/ELS/133794 ","Ofsted Webpage")</f>
        <v>Ofsted Webpage</v>
      </c>
      <c r="B969" s="151">
        <v>133794</v>
      </c>
      <c r="C969" s="151">
        <v>10006841</v>
      </c>
      <c r="D969" s="46" t="s">
        <v>639</v>
      </c>
      <c r="E969" s="26" t="s">
        <v>69</v>
      </c>
      <c r="F969" s="26" t="s">
        <v>222</v>
      </c>
      <c r="G969" s="26" t="s">
        <v>640</v>
      </c>
      <c r="H969" s="26" t="s">
        <v>238</v>
      </c>
      <c r="I969" s="26" t="s">
        <v>238</v>
      </c>
      <c r="J969" s="2">
        <v>42823</v>
      </c>
      <c r="K969" s="141">
        <v>1</v>
      </c>
      <c r="L969" s="141" t="s">
        <v>641</v>
      </c>
      <c r="M969" s="26" t="s">
        <v>224</v>
      </c>
      <c r="N969" s="2">
        <v>41695</v>
      </c>
      <c r="O969" s="2">
        <v>41698</v>
      </c>
      <c r="P969" s="133">
        <v>41731</v>
      </c>
      <c r="Q969" s="6">
        <v>2</v>
      </c>
      <c r="R969" s="6">
        <v>3</v>
      </c>
      <c r="S969" s="6">
        <v>2</v>
      </c>
      <c r="T969" s="120" t="s">
        <v>178</v>
      </c>
      <c r="U969" s="6">
        <v>2</v>
      </c>
      <c r="V969" s="6" t="s">
        <v>72</v>
      </c>
      <c r="W969" s="5" t="s">
        <v>72</v>
      </c>
      <c r="X969" s="6" t="s">
        <v>72</v>
      </c>
      <c r="Y969" s="6" t="s">
        <v>72</v>
      </c>
      <c r="Z969" s="6" t="s">
        <v>72</v>
      </c>
      <c r="AA969" s="6" t="s">
        <v>72</v>
      </c>
      <c r="AB969" s="6" t="s">
        <v>72</v>
      </c>
      <c r="AC969" s="6" t="s">
        <v>208</v>
      </c>
    </row>
    <row r="970" spans="1:29" x14ac:dyDescent="0.25">
      <c r="A970" s="145" t="str">
        <f>HYPERLINK("http://www.ofsted.gov.uk/inspection-reports/find-inspection-report/provider/ELS/133796 ","Ofsted Webpage")</f>
        <v>Ofsted Webpage</v>
      </c>
      <c r="B970" s="151">
        <v>133796</v>
      </c>
      <c r="C970" s="151">
        <v>10000886</v>
      </c>
      <c r="D970" s="46" t="s">
        <v>2923</v>
      </c>
      <c r="E970" s="26" t="s">
        <v>69</v>
      </c>
      <c r="F970" s="26" t="s">
        <v>222</v>
      </c>
      <c r="G970" s="26" t="s">
        <v>526</v>
      </c>
      <c r="H970" s="26" t="s">
        <v>219</v>
      </c>
      <c r="I970" s="26" t="s">
        <v>219</v>
      </c>
      <c r="J970" s="2" t="s">
        <v>72</v>
      </c>
      <c r="K970" s="141" t="s">
        <v>72</v>
      </c>
      <c r="L970" s="141" t="s">
        <v>72</v>
      </c>
      <c r="M970" s="26" t="s">
        <v>72</v>
      </c>
      <c r="N970" s="2" t="s">
        <v>72</v>
      </c>
      <c r="O970" s="2" t="s">
        <v>72</v>
      </c>
      <c r="P970" s="133" t="s">
        <v>72</v>
      </c>
      <c r="Q970" s="6" t="s">
        <v>72</v>
      </c>
      <c r="R970" s="6" t="s">
        <v>72</v>
      </c>
      <c r="S970" s="6" t="s">
        <v>72</v>
      </c>
      <c r="T970" s="6" t="s">
        <v>72</v>
      </c>
      <c r="U970" s="6" t="s">
        <v>72</v>
      </c>
      <c r="V970" s="6" t="s">
        <v>72</v>
      </c>
      <c r="W970" s="5" t="s">
        <v>72</v>
      </c>
      <c r="X970" s="6" t="s">
        <v>72</v>
      </c>
      <c r="Y970" s="6" t="s">
        <v>72</v>
      </c>
      <c r="Z970" s="6" t="s">
        <v>72</v>
      </c>
      <c r="AA970" s="6" t="s">
        <v>72</v>
      </c>
      <c r="AB970" s="6" t="s">
        <v>72</v>
      </c>
      <c r="AC970" s="6" t="s">
        <v>72</v>
      </c>
    </row>
    <row r="971" spans="1:29" x14ac:dyDescent="0.25">
      <c r="A971" s="145" t="str">
        <f>HYPERLINK("http://www.ofsted.gov.uk/inspection-reports/find-inspection-report/provider/ELS/133797 ","Ofsted Webpage")</f>
        <v>Ofsted Webpage</v>
      </c>
      <c r="B971" s="151">
        <v>133797</v>
      </c>
      <c r="C971" s="151">
        <v>10005389</v>
      </c>
      <c r="D971" s="46" t="s">
        <v>509</v>
      </c>
      <c r="E971" s="26" t="s">
        <v>69</v>
      </c>
      <c r="F971" s="26" t="s">
        <v>222</v>
      </c>
      <c r="G971" s="26" t="s">
        <v>174</v>
      </c>
      <c r="H971" s="26" t="s">
        <v>175</v>
      </c>
      <c r="I971" s="26" t="s">
        <v>175</v>
      </c>
      <c r="J971" s="2" t="s">
        <v>72</v>
      </c>
      <c r="K971" s="141" t="s">
        <v>72</v>
      </c>
      <c r="L971" s="141" t="s">
        <v>510</v>
      </c>
      <c r="M971" s="26" t="s">
        <v>224</v>
      </c>
      <c r="N971" s="2">
        <v>41247</v>
      </c>
      <c r="O971" s="2">
        <v>41250</v>
      </c>
      <c r="P971" s="133">
        <v>41290</v>
      </c>
      <c r="Q971" s="6">
        <v>2</v>
      </c>
      <c r="R971" s="6">
        <v>2</v>
      </c>
      <c r="S971" s="6">
        <v>2</v>
      </c>
      <c r="T971" s="120" t="s">
        <v>178</v>
      </c>
      <c r="U971" s="6">
        <v>2</v>
      </c>
      <c r="V971" s="6" t="s">
        <v>72</v>
      </c>
      <c r="W971" s="5" t="s">
        <v>72</v>
      </c>
      <c r="X971" s="6" t="s">
        <v>72</v>
      </c>
      <c r="Y971" s="6" t="s">
        <v>72</v>
      </c>
      <c r="Z971" s="6" t="s">
        <v>72</v>
      </c>
      <c r="AA971" s="6" t="s">
        <v>72</v>
      </c>
      <c r="AB971" s="6" t="s">
        <v>72</v>
      </c>
      <c r="AC971" s="6" t="s">
        <v>208</v>
      </c>
    </row>
    <row r="972" spans="1:29" x14ac:dyDescent="0.25">
      <c r="A972" s="145" t="str">
        <f>HYPERLINK("http://www.ofsted.gov.uk/inspection-reports/find-inspection-report/provider/ELS/133802 ","Ofsted Webpage")</f>
        <v>Ofsted Webpage</v>
      </c>
      <c r="B972" s="151">
        <v>133802</v>
      </c>
      <c r="C972" s="151">
        <v>10007848</v>
      </c>
      <c r="D972" s="46" t="s">
        <v>2908</v>
      </c>
      <c r="E972" s="26" t="s">
        <v>69</v>
      </c>
      <c r="F972" s="26" t="s">
        <v>222</v>
      </c>
      <c r="G972" s="26" t="s">
        <v>906</v>
      </c>
      <c r="H972" s="26" t="s">
        <v>238</v>
      </c>
      <c r="I972" s="26" t="s">
        <v>238</v>
      </c>
      <c r="J972" s="2" t="s">
        <v>72</v>
      </c>
      <c r="K972" s="141" t="s">
        <v>72</v>
      </c>
      <c r="L972" s="141" t="s">
        <v>72</v>
      </c>
      <c r="M972" s="26" t="s">
        <v>72</v>
      </c>
      <c r="N972" s="2" t="s">
        <v>72</v>
      </c>
      <c r="O972" s="2" t="s">
        <v>72</v>
      </c>
      <c r="P972" s="133" t="s">
        <v>72</v>
      </c>
      <c r="Q972" s="6" t="s">
        <v>72</v>
      </c>
      <c r="R972" s="6" t="s">
        <v>72</v>
      </c>
      <c r="S972" s="6" t="s">
        <v>72</v>
      </c>
      <c r="T972" s="6" t="s">
        <v>72</v>
      </c>
      <c r="U972" s="6" t="s">
        <v>72</v>
      </c>
      <c r="V972" s="6" t="s">
        <v>72</v>
      </c>
      <c r="W972" s="5" t="s">
        <v>72</v>
      </c>
      <c r="X972" s="6" t="s">
        <v>72</v>
      </c>
      <c r="Y972" s="6" t="s">
        <v>72</v>
      </c>
      <c r="Z972" s="6" t="s">
        <v>72</v>
      </c>
      <c r="AA972" s="6" t="s">
        <v>72</v>
      </c>
      <c r="AB972" s="6" t="s">
        <v>72</v>
      </c>
      <c r="AC972" s="6" t="s">
        <v>72</v>
      </c>
    </row>
    <row r="973" spans="1:29" x14ac:dyDescent="0.25">
      <c r="A973" s="145" t="str">
        <f>HYPERLINK("http://www.ofsted.gov.uk/inspection-reports/find-inspection-report/provider/ELS/133803 ","Ofsted Webpage")</f>
        <v>Ofsted Webpage</v>
      </c>
      <c r="B973" s="151">
        <v>133803</v>
      </c>
      <c r="C973" s="151">
        <v>10000291</v>
      </c>
      <c r="D973" s="46" t="s">
        <v>2902</v>
      </c>
      <c r="E973" s="26" t="s">
        <v>69</v>
      </c>
      <c r="F973" s="26" t="s">
        <v>222</v>
      </c>
      <c r="G973" s="26" t="s">
        <v>477</v>
      </c>
      <c r="H973" s="26" t="s">
        <v>287</v>
      </c>
      <c r="I973" s="26" t="s">
        <v>287</v>
      </c>
      <c r="J973" s="2" t="s">
        <v>72</v>
      </c>
      <c r="K973" s="141" t="s">
        <v>72</v>
      </c>
      <c r="L973" s="141" t="s">
        <v>72</v>
      </c>
      <c r="M973" s="26" t="s">
        <v>72</v>
      </c>
      <c r="N973" s="2" t="s">
        <v>72</v>
      </c>
      <c r="O973" s="2" t="s">
        <v>72</v>
      </c>
      <c r="P973" s="133" t="s">
        <v>72</v>
      </c>
      <c r="Q973" s="6" t="s">
        <v>72</v>
      </c>
      <c r="R973" s="6" t="s">
        <v>72</v>
      </c>
      <c r="S973" s="6" t="s">
        <v>72</v>
      </c>
      <c r="T973" s="6" t="s">
        <v>72</v>
      </c>
      <c r="U973" s="6" t="s">
        <v>72</v>
      </c>
      <c r="V973" s="6" t="s">
        <v>72</v>
      </c>
      <c r="W973" s="5" t="s">
        <v>72</v>
      </c>
      <c r="X973" s="6" t="s">
        <v>72</v>
      </c>
      <c r="Y973" s="6" t="s">
        <v>72</v>
      </c>
      <c r="Z973" s="6" t="s">
        <v>72</v>
      </c>
      <c r="AA973" s="6" t="s">
        <v>72</v>
      </c>
      <c r="AB973" s="6" t="s">
        <v>72</v>
      </c>
      <c r="AC973" s="6" t="s">
        <v>72</v>
      </c>
    </row>
    <row r="974" spans="1:29" x14ac:dyDescent="0.25">
      <c r="A974" s="145" t="str">
        <f>HYPERLINK("http://www.ofsted.gov.uk/inspection-reports/find-inspection-report/provider/ELS/133804 ","Ofsted Webpage")</f>
        <v>Ofsted Webpage</v>
      </c>
      <c r="B974" s="151">
        <v>133804</v>
      </c>
      <c r="C974" s="151">
        <v>10007657</v>
      </c>
      <c r="D974" s="46" t="s">
        <v>887</v>
      </c>
      <c r="E974" s="26" t="s">
        <v>69</v>
      </c>
      <c r="F974" s="26" t="s">
        <v>222</v>
      </c>
      <c r="G974" s="26" t="s">
        <v>477</v>
      </c>
      <c r="H974" s="26" t="s">
        <v>287</v>
      </c>
      <c r="I974" s="26" t="s">
        <v>287</v>
      </c>
      <c r="J974" s="2" t="s">
        <v>72</v>
      </c>
      <c r="K974" s="141" t="s">
        <v>72</v>
      </c>
      <c r="L974" s="141" t="s">
        <v>888</v>
      </c>
      <c r="M974" s="26" t="s">
        <v>224</v>
      </c>
      <c r="N974" s="2">
        <v>41653</v>
      </c>
      <c r="O974" s="2">
        <v>41656</v>
      </c>
      <c r="P974" s="133">
        <v>41687</v>
      </c>
      <c r="Q974" s="6">
        <v>2</v>
      </c>
      <c r="R974" s="6">
        <v>2</v>
      </c>
      <c r="S974" s="6">
        <v>2</v>
      </c>
      <c r="T974" s="120" t="s">
        <v>178</v>
      </c>
      <c r="U974" s="6">
        <v>2</v>
      </c>
      <c r="V974" s="6" t="s">
        <v>889</v>
      </c>
      <c r="W974" s="5">
        <v>40886</v>
      </c>
      <c r="X974" s="6">
        <v>3</v>
      </c>
      <c r="Y974" s="6">
        <v>3</v>
      </c>
      <c r="Z974" s="6">
        <v>3</v>
      </c>
      <c r="AA974" s="6" t="s">
        <v>178</v>
      </c>
      <c r="AB974" s="6">
        <v>2</v>
      </c>
      <c r="AC974" s="6" t="s">
        <v>216</v>
      </c>
    </row>
    <row r="975" spans="1:29" x14ac:dyDescent="0.25">
      <c r="A975" s="145" t="str">
        <f>HYPERLINK("http://www.ofsted.gov.uk/inspection-reports/find-inspection-report/provider/ELS/133805 ","Ofsted Webpage")</f>
        <v>Ofsted Webpage</v>
      </c>
      <c r="B975" s="151">
        <v>133805</v>
      </c>
      <c r="C975" s="151">
        <v>10007791</v>
      </c>
      <c r="D975" s="46" t="s">
        <v>2915</v>
      </c>
      <c r="E975" s="26" t="s">
        <v>69</v>
      </c>
      <c r="F975" s="26" t="s">
        <v>222</v>
      </c>
      <c r="G975" s="26" t="s">
        <v>477</v>
      </c>
      <c r="H975" s="26" t="s">
        <v>287</v>
      </c>
      <c r="I975" s="26" t="s">
        <v>287</v>
      </c>
      <c r="J975" s="2" t="s">
        <v>72</v>
      </c>
      <c r="K975" s="141" t="s">
        <v>72</v>
      </c>
      <c r="L975" s="141" t="s">
        <v>72</v>
      </c>
      <c r="M975" s="26" t="s">
        <v>72</v>
      </c>
      <c r="N975" s="2" t="s">
        <v>72</v>
      </c>
      <c r="O975" s="2" t="s">
        <v>72</v>
      </c>
      <c r="P975" s="133" t="s">
        <v>72</v>
      </c>
      <c r="Q975" s="6" t="s">
        <v>72</v>
      </c>
      <c r="R975" s="6" t="s">
        <v>72</v>
      </c>
      <c r="S975" s="6" t="s">
        <v>72</v>
      </c>
      <c r="T975" s="6" t="s">
        <v>72</v>
      </c>
      <c r="U975" s="6" t="s">
        <v>72</v>
      </c>
      <c r="V975" s="6" t="s">
        <v>72</v>
      </c>
      <c r="W975" s="5" t="s">
        <v>72</v>
      </c>
      <c r="X975" s="6" t="s">
        <v>72</v>
      </c>
      <c r="Y975" s="6" t="s">
        <v>72</v>
      </c>
      <c r="Z975" s="6" t="s">
        <v>72</v>
      </c>
      <c r="AA975" s="6" t="s">
        <v>72</v>
      </c>
      <c r="AB975" s="6" t="s">
        <v>72</v>
      </c>
      <c r="AC975" s="6" t="s">
        <v>72</v>
      </c>
    </row>
    <row r="976" spans="1:29" x14ac:dyDescent="0.25">
      <c r="A976" s="145" t="str">
        <f>HYPERLINK("http://www.ofsted.gov.uk/inspection-reports/find-inspection-report/provider/ELS/133807 ","Ofsted Webpage")</f>
        <v>Ofsted Webpage</v>
      </c>
      <c r="B976" s="151">
        <v>133807</v>
      </c>
      <c r="C976" s="151">
        <v>10007150</v>
      </c>
      <c r="D976" s="46" t="s">
        <v>2938</v>
      </c>
      <c r="E976" s="26" t="s">
        <v>69</v>
      </c>
      <c r="F976" s="26" t="s">
        <v>222</v>
      </c>
      <c r="G976" s="26" t="s">
        <v>218</v>
      </c>
      <c r="H976" s="26" t="s">
        <v>219</v>
      </c>
      <c r="I976" s="26" t="s">
        <v>219</v>
      </c>
      <c r="J976" s="2" t="s">
        <v>72</v>
      </c>
      <c r="K976" s="141" t="s">
        <v>72</v>
      </c>
      <c r="L976" s="141" t="s">
        <v>72</v>
      </c>
      <c r="M976" s="26" t="s">
        <v>72</v>
      </c>
      <c r="N976" s="2" t="s">
        <v>72</v>
      </c>
      <c r="O976" s="2" t="s">
        <v>72</v>
      </c>
      <c r="P976" s="133" t="s">
        <v>72</v>
      </c>
      <c r="Q976" s="6" t="s">
        <v>72</v>
      </c>
      <c r="R976" s="6" t="s">
        <v>72</v>
      </c>
      <c r="S976" s="6" t="s">
        <v>72</v>
      </c>
      <c r="T976" s="6" t="s">
        <v>72</v>
      </c>
      <c r="U976" s="6" t="s">
        <v>72</v>
      </c>
      <c r="V976" s="6" t="s">
        <v>72</v>
      </c>
      <c r="W976" s="5" t="s">
        <v>72</v>
      </c>
      <c r="X976" s="6" t="s">
        <v>72</v>
      </c>
      <c r="Y976" s="6" t="s">
        <v>72</v>
      </c>
      <c r="Z976" s="6" t="s">
        <v>72</v>
      </c>
      <c r="AA976" s="6" t="s">
        <v>72</v>
      </c>
      <c r="AB976" s="6" t="s">
        <v>72</v>
      </c>
      <c r="AC976" s="6" t="s">
        <v>72</v>
      </c>
    </row>
    <row r="977" spans="1:29" x14ac:dyDescent="0.25">
      <c r="A977" s="145" t="str">
        <f>HYPERLINK("http://www.ofsted.gov.uk/inspection-reports/find-inspection-report/provider/ELS/133808 ","Ofsted Webpage")</f>
        <v>Ofsted Webpage</v>
      </c>
      <c r="B977" s="152">
        <v>133808</v>
      </c>
      <c r="C977" s="152">
        <v>10001726</v>
      </c>
      <c r="D977" s="117" t="s">
        <v>275</v>
      </c>
      <c r="E977" s="118" t="s">
        <v>69</v>
      </c>
      <c r="F977" s="118" t="s">
        <v>222</v>
      </c>
      <c r="G977" s="118" t="s">
        <v>276</v>
      </c>
      <c r="H977" s="118" t="s">
        <v>193</v>
      </c>
      <c r="I977" s="118" t="s">
        <v>193</v>
      </c>
      <c r="J977" s="119" t="s">
        <v>72</v>
      </c>
      <c r="K977" s="132" t="s">
        <v>72</v>
      </c>
      <c r="L977" s="132">
        <v>10041328</v>
      </c>
      <c r="M977" s="118" t="s">
        <v>224</v>
      </c>
      <c r="N977" s="119">
        <v>43046</v>
      </c>
      <c r="O977" s="119">
        <v>43049</v>
      </c>
      <c r="P977" s="119">
        <v>43074</v>
      </c>
      <c r="Q977" s="120">
        <v>3</v>
      </c>
      <c r="R977" s="120">
        <v>3</v>
      </c>
      <c r="S977" s="120">
        <v>3</v>
      </c>
      <c r="T977" s="120">
        <v>3</v>
      </c>
      <c r="U977" s="120">
        <v>3</v>
      </c>
      <c r="V977" s="120" t="s">
        <v>277</v>
      </c>
      <c r="W977" s="121">
        <v>41726</v>
      </c>
      <c r="X977" s="120">
        <v>2</v>
      </c>
      <c r="Y977" s="120">
        <v>2</v>
      </c>
      <c r="Z977" s="120">
        <v>2</v>
      </c>
      <c r="AA977" s="120" t="s">
        <v>178</v>
      </c>
      <c r="AB977" s="120">
        <v>2</v>
      </c>
      <c r="AC977" s="120" t="s">
        <v>201</v>
      </c>
    </row>
    <row r="978" spans="1:29" x14ac:dyDescent="0.25">
      <c r="A978" s="145" t="str">
        <f>HYPERLINK("http://www.ofsted.gov.uk/inspection-reports/find-inspection-report/provider/ELS/133809 ","Ofsted Webpage")</f>
        <v>Ofsted Webpage</v>
      </c>
      <c r="B978" s="151">
        <v>133809</v>
      </c>
      <c r="C978" s="151">
        <v>10007163</v>
      </c>
      <c r="D978" s="46" t="s">
        <v>2899</v>
      </c>
      <c r="E978" s="26" t="s">
        <v>69</v>
      </c>
      <c r="F978" s="26" t="s">
        <v>222</v>
      </c>
      <c r="G978" s="26" t="s">
        <v>276</v>
      </c>
      <c r="H978" s="26" t="s">
        <v>193</v>
      </c>
      <c r="I978" s="26" t="s">
        <v>193</v>
      </c>
      <c r="J978" s="2" t="s">
        <v>72</v>
      </c>
      <c r="K978" s="141" t="s">
        <v>72</v>
      </c>
      <c r="L978" s="141" t="s">
        <v>72</v>
      </c>
      <c r="M978" s="26" t="s">
        <v>72</v>
      </c>
      <c r="N978" s="2" t="s">
        <v>72</v>
      </c>
      <c r="O978" s="2" t="s">
        <v>72</v>
      </c>
      <c r="P978" s="133" t="s">
        <v>72</v>
      </c>
      <c r="Q978" s="6" t="s">
        <v>72</v>
      </c>
      <c r="R978" s="6" t="s">
        <v>72</v>
      </c>
      <c r="S978" s="6" t="s">
        <v>72</v>
      </c>
      <c r="T978" s="6" t="s">
        <v>72</v>
      </c>
      <c r="U978" s="6" t="s">
        <v>72</v>
      </c>
      <c r="V978" s="6" t="s">
        <v>72</v>
      </c>
      <c r="W978" s="5" t="s">
        <v>72</v>
      </c>
      <c r="X978" s="6" t="s">
        <v>72</v>
      </c>
      <c r="Y978" s="6" t="s">
        <v>72</v>
      </c>
      <c r="Z978" s="6" t="s">
        <v>72</v>
      </c>
      <c r="AA978" s="6" t="s">
        <v>72</v>
      </c>
      <c r="AB978" s="6" t="s">
        <v>72</v>
      </c>
      <c r="AC978" s="6" t="s">
        <v>72</v>
      </c>
    </row>
    <row r="979" spans="1:29" x14ac:dyDescent="0.25">
      <c r="A979" s="145" t="str">
        <f>HYPERLINK("http://www.ofsted.gov.uk/inspection-reports/find-inspection-report/provider/ELS/133811 ","Ofsted Webpage")</f>
        <v>Ofsted Webpage</v>
      </c>
      <c r="B979" s="151">
        <v>133811</v>
      </c>
      <c r="C979" s="151">
        <v>10007851</v>
      </c>
      <c r="D979" s="46" t="s">
        <v>642</v>
      </c>
      <c r="E979" s="26" t="s">
        <v>69</v>
      </c>
      <c r="F979" s="26" t="s">
        <v>222</v>
      </c>
      <c r="G979" s="26" t="s">
        <v>340</v>
      </c>
      <c r="H979" s="26" t="s">
        <v>214</v>
      </c>
      <c r="I979" s="26" t="s">
        <v>214</v>
      </c>
      <c r="J979" s="2" t="s">
        <v>72</v>
      </c>
      <c r="K979" s="141" t="s">
        <v>72</v>
      </c>
      <c r="L979" s="141">
        <v>10020101</v>
      </c>
      <c r="M979" s="26" t="s">
        <v>224</v>
      </c>
      <c r="N979" s="2">
        <v>42640</v>
      </c>
      <c r="O979" s="2">
        <v>42643</v>
      </c>
      <c r="P979" s="133">
        <v>42676</v>
      </c>
      <c r="Q979" s="6">
        <v>3</v>
      </c>
      <c r="R979" s="6">
        <v>3</v>
      </c>
      <c r="S979" s="6">
        <v>3</v>
      </c>
      <c r="T979" s="6">
        <v>3</v>
      </c>
      <c r="U979" s="6">
        <v>3</v>
      </c>
      <c r="V979" s="6" t="s">
        <v>643</v>
      </c>
      <c r="W979" s="5">
        <v>41684</v>
      </c>
      <c r="X979" s="6">
        <v>2</v>
      </c>
      <c r="Y979" s="6">
        <v>2</v>
      </c>
      <c r="Z979" s="6">
        <v>2</v>
      </c>
      <c r="AA979" s="6" t="s">
        <v>178</v>
      </c>
      <c r="AB979" s="6">
        <v>2</v>
      </c>
      <c r="AC979" s="6" t="s">
        <v>201</v>
      </c>
    </row>
    <row r="980" spans="1:29" x14ac:dyDescent="0.25">
      <c r="A980" s="145" t="str">
        <f>HYPERLINK("http://www.ofsted.gov.uk/inspection-reports/find-inspection-report/provider/ELS/133812 ","Ofsted Webpage")</f>
        <v>Ofsted Webpage</v>
      </c>
      <c r="B980" s="151">
        <v>133812</v>
      </c>
      <c r="C980" s="151">
        <v>10007143</v>
      </c>
      <c r="D980" s="46" t="s">
        <v>644</v>
      </c>
      <c r="E980" s="26" t="s">
        <v>69</v>
      </c>
      <c r="F980" s="26" t="s">
        <v>222</v>
      </c>
      <c r="G980" s="26" t="s">
        <v>586</v>
      </c>
      <c r="H980" s="26" t="s">
        <v>204</v>
      </c>
      <c r="I980" s="26" t="s">
        <v>188</v>
      </c>
      <c r="J980" s="2">
        <v>42312</v>
      </c>
      <c r="K980" s="141">
        <v>1</v>
      </c>
      <c r="L980" s="141" t="s">
        <v>645</v>
      </c>
      <c r="M980" s="26" t="s">
        <v>445</v>
      </c>
      <c r="N980" s="2">
        <v>39631</v>
      </c>
      <c r="O980" s="2">
        <v>39633</v>
      </c>
      <c r="P980" s="133">
        <v>39675</v>
      </c>
      <c r="Q980" s="6">
        <v>2</v>
      </c>
      <c r="R980" s="6">
        <v>2</v>
      </c>
      <c r="S980" s="6">
        <v>2</v>
      </c>
      <c r="T980" s="120" t="s">
        <v>178</v>
      </c>
      <c r="U980" s="6">
        <v>3</v>
      </c>
      <c r="V980" s="6" t="s">
        <v>72</v>
      </c>
      <c r="W980" s="5" t="s">
        <v>72</v>
      </c>
      <c r="X980" s="6" t="s">
        <v>72</v>
      </c>
      <c r="Y980" s="6" t="s">
        <v>72</v>
      </c>
      <c r="Z980" s="6" t="s">
        <v>72</v>
      </c>
      <c r="AA980" s="6" t="s">
        <v>72</v>
      </c>
      <c r="AB980" s="6" t="s">
        <v>72</v>
      </c>
      <c r="AC980" s="6" t="s">
        <v>208</v>
      </c>
    </row>
    <row r="981" spans="1:29" x14ac:dyDescent="0.25">
      <c r="A981" s="145" t="str">
        <f>HYPERLINK("http://www.ofsted.gov.uk/inspection-reports/find-inspection-report/provider/ELS/133813 ","Ofsted Webpage")</f>
        <v>Ofsted Webpage</v>
      </c>
      <c r="B981" s="151">
        <v>133813</v>
      </c>
      <c r="C981" s="151">
        <v>10007775</v>
      </c>
      <c r="D981" s="46" t="s">
        <v>2920</v>
      </c>
      <c r="E981" s="26" t="s">
        <v>69</v>
      </c>
      <c r="F981" s="26" t="s">
        <v>222</v>
      </c>
      <c r="G981" s="26" t="s">
        <v>336</v>
      </c>
      <c r="H981" s="26" t="s">
        <v>175</v>
      </c>
      <c r="I981" s="26" t="s">
        <v>175</v>
      </c>
      <c r="J981" s="2" t="s">
        <v>72</v>
      </c>
      <c r="K981" s="141" t="s">
        <v>72</v>
      </c>
      <c r="L981" s="141" t="s">
        <v>72</v>
      </c>
      <c r="M981" s="26" t="s">
        <v>72</v>
      </c>
      <c r="N981" s="2" t="s">
        <v>72</v>
      </c>
      <c r="O981" s="2" t="s">
        <v>72</v>
      </c>
      <c r="P981" s="133" t="s">
        <v>72</v>
      </c>
      <c r="Q981" s="6" t="s">
        <v>72</v>
      </c>
      <c r="R981" s="6" t="s">
        <v>72</v>
      </c>
      <c r="S981" s="6" t="s">
        <v>72</v>
      </c>
      <c r="T981" s="6" t="s">
        <v>72</v>
      </c>
      <c r="U981" s="6" t="s">
        <v>72</v>
      </c>
      <c r="V981" s="6" t="s">
        <v>72</v>
      </c>
      <c r="W981" s="5" t="s">
        <v>72</v>
      </c>
      <c r="X981" s="6" t="s">
        <v>72</v>
      </c>
      <c r="Y981" s="6" t="s">
        <v>72</v>
      </c>
      <c r="Z981" s="6" t="s">
        <v>72</v>
      </c>
      <c r="AA981" s="6" t="s">
        <v>72</v>
      </c>
      <c r="AB981" s="6" t="s">
        <v>72</v>
      </c>
      <c r="AC981" s="6" t="s">
        <v>72</v>
      </c>
    </row>
    <row r="982" spans="1:29" x14ac:dyDescent="0.25">
      <c r="A982" s="145" t="str">
        <f>HYPERLINK("http://www.ofsted.gov.uk/inspection-reports/find-inspection-report/provider/ELS/133814 ","Ofsted Webpage")</f>
        <v>Ofsted Webpage</v>
      </c>
      <c r="B982" s="151">
        <v>133814</v>
      </c>
      <c r="C982" s="151">
        <v>10007144</v>
      </c>
      <c r="D982" s="46" t="s">
        <v>2914</v>
      </c>
      <c r="E982" s="26" t="s">
        <v>69</v>
      </c>
      <c r="F982" s="26" t="s">
        <v>222</v>
      </c>
      <c r="G982" s="26" t="s">
        <v>291</v>
      </c>
      <c r="H982" s="26" t="s">
        <v>175</v>
      </c>
      <c r="I982" s="26" t="s">
        <v>175</v>
      </c>
      <c r="J982" s="2" t="s">
        <v>72</v>
      </c>
      <c r="K982" s="141" t="s">
        <v>72</v>
      </c>
      <c r="L982" s="141" t="s">
        <v>72</v>
      </c>
      <c r="M982" s="26" t="s">
        <v>72</v>
      </c>
      <c r="N982" s="2" t="s">
        <v>72</v>
      </c>
      <c r="O982" s="2" t="s">
        <v>72</v>
      </c>
      <c r="P982" s="133" t="s">
        <v>72</v>
      </c>
      <c r="Q982" s="6" t="s">
        <v>72</v>
      </c>
      <c r="R982" s="6" t="s">
        <v>72</v>
      </c>
      <c r="S982" s="6" t="s">
        <v>72</v>
      </c>
      <c r="T982" s="6" t="s">
        <v>72</v>
      </c>
      <c r="U982" s="6" t="s">
        <v>72</v>
      </c>
      <c r="V982" s="6" t="s">
        <v>72</v>
      </c>
      <c r="W982" s="5" t="s">
        <v>72</v>
      </c>
      <c r="X982" s="6" t="s">
        <v>72</v>
      </c>
      <c r="Y982" s="6" t="s">
        <v>72</v>
      </c>
      <c r="Z982" s="6" t="s">
        <v>72</v>
      </c>
      <c r="AA982" s="6" t="s">
        <v>72</v>
      </c>
      <c r="AB982" s="6" t="s">
        <v>72</v>
      </c>
      <c r="AC982" s="6" t="s">
        <v>72</v>
      </c>
    </row>
    <row r="983" spans="1:29" x14ac:dyDescent="0.25">
      <c r="A983" s="145" t="str">
        <f>HYPERLINK("http://www.ofsted.gov.uk/inspection-reports/find-inspection-report/provider/ELS/133815 ","Ofsted Webpage")</f>
        <v>Ofsted Webpage</v>
      </c>
      <c r="B983" s="152">
        <v>133815</v>
      </c>
      <c r="C983" s="152">
        <v>10001478</v>
      </c>
      <c r="D983" s="117" t="s">
        <v>2868</v>
      </c>
      <c r="E983" s="118" t="s">
        <v>69</v>
      </c>
      <c r="F983" s="118" t="s">
        <v>222</v>
      </c>
      <c r="G983" s="118" t="s">
        <v>299</v>
      </c>
      <c r="H983" s="118" t="s">
        <v>175</v>
      </c>
      <c r="I983" s="118" t="s">
        <v>175</v>
      </c>
      <c r="J983" s="119" t="s">
        <v>72</v>
      </c>
      <c r="K983" s="132" t="s">
        <v>72</v>
      </c>
      <c r="L983" s="132" t="s">
        <v>72</v>
      </c>
      <c r="M983" s="118" t="s">
        <v>72</v>
      </c>
      <c r="N983" s="119" t="s">
        <v>72</v>
      </c>
      <c r="O983" s="119" t="s">
        <v>72</v>
      </c>
      <c r="P983" s="119" t="s">
        <v>72</v>
      </c>
      <c r="Q983" s="120" t="s">
        <v>72</v>
      </c>
      <c r="R983" s="120" t="s">
        <v>72</v>
      </c>
      <c r="S983" s="120" t="s">
        <v>72</v>
      </c>
      <c r="T983" s="120" t="s">
        <v>72</v>
      </c>
      <c r="U983" s="120" t="s">
        <v>72</v>
      </c>
      <c r="V983" s="120" t="s">
        <v>72</v>
      </c>
      <c r="W983" s="121" t="s">
        <v>72</v>
      </c>
      <c r="X983" s="120" t="s">
        <v>72</v>
      </c>
      <c r="Y983" s="120" t="s">
        <v>72</v>
      </c>
      <c r="Z983" s="120" t="s">
        <v>72</v>
      </c>
      <c r="AA983" s="120" t="s">
        <v>72</v>
      </c>
      <c r="AB983" s="120" t="s">
        <v>72</v>
      </c>
      <c r="AC983" s="120" t="s">
        <v>72</v>
      </c>
    </row>
    <row r="984" spans="1:29" x14ac:dyDescent="0.25">
      <c r="A984" s="145" t="str">
        <f>HYPERLINK("http://www.ofsted.gov.uk/inspection-reports/find-inspection-report/provider/ELS/133817 ","Ofsted Webpage")</f>
        <v>Ofsted Webpage</v>
      </c>
      <c r="B984" s="151">
        <v>133817</v>
      </c>
      <c r="C984" s="151">
        <v>10007792</v>
      </c>
      <c r="D984" s="46" t="s">
        <v>2916</v>
      </c>
      <c r="E984" s="26" t="s">
        <v>69</v>
      </c>
      <c r="F984" s="26" t="s">
        <v>222</v>
      </c>
      <c r="G984" s="26" t="s">
        <v>802</v>
      </c>
      <c r="H984" s="26" t="s">
        <v>198</v>
      </c>
      <c r="I984" s="26" t="s">
        <v>198</v>
      </c>
      <c r="J984" s="2" t="s">
        <v>72</v>
      </c>
      <c r="K984" s="141" t="s">
        <v>72</v>
      </c>
      <c r="L984" s="141" t="s">
        <v>72</v>
      </c>
      <c r="M984" s="26" t="s">
        <v>72</v>
      </c>
      <c r="N984" s="2" t="s">
        <v>72</v>
      </c>
      <c r="O984" s="2" t="s">
        <v>72</v>
      </c>
      <c r="P984" s="133" t="s">
        <v>72</v>
      </c>
      <c r="Q984" s="6" t="s">
        <v>72</v>
      </c>
      <c r="R984" s="6" t="s">
        <v>72</v>
      </c>
      <c r="S984" s="6" t="s">
        <v>72</v>
      </c>
      <c r="T984" s="6" t="s">
        <v>72</v>
      </c>
      <c r="U984" s="6" t="s">
        <v>72</v>
      </c>
      <c r="V984" s="6" t="s">
        <v>72</v>
      </c>
      <c r="W984" s="5" t="s">
        <v>72</v>
      </c>
      <c r="X984" s="6" t="s">
        <v>72</v>
      </c>
      <c r="Y984" s="6" t="s">
        <v>72</v>
      </c>
      <c r="Z984" s="6" t="s">
        <v>72</v>
      </c>
      <c r="AA984" s="6" t="s">
        <v>72</v>
      </c>
      <c r="AB984" s="6" t="s">
        <v>72</v>
      </c>
      <c r="AC984" s="6" t="s">
        <v>72</v>
      </c>
    </row>
    <row r="985" spans="1:29" x14ac:dyDescent="0.25">
      <c r="A985" s="145" t="str">
        <f>HYPERLINK("http://www.ofsted.gov.uk/inspection-reports/find-inspection-report/provider/ELS/133818 ","Ofsted Webpage")</f>
        <v>Ofsted Webpage</v>
      </c>
      <c r="B985" s="151">
        <v>133818</v>
      </c>
      <c r="C985" s="151">
        <v>10007145</v>
      </c>
      <c r="D985" s="46" t="s">
        <v>2934</v>
      </c>
      <c r="E985" s="26" t="s">
        <v>69</v>
      </c>
      <c r="F985" s="26" t="s">
        <v>222</v>
      </c>
      <c r="G985" s="26" t="s">
        <v>447</v>
      </c>
      <c r="H985" s="26" t="s">
        <v>198</v>
      </c>
      <c r="I985" s="26" t="s">
        <v>198</v>
      </c>
      <c r="J985" s="2" t="s">
        <v>72</v>
      </c>
      <c r="K985" s="141" t="s">
        <v>72</v>
      </c>
      <c r="L985" s="141" t="s">
        <v>72</v>
      </c>
      <c r="M985" s="26" t="s">
        <v>72</v>
      </c>
      <c r="N985" s="2" t="s">
        <v>72</v>
      </c>
      <c r="O985" s="2" t="s">
        <v>72</v>
      </c>
      <c r="P985" s="133" t="s">
        <v>72</v>
      </c>
      <c r="Q985" s="6" t="s">
        <v>72</v>
      </c>
      <c r="R985" s="6" t="s">
        <v>72</v>
      </c>
      <c r="S985" s="6" t="s">
        <v>72</v>
      </c>
      <c r="T985" s="6" t="s">
        <v>72</v>
      </c>
      <c r="U985" s="6" t="s">
        <v>72</v>
      </c>
      <c r="V985" s="6" t="s">
        <v>72</v>
      </c>
      <c r="W985" s="5" t="s">
        <v>72</v>
      </c>
      <c r="X985" s="6" t="s">
        <v>72</v>
      </c>
      <c r="Y985" s="6" t="s">
        <v>72</v>
      </c>
      <c r="Z985" s="6" t="s">
        <v>72</v>
      </c>
      <c r="AA985" s="6" t="s">
        <v>72</v>
      </c>
      <c r="AB985" s="6" t="s">
        <v>72</v>
      </c>
      <c r="AC985" s="6" t="s">
        <v>72</v>
      </c>
    </row>
    <row r="986" spans="1:29" x14ac:dyDescent="0.25">
      <c r="A986" s="145" t="str">
        <f>HYPERLINK("http://www.ofsted.gov.uk/inspection-reports/find-inspection-report/provider/ELS/133819 ","Ofsted Webpage")</f>
        <v>Ofsted Webpage</v>
      </c>
      <c r="B986" s="151">
        <v>133819</v>
      </c>
      <c r="C986" s="151">
        <v>10005545</v>
      </c>
      <c r="D986" s="46" t="s">
        <v>2930</v>
      </c>
      <c r="E986" s="26" t="s">
        <v>69</v>
      </c>
      <c r="F986" s="26" t="s">
        <v>222</v>
      </c>
      <c r="G986" s="26" t="s">
        <v>447</v>
      </c>
      <c r="H986" s="26" t="s">
        <v>198</v>
      </c>
      <c r="I986" s="26" t="s">
        <v>198</v>
      </c>
      <c r="J986" s="2" t="s">
        <v>72</v>
      </c>
      <c r="K986" s="141" t="s">
        <v>72</v>
      </c>
      <c r="L986" s="141" t="s">
        <v>72</v>
      </c>
      <c r="M986" s="26" t="s">
        <v>72</v>
      </c>
      <c r="N986" s="2" t="s">
        <v>72</v>
      </c>
      <c r="O986" s="2" t="s">
        <v>72</v>
      </c>
      <c r="P986" s="133" t="s">
        <v>72</v>
      </c>
      <c r="Q986" s="6" t="s">
        <v>72</v>
      </c>
      <c r="R986" s="6" t="s">
        <v>72</v>
      </c>
      <c r="S986" s="6" t="s">
        <v>72</v>
      </c>
      <c r="T986" s="6" t="s">
        <v>72</v>
      </c>
      <c r="U986" s="6" t="s">
        <v>72</v>
      </c>
      <c r="V986" s="6" t="s">
        <v>72</v>
      </c>
      <c r="W986" s="5" t="s">
        <v>72</v>
      </c>
      <c r="X986" s="6" t="s">
        <v>72</v>
      </c>
      <c r="Y986" s="6" t="s">
        <v>72</v>
      </c>
      <c r="Z986" s="6" t="s">
        <v>72</v>
      </c>
      <c r="AA986" s="6" t="s">
        <v>72</v>
      </c>
      <c r="AB986" s="6" t="s">
        <v>72</v>
      </c>
      <c r="AC986" s="6" t="s">
        <v>72</v>
      </c>
    </row>
    <row r="987" spans="1:29" x14ac:dyDescent="0.25">
      <c r="A987" s="145" t="str">
        <f>HYPERLINK("http://www.ofsted.gov.uk/inspection-reports/find-inspection-report/provider/ELS/133821 ","Ofsted Webpage")</f>
        <v>Ofsted Webpage</v>
      </c>
      <c r="B987" s="151">
        <v>133821</v>
      </c>
      <c r="C987" s="151">
        <v>10006427</v>
      </c>
      <c r="D987" s="46" t="s">
        <v>637</v>
      </c>
      <c r="E987" s="26" t="s">
        <v>69</v>
      </c>
      <c r="F987" s="26" t="s">
        <v>222</v>
      </c>
      <c r="G987" s="26" t="s">
        <v>421</v>
      </c>
      <c r="H987" s="26" t="s">
        <v>219</v>
      </c>
      <c r="I987" s="26" t="s">
        <v>219</v>
      </c>
      <c r="J987" s="2">
        <v>42383</v>
      </c>
      <c r="K987" s="141">
        <v>1</v>
      </c>
      <c r="L987" s="141" t="s">
        <v>638</v>
      </c>
      <c r="M987" s="26" t="s">
        <v>514</v>
      </c>
      <c r="N987" s="2">
        <v>40861</v>
      </c>
      <c r="O987" s="2">
        <v>40865</v>
      </c>
      <c r="P987" s="133">
        <v>40900</v>
      </c>
      <c r="Q987" s="6">
        <v>2</v>
      </c>
      <c r="R987" s="6">
        <v>2</v>
      </c>
      <c r="S987" s="6">
        <v>2</v>
      </c>
      <c r="T987" s="120" t="s">
        <v>178</v>
      </c>
      <c r="U987" s="6">
        <v>2</v>
      </c>
      <c r="V987" s="6" t="s">
        <v>72</v>
      </c>
      <c r="W987" s="5" t="s">
        <v>72</v>
      </c>
      <c r="X987" s="6" t="s">
        <v>72</v>
      </c>
      <c r="Y987" s="6" t="s">
        <v>72</v>
      </c>
      <c r="Z987" s="6" t="s">
        <v>72</v>
      </c>
      <c r="AA987" s="6" t="s">
        <v>72</v>
      </c>
      <c r="AB987" s="6" t="s">
        <v>72</v>
      </c>
      <c r="AC987" s="6" t="s">
        <v>208</v>
      </c>
    </row>
    <row r="988" spans="1:29" x14ac:dyDescent="0.25">
      <c r="A988" s="145" t="str">
        <f>HYPERLINK("http://www.ofsted.gov.uk/inspection-reports/find-inspection-report/provider/ELS/133823 ","Ofsted Webpage")</f>
        <v>Ofsted Webpage</v>
      </c>
      <c r="B988" s="152">
        <v>133823</v>
      </c>
      <c r="C988" s="152">
        <v>10000975</v>
      </c>
      <c r="D988" s="117" t="s">
        <v>272</v>
      </c>
      <c r="E988" s="118" t="s">
        <v>69</v>
      </c>
      <c r="F988" s="118" t="s">
        <v>222</v>
      </c>
      <c r="G988" s="118" t="s">
        <v>273</v>
      </c>
      <c r="H988" s="118" t="s">
        <v>219</v>
      </c>
      <c r="I988" s="118" t="s">
        <v>219</v>
      </c>
      <c r="J988" s="119">
        <v>43026</v>
      </c>
      <c r="K988" s="132">
        <v>1</v>
      </c>
      <c r="L988" s="132" t="s">
        <v>274</v>
      </c>
      <c r="M988" s="118" t="s">
        <v>224</v>
      </c>
      <c r="N988" s="119">
        <v>41205</v>
      </c>
      <c r="O988" s="119">
        <v>41208</v>
      </c>
      <c r="P988" s="119">
        <v>41243</v>
      </c>
      <c r="Q988" s="120">
        <v>2</v>
      </c>
      <c r="R988" s="120">
        <v>2</v>
      </c>
      <c r="S988" s="120">
        <v>2</v>
      </c>
      <c r="T988" s="120" t="s">
        <v>178</v>
      </c>
      <c r="U988" s="120">
        <v>3</v>
      </c>
      <c r="V988" s="120" t="s">
        <v>72</v>
      </c>
      <c r="W988" s="121" t="s">
        <v>72</v>
      </c>
      <c r="X988" s="120" t="s">
        <v>72</v>
      </c>
      <c r="Y988" s="120" t="s">
        <v>72</v>
      </c>
      <c r="Z988" s="120" t="s">
        <v>72</v>
      </c>
      <c r="AA988" s="120" t="s">
        <v>72</v>
      </c>
      <c r="AB988" s="120" t="s">
        <v>72</v>
      </c>
      <c r="AC988" s="120" t="s">
        <v>208</v>
      </c>
    </row>
    <row r="989" spans="1:29" x14ac:dyDescent="0.25">
      <c r="A989" s="145" t="str">
        <f>HYPERLINK("http://www.ofsted.gov.uk/inspection-reports/find-inspection-report/provider/ELS/133824 ","Ofsted Webpage")</f>
        <v>Ofsted Webpage</v>
      </c>
      <c r="B989" s="151">
        <v>133824</v>
      </c>
      <c r="C989" s="151">
        <v>10007149</v>
      </c>
      <c r="D989" s="46" t="s">
        <v>2937</v>
      </c>
      <c r="E989" s="26" t="s">
        <v>69</v>
      </c>
      <c r="F989" s="26" t="s">
        <v>222</v>
      </c>
      <c r="G989" s="26" t="s">
        <v>469</v>
      </c>
      <c r="H989" s="26" t="s">
        <v>187</v>
      </c>
      <c r="I989" s="26" t="s">
        <v>188</v>
      </c>
      <c r="J989" s="2" t="s">
        <v>72</v>
      </c>
      <c r="K989" s="141" t="s">
        <v>72</v>
      </c>
      <c r="L989" s="141" t="s">
        <v>72</v>
      </c>
      <c r="M989" s="26" t="s">
        <v>72</v>
      </c>
      <c r="N989" s="2" t="s">
        <v>72</v>
      </c>
      <c r="O989" s="2" t="s">
        <v>72</v>
      </c>
      <c r="P989" s="133" t="s">
        <v>72</v>
      </c>
      <c r="Q989" s="6" t="s">
        <v>72</v>
      </c>
      <c r="R989" s="6" t="s">
        <v>72</v>
      </c>
      <c r="S989" s="6" t="s">
        <v>72</v>
      </c>
      <c r="T989" s="6" t="s">
        <v>72</v>
      </c>
      <c r="U989" s="6" t="s">
        <v>72</v>
      </c>
      <c r="V989" s="6" t="s">
        <v>72</v>
      </c>
      <c r="W989" s="5" t="s">
        <v>72</v>
      </c>
      <c r="X989" s="6" t="s">
        <v>72</v>
      </c>
      <c r="Y989" s="6" t="s">
        <v>72</v>
      </c>
      <c r="Z989" s="6" t="s">
        <v>72</v>
      </c>
      <c r="AA989" s="6" t="s">
        <v>72</v>
      </c>
      <c r="AB989" s="6" t="s">
        <v>72</v>
      </c>
      <c r="AC989" s="6" t="s">
        <v>72</v>
      </c>
    </row>
    <row r="990" spans="1:29" x14ac:dyDescent="0.25">
      <c r="A990" s="145" t="str">
        <f>HYPERLINK("http://www.ofsted.gov.uk/inspection-reports/find-inspection-report/provider/ELS/133825 ","Ofsted Webpage")</f>
        <v>Ofsted Webpage</v>
      </c>
      <c r="B990" s="151">
        <v>133825</v>
      </c>
      <c r="C990" s="151">
        <v>10003678</v>
      </c>
      <c r="D990" s="46" t="s">
        <v>762</v>
      </c>
      <c r="E990" s="26" t="s">
        <v>69</v>
      </c>
      <c r="F990" s="26" t="s">
        <v>222</v>
      </c>
      <c r="G990" s="26" t="s">
        <v>383</v>
      </c>
      <c r="H990" s="26" t="s">
        <v>175</v>
      </c>
      <c r="I990" s="26" t="s">
        <v>175</v>
      </c>
      <c r="J990" s="2" t="s">
        <v>72</v>
      </c>
      <c r="K990" s="141" t="s">
        <v>72</v>
      </c>
      <c r="L990" s="141" t="s">
        <v>763</v>
      </c>
      <c r="M990" s="26" t="s">
        <v>224</v>
      </c>
      <c r="N990" s="2">
        <v>42024</v>
      </c>
      <c r="O990" s="2">
        <v>42027</v>
      </c>
      <c r="P990" s="133">
        <v>42065</v>
      </c>
      <c r="Q990" s="6">
        <v>1</v>
      </c>
      <c r="R990" s="6">
        <v>1</v>
      </c>
      <c r="S990" s="6">
        <v>1</v>
      </c>
      <c r="T990" s="120" t="s">
        <v>178</v>
      </c>
      <c r="U990" s="6">
        <v>1</v>
      </c>
      <c r="V990" s="6" t="s">
        <v>72</v>
      </c>
      <c r="W990" s="5" t="s">
        <v>72</v>
      </c>
      <c r="X990" s="6" t="s">
        <v>72</v>
      </c>
      <c r="Y990" s="6" t="s">
        <v>72</v>
      </c>
      <c r="Z990" s="6" t="s">
        <v>72</v>
      </c>
      <c r="AA990" s="6" t="s">
        <v>72</v>
      </c>
      <c r="AB990" s="6" t="s">
        <v>72</v>
      </c>
      <c r="AC990" s="6" t="s">
        <v>208</v>
      </c>
    </row>
    <row r="991" spans="1:29" x14ac:dyDescent="0.25">
      <c r="A991" s="145" t="str">
        <f>HYPERLINK("http://www.ofsted.gov.uk/inspection-reports/find-inspection-report/provider/ELS/133827 ","Ofsted Webpage")</f>
        <v>Ofsted Webpage</v>
      </c>
      <c r="B991" s="151">
        <v>133827</v>
      </c>
      <c r="C991" s="151">
        <v>10003957</v>
      </c>
      <c r="D991" s="46" t="s">
        <v>2917</v>
      </c>
      <c r="E991" s="26" t="s">
        <v>69</v>
      </c>
      <c r="F991" s="26" t="s">
        <v>222</v>
      </c>
      <c r="G991" s="26" t="s">
        <v>247</v>
      </c>
      <c r="H991" s="26" t="s">
        <v>238</v>
      </c>
      <c r="I991" s="26" t="s">
        <v>238</v>
      </c>
      <c r="J991" s="2" t="s">
        <v>72</v>
      </c>
      <c r="K991" s="141" t="s">
        <v>72</v>
      </c>
      <c r="L991" s="141" t="s">
        <v>72</v>
      </c>
      <c r="M991" s="26" t="s">
        <v>72</v>
      </c>
      <c r="N991" s="2" t="s">
        <v>72</v>
      </c>
      <c r="O991" s="2" t="s">
        <v>72</v>
      </c>
      <c r="P991" s="133" t="s">
        <v>72</v>
      </c>
      <c r="Q991" s="6" t="s">
        <v>72</v>
      </c>
      <c r="R991" s="6" t="s">
        <v>72</v>
      </c>
      <c r="S991" s="6" t="s">
        <v>72</v>
      </c>
      <c r="T991" s="6" t="s">
        <v>72</v>
      </c>
      <c r="U991" s="6" t="s">
        <v>72</v>
      </c>
      <c r="V991" s="6" t="s">
        <v>72</v>
      </c>
      <c r="W991" s="5" t="s">
        <v>72</v>
      </c>
      <c r="X991" s="6" t="s">
        <v>72</v>
      </c>
      <c r="Y991" s="6" t="s">
        <v>72</v>
      </c>
      <c r="Z991" s="6" t="s">
        <v>72</v>
      </c>
      <c r="AA991" s="6" t="s">
        <v>72</v>
      </c>
      <c r="AB991" s="6" t="s">
        <v>72</v>
      </c>
      <c r="AC991" s="6" t="s">
        <v>72</v>
      </c>
    </row>
    <row r="992" spans="1:29" x14ac:dyDescent="0.25">
      <c r="A992" s="145" t="str">
        <f>HYPERLINK("http://www.ofsted.gov.uk/inspection-reports/find-inspection-report/provider/ELS/133833 ","Ofsted Webpage")</f>
        <v>Ofsted Webpage</v>
      </c>
      <c r="B992" s="152">
        <v>133833</v>
      </c>
      <c r="C992" s="152">
        <v>10001883</v>
      </c>
      <c r="D992" s="117" t="s">
        <v>278</v>
      </c>
      <c r="E992" s="118" t="s">
        <v>69</v>
      </c>
      <c r="F992" s="118" t="s">
        <v>222</v>
      </c>
      <c r="G992" s="118" t="s">
        <v>227</v>
      </c>
      <c r="H992" s="118" t="s">
        <v>214</v>
      </c>
      <c r="I992" s="118" t="s">
        <v>214</v>
      </c>
      <c r="J992" s="119" t="s">
        <v>72</v>
      </c>
      <c r="K992" s="132" t="s">
        <v>72</v>
      </c>
      <c r="L992" s="132" t="s">
        <v>279</v>
      </c>
      <c r="M992" s="118" t="s">
        <v>224</v>
      </c>
      <c r="N992" s="119">
        <v>41589</v>
      </c>
      <c r="O992" s="119">
        <v>41592</v>
      </c>
      <c r="P992" s="133">
        <v>41624</v>
      </c>
      <c r="Q992" s="120">
        <v>2</v>
      </c>
      <c r="R992" s="120">
        <v>2</v>
      </c>
      <c r="S992" s="120">
        <v>2</v>
      </c>
      <c r="T992" s="120" t="s">
        <v>178</v>
      </c>
      <c r="U992" s="120">
        <v>3</v>
      </c>
      <c r="V992" s="120" t="s">
        <v>72</v>
      </c>
      <c r="W992" s="121" t="s">
        <v>72</v>
      </c>
      <c r="X992" s="120" t="s">
        <v>72</v>
      </c>
      <c r="Y992" s="120" t="s">
        <v>72</v>
      </c>
      <c r="Z992" s="120" t="s">
        <v>72</v>
      </c>
      <c r="AA992" s="120" t="s">
        <v>72</v>
      </c>
      <c r="AB992" s="120" t="s">
        <v>72</v>
      </c>
      <c r="AC992" s="120" t="s">
        <v>208</v>
      </c>
    </row>
    <row r="993" spans="1:29" x14ac:dyDescent="0.25">
      <c r="A993" s="145" t="str">
        <f>HYPERLINK("http://www.ofsted.gov.uk/inspection-reports/find-inspection-report/provider/ELS/133834 ","Ofsted Webpage")</f>
        <v>Ofsted Webpage</v>
      </c>
      <c r="B993" s="151">
        <v>133834</v>
      </c>
      <c r="C993" s="151">
        <v>10004113</v>
      </c>
      <c r="D993" s="46" t="s">
        <v>767</v>
      </c>
      <c r="E993" s="26" t="s">
        <v>69</v>
      </c>
      <c r="F993" s="26" t="s">
        <v>222</v>
      </c>
      <c r="G993" s="26" t="s">
        <v>768</v>
      </c>
      <c r="H993" s="26" t="s">
        <v>214</v>
      </c>
      <c r="I993" s="26" t="s">
        <v>214</v>
      </c>
      <c r="J993" s="2" t="s">
        <v>72</v>
      </c>
      <c r="K993" s="141" t="s">
        <v>72</v>
      </c>
      <c r="L993" s="141" t="s">
        <v>769</v>
      </c>
      <c r="M993" s="26" t="s">
        <v>224</v>
      </c>
      <c r="N993" s="2">
        <v>41226</v>
      </c>
      <c r="O993" s="2">
        <v>41229</v>
      </c>
      <c r="P993" s="133">
        <v>41264</v>
      </c>
      <c r="Q993" s="6">
        <v>2</v>
      </c>
      <c r="R993" s="6">
        <v>1</v>
      </c>
      <c r="S993" s="6">
        <v>2</v>
      </c>
      <c r="T993" s="120" t="s">
        <v>178</v>
      </c>
      <c r="U993" s="6">
        <v>3</v>
      </c>
      <c r="V993" s="6" t="s">
        <v>72</v>
      </c>
      <c r="W993" s="5" t="s">
        <v>72</v>
      </c>
      <c r="X993" s="6" t="s">
        <v>72</v>
      </c>
      <c r="Y993" s="6" t="s">
        <v>72</v>
      </c>
      <c r="Z993" s="6" t="s">
        <v>72</v>
      </c>
      <c r="AA993" s="6" t="s">
        <v>72</v>
      </c>
      <c r="AB993" s="6" t="s">
        <v>72</v>
      </c>
      <c r="AC993" s="6" t="s">
        <v>208</v>
      </c>
    </row>
    <row r="994" spans="1:29" x14ac:dyDescent="0.25">
      <c r="A994" s="145" t="str">
        <f>HYPERLINK("http://www.ofsted.gov.uk/inspection-reports/find-inspection-report/provider/ELS/133836 ","Ofsted Webpage")</f>
        <v>Ofsted Webpage</v>
      </c>
      <c r="B994" s="151">
        <v>133836</v>
      </c>
      <c r="C994" s="151">
        <v>10007151</v>
      </c>
      <c r="D994" s="46" t="s">
        <v>646</v>
      </c>
      <c r="E994" s="26" t="s">
        <v>69</v>
      </c>
      <c r="F994" s="26" t="s">
        <v>222</v>
      </c>
      <c r="G994" s="26" t="s">
        <v>213</v>
      </c>
      <c r="H994" s="26" t="s">
        <v>214</v>
      </c>
      <c r="I994" s="26" t="s">
        <v>214</v>
      </c>
      <c r="J994" s="2" t="s">
        <v>72</v>
      </c>
      <c r="K994" s="141" t="s">
        <v>72</v>
      </c>
      <c r="L994" s="141" t="s">
        <v>647</v>
      </c>
      <c r="M994" s="26" t="s">
        <v>224</v>
      </c>
      <c r="N994" s="2">
        <v>41674</v>
      </c>
      <c r="O994" s="2">
        <v>41677</v>
      </c>
      <c r="P994" s="133">
        <v>41711</v>
      </c>
      <c r="Q994" s="6">
        <v>2</v>
      </c>
      <c r="R994" s="6">
        <v>2</v>
      </c>
      <c r="S994" s="6">
        <v>2</v>
      </c>
      <c r="T994" s="120" t="s">
        <v>178</v>
      </c>
      <c r="U994" s="6">
        <v>2</v>
      </c>
      <c r="V994" s="6" t="s">
        <v>648</v>
      </c>
      <c r="W994" s="5">
        <v>39892</v>
      </c>
      <c r="X994" s="6">
        <v>3</v>
      </c>
      <c r="Y994" s="6">
        <v>3</v>
      </c>
      <c r="Z994" s="6">
        <v>3</v>
      </c>
      <c r="AA994" s="6" t="s">
        <v>178</v>
      </c>
      <c r="AB994" s="6">
        <v>4</v>
      </c>
      <c r="AC994" s="6" t="s">
        <v>216</v>
      </c>
    </row>
    <row r="995" spans="1:29" x14ac:dyDescent="0.25">
      <c r="A995" s="145" t="str">
        <f>HYPERLINK("http://www.ofsted.gov.uk/inspection-reports/find-inspection-report/provider/ELS/133840 ","Ofsted Webpage")</f>
        <v>Ofsted Webpage</v>
      </c>
      <c r="B995" s="151">
        <v>133840</v>
      </c>
      <c r="C995" s="151">
        <v>10008816</v>
      </c>
      <c r="D995" s="46" t="s">
        <v>770</v>
      </c>
      <c r="E995" s="26" t="s">
        <v>69</v>
      </c>
      <c r="F995" s="26" t="s">
        <v>222</v>
      </c>
      <c r="G995" s="26" t="s">
        <v>474</v>
      </c>
      <c r="H995" s="26" t="s">
        <v>187</v>
      </c>
      <c r="I995" s="26" t="s">
        <v>188</v>
      </c>
      <c r="J995" s="2" t="s">
        <v>72</v>
      </c>
      <c r="K995" s="141" t="s">
        <v>72</v>
      </c>
      <c r="L995" s="141" t="s">
        <v>771</v>
      </c>
      <c r="M995" s="26" t="s">
        <v>224</v>
      </c>
      <c r="N995" s="2">
        <v>41954</v>
      </c>
      <c r="O995" s="2">
        <v>41957</v>
      </c>
      <c r="P995" s="133">
        <v>41990</v>
      </c>
      <c r="Q995" s="6">
        <v>1</v>
      </c>
      <c r="R995" s="6">
        <v>1</v>
      </c>
      <c r="S995" s="6">
        <v>1</v>
      </c>
      <c r="T995" s="120" t="s">
        <v>178</v>
      </c>
      <c r="U995" s="6">
        <v>1</v>
      </c>
      <c r="V995" s="6" t="s">
        <v>72</v>
      </c>
      <c r="W995" s="5" t="s">
        <v>72</v>
      </c>
      <c r="X995" s="6" t="s">
        <v>72</v>
      </c>
      <c r="Y995" s="6" t="s">
        <v>72</v>
      </c>
      <c r="Z995" s="6" t="s">
        <v>72</v>
      </c>
      <c r="AA995" s="6" t="s">
        <v>72</v>
      </c>
      <c r="AB995" s="6" t="s">
        <v>72</v>
      </c>
      <c r="AC995" s="6" t="s">
        <v>208</v>
      </c>
    </row>
    <row r="996" spans="1:29" x14ac:dyDescent="0.25">
      <c r="A996" s="145" t="str">
        <f>HYPERLINK("http://www.ofsted.gov.uk/inspection-reports/find-inspection-report/provider/ELS/133844 ","Ofsted Webpage")</f>
        <v>Ofsted Webpage</v>
      </c>
      <c r="B996" s="151">
        <v>133844</v>
      </c>
      <c r="C996" s="151">
        <v>10004180</v>
      </c>
      <c r="D996" s="46" t="s">
        <v>519</v>
      </c>
      <c r="E996" s="26" t="s">
        <v>69</v>
      </c>
      <c r="F996" s="26" t="s">
        <v>222</v>
      </c>
      <c r="G996" s="26" t="s">
        <v>348</v>
      </c>
      <c r="H996" s="26" t="s">
        <v>238</v>
      </c>
      <c r="I996" s="26" t="s">
        <v>238</v>
      </c>
      <c r="J996" s="2" t="s">
        <v>72</v>
      </c>
      <c r="K996" s="141" t="s">
        <v>72</v>
      </c>
      <c r="L996" s="141" t="s">
        <v>520</v>
      </c>
      <c r="M996" s="26" t="s">
        <v>224</v>
      </c>
      <c r="N996" s="2">
        <v>41247</v>
      </c>
      <c r="O996" s="2">
        <v>41250</v>
      </c>
      <c r="P996" s="133">
        <v>41284</v>
      </c>
      <c r="Q996" s="6">
        <v>1</v>
      </c>
      <c r="R996" s="6">
        <v>1</v>
      </c>
      <c r="S996" s="6">
        <v>1</v>
      </c>
      <c r="T996" s="120" t="s">
        <v>178</v>
      </c>
      <c r="U996" s="6">
        <v>2</v>
      </c>
      <c r="V996" s="6" t="s">
        <v>72</v>
      </c>
      <c r="W996" s="5" t="s">
        <v>72</v>
      </c>
      <c r="X996" s="6" t="s">
        <v>72</v>
      </c>
      <c r="Y996" s="6" t="s">
        <v>72</v>
      </c>
      <c r="Z996" s="6" t="s">
        <v>72</v>
      </c>
      <c r="AA996" s="6" t="s">
        <v>72</v>
      </c>
      <c r="AB996" s="6" t="s">
        <v>72</v>
      </c>
      <c r="AC996" s="6" t="s">
        <v>208</v>
      </c>
    </row>
    <row r="997" spans="1:29" x14ac:dyDescent="0.25">
      <c r="A997" s="145" t="str">
        <f>HYPERLINK("http://www.ofsted.gov.uk/inspection-reports/find-inspection-report/provider/ELS/133845 ","Ofsted Webpage")</f>
        <v>Ofsted Webpage</v>
      </c>
      <c r="B997" s="151">
        <v>133845</v>
      </c>
      <c r="C997" s="151">
        <v>10007156</v>
      </c>
      <c r="D997" s="46" t="s">
        <v>2898</v>
      </c>
      <c r="E997" s="26" t="s">
        <v>69</v>
      </c>
      <c r="F997" s="26" t="s">
        <v>222</v>
      </c>
      <c r="G997" s="26" t="s">
        <v>656</v>
      </c>
      <c r="H997" s="26" t="s">
        <v>238</v>
      </c>
      <c r="I997" s="26" t="s">
        <v>238</v>
      </c>
      <c r="J997" s="2" t="s">
        <v>72</v>
      </c>
      <c r="K997" s="141" t="s">
        <v>72</v>
      </c>
      <c r="L997" s="141" t="s">
        <v>72</v>
      </c>
      <c r="M997" s="26" t="s">
        <v>72</v>
      </c>
      <c r="N997" s="2" t="s">
        <v>72</v>
      </c>
      <c r="O997" s="2" t="s">
        <v>72</v>
      </c>
      <c r="P997" s="133" t="s">
        <v>72</v>
      </c>
      <c r="Q997" s="6" t="s">
        <v>72</v>
      </c>
      <c r="R997" s="6" t="s">
        <v>72</v>
      </c>
      <c r="S997" s="6" t="s">
        <v>72</v>
      </c>
      <c r="T997" s="6" t="s">
        <v>72</v>
      </c>
      <c r="U997" s="6" t="s">
        <v>72</v>
      </c>
      <c r="V997" s="6" t="s">
        <v>72</v>
      </c>
      <c r="W997" s="5" t="s">
        <v>72</v>
      </c>
      <c r="X997" s="6" t="s">
        <v>72</v>
      </c>
      <c r="Y997" s="6" t="s">
        <v>72</v>
      </c>
      <c r="Z997" s="6" t="s">
        <v>72</v>
      </c>
      <c r="AA997" s="6" t="s">
        <v>72</v>
      </c>
      <c r="AB997" s="6" t="s">
        <v>72</v>
      </c>
      <c r="AC997" s="6" t="s">
        <v>72</v>
      </c>
    </row>
    <row r="998" spans="1:29" x14ac:dyDescent="0.25">
      <c r="A998" s="145" t="str">
        <f>HYPERLINK("http://www.ofsted.gov.uk/inspection-reports/find-inspection-report/provider/ELS/133849 ","Ofsted Webpage")</f>
        <v>Ofsted Webpage</v>
      </c>
      <c r="B998" s="151">
        <v>133849</v>
      </c>
      <c r="C998" s="151">
        <v>10007773</v>
      </c>
      <c r="D998" s="46" t="s">
        <v>2921</v>
      </c>
      <c r="E998" s="26" t="s">
        <v>69</v>
      </c>
      <c r="F998" s="26" t="s">
        <v>222</v>
      </c>
      <c r="G998" s="26" t="s">
        <v>733</v>
      </c>
      <c r="H998" s="26" t="s">
        <v>219</v>
      </c>
      <c r="I998" s="26" t="s">
        <v>219</v>
      </c>
      <c r="J998" s="2" t="s">
        <v>72</v>
      </c>
      <c r="K998" s="141" t="s">
        <v>72</v>
      </c>
      <c r="L998" s="141" t="s">
        <v>72</v>
      </c>
      <c r="M998" s="26" t="s">
        <v>72</v>
      </c>
      <c r="N998" s="2" t="s">
        <v>72</v>
      </c>
      <c r="O998" s="2" t="s">
        <v>72</v>
      </c>
      <c r="P998" s="133" t="s">
        <v>72</v>
      </c>
      <c r="Q998" s="6" t="s">
        <v>72</v>
      </c>
      <c r="R998" s="6" t="s">
        <v>72</v>
      </c>
      <c r="S998" s="6" t="s">
        <v>72</v>
      </c>
      <c r="T998" s="6" t="s">
        <v>72</v>
      </c>
      <c r="U998" s="6" t="s">
        <v>72</v>
      </c>
      <c r="V998" s="6" t="s">
        <v>72</v>
      </c>
      <c r="W998" s="5" t="s">
        <v>72</v>
      </c>
      <c r="X998" s="6" t="s">
        <v>72</v>
      </c>
      <c r="Y998" s="6" t="s">
        <v>72</v>
      </c>
      <c r="Z998" s="6" t="s">
        <v>72</v>
      </c>
      <c r="AA998" s="6" t="s">
        <v>72</v>
      </c>
      <c r="AB998" s="6" t="s">
        <v>72</v>
      </c>
      <c r="AC998" s="6" t="s">
        <v>72</v>
      </c>
    </row>
    <row r="999" spans="1:29" x14ac:dyDescent="0.25">
      <c r="A999" s="145" t="str">
        <f>HYPERLINK("http://www.ofsted.gov.uk/inspection-reports/find-inspection-report/provider/ELS/133850 ","Ofsted Webpage")</f>
        <v>Ofsted Webpage</v>
      </c>
      <c r="B999" s="151">
        <v>133850</v>
      </c>
      <c r="C999" s="151">
        <v>10004351</v>
      </c>
      <c r="D999" s="46" t="s">
        <v>2919</v>
      </c>
      <c r="E999" s="26" t="s">
        <v>69</v>
      </c>
      <c r="F999" s="26" t="s">
        <v>222</v>
      </c>
      <c r="G999" s="26" t="s">
        <v>1204</v>
      </c>
      <c r="H999" s="26" t="s">
        <v>175</v>
      </c>
      <c r="I999" s="26" t="s">
        <v>175</v>
      </c>
      <c r="J999" s="2" t="s">
        <v>72</v>
      </c>
      <c r="K999" s="141" t="s">
        <v>72</v>
      </c>
      <c r="L999" s="141" t="s">
        <v>72</v>
      </c>
      <c r="M999" s="26" t="s">
        <v>72</v>
      </c>
      <c r="N999" s="2" t="s">
        <v>72</v>
      </c>
      <c r="O999" s="2" t="s">
        <v>72</v>
      </c>
      <c r="P999" s="133" t="s">
        <v>72</v>
      </c>
      <c r="Q999" s="6" t="s">
        <v>72</v>
      </c>
      <c r="R999" s="6" t="s">
        <v>72</v>
      </c>
      <c r="S999" s="6" t="s">
        <v>72</v>
      </c>
      <c r="T999" s="6" t="s">
        <v>72</v>
      </c>
      <c r="U999" s="6" t="s">
        <v>72</v>
      </c>
      <c r="V999" s="6" t="s">
        <v>72</v>
      </c>
      <c r="W999" s="5" t="s">
        <v>72</v>
      </c>
      <c r="X999" s="6" t="s">
        <v>72</v>
      </c>
      <c r="Y999" s="6" t="s">
        <v>72</v>
      </c>
      <c r="Z999" s="6" t="s">
        <v>72</v>
      </c>
      <c r="AA999" s="6" t="s">
        <v>72</v>
      </c>
      <c r="AB999" s="6" t="s">
        <v>72</v>
      </c>
      <c r="AC999" s="6" t="s">
        <v>72</v>
      </c>
    </row>
    <row r="1000" spans="1:29" x14ac:dyDescent="0.25">
      <c r="A1000" s="145" t="str">
        <f>HYPERLINK("http://www.ofsted.gov.uk/inspection-reports/find-inspection-report/provider/ELS/133854 ","Ofsted Webpage")</f>
        <v>Ofsted Webpage</v>
      </c>
      <c r="B1000" s="151">
        <v>133854</v>
      </c>
      <c r="C1000" s="151">
        <v>10001282</v>
      </c>
      <c r="D1000" s="46" t="s">
        <v>2939</v>
      </c>
      <c r="E1000" s="26" t="s">
        <v>69</v>
      </c>
      <c r="F1000" s="26" t="s">
        <v>222</v>
      </c>
      <c r="G1000" s="26" t="s">
        <v>319</v>
      </c>
      <c r="H1000" s="26" t="s">
        <v>204</v>
      </c>
      <c r="I1000" s="26" t="s">
        <v>188</v>
      </c>
      <c r="J1000" s="2" t="s">
        <v>72</v>
      </c>
      <c r="K1000" s="141" t="s">
        <v>72</v>
      </c>
      <c r="L1000" s="141" t="s">
        <v>72</v>
      </c>
      <c r="M1000" s="26" t="s">
        <v>72</v>
      </c>
      <c r="N1000" s="2" t="s">
        <v>72</v>
      </c>
      <c r="O1000" s="2" t="s">
        <v>72</v>
      </c>
      <c r="P1000" s="133" t="s">
        <v>72</v>
      </c>
      <c r="Q1000" s="6" t="s">
        <v>72</v>
      </c>
      <c r="R1000" s="6" t="s">
        <v>72</v>
      </c>
      <c r="S1000" s="6" t="s">
        <v>72</v>
      </c>
      <c r="T1000" s="6" t="s">
        <v>72</v>
      </c>
      <c r="U1000" s="6" t="s">
        <v>72</v>
      </c>
      <c r="V1000" s="6" t="s">
        <v>72</v>
      </c>
      <c r="W1000" s="5" t="s">
        <v>72</v>
      </c>
      <c r="X1000" s="6" t="s">
        <v>72</v>
      </c>
      <c r="Y1000" s="6" t="s">
        <v>72</v>
      </c>
      <c r="Z1000" s="6" t="s">
        <v>72</v>
      </c>
      <c r="AA1000" s="6" t="s">
        <v>72</v>
      </c>
      <c r="AB1000" s="6" t="s">
        <v>72</v>
      </c>
      <c r="AC1000" s="6" t="s">
        <v>72</v>
      </c>
    </row>
    <row r="1001" spans="1:29" x14ac:dyDescent="0.25">
      <c r="A1001" s="145" t="str">
        <f>HYPERLINK("http://www.ofsted.gov.uk/inspection-reports/find-inspection-report/provider/ELS/133855 ","Ofsted Webpage")</f>
        <v>Ofsted Webpage</v>
      </c>
      <c r="B1001" s="151">
        <v>133855</v>
      </c>
      <c r="C1001" s="151">
        <v>10004797</v>
      </c>
      <c r="D1001" s="46" t="s">
        <v>521</v>
      </c>
      <c r="E1001" s="26" t="s">
        <v>69</v>
      </c>
      <c r="F1001" s="26" t="s">
        <v>222</v>
      </c>
      <c r="G1001" s="26" t="s">
        <v>437</v>
      </c>
      <c r="H1001" s="26" t="s">
        <v>214</v>
      </c>
      <c r="I1001" s="26" t="s">
        <v>214</v>
      </c>
      <c r="J1001" s="2" t="s">
        <v>72</v>
      </c>
      <c r="K1001" s="141" t="s">
        <v>72</v>
      </c>
      <c r="L1001" s="141" t="s">
        <v>522</v>
      </c>
      <c r="M1001" s="26" t="s">
        <v>523</v>
      </c>
      <c r="N1001" s="2">
        <v>41716</v>
      </c>
      <c r="O1001" s="2">
        <v>41719</v>
      </c>
      <c r="P1001" s="133">
        <v>41754</v>
      </c>
      <c r="Q1001" s="6">
        <v>2</v>
      </c>
      <c r="R1001" s="6">
        <v>2</v>
      </c>
      <c r="S1001" s="6">
        <v>2</v>
      </c>
      <c r="T1001" s="120" t="s">
        <v>178</v>
      </c>
      <c r="U1001" s="6">
        <v>2</v>
      </c>
      <c r="V1001" s="6" t="s">
        <v>524</v>
      </c>
      <c r="W1001" s="5">
        <v>41236</v>
      </c>
      <c r="X1001" s="6">
        <v>3</v>
      </c>
      <c r="Y1001" s="6">
        <v>3</v>
      </c>
      <c r="Z1001" s="6">
        <v>3</v>
      </c>
      <c r="AA1001" s="6" t="s">
        <v>178</v>
      </c>
      <c r="AB1001" s="6">
        <v>3</v>
      </c>
      <c r="AC1001" s="6" t="s">
        <v>216</v>
      </c>
    </row>
    <row r="1002" spans="1:29" x14ac:dyDescent="0.25">
      <c r="A1002" s="145" t="str">
        <f>HYPERLINK("http://www.ofsted.gov.uk/inspection-reports/find-inspection-report/provider/ELS/133864 ","Ofsted Webpage")</f>
        <v>Ofsted Webpage</v>
      </c>
      <c r="B1002" s="151">
        <v>133864</v>
      </c>
      <c r="C1002" s="151">
        <v>10004930</v>
      </c>
      <c r="D1002" s="46" t="s">
        <v>772</v>
      </c>
      <c r="E1002" s="26" t="s">
        <v>69</v>
      </c>
      <c r="F1002" s="26" t="s">
        <v>222</v>
      </c>
      <c r="G1002" s="26" t="s">
        <v>590</v>
      </c>
      <c r="H1002" s="26" t="s">
        <v>219</v>
      </c>
      <c r="I1002" s="26" t="s">
        <v>219</v>
      </c>
      <c r="J1002" s="2" t="s">
        <v>72</v>
      </c>
      <c r="K1002" s="141" t="s">
        <v>72</v>
      </c>
      <c r="L1002" s="141" t="s">
        <v>773</v>
      </c>
      <c r="M1002" s="26" t="s">
        <v>224</v>
      </c>
      <c r="N1002" s="2">
        <v>41604</v>
      </c>
      <c r="O1002" s="2">
        <v>41607</v>
      </c>
      <c r="P1002" s="133">
        <v>41647</v>
      </c>
      <c r="Q1002" s="6">
        <v>2</v>
      </c>
      <c r="R1002" s="6">
        <v>1</v>
      </c>
      <c r="S1002" s="6">
        <v>2</v>
      </c>
      <c r="T1002" s="120" t="s">
        <v>178</v>
      </c>
      <c r="U1002" s="6">
        <v>2</v>
      </c>
      <c r="V1002" s="6" t="s">
        <v>72</v>
      </c>
      <c r="W1002" s="5" t="s">
        <v>72</v>
      </c>
      <c r="X1002" s="6" t="s">
        <v>72</v>
      </c>
      <c r="Y1002" s="6" t="s">
        <v>72</v>
      </c>
      <c r="Z1002" s="6" t="s">
        <v>72</v>
      </c>
      <c r="AA1002" s="6" t="s">
        <v>72</v>
      </c>
      <c r="AB1002" s="6" t="s">
        <v>72</v>
      </c>
      <c r="AC1002" s="6" t="s">
        <v>208</v>
      </c>
    </row>
    <row r="1003" spans="1:29" x14ac:dyDescent="0.25">
      <c r="A1003" s="145" t="str">
        <f>HYPERLINK("http://www.ofsted.gov.uk/inspection-reports/find-inspection-report/provider/ELS/133865 ","Ofsted Webpage")</f>
        <v>Ofsted Webpage</v>
      </c>
      <c r="B1003" s="151">
        <v>133865</v>
      </c>
      <c r="C1003" s="151">
        <v>10007801</v>
      </c>
      <c r="D1003" s="46" t="s">
        <v>2940</v>
      </c>
      <c r="E1003" s="26" t="s">
        <v>69</v>
      </c>
      <c r="F1003" s="26" t="s">
        <v>222</v>
      </c>
      <c r="G1003" s="26" t="s">
        <v>775</v>
      </c>
      <c r="H1003" s="26" t="s">
        <v>198</v>
      </c>
      <c r="I1003" s="26" t="s">
        <v>198</v>
      </c>
      <c r="J1003" s="2" t="s">
        <v>72</v>
      </c>
      <c r="K1003" s="141" t="s">
        <v>72</v>
      </c>
      <c r="L1003" s="141" t="s">
        <v>72</v>
      </c>
      <c r="M1003" s="26" t="s">
        <v>72</v>
      </c>
      <c r="N1003" s="2" t="s">
        <v>72</v>
      </c>
      <c r="O1003" s="2" t="s">
        <v>72</v>
      </c>
      <c r="P1003" s="133" t="s">
        <v>72</v>
      </c>
      <c r="Q1003" s="6" t="s">
        <v>72</v>
      </c>
      <c r="R1003" s="6" t="s">
        <v>72</v>
      </c>
      <c r="S1003" s="6" t="s">
        <v>72</v>
      </c>
      <c r="T1003" s="6" t="s">
        <v>72</v>
      </c>
      <c r="U1003" s="6" t="s">
        <v>72</v>
      </c>
      <c r="V1003" s="6" t="s">
        <v>72</v>
      </c>
      <c r="W1003" s="5" t="s">
        <v>72</v>
      </c>
      <c r="X1003" s="6" t="s">
        <v>72</v>
      </c>
      <c r="Y1003" s="6" t="s">
        <v>72</v>
      </c>
      <c r="Z1003" s="6" t="s">
        <v>72</v>
      </c>
      <c r="AA1003" s="6" t="s">
        <v>72</v>
      </c>
      <c r="AB1003" s="6" t="s">
        <v>72</v>
      </c>
      <c r="AC1003" s="6" t="s">
        <v>72</v>
      </c>
    </row>
    <row r="1004" spans="1:29" x14ac:dyDescent="0.25">
      <c r="A1004" s="145" t="str">
        <f>HYPERLINK("http://www.ofsted.gov.uk/inspection-reports/find-inspection-report/provider/ELS/133867 ","Ofsted Webpage")</f>
        <v>Ofsted Webpage</v>
      </c>
      <c r="B1004" s="151">
        <v>133867</v>
      </c>
      <c r="C1004" s="151">
        <v>10007155</v>
      </c>
      <c r="D1004" s="46" t="s">
        <v>2941</v>
      </c>
      <c r="E1004" s="26" t="s">
        <v>69</v>
      </c>
      <c r="F1004" s="26" t="s">
        <v>222</v>
      </c>
      <c r="G1004" s="26" t="s">
        <v>1004</v>
      </c>
      <c r="H1004" s="26" t="s">
        <v>219</v>
      </c>
      <c r="I1004" s="26" t="s">
        <v>219</v>
      </c>
      <c r="J1004" s="2" t="s">
        <v>72</v>
      </c>
      <c r="K1004" s="141" t="s">
        <v>72</v>
      </c>
      <c r="L1004" s="141" t="s">
        <v>72</v>
      </c>
      <c r="M1004" s="26" t="s">
        <v>72</v>
      </c>
      <c r="N1004" s="2" t="s">
        <v>72</v>
      </c>
      <c r="O1004" s="2" t="s">
        <v>72</v>
      </c>
      <c r="P1004" s="133" t="s">
        <v>72</v>
      </c>
      <c r="Q1004" s="6" t="s">
        <v>72</v>
      </c>
      <c r="R1004" s="6" t="s">
        <v>72</v>
      </c>
      <c r="S1004" s="6" t="s">
        <v>72</v>
      </c>
      <c r="T1004" s="6" t="s">
        <v>72</v>
      </c>
      <c r="U1004" s="6" t="s">
        <v>72</v>
      </c>
      <c r="V1004" s="6" t="s">
        <v>72</v>
      </c>
      <c r="W1004" s="5" t="s">
        <v>72</v>
      </c>
      <c r="X1004" s="6" t="s">
        <v>72</v>
      </c>
      <c r="Y1004" s="6" t="s">
        <v>72</v>
      </c>
      <c r="Z1004" s="6" t="s">
        <v>72</v>
      </c>
      <c r="AA1004" s="6" t="s">
        <v>72</v>
      </c>
      <c r="AB1004" s="6" t="s">
        <v>72</v>
      </c>
      <c r="AC1004" s="6" t="s">
        <v>72</v>
      </c>
    </row>
    <row r="1005" spans="1:29" x14ac:dyDescent="0.25">
      <c r="A1005" s="145" t="str">
        <f>HYPERLINK("http://www.ofsted.gov.uk/inspection-reports/find-inspection-report/provider/ELS/133868 ","Ofsted Webpage")</f>
        <v>Ofsted Webpage</v>
      </c>
      <c r="B1005" s="151">
        <v>133868</v>
      </c>
      <c r="C1005" s="151">
        <v>10007137</v>
      </c>
      <c r="D1005" s="46" t="s">
        <v>2909</v>
      </c>
      <c r="E1005" s="26" t="s">
        <v>69</v>
      </c>
      <c r="F1005" s="26" t="s">
        <v>222</v>
      </c>
      <c r="G1005" s="26" t="s">
        <v>452</v>
      </c>
      <c r="H1005" s="26" t="s">
        <v>219</v>
      </c>
      <c r="I1005" s="26" t="s">
        <v>219</v>
      </c>
      <c r="J1005" s="2" t="s">
        <v>72</v>
      </c>
      <c r="K1005" s="141" t="s">
        <v>72</v>
      </c>
      <c r="L1005" s="141" t="s">
        <v>72</v>
      </c>
      <c r="M1005" s="26" t="s">
        <v>72</v>
      </c>
      <c r="N1005" s="2" t="s">
        <v>72</v>
      </c>
      <c r="O1005" s="2" t="s">
        <v>72</v>
      </c>
      <c r="P1005" s="133" t="s">
        <v>72</v>
      </c>
      <c r="Q1005" s="6" t="s">
        <v>72</v>
      </c>
      <c r="R1005" s="6" t="s">
        <v>72</v>
      </c>
      <c r="S1005" s="6" t="s">
        <v>72</v>
      </c>
      <c r="T1005" s="6" t="s">
        <v>72</v>
      </c>
      <c r="U1005" s="6" t="s">
        <v>72</v>
      </c>
      <c r="V1005" s="6" t="s">
        <v>72</v>
      </c>
      <c r="W1005" s="5" t="s">
        <v>72</v>
      </c>
      <c r="X1005" s="6" t="s">
        <v>72</v>
      </c>
      <c r="Y1005" s="6" t="s">
        <v>72</v>
      </c>
      <c r="Z1005" s="6" t="s">
        <v>72</v>
      </c>
      <c r="AA1005" s="6" t="s">
        <v>72</v>
      </c>
      <c r="AB1005" s="6" t="s">
        <v>72</v>
      </c>
      <c r="AC1005" s="6" t="s">
        <v>72</v>
      </c>
    </row>
    <row r="1006" spans="1:29" x14ac:dyDescent="0.25">
      <c r="A1006" s="145" t="str">
        <f>HYPERLINK("http://www.ofsted.gov.uk/inspection-reports/find-inspection-report/provider/ELS/133869 ","Ofsted Webpage")</f>
        <v>Ofsted Webpage</v>
      </c>
      <c r="B1006" s="151">
        <v>133869</v>
      </c>
      <c r="C1006" s="151">
        <v>10007141</v>
      </c>
      <c r="D1006" s="46" t="s">
        <v>2924</v>
      </c>
      <c r="E1006" s="26" t="s">
        <v>69</v>
      </c>
      <c r="F1006" s="26" t="s">
        <v>222</v>
      </c>
      <c r="G1006" s="26" t="s">
        <v>851</v>
      </c>
      <c r="H1006" s="26" t="s">
        <v>238</v>
      </c>
      <c r="I1006" s="26" t="s">
        <v>238</v>
      </c>
      <c r="J1006" s="2" t="s">
        <v>72</v>
      </c>
      <c r="K1006" s="141" t="s">
        <v>72</v>
      </c>
      <c r="L1006" s="141" t="s">
        <v>72</v>
      </c>
      <c r="M1006" s="26" t="s">
        <v>72</v>
      </c>
      <c r="N1006" s="2" t="s">
        <v>72</v>
      </c>
      <c r="O1006" s="2" t="s">
        <v>72</v>
      </c>
      <c r="P1006" s="133" t="s">
        <v>72</v>
      </c>
      <c r="Q1006" s="6" t="s">
        <v>72</v>
      </c>
      <c r="R1006" s="6" t="s">
        <v>72</v>
      </c>
      <c r="S1006" s="6" t="s">
        <v>72</v>
      </c>
      <c r="T1006" s="6" t="s">
        <v>72</v>
      </c>
      <c r="U1006" s="6" t="s">
        <v>72</v>
      </c>
      <c r="V1006" s="6" t="s">
        <v>72</v>
      </c>
      <c r="W1006" s="5" t="s">
        <v>72</v>
      </c>
      <c r="X1006" s="6" t="s">
        <v>72</v>
      </c>
      <c r="Y1006" s="6" t="s">
        <v>72</v>
      </c>
      <c r="Z1006" s="6" t="s">
        <v>72</v>
      </c>
      <c r="AA1006" s="6" t="s">
        <v>72</v>
      </c>
      <c r="AB1006" s="6" t="s">
        <v>72</v>
      </c>
      <c r="AC1006" s="6" t="s">
        <v>72</v>
      </c>
    </row>
    <row r="1007" spans="1:29" x14ac:dyDescent="0.25">
      <c r="A1007" s="145" t="str">
        <f>HYPERLINK("http://www.ofsted.gov.uk/inspection-reports/find-inspection-report/provider/ELS/133871 ","Ofsted Webpage")</f>
        <v>Ofsted Webpage</v>
      </c>
      <c r="B1007" s="151">
        <v>133871</v>
      </c>
      <c r="C1007" s="151">
        <v>10005790</v>
      </c>
      <c r="D1007" s="46" t="s">
        <v>2931</v>
      </c>
      <c r="E1007" s="26" t="s">
        <v>69</v>
      </c>
      <c r="F1007" s="26" t="s">
        <v>222</v>
      </c>
      <c r="G1007" s="26" t="s">
        <v>230</v>
      </c>
      <c r="H1007" s="26" t="s">
        <v>187</v>
      </c>
      <c r="I1007" s="26" t="s">
        <v>188</v>
      </c>
      <c r="J1007" s="2" t="s">
        <v>72</v>
      </c>
      <c r="K1007" s="141" t="s">
        <v>72</v>
      </c>
      <c r="L1007" s="141" t="s">
        <v>72</v>
      </c>
      <c r="M1007" s="26" t="s">
        <v>72</v>
      </c>
      <c r="N1007" s="2" t="s">
        <v>72</v>
      </c>
      <c r="O1007" s="2" t="s">
        <v>72</v>
      </c>
      <c r="P1007" s="133" t="s">
        <v>72</v>
      </c>
      <c r="Q1007" s="6" t="s">
        <v>72</v>
      </c>
      <c r="R1007" s="6" t="s">
        <v>72</v>
      </c>
      <c r="S1007" s="6" t="s">
        <v>72</v>
      </c>
      <c r="T1007" s="6" t="s">
        <v>72</v>
      </c>
      <c r="U1007" s="6" t="s">
        <v>72</v>
      </c>
      <c r="V1007" s="6" t="s">
        <v>72</v>
      </c>
      <c r="W1007" s="5" t="s">
        <v>72</v>
      </c>
      <c r="X1007" s="6" t="s">
        <v>72</v>
      </c>
      <c r="Y1007" s="6" t="s">
        <v>72</v>
      </c>
      <c r="Z1007" s="6" t="s">
        <v>72</v>
      </c>
      <c r="AA1007" s="6" t="s">
        <v>72</v>
      </c>
      <c r="AB1007" s="6" t="s">
        <v>72</v>
      </c>
      <c r="AC1007" s="6" t="s">
        <v>72</v>
      </c>
    </row>
    <row r="1008" spans="1:29" x14ac:dyDescent="0.25">
      <c r="A1008" s="145" t="str">
        <f>HYPERLINK("http://www.ofsted.gov.uk/inspection-reports/find-inspection-report/provider/ELS/133872 ","Ofsted Webpage")</f>
        <v>Ofsted Webpage</v>
      </c>
      <c r="B1008" s="151">
        <v>133872</v>
      </c>
      <c r="C1008" s="151">
        <v>10007157</v>
      </c>
      <c r="D1008" s="46" t="s">
        <v>649</v>
      </c>
      <c r="E1008" s="26" t="s">
        <v>69</v>
      </c>
      <c r="F1008" s="26" t="s">
        <v>222</v>
      </c>
      <c r="G1008" s="26" t="s">
        <v>230</v>
      </c>
      <c r="H1008" s="26" t="s">
        <v>187</v>
      </c>
      <c r="I1008" s="26" t="s">
        <v>188</v>
      </c>
      <c r="J1008" s="2" t="s">
        <v>72</v>
      </c>
      <c r="K1008" s="141" t="s">
        <v>72</v>
      </c>
      <c r="L1008" s="141">
        <v>10004814</v>
      </c>
      <c r="M1008" s="26" t="s">
        <v>224</v>
      </c>
      <c r="N1008" s="2">
        <v>42871</v>
      </c>
      <c r="O1008" s="2">
        <v>42874</v>
      </c>
      <c r="P1008" s="133">
        <v>42915</v>
      </c>
      <c r="Q1008" s="6">
        <v>3</v>
      </c>
      <c r="R1008" s="6">
        <v>3</v>
      </c>
      <c r="S1008" s="6">
        <v>3</v>
      </c>
      <c r="T1008" s="6">
        <v>2</v>
      </c>
      <c r="U1008" s="6">
        <v>3</v>
      </c>
      <c r="V1008" s="6" t="s">
        <v>72</v>
      </c>
      <c r="W1008" s="5" t="s">
        <v>72</v>
      </c>
      <c r="X1008" s="6" t="s">
        <v>72</v>
      </c>
      <c r="Y1008" s="6" t="s">
        <v>72</v>
      </c>
      <c r="Z1008" s="6" t="s">
        <v>72</v>
      </c>
      <c r="AA1008" s="6" t="s">
        <v>72</v>
      </c>
      <c r="AB1008" s="6" t="s">
        <v>72</v>
      </c>
      <c r="AC1008" s="6" t="s">
        <v>208</v>
      </c>
    </row>
    <row r="1009" spans="1:29" x14ac:dyDescent="0.25">
      <c r="A1009" s="145" t="str">
        <f>HYPERLINK("http://www.ofsted.gov.uk/inspection-reports/find-inspection-report/provider/ELS/133873 ","Ofsted Webpage")</f>
        <v>Ofsted Webpage</v>
      </c>
      <c r="B1009" s="151">
        <v>133873</v>
      </c>
      <c r="C1009" s="151">
        <v>10004078</v>
      </c>
      <c r="D1009" s="46" t="s">
        <v>2918</v>
      </c>
      <c r="E1009" s="26" t="s">
        <v>69</v>
      </c>
      <c r="F1009" s="26" t="s">
        <v>222</v>
      </c>
      <c r="G1009" s="26" t="s">
        <v>441</v>
      </c>
      <c r="H1009" s="26" t="s">
        <v>175</v>
      </c>
      <c r="I1009" s="26" t="s">
        <v>175</v>
      </c>
      <c r="J1009" s="2" t="s">
        <v>72</v>
      </c>
      <c r="K1009" s="141" t="s">
        <v>72</v>
      </c>
      <c r="L1009" s="141" t="s">
        <v>72</v>
      </c>
      <c r="M1009" s="26" t="s">
        <v>72</v>
      </c>
      <c r="N1009" s="2" t="s">
        <v>72</v>
      </c>
      <c r="O1009" s="2" t="s">
        <v>72</v>
      </c>
      <c r="P1009" s="133" t="s">
        <v>72</v>
      </c>
      <c r="Q1009" s="6" t="s">
        <v>72</v>
      </c>
      <c r="R1009" s="6" t="s">
        <v>72</v>
      </c>
      <c r="S1009" s="6" t="s">
        <v>72</v>
      </c>
      <c r="T1009" s="6" t="s">
        <v>72</v>
      </c>
      <c r="U1009" s="6" t="s">
        <v>72</v>
      </c>
      <c r="V1009" s="6" t="s">
        <v>72</v>
      </c>
      <c r="W1009" s="5" t="s">
        <v>72</v>
      </c>
      <c r="X1009" s="6" t="s">
        <v>72</v>
      </c>
      <c r="Y1009" s="6" t="s">
        <v>72</v>
      </c>
      <c r="Z1009" s="6" t="s">
        <v>72</v>
      </c>
      <c r="AA1009" s="6" t="s">
        <v>72</v>
      </c>
      <c r="AB1009" s="6" t="s">
        <v>72</v>
      </c>
      <c r="AC1009" s="6" t="s">
        <v>72</v>
      </c>
    </row>
    <row r="1010" spans="1:29" x14ac:dyDescent="0.25">
      <c r="A1010" s="145" t="str">
        <f>HYPERLINK("http://www.ofsted.gov.uk/inspection-reports/find-inspection-report/provider/ELS/133876 ","Ofsted Webpage")</f>
        <v>Ofsted Webpage</v>
      </c>
      <c r="B1010" s="151">
        <v>133876</v>
      </c>
      <c r="C1010" s="151">
        <v>10007146</v>
      </c>
      <c r="D1010" s="46" t="s">
        <v>2935</v>
      </c>
      <c r="E1010" s="26" t="s">
        <v>69</v>
      </c>
      <c r="F1010" s="26" t="s">
        <v>222</v>
      </c>
      <c r="G1010" s="26" t="s">
        <v>174</v>
      </c>
      <c r="H1010" s="26" t="s">
        <v>175</v>
      </c>
      <c r="I1010" s="26" t="s">
        <v>175</v>
      </c>
      <c r="J1010" s="2" t="s">
        <v>72</v>
      </c>
      <c r="K1010" s="141" t="s">
        <v>72</v>
      </c>
      <c r="L1010" s="141" t="s">
        <v>72</v>
      </c>
      <c r="M1010" s="26" t="s">
        <v>72</v>
      </c>
      <c r="N1010" s="2" t="s">
        <v>72</v>
      </c>
      <c r="O1010" s="2" t="s">
        <v>72</v>
      </c>
      <c r="P1010" s="133" t="s">
        <v>72</v>
      </c>
      <c r="Q1010" s="6" t="s">
        <v>72</v>
      </c>
      <c r="R1010" s="6" t="s">
        <v>72</v>
      </c>
      <c r="S1010" s="6" t="s">
        <v>72</v>
      </c>
      <c r="T1010" s="6" t="s">
        <v>72</v>
      </c>
      <c r="U1010" s="6" t="s">
        <v>72</v>
      </c>
      <c r="V1010" s="6" t="s">
        <v>72</v>
      </c>
      <c r="W1010" s="5" t="s">
        <v>72</v>
      </c>
      <c r="X1010" s="6" t="s">
        <v>72</v>
      </c>
      <c r="Y1010" s="6" t="s">
        <v>72</v>
      </c>
      <c r="Z1010" s="6" t="s">
        <v>72</v>
      </c>
      <c r="AA1010" s="6" t="s">
        <v>72</v>
      </c>
      <c r="AB1010" s="6" t="s">
        <v>72</v>
      </c>
      <c r="AC1010" s="6" t="s">
        <v>72</v>
      </c>
    </row>
    <row r="1011" spans="1:29" x14ac:dyDescent="0.25">
      <c r="A1011" s="145" t="str">
        <f>HYPERLINK("http://www.ofsted.gov.uk/inspection-reports/find-inspection-report/provider/ELS/133878 ","Ofsted Webpage")</f>
        <v>Ofsted Webpage</v>
      </c>
      <c r="B1011" s="151">
        <v>133878</v>
      </c>
      <c r="C1011" s="151">
        <v>10006022</v>
      </c>
      <c r="D1011" s="46" t="s">
        <v>511</v>
      </c>
      <c r="E1011" s="26" t="s">
        <v>69</v>
      </c>
      <c r="F1011" s="26" t="s">
        <v>222</v>
      </c>
      <c r="G1011" s="26" t="s">
        <v>512</v>
      </c>
      <c r="H1011" s="26" t="s">
        <v>219</v>
      </c>
      <c r="I1011" s="26" t="s">
        <v>219</v>
      </c>
      <c r="J1011" s="2" t="s">
        <v>72</v>
      </c>
      <c r="K1011" s="141" t="s">
        <v>72</v>
      </c>
      <c r="L1011" s="141" t="s">
        <v>513</v>
      </c>
      <c r="M1011" s="26" t="s">
        <v>514</v>
      </c>
      <c r="N1011" s="2">
        <v>40882</v>
      </c>
      <c r="O1011" s="2">
        <v>40886</v>
      </c>
      <c r="P1011" s="133">
        <v>40926</v>
      </c>
      <c r="Q1011" s="6">
        <v>1</v>
      </c>
      <c r="R1011" s="6">
        <v>1</v>
      </c>
      <c r="S1011" s="6">
        <v>2</v>
      </c>
      <c r="T1011" s="120" t="s">
        <v>178</v>
      </c>
      <c r="U1011" s="6">
        <v>2</v>
      </c>
      <c r="V1011" s="6" t="s">
        <v>72</v>
      </c>
      <c r="W1011" s="5" t="s">
        <v>72</v>
      </c>
      <c r="X1011" s="6" t="s">
        <v>72</v>
      </c>
      <c r="Y1011" s="6" t="s">
        <v>72</v>
      </c>
      <c r="Z1011" s="6" t="s">
        <v>72</v>
      </c>
      <c r="AA1011" s="6" t="s">
        <v>72</v>
      </c>
      <c r="AB1011" s="6" t="s">
        <v>72</v>
      </c>
      <c r="AC1011" s="6" t="s">
        <v>208</v>
      </c>
    </row>
    <row r="1012" spans="1:29" x14ac:dyDescent="0.25">
      <c r="A1012" s="145" t="str">
        <f>HYPERLINK("http://www.ofsted.gov.uk/inspection-reports/find-inspection-report/provider/ELS/133880 ","Ofsted Webpage")</f>
        <v>Ofsted Webpage</v>
      </c>
      <c r="B1012" s="151">
        <v>133880</v>
      </c>
      <c r="C1012" s="151">
        <v>10003614</v>
      </c>
      <c r="D1012" s="46" t="s">
        <v>2900</v>
      </c>
      <c r="E1012" s="26" t="s">
        <v>69</v>
      </c>
      <c r="F1012" s="26" t="s">
        <v>222</v>
      </c>
      <c r="G1012" s="26" t="s">
        <v>261</v>
      </c>
      <c r="H1012" s="26" t="s">
        <v>219</v>
      </c>
      <c r="I1012" s="26" t="s">
        <v>219</v>
      </c>
      <c r="J1012" s="2" t="s">
        <v>72</v>
      </c>
      <c r="K1012" s="141" t="s">
        <v>72</v>
      </c>
      <c r="L1012" s="141" t="s">
        <v>72</v>
      </c>
      <c r="M1012" s="26" t="s">
        <v>72</v>
      </c>
      <c r="N1012" s="2" t="s">
        <v>72</v>
      </c>
      <c r="O1012" s="2" t="s">
        <v>72</v>
      </c>
      <c r="P1012" s="133" t="s">
        <v>72</v>
      </c>
      <c r="Q1012" s="6" t="s">
        <v>72</v>
      </c>
      <c r="R1012" s="6" t="s">
        <v>72</v>
      </c>
      <c r="S1012" s="6" t="s">
        <v>72</v>
      </c>
      <c r="T1012" s="6" t="s">
        <v>72</v>
      </c>
      <c r="U1012" s="6" t="s">
        <v>72</v>
      </c>
      <c r="V1012" s="6" t="s">
        <v>72</v>
      </c>
      <c r="W1012" s="5" t="s">
        <v>72</v>
      </c>
      <c r="X1012" s="6" t="s">
        <v>72</v>
      </c>
      <c r="Y1012" s="6" t="s">
        <v>72</v>
      </c>
      <c r="Z1012" s="6" t="s">
        <v>72</v>
      </c>
      <c r="AA1012" s="6" t="s">
        <v>72</v>
      </c>
      <c r="AB1012" s="6" t="s">
        <v>72</v>
      </c>
      <c r="AC1012" s="6" t="s">
        <v>72</v>
      </c>
    </row>
    <row r="1013" spans="1:29" x14ac:dyDescent="0.25">
      <c r="A1013" s="145" t="str">
        <f>HYPERLINK("http://www.ofsted.gov.uk/inspection-reports/find-inspection-report/provider/ELS/133881 ","Ofsted Webpage")</f>
        <v>Ofsted Webpage</v>
      </c>
      <c r="B1013" s="151">
        <v>133881</v>
      </c>
      <c r="C1013" s="151">
        <v>10007159</v>
      </c>
      <c r="D1013" s="46" t="s">
        <v>879</v>
      </c>
      <c r="E1013" s="26" t="s">
        <v>69</v>
      </c>
      <c r="F1013" s="26" t="s">
        <v>222</v>
      </c>
      <c r="G1013" s="26" t="s">
        <v>265</v>
      </c>
      <c r="H1013" s="26" t="s">
        <v>204</v>
      </c>
      <c r="I1013" s="26" t="s">
        <v>188</v>
      </c>
      <c r="J1013" s="2" t="s">
        <v>72</v>
      </c>
      <c r="K1013" s="141" t="s">
        <v>72</v>
      </c>
      <c r="L1013" s="141" t="s">
        <v>880</v>
      </c>
      <c r="M1013" s="26" t="s">
        <v>224</v>
      </c>
      <c r="N1013" s="2">
        <v>41702</v>
      </c>
      <c r="O1013" s="2">
        <v>41705</v>
      </c>
      <c r="P1013" s="133">
        <v>41738</v>
      </c>
      <c r="Q1013" s="6">
        <v>1</v>
      </c>
      <c r="R1013" s="6">
        <v>1</v>
      </c>
      <c r="S1013" s="6">
        <v>1</v>
      </c>
      <c r="T1013" s="120" t="s">
        <v>178</v>
      </c>
      <c r="U1013" s="6">
        <v>1</v>
      </c>
      <c r="V1013" s="6" t="s">
        <v>72</v>
      </c>
      <c r="W1013" s="5" t="s">
        <v>72</v>
      </c>
      <c r="X1013" s="6" t="s">
        <v>72</v>
      </c>
      <c r="Y1013" s="6" t="s">
        <v>72</v>
      </c>
      <c r="Z1013" s="6" t="s">
        <v>72</v>
      </c>
      <c r="AA1013" s="6" t="s">
        <v>72</v>
      </c>
      <c r="AB1013" s="6" t="s">
        <v>72</v>
      </c>
      <c r="AC1013" s="6" t="s">
        <v>208</v>
      </c>
    </row>
    <row r="1014" spans="1:29" x14ac:dyDescent="0.25">
      <c r="A1014" s="145" t="str">
        <f>HYPERLINK("http://www.ofsted.gov.uk/inspection-reports/find-inspection-report/provider/ELS/133882 ","Ofsted Webpage")</f>
        <v>Ofsted Webpage</v>
      </c>
      <c r="B1014" s="151">
        <v>133882</v>
      </c>
      <c r="C1014" s="151">
        <v>10006299</v>
      </c>
      <c r="D1014" s="46" t="s">
        <v>2932</v>
      </c>
      <c r="E1014" s="26" t="s">
        <v>69</v>
      </c>
      <c r="F1014" s="26" t="s">
        <v>222</v>
      </c>
      <c r="G1014" s="26" t="s">
        <v>254</v>
      </c>
      <c r="H1014" s="26" t="s">
        <v>193</v>
      </c>
      <c r="I1014" s="26" t="s">
        <v>193</v>
      </c>
      <c r="J1014" s="2" t="s">
        <v>72</v>
      </c>
      <c r="K1014" s="141" t="s">
        <v>72</v>
      </c>
      <c r="L1014" s="141" t="s">
        <v>72</v>
      </c>
      <c r="M1014" s="26" t="s">
        <v>72</v>
      </c>
      <c r="N1014" s="2" t="s">
        <v>72</v>
      </c>
      <c r="O1014" s="2" t="s">
        <v>72</v>
      </c>
      <c r="P1014" s="133" t="s">
        <v>72</v>
      </c>
      <c r="Q1014" s="6" t="s">
        <v>72</v>
      </c>
      <c r="R1014" s="6" t="s">
        <v>72</v>
      </c>
      <c r="S1014" s="6" t="s">
        <v>72</v>
      </c>
      <c r="T1014" s="6" t="s">
        <v>72</v>
      </c>
      <c r="U1014" s="6" t="s">
        <v>72</v>
      </c>
      <c r="V1014" s="6" t="s">
        <v>72</v>
      </c>
      <c r="W1014" s="5" t="s">
        <v>72</v>
      </c>
      <c r="X1014" s="6" t="s">
        <v>72</v>
      </c>
      <c r="Y1014" s="6" t="s">
        <v>72</v>
      </c>
      <c r="Z1014" s="6" t="s">
        <v>72</v>
      </c>
      <c r="AA1014" s="6" t="s">
        <v>72</v>
      </c>
      <c r="AB1014" s="6" t="s">
        <v>72</v>
      </c>
      <c r="AC1014" s="6" t="s">
        <v>72</v>
      </c>
    </row>
    <row r="1015" spans="1:29" x14ac:dyDescent="0.25">
      <c r="A1015" s="145" t="str">
        <f>HYPERLINK("http://www.ofsted.gov.uk/inspection-reports/find-inspection-report/provider/ELS/133891 ","Ofsted Webpage")</f>
        <v>Ofsted Webpage</v>
      </c>
      <c r="B1015" s="152">
        <v>133891</v>
      </c>
      <c r="C1015" s="152">
        <v>10040812</v>
      </c>
      <c r="D1015" s="117" t="s">
        <v>280</v>
      </c>
      <c r="E1015" s="118" t="s">
        <v>69</v>
      </c>
      <c r="F1015" s="118" t="s">
        <v>222</v>
      </c>
      <c r="G1015" s="118" t="s">
        <v>281</v>
      </c>
      <c r="H1015" s="118" t="s">
        <v>193</v>
      </c>
      <c r="I1015" s="118" t="s">
        <v>193</v>
      </c>
      <c r="J1015" s="119" t="s">
        <v>72</v>
      </c>
      <c r="K1015" s="132" t="s">
        <v>72</v>
      </c>
      <c r="L1015" s="132" t="s">
        <v>72</v>
      </c>
      <c r="M1015" s="118" t="s">
        <v>72</v>
      </c>
      <c r="N1015" s="119" t="s">
        <v>72</v>
      </c>
      <c r="O1015" s="119" t="s">
        <v>72</v>
      </c>
      <c r="P1015" s="133" t="s">
        <v>72</v>
      </c>
      <c r="Q1015" s="120" t="s">
        <v>72</v>
      </c>
      <c r="R1015" s="120" t="s">
        <v>72</v>
      </c>
      <c r="S1015" s="120" t="s">
        <v>72</v>
      </c>
      <c r="T1015" s="120" t="s">
        <v>72</v>
      </c>
      <c r="U1015" s="120" t="s">
        <v>72</v>
      </c>
      <c r="V1015" s="120" t="s">
        <v>72</v>
      </c>
      <c r="W1015" s="121" t="s">
        <v>72</v>
      </c>
      <c r="X1015" s="120" t="s">
        <v>72</v>
      </c>
      <c r="Y1015" s="120" t="s">
        <v>72</v>
      </c>
      <c r="Z1015" s="120" t="s">
        <v>72</v>
      </c>
      <c r="AA1015" s="120" t="s">
        <v>72</v>
      </c>
      <c r="AB1015" s="120" t="s">
        <v>72</v>
      </c>
      <c r="AC1015" s="120" t="s">
        <v>72</v>
      </c>
    </row>
    <row r="1016" spans="1:29" x14ac:dyDescent="0.25">
      <c r="A1016" s="145" t="str">
        <f>HYPERLINK("http://www.ofsted.gov.uk/inspection-reports/find-inspection-report/provider/ELS/133894 ","Ofsted Webpage")</f>
        <v>Ofsted Webpage</v>
      </c>
      <c r="B1016" s="151">
        <v>133894</v>
      </c>
      <c r="C1016" s="151">
        <v>10007161</v>
      </c>
      <c r="D1016" s="46" t="s">
        <v>2933</v>
      </c>
      <c r="E1016" s="26" t="s">
        <v>69</v>
      </c>
      <c r="F1016" s="26" t="s">
        <v>222</v>
      </c>
      <c r="G1016" s="26" t="s">
        <v>310</v>
      </c>
      <c r="H1016" s="26" t="s">
        <v>204</v>
      </c>
      <c r="I1016" s="26" t="s">
        <v>188</v>
      </c>
      <c r="J1016" s="2" t="s">
        <v>72</v>
      </c>
      <c r="K1016" s="141" t="s">
        <v>72</v>
      </c>
      <c r="L1016" s="141" t="s">
        <v>72</v>
      </c>
      <c r="M1016" s="26" t="s">
        <v>72</v>
      </c>
      <c r="N1016" s="2" t="s">
        <v>72</v>
      </c>
      <c r="O1016" s="2" t="s">
        <v>72</v>
      </c>
      <c r="P1016" s="133" t="s">
        <v>72</v>
      </c>
      <c r="Q1016" s="6" t="s">
        <v>72</v>
      </c>
      <c r="R1016" s="6" t="s">
        <v>72</v>
      </c>
      <c r="S1016" s="6" t="s">
        <v>72</v>
      </c>
      <c r="T1016" s="6" t="s">
        <v>72</v>
      </c>
      <c r="U1016" s="6" t="s">
        <v>72</v>
      </c>
      <c r="V1016" s="6" t="s">
        <v>72</v>
      </c>
      <c r="W1016" s="5" t="s">
        <v>72</v>
      </c>
      <c r="X1016" s="6" t="s">
        <v>72</v>
      </c>
      <c r="Y1016" s="6" t="s">
        <v>72</v>
      </c>
      <c r="Z1016" s="6" t="s">
        <v>72</v>
      </c>
      <c r="AA1016" s="6" t="s">
        <v>72</v>
      </c>
      <c r="AB1016" s="6" t="s">
        <v>72</v>
      </c>
      <c r="AC1016" s="6" t="s">
        <v>72</v>
      </c>
    </row>
    <row r="1017" spans="1:29" x14ac:dyDescent="0.25">
      <c r="A1017" s="145" t="str">
        <f>HYPERLINK("http://www.ofsted.gov.uk/inspection-reports/find-inspection-report/provider/ELS/133900 ","Ofsted Webpage")</f>
        <v>Ofsted Webpage</v>
      </c>
      <c r="B1017" s="151">
        <v>133900</v>
      </c>
      <c r="C1017" s="151">
        <v>10007162</v>
      </c>
      <c r="D1017" s="46" t="s">
        <v>881</v>
      </c>
      <c r="E1017" s="26" t="s">
        <v>69</v>
      </c>
      <c r="F1017" s="26" t="s">
        <v>222</v>
      </c>
      <c r="G1017" s="26" t="s">
        <v>329</v>
      </c>
      <c r="H1017" s="26" t="s">
        <v>175</v>
      </c>
      <c r="I1017" s="26" t="s">
        <v>175</v>
      </c>
      <c r="J1017" s="2" t="s">
        <v>72</v>
      </c>
      <c r="K1017" s="141" t="s">
        <v>72</v>
      </c>
      <c r="L1017" s="141">
        <v>10022558</v>
      </c>
      <c r="M1017" s="26" t="s">
        <v>224</v>
      </c>
      <c r="N1017" s="2">
        <v>42767</v>
      </c>
      <c r="O1017" s="2">
        <v>42794</v>
      </c>
      <c r="P1017" s="133">
        <v>42823</v>
      </c>
      <c r="Q1017" s="6">
        <v>1</v>
      </c>
      <c r="R1017" s="6">
        <v>1</v>
      </c>
      <c r="S1017" s="6">
        <v>1</v>
      </c>
      <c r="T1017" s="6">
        <v>1</v>
      </c>
      <c r="U1017" s="6">
        <v>1</v>
      </c>
      <c r="V1017" s="6" t="s">
        <v>882</v>
      </c>
      <c r="W1017" s="5">
        <v>40935</v>
      </c>
      <c r="X1017" s="6">
        <v>2</v>
      </c>
      <c r="Y1017" s="6">
        <v>2</v>
      </c>
      <c r="Z1017" s="6">
        <v>2</v>
      </c>
      <c r="AA1017" s="6" t="s">
        <v>178</v>
      </c>
      <c r="AB1017" s="6">
        <v>2</v>
      </c>
      <c r="AC1017" s="6" t="s">
        <v>216</v>
      </c>
    </row>
    <row r="1018" spans="1:29" x14ac:dyDescent="0.25">
      <c r="A1018" s="145" t="str">
        <f>HYPERLINK("http://www.ofsted.gov.uk/inspection-reports/find-inspection-report/provider/ELS/133901 ","Ofsted Webpage")</f>
        <v>Ofsted Webpage</v>
      </c>
      <c r="B1018" s="151">
        <v>133901</v>
      </c>
      <c r="C1018" s="151">
        <v>10006566</v>
      </c>
      <c r="D1018" s="46" t="s">
        <v>883</v>
      </c>
      <c r="E1018" s="26" t="s">
        <v>69</v>
      </c>
      <c r="F1018" s="26" t="s">
        <v>222</v>
      </c>
      <c r="G1018" s="26" t="s">
        <v>884</v>
      </c>
      <c r="H1018" s="26" t="s">
        <v>175</v>
      </c>
      <c r="I1018" s="26" t="s">
        <v>175</v>
      </c>
      <c r="J1018" s="2" t="s">
        <v>72</v>
      </c>
      <c r="K1018" s="141" t="s">
        <v>72</v>
      </c>
      <c r="L1018" s="141" t="s">
        <v>885</v>
      </c>
      <c r="M1018" s="26" t="s">
        <v>224</v>
      </c>
      <c r="N1018" s="2">
        <v>41618</v>
      </c>
      <c r="O1018" s="2">
        <v>41621</v>
      </c>
      <c r="P1018" s="133">
        <v>41659</v>
      </c>
      <c r="Q1018" s="6">
        <v>1</v>
      </c>
      <c r="R1018" s="6">
        <v>1</v>
      </c>
      <c r="S1018" s="6">
        <v>1</v>
      </c>
      <c r="T1018" s="120" t="s">
        <v>178</v>
      </c>
      <c r="U1018" s="6">
        <v>1</v>
      </c>
      <c r="V1018" s="6" t="s">
        <v>886</v>
      </c>
      <c r="W1018" s="5">
        <v>40214</v>
      </c>
      <c r="X1018" s="6">
        <v>3</v>
      </c>
      <c r="Y1018" s="6">
        <v>3</v>
      </c>
      <c r="Z1018" s="6">
        <v>3</v>
      </c>
      <c r="AA1018" s="6" t="s">
        <v>178</v>
      </c>
      <c r="AB1018" s="6">
        <v>3</v>
      </c>
      <c r="AC1018" s="6" t="s">
        <v>216</v>
      </c>
    </row>
    <row r="1019" spans="1:29" x14ac:dyDescent="0.25">
      <c r="A1019" s="145" t="str">
        <f>HYPERLINK("http://www.ofsted.gov.uk/inspection-reports/find-inspection-report/provider/ELS/133911 ","Ofsted Webpage")</f>
        <v>Ofsted Webpage</v>
      </c>
      <c r="B1019" s="151">
        <v>133911</v>
      </c>
      <c r="C1019" s="151">
        <v>10007139</v>
      </c>
      <c r="D1019" s="46" t="s">
        <v>2907</v>
      </c>
      <c r="E1019" s="26" t="s">
        <v>69</v>
      </c>
      <c r="F1019" s="26" t="s">
        <v>222</v>
      </c>
      <c r="G1019" s="26" t="s">
        <v>327</v>
      </c>
      <c r="H1019" s="26" t="s">
        <v>193</v>
      </c>
      <c r="I1019" s="26" t="s">
        <v>193</v>
      </c>
      <c r="J1019" s="2" t="s">
        <v>72</v>
      </c>
      <c r="K1019" s="141" t="s">
        <v>72</v>
      </c>
      <c r="L1019" s="141" t="s">
        <v>72</v>
      </c>
      <c r="M1019" s="26" t="s">
        <v>72</v>
      </c>
      <c r="N1019" s="2" t="s">
        <v>72</v>
      </c>
      <c r="O1019" s="2" t="s">
        <v>72</v>
      </c>
      <c r="P1019" s="133" t="s">
        <v>72</v>
      </c>
      <c r="Q1019" s="6" t="s">
        <v>72</v>
      </c>
      <c r="R1019" s="6" t="s">
        <v>72</v>
      </c>
      <c r="S1019" s="6" t="s">
        <v>72</v>
      </c>
      <c r="T1019" s="6" t="s">
        <v>72</v>
      </c>
      <c r="U1019" s="6" t="s">
        <v>72</v>
      </c>
      <c r="V1019" s="6" t="s">
        <v>72</v>
      </c>
      <c r="W1019" s="5" t="s">
        <v>72</v>
      </c>
      <c r="X1019" s="6" t="s">
        <v>72</v>
      </c>
      <c r="Y1019" s="6" t="s">
        <v>72</v>
      </c>
      <c r="Z1019" s="6" t="s">
        <v>72</v>
      </c>
      <c r="AA1019" s="6" t="s">
        <v>72</v>
      </c>
      <c r="AB1019" s="6" t="s">
        <v>72</v>
      </c>
      <c r="AC1019" s="6" t="s">
        <v>72</v>
      </c>
    </row>
    <row r="1020" spans="1:29" x14ac:dyDescent="0.25">
      <c r="A1020" s="145" t="str">
        <f>HYPERLINK("http://www.ofsted.gov.uk/inspection-reports/find-inspection-report/provider/ELS/133912 ","Ofsted Webpage")</f>
        <v>Ofsted Webpage</v>
      </c>
      <c r="B1020" s="151">
        <v>133912</v>
      </c>
      <c r="C1020" s="151">
        <v>10007166</v>
      </c>
      <c r="D1020" s="46" t="s">
        <v>2906</v>
      </c>
      <c r="E1020" s="26" t="s">
        <v>69</v>
      </c>
      <c r="F1020" s="26" t="s">
        <v>222</v>
      </c>
      <c r="G1020" s="26" t="s">
        <v>565</v>
      </c>
      <c r="H1020" s="26" t="s">
        <v>193</v>
      </c>
      <c r="I1020" s="26" t="s">
        <v>193</v>
      </c>
      <c r="J1020" s="2" t="s">
        <v>72</v>
      </c>
      <c r="K1020" s="141" t="s">
        <v>72</v>
      </c>
      <c r="L1020" s="141" t="s">
        <v>72</v>
      </c>
      <c r="M1020" s="26" t="s">
        <v>72</v>
      </c>
      <c r="N1020" s="2" t="s">
        <v>72</v>
      </c>
      <c r="O1020" s="2" t="s">
        <v>72</v>
      </c>
      <c r="P1020" s="133" t="s">
        <v>72</v>
      </c>
      <c r="Q1020" s="6" t="s">
        <v>72</v>
      </c>
      <c r="R1020" s="6" t="s">
        <v>72</v>
      </c>
      <c r="S1020" s="6" t="s">
        <v>72</v>
      </c>
      <c r="T1020" s="6" t="s">
        <v>72</v>
      </c>
      <c r="U1020" s="6" t="s">
        <v>72</v>
      </c>
      <c r="V1020" s="6" t="s">
        <v>72</v>
      </c>
      <c r="W1020" s="5" t="s">
        <v>72</v>
      </c>
      <c r="X1020" s="6" t="s">
        <v>72</v>
      </c>
      <c r="Y1020" s="6" t="s">
        <v>72</v>
      </c>
      <c r="Z1020" s="6" t="s">
        <v>72</v>
      </c>
      <c r="AA1020" s="6" t="s">
        <v>72</v>
      </c>
      <c r="AB1020" s="6" t="s">
        <v>72</v>
      </c>
      <c r="AC1020" s="6" t="s">
        <v>72</v>
      </c>
    </row>
    <row r="1021" spans="1:29" x14ac:dyDescent="0.25">
      <c r="A1021" s="145" t="str">
        <f>HYPERLINK("http://www.ofsted.gov.uk/inspection-reports/find-inspection-report/provider/ELS/134143 ","Ofsted Webpage")</f>
        <v>Ofsted Webpage</v>
      </c>
      <c r="B1021" s="151">
        <v>134143</v>
      </c>
      <c r="C1021" s="151">
        <v>10000872</v>
      </c>
      <c r="D1021" s="46" t="s">
        <v>1111</v>
      </c>
      <c r="E1021" s="26" t="s">
        <v>70</v>
      </c>
      <c r="F1021" s="26" t="s">
        <v>71</v>
      </c>
      <c r="G1021" s="26" t="s">
        <v>348</v>
      </c>
      <c r="H1021" s="26" t="s">
        <v>238</v>
      </c>
      <c r="I1021" s="26" t="s">
        <v>238</v>
      </c>
      <c r="J1021" s="2">
        <v>42796</v>
      </c>
      <c r="K1021" s="141">
        <v>1</v>
      </c>
      <c r="L1021" s="141" t="s">
        <v>1112</v>
      </c>
      <c r="M1021" s="26" t="s">
        <v>270</v>
      </c>
      <c r="N1021" s="2">
        <v>41535</v>
      </c>
      <c r="O1021" s="2">
        <v>41537</v>
      </c>
      <c r="P1021" s="133">
        <v>41569</v>
      </c>
      <c r="Q1021" s="6">
        <v>2</v>
      </c>
      <c r="R1021" s="6">
        <v>2</v>
      </c>
      <c r="S1021" s="6">
        <v>2</v>
      </c>
      <c r="T1021" s="120" t="s">
        <v>178</v>
      </c>
      <c r="U1021" s="6">
        <v>2</v>
      </c>
      <c r="V1021" s="6" t="s">
        <v>1113</v>
      </c>
      <c r="W1021" s="5">
        <v>39464</v>
      </c>
      <c r="X1021" s="6">
        <v>2</v>
      </c>
      <c r="Y1021" s="6">
        <v>2</v>
      </c>
      <c r="Z1021" s="6">
        <v>2</v>
      </c>
      <c r="AA1021" s="6" t="s">
        <v>178</v>
      </c>
      <c r="AB1021" s="6">
        <v>2</v>
      </c>
      <c r="AC1021" s="6" t="s">
        <v>180</v>
      </c>
    </row>
    <row r="1022" spans="1:29" x14ac:dyDescent="0.25">
      <c r="A1022" s="145" t="str">
        <f>HYPERLINK("http://www.ofsted.gov.uk/inspection-reports/find-inspection-report/provider/ELS/134153 ","Ofsted Webpage")</f>
        <v>Ofsted Webpage</v>
      </c>
      <c r="B1022" s="151">
        <v>134153</v>
      </c>
      <c r="C1022" s="151">
        <v>10004927</v>
      </c>
      <c r="D1022" s="46" t="s">
        <v>2123</v>
      </c>
      <c r="E1022" s="26" t="s">
        <v>81</v>
      </c>
      <c r="F1022" s="26" t="s">
        <v>82</v>
      </c>
      <c r="G1022" s="26" t="s">
        <v>590</v>
      </c>
      <c r="H1022" s="26" t="s">
        <v>219</v>
      </c>
      <c r="I1022" s="26" t="s">
        <v>219</v>
      </c>
      <c r="J1022" s="2" t="s">
        <v>72</v>
      </c>
      <c r="K1022" s="141" t="s">
        <v>72</v>
      </c>
      <c r="L1022" s="141" t="s">
        <v>2124</v>
      </c>
      <c r="M1022" s="26" t="s">
        <v>194</v>
      </c>
      <c r="N1022" s="2">
        <v>41617</v>
      </c>
      <c r="O1022" s="2">
        <v>41621</v>
      </c>
      <c r="P1022" s="133">
        <v>41661</v>
      </c>
      <c r="Q1022" s="6">
        <v>2</v>
      </c>
      <c r="R1022" s="6">
        <v>3</v>
      </c>
      <c r="S1022" s="6">
        <v>2</v>
      </c>
      <c r="T1022" s="120" t="s">
        <v>178</v>
      </c>
      <c r="U1022" s="6">
        <v>2</v>
      </c>
      <c r="V1022" s="6" t="s">
        <v>2125</v>
      </c>
      <c r="W1022" s="5">
        <v>39738</v>
      </c>
      <c r="X1022" s="6">
        <v>2</v>
      </c>
      <c r="Y1022" s="6">
        <v>2</v>
      </c>
      <c r="Z1022" s="6">
        <v>2</v>
      </c>
      <c r="AA1022" s="6" t="s">
        <v>178</v>
      </c>
      <c r="AB1022" s="6">
        <v>2</v>
      </c>
      <c r="AC1022" s="6" t="s">
        <v>180</v>
      </c>
    </row>
    <row r="1023" spans="1:29" x14ac:dyDescent="0.25">
      <c r="A1023" s="145" t="str">
        <f>HYPERLINK("http://www.ofsted.gov.uk/inspection-reports/find-inspection-report/provider/ELS/135398 ","Ofsted Webpage")</f>
        <v>Ofsted Webpage</v>
      </c>
      <c r="B1023" s="151">
        <v>135398</v>
      </c>
      <c r="C1023" s="151">
        <v>10007842</v>
      </c>
      <c r="D1023" s="46" t="s">
        <v>2910</v>
      </c>
      <c r="E1023" s="26" t="s">
        <v>69</v>
      </c>
      <c r="F1023" s="26" t="s">
        <v>222</v>
      </c>
      <c r="G1023" s="26" t="s">
        <v>687</v>
      </c>
      <c r="H1023" s="26" t="s">
        <v>238</v>
      </c>
      <c r="I1023" s="26" t="s">
        <v>238</v>
      </c>
      <c r="J1023" s="2" t="s">
        <v>72</v>
      </c>
      <c r="K1023" s="141" t="s">
        <v>72</v>
      </c>
      <c r="L1023" s="141" t="s">
        <v>2911</v>
      </c>
      <c r="M1023" s="26" t="s">
        <v>2912</v>
      </c>
      <c r="N1023" s="2">
        <v>40287</v>
      </c>
      <c r="O1023" s="2">
        <v>40291</v>
      </c>
      <c r="P1023" s="133">
        <v>40339</v>
      </c>
      <c r="Q1023" s="6">
        <v>3</v>
      </c>
      <c r="R1023" s="6">
        <v>3</v>
      </c>
      <c r="S1023" s="6">
        <v>3</v>
      </c>
      <c r="T1023" s="120" t="s">
        <v>178</v>
      </c>
      <c r="U1023" s="6">
        <v>3</v>
      </c>
      <c r="V1023" s="6" t="s">
        <v>2913</v>
      </c>
      <c r="W1023" s="5">
        <v>39850</v>
      </c>
      <c r="X1023" s="6">
        <v>4</v>
      </c>
      <c r="Y1023" s="6">
        <v>4</v>
      </c>
      <c r="Z1023" s="6">
        <v>4</v>
      </c>
      <c r="AA1023" s="6" t="s">
        <v>178</v>
      </c>
      <c r="AB1023" s="6">
        <v>4</v>
      </c>
      <c r="AC1023" s="6" t="s">
        <v>216</v>
      </c>
    </row>
    <row r="1024" spans="1:29" x14ac:dyDescent="0.25">
      <c r="A1024" s="145" t="str">
        <f>HYPERLINK("http://www.ofsted.gov.uk/inspection-reports/find-inspection-report/provider/ELS/135524 ","Ofsted Webpage")</f>
        <v>Ofsted Webpage</v>
      </c>
      <c r="B1024" s="151">
        <v>135524</v>
      </c>
      <c r="C1024" s="151">
        <v>10023139</v>
      </c>
      <c r="D1024" s="46" t="s">
        <v>2126</v>
      </c>
      <c r="E1024" s="26" t="s">
        <v>81</v>
      </c>
      <c r="F1024" s="26" t="s">
        <v>82</v>
      </c>
      <c r="G1024" s="26" t="s">
        <v>348</v>
      </c>
      <c r="H1024" s="26" t="s">
        <v>238</v>
      </c>
      <c r="I1024" s="26" t="s">
        <v>238</v>
      </c>
      <c r="J1024" s="2" t="s">
        <v>72</v>
      </c>
      <c r="K1024" s="141" t="s">
        <v>72</v>
      </c>
      <c r="L1024" s="141">
        <v>10022615</v>
      </c>
      <c r="M1024" s="26" t="s">
        <v>194</v>
      </c>
      <c r="N1024" s="2">
        <v>42801</v>
      </c>
      <c r="O1024" s="2">
        <v>42804</v>
      </c>
      <c r="P1024" s="119">
        <v>42846</v>
      </c>
      <c r="Q1024" s="6">
        <v>3</v>
      </c>
      <c r="R1024" s="6">
        <v>3</v>
      </c>
      <c r="S1024" s="6">
        <v>3</v>
      </c>
      <c r="T1024" s="6">
        <v>3</v>
      </c>
      <c r="U1024" s="6">
        <v>3</v>
      </c>
      <c r="V1024" s="6" t="s">
        <v>2127</v>
      </c>
      <c r="W1024" s="5">
        <v>41775</v>
      </c>
      <c r="X1024" s="6">
        <v>2</v>
      </c>
      <c r="Y1024" s="6">
        <v>2</v>
      </c>
      <c r="Z1024" s="6">
        <v>2</v>
      </c>
      <c r="AA1024" s="6" t="s">
        <v>178</v>
      </c>
      <c r="AB1024" s="6">
        <v>2</v>
      </c>
      <c r="AC1024" s="6" t="s">
        <v>201</v>
      </c>
    </row>
    <row r="1025" spans="1:29" x14ac:dyDescent="0.25">
      <c r="A1025" s="145" t="str">
        <f>HYPERLINK("http://www.ofsted.gov.uk/inspection-reports/find-inspection-report/provider/ELS/135658 ","Ofsted Webpage")</f>
        <v>Ofsted Webpage</v>
      </c>
      <c r="B1025" s="151">
        <v>135658</v>
      </c>
      <c r="C1025" s="151">
        <v>10023526</v>
      </c>
      <c r="D1025" s="46" t="s">
        <v>2128</v>
      </c>
      <c r="E1025" s="26" t="s">
        <v>81</v>
      </c>
      <c r="F1025" s="26" t="s">
        <v>82</v>
      </c>
      <c r="G1025" s="26" t="s">
        <v>254</v>
      </c>
      <c r="H1025" s="26" t="s">
        <v>193</v>
      </c>
      <c r="I1025" s="26" t="s">
        <v>193</v>
      </c>
      <c r="J1025" s="2" t="s">
        <v>72</v>
      </c>
      <c r="K1025" s="141" t="s">
        <v>72</v>
      </c>
      <c r="L1025" s="141">
        <v>10020086</v>
      </c>
      <c r="M1025" s="26" t="s">
        <v>194</v>
      </c>
      <c r="N1025" s="2">
        <v>42696</v>
      </c>
      <c r="O1025" s="2">
        <v>42699</v>
      </c>
      <c r="P1025" s="119">
        <v>42744</v>
      </c>
      <c r="Q1025" s="6">
        <v>3</v>
      </c>
      <c r="R1025" s="6">
        <v>3</v>
      </c>
      <c r="S1025" s="6">
        <v>3</v>
      </c>
      <c r="T1025" s="6">
        <v>3</v>
      </c>
      <c r="U1025" s="6">
        <v>3</v>
      </c>
      <c r="V1025" s="6" t="s">
        <v>2129</v>
      </c>
      <c r="W1025" s="5">
        <v>41383</v>
      </c>
      <c r="X1025" s="6">
        <v>2</v>
      </c>
      <c r="Y1025" s="6">
        <v>3</v>
      </c>
      <c r="Z1025" s="6">
        <v>2</v>
      </c>
      <c r="AA1025" s="6" t="s">
        <v>178</v>
      </c>
      <c r="AB1025" s="6">
        <v>2</v>
      </c>
      <c r="AC1025" s="6" t="s">
        <v>201</v>
      </c>
    </row>
    <row r="1026" spans="1:29" x14ac:dyDescent="0.25">
      <c r="A1026" s="145" t="str">
        <f>HYPERLINK("http://www.ofsted.gov.uk/inspection-reports/find-inspection-report/provider/ELS/135771 ","Ofsted Webpage")</f>
        <v>Ofsted Webpage</v>
      </c>
      <c r="B1026" s="151">
        <v>135771</v>
      </c>
      <c r="C1026" s="151">
        <v>10024962</v>
      </c>
      <c r="D1026" s="46" t="s">
        <v>2130</v>
      </c>
      <c r="E1026" s="26" t="s">
        <v>81</v>
      </c>
      <c r="F1026" s="26" t="s">
        <v>82</v>
      </c>
      <c r="G1026" s="26" t="s">
        <v>474</v>
      </c>
      <c r="H1026" s="26" t="s">
        <v>187</v>
      </c>
      <c r="I1026" s="26" t="s">
        <v>188</v>
      </c>
      <c r="J1026" s="2" t="s">
        <v>72</v>
      </c>
      <c r="K1026" s="141" t="s">
        <v>72</v>
      </c>
      <c r="L1026" s="141">
        <v>10011459</v>
      </c>
      <c r="M1026" s="26" t="s">
        <v>194</v>
      </c>
      <c r="N1026" s="2">
        <v>42409</v>
      </c>
      <c r="O1026" s="2">
        <v>42412</v>
      </c>
      <c r="P1026" s="133">
        <v>42438</v>
      </c>
      <c r="Q1026" s="6">
        <v>3</v>
      </c>
      <c r="R1026" s="6">
        <v>3</v>
      </c>
      <c r="S1026" s="6">
        <v>3</v>
      </c>
      <c r="T1026" s="6">
        <v>3</v>
      </c>
      <c r="U1026" s="6">
        <v>3</v>
      </c>
      <c r="V1026" s="6" t="s">
        <v>2131</v>
      </c>
      <c r="W1026" s="5">
        <v>41047</v>
      </c>
      <c r="X1026" s="6">
        <v>2</v>
      </c>
      <c r="Y1026" s="6">
        <v>3</v>
      </c>
      <c r="Z1026" s="6">
        <v>2</v>
      </c>
      <c r="AA1026" s="6" t="s">
        <v>178</v>
      </c>
      <c r="AB1026" s="6">
        <v>2</v>
      </c>
      <c r="AC1026" s="6" t="s">
        <v>201</v>
      </c>
    </row>
    <row r="1027" spans="1:29" x14ac:dyDescent="0.25">
      <c r="A1027" s="145" t="str">
        <f>HYPERLINK("http://www.ofsted.gov.uk/inspection-reports/find-inspection-report/provider/ELS/136255 ","Ofsted Webpage")</f>
        <v>Ofsted Webpage</v>
      </c>
      <c r="B1027" s="151">
        <v>136255</v>
      </c>
      <c r="C1027" s="151">
        <v>10029916</v>
      </c>
      <c r="D1027" s="46" t="s">
        <v>1766</v>
      </c>
      <c r="E1027" s="26" t="s">
        <v>83</v>
      </c>
      <c r="F1027" s="26" t="s">
        <v>82</v>
      </c>
      <c r="G1027" s="26" t="s">
        <v>419</v>
      </c>
      <c r="H1027" s="26" t="s">
        <v>287</v>
      </c>
      <c r="I1027" s="26" t="s">
        <v>287</v>
      </c>
      <c r="J1027" s="2" t="s">
        <v>72</v>
      </c>
      <c r="K1027" s="141" t="s">
        <v>72</v>
      </c>
      <c r="L1027" s="141" t="s">
        <v>1767</v>
      </c>
      <c r="M1027" s="26" t="s">
        <v>228</v>
      </c>
      <c r="N1027" s="2">
        <v>42122</v>
      </c>
      <c r="O1027" s="2">
        <v>42125</v>
      </c>
      <c r="P1027" s="133">
        <v>42158</v>
      </c>
      <c r="Q1027" s="6">
        <v>2</v>
      </c>
      <c r="R1027" s="6">
        <v>2</v>
      </c>
      <c r="S1027" s="6">
        <v>2</v>
      </c>
      <c r="T1027" s="120" t="s">
        <v>178</v>
      </c>
      <c r="U1027" s="6">
        <v>2</v>
      </c>
      <c r="V1027" s="6" t="s">
        <v>1768</v>
      </c>
      <c r="W1027" s="5">
        <v>41670</v>
      </c>
      <c r="X1027" s="6">
        <v>3</v>
      </c>
      <c r="Y1027" s="6">
        <v>3</v>
      </c>
      <c r="Z1027" s="6">
        <v>3</v>
      </c>
      <c r="AA1027" s="6" t="s">
        <v>178</v>
      </c>
      <c r="AB1027" s="6">
        <v>3</v>
      </c>
      <c r="AC1027" s="6" t="s">
        <v>216</v>
      </c>
    </row>
    <row r="1028" spans="1:29" x14ac:dyDescent="0.25">
      <c r="A1028" s="145" t="str">
        <f>HYPERLINK("http://www.ofsted.gov.uk/inspection-reports/find-inspection-report/provider/ELS/138262 ","Ofsted Webpage")</f>
        <v>Ofsted Webpage</v>
      </c>
      <c r="B1028" s="151">
        <v>138262</v>
      </c>
      <c r="C1028" s="151">
        <v>10037669</v>
      </c>
      <c r="D1028" s="46" t="s">
        <v>796</v>
      </c>
      <c r="E1028" s="26" t="s">
        <v>73</v>
      </c>
      <c r="F1028" s="26" t="s">
        <v>74</v>
      </c>
      <c r="G1028" s="26" t="s">
        <v>336</v>
      </c>
      <c r="H1028" s="26" t="s">
        <v>175</v>
      </c>
      <c r="I1028" s="26" t="s">
        <v>175</v>
      </c>
      <c r="J1028" s="2" t="s">
        <v>72</v>
      </c>
      <c r="K1028" s="141" t="s">
        <v>72</v>
      </c>
      <c r="L1028" s="141" t="s">
        <v>797</v>
      </c>
      <c r="M1028" s="26" t="s">
        <v>284</v>
      </c>
      <c r="N1028" s="2">
        <v>41765</v>
      </c>
      <c r="O1028" s="2">
        <v>41768</v>
      </c>
      <c r="P1028" s="133">
        <v>41806</v>
      </c>
      <c r="Q1028" s="6">
        <v>1</v>
      </c>
      <c r="R1028" s="6">
        <v>1</v>
      </c>
      <c r="S1028" s="6">
        <v>1</v>
      </c>
      <c r="T1028" s="120" t="s">
        <v>178</v>
      </c>
      <c r="U1028" s="6">
        <v>1</v>
      </c>
      <c r="V1028" s="6" t="s">
        <v>72</v>
      </c>
      <c r="W1028" s="5" t="s">
        <v>72</v>
      </c>
      <c r="X1028" s="6" t="s">
        <v>72</v>
      </c>
      <c r="Y1028" s="6" t="s">
        <v>72</v>
      </c>
      <c r="Z1028" s="6" t="s">
        <v>72</v>
      </c>
      <c r="AA1028" s="6" t="s">
        <v>72</v>
      </c>
      <c r="AB1028" s="6" t="s">
        <v>72</v>
      </c>
      <c r="AC1028" s="6" t="s">
        <v>208</v>
      </c>
    </row>
    <row r="1029" spans="1:29" x14ac:dyDescent="0.25">
      <c r="A1029" s="145" t="str">
        <f>HYPERLINK("http://www.ofsted.gov.uk/inspection-reports/find-inspection-report/provider/ELS/138403 ","Ofsted Webpage")</f>
        <v>Ofsted Webpage</v>
      </c>
      <c r="B1029" s="151">
        <v>138403</v>
      </c>
      <c r="C1029" s="151">
        <v>10037983</v>
      </c>
      <c r="D1029" s="46" t="s">
        <v>290</v>
      </c>
      <c r="E1029" s="26" t="s">
        <v>73</v>
      </c>
      <c r="F1029" s="26" t="s">
        <v>74</v>
      </c>
      <c r="G1029" s="26" t="s">
        <v>291</v>
      </c>
      <c r="H1029" s="26" t="s">
        <v>175</v>
      </c>
      <c r="I1029" s="26" t="s">
        <v>175</v>
      </c>
      <c r="J1029" s="2" t="s">
        <v>72</v>
      </c>
      <c r="K1029" s="141" t="s">
        <v>72</v>
      </c>
      <c r="L1029" s="141">
        <v>10022552</v>
      </c>
      <c r="M1029" s="26" t="s">
        <v>284</v>
      </c>
      <c r="N1029" s="2">
        <v>43012</v>
      </c>
      <c r="O1029" s="2">
        <v>43019</v>
      </c>
      <c r="P1029" s="133">
        <v>43061</v>
      </c>
      <c r="Q1029" s="6">
        <v>1</v>
      </c>
      <c r="R1029" s="6">
        <v>1</v>
      </c>
      <c r="S1029" s="6">
        <v>1</v>
      </c>
      <c r="T1029" s="6">
        <v>1</v>
      </c>
      <c r="U1029" s="6">
        <v>1</v>
      </c>
      <c r="V1029" s="6" t="s">
        <v>292</v>
      </c>
      <c r="W1029" s="5">
        <v>41719</v>
      </c>
      <c r="X1029" s="6">
        <v>2</v>
      </c>
      <c r="Y1029" s="6">
        <v>2</v>
      </c>
      <c r="Z1029" s="6">
        <v>2</v>
      </c>
      <c r="AA1029" s="6" t="s">
        <v>178</v>
      </c>
      <c r="AB1029" s="6">
        <v>2</v>
      </c>
      <c r="AC1029" s="6" t="s">
        <v>216</v>
      </c>
    </row>
    <row r="1030" spans="1:29" x14ac:dyDescent="0.25">
      <c r="A1030" s="145" t="str">
        <f>HYPERLINK("http://www.ofsted.gov.uk/inspection-reports/find-inspection-report/provider/ELS/138670 ","Ofsted Webpage")</f>
        <v>Ofsted Webpage</v>
      </c>
      <c r="B1030" s="151">
        <v>138670</v>
      </c>
      <c r="C1030" s="151">
        <v>10037344</v>
      </c>
      <c r="D1030" s="46" t="s">
        <v>1769</v>
      </c>
      <c r="E1030" s="26" t="s">
        <v>87</v>
      </c>
      <c r="F1030" s="26" t="s">
        <v>82</v>
      </c>
      <c r="G1030" s="26" t="s">
        <v>296</v>
      </c>
      <c r="H1030" s="26" t="s">
        <v>287</v>
      </c>
      <c r="I1030" s="26" t="s">
        <v>287</v>
      </c>
      <c r="J1030" s="2" t="s">
        <v>72</v>
      </c>
      <c r="K1030" s="141" t="s">
        <v>72</v>
      </c>
      <c r="L1030" s="141">
        <v>10022607</v>
      </c>
      <c r="M1030" s="26" t="s">
        <v>194</v>
      </c>
      <c r="N1030" s="2">
        <v>42870</v>
      </c>
      <c r="O1030" s="2">
        <v>42873</v>
      </c>
      <c r="P1030" s="119">
        <v>42936</v>
      </c>
      <c r="Q1030" s="6">
        <v>4</v>
      </c>
      <c r="R1030" s="6">
        <v>4</v>
      </c>
      <c r="S1030" s="6">
        <v>4</v>
      </c>
      <c r="T1030" s="6">
        <v>4</v>
      </c>
      <c r="U1030" s="6">
        <v>3</v>
      </c>
      <c r="V1030" s="6" t="s">
        <v>1770</v>
      </c>
      <c r="W1030" s="5">
        <v>41607</v>
      </c>
      <c r="X1030" s="6">
        <v>2</v>
      </c>
      <c r="Y1030" s="6">
        <v>2</v>
      </c>
      <c r="Z1030" s="6">
        <v>2</v>
      </c>
      <c r="AA1030" s="6" t="s">
        <v>178</v>
      </c>
      <c r="AB1030" s="6">
        <v>2</v>
      </c>
      <c r="AC1030" s="6" t="s">
        <v>201</v>
      </c>
    </row>
    <row r="1031" spans="1:29" x14ac:dyDescent="0.25">
      <c r="A1031" s="145" t="str">
        <f>HYPERLINK("http://www.ofsted.gov.uk/inspection-reports/find-inspection-report/provider/ELS/138966 ","Ofsted Webpage")</f>
        <v>Ofsted Webpage</v>
      </c>
      <c r="B1031" s="151">
        <v>138966</v>
      </c>
      <c r="C1031" s="151">
        <v>10039420</v>
      </c>
      <c r="D1031" s="46" t="s">
        <v>173</v>
      </c>
      <c r="E1031" s="26" t="s">
        <v>88</v>
      </c>
      <c r="F1031" s="26" t="s">
        <v>74</v>
      </c>
      <c r="G1031" s="26" t="s">
        <v>174</v>
      </c>
      <c r="H1031" s="26" t="s">
        <v>175</v>
      </c>
      <c r="I1031" s="26" t="s">
        <v>175</v>
      </c>
      <c r="J1031" s="2" t="s">
        <v>72</v>
      </c>
      <c r="K1031" s="141" t="s">
        <v>72</v>
      </c>
      <c r="L1031" s="141">
        <v>10037410</v>
      </c>
      <c r="M1031" s="26" t="s">
        <v>176</v>
      </c>
      <c r="N1031" s="2">
        <v>42996</v>
      </c>
      <c r="O1031" s="2">
        <v>42999</v>
      </c>
      <c r="P1031" s="133">
        <v>43031</v>
      </c>
      <c r="Q1031" s="6">
        <v>3</v>
      </c>
      <c r="R1031" s="6">
        <v>3</v>
      </c>
      <c r="S1031" s="6">
        <v>3</v>
      </c>
      <c r="T1031" s="6">
        <v>3</v>
      </c>
      <c r="U1031" s="6">
        <v>3</v>
      </c>
      <c r="V1031" s="6">
        <v>10004818</v>
      </c>
      <c r="W1031" s="5">
        <v>42299</v>
      </c>
      <c r="X1031" s="6">
        <v>3</v>
      </c>
      <c r="Y1031" s="6">
        <v>3</v>
      </c>
      <c r="Z1031" s="6">
        <v>3</v>
      </c>
      <c r="AA1031" s="6">
        <v>3</v>
      </c>
      <c r="AB1031" s="6">
        <v>3</v>
      </c>
      <c r="AC1031" s="6" t="s">
        <v>180</v>
      </c>
    </row>
    <row r="1032" spans="1:29" x14ac:dyDescent="0.25">
      <c r="A1032" s="145" t="str">
        <f>HYPERLINK("http://www.ofsted.gov.uk/inspection-reports/find-inspection-report/provider/ELS/139218 ","Ofsted Webpage")</f>
        <v>Ofsted Webpage</v>
      </c>
      <c r="B1032" s="151">
        <v>139218</v>
      </c>
      <c r="C1032" s="151">
        <v>10024772</v>
      </c>
      <c r="D1032" s="46" t="s">
        <v>1363</v>
      </c>
      <c r="E1032" s="26" t="s">
        <v>70</v>
      </c>
      <c r="F1032" s="26" t="s">
        <v>71</v>
      </c>
      <c r="G1032" s="26" t="s">
        <v>608</v>
      </c>
      <c r="H1032" s="26" t="s">
        <v>238</v>
      </c>
      <c r="I1032" s="26" t="s">
        <v>238</v>
      </c>
      <c r="J1032" s="2" t="s">
        <v>72</v>
      </c>
      <c r="K1032" s="141" t="s">
        <v>72</v>
      </c>
      <c r="L1032" s="141">
        <v>10030787</v>
      </c>
      <c r="M1032" s="26" t="s">
        <v>270</v>
      </c>
      <c r="N1032" s="2">
        <v>43026</v>
      </c>
      <c r="O1032" s="2">
        <v>43028</v>
      </c>
      <c r="P1032" s="133">
        <v>43062</v>
      </c>
      <c r="Q1032" s="6">
        <v>2</v>
      </c>
      <c r="R1032" s="6">
        <v>2</v>
      </c>
      <c r="S1032" s="6">
        <v>2</v>
      </c>
      <c r="T1032" s="6">
        <v>1</v>
      </c>
      <c r="U1032" s="6">
        <v>2</v>
      </c>
      <c r="V1032" s="6" t="s">
        <v>1364</v>
      </c>
      <c r="W1032" s="5">
        <v>41460</v>
      </c>
      <c r="X1032" s="6">
        <v>1</v>
      </c>
      <c r="Y1032" s="6">
        <v>1</v>
      </c>
      <c r="Z1032" s="6">
        <v>1</v>
      </c>
      <c r="AA1032" s="6" t="s">
        <v>178</v>
      </c>
      <c r="AB1032" s="6">
        <v>1</v>
      </c>
      <c r="AC1032" s="6" t="s">
        <v>201</v>
      </c>
    </row>
    <row r="1033" spans="1:29" x14ac:dyDescent="0.25">
      <c r="A1033" s="145" t="str">
        <f>HYPERLINK("http://www.ofsted.gov.uk/inspection-reports/find-inspection-report/provider/ELS/139238 ","Ofsted Webpage")</f>
        <v>Ofsted Webpage</v>
      </c>
      <c r="B1033" s="151">
        <v>139238</v>
      </c>
      <c r="C1033" s="151">
        <v>10036143</v>
      </c>
      <c r="D1033" s="46" t="s">
        <v>1771</v>
      </c>
      <c r="E1033" s="26" t="s">
        <v>81</v>
      </c>
      <c r="F1033" s="26" t="s">
        <v>82</v>
      </c>
      <c r="G1033" s="26" t="s">
        <v>1772</v>
      </c>
      <c r="H1033" s="26" t="s">
        <v>198</v>
      </c>
      <c r="I1033" s="26" t="s">
        <v>198</v>
      </c>
      <c r="J1033" s="2">
        <v>43026</v>
      </c>
      <c r="K1033" s="141">
        <v>1</v>
      </c>
      <c r="L1033" s="141" t="s">
        <v>1773</v>
      </c>
      <c r="M1033" s="26" t="s">
        <v>194</v>
      </c>
      <c r="N1033" s="2">
        <v>41960</v>
      </c>
      <c r="O1033" s="2">
        <v>41964</v>
      </c>
      <c r="P1033" s="133">
        <v>41996</v>
      </c>
      <c r="Q1033" s="6">
        <v>2</v>
      </c>
      <c r="R1033" s="6">
        <v>2</v>
      </c>
      <c r="S1033" s="6">
        <v>2</v>
      </c>
      <c r="T1033" s="120" t="s">
        <v>178</v>
      </c>
      <c r="U1033" s="6">
        <v>1</v>
      </c>
      <c r="V1033" s="6" t="s">
        <v>72</v>
      </c>
      <c r="W1033" s="5" t="s">
        <v>72</v>
      </c>
      <c r="X1033" s="6" t="s">
        <v>72</v>
      </c>
      <c r="Y1033" s="6" t="s">
        <v>72</v>
      </c>
      <c r="Z1033" s="6" t="s">
        <v>72</v>
      </c>
      <c r="AA1033" s="6" t="s">
        <v>72</v>
      </c>
      <c r="AB1033" s="6" t="s">
        <v>72</v>
      </c>
      <c r="AC1033" s="6" t="s">
        <v>208</v>
      </c>
    </row>
    <row r="1034" spans="1:29" x14ac:dyDescent="0.25">
      <c r="A1034" s="145" t="str">
        <f>HYPERLINK("http://www.ofsted.gov.uk/inspection-reports/find-inspection-report/provider/ELS/139243 ","Ofsted Webpage")</f>
        <v>Ofsted Webpage</v>
      </c>
      <c r="B1034" s="151">
        <v>139243</v>
      </c>
      <c r="C1034" s="151">
        <v>10024163</v>
      </c>
      <c r="D1034" s="46" t="s">
        <v>1107</v>
      </c>
      <c r="E1034" s="26" t="s">
        <v>70</v>
      </c>
      <c r="F1034" s="26" t="s">
        <v>71</v>
      </c>
      <c r="G1034" s="26" t="s">
        <v>546</v>
      </c>
      <c r="H1034" s="26" t="s">
        <v>175</v>
      </c>
      <c r="I1034" s="26" t="s">
        <v>175</v>
      </c>
      <c r="J1034" s="2" t="s">
        <v>72</v>
      </c>
      <c r="K1034" s="141" t="s">
        <v>72</v>
      </c>
      <c r="L1034" s="141">
        <v>10004819</v>
      </c>
      <c r="M1034" s="26" t="s">
        <v>532</v>
      </c>
      <c r="N1034" s="2">
        <v>42654</v>
      </c>
      <c r="O1034" s="2">
        <v>42656</v>
      </c>
      <c r="P1034" s="133">
        <v>42690</v>
      </c>
      <c r="Q1034" s="6">
        <v>2</v>
      </c>
      <c r="R1034" s="6">
        <v>2</v>
      </c>
      <c r="S1034" s="6">
        <v>2</v>
      </c>
      <c r="T1034" s="6">
        <v>2</v>
      </c>
      <c r="U1034" s="6">
        <v>2</v>
      </c>
      <c r="V1034" s="6" t="s">
        <v>1108</v>
      </c>
      <c r="W1034" s="5">
        <v>41957</v>
      </c>
      <c r="X1034" s="6">
        <v>3</v>
      </c>
      <c r="Y1034" s="6">
        <v>3</v>
      </c>
      <c r="Z1034" s="6">
        <v>3</v>
      </c>
      <c r="AA1034" s="6" t="s">
        <v>178</v>
      </c>
      <c r="AB1034" s="6">
        <v>3</v>
      </c>
      <c r="AC1034" s="6" t="s">
        <v>216</v>
      </c>
    </row>
    <row r="1035" spans="1:29" x14ac:dyDescent="0.25">
      <c r="A1035" s="145" t="str">
        <f>HYPERLINK("http://www.ofsted.gov.uk/inspection-reports/find-inspection-report/provider/ELS/139249 ","Ofsted Webpage")</f>
        <v>Ofsted Webpage</v>
      </c>
      <c r="B1035" s="151">
        <v>139249</v>
      </c>
      <c r="C1035" s="151">
        <v>10038981</v>
      </c>
      <c r="D1035" s="46" t="s">
        <v>1372</v>
      </c>
      <c r="E1035" s="26" t="s">
        <v>70</v>
      </c>
      <c r="F1035" s="26" t="s">
        <v>71</v>
      </c>
      <c r="G1035" s="26" t="s">
        <v>621</v>
      </c>
      <c r="H1035" s="26" t="s">
        <v>198</v>
      </c>
      <c r="I1035" s="26" t="s">
        <v>198</v>
      </c>
      <c r="J1035" s="2" t="s">
        <v>72</v>
      </c>
      <c r="K1035" s="141" t="s">
        <v>72</v>
      </c>
      <c r="L1035" s="141" t="s">
        <v>1373</v>
      </c>
      <c r="M1035" s="26" t="s">
        <v>270</v>
      </c>
      <c r="N1035" s="2">
        <v>41975</v>
      </c>
      <c r="O1035" s="2">
        <v>41976</v>
      </c>
      <c r="P1035" s="133">
        <v>42016</v>
      </c>
      <c r="Q1035" s="6">
        <v>2</v>
      </c>
      <c r="R1035" s="6">
        <v>2</v>
      </c>
      <c r="S1035" s="6">
        <v>2</v>
      </c>
      <c r="T1035" s="120" t="s">
        <v>178</v>
      </c>
      <c r="U1035" s="6">
        <v>2</v>
      </c>
      <c r="V1035" s="6" t="s">
        <v>72</v>
      </c>
      <c r="W1035" s="5" t="s">
        <v>72</v>
      </c>
      <c r="X1035" s="6" t="s">
        <v>72</v>
      </c>
      <c r="Y1035" s="6" t="s">
        <v>72</v>
      </c>
      <c r="Z1035" s="6" t="s">
        <v>72</v>
      </c>
      <c r="AA1035" s="6" t="s">
        <v>72</v>
      </c>
      <c r="AB1035" s="6" t="s">
        <v>72</v>
      </c>
      <c r="AC1035" s="6" t="s">
        <v>208</v>
      </c>
    </row>
    <row r="1036" spans="1:29" x14ac:dyDescent="0.25">
      <c r="A1036" s="145" t="str">
        <f>HYPERLINK("http://www.ofsted.gov.uk/inspection-reports/find-inspection-report/provider/ELS/139250 ","Ofsted Webpage")</f>
        <v>Ofsted Webpage</v>
      </c>
      <c r="B1036" s="151">
        <v>139250</v>
      </c>
      <c r="C1036" s="151">
        <v>10040374</v>
      </c>
      <c r="D1036" s="46" t="s">
        <v>528</v>
      </c>
      <c r="E1036" s="26" t="s">
        <v>70</v>
      </c>
      <c r="F1036" s="26" t="s">
        <v>71</v>
      </c>
      <c r="G1036" s="26" t="s">
        <v>447</v>
      </c>
      <c r="H1036" s="26" t="s">
        <v>198</v>
      </c>
      <c r="I1036" s="26" t="s">
        <v>198</v>
      </c>
      <c r="J1036" s="2" t="s">
        <v>72</v>
      </c>
      <c r="K1036" s="141" t="s">
        <v>72</v>
      </c>
      <c r="L1036" s="141">
        <v>10021853</v>
      </c>
      <c r="M1036" s="26" t="s">
        <v>270</v>
      </c>
      <c r="N1036" s="2">
        <v>42710</v>
      </c>
      <c r="O1036" s="2">
        <v>42712</v>
      </c>
      <c r="P1036" s="133">
        <v>42760</v>
      </c>
      <c r="Q1036" s="6">
        <v>2</v>
      </c>
      <c r="R1036" s="6">
        <v>1</v>
      </c>
      <c r="S1036" s="6">
        <v>2</v>
      </c>
      <c r="T1036" s="6">
        <v>2</v>
      </c>
      <c r="U1036" s="6">
        <v>2</v>
      </c>
      <c r="V1036" s="6" t="s">
        <v>72</v>
      </c>
      <c r="W1036" s="5" t="s">
        <v>72</v>
      </c>
      <c r="X1036" s="6" t="s">
        <v>72</v>
      </c>
      <c r="Y1036" s="6" t="s">
        <v>72</v>
      </c>
      <c r="Z1036" s="6" t="s">
        <v>72</v>
      </c>
      <c r="AA1036" s="6" t="s">
        <v>72</v>
      </c>
      <c r="AB1036" s="6" t="s">
        <v>72</v>
      </c>
      <c r="AC1036" s="6" t="s">
        <v>208</v>
      </c>
    </row>
    <row r="1037" spans="1:29" x14ac:dyDescent="0.25">
      <c r="A1037" s="145" t="str">
        <f>HYPERLINK("http://www.ofsted.gov.uk/inspection-reports/find-inspection-report/provider/ELS/139251 ","Ofsted Webpage")</f>
        <v>Ofsted Webpage</v>
      </c>
      <c r="B1037" s="151">
        <v>139251</v>
      </c>
      <c r="C1037" s="151">
        <v>10040375</v>
      </c>
      <c r="D1037" s="46" t="s">
        <v>650</v>
      </c>
      <c r="E1037" s="26" t="s">
        <v>70</v>
      </c>
      <c r="F1037" s="26" t="s">
        <v>71</v>
      </c>
      <c r="G1037" s="26" t="s">
        <v>651</v>
      </c>
      <c r="H1037" s="26" t="s">
        <v>238</v>
      </c>
      <c r="I1037" s="26" t="s">
        <v>238</v>
      </c>
      <c r="J1037" s="2" t="s">
        <v>72</v>
      </c>
      <c r="K1037" s="141" t="s">
        <v>72</v>
      </c>
      <c r="L1037" s="141">
        <v>10038320</v>
      </c>
      <c r="M1037" s="26" t="s">
        <v>532</v>
      </c>
      <c r="N1037" s="2">
        <v>43052</v>
      </c>
      <c r="O1037" s="2">
        <v>43054</v>
      </c>
      <c r="P1037" s="133">
        <v>43089</v>
      </c>
      <c r="Q1037" s="6">
        <v>3</v>
      </c>
      <c r="R1037" s="6">
        <v>3</v>
      </c>
      <c r="S1037" s="6">
        <v>3</v>
      </c>
      <c r="T1037" s="6">
        <v>3</v>
      </c>
      <c r="U1037" s="6">
        <v>3</v>
      </c>
      <c r="V1037" s="6">
        <v>10004820</v>
      </c>
      <c r="W1037" s="5">
        <v>42390</v>
      </c>
      <c r="X1037" s="6">
        <v>3</v>
      </c>
      <c r="Y1037" s="6">
        <v>3</v>
      </c>
      <c r="Z1037" s="6">
        <v>3</v>
      </c>
      <c r="AA1037" s="6">
        <v>3</v>
      </c>
      <c r="AB1037" s="6">
        <v>3</v>
      </c>
      <c r="AC1037" s="6" t="s">
        <v>180</v>
      </c>
    </row>
    <row r="1038" spans="1:29" x14ac:dyDescent="0.25">
      <c r="A1038" s="145" t="str">
        <f>HYPERLINK("http://www.ofsted.gov.uk/inspection-reports/find-inspection-report/provider/ELS/139363 ","Ofsted Webpage")</f>
        <v>Ofsted Webpage</v>
      </c>
      <c r="B1038" s="151">
        <v>139363</v>
      </c>
      <c r="C1038" s="151">
        <v>10040630</v>
      </c>
      <c r="D1038" s="46" t="s">
        <v>670</v>
      </c>
      <c r="E1038" s="26" t="s">
        <v>88</v>
      </c>
      <c r="F1038" s="26" t="s">
        <v>74</v>
      </c>
      <c r="G1038" s="26" t="s">
        <v>546</v>
      </c>
      <c r="H1038" s="26" t="s">
        <v>175</v>
      </c>
      <c r="I1038" s="26" t="s">
        <v>175</v>
      </c>
      <c r="J1038" s="2" t="s">
        <v>72</v>
      </c>
      <c r="K1038" s="141" t="s">
        <v>72</v>
      </c>
      <c r="L1038" s="141">
        <v>10004822</v>
      </c>
      <c r="M1038" s="26" t="s">
        <v>176</v>
      </c>
      <c r="N1038" s="2">
        <v>42290</v>
      </c>
      <c r="O1038" s="2">
        <v>42292</v>
      </c>
      <c r="P1038" s="133">
        <v>42324</v>
      </c>
      <c r="Q1038" s="6">
        <v>2</v>
      </c>
      <c r="R1038" s="6">
        <v>2</v>
      </c>
      <c r="S1038" s="6">
        <v>2</v>
      </c>
      <c r="T1038" s="6">
        <v>2</v>
      </c>
      <c r="U1038" s="6">
        <v>2</v>
      </c>
      <c r="V1038" s="6" t="s">
        <v>671</v>
      </c>
      <c r="W1038" s="5">
        <v>41726</v>
      </c>
      <c r="X1038" s="6">
        <v>3</v>
      </c>
      <c r="Y1038" s="6">
        <v>3</v>
      </c>
      <c r="Z1038" s="6">
        <v>3</v>
      </c>
      <c r="AA1038" s="6" t="s">
        <v>178</v>
      </c>
      <c r="AB1038" s="6">
        <v>3</v>
      </c>
      <c r="AC1038" s="6" t="s">
        <v>216</v>
      </c>
    </row>
    <row r="1039" spans="1:29" x14ac:dyDescent="0.25">
      <c r="A1039" s="145" t="str">
        <f>HYPERLINK("http://www.ofsted.gov.uk/inspection-reports/find-inspection-report/provider/ELS/139433 ","Ofsted Webpage")</f>
        <v>Ofsted Webpage</v>
      </c>
      <c r="B1039" s="151">
        <v>139433</v>
      </c>
      <c r="C1039" s="151">
        <v>10041654</v>
      </c>
      <c r="D1039" s="46" t="s">
        <v>667</v>
      </c>
      <c r="E1039" s="26" t="s">
        <v>73</v>
      </c>
      <c r="F1039" s="26" t="s">
        <v>74</v>
      </c>
      <c r="G1039" s="26" t="s">
        <v>668</v>
      </c>
      <c r="H1039" s="26" t="s">
        <v>187</v>
      </c>
      <c r="I1039" s="26" t="s">
        <v>188</v>
      </c>
      <c r="J1039" s="2" t="s">
        <v>72</v>
      </c>
      <c r="K1039" s="141" t="s">
        <v>72</v>
      </c>
      <c r="L1039" s="141">
        <v>10008477</v>
      </c>
      <c r="M1039" s="26" t="s">
        <v>300</v>
      </c>
      <c r="N1039" s="2">
        <v>42507</v>
      </c>
      <c r="O1039" s="2">
        <v>42509</v>
      </c>
      <c r="P1039" s="133">
        <v>42537</v>
      </c>
      <c r="Q1039" s="6">
        <v>3</v>
      </c>
      <c r="R1039" s="6">
        <v>3</v>
      </c>
      <c r="S1039" s="6">
        <v>3</v>
      </c>
      <c r="T1039" s="6">
        <v>3</v>
      </c>
      <c r="U1039" s="6">
        <v>3</v>
      </c>
      <c r="V1039" s="6" t="s">
        <v>669</v>
      </c>
      <c r="W1039" s="5">
        <v>42020</v>
      </c>
      <c r="X1039" s="6">
        <v>4</v>
      </c>
      <c r="Y1039" s="6">
        <v>4</v>
      </c>
      <c r="Z1039" s="6">
        <v>4</v>
      </c>
      <c r="AA1039" s="6" t="s">
        <v>178</v>
      </c>
      <c r="AB1039" s="6">
        <v>4</v>
      </c>
      <c r="AC1039" s="6" t="s">
        <v>216</v>
      </c>
    </row>
    <row r="1040" spans="1:29" x14ac:dyDescent="0.25">
      <c r="A1040" s="145" t="str">
        <f>HYPERLINK("http://www.ofsted.gov.uk/inspection-reports/find-inspection-report/provider/ELS/139730 ","Ofsted Webpage")</f>
        <v>Ofsted Webpage</v>
      </c>
      <c r="B1040" s="151">
        <v>139730</v>
      </c>
      <c r="C1040" s="151">
        <v>10042041</v>
      </c>
      <c r="D1040" s="46" t="s">
        <v>798</v>
      </c>
      <c r="E1040" s="26" t="s">
        <v>73</v>
      </c>
      <c r="F1040" s="26" t="s">
        <v>74</v>
      </c>
      <c r="G1040" s="26" t="s">
        <v>348</v>
      </c>
      <c r="H1040" s="26" t="s">
        <v>238</v>
      </c>
      <c r="I1040" s="26" t="s">
        <v>238</v>
      </c>
      <c r="J1040" s="2" t="s">
        <v>72</v>
      </c>
      <c r="K1040" s="141" t="s">
        <v>72</v>
      </c>
      <c r="L1040" s="141">
        <v>10020133</v>
      </c>
      <c r="M1040" s="26" t="s">
        <v>176</v>
      </c>
      <c r="N1040" s="2">
        <v>42695</v>
      </c>
      <c r="O1040" s="2">
        <v>42697</v>
      </c>
      <c r="P1040" s="133">
        <v>42766</v>
      </c>
      <c r="Q1040" s="6">
        <v>3</v>
      </c>
      <c r="R1040" s="6">
        <v>3</v>
      </c>
      <c r="S1040" s="6">
        <v>3</v>
      </c>
      <c r="T1040" s="6">
        <v>3</v>
      </c>
      <c r="U1040" s="6">
        <v>3</v>
      </c>
      <c r="V1040" s="6" t="s">
        <v>799</v>
      </c>
      <c r="W1040" s="5">
        <v>42034</v>
      </c>
      <c r="X1040" s="6">
        <v>3</v>
      </c>
      <c r="Y1040" s="6">
        <v>3</v>
      </c>
      <c r="Z1040" s="6">
        <v>3</v>
      </c>
      <c r="AA1040" s="6" t="s">
        <v>178</v>
      </c>
      <c r="AB1040" s="6">
        <v>3</v>
      </c>
      <c r="AC1040" s="6" t="s">
        <v>180</v>
      </c>
    </row>
    <row r="1041" spans="1:29" x14ac:dyDescent="0.25">
      <c r="A1041" s="145" t="str">
        <f>HYPERLINK("http://www.ofsted.gov.uk/inspection-reports/find-inspection-report/provider/ELS/139793 ","Ofsted Webpage")</f>
        <v>Ofsted Webpage</v>
      </c>
      <c r="B1041" s="151">
        <v>139793</v>
      </c>
      <c r="C1041" s="151">
        <v>10042051</v>
      </c>
      <c r="D1041" s="46" t="s">
        <v>298</v>
      </c>
      <c r="E1041" s="26" t="s">
        <v>73</v>
      </c>
      <c r="F1041" s="26" t="s">
        <v>74</v>
      </c>
      <c r="G1041" s="26" t="s">
        <v>299</v>
      </c>
      <c r="H1041" s="26" t="s">
        <v>175</v>
      </c>
      <c r="I1041" s="26" t="s">
        <v>175</v>
      </c>
      <c r="J1041" s="2" t="s">
        <v>72</v>
      </c>
      <c r="K1041" s="141" t="s">
        <v>72</v>
      </c>
      <c r="L1041" s="141">
        <v>10030829</v>
      </c>
      <c r="M1041" s="26" t="s">
        <v>300</v>
      </c>
      <c r="N1041" s="2">
        <v>42865</v>
      </c>
      <c r="O1041" s="2">
        <v>42867</v>
      </c>
      <c r="P1041" s="133">
        <v>42912</v>
      </c>
      <c r="Q1041" s="6">
        <v>3</v>
      </c>
      <c r="R1041" s="6">
        <v>3</v>
      </c>
      <c r="S1041" s="6">
        <v>3</v>
      </c>
      <c r="T1041" s="6">
        <v>2</v>
      </c>
      <c r="U1041" s="6">
        <v>3</v>
      </c>
      <c r="V1041" s="6">
        <v>10004825</v>
      </c>
      <c r="W1041" s="5">
        <v>42432</v>
      </c>
      <c r="X1041" s="6">
        <v>4</v>
      </c>
      <c r="Y1041" s="6">
        <v>4</v>
      </c>
      <c r="Z1041" s="6">
        <v>4</v>
      </c>
      <c r="AA1041" s="6">
        <v>4</v>
      </c>
      <c r="AB1041" s="6">
        <v>4</v>
      </c>
      <c r="AC1041" s="6" t="s">
        <v>216</v>
      </c>
    </row>
    <row r="1042" spans="1:29" x14ac:dyDescent="0.25">
      <c r="A1042" s="145" t="str">
        <f>HYPERLINK("http://www.ofsted.gov.uk/inspection-reports/find-inspection-report/provider/ELS/139798 ","Ofsted Webpage")</f>
        <v>Ofsted Webpage</v>
      </c>
      <c r="B1042" s="151">
        <v>139798</v>
      </c>
      <c r="C1042" s="151">
        <v>10042040</v>
      </c>
      <c r="D1042" s="46" t="s">
        <v>285</v>
      </c>
      <c r="E1042" s="26" t="s">
        <v>73</v>
      </c>
      <c r="F1042" s="26" t="s">
        <v>74</v>
      </c>
      <c r="G1042" s="26" t="s">
        <v>286</v>
      </c>
      <c r="H1042" s="26" t="s">
        <v>287</v>
      </c>
      <c r="I1042" s="26" t="s">
        <v>287</v>
      </c>
      <c r="J1042" s="2" t="s">
        <v>72</v>
      </c>
      <c r="K1042" s="141" t="s">
        <v>72</v>
      </c>
      <c r="L1042" s="141">
        <v>10022600</v>
      </c>
      <c r="M1042" s="26" t="s">
        <v>176</v>
      </c>
      <c r="N1042" s="2">
        <v>42759</v>
      </c>
      <c r="O1042" s="2">
        <v>42761</v>
      </c>
      <c r="P1042" s="133">
        <v>42810</v>
      </c>
      <c r="Q1042" s="6">
        <v>2</v>
      </c>
      <c r="R1042" s="6">
        <v>2</v>
      </c>
      <c r="S1042" s="6">
        <v>2</v>
      </c>
      <c r="T1042" s="6">
        <v>1</v>
      </c>
      <c r="U1042" s="6">
        <v>2</v>
      </c>
      <c r="V1042" s="6" t="s">
        <v>288</v>
      </c>
      <c r="W1042" s="5">
        <v>42076</v>
      </c>
      <c r="X1042" s="6">
        <v>3</v>
      </c>
      <c r="Y1042" s="6">
        <v>3</v>
      </c>
      <c r="Z1042" s="6">
        <v>3</v>
      </c>
      <c r="AA1042" s="6" t="s">
        <v>178</v>
      </c>
      <c r="AB1042" s="6">
        <v>3</v>
      </c>
      <c r="AC1042" s="6" t="s">
        <v>216</v>
      </c>
    </row>
    <row r="1043" spans="1:29" x14ac:dyDescent="0.25">
      <c r="A1043" s="145" t="str">
        <f>HYPERLINK("http://www.ofsted.gov.uk/inspection-reports/find-inspection-report/provider/ELS/139896 ","Ofsted Webpage")</f>
        <v>Ofsted Webpage</v>
      </c>
      <c r="B1043" s="151">
        <v>139896</v>
      </c>
      <c r="C1043" s="151">
        <v>10042335</v>
      </c>
      <c r="D1043" s="46" t="s">
        <v>295</v>
      </c>
      <c r="E1043" s="26" t="s">
        <v>73</v>
      </c>
      <c r="F1043" s="26" t="s">
        <v>74</v>
      </c>
      <c r="G1043" s="26" t="s">
        <v>296</v>
      </c>
      <c r="H1043" s="26" t="s">
        <v>287</v>
      </c>
      <c r="I1043" s="26" t="s">
        <v>287</v>
      </c>
      <c r="J1043" s="2" t="s">
        <v>72</v>
      </c>
      <c r="K1043" s="141" t="s">
        <v>72</v>
      </c>
      <c r="L1043" s="141" t="s">
        <v>297</v>
      </c>
      <c r="M1043" s="26" t="s">
        <v>284</v>
      </c>
      <c r="N1043" s="2">
        <v>42066</v>
      </c>
      <c r="O1043" s="2">
        <v>42069</v>
      </c>
      <c r="P1043" s="133">
        <v>42094</v>
      </c>
      <c r="Q1043" s="6">
        <v>2</v>
      </c>
      <c r="R1043" s="6">
        <v>2</v>
      </c>
      <c r="S1043" s="6">
        <v>2</v>
      </c>
      <c r="T1043" s="120" t="s">
        <v>178</v>
      </c>
      <c r="U1043" s="6">
        <v>2</v>
      </c>
      <c r="V1043" s="6" t="s">
        <v>72</v>
      </c>
      <c r="W1043" s="5" t="s">
        <v>72</v>
      </c>
      <c r="X1043" s="6" t="s">
        <v>72</v>
      </c>
      <c r="Y1043" s="6" t="s">
        <v>72</v>
      </c>
      <c r="Z1043" s="6" t="s">
        <v>72</v>
      </c>
      <c r="AA1043" s="6" t="s">
        <v>72</v>
      </c>
      <c r="AB1043" s="6" t="s">
        <v>72</v>
      </c>
      <c r="AC1043" s="6" t="s">
        <v>208</v>
      </c>
    </row>
    <row r="1044" spans="1:29" x14ac:dyDescent="0.25">
      <c r="A1044" s="145" t="str">
        <f>HYPERLINK("http://www.ofsted.gov.uk/inspection-reports/find-inspection-report/provider/ELS/140564 ","Ofsted Webpage")</f>
        <v>Ofsted Webpage</v>
      </c>
      <c r="B1044" s="151">
        <v>140564</v>
      </c>
      <c r="C1044" s="151">
        <v>10046829</v>
      </c>
      <c r="D1044" s="46" t="s">
        <v>289</v>
      </c>
      <c r="E1044" s="26" t="s">
        <v>73</v>
      </c>
      <c r="F1044" s="26" t="s">
        <v>74</v>
      </c>
      <c r="G1044" s="26" t="s">
        <v>234</v>
      </c>
      <c r="H1044" s="26" t="s">
        <v>175</v>
      </c>
      <c r="I1044" s="26" t="s">
        <v>175</v>
      </c>
      <c r="J1044" s="2" t="s">
        <v>72</v>
      </c>
      <c r="K1044" s="141" t="s">
        <v>72</v>
      </c>
      <c r="L1044" s="141">
        <v>10022551</v>
      </c>
      <c r="M1044" s="26" t="s">
        <v>284</v>
      </c>
      <c r="N1044" s="2">
        <v>42850</v>
      </c>
      <c r="O1044" s="2">
        <v>42852</v>
      </c>
      <c r="P1044" s="133">
        <v>42891</v>
      </c>
      <c r="Q1044" s="6">
        <v>1</v>
      </c>
      <c r="R1044" s="6">
        <v>1</v>
      </c>
      <c r="S1044" s="6">
        <v>1</v>
      </c>
      <c r="T1044" s="6">
        <v>1</v>
      </c>
      <c r="U1044" s="6">
        <v>1</v>
      </c>
      <c r="V1044" s="6" t="s">
        <v>72</v>
      </c>
      <c r="W1044" s="5" t="s">
        <v>72</v>
      </c>
      <c r="X1044" s="6" t="s">
        <v>72</v>
      </c>
      <c r="Y1044" s="6" t="s">
        <v>72</v>
      </c>
      <c r="Z1044" s="6" t="s">
        <v>72</v>
      </c>
      <c r="AA1044" s="6" t="s">
        <v>72</v>
      </c>
      <c r="AB1044" s="6" t="s">
        <v>72</v>
      </c>
      <c r="AC1044" s="6" t="s">
        <v>208</v>
      </c>
    </row>
    <row r="1045" spans="1:29" x14ac:dyDescent="0.25">
      <c r="A1045" s="145" t="str">
        <f>HYPERLINK("http://www.ofsted.gov.uk/inspection-reports/find-inspection-report/provider/ELS/140621 ","Ofsted Webpage")</f>
        <v>Ofsted Webpage</v>
      </c>
      <c r="B1045" s="151">
        <v>140621</v>
      </c>
      <c r="C1045" s="151">
        <v>10046731</v>
      </c>
      <c r="D1045" s="46" t="s">
        <v>293</v>
      </c>
      <c r="E1045" s="26" t="s">
        <v>73</v>
      </c>
      <c r="F1045" s="26" t="s">
        <v>74</v>
      </c>
      <c r="G1045" s="26" t="s">
        <v>294</v>
      </c>
      <c r="H1045" s="26" t="s">
        <v>198</v>
      </c>
      <c r="I1045" s="26" t="s">
        <v>198</v>
      </c>
      <c r="J1045" s="2" t="s">
        <v>72</v>
      </c>
      <c r="K1045" s="141" t="s">
        <v>72</v>
      </c>
      <c r="L1045" s="141">
        <v>10022512</v>
      </c>
      <c r="M1045" s="26" t="s">
        <v>284</v>
      </c>
      <c r="N1045" s="2">
        <v>42774</v>
      </c>
      <c r="O1045" s="2">
        <v>42776</v>
      </c>
      <c r="P1045" s="133">
        <v>42809</v>
      </c>
      <c r="Q1045" s="6">
        <v>2</v>
      </c>
      <c r="R1045" s="6">
        <v>2</v>
      </c>
      <c r="S1045" s="6">
        <v>2</v>
      </c>
      <c r="T1045" s="6">
        <v>2</v>
      </c>
      <c r="U1045" s="6">
        <v>2</v>
      </c>
      <c r="V1045" s="6" t="s">
        <v>72</v>
      </c>
      <c r="W1045" s="5" t="s">
        <v>72</v>
      </c>
      <c r="X1045" s="6" t="s">
        <v>72</v>
      </c>
      <c r="Y1045" s="6" t="s">
        <v>72</v>
      </c>
      <c r="Z1045" s="6" t="s">
        <v>72</v>
      </c>
      <c r="AA1045" s="6" t="s">
        <v>72</v>
      </c>
      <c r="AB1045" s="6" t="s">
        <v>72</v>
      </c>
      <c r="AC1045" s="6" t="s">
        <v>208</v>
      </c>
    </row>
    <row r="1046" spans="1:29" x14ac:dyDescent="0.25">
      <c r="A1046" s="145" t="str">
        <f>HYPERLINK("http://www.ofsted.gov.uk/inspection-reports/find-inspection-report/provider/ELS/140939 ","Ofsted Webpage")</f>
        <v>Ofsted Webpage</v>
      </c>
      <c r="B1046" s="151">
        <v>140939</v>
      </c>
      <c r="C1046" s="151">
        <v>10047216</v>
      </c>
      <c r="D1046" s="46" t="s">
        <v>282</v>
      </c>
      <c r="E1046" s="26" t="s">
        <v>73</v>
      </c>
      <c r="F1046" s="26" t="s">
        <v>74</v>
      </c>
      <c r="G1046" s="26" t="s">
        <v>283</v>
      </c>
      <c r="H1046" s="26" t="s">
        <v>175</v>
      </c>
      <c r="I1046" s="26" t="s">
        <v>175</v>
      </c>
      <c r="J1046" s="2" t="s">
        <v>72</v>
      </c>
      <c r="K1046" s="141" t="s">
        <v>72</v>
      </c>
      <c r="L1046" s="141">
        <v>10020154</v>
      </c>
      <c r="M1046" s="26" t="s">
        <v>284</v>
      </c>
      <c r="N1046" s="2">
        <v>42647</v>
      </c>
      <c r="O1046" s="2">
        <v>42649</v>
      </c>
      <c r="P1046" s="133">
        <v>42681</v>
      </c>
      <c r="Q1046" s="6">
        <v>1</v>
      </c>
      <c r="R1046" s="6">
        <v>1</v>
      </c>
      <c r="S1046" s="6">
        <v>1</v>
      </c>
      <c r="T1046" s="6">
        <v>1</v>
      </c>
      <c r="U1046" s="6">
        <v>1</v>
      </c>
      <c r="V1046" s="6" t="s">
        <v>72</v>
      </c>
      <c r="W1046" s="5" t="s">
        <v>72</v>
      </c>
      <c r="X1046" s="6" t="s">
        <v>72</v>
      </c>
      <c r="Y1046" s="6" t="s">
        <v>72</v>
      </c>
      <c r="Z1046" s="6" t="s">
        <v>72</v>
      </c>
      <c r="AA1046" s="6" t="s">
        <v>72</v>
      </c>
      <c r="AB1046" s="6" t="s">
        <v>72</v>
      </c>
      <c r="AC1046" s="6" t="s">
        <v>208</v>
      </c>
    </row>
    <row r="1047" spans="1:29" x14ac:dyDescent="0.25">
      <c r="A1047" s="145" t="str">
        <f>HYPERLINK("http://www.ofsted.gov.uk/inspection-reports/find-inspection-report/provider/ELS/140940 ","Ofsted Webpage")</f>
        <v>Ofsted Webpage</v>
      </c>
      <c r="B1047" s="151">
        <v>140940</v>
      </c>
      <c r="C1047" s="151">
        <v>10042362</v>
      </c>
      <c r="D1047" s="46" t="s">
        <v>795</v>
      </c>
      <c r="E1047" s="26" t="s">
        <v>73</v>
      </c>
      <c r="F1047" s="26" t="s">
        <v>74</v>
      </c>
      <c r="G1047" s="26" t="s">
        <v>230</v>
      </c>
      <c r="H1047" s="26" t="s">
        <v>187</v>
      </c>
      <c r="I1047" s="26" t="s">
        <v>188</v>
      </c>
      <c r="J1047" s="2" t="s">
        <v>72</v>
      </c>
      <c r="K1047" s="141" t="s">
        <v>72</v>
      </c>
      <c r="L1047" s="141">
        <v>10022481</v>
      </c>
      <c r="M1047" s="26" t="s">
        <v>284</v>
      </c>
      <c r="N1047" s="2">
        <v>42823</v>
      </c>
      <c r="O1047" s="2">
        <v>42825</v>
      </c>
      <c r="P1047" s="133">
        <v>42865</v>
      </c>
      <c r="Q1047" s="6">
        <v>3</v>
      </c>
      <c r="R1047" s="6">
        <v>3</v>
      </c>
      <c r="S1047" s="6">
        <v>3</v>
      </c>
      <c r="T1047" s="6">
        <v>2</v>
      </c>
      <c r="U1047" s="6">
        <v>3</v>
      </c>
      <c r="V1047" s="6" t="s">
        <v>72</v>
      </c>
      <c r="W1047" s="5" t="s">
        <v>72</v>
      </c>
      <c r="X1047" s="6" t="s">
        <v>72</v>
      </c>
      <c r="Y1047" s="6" t="s">
        <v>72</v>
      </c>
      <c r="Z1047" s="6" t="s">
        <v>72</v>
      </c>
      <c r="AA1047" s="6" t="s">
        <v>72</v>
      </c>
      <c r="AB1047" s="6" t="s">
        <v>72</v>
      </c>
      <c r="AC1047" s="6" t="s">
        <v>208</v>
      </c>
    </row>
    <row r="1048" spans="1:29" x14ac:dyDescent="0.25">
      <c r="A1048" s="145" t="str">
        <f>HYPERLINK("http://www.ofsted.gov.uk/inspection-reports/find-inspection-report/provider/ELS/140971 ","Ofsted Webpage")</f>
        <v>Ofsted Webpage</v>
      </c>
      <c r="B1048" s="151">
        <v>140971</v>
      </c>
      <c r="C1048" s="151">
        <v>10045912</v>
      </c>
      <c r="D1048" s="46" t="s">
        <v>801</v>
      </c>
      <c r="E1048" s="26" t="s">
        <v>73</v>
      </c>
      <c r="F1048" s="26" t="s">
        <v>74</v>
      </c>
      <c r="G1048" s="26" t="s">
        <v>802</v>
      </c>
      <c r="H1048" s="26" t="s">
        <v>198</v>
      </c>
      <c r="I1048" s="26" t="s">
        <v>198</v>
      </c>
      <c r="J1048" s="2" t="s">
        <v>72</v>
      </c>
      <c r="K1048" s="141" t="s">
        <v>72</v>
      </c>
      <c r="L1048" s="141">
        <v>10022503</v>
      </c>
      <c r="M1048" s="26" t="s">
        <v>284</v>
      </c>
      <c r="N1048" s="2">
        <v>42759</v>
      </c>
      <c r="O1048" s="2">
        <v>42761</v>
      </c>
      <c r="P1048" s="133">
        <v>42794</v>
      </c>
      <c r="Q1048" s="6">
        <v>1</v>
      </c>
      <c r="R1048" s="6">
        <v>1</v>
      </c>
      <c r="S1048" s="6">
        <v>1</v>
      </c>
      <c r="T1048" s="6">
        <v>1</v>
      </c>
      <c r="U1048" s="6">
        <v>1</v>
      </c>
      <c r="V1048" s="6" t="s">
        <v>72</v>
      </c>
      <c r="W1048" s="5" t="s">
        <v>72</v>
      </c>
      <c r="X1048" s="6" t="s">
        <v>72</v>
      </c>
      <c r="Y1048" s="6" t="s">
        <v>72</v>
      </c>
      <c r="Z1048" s="6" t="s">
        <v>72</v>
      </c>
      <c r="AA1048" s="6" t="s">
        <v>72</v>
      </c>
      <c r="AB1048" s="6" t="s">
        <v>72</v>
      </c>
      <c r="AC1048" s="6" t="s">
        <v>208</v>
      </c>
    </row>
    <row r="1049" spans="1:29" x14ac:dyDescent="0.25">
      <c r="A1049" s="145" t="str">
        <f>HYPERLINK("http://www.ofsted.gov.uk/inspection-reports/find-inspection-report/provider/ELS/141030 ","Ofsted Webpage")</f>
        <v>Ofsted Webpage</v>
      </c>
      <c r="B1049" s="151">
        <v>141030</v>
      </c>
      <c r="C1049" s="151">
        <v>10046350</v>
      </c>
      <c r="D1049" s="46" t="s">
        <v>793</v>
      </c>
      <c r="E1049" s="26" t="s">
        <v>73</v>
      </c>
      <c r="F1049" s="26" t="s">
        <v>74</v>
      </c>
      <c r="G1049" s="26" t="s">
        <v>794</v>
      </c>
      <c r="H1049" s="26" t="s">
        <v>175</v>
      </c>
      <c r="I1049" s="26" t="s">
        <v>175</v>
      </c>
      <c r="J1049" s="2" t="s">
        <v>72</v>
      </c>
      <c r="K1049" s="141" t="s">
        <v>72</v>
      </c>
      <c r="L1049" s="141">
        <v>10022537</v>
      </c>
      <c r="M1049" s="26" t="s">
        <v>284</v>
      </c>
      <c r="N1049" s="2">
        <v>42851</v>
      </c>
      <c r="O1049" s="2">
        <v>42853</v>
      </c>
      <c r="P1049" s="133">
        <v>42878</v>
      </c>
      <c r="Q1049" s="6">
        <v>2</v>
      </c>
      <c r="R1049" s="6">
        <v>3</v>
      </c>
      <c r="S1049" s="6">
        <v>2</v>
      </c>
      <c r="T1049" s="6">
        <v>2</v>
      </c>
      <c r="U1049" s="6">
        <v>2</v>
      </c>
      <c r="V1049" s="6" t="s">
        <v>72</v>
      </c>
      <c r="W1049" s="5" t="s">
        <v>72</v>
      </c>
      <c r="X1049" s="6" t="s">
        <v>72</v>
      </c>
      <c r="Y1049" s="6" t="s">
        <v>72</v>
      </c>
      <c r="Z1049" s="6" t="s">
        <v>72</v>
      </c>
      <c r="AA1049" s="6" t="s">
        <v>72</v>
      </c>
      <c r="AB1049" s="6" t="s">
        <v>72</v>
      </c>
      <c r="AC1049" s="6" t="s">
        <v>208</v>
      </c>
    </row>
    <row r="1050" spans="1:29" x14ac:dyDescent="0.25">
      <c r="A1050" s="145" t="str">
        <f>HYPERLINK("http://www.ofsted.gov.uk/inspection-reports/find-inspection-report/provider/ELS/141084 ","Ofsted Webpage")</f>
        <v>Ofsted Webpage</v>
      </c>
      <c r="B1050" s="151">
        <v>141084</v>
      </c>
      <c r="C1050" s="151">
        <v>10046354</v>
      </c>
      <c r="D1050" s="46" t="s">
        <v>1774</v>
      </c>
      <c r="E1050" s="26" t="s">
        <v>81</v>
      </c>
      <c r="F1050" s="26" t="s">
        <v>82</v>
      </c>
      <c r="G1050" s="26" t="s">
        <v>477</v>
      </c>
      <c r="H1050" s="26" t="s">
        <v>287</v>
      </c>
      <c r="I1050" s="26" t="s">
        <v>287</v>
      </c>
      <c r="J1050" s="2" t="s">
        <v>72</v>
      </c>
      <c r="K1050" s="141" t="s">
        <v>72</v>
      </c>
      <c r="L1050" s="141">
        <v>10004834</v>
      </c>
      <c r="M1050" s="26" t="s">
        <v>194</v>
      </c>
      <c r="N1050" s="2">
        <v>42689</v>
      </c>
      <c r="O1050" s="2">
        <v>42692</v>
      </c>
      <c r="P1050" s="133">
        <v>42782</v>
      </c>
      <c r="Q1050" s="6">
        <v>2</v>
      </c>
      <c r="R1050" s="6">
        <v>2</v>
      </c>
      <c r="S1050" s="6">
        <v>2</v>
      </c>
      <c r="T1050" s="6">
        <v>2</v>
      </c>
      <c r="U1050" s="6">
        <v>2</v>
      </c>
      <c r="V1050" s="6" t="s">
        <v>72</v>
      </c>
      <c r="W1050" s="5" t="s">
        <v>72</v>
      </c>
      <c r="X1050" s="6" t="s">
        <v>72</v>
      </c>
      <c r="Y1050" s="6" t="s">
        <v>72</v>
      </c>
      <c r="Z1050" s="6" t="s">
        <v>72</v>
      </c>
      <c r="AA1050" s="6" t="s">
        <v>72</v>
      </c>
      <c r="AB1050" s="6" t="s">
        <v>72</v>
      </c>
      <c r="AC1050" s="6" t="s">
        <v>208</v>
      </c>
    </row>
    <row r="1051" spans="1:29" x14ac:dyDescent="0.25">
      <c r="A1051" s="145" t="str">
        <f>HYPERLINK("http://www.ofsted.gov.uk/inspection-reports/find-inspection-report/provider/ELS/141095 ","Ofsted Webpage")</f>
        <v>Ofsted Webpage</v>
      </c>
      <c r="B1051" s="151">
        <v>141095</v>
      </c>
      <c r="C1051" s="151">
        <v>10047200</v>
      </c>
      <c r="D1051" s="46" t="s">
        <v>800</v>
      </c>
      <c r="E1051" s="26" t="s">
        <v>73</v>
      </c>
      <c r="F1051" s="26" t="s">
        <v>74</v>
      </c>
      <c r="G1051" s="26" t="s">
        <v>291</v>
      </c>
      <c r="H1051" s="26" t="s">
        <v>175</v>
      </c>
      <c r="I1051" s="26" t="s">
        <v>175</v>
      </c>
      <c r="J1051" s="2" t="s">
        <v>72</v>
      </c>
      <c r="K1051" s="141" t="s">
        <v>72</v>
      </c>
      <c r="L1051" s="141">
        <v>10030698</v>
      </c>
      <c r="M1051" s="26" t="s">
        <v>284</v>
      </c>
      <c r="N1051" s="2">
        <v>42872</v>
      </c>
      <c r="O1051" s="2">
        <v>42874</v>
      </c>
      <c r="P1051" s="133">
        <v>42908</v>
      </c>
      <c r="Q1051" s="6">
        <v>1</v>
      </c>
      <c r="R1051" s="6">
        <v>1</v>
      </c>
      <c r="S1051" s="6">
        <v>1</v>
      </c>
      <c r="T1051" s="6">
        <v>1</v>
      </c>
      <c r="U1051" s="6">
        <v>1</v>
      </c>
      <c r="V1051" s="6" t="s">
        <v>72</v>
      </c>
      <c r="W1051" s="5" t="s">
        <v>72</v>
      </c>
      <c r="X1051" s="6" t="s">
        <v>72</v>
      </c>
      <c r="Y1051" s="6" t="s">
        <v>72</v>
      </c>
      <c r="Z1051" s="6" t="s">
        <v>72</v>
      </c>
      <c r="AA1051" s="6" t="s">
        <v>72</v>
      </c>
      <c r="AB1051" s="6" t="s">
        <v>72</v>
      </c>
      <c r="AC1051" s="6" t="s">
        <v>208</v>
      </c>
    </row>
    <row r="1052" spans="1:29" x14ac:dyDescent="0.25">
      <c r="A1052" s="145" t="str">
        <f>HYPERLINK("http://www.ofsted.gov.uk/inspection-reports/find-inspection-report/provider/ELS/141240 ","Ofsted Webpage")</f>
        <v>Ofsted Webpage</v>
      </c>
      <c r="B1052" s="151">
        <v>141240</v>
      </c>
      <c r="C1052" s="151">
        <v>10048022</v>
      </c>
      <c r="D1052" s="46" t="s">
        <v>1131</v>
      </c>
      <c r="E1052" s="26" t="s">
        <v>70</v>
      </c>
      <c r="F1052" s="26" t="s">
        <v>71</v>
      </c>
      <c r="G1052" s="26" t="s">
        <v>319</v>
      </c>
      <c r="H1052" s="26" t="s">
        <v>204</v>
      </c>
      <c r="I1052" s="26" t="s">
        <v>188</v>
      </c>
      <c r="J1052" s="2">
        <v>42432</v>
      </c>
      <c r="K1052" s="141">
        <v>1</v>
      </c>
      <c r="L1052" s="141" t="s">
        <v>1132</v>
      </c>
      <c r="M1052" s="26" t="s">
        <v>539</v>
      </c>
      <c r="N1052" s="2">
        <v>40813</v>
      </c>
      <c r="O1052" s="2">
        <v>40815</v>
      </c>
      <c r="P1052" s="133">
        <v>40850</v>
      </c>
      <c r="Q1052" s="6">
        <v>2</v>
      </c>
      <c r="R1052" s="6">
        <v>2</v>
      </c>
      <c r="S1052" s="6">
        <v>2</v>
      </c>
      <c r="T1052" s="120" t="s">
        <v>178</v>
      </c>
      <c r="U1052" s="6">
        <v>2</v>
      </c>
      <c r="V1052" s="6" t="s">
        <v>1133</v>
      </c>
      <c r="W1052" s="5">
        <v>39261</v>
      </c>
      <c r="X1052" s="6">
        <v>3</v>
      </c>
      <c r="Y1052" s="6">
        <v>3</v>
      </c>
      <c r="Z1052" s="6">
        <v>2</v>
      </c>
      <c r="AA1052" s="6" t="s">
        <v>178</v>
      </c>
      <c r="AB1052" s="6">
        <v>3</v>
      </c>
      <c r="AC1052" s="6" t="s">
        <v>216</v>
      </c>
    </row>
    <row r="1053" spans="1:29" x14ac:dyDescent="0.25">
      <c r="A1053" s="145" t="str">
        <f>HYPERLINK("http://www.ofsted.gov.uk/inspection-reports/find-inspection-report/provider/ELS/141241 ","Ofsted Webpage")</f>
        <v>Ofsted Webpage</v>
      </c>
      <c r="B1053" s="151">
        <v>141241</v>
      </c>
      <c r="C1053" s="151">
        <v>10004502</v>
      </c>
      <c r="D1053" s="46" t="s">
        <v>790</v>
      </c>
      <c r="E1053" s="26" t="s">
        <v>70</v>
      </c>
      <c r="F1053" s="26" t="s">
        <v>71</v>
      </c>
      <c r="G1053" s="26" t="s">
        <v>421</v>
      </c>
      <c r="H1053" s="26" t="s">
        <v>219</v>
      </c>
      <c r="I1053" s="26" t="s">
        <v>219</v>
      </c>
      <c r="J1053" s="2" t="s">
        <v>72</v>
      </c>
      <c r="K1053" s="141" t="s">
        <v>72</v>
      </c>
      <c r="L1053" s="141" t="s">
        <v>791</v>
      </c>
      <c r="M1053" s="26" t="s">
        <v>270</v>
      </c>
      <c r="N1053" s="2">
        <v>41660</v>
      </c>
      <c r="O1053" s="2">
        <v>41663</v>
      </c>
      <c r="P1053" s="133">
        <v>41698</v>
      </c>
      <c r="Q1053" s="6">
        <v>2</v>
      </c>
      <c r="R1053" s="6">
        <v>2</v>
      </c>
      <c r="S1053" s="6">
        <v>2</v>
      </c>
      <c r="T1053" s="120" t="s">
        <v>178</v>
      </c>
      <c r="U1053" s="6">
        <v>2</v>
      </c>
      <c r="V1053" s="6" t="s">
        <v>792</v>
      </c>
      <c r="W1053" s="5">
        <v>40584</v>
      </c>
      <c r="X1053" s="6">
        <v>3</v>
      </c>
      <c r="Y1053" s="6">
        <v>3</v>
      </c>
      <c r="Z1053" s="6">
        <v>3</v>
      </c>
      <c r="AA1053" s="6" t="s">
        <v>178</v>
      </c>
      <c r="AB1053" s="6">
        <v>3</v>
      </c>
      <c r="AC1053" s="6" t="s">
        <v>216</v>
      </c>
    </row>
    <row r="1054" spans="1:29" x14ac:dyDescent="0.25">
      <c r="A1054" s="145" t="str">
        <f>HYPERLINK("http://www.ofsted.gov.uk/inspection-reports/find-inspection-report/provider/ELS/141243 ","Ofsted Webpage")</f>
        <v>Ofsted Webpage</v>
      </c>
      <c r="B1054" s="151">
        <v>141243</v>
      </c>
      <c r="C1054" s="151">
        <v>10048265</v>
      </c>
      <c r="D1054" s="46" t="s">
        <v>891</v>
      </c>
      <c r="E1054" s="26" t="s">
        <v>70</v>
      </c>
      <c r="F1054" s="26" t="s">
        <v>71</v>
      </c>
      <c r="G1054" s="26" t="s">
        <v>546</v>
      </c>
      <c r="H1054" s="26" t="s">
        <v>175</v>
      </c>
      <c r="I1054" s="26" t="s">
        <v>175</v>
      </c>
      <c r="J1054" s="2" t="s">
        <v>72</v>
      </c>
      <c r="K1054" s="141" t="s">
        <v>72</v>
      </c>
      <c r="L1054" s="141">
        <v>10030692</v>
      </c>
      <c r="M1054" s="26" t="s">
        <v>532</v>
      </c>
      <c r="N1054" s="2">
        <v>42851</v>
      </c>
      <c r="O1054" s="2">
        <v>42853</v>
      </c>
      <c r="P1054" s="133">
        <v>42881</v>
      </c>
      <c r="Q1054" s="6">
        <v>2</v>
      </c>
      <c r="R1054" s="6">
        <v>2</v>
      </c>
      <c r="S1054" s="6">
        <v>2</v>
      </c>
      <c r="T1054" s="6">
        <v>2</v>
      </c>
      <c r="U1054" s="6">
        <v>2</v>
      </c>
      <c r="V1054" s="6">
        <v>10004837</v>
      </c>
      <c r="W1054" s="5">
        <v>42320</v>
      </c>
      <c r="X1054" s="6">
        <v>3</v>
      </c>
      <c r="Y1054" s="6">
        <v>3</v>
      </c>
      <c r="Z1054" s="6">
        <v>3</v>
      </c>
      <c r="AA1054" s="6">
        <v>2</v>
      </c>
      <c r="AB1054" s="6">
        <v>3</v>
      </c>
      <c r="AC1054" s="6" t="s">
        <v>216</v>
      </c>
    </row>
    <row r="1055" spans="1:29" x14ac:dyDescent="0.25">
      <c r="A1055" s="145" t="str">
        <f>HYPERLINK("http://www.ofsted.gov.uk/inspection-reports/find-inspection-report/provider/ELS/141311 ","Ofsted Webpage")</f>
        <v>Ofsted Webpage</v>
      </c>
      <c r="B1055" s="151">
        <v>141311</v>
      </c>
      <c r="C1055" s="151">
        <v>10024088</v>
      </c>
      <c r="D1055" s="46" t="s">
        <v>1122</v>
      </c>
      <c r="E1055" s="26" t="s">
        <v>70</v>
      </c>
      <c r="F1055" s="26" t="s">
        <v>71</v>
      </c>
      <c r="G1055" s="26" t="s">
        <v>250</v>
      </c>
      <c r="H1055" s="26" t="s">
        <v>175</v>
      </c>
      <c r="I1055" s="26" t="s">
        <v>175</v>
      </c>
      <c r="J1055" s="2" t="s">
        <v>72</v>
      </c>
      <c r="K1055" s="141" t="s">
        <v>72</v>
      </c>
      <c r="L1055" s="141">
        <v>10037432</v>
      </c>
      <c r="M1055" s="26" t="s">
        <v>532</v>
      </c>
      <c r="N1055" s="2">
        <v>43053</v>
      </c>
      <c r="O1055" s="2">
        <v>43055</v>
      </c>
      <c r="P1055" s="133">
        <v>43084</v>
      </c>
      <c r="Q1055" s="6">
        <v>2</v>
      </c>
      <c r="R1055" s="6">
        <v>2</v>
      </c>
      <c r="S1055" s="6">
        <v>2</v>
      </c>
      <c r="T1055" s="6">
        <v>2</v>
      </c>
      <c r="U1055" s="6">
        <v>2</v>
      </c>
      <c r="V1055" s="6" t="s">
        <v>72</v>
      </c>
      <c r="W1055" s="5" t="s">
        <v>72</v>
      </c>
      <c r="X1055" s="6" t="s">
        <v>72</v>
      </c>
      <c r="Y1055" s="6" t="s">
        <v>72</v>
      </c>
      <c r="Z1055" s="6" t="s">
        <v>72</v>
      </c>
      <c r="AA1055" s="6" t="s">
        <v>72</v>
      </c>
      <c r="AB1055" s="6" t="s">
        <v>72</v>
      </c>
      <c r="AC1055" s="6" t="s">
        <v>208</v>
      </c>
    </row>
    <row r="1056" spans="1:29" x14ac:dyDescent="0.25">
      <c r="A1056" s="145" t="str">
        <f>HYPERLINK("http://www.ofsted.gov.uk/inspection-reports/find-inspection-report/provider/ELS/141435 ","Ofsted Webpage")</f>
        <v>Ofsted Webpage</v>
      </c>
      <c r="B1056" s="151">
        <v>141435</v>
      </c>
      <c r="C1056" s="151">
        <v>10046840</v>
      </c>
      <c r="D1056" s="46" t="s">
        <v>1114</v>
      </c>
      <c r="E1056" s="26" t="s">
        <v>70</v>
      </c>
      <c r="F1056" s="26" t="s">
        <v>71</v>
      </c>
      <c r="G1056" s="26" t="s">
        <v>223</v>
      </c>
      <c r="H1056" s="26" t="s">
        <v>193</v>
      </c>
      <c r="I1056" s="26" t="s">
        <v>193</v>
      </c>
      <c r="J1056" s="2" t="s">
        <v>72</v>
      </c>
      <c r="K1056" s="141" t="s">
        <v>72</v>
      </c>
      <c r="L1056" s="141" t="s">
        <v>1115</v>
      </c>
      <c r="M1056" s="26" t="s">
        <v>270</v>
      </c>
      <c r="N1056" s="2">
        <v>42114</v>
      </c>
      <c r="O1056" s="2">
        <v>42116</v>
      </c>
      <c r="P1056" s="133">
        <v>42151</v>
      </c>
      <c r="Q1056" s="6">
        <v>2</v>
      </c>
      <c r="R1056" s="6">
        <v>1</v>
      </c>
      <c r="S1056" s="6">
        <v>2</v>
      </c>
      <c r="T1056" s="120" t="s">
        <v>178</v>
      </c>
      <c r="U1056" s="6">
        <v>2</v>
      </c>
      <c r="V1056" s="6" t="s">
        <v>72</v>
      </c>
      <c r="W1056" s="5" t="s">
        <v>72</v>
      </c>
      <c r="X1056" s="6" t="s">
        <v>72</v>
      </c>
      <c r="Y1056" s="6" t="s">
        <v>72</v>
      </c>
      <c r="Z1056" s="6" t="s">
        <v>72</v>
      </c>
      <c r="AA1056" s="6" t="s">
        <v>72</v>
      </c>
      <c r="AB1056" s="6" t="s">
        <v>72</v>
      </c>
      <c r="AC1056" s="6" t="s">
        <v>208</v>
      </c>
    </row>
    <row r="1057" spans="1:29" x14ac:dyDescent="0.25">
      <c r="A1057" s="145" t="str">
        <f>HYPERLINK("http://www.ofsted.gov.uk/inspection-reports/find-inspection-report/provider/ELS/141491 ","Ofsted Webpage")</f>
        <v>Ofsted Webpage</v>
      </c>
      <c r="B1057" s="151">
        <v>141491</v>
      </c>
      <c r="C1057" s="151">
        <v>10044606</v>
      </c>
      <c r="D1057" s="46" t="s">
        <v>672</v>
      </c>
      <c r="E1057" s="26" t="s">
        <v>89</v>
      </c>
      <c r="F1057" s="26" t="s">
        <v>74</v>
      </c>
      <c r="G1057" s="26" t="s">
        <v>254</v>
      </c>
      <c r="H1057" s="26" t="s">
        <v>193</v>
      </c>
      <c r="I1057" s="26" t="s">
        <v>193</v>
      </c>
      <c r="J1057" s="2" t="s">
        <v>72</v>
      </c>
      <c r="K1057" s="141" t="s">
        <v>72</v>
      </c>
      <c r="L1057" s="141">
        <v>10020165</v>
      </c>
      <c r="M1057" s="26" t="s">
        <v>176</v>
      </c>
      <c r="N1057" s="2">
        <v>42682</v>
      </c>
      <c r="O1057" s="2">
        <v>42684</v>
      </c>
      <c r="P1057" s="133">
        <v>42720</v>
      </c>
      <c r="Q1057" s="6">
        <v>3</v>
      </c>
      <c r="R1057" s="6">
        <v>3</v>
      </c>
      <c r="S1057" s="6">
        <v>3</v>
      </c>
      <c r="T1057" s="6">
        <v>2</v>
      </c>
      <c r="U1057" s="6">
        <v>3</v>
      </c>
      <c r="V1057" s="6" t="s">
        <v>673</v>
      </c>
      <c r="W1057" s="5">
        <v>42118</v>
      </c>
      <c r="X1057" s="6">
        <v>3</v>
      </c>
      <c r="Y1057" s="6">
        <v>3</v>
      </c>
      <c r="Z1057" s="6">
        <v>3</v>
      </c>
      <c r="AA1057" s="6" t="s">
        <v>178</v>
      </c>
      <c r="AB1057" s="6">
        <v>3</v>
      </c>
      <c r="AC1057" s="6" t="s">
        <v>180</v>
      </c>
    </row>
    <row r="1058" spans="1:29" x14ac:dyDescent="0.25">
      <c r="A1058" s="145" t="str">
        <f>HYPERLINK("http://www.ofsted.gov.uk/inspection-reports/find-inspection-report/provider/ELS/141503 ","Ofsted Webpage")</f>
        <v>Ofsted Webpage</v>
      </c>
      <c r="B1058" s="151">
        <v>141503</v>
      </c>
      <c r="C1058" s="151">
        <v>10021185</v>
      </c>
      <c r="D1058" s="46" t="s">
        <v>782</v>
      </c>
      <c r="E1058" s="26" t="s">
        <v>70</v>
      </c>
      <c r="F1058" s="26" t="s">
        <v>71</v>
      </c>
      <c r="G1058" s="26" t="s">
        <v>783</v>
      </c>
      <c r="H1058" s="26" t="s">
        <v>204</v>
      </c>
      <c r="I1058" s="26" t="s">
        <v>188</v>
      </c>
      <c r="J1058" s="2" t="s">
        <v>72</v>
      </c>
      <c r="K1058" s="141" t="s">
        <v>72</v>
      </c>
      <c r="L1058" s="141">
        <v>10030726</v>
      </c>
      <c r="M1058" s="26" t="s">
        <v>532</v>
      </c>
      <c r="N1058" s="2">
        <v>42899</v>
      </c>
      <c r="O1058" s="2">
        <v>42901</v>
      </c>
      <c r="P1058" s="133">
        <v>42934</v>
      </c>
      <c r="Q1058" s="6">
        <v>3</v>
      </c>
      <c r="R1058" s="6">
        <v>3</v>
      </c>
      <c r="S1058" s="6">
        <v>3</v>
      </c>
      <c r="T1058" s="6">
        <v>3</v>
      </c>
      <c r="U1058" s="6">
        <v>3</v>
      </c>
      <c r="V1058" s="6" t="s">
        <v>784</v>
      </c>
      <c r="W1058" s="5">
        <v>42181</v>
      </c>
      <c r="X1058" s="6">
        <v>3</v>
      </c>
      <c r="Y1058" s="6">
        <v>2</v>
      </c>
      <c r="Z1058" s="6">
        <v>3</v>
      </c>
      <c r="AA1058" s="6" t="s">
        <v>178</v>
      </c>
      <c r="AB1058" s="6">
        <v>3</v>
      </c>
      <c r="AC1058" s="6" t="s">
        <v>180</v>
      </c>
    </row>
    <row r="1059" spans="1:29" x14ac:dyDescent="0.25">
      <c r="A1059" s="145" t="str">
        <f>HYPERLINK("http://www.ofsted.gov.uk/inspection-reports/find-inspection-report/provider/ELS/141504 ","Ofsted Webpage")</f>
        <v>Ofsted Webpage</v>
      </c>
      <c r="B1059" s="151">
        <v>141504</v>
      </c>
      <c r="C1059" s="151">
        <v>10046704</v>
      </c>
      <c r="D1059" s="46" t="s">
        <v>898</v>
      </c>
      <c r="E1059" s="26" t="s">
        <v>70</v>
      </c>
      <c r="F1059" s="26" t="s">
        <v>71</v>
      </c>
      <c r="G1059" s="26" t="s">
        <v>197</v>
      </c>
      <c r="H1059" s="26" t="s">
        <v>198</v>
      </c>
      <c r="I1059" s="26" t="s">
        <v>198</v>
      </c>
      <c r="J1059" s="2" t="s">
        <v>72</v>
      </c>
      <c r="K1059" s="141" t="s">
        <v>72</v>
      </c>
      <c r="L1059" s="141" t="s">
        <v>72</v>
      </c>
      <c r="M1059" s="26" t="s">
        <v>72</v>
      </c>
      <c r="N1059" s="2" t="s">
        <v>72</v>
      </c>
      <c r="O1059" s="2" t="s">
        <v>72</v>
      </c>
      <c r="P1059" s="133" t="s">
        <v>72</v>
      </c>
      <c r="Q1059" s="6" t="s">
        <v>72</v>
      </c>
      <c r="R1059" s="6" t="s">
        <v>72</v>
      </c>
      <c r="S1059" s="6" t="s">
        <v>72</v>
      </c>
      <c r="T1059" s="6" t="s">
        <v>72</v>
      </c>
      <c r="U1059" s="6" t="s">
        <v>72</v>
      </c>
      <c r="V1059" s="6" t="s">
        <v>72</v>
      </c>
      <c r="W1059" s="5" t="s">
        <v>72</v>
      </c>
      <c r="X1059" s="6" t="s">
        <v>72</v>
      </c>
      <c r="Y1059" s="6" t="s">
        <v>72</v>
      </c>
      <c r="Z1059" s="6" t="s">
        <v>72</v>
      </c>
      <c r="AA1059" s="6" t="s">
        <v>72</v>
      </c>
      <c r="AB1059" s="6" t="s">
        <v>72</v>
      </c>
      <c r="AC1059" s="6" t="s">
        <v>72</v>
      </c>
    </row>
    <row r="1060" spans="1:29" x14ac:dyDescent="0.25">
      <c r="A1060" s="145" t="str">
        <f>HYPERLINK("http://www.ofsted.gov.uk/inspection-reports/find-inspection-report/provider/ELS/141703 ","Ofsted Webpage")</f>
        <v>Ofsted Webpage</v>
      </c>
      <c r="B1060" s="151">
        <v>141703</v>
      </c>
      <c r="C1060" s="151">
        <v>10032898</v>
      </c>
      <c r="D1060" s="46" t="s">
        <v>896</v>
      </c>
      <c r="E1060" s="26" t="s">
        <v>70</v>
      </c>
      <c r="F1060" s="26" t="s">
        <v>71</v>
      </c>
      <c r="G1060" s="26" t="s">
        <v>223</v>
      </c>
      <c r="H1060" s="26" t="s">
        <v>193</v>
      </c>
      <c r="I1060" s="26" t="s">
        <v>193</v>
      </c>
      <c r="J1060" s="2" t="s">
        <v>72</v>
      </c>
      <c r="K1060" s="141" t="s">
        <v>72</v>
      </c>
      <c r="L1060" s="141">
        <v>10030743</v>
      </c>
      <c r="M1060" s="26" t="s">
        <v>897</v>
      </c>
      <c r="N1060" s="2">
        <v>42878</v>
      </c>
      <c r="O1060" s="2">
        <v>42880</v>
      </c>
      <c r="P1060" s="133">
        <v>42907</v>
      </c>
      <c r="Q1060" s="6">
        <v>3</v>
      </c>
      <c r="R1060" s="6">
        <v>3</v>
      </c>
      <c r="S1060" s="6">
        <v>3</v>
      </c>
      <c r="T1060" s="6">
        <v>2</v>
      </c>
      <c r="U1060" s="6">
        <v>3</v>
      </c>
      <c r="V1060" s="6">
        <v>10008479</v>
      </c>
      <c r="W1060" s="5">
        <v>42445</v>
      </c>
      <c r="X1060" s="6">
        <v>4</v>
      </c>
      <c r="Y1060" s="6">
        <v>4</v>
      </c>
      <c r="Z1060" s="6">
        <v>4</v>
      </c>
      <c r="AA1060" s="6">
        <v>4</v>
      </c>
      <c r="AB1060" s="6">
        <v>4</v>
      </c>
      <c r="AC1060" s="6" t="s">
        <v>216</v>
      </c>
    </row>
    <row r="1061" spans="1:29" x14ac:dyDescent="0.25">
      <c r="A1061" s="145" t="str">
        <f>HYPERLINK("http://www.ofsted.gov.uk/inspection-reports/find-inspection-report/provider/ELS/141738 ","Ofsted Webpage")</f>
        <v>Ofsted Webpage</v>
      </c>
      <c r="B1061" s="151">
        <v>141738</v>
      </c>
      <c r="C1061" s="151">
        <v>10041170</v>
      </c>
      <c r="D1061" s="46" t="s">
        <v>541</v>
      </c>
      <c r="E1061" s="26" t="s">
        <v>70</v>
      </c>
      <c r="F1061" s="26" t="s">
        <v>71</v>
      </c>
      <c r="G1061" s="26" t="s">
        <v>542</v>
      </c>
      <c r="H1061" s="26" t="s">
        <v>238</v>
      </c>
      <c r="I1061" s="26" t="s">
        <v>238</v>
      </c>
      <c r="J1061" s="2" t="s">
        <v>72</v>
      </c>
      <c r="K1061" s="141" t="s">
        <v>72</v>
      </c>
      <c r="L1061" s="141">
        <v>10004840</v>
      </c>
      <c r="M1061" s="26" t="s">
        <v>270</v>
      </c>
      <c r="N1061" s="2">
        <v>42661</v>
      </c>
      <c r="O1061" s="2">
        <v>42663</v>
      </c>
      <c r="P1061" s="133">
        <v>42691</v>
      </c>
      <c r="Q1061" s="6">
        <v>3</v>
      </c>
      <c r="R1061" s="6">
        <v>3</v>
      </c>
      <c r="S1061" s="6">
        <v>3</v>
      </c>
      <c r="T1061" s="6">
        <v>3</v>
      </c>
      <c r="U1061" s="6">
        <v>3</v>
      </c>
      <c r="V1061" s="6" t="s">
        <v>72</v>
      </c>
      <c r="W1061" s="5" t="s">
        <v>72</v>
      </c>
      <c r="X1061" s="6" t="s">
        <v>72</v>
      </c>
      <c r="Y1061" s="6" t="s">
        <v>72</v>
      </c>
      <c r="Z1061" s="6" t="s">
        <v>72</v>
      </c>
      <c r="AA1061" s="6" t="s">
        <v>72</v>
      </c>
      <c r="AB1061" s="6" t="s">
        <v>72</v>
      </c>
      <c r="AC1061" s="6" t="s">
        <v>208</v>
      </c>
    </row>
    <row r="1062" spans="1:29" x14ac:dyDescent="0.25">
      <c r="A1062" s="145" t="str">
        <f>HYPERLINK("http://www.ofsted.gov.uk/inspection-reports/find-inspection-report/provider/ELS/141887 ","Ofsted Webpage")</f>
        <v>Ofsted Webpage</v>
      </c>
      <c r="B1062" s="151">
        <v>141887</v>
      </c>
      <c r="C1062" s="151">
        <v>10049051</v>
      </c>
      <c r="D1062" s="46" t="s">
        <v>1223</v>
      </c>
      <c r="E1062" s="26" t="s">
        <v>70</v>
      </c>
      <c r="F1062" s="26" t="s">
        <v>71</v>
      </c>
      <c r="G1062" s="26" t="s">
        <v>656</v>
      </c>
      <c r="H1062" s="26" t="s">
        <v>238</v>
      </c>
      <c r="I1062" s="26" t="s">
        <v>238</v>
      </c>
      <c r="J1062" s="2" t="s">
        <v>72</v>
      </c>
      <c r="K1062" s="141" t="s">
        <v>72</v>
      </c>
      <c r="L1062" s="141">
        <v>10022626</v>
      </c>
      <c r="M1062" s="26" t="s">
        <v>270</v>
      </c>
      <c r="N1062" s="2">
        <v>42899</v>
      </c>
      <c r="O1062" s="2">
        <v>42901</v>
      </c>
      <c r="P1062" s="133">
        <v>42929</v>
      </c>
      <c r="Q1062" s="6">
        <v>3</v>
      </c>
      <c r="R1062" s="6">
        <v>3</v>
      </c>
      <c r="S1062" s="6">
        <v>3</v>
      </c>
      <c r="T1062" s="6">
        <v>2</v>
      </c>
      <c r="U1062" s="6">
        <v>3</v>
      </c>
      <c r="V1062" s="6" t="s">
        <v>72</v>
      </c>
      <c r="W1062" s="5" t="s">
        <v>72</v>
      </c>
      <c r="X1062" s="6" t="s">
        <v>72</v>
      </c>
      <c r="Y1062" s="6" t="s">
        <v>72</v>
      </c>
      <c r="Z1062" s="6" t="s">
        <v>72</v>
      </c>
      <c r="AA1062" s="6" t="s">
        <v>72</v>
      </c>
      <c r="AB1062" s="6" t="s">
        <v>72</v>
      </c>
      <c r="AC1062" s="6" t="s">
        <v>208</v>
      </c>
    </row>
    <row r="1063" spans="1:29" x14ac:dyDescent="0.25">
      <c r="A1063" s="145" t="str">
        <f>HYPERLINK("http://www.ofsted.gov.uk/inspection-reports/find-inspection-report/provider/ELS/141940 ","Ofsted Webpage")</f>
        <v>Ofsted Webpage</v>
      </c>
      <c r="B1063" s="131">
        <v>141940</v>
      </c>
      <c r="C1063" s="131">
        <v>10053859</v>
      </c>
      <c r="D1063" s="46" t="s">
        <v>2636</v>
      </c>
      <c r="E1063" s="26" t="s">
        <v>73</v>
      </c>
      <c r="F1063" s="26" t="s">
        <v>74</v>
      </c>
      <c r="G1063" s="26" t="s">
        <v>474</v>
      </c>
      <c r="H1063" s="26" t="s">
        <v>187</v>
      </c>
      <c r="I1063" s="26" t="s">
        <v>188</v>
      </c>
      <c r="J1063" s="2" t="s">
        <v>72</v>
      </c>
      <c r="K1063" s="26" t="s">
        <v>72</v>
      </c>
      <c r="L1063" s="26" t="s">
        <v>72</v>
      </c>
      <c r="M1063" s="26" t="s">
        <v>72</v>
      </c>
      <c r="N1063" s="2" t="s">
        <v>72</v>
      </c>
      <c r="O1063" s="2" t="s">
        <v>72</v>
      </c>
      <c r="P1063" s="2" t="s">
        <v>72</v>
      </c>
      <c r="Q1063" s="6" t="s">
        <v>72</v>
      </c>
      <c r="R1063" s="6" t="s">
        <v>72</v>
      </c>
      <c r="S1063" s="6" t="s">
        <v>72</v>
      </c>
      <c r="T1063" s="6" t="s">
        <v>72</v>
      </c>
      <c r="U1063" s="6" t="s">
        <v>72</v>
      </c>
      <c r="V1063" s="6" t="s">
        <v>72</v>
      </c>
      <c r="W1063" s="5" t="s">
        <v>72</v>
      </c>
      <c r="X1063" s="6" t="s">
        <v>72</v>
      </c>
      <c r="Y1063" s="6" t="s">
        <v>72</v>
      </c>
      <c r="Z1063" s="6" t="s">
        <v>72</v>
      </c>
      <c r="AA1063" s="6" t="s">
        <v>72</v>
      </c>
      <c r="AB1063" s="6" t="s">
        <v>72</v>
      </c>
      <c r="AC1063" s="6" t="s">
        <v>72</v>
      </c>
    </row>
    <row r="1064" spans="1:29" x14ac:dyDescent="0.25">
      <c r="A1064" s="145" t="str">
        <f>HYPERLINK("http://www.ofsted.gov.uk/inspection-reports/find-inspection-report/provider/ELS/141965 ","Ofsted Webpage")</f>
        <v>Ofsted Webpage</v>
      </c>
      <c r="B1064" s="131">
        <v>141965</v>
      </c>
      <c r="C1064" s="131">
        <v>10053513</v>
      </c>
      <c r="D1064" s="46" t="s">
        <v>2839</v>
      </c>
      <c r="E1064" s="26" t="s">
        <v>73</v>
      </c>
      <c r="F1064" s="26" t="s">
        <v>74</v>
      </c>
      <c r="G1064" s="26" t="s">
        <v>1294</v>
      </c>
      <c r="H1064" s="26" t="s">
        <v>214</v>
      </c>
      <c r="I1064" s="26" t="s">
        <v>214</v>
      </c>
      <c r="J1064" s="2" t="s">
        <v>72</v>
      </c>
      <c r="K1064" s="26" t="s">
        <v>72</v>
      </c>
      <c r="L1064" s="144">
        <v>10022578</v>
      </c>
      <c r="M1064" s="26" t="s">
        <v>284</v>
      </c>
      <c r="N1064" s="2">
        <v>42752</v>
      </c>
      <c r="O1064" s="2">
        <v>42754</v>
      </c>
      <c r="P1064" s="2">
        <v>42786</v>
      </c>
      <c r="Q1064" s="6">
        <v>1</v>
      </c>
      <c r="R1064" s="6">
        <v>1</v>
      </c>
      <c r="S1064" s="6">
        <v>1</v>
      </c>
      <c r="T1064" s="6">
        <v>1</v>
      </c>
      <c r="U1064" s="6">
        <v>1</v>
      </c>
      <c r="V1064" s="6" t="s">
        <v>72</v>
      </c>
      <c r="W1064" s="5" t="s">
        <v>72</v>
      </c>
      <c r="X1064" s="6" t="s">
        <v>72</v>
      </c>
      <c r="Y1064" s="6" t="s">
        <v>72</v>
      </c>
      <c r="Z1064" s="6" t="s">
        <v>72</v>
      </c>
      <c r="AA1064" s="6" t="s">
        <v>72</v>
      </c>
      <c r="AB1064" s="6" t="s">
        <v>72</v>
      </c>
      <c r="AC1064" s="6" t="s">
        <v>208</v>
      </c>
    </row>
    <row r="1065" spans="1:29" x14ac:dyDescent="0.25">
      <c r="A1065" s="145" t="str">
        <f>HYPERLINK("http://www.ofsted.gov.uk/inspection-reports/find-inspection-report/provider/ELS/142283 ","Ofsted Webpage")</f>
        <v>Ofsted Webpage</v>
      </c>
      <c r="B1065" s="131">
        <v>142283</v>
      </c>
      <c r="C1065" s="131">
        <v>10053874</v>
      </c>
      <c r="D1065" s="46" t="s">
        <v>2840</v>
      </c>
      <c r="E1065" s="26" t="s">
        <v>88</v>
      </c>
      <c r="F1065" s="26" t="s">
        <v>74</v>
      </c>
      <c r="G1065" s="26" t="s">
        <v>419</v>
      </c>
      <c r="H1065" s="26" t="s">
        <v>287</v>
      </c>
      <c r="I1065" s="26" t="s">
        <v>287</v>
      </c>
      <c r="J1065" s="2" t="s">
        <v>72</v>
      </c>
      <c r="K1065" s="26" t="s">
        <v>72</v>
      </c>
      <c r="L1065" s="26" t="s">
        <v>72</v>
      </c>
      <c r="M1065" s="26" t="s">
        <v>72</v>
      </c>
      <c r="N1065" s="2" t="s">
        <v>72</v>
      </c>
      <c r="O1065" s="2" t="s">
        <v>72</v>
      </c>
      <c r="P1065" s="2" t="s">
        <v>72</v>
      </c>
      <c r="Q1065" s="6" t="s">
        <v>72</v>
      </c>
      <c r="R1065" s="6" t="s">
        <v>72</v>
      </c>
      <c r="S1065" s="6" t="s">
        <v>72</v>
      </c>
      <c r="T1065" s="6" t="s">
        <v>72</v>
      </c>
      <c r="U1065" s="6" t="s">
        <v>72</v>
      </c>
      <c r="V1065" s="6" t="s">
        <v>72</v>
      </c>
      <c r="W1065" s="5" t="s">
        <v>72</v>
      </c>
      <c r="X1065" s="6" t="s">
        <v>72</v>
      </c>
      <c r="Y1065" s="6" t="s">
        <v>72</v>
      </c>
      <c r="Z1065" s="6" t="s">
        <v>72</v>
      </c>
      <c r="AA1065" s="6" t="s">
        <v>72</v>
      </c>
      <c r="AB1065" s="6" t="s">
        <v>72</v>
      </c>
      <c r="AC1065" s="6" t="s">
        <v>72</v>
      </c>
    </row>
    <row r="1066" spans="1:29" x14ac:dyDescent="0.25">
      <c r="A1066" s="145" t="str">
        <f>HYPERLINK("http://www.ofsted.gov.uk/inspection-reports/find-inspection-report/provider/ELS/142478 ","Ofsted Webpage")</f>
        <v>Ofsted Webpage</v>
      </c>
      <c r="B1066" s="131">
        <v>142478</v>
      </c>
      <c r="C1066" s="131">
        <v>10053961</v>
      </c>
      <c r="D1066" s="46" t="s">
        <v>3029</v>
      </c>
      <c r="E1066" s="26" t="s">
        <v>81</v>
      </c>
      <c r="F1066" s="26" t="s">
        <v>82</v>
      </c>
      <c r="G1066" s="26" t="s">
        <v>851</v>
      </c>
      <c r="H1066" s="26" t="s">
        <v>238</v>
      </c>
      <c r="I1066" s="26" t="s">
        <v>238</v>
      </c>
      <c r="J1066" s="2" t="s">
        <v>72</v>
      </c>
      <c r="K1066" s="26" t="s">
        <v>72</v>
      </c>
      <c r="L1066" s="26" t="s">
        <v>72</v>
      </c>
      <c r="M1066" s="26" t="s">
        <v>72</v>
      </c>
      <c r="N1066" s="2" t="s">
        <v>72</v>
      </c>
      <c r="O1066" s="2" t="s">
        <v>72</v>
      </c>
      <c r="P1066" s="2" t="s">
        <v>72</v>
      </c>
      <c r="Q1066" s="6" t="s">
        <v>72</v>
      </c>
      <c r="R1066" s="6" t="s">
        <v>72</v>
      </c>
      <c r="S1066" s="6" t="s">
        <v>72</v>
      </c>
      <c r="T1066" s="6" t="s">
        <v>72</v>
      </c>
      <c r="U1066" s="6" t="s">
        <v>72</v>
      </c>
      <c r="V1066" s="6" t="s">
        <v>72</v>
      </c>
      <c r="W1066" s="5" t="s">
        <v>72</v>
      </c>
      <c r="X1066" s="6" t="s">
        <v>72</v>
      </c>
      <c r="Y1066" s="6" t="s">
        <v>72</v>
      </c>
      <c r="Z1066" s="6" t="s">
        <v>72</v>
      </c>
      <c r="AA1066" s="6" t="s">
        <v>72</v>
      </c>
      <c r="AB1066" s="6" t="s">
        <v>72</v>
      </c>
      <c r="AC1066" s="6" t="s">
        <v>72</v>
      </c>
    </row>
    <row r="1067" spans="1:29" x14ac:dyDescent="0.25">
      <c r="A1067" s="145" t="str">
        <f>HYPERLINK("http://www.ofsted.gov.uk/inspection-reports/find-inspection-report/provider/ELS/142479 ","Ofsted Webpage")</f>
        <v>Ofsted Webpage</v>
      </c>
      <c r="B1067" s="151">
        <v>142479</v>
      </c>
      <c r="C1067" s="151">
        <v>10053962</v>
      </c>
      <c r="D1067" s="46" t="s">
        <v>2997</v>
      </c>
      <c r="E1067" s="26" t="s">
        <v>81</v>
      </c>
      <c r="F1067" s="26" t="s">
        <v>82</v>
      </c>
      <c r="G1067" s="26" t="s">
        <v>319</v>
      </c>
      <c r="H1067" s="26" t="s">
        <v>204</v>
      </c>
      <c r="I1067" s="26" t="s">
        <v>188</v>
      </c>
      <c r="J1067" s="2" t="s">
        <v>72</v>
      </c>
      <c r="K1067" s="141" t="s">
        <v>72</v>
      </c>
      <c r="L1067" s="141" t="s">
        <v>72</v>
      </c>
      <c r="M1067" s="26" t="s">
        <v>72</v>
      </c>
      <c r="N1067" s="2" t="s">
        <v>72</v>
      </c>
      <c r="O1067" s="2" t="s">
        <v>72</v>
      </c>
      <c r="P1067" s="119" t="s">
        <v>72</v>
      </c>
      <c r="Q1067" s="6" t="s">
        <v>72</v>
      </c>
      <c r="R1067" s="6" t="s">
        <v>72</v>
      </c>
      <c r="S1067" s="6" t="s">
        <v>72</v>
      </c>
      <c r="T1067" s="6" t="s">
        <v>72</v>
      </c>
      <c r="U1067" s="6" t="s">
        <v>72</v>
      </c>
      <c r="V1067" s="6" t="s">
        <v>72</v>
      </c>
      <c r="W1067" s="5" t="s">
        <v>72</v>
      </c>
      <c r="X1067" s="6" t="s">
        <v>72</v>
      </c>
      <c r="Y1067" s="6" t="s">
        <v>72</v>
      </c>
      <c r="Z1067" s="6" t="s">
        <v>72</v>
      </c>
      <c r="AA1067" s="6" t="s">
        <v>72</v>
      </c>
      <c r="AB1067" s="6" t="s">
        <v>72</v>
      </c>
      <c r="AC1067" s="6" t="s">
        <v>72</v>
      </c>
    </row>
    <row r="1068" spans="1:29" x14ac:dyDescent="0.25">
      <c r="A1068" s="145" t="str">
        <f>HYPERLINK("http://www.ofsted.gov.uk/inspection-reports/find-inspection-report/provider/ELS/142480 ","Ofsted Webpage")</f>
        <v>Ofsted Webpage</v>
      </c>
      <c r="B1068" s="151">
        <v>142480</v>
      </c>
      <c r="C1068" s="151">
        <v>10053963</v>
      </c>
      <c r="D1068" s="46" t="s">
        <v>2998</v>
      </c>
      <c r="E1068" s="26" t="s">
        <v>81</v>
      </c>
      <c r="F1068" s="26" t="s">
        <v>82</v>
      </c>
      <c r="G1068" s="26" t="s">
        <v>319</v>
      </c>
      <c r="H1068" s="26" t="s">
        <v>204</v>
      </c>
      <c r="I1068" s="26" t="s">
        <v>188</v>
      </c>
      <c r="J1068" s="2" t="s">
        <v>72</v>
      </c>
      <c r="K1068" s="141" t="s">
        <v>72</v>
      </c>
      <c r="L1068" s="141" t="s">
        <v>72</v>
      </c>
      <c r="M1068" s="26" t="s">
        <v>72</v>
      </c>
      <c r="N1068" s="2" t="s">
        <v>72</v>
      </c>
      <c r="O1068" s="2" t="s">
        <v>72</v>
      </c>
      <c r="P1068" s="133" t="s">
        <v>72</v>
      </c>
      <c r="Q1068" s="6" t="s">
        <v>72</v>
      </c>
      <c r="R1068" s="6" t="s">
        <v>72</v>
      </c>
      <c r="S1068" s="6" t="s">
        <v>72</v>
      </c>
      <c r="T1068" s="6" t="s">
        <v>72</v>
      </c>
      <c r="U1068" s="6" t="s">
        <v>72</v>
      </c>
      <c r="V1068" s="6" t="s">
        <v>72</v>
      </c>
      <c r="W1068" s="5" t="s">
        <v>72</v>
      </c>
      <c r="X1068" s="6" t="s">
        <v>72</v>
      </c>
      <c r="Y1068" s="6" t="s">
        <v>72</v>
      </c>
      <c r="Z1068" s="6" t="s">
        <v>72</v>
      </c>
      <c r="AA1068" s="6" t="s">
        <v>72</v>
      </c>
      <c r="AB1068" s="6" t="s">
        <v>72</v>
      </c>
      <c r="AC1068" s="6" t="s">
        <v>72</v>
      </c>
    </row>
    <row r="1069" spans="1:29" x14ac:dyDescent="0.25">
      <c r="A1069" s="145" t="str">
        <f>HYPERLINK("http://www.ofsted.gov.uk/inspection-reports/find-inspection-report/provider/ELS/142481 ","Ofsted Webpage")</f>
        <v>Ofsted Webpage</v>
      </c>
      <c r="B1069" s="131">
        <v>142481</v>
      </c>
      <c r="C1069" s="131">
        <v>10053960</v>
      </c>
      <c r="D1069" s="46" t="s">
        <v>3028</v>
      </c>
      <c r="E1069" s="26" t="s">
        <v>81</v>
      </c>
      <c r="F1069" s="26" t="s">
        <v>82</v>
      </c>
      <c r="G1069" s="26" t="s">
        <v>327</v>
      </c>
      <c r="H1069" s="26" t="s">
        <v>193</v>
      </c>
      <c r="I1069" s="26" t="s">
        <v>193</v>
      </c>
      <c r="J1069" s="2" t="s">
        <v>72</v>
      </c>
      <c r="K1069" s="26" t="s">
        <v>72</v>
      </c>
      <c r="L1069" s="26" t="s">
        <v>72</v>
      </c>
      <c r="M1069" s="26" t="s">
        <v>72</v>
      </c>
      <c r="N1069" s="2" t="s">
        <v>72</v>
      </c>
      <c r="O1069" s="2" t="s">
        <v>72</v>
      </c>
      <c r="P1069" s="2" t="s">
        <v>72</v>
      </c>
      <c r="Q1069" s="6" t="s">
        <v>72</v>
      </c>
      <c r="R1069" s="6" t="s">
        <v>72</v>
      </c>
      <c r="S1069" s="6" t="s">
        <v>72</v>
      </c>
      <c r="T1069" s="6" t="s">
        <v>72</v>
      </c>
      <c r="U1069" s="6" t="s">
        <v>72</v>
      </c>
      <c r="V1069" s="6" t="s">
        <v>72</v>
      </c>
      <c r="W1069" s="5" t="s">
        <v>72</v>
      </c>
      <c r="X1069" s="6" t="s">
        <v>72</v>
      </c>
      <c r="Y1069" s="6" t="s">
        <v>72</v>
      </c>
      <c r="Z1069" s="6" t="s">
        <v>72</v>
      </c>
      <c r="AA1069" s="6" t="s">
        <v>72</v>
      </c>
      <c r="AB1069" s="6" t="s">
        <v>72</v>
      </c>
      <c r="AC1069" s="6" t="s">
        <v>72</v>
      </c>
    </row>
    <row r="1070" spans="1:29" x14ac:dyDescent="0.25">
      <c r="A1070" s="145" t="str">
        <f>HYPERLINK("http://www.ofsted.gov.uk/inspection-reports/find-inspection-report/provider/ELS/142673 ","Ofsted Webpage")</f>
        <v>Ofsted Webpage</v>
      </c>
      <c r="B1070" s="131">
        <v>142673</v>
      </c>
      <c r="C1070" s="131">
        <v>10055888</v>
      </c>
      <c r="D1070" s="46" t="s">
        <v>1083</v>
      </c>
      <c r="E1070" s="26" t="s">
        <v>88</v>
      </c>
      <c r="F1070" s="26" t="s">
        <v>74</v>
      </c>
      <c r="G1070" s="26" t="s">
        <v>319</v>
      </c>
      <c r="H1070" s="26" t="s">
        <v>204</v>
      </c>
      <c r="I1070" s="26" t="s">
        <v>188</v>
      </c>
      <c r="J1070" s="2" t="s">
        <v>72</v>
      </c>
      <c r="K1070" s="26" t="s">
        <v>72</v>
      </c>
      <c r="L1070" s="26" t="s">
        <v>72</v>
      </c>
      <c r="M1070" s="26" t="s">
        <v>72</v>
      </c>
      <c r="N1070" s="2" t="s">
        <v>72</v>
      </c>
      <c r="O1070" s="2" t="s">
        <v>72</v>
      </c>
      <c r="P1070" s="2" t="s">
        <v>72</v>
      </c>
      <c r="Q1070" s="6" t="s">
        <v>72</v>
      </c>
      <c r="R1070" s="6" t="s">
        <v>72</v>
      </c>
      <c r="S1070" s="6" t="s">
        <v>72</v>
      </c>
      <c r="T1070" s="6" t="s">
        <v>72</v>
      </c>
      <c r="U1070" s="6" t="s">
        <v>72</v>
      </c>
      <c r="V1070" s="6" t="s">
        <v>72</v>
      </c>
      <c r="W1070" s="5" t="s">
        <v>72</v>
      </c>
      <c r="X1070" s="6" t="s">
        <v>72</v>
      </c>
      <c r="Y1070" s="6" t="s">
        <v>72</v>
      </c>
      <c r="Z1070" s="6" t="s">
        <v>72</v>
      </c>
      <c r="AA1070" s="6" t="s">
        <v>72</v>
      </c>
      <c r="AB1070" s="6" t="s">
        <v>72</v>
      </c>
      <c r="AC1070" s="6" t="s">
        <v>72</v>
      </c>
    </row>
    <row r="1071" spans="1:29" x14ac:dyDescent="0.25">
      <c r="A1071" s="145" t="str">
        <f>HYPERLINK("http://www.ofsted.gov.uk/inspection-reports/find-inspection-report/provider/ELS/142873 ","Ofsted Webpage")</f>
        <v>Ofsted Webpage</v>
      </c>
      <c r="B1071" s="131">
        <v>142873</v>
      </c>
      <c r="C1071" s="131">
        <v>10056989</v>
      </c>
      <c r="D1071" s="46" t="s">
        <v>2848</v>
      </c>
      <c r="E1071" s="26" t="s">
        <v>73</v>
      </c>
      <c r="F1071" s="26" t="s">
        <v>74</v>
      </c>
      <c r="G1071" s="26" t="s">
        <v>855</v>
      </c>
      <c r="H1071" s="26" t="s">
        <v>175</v>
      </c>
      <c r="I1071" s="26" t="s">
        <v>175</v>
      </c>
      <c r="J1071" s="2" t="s">
        <v>72</v>
      </c>
      <c r="K1071" s="26" t="s">
        <v>72</v>
      </c>
      <c r="L1071" s="26" t="s">
        <v>72</v>
      </c>
      <c r="M1071" s="26" t="s">
        <v>72</v>
      </c>
      <c r="N1071" s="2" t="s">
        <v>72</v>
      </c>
      <c r="O1071" s="2" t="s">
        <v>72</v>
      </c>
      <c r="P1071" s="2" t="s">
        <v>72</v>
      </c>
      <c r="Q1071" s="6" t="s">
        <v>72</v>
      </c>
      <c r="R1071" s="6" t="s">
        <v>72</v>
      </c>
      <c r="S1071" s="6" t="s">
        <v>72</v>
      </c>
      <c r="T1071" s="6" t="s">
        <v>72</v>
      </c>
      <c r="U1071" s="6" t="s">
        <v>72</v>
      </c>
      <c r="V1071" s="6" t="s">
        <v>72</v>
      </c>
      <c r="W1071" s="5" t="s">
        <v>72</v>
      </c>
      <c r="X1071" s="6" t="s">
        <v>72</v>
      </c>
      <c r="Y1071" s="6" t="s">
        <v>72</v>
      </c>
      <c r="Z1071" s="6" t="s">
        <v>72</v>
      </c>
      <c r="AA1071" s="6" t="s">
        <v>72</v>
      </c>
      <c r="AB1071" s="6" t="s">
        <v>72</v>
      </c>
      <c r="AC1071" s="6" t="s">
        <v>72</v>
      </c>
    </row>
    <row r="1072" spans="1:29" x14ac:dyDescent="0.25">
      <c r="A1072" s="145" t="str">
        <f>HYPERLINK("http://www.ofsted.gov.uk/inspection-reports/find-inspection-report/provider/ELS/142891 ","Ofsted Webpage")</f>
        <v>Ofsted Webpage</v>
      </c>
      <c r="B1072" s="131">
        <v>142891</v>
      </c>
      <c r="C1072" s="131">
        <v>10056979</v>
      </c>
      <c r="D1072" s="46" t="s">
        <v>2849</v>
      </c>
      <c r="E1072" s="26" t="s">
        <v>73</v>
      </c>
      <c r="F1072" s="26" t="s">
        <v>74</v>
      </c>
      <c r="G1072" s="26" t="s">
        <v>247</v>
      </c>
      <c r="H1072" s="26" t="s">
        <v>238</v>
      </c>
      <c r="I1072" s="26" t="s">
        <v>238</v>
      </c>
      <c r="J1072" s="2" t="s">
        <v>72</v>
      </c>
      <c r="K1072" s="26" t="s">
        <v>72</v>
      </c>
      <c r="L1072" s="26" t="s">
        <v>72</v>
      </c>
      <c r="M1072" s="26" t="s">
        <v>72</v>
      </c>
      <c r="N1072" s="2" t="s">
        <v>72</v>
      </c>
      <c r="O1072" s="2" t="s">
        <v>72</v>
      </c>
      <c r="P1072" s="2" t="s">
        <v>72</v>
      </c>
      <c r="Q1072" s="6" t="s">
        <v>72</v>
      </c>
      <c r="R1072" s="6" t="s">
        <v>72</v>
      </c>
      <c r="S1072" s="6" t="s">
        <v>72</v>
      </c>
      <c r="T1072" s="6" t="s">
        <v>72</v>
      </c>
      <c r="U1072" s="6" t="s">
        <v>72</v>
      </c>
      <c r="V1072" s="6" t="s">
        <v>72</v>
      </c>
      <c r="W1072" s="5" t="s">
        <v>72</v>
      </c>
      <c r="X1072" s="6" t="s">
        <v>72</v>
      </c>
      <c r="Y1072" s="6" t="s">
        <v>72</v>
      </c>
      <c r="Z1072" s="6" t="s">
        <v>72</v>
      </c>
      <c r="AA1072" s="6" t="s">
        <v>72</v>
      </c>
      <c r="AB1072" s="6" t="s">
        <v>72</v>
      </c>
      <c r="AC1072" s="6" t="s">
        <v>72</v>
      </c>
    </row>
    <row r="1073" spans="1:29" x14ac:dyDescent="0.25">
      <c r="A1073" s="145" t="str">
        <f>HYPERLINK("http://www.ofsted.gov.uk/inspection-reports/find-inspection-report/provider/ELS/142909 ","Ofsted Webpage")</f>
        <v>Ofsted Webpage</v>
      </c>
      <c r="B1073" s="131">
        <v>142909</v>
      </c>
      <c r="C1073" s="131">
        <v>10032448</v>
      </c>
      <c r="D1073" s="46" t="s">
        <v>2834</v>
      </c>
      <c r="E1073" s="26" t="s">
        <v>70</v>
      </c>
      <c r="F1073" s="26" t="s">
        <v>71</v>
      </c>
      <c r="G1073" s="26" t="s">
        <v>1531</v>
      </c>
      <c r="H1073" s="26" t="s">
        <v>198</v>
      </c>
      <c r="I1073" s="26" t="s">
        <v>198</v>
      </c>
      <c r="J1073" s="2" t="s">
        <v>72</v>
      </c>
      <c r="K1073" s="26" t="s">
        <v>72</v>
      </c>
      <c r="L1073" s="26" t="s">
        <v>72</v>
      </c>
      <c r="M1073" s="26" t="s">
        <v>72</v>
      </c>
      <c r="N1073" s="2" t="s">
        <v>72</v>
      </c>
      <c r="O1073" s="2" t="s">
        <v>72</v>
      </c>
      <c r="P1073" s="2" t="s">
        <v>72</v>
      </c>
      <c r="Q1073" s="6" t="s">
        <v>72</v>
      </c>
      <c r="R1073" s="6" t="s">
        <v>72</v>
      </c>
      <c r="S1073" s="6" t="s">
        <v>72</v>
      </c>
      <c r="T1073" s="6" t="s">
        <v>72</v>
      </c>
      <c r="U1073" s="6" t="s">
        <v>72</v>
      </c>
      <c r="V1073" s="6" t="s">
        <v>72</v>
      </c>
      <c r="W1073" s="5" t="s">
        <v>72</v>
      </c>
      <c r="X1073" s="6" t="s">
        <v>72</v>
      </c>
      <c r="Y1073" s="6" t="s">
        <v>72</v>
      </c>
      <c r="Z1073" s="6" t="s">
        <v>72</v>
      </c>
      <c r="AA1073" s="6" t="s">
        <v>72</v>
      </c>
      <c r="AB1073" s="6" t="s">
        <v>72</v>
      </c>
      <c r="AC1073" s="6" t="s">
        <v>72</v>
      </c>
    </row>
    <row r="1074" spans="1:29" x14ac:dyDescent="0.25">
      <c r="A1074" s="145" t="str">
        <f>HYPERLINK("http://www.ofsted.gov.uk/inspection-reports/find-inspection-report/provider/ELS/142910 ","Ofsted Webpage")</f>
        <v>Ofsted Webpage</v>
      </c>
      <c r="B1074" s="131">
        <v>142910</v>
      </c>
      <c r="C1074" s="131">
        <v>10057953</v>
      </c>
      <c r="D1074" s="46" t="s">
        <v>2835</v>
      </c>
      <c r="E1074" s="26" t="s">
        <v>70</v>
      </c>
      <c r="F1074" s="26" t="s">
        <v>71</v>
      </c>
      <c r="G1074" s="26" t="s">
        <v>218</v>
      </c>
      <c r="H1074" s="26" t="s">
        <v>219</v>
      </c>
      <c r="I1074" s="26" t="s">
        <v>219</v>
      </c>
      <c r="J1074" s="2" t="s">
        <v>72</v>
      </c>
      <c r="K1074" s="26" t="s">
        <v>72</v>
      </c>
      <c r="L1074" s="26" t="s">
        <v>72</v>
      </c>
      <c r="M1074" s="26" t="s">
        <v>72</v>
      </c>
      <c r="N1074" s="2" t="s">
        <v>72</v>
      </c>
      <c r="O1074" s="2" t="s">
        <v>72</v>
      </c>
      <c r="P1074" s="2" t="s">
        <v>72</v>
      </c>
      <c r="Q1074" s="6" t="s">
        <v>72</v>
      </c>
      <c r="R1074" s="6" t="s">
        <v>72</v>
      </c>
      <c r="S1074" s="6" t="s">
        <v>72</v>
      </c>
      <c r="T1074" s="6" t="s">
        <v>72</v>
      </c>
      <c r="U1074" s="6" t="s">
        <v>72</v>
      </c>
      <c r="V1074" s="6" t="s">
        <v>72</v>
      </c>
      <c r="W1074" s="5" t="s">
        <v>72</v>
      </c>
      <c r="X1074" s="6" t="s">
        <v>72</v>
      </c>
      <c r="Y1074" s="6" t="s">
        <v>72</v>
      </c>
      <c r="Z1074" s="6" t="s">
        <v>72</v>
      </c>
      <c r="AA1074" s="6" t="s">
        <v>72</v>
      </c>
      <c r="AB1074" s="6" t="s">
        <v>72</v>
      </c>
      <c r="AC1074" s="6" t="s">
        <v>72</v>
      </c>
    </row>
    <row r="1075" spans="1:29" x14ac:dyDescent="0.25">
      <c r="A1075" s="145" t="str">
        <f>HYPERLINK("http://www.ofsted.gov.uk/inspection-reports/find-inspection-report/provider/ELS/142913 ","Ofsted Webpage")</f>
        <v>Ofsted Webpage</v>
      </c>
      <c r="B1075" s="151">
        <v>142913</v>
      </c>
      <c r="C1075" s="151">
        <v>10055479</v>
      </c>
      <c r="D1075" s="46" t="s">
        <v>2815</v>
      </c>
      <c r="E1075" s="26" t="s">
        <v>70</v>
      </c>
      <c r="F1075" s="26" t="s">
        <v>71</v>
      </c>
      <c r="G1075" s="26" t="s">
        <v>640</v>
      </c>
      <c r="H1075" s="26" t="s">
        <v>238</v>
      </c>
      <c r="I1075" s="26" t="s">
        <v>238</v>
      </c>
      <c r="J1075" s="2" t="s">
        <v>72</v>
      </c>
      <c r="K1075" s="141" t="s">
        <v>72</v>
      </c>
      <c r="L1075" s="141" t="s">
        <v>72</v>
      </c>
      <c r="M1075" s="26" t="s">
        <v>72</v>
      </c>
      <c r="N1075" s="2" t="s">
        <v>72</v>
      </c>
      <c r="O1075" s="2" t="s">
        <v>72</v>
      </c>
      <c r="P1075" s="119" t="s">
        <v>72</v>
      </c>
      <c r="Q1075" s="6" t="s">
        <v>72</v>
      </c>
      <c r="R1075" s="6" t="s">
        <v>72</v>
      </c>
      <c r="S1075" s="6" t="s">
        <v>72</v>
      </c>
      <c r="T1075" s="6" t="s">
        <v>72</v>
      </c>
      <c r="U1075" s="6" t="s">
        <v>72</v>
      </c>
      <c r="V1075" s="6" t="s">
        <v>72</v>
      </c>
      <c r="W1075" s="5" t="s">
        <v>72</v>
      </c>
      <c r="X1075" s="6" t="s">
        <v>72</v>
      </c>
      <c r="Y1075" s="6" t="s">
        <v>72</v>
      </c>
      <c r="Z1075" s="6" t="s">
        <v>72</v>
      </c>
      <c r="AA1075" s="6" t="s">
        <v>72</v>
      </c>
      <c r="AB1075" s="6" t="s">
        <v>72</v>
      </c>
      <c r="AC1075" s="6" t="s">
        <v>72</v>
      </c>
    </row>
    <row r="1076" spans="1:29" x14ac:dyDescent="0.25">
      <c r="A1076" s="145" t="str">
        <f>HYPERLINK("http://www.ofsted.gov.uk/inspection-reports/find-inspection-report/provider/ELS/142914 ","Ofsted Webpage")</f>
        <v>Ofsted Webpage</v>
      </c>
      <c r="B1076" s="131">
        <v>142914</v>
      </c>
      <c r="C1076" s="131">
        <v>10056251</v>
      </c>
      <c r="D1076" s="46" t="s">
        <v>2831</v>
      </c>
      <c r="E1076" s="26" t="s">
        <v>70</v>
      </c>
      <c r="F1076" s="26" t="s">
        <v>71</v>
      </c>
      <c r="G1076" s="26" t="s">
        <v>240</v>
      </c>
      <c r="H1076" s="26" t="s">
        <v>238</v>
      </c>
      <c r="I1076" s="26" t="s">
        <v>238</v>
      </c>
      <c r="J1076" s="2" t="s">
        <v>72</v>
      </c>
      <c r="K1076" s="26" t="s">
        <v>72</v>
      </c>
      <c r="L1076" s="26" t="s">
        <v>72</v>
      </c>
      <c r="M1076" s="26" t="s">
        <v>72</v>
      </c>
      <c r="N1076" s="2" t="s">
        <v>72</v>
      </c>
      <c r="O1076" s="2" t="s">
        <v>72</v>
      </c>
      <c r="P1076" s="2" t="s">
        <v>72</v>
      </c>
      <c r="Q1076" s="6" t="s">
        <v>72</v>
      </c>
      <c r="R1076" s="6" t="s">
        <v>72</v>
      </c>
      <c r="S1076" s="6" t="s">
        <v>72</v>
      </c>
      <c r="T1076" s="6" t="s">
        <v>72</v>
      </c>
      <c r="U1076" s="6" t="s">
        <v>72</v>
      </c>
      <c r="V1076" s="6" t="s">
        <v>72</v>
      </c>
      <c r="W1076" s="5" t="s">
        <v>72</v>
      </c>
      <c r="X1076" s="6" t="s">
        <v>72</v>
      </c>
      <c r="Y1076" s="6" t="s">
        <v>72</v>
      </c>
      <c r="Z1076" s="6" t="s">
        <v>72</v>
      </c>
      <c r="AA1076" s="6" t="s">
        <v>72</v>
      </c>
      <c r="AB1076" s="6" t="s">
        <v>72</v>
      </c>
      <c r="AC1076" s="6" t="s">
        <v>72</v>
      </c>
    </row>
    <row r="1077" spans="1:29" x14ac:dyDescent="0.25">
      <c r="A1077" s="145" t="str">
        <f>HYPERLINK("http://www.ofsted.gov.uk/inspection-reports/find-inspection-report/provider/ELS/142915 ","Ofsted Webpage")</f>
        <v>Ofsted Webpage</v>
      </c>
      <c r="B1077" s="131">
        <v>142915</v>
      </c>
      <c r="C1077" s="131">
        <v>10056854</v>
      </c>
      <c r="D1077" s="46" t="s">
        <v>2852</v>
      </c>
      <c r="E1077" s="26" t="s">
        <v>70</v>
      </c>
      <c r="F1077" s="26" t="s">
        <v>71</v>
      </c>
      <c r="G1077" s="26" t="s">
        <v>223</v>
      </c>
      <c r="H1077" s="26" t="s">
        <v>193</v>
      </c>
      <c r="I1077" s="26" t="s">
        <v>193</v>
      </c>
      <c r="J1077" s="2" t="s">
        <v>72</v>
      </c>
      <c r="K1077" s="26" t="s">
        <v>72</v>
      </c>
      <c r="L1077" s="26" t="s">
        <v>72</v>
      </c>
      <c r="M1077" s="26" t="s">
        <v>72</v>
      </c>
      <c r="N1077" s="2" t="s">
        <v>72</v>
      </c>
      <c r="O1077" s="2" t="s">
        <v>72</v>
      </c>
      <c r="P1077" s="2" t="s">
        <v>72</v>
      </c>
      <c r="Q1077" s="6" t="s">
        <v>72</v>
      </c>
      <c r="R1077" s="6" t="s">
        <v>72</v>
      </c>
      <c r="S1077" s="6" t="s">
        <v>72</v>
      </c>
      <c r="T1077" s="6" t="s">
        <v>72</v>
      </c>
      <c r="U1077" s="6" t="s">
        <v>72</v>
      </c>
      <c r="V1077" s="6" t="s">
        <v>72</v>
      </c>
      <c r="W1077" s="5" t="s">
        <v>72</v>
      </c>
      <c r="X1077" s="6" t="s">
        <v>72</v>
      </c>
      <c r="Y1077" s="6" t="s">
        <v>72</v>
      </c>
      <c r="Z1077" s="6" t="s">
        <v>72</v>
      </c>
      <c r="AA1077" s="6" t="s">
        <v>72</v>
      </c>
      <c r="AB1077" s="6" t="s">
        <v>72</v>
      </c>
      <c r="AC1077" s="6" t="s">
        <v>72</v>
      </c>
    </row>
    <row r="1078" spans="1:29" x14ac:dyDescent="0.25">
      <c r="A1078" s="145" t="str">
        <f>HYPERLINK("http://www.ofsted.gov.uk/inspection-reports/find-inspection-report/provider/ELS/142918 ","Ofsted Webpage")</f>
        <v>Ofsted Webpage</v>
      </c>
      <c r="B1078" s="131">
        <v>142918</v>
      </c>
      <c r="C1078" s="131">
        <v>10056799</v>
      </c>
      <c r="D1078" s="46" t="s">
        <v>2833</v>
      </c>
      <c r="E1078" s="26" t="s">
        <v>70</v>
      </c>
      <c r="F1078" s="26" t="s">
        <v>71</v>
      </c>
      <c r="G1078" s="26" t="s">
        <v>319</v>
      </c>
      <c r="H1078" s="26" t="s">
        <v>204</v>
      </c>
      <c r="I1078" s="26" t="s">
        <v>188</v>
      </c>
      <c r="J1078" s="2" t="s">
        <v>72</v>
      </c>
      <c r="K1078" s="26" t="s">
        <v>72</v>
      </c>
      <c r="L1078" s="26" t="s">
        <v>72</v>
      </c>
      <c r="M1078" s="26" t="s">
        <v>72</v>
      </c>
      <c r="N1078" s="2" t="s">
        <v>72</v>
      </c>
      <c r="O1078" s="2" t="s">
        <v>72</v>
      </c>
      <c r="P1078" s="2" t="s">
        <v>72</v>
      </c>
      <c r="Q1078" s="6" t="s">
        <v>72</v>
      </c>
      <c r="R1078" s="6" t="s">
        <v>72</v>
      </c>
      <c r="S1078" s="6" t="s">
        <v>72</v>
      </c>
      <c r="T1078" s="6" t="s">
        <v>72</v>
      </c>
      <c r="U1078" s="6" t="s">
        <v>72</v>
      </c>
      <c r="V1078" s="6" t="s">
        <v>72</v>
      </c>
      <c r="W1078" s="5" t="s">
        <v>72</v>
      </c>
      <c r="X1078" s="6" t="s">
        <v>72</v>
      </c>
      <c r="Y1078" s="6" t="s">
        <v>72</v>
      </c>
      <c r="Z1078" s="6" t="s">
        <v>72</v>
      </c>
      <c r="AA1078" s="6" t="s">
        <v>72</v>
      </c>
      <c r="AB1078" s="6" t="s">
        <v>72</v>
      </c>
      <c r="AC1078" s="6" t="s">
        <v>72</v>
      </c>
    </row>
    <row r="1079" spans="1:29" x14ac:dyDescent="0.25">
      <c r="A1079" s="145" t="str">
        <f>HYPERLINK("http://www.ofsted.gov.uk/inspection-reports/find-inspection-report/provider/ELS/142921 ","Ofsted Webpage")</f>
        <v>Ofsted Webpage</v>
      </c>
      <c r="B1079" s="131">
        <v>142921</v>
      </c>
      <c r="C1079" s="131">
        <v>10057205</v>
      </c>
      <c r="D1079" s="46" t="s">
        <v>2832</v>
      </c>
      <c r="E1079" s="26" t="s">
        <v>70</v>
      </c>
      <c r="F1079" s="26" t="s">
        <v>71</v>
      </c>
      <c r="G1079" s="26" t="s">
        <v>994</v>
      </c>
      <c r="H1079" s="26" t="s">
        <v>187</v>
      </c>
      <c r="I1079" s="26" t="s">
        <v>188</v>
      </c>
      <c r="J1079" s="2" t="s">
        <v>72</v>
      </c>
      <c r="K1079" s="26" t="s">
        <v>72</v>
      </c>
      <c r="L1079" s="26" t="s">
        <v>72</v>
      </c>
      <c r="M1079" s="26" t="s">
        <v>72</v>
      </c>
      <c r="N1079" s="2" t="s">
        <v>72</v>
      </c>
      <c r="O1079" s="2" t="s">
        <v>72</v>
      </c>
      <c r="P1079" s="2" t="s">
        <v>72</v>
      </c>
      <c r="Q1079" s="6" t="s">
        <v>72</v>
      </c>
      <c r="R1079" s="6" t="s">
        <v>72</v>
      </c>
      <c r="S1079" s="6" t="s">
        <v>72</v>
      </c>
      <c r="T1079" s="6" t="s">
        <v>72</v>
      </c>
      <c r="U1079" s="6" t="s">
        <v>72</v>
      </c>
      <c r="V1079" s="6" t="s">
        <v>72</v>
      </c>
      <c r="W1079" s="5" t="s">
        <v>72</v>
      </c>
      <c r="X1079" s="6" t="s">
        <v>72</v>
      </c>
      <c r="Y1079" s="6" t="s">
        <v>72</v>
      </c>
      <c r="Z1079" s="6" t="s">
        <v>72</v>
      </c>
      <c r="AA1079" s="6" t="s">
        <v>72</v>
      </c>
      <c r="AB1079" s="6" t="s">
        <v>72</v>
      </c>
      <c r="AC1079" s="6" t="s">
        <v>72</v>
      </c>
    </row>
    <row r="1080" spans="1:29" x14ac:dyDescent="0.25">
      <c r="A1080" s="145" t="str">
        <f>HYPERLINK("http://www.ofsted.gov.uk/inspection-reports/find-inspection-report/provider/ELS/142922 ","Ofsted Webpage")</f>
        <v>Ofsted Webpage</v>
      </c>
      <c r="B1080" s="131">
        <v>142922</v>
      </c>
      <c r="C1080" s="131">
        <v>10055015</v>
      </c>
      <c r="D1080" s="46" t="s">
        <v>2830</v>
      </c>
      <c r="E1080" s="26" t="s">
        <v>70</v>
      </c>
      <c r="F1080" s="26" t="s">
        <v>71</v>
      </c>
      <c r="G1080" s="26" t="s">
        <v>640</v>
      </c>
      <c r="H1080" s="26" t="s">
        <v>238</v>
      </c>
      <c r="I1080" s="26" t="s">
        <v>238</v>
      </c>
      <c r="J1080" s="2" t="s">
        <v>72</v>
      </c>
      <c r="K1080" s="26" t="s">
        <v>72</v>
      </c>
      <c r="L1080" s="26" t="s">
        <v>72</v>
      </c>
      <c r="M1080" s="26" t="s">
        <v>72</v>
      </c>
      <c r="N1080" s="2" t="s">
        <v>72</v>
      </c>
      <c r="O1080" s="2" t="s">
        <v>72</v>
      </c>
      <c r="P1080" s="2" t="s">
        <v>72</v>
      </c>
      <c r="Q1080" s="6" t="s">
        <v>72</v>
      </c>
      <c r="R1080" s="6" t="s">
        <v>72</v>
      </c>
      <c r="S1080" s="6" t="s">
        <v>72</v>
      </c>
      <c r="T1080" s="6" t="s">
        <v>72</v>
      </c>
      <c r="U1080" s="6" t="s">
        <v>72</v>
      </c>
      <c r="V1080" s="6" t="s">
        <v>72</v>
      </c>
      <c r="W1080" s="5" t="s">
        <v>72</v>
      </c>
      <c r="X1080" s="6" t="s">
        <v>72</v>
      </c>
      <c r="Y1080" s="6" t="s">
        <v>72</v>
      </c>
      <c r="Z1080" s="6" t="s">
        <v>72</v>
      </c>
      <c r="AA1080" s="6" t="s">
        <v>72</v>
      </c>
      <c r="AB1080" s="6" t="s">
        <v>72</v>
      </c>
      <c r="AC1080" s="6" t="s">
        <v>72</v>
      </c>
    </row>
    <row r="1081" spans="1:29" x14ac:dyDescent="0.25">
      <c r="A1081" s="145" t="str">
        <f>HYPERLINK("http://www.ofsted.gov.uk/inspection-reports/find-inspection-report/provider/ELS/143526 ","Ofsted Webpage")</f>
        <v>Ofsted Webpage</v>
      </c>
      <c r="B1081" s="151">
        <v>143526</v>
      </c>
      <c r="C1081" s="151">
        <v>10028480</v>
      </c>
      <c r="D1081" s="46" t="s">
        <v>2996</v>
      </c>
      <c r="E1081" s="26" t="s">
        <v>70</v>
      </c>
      <c r="F1081" s="26" t="s">
        <v>71</v>
      </c>
      <c r="G1081" s="26" t="s">
        <v>441</v>
      </c>
      <c r="H1081" s="26" t="s">
        <v>175</v>
      </c>
      <c r="I1081" s="26" t="s">
        <v>175</v>
      </c>
      <c r="J1081" s="2" t="s">
        <v>72</v>
      </c>
      <c r="K1081" s="141" t="s">
        <v>72</v>
      </c>
      <c r="L1081" s="141" t="s">
        <v>72</v>
      </c>
      <c r="M1081" s="26" t="s">
        <v>72</v>
      </c>
      <c r="N1081" s="2" t="s">
        <v>72</v>
      </c>
      <c r="O1081" s="2" t="s">
        <v>72</v>
      </c>
      <c r="P1081" s="133" t="s">
        <v>72</v>
      </c>
      <c r="Q1081" s="6" t="s">
        <v>72</v>
      </c>
      <c r="R1081" s="6" t="s">
        <v>72</v>
      </c>
      <c r="S1081" s="6" t="s">
        <v>72</v>
      </c>
      <c r="T1081" s="6" t="s">
        <v>72</v>
      </c>
      <c r="U1081" s="6" t="s">
        <v>72</v>
      </c>
      <c r="V1081" s="6" t="s">
        <v>72</v>
      </c>
      <c r="W1081" s="5" t="s">
        <v>72</v>
      </c>
      <c r="X1081" s="6" t="s">
        <v>72</v>
      </c>
      <c r="Y1081" s="6" t="s">
        <v>72</v>
      </c>
      <c r="Z1081" s="6" t="s">
        <v>72</v>
      </c>
      <c r="AA1081" s="6" t="s">
        <v>72</v>
      </c>
      <c r="AB1081" s="6" t="s">
        <v>72</v>
      </c>
      <c r="AC1081" s="6" t="s">
        <v>72</v>
      </c>
    </row>
    <row r="1082" spans="1:29" x14ac:dyDescent="0.25">
      <c r="A1082" s="145" t="str">
        <f>HYPERLINK("http://www.ofsted.gov.uk/inspection-reports/find-inspection-report/provider/ELS/143540 ","Ofsted Webpage")</f>
        <v>Ofsted Webpage</v>
      </c>
      <c r="B1082" s="151">
        <v>143540</v>
      </c>
      <c r="C1082" s="151">
        <v>10057981</v>
      </c>
      <c r="D1082" s="46" t="s">
        <v>2816</v>
      </c>
      <c r="E1082" s="26" t="s">
        <v>81</v>
      </c>
      <c r="F1082" s="26" t="s">
        <v>82</v>
      </c>
      <c r="G1082" s="26" t="s">
        <v>546</v>
      </c>
      <c r="H1082" s="26" t="s">
        <v>175</v>
      </c>
      <c r="I1082" s="26" t="s">
        <v>175</v>
      </c>
      <c r="J1082" s="2" t="s">
        <v>72</v>
      </c>
      <c r="K1082" s="141" t="s">
        <v>72</v>
      </c>
      <c r="L1082" s="141" t="s">
        <v>72</v>
      </c>
      <c r="M1082" s="26" t="s">
        <v>72</v>
      </c>
      <c r="N1082" s="2" t="s">
        <v>72</v>
      </c>
      <c r="O1082" s="2" t="s">
        <v>72</v>
      </c>
      <c r="P1082" s="133" t="s">
        <v>72</v>
      </c>
      <c r="Q1082" s="6" t="s">
        <v>72</v>
      </c>
      <c r="R1082" s="6" t="s">
        <v>72</v>
      </c>
      <c r="S1082" s="6" t="s">
        <v>72</v>
      </c>
      <c r="T1082" s="6" t="s">
        <v>72</v>
      </c>
      <c r="U1082" s="6" t="s">
        <v>72</v>
      </c>
      <c r="V1082" s="6" t="s">
        <v>72</v>
      </c>
      <c r="W1082" s="5" t="s">
        <v>72</v>
      </c>
      <c r="X1082" s="6" t="s">
        <v>72</v>
      </c>
      <c r="Y1082" s="6" t="s">
        <v>72</v>
      </c>
      <c r="Z1082" s="6" t="s">
        <v>72</v>
      </c>
      <c r="AA1082" s="6" t="s">
        <v>72</v>
      </c>
      <c r="AB1082" s="6" t="s">
        <v>72</v>
      </c>
      <c r="AC1082" s="6" t="s">
        <v>72</v>
      </c>
    </row>
    <row r="1083" spans="1:29" x14ac:dyDescent="0.25">
      <c r="A1083" s="145" t="str">
        <f>HYPERLINK("http://www.ofsted.gov.uk/inspection-reports/find-inspection-report/provider/ELS/143929 ","Ofsted Webpage")</f>
        <v>Ofsted Webpage</v>
      </c>
      <c r="B1083" s="131">
        <v>143929</v>
      </c>
      <c r="C1083" s="131">
        <v>10062355</v>
      </c>
      <c r="D1083" s="46" t="s">
        <v>2793</v>
      </c>
      <c r="E1083" s="26" t="s">
        <v>88</v>
      </c>
      <c r="F1083" s="26" t="s">
        <v>74</v>
      </c>
      <c r="G1083" s="26" t="s">
        <v>455</v>
      </c>
      <c r="H1083" s="26" t="s">
        <v>193</v>
      </c>
      <c r="I1083" s="26" t="s">
        <v>193</v>
      </c>
      <c r="J1083" s="2" t="s">
        <v>72</v>
      </c>
      <c r="K1083" s="26" t="s">
        <v>72</v>
      </c>
      <c r="L1083" s="26" t="s">
        <v>2794</v>
      </c>
      <c r="M1083" s="26" t="s">
        <v>409</v>
      </c>
      <c r="N1083" s="2">
        <v>39553</v>
      </c>
      <c r="O1083" s="2">
        <v>39554</v>
      </c>
      <c r="P1083" s="2">
        <v>39605</v>
      </c>
      <c r="Q1083" s="6">
        <v>1</v>
      </c>
      <c r="R1083" s="6">
        <v>1</v>
      </c>
      <c r="S1083" s="6">
        <v>1</v>
      </c>
      <c r="T1083" s="120" t="s">
        <v>178</v>
      </c>
      <c r="U1083" s="6">
        <v>1</v>
      </c>
      <c r="V1083" s="6" t="s">
        <v>72</v>
      </c>
      <c r="W1083" s="5" t="s">
        <v>72</v>
      </c>
      <c r="X1083" s="6" t="s">
        <v>72</v>
      </c>
      <c r="Y1083" s="6" t="s">
        <v>72</v>
      </c>
      <c r="Z1083" s="6" t="s">
        <v>72</v>
      </c>
      <c r="AA1083" s="6" t="s">
        <v>72</v>
      </c>
      <c r="AB1083" s="6" t="s">
        <v>72</v>
      </c>
      <c r="AC1083" s="6" t="s">
        <v>208</v>
      </c>
    </row>
    <row r="1084" spans="1:29" x14ac:dyDescent="0.25">
      <c r="A1084" s="145" t="str">
        <f>HYPERLINK("http://www.ofsted.gov.uk/inspection-reports/find-inspection-report/provider/ELS/144463 ","Ofsted Webpage")</f>
        <v>Ofsted Webpage</v>
      </c>
      <c r="B1084" s="131">
        <v>144463</v>
      </c>
      <c r="C1084" s="131">
        <v>10063421</v>
      </c>
      <c r="D1084" s="46" t="s">
        <v>2795</v>
      </c>
      <c r="E1084" s="26" t="s">
        <v>88</v>
      </c>
      <c r="F1084" s="26" t="s">
        <v>74</v>
      </c>
      <c r="G1084" s="26" t="s">
        <v>351</v>
      </c>
      <c r="H1084" s="26" t="s">
        <v>238</v>
      </c>
      <c r="I1084" s="26" t="s">
        <v>238</v>
      </c>
      <c r="J1084" s="2" t="s">
        <v>72</v>
      </c>
      <c r="K1084" s="26" t="s">
        <v>72</v>
      </c>
      <c r="L1084" s="26" t="s">
        <v>2796</v>
      </c>
      <c r="M1084" s="26" t="s">
        <v>372</v>
      </c>
      <c r="N1084" s="2">
        <v>41338</v>
      </c>
      <c r="O1084" s="2">
        <v>41341</v>
      </c>
      <c r="P1084" s="2">
        <v>41376</v>
      </c>
      <c r="Q1084" s="6">
        <v>1</v>
      </c>
      <c r="R1084" s="6">
        <v>1</v>
      </c>
      <c r="S1084" s="6">
        <v>1</v>
      </c>
      <c r="T1084" s="120" t="s">
        <v>178</v>
      </c>
      <c r="U1084" s="6">
        <v>1</v>
      </c>
      <c r="V1084" s="6" t="s">
        <v>72</v>
      </c>
      <c r="W1084" s="5" t="s">
        <v>72</v>
      </c>
      <c r="X1084" s="6" t="s">
        <v>72</v>
      </c>
      <c r="Y1084" s="6" t="s">
        <v>72</v>
      </c>
      <c r="Z1084" s="6" t="s">
        <v>72</v>
      </c>
      <c r="AA1084" s="6" t="s">
        <v>72</v>
      </c>
      <c r="AB1084" s="6" t="s">
        <v>72</v>
      </c>
      <c r="AC1084" s="6" t="s">
        <v>208</v>
      </c>
    </row>
    <row r="1085" spans="1:29" x14ac:dyDescent="0.25">
      <c r="A1085" s="145" t="str">
        <f>HYPERLINK("http://www.ofsted.gov.uk/inspection-reports/find-inspection-report/provider/ELS/144714 ","Ofsted Webpage")</f>
        <v>Ofsted Webpage</v>
      </c>
      <c r="B1085" s="131">
        <v>144714</v>
      </c>
      <c r="C1085" s="131">
        <v>10065005</v>
      </c>
      <c r="D1085" s="46" t="s">
        <v>2854</v>
      </c>
      <c r="E1085" s="26" t="s">
        <v>73</v>
      </c>
      <c r="F1085" s="26" t="s">
        <v>74</v>
      </c>
      <c r="G1085" s="26" t="s">
        <v>994</v>
      </c>
      <c r="H1085" s="26" t="s">
        <v>187</v>
      </c>
      <c r="I1085" s="26" t="s">
        <v>188</v>
      </c>
      <c r="J1085" s="2" t="s">
        <v>72</v>
      </c>
      <c r="K1085" s="26" t="s">
        <v>72</v>
      </c>
      <c r="L1085" s="26" t="s">
        <v>72</v>
      </c>
      <c r="M1085" s="26" t="s">
        <v>72</v>
      </c>
      <c r="N1085" s="2" t="s">
        <v>72</v>
      </c>
      <c r="O1085" s="2" t="s">
        <v>72</v>
      </c>
      <c r="P1085" s="2" t="s">
        <v>72</v>
      </c>
      <c r="Q1085" s="6" t="s">
        <v>72</v>
      </c>
      <c r="R1085" s="6" t="s">
        <v>72</v>
      </c>
      <c r="S1085" s="6" t="s">
        <v>72</v>
      </c>
      <c r="T1085" s="6" t="s">
        <v>72</v>
      </c>
      <c r="U1085" s="6" t="s">
        <v>72</v>
      </c>
      <c r="V1085" s="6" t="s">
        <v>72</v>
      </c>
      <c r="W1085" s="5" t="s">
        <v>72</v>
      </c>
      <c r="X1085" s="6" t="s">
        <v>72</v>
      </c>
      <c r="Y1085" s="6" t="s">
        <v>72</v>
      </c>
      <c r="Z1085" s="6" t="s">
        <v>72</v>
      </c>
      <c r="AA1085" s="6" t="s">
        <v>72</v>
      </c>
      <c r="AB1085" s="6" t="s">
        <v>72</v>
      </c>
      <c r="AC1085" s="6" t="s">
        <v>72</v>
      </c>
    </row>
    <row r="1086" spans="1:29" x14ac:dyDescent="0.25">
      <c r="A1086" s="145" t="str">
        <f>HYPERLINK("http://www.ofsted.gov.uk/inspection-reports/find-inspection-report/provider/ELS/144729 ","Ofsted Webpage")</f>
        <v>Ofsted Webpage</v>
      </c>
      <c r="B1086" s="131">
        <v>144729</v>
      </c>
      <c r="C1086" s="131">
        <v>10063538</v>
      </c>
      <c r="D1086" s="46" t="s">
        <v>2797</v>
      </c>
      <c r="E1086" s="26" t="s">
        <v>70</v>
      </c>
      <c r="F1086" s="26" t="s">
        <v>71</v>
      </c>
      <c r="G1086" s="26" t="s">
        <v>327</v>
      </c>
      <c r="H1086" s="26" t="s">
        <v>193</v>
      </c>
      <c r="I1086" s="26" t="s">
        <v>193</v>
      </c>
      <c r="J1086" s="2" t="s">
        <v>72</v>
      </c>
      <c r="K1086" s="26" t="s">
        <v>72</v>
      </c>
      <c r="L1086" s="26" t="s">
        <v>72</v>
      </c>
      <c r="M1086" s="26" t="s">
        <v>72</v>
      </c>
      <c r="N1086" s="2" t="s">
        <v>72</v>
      </c>
      <c r="O1086" s="2" t="s">
        <v>72</v>
      </c>
      <c r="P1086" s="2" t="s">
        <v>72</v>
      </c>
      <c r="Q1086" s="6" t="s">
        <v>72</v>
      </c>
      <c r="R1086" s="6" t="s">
        <v>72</v>
      </c>
      <c r="S1086" s="6" t="s">
        <v>72</v>
      </c>
      <c r="T1086" s="6" t="s">
        <v>72</v>
      </c>
      <c r="U1086" s="6" t="s">
        <v>72</v>
      </c>
      <c r="V1086" s="6" t="s">
        <v>72</v>
      </c>
      <c r="W1086" s="5" t="s">
        <v>72</v>
      </c>
      <c r="X1086" s="6" t="s">
        <v>72</v>
      </c>
      <c r="Y1086" s="6" t="s">
        <v>72</v>
      </c>
      <c r="Z1086" s="6" t="s">
        <v>72</v>
      </c>
      <c r="AA1086" s="6" t="s">
        <v>72</v>
      </c>
      <c r="AB1086" s="6" t="s">
        <v>72</v>
      </c>
      <c r="AC1086" s="6" t="s">
        <v>72</v>
      </c>
    </row>
    <row r="1087" spans="1:29" x14ac:dyDescent="0.25">
      <c r="A1087" s="145" t="str">
        <f>HYPERLINK("http://www.ofsted.gov.uk/inspection-reports/find-inspection-report/provider/ELS/144732 ","Ofsted Webpage")</f>
        <v>Ofsted Webpage</v>
      </c>
      <c r="B1087" s="131">
        <v>144732</v>
      </c>
      <c r="C1087" s="131">
        <v>10063721</v>
      </c>
      <c r="D1087" s="46" t="s">
        <v>2798</v>
      </c>
      <c r="E1087" s="26" t="s">
        <v>88</v>
      </c>
      <c r="F1087" s="26" t="s">
        <v>74</v>
      </c>
      <c r="G1087" s="26" t="s">
        <v>1128</v>
      </c>
      <c r="H1087" s="26" t="s">
        <v>187</v>
      </c>
      <c r="I1087" s="26" t="s">
        <v>188</v>
      </c>
      <c r="J1087" s="2" t="s">
        <v>72</v>
      </c>
      <c r="K1087" s="26" t="s">
        <v>72</v>
      </c>
      <c r="L1087" s="26" t="s">
        <v>2799</v>
      </c>
      <c r="M1087" s="26" t="s">
        <v>372</v>
      </c>
      <c r="N1087" s="2">
        <v>41730</v>
      </c>
      <c r="O1087" s="2">
        <v>41733</v>
      </c>
      <c r="P1087" s="2">
        <v>41771</v>
      </c>
      <c r="Q1087" s="6">
        <v>1</v>
      </c>
      <c r="R1087" s="6">
        <v>1</v>
      </c>
      <c r="S1087" s="6">
        <v>1</v>
      </c>
      <c r="T1087" s="120" t="s">
        <v>178</v>
      </c>
      <c r="U1087" s="6">
        <v>1</v>
      </c>
      <c r="V1087" s="6" t="s">
        <v>2800</v>
      </c>
      <c r="W1087" s="5">
        <v>39484</v>
      </c>
      <c r="X1087" s="6">
        <v>2</v>
      </c>
      <c r="Y1087" s="6">
        <v>2</v>
      </c>
      <c r="Z1087" s="6">
        <v>2</v>
      </c>
      <c r="AA1087" s="6" t="s">
        <v>178</v>
      </c>
      <c r="AB1087" s="6">
        <v>2</v>
      </c>
      <c r="AC1087" s="6" t="s">
        <v>216</v>
      </c>
    </row>
    <row r="1088" spans="1:29" x14ac:dyDescent="0.25">
      <c r="A1088" s="145" t="str">
        <f>HYPERLINK("http://www.ofsted.gov.uk/inspection-reports/find-inspection-report/provider/ELS/144740 ","Ofsted Webpage")</f>
        <v>Ofsted Webpage</v>
      </c>
      <c r="B1088" s="131">
        <v>144740</v>
      </c>
      <c r="C1088" s="131">
        <v>10064832</v>
      </c>
      <c r="D1088" s="46" t="s">
        <v>2853</v>
      </c>
      <c r="E1088" s="26" t="s">
        <v>73</v>
      </c>
      <c r="F1088" s="26" t="s">
        <v>74</v>
      </c>
      <c r="G1088" s="26" t="s">
        <v>491</v>
      </c>
      <c r="H1088" s="26" t="s">
        <v>198</v>
      </c>
      <c r="I1088" s="26" t="s">
        <v>198</v>
      </c>
      <c r="J1088" s="2" t="s">
        <v>72</v>
      </c>
      <c r="K1088" s="26" t="s">
        <v>72</v>
      </c>
      <c r="L1088" s="26" t="s">
        <v>72</v>
      </c>
      <c r="M1088" s="26" t="s">
        <v>72</v>
      </c>
      <c r="N1088" s="2" t="s">
        <v>72</v>
      </c>
      <c r="O1088" s="2" t="s">
        <v>72</v>
      </c>
      <c r="P1088" s="2" t="s">
        <v>72</v>
      </c>
      <c r="Q1088" s="6" t="s">
        <v>72</v>
      </c>
      <c r="R1088" s="6" t="s">
        <v>72</v>
      </c>
      <c r="S1088" s="6" t="s">
        <v>72</v>
      </c>
      <c r="T1088" s="6" t="s">
        <v>72</v>
      </c>
      <c r="U1088" s="6" t="s">
        <v>72</v>
      </c>
      <c r="V1088" s="6" t="s">
        <v>72</v>
      </c>
      <c r="W1088" s="5" t="s">
        <v>72</v>
      </c>
      <c r="X1088" s="6" t="s">
        <v>72</v>
      </c>
      <c r="Y1088" s="6" t="s">
        <v>72</v>
      </c>
      <c r="Z1088" s="6" t="s">
        <v>72</v>
      </c>
      <c r="AA1088" s="6" t="s">
        <v>72</v>
      </c>
      <c r="AB1088" s="6" t="s">
        <v>72</v>
      </c>
      <c r="AC1088" s="6" t="s">
        <v>72</v>
      </c>
    </row>
    <row r="1089" spans="1:29" x14ac:dyDescent="0.25">
      <c r="A1089" s="145" t="str">
        <f>HYPERLINK("http://www.ofsted.gov.uk/inspection-reports/find-inspection-report/provider/ELS/144753 ","Ofsted Webpage")</f>
        <v>Ofsted Webpage</v>
      </c>
      <c r="B1089" s="151">
        <v>144753</v>
      </c>
      <c r="C1089" s="151">
        <v>10065007</v>
      </c>
      <c r="D1089" s="46" t="s">
        <v>3003</v>
      </c>
      <c r="E1089" s="26" t="s">
        <v>73</v>
      </c>
      <c r="F1089" s="26" t="s">
        <v>74</v>
      </c>
      <c r="G1089" s="26" t="s">
        <v>546</v>
      </c>
      <c r="H1089" s="26" t="s">
        <v>175</v>
      </c>
      <c r="I1089" s="26" t="s">
        <v>175</v>
      </c>
      <c r="J1089" s="2" t="s">
        <v>72</v>
      </c>
      <c r="K1089" s="141" t="s">
        <v>72</v>
      </c>
      <c r="L1089" s="141" t="s">
        <v>72</v>
      </c>
      <c r="M1089" s="26" t="s">
        <v>72</v>
      </c>
      <c r="N1089" s="2" t="s">
        <v>72</v>
      </c>
      <c r="O1089" s="2" t="s">
        <v>72</v>
      </c>
      <c r="P1089" s="119" t="s">
        <v>72</v>
      </c>
      <c r="Q1089" s="6" t="s">
        <v>72</v>
      </c>
      <c r="R1089" s="6" t="s">
        <v>72</v>
      </c>
      <c r="S1089" s="6" t="s">
        <v>72</v>
      </c>
      <c r="T1089" s="6" t="s">
        <v>72</v>
      </c>
      <c r="U1089" s="6" t="s">
        <v>72</v>
      </c>
      <c r="V1089" s="6" t="s">
        <v>72</v>
      </c>
      <c r="W1089" s="5" t="s">
        <v>72</v>
      </c>
      <c r="X1089" s="6" t="s">
        <v>72</v>
      </c>
      <c r="Y1089" s="6" t="s">
        <v>72</v>
      </c>
      <c r="Z1089" s="6" t="s">
        <v>72</v>
      </c>
      <c r="AA1089" s="6" t="s">
        <v>72</v>
      </c>
      <c r="AB1089" s="6" t="s">
        <v>72</v>
      </c>
      <c r="AC1089" s="6" t="s">
        <v>72</v>
      </c>
    </row>
    <row r="1090" spans="1:29" x14ac:dyDescent="0.25">
      <c r="A1090" s="145" t="str">
        <f>HYPERLINK("http://www.ofsted.gov.uk/inspection-reports/find-inspection-report/provider/ELS/144782 ","Ofsted Webpage")</f>
        <v>Ofsted Webpage</v>
      </c>
      <c r="B1090" s="131">
        <v>144782</v>
      </c>
      <c r="C1090" s="131">
        <v>10063846</v>
      </c>
      <c r="D1090" s="46" t="s">
        <v>2801</v>
      </c>
      <c r="E1090" s="26" t="s">
        <v>88</v>
      </c>
      <c r="F1090" s="26" t="s">
        <v>74</v>
      </c>
      <c r="G1090" s="26" t="s">
        <v>1850</v>
      </c>
      <c r="H1090" s="26" t="s">
        <v>238</v>
      </c>
      <c r="I1090" s="26" t="s">
        <v>238</v>
      </c>
      <c r="J1090" s="2" t="s">
        <v>72</v>
      </c>
      <c r="K1090" s="26" t="s">
        <v>72</v>
      </c>
      <c r="L1090" s="26" t="s">
        <v>2802</v>
      </c>
      <c r="M1090" s="26" t="s">
        <v>409</v>
      </c>
      <c r="N1090" s="2">
        <v>39153</v>
      </c>
      <c r="O1090" s="2">
        <v>39157</v>
      </c>
      <c r="P1090" s="2">
        <v>39206</v>
      </c>
      <c r="Q1090" s="6">
        <v>1</v>
      </c>
      <c r="R1090" s="6">
        <v>1</v>
      </c>
      <c r="S1090" s="6">
        <v>2</v>
      </c>
      <c r="T1090" s="120" t="s">
        <v>178</v>
      </c>
      <c r="U1090" s="6">
        <v>1</v>
      </c>
      <c r="V1090" s="6" t="s">
        <v>72</v>
      </c>
      <c r="W1090" s="5" t="s">
        <v>72</v>
      </c>
      <c r="X1090" s="6" t="s">
        <v>72</v>
      </c>
      <c r="Y1090" s="6" t="s">
        <v>72</v>
      </c>
      <c r="Z1090" s="6" t="s">
        <v>72</v>
      </c>
      <c r="AA1090" s="6" t="s">
        <v>72</v>
      </c>
      <c r="AB1090" s="6" t="s">
        <v>72</v>
      </c>
      <c r="AC1090" s="6" t="s">
        <v>208</v>
      </c>
    </row>
    <row r="1091" spans="1:29" x14ac:dyDescent="0.25">
      <c r="A1091" s="145" t="str">
        <f>HYPERLINK("http://www.ofsted.gov.uk/inspection-reports/find-inspection-report/provider/ELS/144785 ","Ofsted Webpage")</f>
        <v>Ofsted Webpage</v>
      </c>
      <c r="B1091" s="131">
        <v>144785</v>
      </c>
      <c r="C1091" s="131">
        <v>10041272</v>
      </c>
      <c r="D1091" s="46" t="s">
        <v>2803</v>
      </c>
      <c r="E1091" s="26" t="s">
        <v>70</v>
      </c>
      <c r="F1091" s="26" t="s">
        <v>71</v>
      </c>
      <c r="G1091" s="26" t="s">
        <v>218</v>
      </c>
      <c r="H1091" s="26" t="s">
        <v>219</v>
      </c>
      <c r="I1091" s="26" t="s">
        <v>219</v>
      </c>
      <c r="J1091" s="2" t="s">
        <v>72</v>
      </c>
      <c r="K1091" s="26" t="s">
        <v>72</v>
      </c>
      <c r="L1091" s="26" t="s">
        <v>72</v>
      </c>
      <c r="M1091" s="26" t="s">
        <v>72</v>
      </c>
      <c r="N1091" s="2" t="s">
        <v>72</v>
      </c>
      <c r="O1091" s="2" t="s">
        <v>72</v>
      </c>
      <c r="P1091" s="2" t="s">
        <v>72</v>
      </c>
      <c r="Q1091" s="6" t="s">
        <v>72</v>
      </c>
      <c r="R1091" s="6" t="s">
        <v>72</v>
      </c>
      <c r="S1091" s="6" t="s">
        <v>72</v>
      </c>
      <c r="T1091" s="6" t="s">
        <v>72</v>
      </c>
      <c r="U1091" s="6" t="s">
        <v>72</v>
      </c>
      <c r="V1091" s="6" t="s">
        <v>72</v>
      </c>
      <c r="W1091" s="5" t="s">
        <v>72</v>
      </c>
      <c r="X1091" s="6" t="s">
        <v>72</v>
      </c>
      <c r="Y1091" s="6" t="s">
        <v>72</v>
      </c>
      <c r="Z1091" s="6" t="s">
        <v>72</v>
      </c>
      <c r="AA1091" s="6" t="s">
        <v>72</v>
      </c>
      <c r="AB1091" s="6" t="s">
        <v>72</v>
      </c>
      <c r="AC1091" s="6" t="s">
        <v>72</v>
      </c>
    </row>
    <row r="1092" spans="1:29" x14ac:dyDescent="0.25">
      <c r="A1092" s="145" t="str">
        <f>HYPERLINK("http://www.ofsted.gov.uk/inspection-reports/find-inspection-report/provider/ELS/144786 ","Ofsted Webpage")</f>
        <v>Ofsted Webpage</v>
      </c>
      <c r="B1092" s="131">
        <v>144786</v>
      </c>
      <c r="C1092" s="131">
        <v>10005557</v>
      </c>
      <c r="D1092" s="46" t="s">
        <v>2855</v>
      </c>
      <c r="E1092" s="26" t="s">
        <v>70</v>
      </c>
      <c r="F1092" s="26" t="s">
        <v>71</v>
      </c>
      <c r="G1092" s="26" t="s">
        <v>299</v>
      </c>
      <c r="H1092" s="26" t="s">
        <v>175</v>
      </c>
      <c r="I1092" s="26" t="s">
        <v>175</v>
      </c>
      <c r="J1092" s="2" t="s">
        <v>72</v>
      </c>
      <c r="K1092" s="26" t="s">
        <v>72</v>
      </c>
      <c r="L1092" s="26" t="s">
        <v>72</v>
      </c>
      <c r="M1092" s="26" t="s">
        <v>72</v>
      </c>
      <c r="N1092" s="2" t="s">
        <v>72</v>
      </c>
      <c r="O1092" s="2" t="s">
        <v>72</v>
      </c>
      <c r="P1092" s="2" t="s">
        <v>72</v>
      </c>
      <c r="Q1092" s="6" t="s">
        <v>72</v>
      </c>
      <c r="R1092" s="6" t="s">
        <v>72</v>
      </c>
      <c r="S1092" s="6" t="s">
        <v>72</v>
      </c>
      <c r="T1092" s="6" t="s">
        <v>72</v>
      </c>
      <c r="U1092" s="6" t="s">
        <v>72</v>
      </c>
      <c r="V1092" s="6" t="s">
        <v>72</v>
      </c>
      <c r="W1092" s="5" t="s">
        <v>72</v>
      </c>
      <c r="X1092" s="6" t="s">
        <v>72</v>
      </c>
      <c r="Y1092" s="6" t="s">
        <v>72</v>
      </c>
      <c r="Z1092" s="6" t="s">
        <v>72</v>
      </c>
      <c r="AA1092" s="6" t="s">
        <v>72</v>
      </c>
      <c r="AB1092" s="6" t="s">
        <v>72</v>
      </c>
      <c r="AC1092" s="6" t="s">
        <v>72</v>
      </c>
    </row>
    <row r="1093" spans="1:29" x14ac:dyDescent="0.25">
      <c r="A1093" s="145" t="str">
        <f>HYPERLINK("http://www.ofsted.gov.uk/inspection-reports/find-inspection-report/provider/ELS/144787 ","Ofsted Webpage")</f>
        <v>Ofsted Webpage</v>
      </c>
      <c r="B1093" s="131">
        <v>144787</v>
      </c>
      <c r="C1093" s="131">
        <v>10055371</v>
      </c>
      <c r="D1093" s="46" t="s">
        <v>2856</v>
      </c>
      <c r="E1093" s="26" t="s">
        <v>70</v>
      </c>
      <c r="F1093" s="26" t="s">
        <v>71</v>
      </c>
      <c r="G1093" s="26" t="s">
        <v>477</v>
      </c>
      <c r="H1093" s="26" t="s">
        <v>287</v>
      </c>
      <c r="I1093" s="26" t="s">
        <v>287</v>
      </c>
      <c r="J1093" s="2" t="s">
        <v>72</v>
      </c>
      <c r="K1093" s="26" t="s">
        <v>72</v>
      </c>
      <c r="L1093" s="26" t="s">
        <v>72</v>
      </c>
      <c r="M1093" s="26" t="s">
        <v>72</v>
      </c>
      <c r="N1093" s="2" t="s">
        <v>72</v>
      </c>
      <c r="O1093" s="2" t="s">
        <v>72</v>
      </c>
      <c r="P1093" s="2" t="s">
        <v>72</v>
      </c>
      <c r="Q1093" s="6" t="s">
        <v>72</v>
      </c>
      <c r="R1093" s="6" t="s">
        <v>72</v>
      </c>
      <c r="S1093" s="6" t="s">
        <v>72</v>
      </c>
      <c r="T1093" s="6" t="s">
        <v>72</v>
      </c>
      <c r="U1093" s="6" t="s">
        <v>72</v>
      </c>
      <c r="V1093" s="6" t="s">
        <v>72</v>
      </c>
      <c r="W1093" s="5" t="s">
        <v>72</v>
      </c>
      <c r="X1093" s="6" t="s">
        <v>72</v>
      </c>
      <c r="Y1093" s="6" t="s">
        <v>72</v>
      </c>
      <c r="Z1093" s="6" t="s">
        <v>72</v>
      </c>
      <c r="AA1093" s="6" t="s">
        <v>72</v>
      </c>
      <c r="AB1093" s="6" t="s">
        <v>72</v>
      </c>
      <c r="AC1093" s="6" t="s">
        <v>72</v>
      </c>
    </row>
    <row r="1094" spans="1:29" x14ac:dyDescent="0.25">
      <c r="A1094" s="145" t="str">
        <f>HYPERLINK("http://www.ofsted.gov.uk/inspection-reports/find-inspection-report/provider/ELS/144788 ","Ofsted Webpage")</f>
        <v>Ofsted Webpage</v>
      </c>
      <c r="B1094" s="131">
        <v>144788</v>
      </c>
      <c r="C1094" s="131">
        <v>10028500</v>
      </c>
      <c r="D1094" s="46" t="s">
        <v>2857</v>
      </c>
      <c r="E1094" s="26" t="s">
        <v>70</v>
      </c>
      <c r="F1094" s="26" t="s">
        <v>71</v>
      </c>
      <c r="G1094" s="26" t="s">
        <v>218</v>
      </c>
      <c r="H1094" s="26" t="s">
        <v>219</v>
      </c>
      <c r="I1094" s="26" t="s">
        <v>219</v>
      </c>
      <c r="J1094" s="2" t="s">
        <v>72</v>
      </c>
      <c r="K1094" s="26" t="s">
        <v>72</v>
      </c>
      <c r="L1094" s="26" t="s">
        <v>72</v>
      </c>
      <c r="M1094" s="26" t="s">
        <v>72</v>
      </c>
      <c r="N1094" s="2" t="s">
        <v>72</v>
      </c>
      <c r="O1094" s="2" t="s">
        <v>72</v>
      </c>
      <c r="P1094" s="2" t="s">
        <v>72</v>
      </c>
      <c r="Q1094" s="6" t="s">
        <v>72</v>
      </c>
      <c r="R1094" s="6" t="s">
        <v>72</v>
      </c>
      <c r="S1094" s="6" t="s">
        <v>72</v>
      </c>
      <c r="T1094" s="6" t="s">
        <v>72</v>
      </c>
      <c r="U1094" s="6" t="s">
        <v>72</v>
      </c>
      <c r="V1094" s="6" t="s">
        <v>72</v>
      </c>
      <c r="W1094" s="5" t="s">
        <v>72</v>
      </c>
      <c r="X1094" s="6" t="s">
        <v>72</v>
      </c>
      <c r="Y1094" s="6" t="s">
        <v>72</v>
      </c>
      <c r="Z1094" s="6" t="s">
        <v>72</v>
      </c>
      <c r="AA1094" s="6" t="s">
        <v>72</v>
      </c>
      <c r="AB1094" s="6" t="s">
        <v>72</v>
      </c>
      <c r="AC1094" s="6" t="s">
        <v>72</v>
      </c>
    </row>
    <row r="1095" spans="1:29" x14ac:dyDescent="0.25">
      <c r="A1095" s="145" t="str">
        <f>HYPERLINK("http://www.ofsted.gov.uk/inspection-reports/find-inspection-report/provider/ELS/144791 ","Ofsted Webpage")</f>
        <v>Ofsted Webpage</v>
      </c>
      <c r="B1095" s="131">
        <v>144791</v>
      </c>
      <c r="C1095" s="131">
        <v>10064516</v>
      </c>
      <c r="D1095" s="46" t="s">
        <v>2858</v>
      </c>
      <c r="E1095" s="26" t="s">
        <v>70</v>
      </c>
      <c r="F1095" s="26" t="s">
        <v>71</v>
      </c>
      <c r="G1095" s="26" t="s">
        <v>910</v>
      </c>
      <c r="H1095" s="26" t="s">
        <v>287</v>
      </c>
      <c r="I1095" s="26" t="s">
        <v>287</v>
      </c>
      <c r="J1095" s="2" t="s">
        <v>72</v>
      </c>
      <c r="K1095" s="26" t="s">
        <v>72</v>
      </c>
      <c r="L1095" s="26" t="s">
        <v>72</v>
      </c>
      <c r="M1095" s="26" t="s">
        <v>72</v>
      </c>
      <c r="N1095" s="2" t="s">
        <v>72</v>
      </c>
      <c r="O1095" s="2" t="s">
        <v>72</v>
      </c>
      <c r="P1095" s="2" t="s">
        <v>72</v>
      </c>
      <c r="Q1095" s="6" t="s">
        <v>72</v>
      </c>
      <c r="R1095" s="6" t="s">
        <v>72</v>
      </c>
      <c r="S1095" s="6" t="s">
        <v>72</v>
      </c>
      <c r="T1095" s="6" t="s">
        <v>72</v>
      </c>
      <c r="U1095" s="6" t="s">
        <v>72</v>
      </c>
      <c r="V1095" s="6" t="s">
        <v>72</v>
      </c>
      <c r="W1095" s="5" t="s">
        <v>72</v>
      </c>
      <c r="X1095" s="6" t="s">
        <v>72</v>
      </c>
      <c r="Y1095" s="6" t="s">
        <v>72</v>
      </c>
      <c r="Z1095" s="6" t="s">
        <v>72</v>
      </c>
      <c r="AA1095" s="6" t="s">
        <v>72</v>
      </c>
      <c r="AB1095" s="6" t="s">
        <v>72</v>
      </c>
      <c r="AC1095" s="6" t="s">
        <v>72</v>
      </c>
    </row>
    <row r="1096" spans="1:29" x14ac:dyDescent="0.25">
      <c r="A1096" s="145" t="str">
        <f>HYPERLINK("http://www.ofsted.gov.uk/inspection-reports/find-inspection-report/provider/ELS/144792 ","Ofsted Webpage")</f>
        <v>Ofsted Webpage</v>
      </c>
      <c r="B1096" s="131">
        <v>144792</v>
      </c>
      <c r="C1096" s="131">
        <v>10045935</v>
      </c>
      <c r="D1096" s="46" t="s">
        <v>2859</v>
      </c>
      <c r="E1096" s="26" t="s">
        <v>70</v>
      </c>
      <c r="F1096" s="26" t="s">
        <v>71</v>
      </c>
      <c r="G1096" s="26" t="s">
        <v>218</v>
      </c>
      <c r="H1096" s="26" t="s">
        <v>219</v>
      </c>
      <c r="I1096" s="26" t="s">
        <v>219</v>
      </c>
      <c r="J1096" s="2" t="s">
        <v>72</v>
      </c>
      <c r="K1096" s="26" t="s">
        <v>72</v>
      </c>
      <c r="L1096" s="26" t="s">
        <v>72</v>
      </c>
      <c r="M1096" s="26" t="s">
        <v>72</v>
      </c>
      <c r="N1096" s="2" t="s">
        <v>72</v>
      </c>
      <c r="O1096" s="2" t="s">
        <v>72</v>
      </c>
      <c r="P1096" s="2" t="s">
        <v>72</v>
      </c>
      <c r="Q1096" s="6" t="s">
        <v>72</v>
      </c>
      <c r="R1096" s="6" t="s">
        <v>72</v>
      </c>
      <c r="S1096" s="6" t="s">
        <v>72</v>
      </c>
      <c r="T1096" s="6" t="s">
        <v>72</v>
      </c>
      <c r="U1096" s="6" t="s">
        <v>72</v>
      </c>
      <c r="V1096" s="6" t="s">
        <v>72</v>
      </c>
      <c r="W1096" s="5" t="s">
        <v>72</v>
      </c>
      <c r="X1096" s="6" t="s">
        <v>72</v>
      </c>
      <c r="Y1096" s="6" t="s">
        <v>72</v>
      </c>
      <c r="Z1096" s="6" t="s">
        <v>72</v>
      </c>
      <c r="AA1096" s="6" t="s">
        <v>72</v>
      </c>
      <c r="AB1096" s="6" t="s">
        <v>72</v>
      </c>
      <c r="AC1096" s="6" t="s">
        <v>72</v>
      </c>
    </row>
    <row r="1097" spans="1:29" x14ac:dyDescent="0.25">
      <c r="A1097" s="145" t="str">
        <f>HYPERLINK("http://www.ofsted.gov.uk/inspection-reports/find-inspection-report/provider/ELS/144797 ","Ofsted Webpage")</f>
        <v>Ofsted Webpage</v>
      </c>
      <c r="B1097" s="131">
        <v>144797</v>
      </c>
      <c r="C1097" s="131">
        <v>10065252</v>
      </c>
      <c r="D1097" s="46" t="s">
        <v>3041</v>
      </c>
      <c r="E1097" s="26" t="s">
        <v>70</v>
      </c>
      <c r="F1097" s="26" t="s">
        <v>71</v>
      </c>
      <c r="G1097" s="26" t="s">
        <v>218</v>
      </c>
      <c r="H1097" s="26" t="s">
        <v>219</v>
      </c>
      <c r="I1097" s="26" t="s">
        <v>219</v>
      </c>
      <c r="J1097" s="2" t="s">
        <v>72</v>
      </c>
      <c r="K1097" s="26" t="s">
        <v>72</v>
      </c>
      <c r="L1097" s="26" t="s">
        <v>72</v>
      </c>
      <c r="M1097" s="26" t="s">
        <v>72</v>
      </c>
      <c r="N1097" s="2" t="s">
        <v>72</v>
      </c>
      <c r="O1097" s="2" t="s">
        <v>72</v>
      </c>
      <c r="P1097" s="2" t="s">
        <v>72</v>
      </c>
      <c r="Q1097" s="6" t="s">
        <v>72</v>
      </c>
      <c r="R1097" s="6" t="s">
        <v>72</v>
      </c>
      <c r="S1097" s="6" t="s">
        <v>72</v>
      </c>
      <c r="T1097" s="6" t="s">
        <v>72</v>
      </c>
      <c r="U1097" s="6" t="s">
        <v>72</v>
      </c>
      <c r="V1097" s="6" t="s">
        <v>72</v>
      </c>
      <c r="W1097" s="5" t="s">
        <v>72</v>
      </c>
      <c r="X1097" s="6" t="s">
        <v>72</v>
      </c>
      <c r="Y1097" s="6" t="s">
        <v>72</v>
      </c>
      <c r="Z1097" s="6" t="s">
        <v>72</v>
      </c>
      <c r="AA1097" s="6" t="s">
        <v>72</v>
      </c>
      <c r="AB1097" s="6" t="s">
        <v>72</v>
      </c>
      <c r="AC1097" s="6" t="s">
        <v>72</v>
      </c>
    </row>
    <row r="1098" spans="1:29" x14ac:dyDescent="0.25">
      <c r="A1098" s="145" t="str">
        <f>HYPERLINK("http://www.ofsted.gov.uk/inspection-reports/find-inspection-report/provider/ELS/144813 ","Ofsted Webpage")</f>
        <v>Ofsted Webpage</v>
      </c>
      <c r="B1098" s="131">
        <v>144813</v>
      </c>
      <c r="C1098" s="131">
        <v>10064084</v>
      </c>
      <c r="D1098" s="46" t="s">
        <v>2335</v>
      </c>
      <c r="E1098" s="26" t="s">
        <v>70</v>
      </c>
      <c r="F1098" s="26" t="s">
        <v>71</v>
      </c>
      <c r="G1098" s="26" t="s">
        <v>474</v>
      </c>
      <c r="H1098" s="26" t="s">
        <v>187</v>
      </c>
      <c r="I1098" s="26" t="s">
        <v>175</v>
      </c>
      <c r="J1098" s="2" t="s">
        <v>72</v>
      </c>
      <c r="K1098" s="26" t="s">
        <v>72</v>
      </c>
      <c r="L1098" s="26" t="s">
        <v>72</v>
      </c>
      <c r="M1098" s="26" t="s">
        <v>72</v>
      </c>
      <c r="N1098" s="2" t="s">
        <v>72</v>
      </c>
      <c r="O1098" s="2" t="s">
        <v>72</v>
      </c>
      <c r="P1098" s="2" t="s">
        <v>72</v>
      </c>
      <c r="Q1098" s="6" t="s">
        <v>72</v>
      </c>
      <c r="R1098" s="6" t="s">
        <v>72</v>
      </c>
      <c r="S1098" s="6" t="s">
        <v>72</v>
      </c>
      <c r="T1098" s="6" t="s">
        <v>72</v>
      </c>
      <c r="U1098" s="6" t="s">
        <v>72</v>
      </c>
      <c r="V1098" s="6" t="s">
        <v>72</v>
      </c>
      <c r="W1098" s="5" t="s">
        <v>72</v>
      </c>
      <c r="X1098" s="6" t="s">
        <v>72</v>
      </c>
      <c r="Y1098" s="6" t="s">
        <v>72</v>
      </c>
      <c r="Z1098" s="6" t="s">
        <v>72</v>
      </c>
      <c r="AA1098" s="6" t="s">
        <v>72</v>
      </c>
      <c r="AB1098" s="6" t="s">
        <v>72</v>
      </c>
      <c r="AC1098" s="6" t="s">
        <v>72</v>
      </c>
    </row>
    <row r="1099" spans="1:29" x14ac:dyDescent="0.25">
      <c r="A1099" s="145" t="str">
        <f>HYPERLINK("http://www.ofsted.gov.uk/inspection-reports/find-inspection-report/provider/ELS/144829 ","Ofsted Webpage")</f>
        <v>Ofsted Webpage</v>
      </c>
      <c r="B1099" s="131">
        <v>144829</v>
      </c>
      <c r="C1099" s="131">
        <v>10064686</v>
      </c>
      <c r="D1099" s="46" t="s">
        <v>2860</v>
      </c>
      <c r="E1099" s="26" t="s">
        <v>88</v>
      </c>
      <c r="F1099" s="26" t="s">
        <v>74</v>
      </c>
      <c r="G1099" s="26" t="s">
        <v>1310</v>
      </c>
      <c r="H1099" s="26" t="s">
        <v>238</v>
      </c>
      <c r="I1099" s="26" t="s">
        <v>238</v>
      </c>
      <c r="J1099" s="2" t="s">
        <v>72</v>
      </c>
      <c r="K1099" s="26" t="s">
        <v>72</v>
      </c>
      <c r="L1099" s="144">
        <v>10020103</v>
      </c>
      <c r="M1099" s="26" t="s">
        <v>372</v>
      </c>
      <c r="N1099" s="2">
        <v>42711</v>
      </c>
      <c r="O1099" s="2">
        <v>42713</v>
      </c>
      <c r="P1099" s="2">
        <v>42765</v>
      </c>
      <c r="Q1099" s="6">
        <v>1</v>
      </c>
      <c r="R1099" s="6">
        <v>1</v>
      </c>
      <c r="S1099" s="6">
        <v>1</v>
      </c>
      <c r="T1099" s="6">
        <v>1</v>
      </c>
      <c r="U1099" s="6">
        <v>1</v>
      </c>
      <c r="V1099" s="6" t="s">
        <v>2861</v>
      </c>
      <c r="W1099" s="5">
        <v>41250</v>
      </c>
      <c r="X1099" s="6">
        <v>2</v>
      </c>
      <c r="Y1099" s="6">
        <v>2</v>
      </c>
      <c r="Z1099" s="6">
        <v>2</v>
      </c>
      <c r="AA1099" s="6" t="s">
        <v>178</v>
      </c>
      <c r="AB1099" s="6">
        <v>2</v>
      </c>
      <c r="AC1099" s="6" t="s">
        <v>216</v>
      </c>
    </row>
    <row r="1100" spans="1:29" x14ac:dyDescent="0.25">
      <c r="A1100" s="145" t="str">
        <f>HYPERLINK("http://www.ofsted.gov.uk/inspection-reports/find-inspection-report/provider/ELS/144886 ","Ofsted Webpage")</f>
        <v>Ofsted Webpage</v>
      </c>
      <c r="B1100" s="131">
        <v>144886</v>
      </c>
      <c r="C1100" s="131">
        <v>10064664</v>
      </c>
      <c r="D1100" s="46" t="s">
        <v>1092</v>
      </c>
      <c r="E1100" s="26" t="s">
        <v>88</v>
      </c>
      <c r="F1100" s="26" t="s">
        <v>74</v>
      </c>
      <c r="G1100" s="26" t="s">
        <v>230</v>
      </c>
      <c r="H1100" s="26" t="s">
        <v>187</v>
      </c>
      <c r="I1100" s="26" t="s">
        <v>188</v>
      </c>
      <c r="J1100" s="2" t="s">
        <v>72</v>
      </c>
      <c r="K1100" s="26" t="s">
        <v>72</v>
      </c>
      <c r="L1100" s="144">
        <v>10004815</v>
      </c>
      <c r="M1100" s="26" t="s">
        <v>1093</v>
      </c>
      <c r="N1100" s="2">
        <v>42290</v>
      </c>
      <c r="O1100" s="2">
        <v>42293</v>
      </c>
      <c r="P1100" s="2">
        <v>42326</v>
      </c>
      <c r="Q1100" s="6">
        <v>2</v>
      </c>
      <c r="R1100" s="6">
        <v>2</v>
      </c>
      <c r="S1100" s="6">
        <v>2</v>
      </c>
      <c r="T1100" s="6">
        <v>2</v>
      </c>
      <c r="U1100" s="6">
        <v>2</v>
      </c>
      <c r="V1100" s="6" t="s">
        <v>1094</v>
      </c>
      <c r="W1100" s="5">
        <v>41761</v>
      </c>
      <c r="X1100" s="6">
        <v>3</v>
      </c>
      <c r="Y1100" s="6">
        <v>3</v>
      </c>
      <c r="Z1100" s="6">
        <v>3</v>
      </c>
      <c r="AA1100" s="6" t="s">
        <v>178</v>
      </c>
      <c r="AB1100" s="6">
        <v>3</v>
      </c>
      <c r="AC1100" s="6" t="s">
        <v>216</v>
      </c>
    </row>
    <row r="1101" spans="1:29" x14ac:dyDescent="0.25">
      <c r="A1101" s="145" t="str">
        <f>HYPERLINK("http://www.ofsted.gov.uk/inspection-reports/find-inspection-report/provider/ELS/144887 ","Ofsted Webpage")</f>
        <v>Ofsted Webpage</v>
      </c>
      <c r="B1101" s="131">
        <v>144887</v>
      </c>
      <c r="C1101" s="131">
        <v>10064663</v>
      </c>
      <c r="D1101" s="46" t="s">
        <v>3042</v>
      </c>
      <c r="E1101" s="26" t="s">
        <v>88</v>
      </c>
      <c r="F1101" s="26" t="s">
        <v>74</v>
      </c>
      <c r="G1101" s="26" t="s">
        <v>1030</v>
      </c>
      <c r="H1101" s="26" t="s">
        <v>193</v>
      </c>
      <c r="I1101" s="26" t="s">
        <v>193</v>
      </c>
      <c r="J1101" s="2" t="s">
        <v>72</v>
      </c>
      <c r="K1101" s="26" t="s">
        <v>72</v>
      </c>
      <c r="L1101" s="26" t="s">
        <v>3043</v>
      </c>
      <c r="M1101" s="26" t="s">
        <v>372</v>
      </c>
      <c r="N1101" s="2">
        <v>41541</v>
      </c>
      <c r="O1101" s="2">
        <v>41544</v>
      </c>
      <c r="P1101" s="2">
        <v>41579</v>
      </c>
      <c r="Q1101" s="6">
        <v>2</v>
      </c>
      <c r="R1101" s="6">
        <v>2</v>
      </c>
      <c r="S1101" s="6">
        <v>2</v>
      </c>
      <c r="T1101" s="120" t="s">
        <v>178</v>
      </c>
      <c r="U1101" s="6">
        <v>2</v>
      </c>
      <c r="V1101" s="6" t="s">
        <v>3044</v>
      </c>
      <c r="W1101" s="5">
        <v>40823</v>
      </c>
      <c r="X1101" s="6">
        <v>3</v>
      </c>
      <c r="Y1101" s="6">
        <v>3</v>
      </c>
      <c r="Z1101" s="6">
        <v>3</v>
      </c>
      <c r="AA1101" s="6" t="s">
        <v>178</v>
      </c>
      <c r="AB1101" s="6">
        <v>3</v>
      </c>
      <c r="AC1101" s="6" t="s">
        <v>216</v>
      </c>
    </row>
    <row r="1102" spans="1:29" x14ac:dyDescent="0.25">
      <c r="A1102" s="145" t="str">
        <f>HYPERLINK("http://www.ofsted.gov.uk/inspection-reports/find-inspection-report/provider/ELS/145002 ","Ofsted Webpage")</f>
        <v>Ofsted Webpage</v>
      </c>
      <c r="B1102" s="131">
        <v>145002</v>
      </c>
      <c r="C1102" s="131">
        <v>10065145</v>
      </c>
      <c r="D1102" s="46" t="s">
        <v>3045</v>
      </c>
      <c r="E1102" s="26" t="s">
        <v>88</v>
      </c>
      <c r="F1102" s="26" t="s">
        <v>74</v>
      </c>
      <c r="G1102" s="26" t="s">
        <v>997</v>
      </c>
      <c r="H1102" s="26" t="s">
        <v>238</v>
      </c>
      <c r="I1102" s="26" t="s">
        <v>238</v>
      </c>
      <c r="J1102" s="2">
        <v>42641</v>
      </c>
      <c r="K1102" s="26" t="s">
        <v>352</v>
      </c>
      <c r="L1102" s="26" t="s">
        <v>3046</v>
      </c>
      <c r="M1102" s="26" t="s">
        <v>372</v>
      </c>
      <c r="N1102" s="2">
        <v>41331</v>
      </c>
      <c r="O1102" s="2">
        <v>41334</v>
      </c>
      <c r="P1102" s="2">
        <v>41361</v>
      </c>
      <c r="Q1102" s="6">
        <v>2</v>
      </c>
      <c r="R1102" s="6">
        <v>3</v>
      </c>
      <c r="S1102" s="6">
        <v>2</v>
      </c>
      <c r="T1102" s="120" t="s">
        <v>178</v>
      </c>
      <c r="U1102" s="6">
        <v>2</v>
      </c>
      <c r="V1102" s="6" t="s">
        <v>3047</v>
      </c>
      <c r="W1102" s="5">
        <v>39555</v>
      </c>
      <c r="X1102" s="6">
        <v>1</v>
      </c>
      <c r="Y1102" s="6">
        <v>1</v>
      </c>
      <c r="Z1102" s="6">
        <v>1</v>
      </c>
      <c r="AA1102" s="6" t="s">
        <v>178</v>
      </c>
      <c r="AB1102" s="6">
        <v>1</v>
      </c>
      <c r="AC1102" s="6" t="s">
        <v>201</v>
      </c>
    </row>
    <row r="1103" spans="1:29" x14ac:dyDescent="0.25">
      <c r="A1103" s="145" t="str">
        <f>HYPERLINK("http://www.ofsted.gov.uk/inspection-reports/find-inspection-report/provider/ELS/145003 ","Ofsted Webpage")</f>
        <v>Ofsted Webpage</v>
      </c>
      <c r="B1103" s="151">
        <v>145003</v>
      </c>
      <c r="C1103" s="151">
        <v>10065146</v>
      </c>
      <c r="D1103" s="46" t="s">
        <v>1095</v>
      </c>
      <c r="E1103" s="26" t="s">
        <v>88</v>
      </c>
      <c r="F1103" s="26" t="s">
        <v>74</v>
      </c>
      <c r="G1103" s="26" t="s">
        <v>530</v>
      </c>
      <c r="H1103" s="26" t="s">
        <v>193</v>
      </c>
      <c r="I1103" s="26" t="s">
        <v>193</v>
      </c>
      <c r="J1103" s="2">
        <v>43026</v>
      </c>
      <c r="K1103" s="141">
        <v>1</v>
      </c>
      <c r="L1103" s="141" t="s">
        <v>1096</v>
      </c>
      <c r="M1103" s="26" t="s">
        <v>1093</v>
      </c>
      <c r="N1103" s="2">
        <v>42115</v>
      </c>
      <c r="O1103" s="2">
        <v>42118</v>
      </c>
      <c r="P1103" s="119">
        <v>42153</v>
      </c>
      <c r="Q1103" s="6">
        <v>2</v>
      </c>
      <c r="R1103" s="6">
        <v>2</v>
      </c>
      <c r="S1103" s="6">
        <v>2</v>
      </c>
      <c r="T1103" s="120" t="s">
        <v>178</v>
      </c>
      <c r="U1103" s="6">
        <v>2</v>
      </c>
      <c r="V1103" s="6" t="s">
        <v>1097</v>
      </c>
      <c r="W1103" s="5">
        <v>41656</v>
      </c>
      <c r="X1103" s="6">
        <v>3</v>
      </c>
      <c r="Y1103" s="6">
        <v>3</v>
      </c>
      <c r="Z1103" s="6">
        <v>3</v>
      </c>
      <c r="AA1103" s="6" t="s">
        <v>178</v>
      </c>
      <c r="AB1103" s="6">
        <v>3</v>
      </c>
      <c r="AC1103" s="6" t="s">
        <v>216</v>
      </c>
    </row>
    <row r="1104" spans="1:29" x14ac:dyDescent="0.25">
      <c r="A1104" s="145" t="str">
        <f>HYPERLINK("http://www.ofsted.gov.uk/inspection-reports/find-inspection-report/provider/ELS/145005 ","Ofsted Webpage")</f>
        <v>Ofsted Webpage</v>
      </c>
      <c r="B1104" s="151">
        <v>145005</v>
      </c>
      <c r="C1104" s="151">
        <v>10065148</v>
      </c>
      <c r="D1104" s="46" t="s">
        <v>1098</v>
      </c>
      <c r="E1104" s="26" t="s">
        <v>88</v>
      </c>
      <c r="F1104" s="26" t="s">
        <v>74</v>
      </c>
      <c r="G1104" s="26" t="s">
        <v>421</v>
      </c>
      <c r="H1104" s="26" t="s">
        <v>219</v>
      </c>
      <c r="I1104" s="26" t="s">
        <v>219</v>
      </c>
      <c r="J1104" s="2" t="s">
        <v>72</v>
      </c>
      <c r="K1104" s="141" t="s">
        <v>72</v>
      </c>
      <c r="L1104" s="141" t="s">
        <v>1099</v>
      </c>
      <c r="M1104" s="26" t="s">
        <v>409</v>
      </c>
      <c r="N1104" s="2">
        <v>39742</v>
      </c>
      <c r="O1104" s="2">
        <v>39743</v>
      </c>
      <c r="P1104" s="119">
        <v>39794</v>
      </c>
      <c r="Q1104" s="6">
        <v>1</v>
      </c>
      <c r="R1104" s="6">
        <v>1</v>
      </c>
      <c r="S1104" s="6">
        <v>1</v>
      </c>
      <c r="T1104" s="120" t="s">
        <v>178</v>
      </c>
      <c r="U1104" s="6">
        <v>1</v>
      </c>
      <c r="V1104" s="6" t="s">
        <v>72</v>
      </c>
      <c r="W1104" s="5" t="s">
        <v>72</v>
      </c>
      <c r="X1104" s="6" t="s">
        <v>72</v>
      </c>
      <c r="Y1104" s="6" t="s">
        <v>72</v>
      </c>
      <c r="Z1104" s="6" t="s">
        <v>72</v>
      </c>
      <c r="AA1104" s="6" t="s">
        <v>72</v>
      </c>
      <c r="AB1104" s="6" t="s">
        <v>72</v>
      </c>
      <c r="AC1104" s="6" t="s">
        <v>208</v>
      </c>
    </row>
    <row r="1105" spans="1:29" x14ac:dyDescent="0.25">
      <c r="A1105" s="145" t="str">
        <f>HYPERLINK("http://www.ofsted.gov.uk/inspection-reports/find-inspection-report/provider/ELS/145007 ","Ofsted Webpage")</f>
        <v>Ofsted Webpage</v>
      </c>
      <c r="B1105" s="151">
        <v>145007</v>
      </c>
      <c r="C1105" s="151">
        <v>10065150</v>
      </c>
      <c r="D1105" s="46" t="s">
        <v>1100</v>
      </c>
      <c r="E1105" s="26" t="s">
        <v>88</v>
      </c>
      <c r="F1105" s="26" t="s">
        <v>74</v>
      </c>
      <c r="G1105" s="26" t="s">
        <v>421</v>
      </c>
      <c r="H1105" s="26" t="s">
        <v>219</v>
      </c>
      <c r="I1105" s="26" t="s">
        <v>219</v>
      </c>
      <c r="J1105" s="2">
        <v>42488</v>
      </c>
      <c r="K1105" s="141">
        <v>1</v>
      </c>
      <c r="L1105" s="141" t="s">
        <v>1101</v>
      </c>
      <c r="M1105" s="26" t="s">
        <v>1102</v>
      </c>
      <c r="N1105" s="2">
        <v>40504</v>
      </c>
      <c r="O1105" s="2">
        <v>40507</v>
      </c>
      <c r="P1105" s="133">
        <v>40546</v>
      </c>
      <c r="Q1105" s="6">
        <v>2</v>
      </c>
      <c r="R1105" s="6">
        <v>2</v>
      </c>
      <c r="S1105" s="6">
        <v>2</v>
      </c>
      <c r="T1105" s="120" t="s">
        <v>178</v>
      </c>
      <c r="U1105" s="6">
        <v>2</v>
      </c>
      <c r="V1105" s="6" t="s">
        <v>1103</v>
      </c>
      <c r="W1105" s="5">
        <v>39388</v>
      </c>
      <c r="X1105" s="6">
        <v>3</v>
      </c>
      <c r="Y1105" s="6">
        <v>3</v>
      </c>
      <c r="Z1105" s="6">
        <v>2</v>
      </c>
      <c r="AA1105" s="6" t="s">
        <v>178</v>
      </c>
      <c r="AB1105" s="6">
        <v>2</v>
      </c>
      <c r="AC1105" s="6" t="s">
        <v>216</v>
      </c>
    </row>
    <row r="1106" spans="1:29" x14ac:dyDescent="0.25">
      <c r="A1106" s="145" t="str">
        <f>HYPERLINK("http://www.ofsted.gov.uk/inspection-reports/find-inspection-report/provider/ELS/145057 ","Ofsted Webpage")</f>
        <v>Ofsted Webpage</v>
      </c>
      <c r="B1106" s="151">
        <v>145057</v>
      </c>
      <c r="C1106" s="151">
        <v>10065175</v>
      </c>
      <c r="D1106" s="46" t="s">
        <v>3001</v>
      </c>
      <c r="E1106" s="26" t="s">
        <v>88</v>
      </c>
      <c r="F1106" s="26" t="s">
        <v>74</v>
      </c>
      <c r="G1106" s="26" t="s">
        <v>261</v>
      </c>
      <c r="H1106" s="26" t="s">
        <v>219</v>
      </c>
      <c r="I1106" s="26" t="s">
        <v>219</v>
      </c>
      <c r="J1106" s="2" t="s">
        <v>72</v>
      </c>
      <c r="K1106" s="141" t="s">
        <v>72</v>
      </c>
      <c r="L1106" s="141" t="s">
        <v>3002</v>
      </c>
      <c r="M1106" s="26" t="s">
        <v>1592</v>
      </c>
      <c r="N1106" s="2">
        <v>39203</v>
      </c>
      <c r="O1106" s="2">
        <v>39203</v>
      </c>
      <c r="P1106" s="119">
        <v>39192</v>
      </c>
      <c r="Q1106" s="6">
        <v>1</v>
      </c>
      <c r="R1106" s="6">
        <v>1</v>
      </c>
      <c r="S1106" s="6">
        <v>1</v>
      </c>
      <c r="T1106" s="120" t="s">
        <v>178</v>
      </c>
      <c r="U1106" s="6">
        <v>1</v>
      </c>
      <c r="V1106" s="6" t="s">
        <v>72</v>
      </c>
      <c r="W1106" s="5" t="s">
        <v>72</v>
      </c>
      <c r="X1106" s="6" t="s">
        <v>72</v>
      </c>
      <c r="Y1106" s="6" t="s">
        <v>72</v>
      </c>
      <c r="Z1106" s="6" t="s">
        <v>72</v>
      </c>
      <c r="AA1106" s="6" t="s">
        <v>72</v>
      </c>
      <c r="AB1106" s="6" t="s">
        <v>72</v>
      </c>
      <c r="AC1106" s="6" t="s">
        <v>208</v>
      </c>
    </row>
    <row r="1107" spans="1:29" x14ac:dyDescent="0.25">
      <c r="A1107" s="145" t="str">
        <f>HYPERLINK("http://www.ofsted.gov.uk/inspection-reports/find-inspection-report/provider/ELS/145152 ","Ofsted Webpage")</f>
        <v>Ofsted Webpage</v>
      </c>
      <c r="B1107" s="151">
        <v>145152</v>
      </c>
      <c r="C1107" s="151">
        <v>10005521</v>
      </c>
      <c r="D1107" s="46" t="s">
        <v>3004</v>
      </c>
      <c r="E1107" s="26" t="s">
        <v>70</v>
      </c>
      <c r="F1107" s="26" t="s">
        <v>71</v>
      </c>
      <c r="G1107" s="26" t="s">
        <v>218</v>
      </c>
      <c r="H1107" s="26" t="s">
        <v>219</v>
      </c>
      <c r="I1107" s="26" t="s">
        <v>219</v>
      </c>
      <c r="J1107" s="2" t="s">
        <v>72</v>
      </c>
      <c r="K1107" s="141" t="s">
        <v>72</v>
      </c>
      <c r="L1107" s="141" t="s">
        <v>72</v>
      </c>
      <c r="M1107" s="26" t="s">
        <v>72</v>
      </c>
      <c r="N1107" s="2" t="s">
        <v>72</v>
      </c>
      <c r="O1107" s="2" t="s">
        <v>72</v>
      </c>
      <c r="P1107" s="119" t="s">
        <v>72</v>
      </c>
      <c r="Q1107" s="6" t="s">
        <v>72</v>
      </c>
      <c r="R1107" s="6" t="s">
        <v>72</v>
      </c>
      <c r="S1107" s="6" t="s">
        <v>72</v>
      </c>
      <c r="T1107" s="6" t="s">
        <v>72</v>
      </c>
      <c r="U1107" s="6" t="s">
        <v>72</v>
      </c>
      <c r="V1107" s="6" t="s">
        <v>72</v>
      </c>
      <c r="W1107" s="5" t="s">
        <v>72</v>
      </c>
      <c r="X1107" s="6" t="s">
        <v>72</v>
      </c>
      <c r="Y1107" s="6" t="s">
        <v>72</v>
      </c>
      <c r="Z1107" s="6" t="s">
        <v>72</v>
      </c>
      <c r="AA1107" s="6" t="s">
        <v>72</v>
      </c>
      <c r="AB1107" s="6" t="s">
        <v>72</v>
      </c>
      <c r="AC1107" s="6" t="s">
        <v>72</v>
      </c>
    </row>
    <row r="1108" spans="1:29" x14ac:dyDescent="0.25">
      <c r="A1108" s="145" t="str">
        <f>HYPERLINK("http://www.ofsted.gov.uk/inspection-reports/find-inspection-report/provider/ELS/145175 ","Ofsted Webpage")</f>
        <v>Ofsted Webpage</v>
      </c>
      <c r="B1108" s="151">
        <v>145175</v>
      </c>
      <c r="C1108" s="151">
        <v>10065473</v>
      </c>
      <c r="D1108" s="46" t="s">
        <v>3005</v>
      </c>
      <c r="E1108" s="26" t="s">
        <v>88</v>
      </c>
      <c r="F1108" s="26" t="s">
        <v>74</v>
      </c>
      <c r="G1108" s="26" t="s">
        <v>261</v>
      </c>
      <c r="H1108" s="26" t="s">
        <v>219</v>
      </c>
      <c r="I1108" s="26" t="s">
        <v>219</v>
      </c>
      <c r="J1108" s="2">
        <v>42395</v>
      </c>
      <c r="K1108" s="141">
        <v>1</v>
      </c>
      <c r="L1108" s="141" t="s">
        <v>3006</v>
      </c>
      <c r="M1108" s="26" t="s">
        <v>409</v>
      </c>
      <c r="N1108" s="2">
        <v>40309</v>
      </c>
      <c r="O1108" s="2">
        <v>40312</v>
      </c>
      <c r="P1108" s="119">
        <v>40343</v>
      </c>
      <c r="Q1108" s="6">
        <v>2</v>
      </c>
      <c r="R1108" s="6">
        <v>2</v>
      </c>
      <c r="S1108" s="6">
        <v>2</v>
      </c>
      <c r="T1108" s="120" t="s">
        <v>178</v>
      </c>
      <c r="U1108" s="6">
        <v>1</v>
      </c>
      <c r="V1108" s="6" t="s">
        <v>3007</v>
      </c>
      <c r="W1108" s="5">
        <v>38793</v>
      </c>
      <c r="X1108" s="6">
        <v>2</v>
      </c>
      <c r="Y1108" s="6">
        <v>3</v>
      </c>
      <c r="Z1108" s="6">
        <v>2</v>
      </c>
      <c r="AA1108" s="6" t="s">
        <v>178</v>
      </c>
      <c r="AB1108" s="6">
        <v>2</v>
      </c>
      <c r="AC1108" s="6" t="s">
        <v>180</v>
      </c>
    </row>
    <row r="1109" spans="1:29" x14ac:dyDescent="0.25">
      <c r="A1109" s="145" t="str">
        <f>HYPERLINK("http://www.ofsted.gov.uk/inspection-reports/find-inspection-report/provider/ELS/145227 ","Ofsted Webpage")</f>
        <v>Ofsted Webpage</v>
      </c>
      <c r="B1109" s="151">
        <v>145227</v>
      </c>
      <c r="C1109" s="151">
        <v>10065941</v>
      </c>
      <c r="D1109" s="46" t="s">
        <v>1084</v>
      </c>
      <c r="E1109" s="26" t="s">
        <v>88</v>
      </c>
      <c r="F1109" s="26" t="s">
        <v>74</v>
      </c>
      <c r="G1109" s="26" t="s">
        <v>72</v>
      </c>
      <c r="H1109" s="26" t="s">
        <v>72</v>
      </c>
      <c r="I1109" s="26" t="s">
        <v>188</v>
      </c>
      <c r="J1109" s="2" t="s">
        <v>72</v>
      </c>
      <c r="K1109" s="141" t="s">
        <v>72</v>
      </c>
      <c r="L1109" s="141" t="s">
        <v>72</v>
      </c>
      <c r="M1109" s="26" t="s">
        <v>72</v>
      </c>
      <c r="N1109" s="2" t="s">
        <v>72</v>
      </c>
      <c r="O1109" s="2" t="s">
        <v>72</v>
      </c>
      <c r="P1109" s="119" t="s">
        <v>72</v>
      </c>
      <c r="Q1109" s="6" t="s">
        <v>72</v>
      </c>
      <c r="R1109" s="6" t="s">
        <v>72</v>
      </c>
      <c r="S1109" s="6" t="s">
        <v>72</v>
      </c>
      <c r="T1109" s="6" t="s">
        <v>72</v>
      </c>
      <c r="U1109" s="6" t="s">
        <v>72</v>
      </c>
      <c r="V1109" s="6" t="s">
        <v>72</v>
      </c>
      <c r="W1109" s="5" t="s">
        <v>72</v>
      </c>
      <c r="X1109" s="6" t="s">
        <v>72</v>
      </c>
      <c r="Y1109" s="6" t="s">
        <v>72</v>
      </c>
      <c r="Z1109" s="6" t="s">
        <v>72</v>
      </c>
      <c r="AA1109" s="6" t="s">
        <v>72</v>
      </c>
      <c r="AB1109" s="6" t="s">
        <v>72</v>
      </c>
      <c r="AC1109" s="6" t="s">
        <v>72</v>
      </c>
    </row>
    <row r="1110" spans="1:29" x14ac:dyDescent="0.25">
      <c r="A1110" s="145" t="str">
        <f>HYPERLINK("http://www.ofsted.gov.uk/inspection-reports/find-inspection-report/provider/ELS/145228 ","Ofsted Webpage")</f>
        <v>Ofsted Webpage</v>
      </c>
      <c r="B1110" s="131">
        <v>145228</v>
      </c>
      <c r="C1110" s="131">
        <v>10065834</v>
      </c>
      <c r="D1110" s="46" t="s">
        <v>1647</v>
      </c>
      <c r="E1110" s="26" t="s">
        <v>88</v>
      </c>
      <c r="F1110" s="26" t="s">
        <v>74</v>
      </c>
      <c r="G1110" s="26" t="s">
        <v>512</v>
      </c>
      <c r="H1110" s="26" t="s">
        <v>219</v>
      </c>
      <c r="I1110" s="26" t="s">
        <v>219</v>
      </c>
      <c r="J1110" s="2" t="s">
        <v>72</v>
      </c>
      <c r="K1110" s="26" t="s">
        <v>72</v>
      </c>
      <c r="L1110" s="144">
        <v>10022525</v>
      </c>
      <c r="M1110" s="26" t="s">
        <v>372</v>
      </c>
      <c r="N1110" s="2">
        <v>42801</v>
      </c>
      <c r="O1110" s="2">
        <v>42803</v>
      </c>
      <c r="P1110" s="2">
        <v>42845</v>
      </c>
      <c r="Q1110" s="6">
        <v>3</v>
      </c>
      <c r="R1110" s="6">
        <v>3</v>
      </c>
      <c r="S1110" s="6">
        <v>3</v>
      </c>
      <c r="T1110" s="6">
        <v>2</v>
      </c>
      <c r="U1110" s="6">
        <v>3</v>
      </c>
      <c r="V1110" s="6" t="s">
        <v>1648</v>
      </c>
      <c r="W1110" s="5">
        <v>41565</v>
      </c>
      <c r="X1110" s="6">
        <v>2</v>
      </c>
      <c r="Y1110" s="6">
        <v>2</v>
      </c>
      <c r="Z1110" s="6">
        <v>2</v>
      </c>
      <c r="AA1110" s="6" t="s">
        <v>178</v>
      </c>
      <c r="AB1110" s="6">
        <v>2</v>
      </c>
      <c r="AC1110" s="6" t="s">
        <v>201</v>
      </c>
    </row>
    <row r="1111" spans="1:29" x14ac:dyDescent="0.25">
      <c r="A1111" s="145" t="str">
        <f>HYPERLINK("http://www.ofsted.gov.uk/inspection-reports/find-inspection-report/provider/ELS/145229 ","Ofsted Webpage")</f>
        <v>Ofsted Webpage</v>
      </c>
      <c r="B1111" s="131">
        <v>145229</v>
      </c>
      <c r="C1111" s="131">
        <v>10065835</v>
      </c>
      <c r="D1111" s="46" t="s">
        <v>1642</v>
      </c>
      <c r="E1111" s="26" t="s">
        <v>88</v>
      </c>
      <c r="F1111" s="26" t="s">
        <v>74</v>
      </c>
      <c r="G1111" s="26" t="s">
        <v>72</v>
      </c>
      <c r="H1111" s="26" t="s">
        <v>72</v>
      </c>
      <c r="I1111" s="26" t="s">
        <v>219</v>
      </c>
      <c r="J1111" s="2" t="s">
        <v>72</v>
      </c>
      <c r="K1111" s="26" t="s">
        <v>72</v>
      </c>
      <c r="L1111" s="144">
        <v>10004749</v>
      </c>
      <c r="M1111" s="26" t="s">
        <v>1093</v>
      </c>
      <c r="N1111" s="2">
        <v>42382</v>
      </c>
      <c r="O1111" s="2">
        <v>42384</v>
      </c>
      <c r="P1111" s="2">
        <v>42424</v>
      </c>
      <c r="Q1111" s="6">
        <v>2</v>
      </c>
      <c r="R1111" s="6">
        <v>2</v>
      </c>
      <c r="S1111" s="6">
        <v>2</v>
      </c>
      <c r="T1111" s="6">
        <v>2</v>
      </c>
      <c r="U1111" s="6">
        <v>2</v>
      </c>
      <c r="V1111" s="6" t="s">
        <v>1643</v>
      </c>
      <c r="W1111" s="5">
        <v>41733</v>
      </c>
      <c r="X1111" s="6">
        <v>3</v>
      </c>
      <c r="Y1111" s="6">
        <v>3</v>
      </c>
      <c r="Z1111" s="6">
        <v>3</v>
      </c>
      <c r="AA1111" s="6" t="s">
        <v>178</v>
      </c>
      <c r="AB1111" s="6">
        <v>3</v>
      </c>
      <c r="AC1111" s="6" t="s">
        <v>216</v>
      </c>
    </row>
    <row r="1112" spans="1:29" x14ac:dyDescent="0.25">
      <c r="A1112" s="145" t="str">
        <f>HYPERLINK("http://www.ofsted.gov.uk/inspection-reports/find-inspection-report/provider/ELS/145230 ","Ofsted Webpage")</f>
        <v>Ofsted Webpage</v>
      </c>
      <c r="B1112" s="131">
        <v>145230</v>
      </c>
      <c r="C1112" s="131">
        <v>10065942</v>
      </c>
      <c r="D1112" s="46" t="s">
        <v>1952</v>
      </c>
      <c r="E1112" s="26" t="s">
        <v>88</v>
      </c>
      <c r="F1112" s="26" t="s">
        <v>74</v>
      </c>
      <c r="G1112" s="26" t="s">
        <v>72</v>
      </c>
      <c r="H1112" s="26" t="s">
        <v>72</v>
      </c>
      <c r="I1112" s="26" t="s">
        <v>188</v>
      </c>
      <c r="J1112" s="2" t="s">
        <v>72</v>
      </c>
      <c r="K1112" s="26" t="s">
        <v>72</v>
      </c>
      <c r="L1112" s="26" t="s">
        <v>1953</v>
      </c>
      <c r="M1112" s="26" t="s">
        <v>228</v>
      </c>
      <c r="N1112" s="2">
        <v>41653</v>
      </c>
      <c r="O1112" s="2">
        <v>41656</v>
      </c>
      <c r="P1112" s="2">
        <v>41689</v>
      </c>
      <c r="Q1112" s="6">
        <v>2</v>
      </c>
      <c r="R1112" s="6">
        <v>2</v>
      </c>
      <c r="S1112" s="6">
        <v>2</v>
      </c>
      <c r="T1112" s="120" t="s">
        <v>178</v>
      </c>
      <c r="U1112" s="6">
        <v>2</v>
      </c>
      <c r="V1112" s="6" t="s">
        <v>1954</v>
      </c>
      <c r="W1112" s="5">
        <v>41187</v>
      </c>
      <c r="X1112" s="6">
        <v>3</v>
      </c>
      <c r="Y1112" s="6">
        <v>3</v>
      </c>
      <c r="Z1112" s="6">
        <v>3</v>
      </c>
      <c r="AA1112" s="6" t="s">
        <v>178</v>
      </c>
      <c r="AB1112" s="6">
        <v>4</v>
      </c>
      <c r="AC1112" s="6" t="s">
        <v>216</v>
      </c>
    </row>
    <row r="1113" spans="1:29" x14ac:dyDescent="0.25">
      <c r="A1113" s="145" t="str">
        <f>HYPERLINK("http://www.ofsted.gov.uk/inspection-reports/find-inspection-report/provider/ELS/1184091","Ofsted Webpage")</f>
        <v>Ofsted Webpage</v>
      </c>
      <c r="B1113" s="131">
        <v>1184091</v>
      </c>
      <c r="C1113" s="131">
        <v>10046797</v>
      </c>
      <c r="D1113" s="46" t="s">
        <v>2841</v>
      </c>
      <c r="E1113" s="26" t="s">
        <v>78</v>
      </c>
      <c r="F1113" s="26" t="s">
        <v>79</v>
      </c>
      <c r="G1113" s="26" t="s">
        <v>855</v>
      </c>
      <c r="H1113" s="26" t="s">
        <v>175</v>
      </c>
      <c r="I1113" s="26" t="s">
        <v>175</v>
      </c>
      <c r="J1113" s="2" t="s">
        <v>72</v>
      </c>
      <c r="K1113" s="26" t="s">
        <v>72</v>
      </c>
      <c r="L1113" s="144">
        <v>10008460</v>
      </c>
      <c r="M1113" s="26" t="s">
        <v>183</v>
      </c>
      <c r="N1113" s="2">
        <v>42423</v>
      </c>
      <c r="O1113" s="2">
        <v>42426</v>
      </c>
      <c r="P1113" s="2">
        <v>42458</v>
      </c>
      <c r="Q1113" s="6">
        <v>1</v>
      </c>
      <c r="R1113" s="6">
        <v>1</v>
      </c>
      <c r="S1113" s="6">
        <v>1</v>
      </c>
      <c r="T1113" s="6">
        <v>1</v>
      </c>
      <c r="U1113" s="6">
        <v>1</v>
      </c>
      <c r="V1113" s="6" t="s">
        <v>72</v>
      </c>
      <c r="W1113" s="5" t="s">
        <v>72</v>
      </c>
      <c r="X1113" s="6" t="s">
        <v>72</v>
      </c>
      <c r="Y1113" s="6" t="s">
        <v>72</v>
      </c>
      <c r="Z1113" s="6" t="s">
        <v>72</v>
      </c>
      <c r="AA1113" s="6" t="s">
        <v>72</v>
      </c>
      <c r="AB1113" s="6" t="s">
        <v>72</v>
      </c>
      <c r="AC1113" s="6" t="s">
        <v>208</v>
      </c>
    </row>
    <row r="1114" spans="1:29" x14ac:dyDescent="0.25">
      <c r="A1114" s="145" t="str">
        <f>HYPERLINK("http://www.ofsted.gov.uk/inspection-reports/find-inspection-report/provider/ELS/1220396","Ofsted Webpage")</f>
        <v>Ofsted Webpage</v>
      </c>
      <c r="B1114" s="131">
        <v>1220396</v>
      </c>
      <c r="C1114" s="131">
        <v>10029308</v>
      </c>
      <c r="D1114" s="46" t="s">
        <v>2842</v>
      </c>
      <c r="E1114" s="26" t="s">
        <v>78</v>
      </c>
      <c r="F1114" s="26" t="s">
        <v>79</v>
      </c>
      <c r="G1114" s="26" t="s">
        <v>705</v>
      </c>
      <c r="H1114" s="26" t="s">
        <v>187</v>
      </c>
      <c r="I1114" s="26" t="s">
        <v>188</v>
      </c>
      <c r="J1114" s="2" t="s">
        <v>72</v>
      </c>
      <c r="K1114" s="26" t="s">
        <v>72</v>
      </c>
      <c r="L1114" s="26" t="s">
        <v>72</v>
      </c>
      <c r="M1114" s="26" t="s">
        <v>72</v>
      </c>
      <c r="N1114" s="2" t="s">
        <v>72</v>
      </c>
      <c r="O1114" s="2" t="s">
        <v>72</v>
      </c>
      <c r="P1114" s="2" t="s">
        <v>72</v>
      </c>
      <c r="Q1114" s="6" t="s">
        <v>72</v>
      </c>
      <c r="R1114" s="6" t="s">
        <v>72</v>
      </c>
      <c r="S1114" s="6" t="s">
        <v>72</v>
      </c>
      <c r="T1114" s="6" t="s">
        <v>72</v>
      </c>
      <c r="U1114" s="6" t="s">
        <v>72</v>
      </c>
      <c r="V1114" s="6" t="s">
        <v>72</v>
      </c>
      <c r="W1114" s="5" t="s">
        <v>72</v>
      </c>
      <c r="X1114" s="6" t="s">
        <v>72</v>
      </c>
      <c r="Y1114" s="6" t="s">
        <v>72</v>
      </c>
      <c r="Z1114" s="6" t="s">
        <v>72</v>
      </c>
      <c r="AA1114" s="6" t="s">
        <v>72</v>
      </c>
      <c r="AB1114" s="6" t="s">
        <v>72</v>
      </c>
      <c r="AC1114" s="6" t="s">
        <v>72</v>
      </c>
    </row>
    <row r="1115" spans="1:29" x14ac:dyDescent="0.25">
      <c r="A1115" s="145" t="str">
        <f>HYPERLINK("http://www.ofsted.gov.uk/inspection-reports/find-inspection-report/provider/ELS/1220982","Ofsted Webpage")</f>
        <v>Ofsted Webpage</v>
      </c>
      <c r="B1115" s="131">
        <v>1220982</v>
      </c>
      <c r="C1115" s="131">
        <v>10042505</v>
      </c>
      <c r="D1115" s="46" t="s">
        <v>2843</v>
      </c>
      <c r="E1115" s="26" t="s">
        <v>75</v>
      </c>
      <c r="F1115" s="26" t="s">
        <v>76</v>
      </c>
      <c r="G1115" s="26" t="s">
        <v>464</v>
      </c>
      <c r="H1115" s="26" t="s">
        <v>198</v>
      </c>
      <c r="I1115" s="26" t="s">
        <v>198</v>
      </c>
      <c r="J1115" s="2" t="s">
        <v>72</v>
      </c>
      <c r="K1115" s="26" t="s">
        <v>72</v>
      </c>
      <c r="L1115" s="144">
        <v>10030774</v>
      </c>
      <c r="M1115" s="26" t="s">
        <v>308</v>
      </c>
      <c r="N1115" s="2">
        <v>42913</v>
      </c>
      <c r="O1115" s="2">
        <v>42916</v>
      </c>
      <c r="P1115" s="2">
        <v>42944</v>
      </c>
      <c r="Q1115" s="6">
        <v>2</v>
      </c>
      <c r="R1115" s="6">
        <v>2</v>
      </c>
      <c r="S1115" s="6">
        <v>2</v>
      </c>
      <c r="T1115" s="6">
        <v>2</v>
      </c>
      <c r="U1115" s="6">
        <v>2</v>
      </c>
      <c r="V1115" s="6" t="s">
        <v>72</v>
      </c>
      <c r="W1115" s="5" t="s">
        <v>72</v>
      </c>
      <c r="X1115" s="6" t="s">
        <v>72</v>
      </c>
      <c r="Y1115" s="6" t="s">
        <v>72</v>
      </c>
      <c r="Z1115" s="6" t="s">
        <v>72</v>
      </c>
      <c r="AA1115" s="6" t="s">
        <v>72</v>
      </c>
      <c r="AB1115" s="6" t="s">
        <v>72</v>
      </c>
      <c r="AC1115" s="6" t="s">
        <v>208</v>
      </c>
    </row>
    <row r="1116" spans="1:29" x14ac:dyDescent="0.25">
      <c r="A1116" s="145" t="str">
        <f>HYPERLINK("http://www.ofsted.gov.uk/inspection-reports/find-inspection-report/provider/ELS/1223682","Ofsted Webpage")</f>
        <v>Ofsted Webpage</v>
      </c>
      <c r="B1116" s="131">
        <v>1223682</v>
      </c>
      <c r="C1116" s="131">
        <v>10038772</v>
      </c>
      <c r="D1116" s="46" t="s">
        <v>2844</v>
      </c>
      <c r="E1116" s="26" t="s">
        <v>80</v>
      </c>
      <c r="F1116" s="26" t="s">
        <v>79</v>
      </c>
      <c r="G1116" s="26" t="s">
        <v>329</v>
      </c>
      <c r="H1116" s="26" t="s">
        <v>175</v>
      </c>
      <c r="I1116" s="26" t="s">
        <v>175</v>
      </c>
      <c r="J1116" s="2" t="s">
        <v>72</v>
      </c>
      <c r="K1116" s="26" t="s">
        <v>72</v>
      </c>
      <c r="L1116" s="26" t="s">
        <v>72</v>
      </c>
      <c r="M1116" s="26" t="s">
        <v>72</v>
      </c>
      <c r="N1116" s="2" t="s">
        <v>72</v>
      </c>
      <c r="O1116" s="2" t="s">
        <v>72</v>
      </c>
      <c r="P1116" s="2" t="s">
        <v>72</v>
      </c>
      <c r="Q1116" s="6" t="s">
        <v>72</v>
      </c>
      <c r="R1116" s="6" t="s">
        <v>72</v>
      </c>
      <c r="S1116" s="6" t="s">
        <v>72</v>
      </c>
      <c r="T1116" s="6" t="s">
        <v>72</v>
      </c>
      <c r="U1116" s="6" t="s">
        <v>72</v>
      </c>
      <c r="V1116" s="6" t="s">
        <v>72</v>
      </c>
      <c r="W1116" s="5" t="s">
        <v>72</v>
      </c>
      <c r="X1116" s="6" t="s">
        <v>72</v>
      </c>
      <c r="Y1116" s="6" t="s">
        <v>72</v>
      </c>
      <c r="Z1116" s="6" t="s">
        <v>72</v>
      </c>
      <c r="AA1116" s="6" t="s">
        <v>72</v>
      </c>
      <c r="AB1116" s="6" t="s">
        <v>72</v>
      </c>
      <c r="AC1116" s="6" t="s">
        <v>72</v>
      </c>
    </row>
    <row r="1117" spans="1:29" x14ac:dyDescent="0.25">
      <c r="A1117" s="145" t="str">
        <f>HYPERLINK("http://www.ofsted.gov.uk/inspection-reports/find-inspection-report/provider/ELS/1223878","Ofsted Webpage")</f>
        <v>Ofsted Webpage</v>
      </c>
      <c r="B1117" s="131">
        <v>1223878</v>
      </c>
      <c r="C1117" s="131">
        <v>10034240</v>
      </c>
      <c r="D1117" s="46" t="s">
        <v>1081</v>
      </c>
      <c r="E1117" s="26" t="s">
        <v>80</v>
      </c>
      <c r="F1117" s="26" t="s">
        <v>79</v>
      </c>
      <c r="G1117" s="26" t="s">
        <v>437</v>
      </c>
      <c r="H1117" s="26" t="s">
        <v>214</v>
      </c>
      <c r="I1117" s="26" t="s">
        <v>214</v>
      </c>
      <c r="J1117" s="2" t="s">
        <v>72</v>
      </c>
      <c r="K1117" s="26" t="s">
        <v>72</v>
      </c>
      <c r="L1117" s="144">
        <v>10022575</v>
      </c>
      <c r="M1117" s="26" t="s">
        <v>211</v>
      </c>
      <c r="N1117" s="2">
        <v>42780</v>
      </c>
      <c r="O1117" s="2">
        <v>42782</v>
      </c>
      <c r="P1117" s="2">
        <v>42808</v>
      </c>
      <c r="Q1117" s="6">
        <v>3</v>
      </c>
      <c r="R1117" s="6">
        <v>3</v>
      </c>
      <c r="S1117" s="6">
        <v>3</v>
      </c>
      <c r="T1117" s="6">
        <v>2</v>
      </c>
      <c r="U1117" s="6">
        <v>3</v>
      </c>
      <c r="V1117" s="6" t="s">
        <v>72</v>
      </c>
      <c r="W1117" s="5" t="s">
        <v>72</v>
      </c>
      <c r="X1117" s="6" t="s">
        <v>72</v>
      </c>
      <c r="Y1117" s="6" t="s">
        <v>72</v>
      </c>
      <c r="Z1117" s="6" t="s">
        <v>72</v>
      </c>
      <c r="AA1117" s="6" t="s">
        <v>72</v>
      </c>
      <c r="AB1117" s="6" t="s">
        <v>72</v>
      </c>
      <c r="AC1117" s="6" t="s">
        <v>208</v>
      </c>
    </row>
    <row r="1118" spans="1:29" x14ac:dyDescent="0.25">
      <c r="A1118" s="145" t="str">
        <f>HYPERLINK("http://www.ofsted.gov.uk/inspection-reports/find-inspection-report/provider/ELS/1223881","Ofsted Webpage")</f>
        <v>Ofsted Webpage</v>
      </c>
      <c r="B1118" s="131">
        <v>1223881</v>
      </c>
      <c r="C1118" s="131">
        <v>10042132</v>
      </c>
      <c r="D1118" s="46" t="s">
        <v>1082</v>
      </c>
      <c r="E1118" s="26" t="s">
        <v>80</v>
      </c>
      <c r="F1118" s="26" t="s">
        <v>79</v>
      </c>
      <c r="G1118" s="26" t="s">
        <v>261</v>
      </c>
      <c r="H1118" s="26" t="s">
        <v>219</v>
      </c>
      <c r="I1118" s="26" t="s">
        <v>219</v>
      </c>
      <c r="J1118" s="2" t="s">
        <v>72</v>
      </c>
      <c r="K1118" s="26" t="s">
        <v>72</v>
      </c>
      <c r="L1118" s="26" t="s">
        <v>72</v>
      </c>
      <c r="M1118" s="26" t="s">
        <v>72</v>
      </c>
      <c r="N1118" s="2" t="s">
        <v>72</v>
      </c>
      <c r="O1118" s="2" t="s">
        <v>72</v>
      </c>
      <c r="P1118" s="2" t="s">
        <v>72</v>
      </c>
      <c r="Q1118" s="6" t="s">
        <v>72</v>
      </c>
      <c r="R1118" s="6" t="s">
        <v>72</v>
      </c>
      <c r="S1118" s="6" t="s">
        <v>72</v>
      </c>
      <c r="T1118" s="6" t="s">
        <v>72</v>
      </c>
      <c r="U1118" s="6" t="s">
        <v>72</v>
      </c>
      <c r="V1118" s="6" t="s">
        <v>72</v>
      </c>
      <c r="W1118" s="5" t="s">
        <v>72</v>
      </c>
      <c r="X1118" s="6" t="s">
        <v>72</v>
      </c>
      <c r="Y1118" s="6" t="s">
        <v>72</v>
      </c>
      <c r="Z1118" s="6" t="s">
        <v>72</v>
      </c>
      <c r="AA1118" s="6" t="s">
        <v>72</v>
      </c>
      <c r="AB1118" s="6" t="s">
        <v>72</v>
      </c>
      <c r="AC1118" s="6" t="s">
        <v>72</v>
      </c>
    </row>
    <row r="1119" spans="1:29" x14ac:dyDescent="0.25">
      <c r="A1119" s="145" t="str">
        <f>HYPERLINK("http://www.ofsted.gov.uk/inspection-reports/find-inspection-report/provider/ELS/1236695","Ofsted Webpage")</f>
        <v>Ofsted Webpage</v>
      </c>
      <c r="B1119" s="131">
        <v>1236695</v>
      </c>
      <c r="C1119" s="131">
        <v>10024597</v>
      </c>
      <c r="D1119" s="46" t="s">
        <v>1086</v>
      </c>
      <c r="E1119" s="26" t="s">
        <v>78</v>
      </c>
      <c r="F1119" s="26" t="s">
        <v>79</v>
      </c>
      <c r="G1119" s="26" t="s">
        <v>329</v>
      </c>
      <c r="H1119" s="26" t="s">
        <v>175</v>
      </c>
      <c r="I1119" s="26" t="s">
        <v>175</v>
      </c>
      <c r="J1119" s="2" t="s">
        <v>72</v>
      </c>
      <c r="K1119" s="26" t="s">
        <v>72</v>
      </c>
      <c r="L1119" s="26" t="s">
        <v>72</v>
      </c>
      <c r="M1119" s="26" t="s">
        <v>72</v>
      </c>
      <c r="N1119" s="2" t="s">
        <v>72</v>
      </c>
      <c r="O1119" s="2" t="s">
        <v>72</v>
      </c>
      <c r="P1119" s="2" t="s">
        <v>72</v>
      </c>
      <c r="Q1119" s="6" t="s">
        <v>72</v>
      </c>
      <c r="R1119" s="6" t="s">
        <v>72</v>
      </c>
      <c r="S1119" s="6" t="s">
        <v>72</v>
      </c>
      <c r="T1119" s="6" t="s">
        <v>72</v>
      </c>
      <c r="U1119" s="6" t="s">
        <v>72</v>
      </c>
      <c r="V1119" s="6" t="s">
        <v>72</v>
      </c>
      <c r="W1119" s="5" t="s">
        <v>72</v>
      </c>
      <c r="X1119" s="6" t="s">
        <v>72</v>
      </c>
      <c r="Y1119" s="6" t="s">
        <v>72</v>
      </c>
      <c r="Z1119" s="6" t="s">
        <v>72</v>
      </c>
      <c r="AA1119" s="6" t="s">
        <v>72</v>
      </c>
      <c r="AB1119" s="6" t="s">
        <v>72</v>
      </c>
      <c r="AC1119" s="6" t="s">
        <v>72</v>
      </c>
    </row>
    <row r="1120" spans="1:29" x14ac:dyDescent="0.25">
      <c r="A1120" s="145" t="str">
        <f>HYPERLINK("http://www.ofsted.gov.uk/inspection-reports/find-inspection-report/provider/ELS/1236698","Ofsted Webpage")</f>
        <v>Ofsted Webpage</v>
      </c>
      <c r="B1120" s="131">
        <v>1236698</v>
      </c>
      <c r="C1120" s="131">
        <v>10023489</v>
      </c>
      <c r="D1120" s="46" t="s">
        <v>3030</v>
      </c>
      <c r="E1120" s="26" t="s">
        <v>78</v>
      </c>
      <c r="F1120" s="26" t="s">
        <v>79</v>
      </c>
      <c r="G1120" s="26" t="s">
        <v>530</v>
      </c>
      <c r="H1120" s="26" t="s">
        <v>193</v>
      </c>
      <c r="I1120" s="26" t="s">
        <v>193</v>
      </c>
      <c r="J1120" s="2" t="s">
        <v>72</v>
      </c>
      <c r="K1120" s="26" t="s">
        <v>72</v>
      </c>
      <c r="L1120" s="26" t="s">
        <v>72</v>
      </c>
      <c r="M1120" s="26" t="s">
        <v>72</v>
      </c>
      <c r="N1120" s="2" t="s">
        <v>72</v>
      </c>
      <c r="O1120" s="2" t="s">
        <v>72</v>
      </c>
      <c r="P1120" s="2" t="s">
        <v>72</v>
      </c>
      <c r="Q1120" s="6" t="s">
        <v>72</v>
      </c>
      <c r="R1120" s="6" t="s">
        <v>72</v>
      </c>
      <c r="S1120" s="6" t="s">
        <v>72</v>
      </c>
      <c r="T1120" s="6" t="s">
        <v>72</v>
      </c>
      <c r="U1120" s="6" t="s">
        <v>72</v>
      </c>
      <c r="V1120" s="6" t="s">
        <v>72</v>
      </c>
      <c r="W1120" s="5" t="s">
        <v>72</v>
      </c>
      <c r="X1120" s="6" t="s">
        <v>72</v>
      </c>
      <c r="Y1120" s="6" t="s">
        <v>72</v>
      </c>
      <c r="Z1120" s="6" t="s">
        <v>72</v>
      </c>
      <c r="AA1120" s="6" t="s">
        <v>72</v>
      </c>
      <c r="AB1120" s="6" t="s">
        <v>72</v>
      </c>
      <c r="AC1120" s="6" t="s">
        <v>72</v>
      </c>
    </row>
    <row r="1121" spans="1:29" x14ac:dyDescent="0.25">
      <c r="A1121" s="145" t="str">
        <f>HYPERLINK("http://www.ofsted.gov.uk/inspection-reports/find-inspection-report/provider/ELS/1236703","Ofsted Webpage")</f>
        <v>Ofsted Webpage</v>
      </c>
      <c r="B1121" s="131">
        <v>1236703</v>
      </c>
      <c r="C1121" s="131">
        <v>10028942</v>
      </c>
      <c r="D1121" s="46" t="s">
        <v>1087</v>
      </c>
      <c r="E1121" s="26" t="s">
        <v>90</v>
      </c>
      <c r="F1121" s="26" t="s">
        <v>91</v>
      </c>
      <c r="G1121" s="26" t="s">
        <v>1088</v>
      </c>
      <c r="H1121" s="26" t="s">
        <v>219</v>
      </c>
      <c r="I1121" s="26" t="s">
        <v>219</v>
      </c>
      <c r="J1121" s="2" t="s">
        <v>72</v>
      </c>
      <c r="K1121" s="26" t="s">
        <v>72</v>
      </c>
      <c r="L1121" s="144">
        <v>10022695</v>
      </c>
      <c r="M1121" s="26" t="s">
        <v>1089</v>
      </c>
      <c r="N1121" s="2">
        <v>42822</v>
      </c>
      <c r="O1121" s="2">
        <v>42825</v>
      </c>
      <c r="P1121" s="2">
        <v>42864</v>
      </c>
      <c r="Q1121" s="6">
        <v>2</v>
      </c>
      <c r="R1121" s="6">
        <v>2</v>
      </c>
      <c r="S1121" s="6">
        <v>2</v>
      </c>
      <c r="T1121" s="6">
        <v>2</v>
      </c>
      <c r="U1121" s="6">
        <v>2</v>
      </c>
      <c r="V1121" s="6" t="s">
        <v>72</v>
      </c>
      <c r="W1121" s="5" t="s">
        <v>72</v>
      </c>
      <c r="X1121" s="6" t="s">
        <v>72</v>
      </c>
      <c r="Y1121" s="6" t="s">
        <v>72</v>
      </c>
      <c r="Z1121" s="6" t="s">
        <v>72</v>
      </c>
      <c r="AA1121" s="6" t="s">
        <v>72</v>
      </c>
      <c r="AB1121" s="6" t="s">
        <v>72</v>
      </c>
      <c r="AC1121" s="6" t="s">
        <v>208</v>
      </c>
    </row>
    <row r="1122" spans="1:29" x14ac:dyDescent="0.25">
      <c r="A1122" s="145" t="str">
        <f>HYPERLINK("http://www.ofsted.gov.uk/inspection-reports/find-inspection-report/provider/ELS/1236704","Ofsted Webpage")</f>
        <v>Ofsted Webpage</v>
      </c>
      <c r="B1122" s="131">
        <v>1236704</v>
      </c>
      <c r="C1122" s="131">
        <v>10033608</v>
      </c>
      <c r="D1122" s="46" t="s">
        <v>1090</v>
      </c>
      <c r="E1122" s="26" t="s">
        <v>78</v>
      </c>
      <c r="F1122" s="26" t="s">
        <v>79</v>
      </c>
      <c r="G1122" s="26" t="s">
        <v>329</v>
      </c>
      <c r="H1122" s="26" t="s">
        <v>175</v>
      </c>
      <c r="I1122" s="26" t="s">
        <v>175</v>
      </c>
      <c r="J1122" s="2" t="s">
        <v>72</v>
      </c>
      <c r="K1122" s="26" t="s">
        <v>72</v>
      </c>
      <c r="L1122" s="26" t="s">
        <v>72</v>
      </c>
      <c r="M1122" s="26" t="s">
        <v>72</v>
      </c>
      <c r="N1122" s="2" t="s">
        <v>72</v>
      </c>
      <c r="O1122" s="2" t="s">
        <v>72</v>
      </c>
      <c r="P1122" s="2" t="s">
        <v>72</v>
      </c>
      <c r="Q1122" s="6" t="s">
        <v>72</v>
      </c>
      <c r="R1122" s="6" t="s">
        <v>72</v>
      </c>
      <c r="S1122" s="6" t="s">
        <v>72</v>
      </c>
      <c r="T1122" s="6" t="s">
        <v>72</v>
      </c>
      <c r="U1122" s="6" t="s">
        <v>72</v>
      </c>
      <c r="V1122" s="6" t="s">
        <v>72</v>
      </c>
      <c r="W1122" s="5" t="s">
        <v>72</v>
      </c>
      <c r="X1122" s="6" t="s">
        <v>72</v>
      </c>
      <c r="Y1122" s="6" t="s">
        <v>72</v>
      </c>
      <c r="Z1122" s="6" t="s">
        <v>72</v>
      </c>
      <c r="AA1122" s="6" t="s">
        <v>72</v>
      </c>
      <c r="AB1122" s="6" t="s">
        <v>72</v>
      </c>
      <c r="AC1122" s="6" t="s">
        <v>72</v>
      </c>
    </row>
    <row r="1123" spans="1:29" x14ac:dyDescent="0.25">
      <c r="A1123" s="145" t="str">
        <f>HYPERLINK("http://www.ofsted.gov.uk/inspection-reports/find-inspection-report/provider/ELS/1236708","Ofsted Webpage")</f>
        <v>Ofsted Webpage</v>
      </c>
      <c r="B1123" s="151">
        <v>1236708</v>
      </c>
      <c r="C1123" s="151">
        <v>10009263</v>
      </c>
      <c r="D1123" s="46" t="s">
        <v>1091</v>
      </c>
      <c r="E1123" s="26" t="s">
        <v>78</v>
      </c>
      <c r="F1123" s="26" t="s">
        <v>79</v>
      </c>
      <c r="G1123" s="26" t="s">
        <v>437</v>
      </c>
      <c r="H1123" s="26" t="s">
        <v>214</v>
      </c>
      <c r="I1123" s="26" t="s">
        <v>214</v>
      </c>
      <c r="J1123" s="2" t="s">
        <v>72</v>
      </c>
      <c r="K1123" s="141" t="s">
        <v>72</v>
      </c>
      <c r="L1123" s="141" t="s">
        <v>72</v>
      </c>
      <c r="M1123" s="26" t="s">
        <v>72</v>
      </c>
      <c r="N1123" s="2" t="s">
        <v>72</v>
      </c>
      <c r="O1123" s="2" t="s">
        <v>72</v>
      </c>
      <c r="P1123" s="119" t="s">
        <v>72</v>
      </c>
      <c r="Q1123" s="6" t="s">
        <v>72</v>
      </c>
      <c r="R1123" s="6" t="s">
        <v>72</v>
      </c>
      <c r="S1123" s="6" t="s">
        <v>72</v>
      </c>
      <c r="T1123" s="6" t="s">
        <v>72</v>
      </c>
      <c r="U1123" s="6" t="s">
        <v>72</v>
      </c>
      <c r="V1123" s="6" t="s">
        <v>72</v>
      </c>
      <c r="W1123" s="5" t="s">
        <v>72</v>
      </c>
      <c r="X1123" s="6" t="s">
        <v>72</v>
      </c>
      <c r="Y1123" s="6" t="s">
        <v>72</v>
      </c>
      <c r="Z1123" s="6" t="s">
        <v>72</v>
      </c>
      <c r="AA1123" s="6" t="s">
        <v>72</v>
      </c>
      <c r="AB1123" s="6" t="s">
        <v>72</v>
      </c>
      <c r="AC1123" s="6" t="s">
        <v>72</v>
      </c>
    </row>
    <row r="1124" spans="1:29" x14ac:dyDescent="0.25">
      <c r="A1124" s="145" t="str">
        <f>HYPERLINK("http://www.ofsted.gov.uk/inspection-reports/find-inspection-report/provider/ELS/1236710","Ofsted Webpage")</f>
        <v>Ofsted Webpage</v>
      </c>
      <c r="B1124" s="151">
        <v>1236710</v>
      </c>
      <c r="C1124" s="151">
        <v>10031331</v>
      </c>
      <c r="D1124" s="46" t="s">
        <v>2821</v>
      </c>
      <c r="E1124" s="26" t="s">
        <v>78</v>
      </c>
      <c r="F1124" s="26" t="s">
        <v>79</v>
      </c>
      <c r="G1124" s="26" t="s">
        <v>628</v>
      </c>
      <c r="H1124" s="26" t="s">
        <v>204</v>
      </c>
      <c r="I1124" s="26" t="s">
        <v>188</v>
      </c>
      <c r="J1124" s="2" t="s">
        <v>72</v>
      </c>
      <c r="K1124" s="141" t="s">
        <v>72</v>
      </c>
      <c r="L1124" s="141" t="s">
        <v>72</v>
      </c>
      <c r="M1124" s="26" t="s">
        <v>72</v>
      </c>
      <c r="N1124" s="2" t="s">
        <v>72</v>
      </c>
      <c r="O1124" s="2" t="s">
        <v>72</v>
      </c>
      <c r="P1124" s="119" t="s">
        <v>72</v>
      </c>
      <c r="Q1124" s="6" t="s">
        <v>72</v>
      </c>
      <c r="R1124" s="6" t="s">
        <v>72</v>
      </c>
      <c r="S1124" s="6" t="s">
        <v>72</v>
      </c>
      <c r="T1124" s="6" t="s">
        <v>72</v>
      </c>
      <c r="U1124" s="6" t="s">
        <v>72</v>
      </c>
      <c r="V1124" s="6" t="s">
        <v>72</v>
      </c>
      <c r="W1124" s="5" t="s">
        <v>72</v>
      </c>
      <c r="X1124" s="6" t="s">
        <v>72</v>
      </c>
      <c r="Y1124" s="6" t="s">
        <v>72</v>
      </c>
      <c r="Z1124" s="6" t="s">
        <v>72</v>
      </c>
      <c r="AA1124" s="6" t="s">
        <v>72</v>
      </c>
      <c r="AB1124" s="6" t="s">
        <v>72</v>
      </c>
      <c r="AC1124" s="6" t="s">
        <v>72</v>
      </c>
    </row>
    <row r="1125" spans="1:29" x14ac:dyDescent="0.25">
      <c r="A1125" s="145" t="str">
        <f>HYPERLINK("http://www.ofsted.gov.uk/inspection-reports/find-inspection-report/provider/ELS/1236712","Ofsted Webpage")</f>
        <v>Ofsted Webpage</v>
      </c>
      <c r="B1125" s="151">
        <v>1236712</v>
      </c>
      <c r="C1125" s="151">
        <v>10023898</v>
      </c>
      <c r="D1125" s="46" t="s">
        <v>2822</v>
      </c>
      <c r="E1125" s="26" t="s">
        <v>78</v>
      </c>
      <c r="F1125" s="26" t="s">
        <v>79</v>
      </c>
      <c r="G1125" s="26" t="s">
        <v>254</v>
      </c>
      <c r="H1125" s="26" t="s">
        <v>193</v>
      </c>
      <c r="I1125" s="26" t="s">
        <v>193</v>
      </c>
      <c r="J1125" s="2" t="s">
        <v>72</v>
      </c>
      <c r="K1125" s="141" t="s">
        <v>72</v>
      </c>
      <c r="L1125" s="141" t="s">
        <v>72</v>
      </c>
      <c r="M1125" s="26" t="s">
        <v>72</v>
      </c>
      <c r="N1125" s="2" t="s">
        <v>72</v>
      </c>
      <c r="O1125" s="2" t="s">
        <v>72</v>
      </c>
      <c r="P1125" s="119" t="s">
        <v>72</v>
      </c>
      <c r="Q1125" s="6" t="s">
        <v>72</v>
      </c>
      <c r="R1125" s="6" t="s">
        <v>72</v>
      </c>
      <c r="S1125" s="6" t="s">
        <v>72</v>
      </c>
      <c r="T1125" s="6" t="s">
        <v>72</v>
      </c>
      <c r="U1125" s="6" t="s">
        <v>72</v>
      </c>
      <c r="V1125" s="6" t="s">
        <v>72</v>
      </c>
      <c r="W1125" s="5" t="s">
        <v>72</v>
      </c>
      <c r="X1125" s="6" t="s">
        <v>72</v>
      </c>
      <c r="Y1125" s="6" t="s">
        <v>72</v>
      </c>
      <c r="Z1125" s="6" t="s">
        <v>72</v>
      </c>
      <c r="AA1125" s="6" t="s">
        <v>72</v>
      </c>
      <c r="AB1125" s="6" t="s">
        <v>72</v>
      </c>
      <c r="AC1125" s="6" t="s">
        <v>72</v>
      </c>
    </row>
    <row r="1126" spans="1:29" x14ac:dyDescent="0.25">
      <c r="A1126" s="145" t="str">
        <f>HYPERLINK("http://www.ofsted.gov.uk/inspection-reports/find-inspection-report/provider/ELS/1236778","Ofsted Webpage")</f>
        <v>Ofsted Webpage</v>
      </c>
      <c r="B1126" s="151">
        <v>1236778</v>
      </c>
      <c r="C1126" s="151">
        <v>10001189</v>
      </c>
      <c r="D1126" s="46" t="s">
        <v>2823</v>
      </c>
      <c r="E1126" s="26" t="s">
        <v>90</v>
      </c>
      <c r="F1126" s="26" t="s">
        <v>91</v>
      </c>
      <c r="G1126" s="26" t="s">
        <v>210</v>
      </c>
      <c r="H1126" s="26" t="s">
        <v>187</v>
      </c>
      <c r="I1126" s="26" t="s">
        <v>188</v>
      </c>
      <c r="J1126" s="2" t="s">
        <v>72</v>
      </c>
      <c r="K1126" s="141" t="s">
        <v>72</v>
      </c>
      <c r="L1126" s="141">
        <v>10022688</v>
      </c>
      <c r="M1126" s="26" t="s">
        <v>1089</v>
      </c>
      <c r="N1126" s="2">
        <v>42801</v>
      </c>
      <c r="O1126" s="2">
        <v>42804</v>
      </c>
      <c r="P1126" s="119">
        <v>42831</v>
      </c>
      <c r="Q1126" s="6">
        <v>2</v>
      </c>
      <c r="R1126" s="6">
        <v>2</v>
      </c>
      <c r="S1126" s="6">
        <v>2</v>
      </c>
      <c r="T1126" s="6">
        <v>2</v>
      </c>
      <c r="U1126" s="6">
        <v>2</v>
      </c>
      <c r="V1126" s="6" t="s">
        <v>72</v>
      </c>
      <c r="W1126" s="5" t="s">
        <v>72</v>
      </c>
      <c r="X1126" s="6" t="s">
        <v>72</v>
      </c>
      <c r="Y1126" s="6" t="s">
        <v>72</v>
      </c>
      <c r="Z1126" s="6" t="s">
        <v>72</v>
      </c>
      <c r="AA1126" s="6" t="s">
        <v>72</v>
      </c>
      <c r="AB1126" s="6" t="s">
        <v>72</v>
      </c>
      <c r="AC1126" s="6" t="s">
        <v>208</v>
      </c>
    </row>
    <row r="1127" spans="1:29" x14ac:dyDescent="0.25">
      <c r="A1127" s="145" t="str">
        <f>HYPERLINK("http://www.ofsted.gov.uk/inspection-reports/find-inspection-report/provider/ELS/1236779","Ofsted Webpage")</f>
        <v>Ofsted Webpage</v>
      </c>
      <c r="B1127" s="151">
        <v>1236779</v>
      </c>
      <c r="C1127" s="151">
        <v>10001648</v>
      </c>
      <c r="D1127" s="46" t="s">
        <v>2824</v>
      </c>
      <c r="E1127" s="26" t="s">
        <v>90</v>
      </c>
      <c r="F1127" s="26" t="s">
        <v>91</v>
      </c>
      <c r="G1127" s="26" t="s">
        <v>218</v>
      </c>
      <c r="H1127" s="26" t="s">
        <v>219</v>
      </c>
      <c r="I1127" s="26" t="s">
        <v>219</v>
      </c>
      <c r="J1127" s="2" t="s">
        <v>72</v>
      </c>
      <c r="K1127" s="141" t="s">
        <v>72</v>
      </c>
      <c r="L1127" s="141">
        <v>10022693</v>
      </c>
      <c r="M1127" s="26" t="s">
        <v>1089</v>
      </c>
      <c r="N1127" s="2">
        <v>42780</v>
      </c>
      <c r="O1127" s="2">
        <v>42783</v>
      </c>
      <c r="P1127" s="119">
        <v>42796</v>
      </c>
      <c r="Q1127" s="6">
        <v>2</v>
      </c>
      <c r="R1127" s="6">
        <v>2</v>
      </c>
      <c r="S1127" s="6">
        <v>2</v>
      </c>
      <c r="T1127" s="6">
        <v>2</v>
      </c>
      <c r="U1127" s="6">
        <v>2</v>
      </c>
      <c r="V1127" s="6" t="s">
        <v>72</v>
      </c>
      <c r="W1127" s="5" t="s">
        <v>72</v>
      </c>
      <c r="X1127" s="6" t="s">
        <v>72</v>
      </c>
      <c r="Y1127" s="6" t="s">
        <v>72</v>
      </c>
      <c r="Z1127" s="6" t="s">
        <v>72</v>
      </c>
      <c r="AA1127" s="6" t="s">
        <v>72</v>
      </c>
      <c r="AB1127" s="6" t="s">
        <v>72</v>
      </c>
      <c r="AC1127" s="6" t="s">
        <v>208</v>
      </c>
    </row>
    <row r="1128" spans="1:29" x14ac:dyDescent="0.25">
      <c r="A1128" s="145" t="str">
        <f>HYPERLINK("http://www.ofsted.gov.uk/inspection-reports/find-inspection-report/provider/ELS/1236902","Ofsted Webpage")</f>
        <v>Ofsted Webpage</v>
      </c>
      <c r="B1128" s="151">
        <v>1236902</v>
      </c>
      <c r="C1128" s="151">
        <v>10032778</v>
      </c>
      <c r="D1128" s="46" t="s">
        <v>2825</v>
      </c>
      <c r="E1128" s="26" t="s">
        <v>78</v>
      </c>
      <c r="F1128" s="26" t="s">
        <v>79</v>
      </c>
      <c r="G1128" s="26" t="s">
        <v>258</v>
      </c>
      <c r="H1128" s="26" t="s">
        <v>193</v>
      </c>
      <c r="I1128" s="26" t="s">
        <v>193</v>
      </c>
      <c r="J1128" s="2" t="s">
        <v>72</v>
      </c>
      <c r="K1128" s="141" t="s">
        <v>72</v>
      </c>
      <c r="L1128" s="141" t="s">
        <v>72</v>
      </c>
      <c r="M1128" s="26" t="s">
        <v>72</v>
      </c>
      <c r="N1128" s="2" t="s">
        <v>72</v>
      </c>
      <c r="O1128" s="2" t="s">
        <v>72</v>
      </c>
      <c r="P1128" s="119" t="s">
        <v>72</v>
      </c>
      <c r="Q1128" s="6" t="s">
        <v>72</v>
      </c>
      <c r="R1128" s="6" t="s">
        <v>72</v>
      </c>
      <c r="S1128" s="6" t="s">
        <v>72</v>
      </c>
      <c r="T1128" s="6" t="s">
        <v>72</v>
      </c>
      <c r="U1128" s="6" t="s">
        <v>72</v>
      </c>
      <c r="V1128" s="6" t="s">
        <v>72</v>
      </c>
      <c r="W1128" s="5" t="s">
        <v>72</v>
      </c>
      <c r="X1128" s="6" t="s">
        <v>72</v>
      </c>
      <c r="Y1128" s="6" t="s">
        <v>72</v>
      </c>
      <c r="Z1128" s="6" t="s">
        <v>72</v>
      </c>
      <c r="AA1128" s="6" t="s">
        <v>72</v>
      </c>
      <c r="AB1128" s="6" t="s">
        <v>72</v>
      </c>
      <c r="AC1128" s="6" t="s">
        <v>72</v>
      </c>
    </row>
    <row r="1129" spans="1:29" x14ac:dyDescent="0.25">
      <c r="A1129" s="145" t="str">
        <f>HYPERLINK("http://www.ofsted.gov.uk/inspection-reports/find-inspection-report/provider/ELS/1236904","Ofsted Webpage")</f>
        <v>Ofsted Webpage</v>
      </c>
      <c r="B1129" s="151">
        <v>1236904</v>
      </c>
      <c r="C1129" s="151">
        <v>10021254</v>
      </c>
      <c r="D1129" s="46" t="s">
        <v>2826</v>
      </c>
      <c r="E1129" s="26" t="s">
        <v>78</v>
      </c>
      <c r="F1129" s="26" t="s">
        <v>79</v>
      </c>
      <c r="G1129" s="26" t="s">
        <v>441</v>
      </c>
      <c r="H1129" s="26" t="s">
        <v>175</v>
      </c>
      <c r="I1129" s="26" t="s">
        <v>175</v>
      </c>
      <c r="J1129" s="2" t="s">
        <v>72</v>
      </c>
      <c r="K1129" s="141" t="s">
        <v>72</v>
      </c>
      <c r="L1129" s="141" t="s">
        <v>72</v>
      </c>
      <c r="M1129" s="26" t="s">
        <v>72</v>
      </c>
      <c r="N1129" s="2" t="s">
        <v>72</v>
      </c>
      <c r="O1129" s="2" t="s">
        <v>72</v>
      </c>
      <c r="P1129" s="119" t="s">
        <v>72</v>
      </c>
      <c r="Q1129" s="6" t="s">
        <v>72</v>
      </c>
      <c r="R1129" s="6" t="s">
        <v>72</v>
      </c>
      <c r="S1129" s="6" t="s">
        <v>72</v>
      </c>
      <c r="T1129" s="6" t="s">
        <v>72</v>
      </c>
      <c r="U1129" s="6" t="s">
        <v>72</v>
      </c>
      <c r="V1129" s="6" t="s">
        <v>72</v>
      </c>
      <c r="W1129" s="5" t="s">
        <v>72</v>
      </c>
      <c r="X1129" s="6" t="s">
        <v>72</v>
      </c>
      <c r="Y1129" s="6" t="s">
        <v>72</v>
      </c>
      <c r="Z1129" s="6" t="s">
        <v>72</v>
      </c>
      <c r="AA1129" s="6" t="s">
        <v>72</v>
      </c>
      <c r="AB1129" s="6" t="s">
        <v>72</v>
      </c>
      <c r="AC1129" s="6" t="s">
        <v>72</v>
      </c>
    </row>
    <row r="1130" spans="1:29" x14ac:dyDescent="0.25">
      <c r="A1130" s="145" t="str">
        <f>HYPERLINK("http://www.ofsted.gov.uk/inspection-reports/find-inspection-report/provider/ELS/1236906","Ofsted Webpage")</f>
        <v>Ofsted Webpage</v>
      </c>
      <c r="B1130" s="151">
        <v>1236906</v>
      </c>
      <c r="C1130" s="151">
        <v>10028341</v>
      </c>
      <c r="D1130" s="46" t="s">
        <v>2995</v>
      </c>
      <c r="E1130" s="26" t="s">
        <v>78</v>
      </c>
      <c r="F1130" s="26" t="s">
        <v>79</v>
      </c>
      <c r="G1130" s="26" t="s">
        <v>491</v>
      </c>
      <c r="H1130" s="26" t="s">
        <v>198</v>
      </c>
      <c r="I1130" s="26" t="s">
        <v>198</v>
      </c>
      <c r="J1130" s="2" t="s">
        <v>72</v>
      </c>
      <c r="K1130" s="141" t="s">
        <v>72</v>
      </c>
      <c r="L1130" s="141" t="s">
        <v>72</v>
      </c>
      <c r="M1130" s="26" t="s">
        <v>72</v>
      </c>
      <c r="N1130" s="2" t="s">
        <v>72</v>
      </c>
      <c r="O1130" s="2" t="s">
        <v>72</v>
      </c>
      <c r="P1130" s="119" t="s">
        <v>72</v>
      </c>
      <c r="Q1130" s="6" t="s">
        <v>72</v>
      </c>
      <c r="R1130" s="6" t="s">
        <v>72</v>
      </c>
      <c r="S1130" s="6" t="s">
        <v>72</v>
      </c>
      <c r="T1130" s="6" t="s">
        <v>72</v>
      </c>
      <c r="U1130" s="6" t="s">
        <v>72</v>
      </c>
      <c r="V1130" s="6" t="s">
        <v>72</v>
      </c>
      <c r="W1130" s="5" t="s">
        <v>72</v>
      </c>
      <c r="X1130" s="6" t="s">
        <v>72</v>
      </c>
      <c r="Y1130" s="6" t="s">
        <v>72</v>
      </c>
      <c r="Z1130" s="6" t="s">
        <v>72</v>
      </c>
      <c r="AA1130" s="6" t="s">
        <v>72</v>
      </c>
      <c r="AB1130" s="6" t="s">
        <v>72</v>
      </c>
      <c r="AC1130" s="6" t="s">
        <v>72</v>
      </c>
    </row>
    <row r="1131" spans="1:29" x14ac:dyDescent="0.25">
      <c r="A1131" s="145" t="str">
        <f>HYPERLINK("http://www.ofsted.gov.uk/inspection-reports/find-inspection-report/provider/ELS/1236909","Ofsted Webpage")</f>
        <v>Ofsted Webpage</v>
      </c>
      <c r="B1131" s="151">
        <v>1236909</v>
      </c>
      <c r="C1131" s="151">
        <v>10034279</v>
      </c>
      <c r="D1131" s="46" t="s">
        <v>2827</v>
      </c>
      <c r="E1131" s="26" t="s">
        <v>78</v>
      </c>
      <c r="F1131" s="26" t="s">
        <v>79</v>
      </c>
      <c r="G1131" s="26" t="s">
        <v>884</v>
      </c>
      <c r="H1131" s="26" t="s">
        <v>175</v>
      </c>
      <c r="I1131" s="26" t="s">
        <v>175</v>
      </c>
      <c r="J1131" s="2" t="s">
        <v>72</v>
      </c>
      <c r="K1131" s="141" t="s">
        <v>72</v>
      </c>
      <c r="L1131" s="141" t="s">
        <v>72</v>
      </c>
      <c r="M1131" s="26" t="s">
        <v>72</v>
      </c>
      <c r="N1131" s="2" t="s">
        <v>72</v>
      </c>
      <c r="O1131" s="2" t="s">
        <v>72</v>
      </c>
      <c r="P1131" s="119" t="s">
        <v>72</v>
      </c>
      <c r="Q1131" s="6" t="s">
        <v>72</v>
      </c>
      <c r="R1131" s="6" t="s">
        <v>72</v>
      </c>
      <c r="S1131" s="6" t="s">
        <v>72</v>
      </c>
      <c r="T1131" s="6" t="s">
        <v>72</v>
      </c>
      <c r="U1131" s="6" t="s">
        <v>72</v>
      </c>
      <c r="V1131" s="6" t="s">
        <v>72</v>
      </c>
      <c r="W1131" s="5" t="s">
        <v>72</v>
      </c>
      <c r="X1131" s="6" t="s">
        <v>72</v>
      </c>
      <c r="Y1131" s="6" t="s">
        <v>72</v>
      </c>
      <c r="Z1131" s="6" t="s">
        <v>72</v>
      </c>
      <c r="AA1131" s="6" t="s">
        <v>72</v>
      </c>
      <c r="AB1131" s="6" t="s">
        <v>72</v>
      </c>
      <c r="AC1131" s="6" t="s">
        <v>72</v>
      </c>
    </row>
    <row r="1132" spans="1:29" x14ac:dyDescent="0.25">
      <c r="A1132" s="145" t="str">
        <f>HYPERLINK("http://www.ofsted.gov.uk/inspection-reports/find-inspection-report/provider/ELS/1236911","Ofsted Webpage")</f>
        <v>Ofsted Webpage</v>
      </c>
      <c r="B1132" s="131">
        <v>1236911</v>
      </c>
      <c r="C1132" s="131">
        <v>10022570</v>
      </c>
      <c r="D1132" s="46" t="s">
        <v>2828</v>
      </c>
      <c r="E1132" s="26" t="s">
        <v>78</v>
      </c>
      <c r="F1132" s="26" t="s">
        <v>79</v>
      </c>
      <c r="G1132" s="26" t="s">
        <v>927</v>
      </c>
      <c r="H1132" s="26" t="s">
        <v>175</v>
      </c>
      <c r="I1132" s="26" t="s">
        <v>175</v>
      </c>
      <c r="J1132" s="2" t="s">
        <v>72</v>
      </c>
      <c r="K1132" s="26" t="s">
        <v>72</v>
      </c>
      <c r="L1132" s="26" t="s">
        <v>72</v>
      </c>
      <c r="M1132" s="26" t="s">
        <v>72</v>
      </c>
      <c r="N1132" s="2" t="s">
        <v>72</v>
      </c>
      <c r="O1132" s="2" t="s">
        <v>72</v>
      </c>
      <c r="P1132" s="2" t="s">
        <v>72</v>
      </c>
      <c r="Q1132" s="6" t="s">
        <v>72</v>
      </c>
      <c r="R1132" s="6" t="s">
        <v>72</v>
      </c>
      <c r="S1132" s="6" t="s">
        <v>72</v>
      </c>
      <c r="T1132" s="6" t="s">
        <v>72</v>
      </c>
      <c r="U1132" s="6" t="s">
        <v>72</v>
      </c>
      <c r="V1132" s="6" t="s">
        <v>72</v>
      </c>
      <c r="W1132" s="5" t="s">
        <v>72</v>
      </c>
      <c r="X1132" s="6" t="s">
        <v>72</v>
      </c>
      <c r="Y1132" s="6" t="s">
        <v>72</v>
      </c>
      <c r="Z1132" s="6" t="s">
        <v>72</v>
      </c>
      <c r="AA1132" s="6" t="s">
        <v>72</v>
      </c>
      <c r="AB1132" s="6" t="s">
        <v>72</v>
      </c>
      <c r="AC1132" s="6" t="s">
        <v>72</v>
      </c>
    </row>
    <row r="1133" spans="1:29" x14ac:dyDescent="0.25">
      <c r="A1133" s="145" t="str">
        <f>HYPERLINK("http://www.ofsted.gov.uk/inspection-reports/find-inspection-report/provider/ELS/1236915","Ofsted Webpage")</f>
        <v>Ofsted Webpage</v>
      </c>
      <c r="B1133" s="131">
        <v>1236915</v>
      </c>
      <c r="C1133" s="131">
        <v>10045136</v>
      </c>
      <c r="D1133" s="46" t="s">
        <v>2829</v>
      </c>
      <c r="E1133" s="26" t="s">
        <v>78</v>
      </c>
      <c r="F1133" s="26" t="s">
        <v>79</v>
      </c>
      <c r="G1133" s="26" t="s">
        <v>234</v>
      </c>
      <c r="H1133" s="26" t="s">
        <v>175</v>
      </c>
      <c r="I1133" s="26" t="s">
        <v>175</v>
      </c>
      <c r="J1133" s="2" t="s">
        <v>72</v>
      </c>
      <c r="K1133" s="26" t="s">
        <v>72</v>
      </c>
      <c r="L1133" s="144">
        <v>10037426</v>
      </c>
      <c r="M1133" s="26" t="s">
        <v>211</v>
      </c>
      <c r="N1133" s="2">
        <v>43039</v>
      </c>
      <c r="O1133" s="2">
        <v>43041</v>
      </c>
      <c r="P1133" s="2">
        <v>43068</v>
      </c>
      <c r="Q1133" s="6">
        <v>3</v>
      </c>
      <c r="R1133" s="6">
        <v>3</v>
      </c>
      <c r="S1133" s="6">
        <v>3</v>
      </c>
      <c r="T1133" s="6">
        <v>2</v>
      </c>
      <c r="U1133" s="6">
        <v>3</v>
      </c>
      <c r="V1133" s="6" t="s">
        <v>72</v>
      </c>
      <c r="W1133" s="5" t="s">
        <v>72</v>
      </c>
      <c r="X1133" s="6" t="s">
        <v>72</v>
      </c>
      <c r="Y1133" s="6" t="s">
        <v>72</v>
      </c>
      <c r="Z1133" s="6" t="s">
        <v>72</v>
      </c>
      <c r="AA1133" s="6" t="s">
        <v>72</v>
      </c>
      <c r="AB1133" s="6" t="s">
        <v>72</v>
      </c>
      <c r="AC1133" s="6" t="s">
        <v>208</v>
      </c>
    </row>
    <row r="1134" spans="1:29" x14ac:dyDescent="0.25">
      <c r="A1134" s="145" t="str">
        <f>HYPERLINK("http://www.ofsted.gov.uk/inspection-reports/find-inspection-report/provider/ELS/1236917","Ofsted Webpage")</f>
        <v>Ofsted Webpage</v>
      </c>
      <c r="B1134" s="131">
        <v>1236917</v>
      </c>
      <c r="C1134" s="131">
        <v>10022567</v>
      </c>
      <c r="D1134" s="46" t="s">
        <v>2524</v>
      </c>
      <c r="E1134" s="26" t="s">
        <v>78</v>
      </c>
      <c r="F1134" s="26" t="s">
        <v>79</v>
      </c>
      <c r="G1134" s="26" t="s">
        <v>608</v>
      </c>
      <c r="H1134" s="26" t="s">
        <v>238</v>
      </c>
      <c r="I1134" s="26" t="s">
        <v>238</v>
      </c>
      <c r="J1134" s="2" t="s">
        <v>72</v>
      </c>
      <c r="K1134" s="26" t="s">
        <v>72</v>
      </c>
      <c r="L1134" s="26" t="s">
        <v>72</v>
      </c>
      <c r="M1134" s="26" t="s">
        <v>72</v>
      </c>
      <c r="N1134" s="2" t="s">
        <v>72</v>
      </c>
      <c r="O1134" s="2" t="s">
        <v>72</v>
      </c>
      <c r="P1134" s="2" t="s">
        <v>72</v>
      </c>
      <c r="Q1134" s="6" t="s">
        <v>72</v>
      </c>
      <c r="R1134" s="6" t="s">
        <v>72</v>
      </c>
      <c r="S1134" s="6" t="s">
        <v>72</v>
      </c>
      <c r="T1134" s="6" t="s">
        <v>72</v>
      </c>
      <c r="U1134" s="6" t="s">
        <v>72</v>
      </c>
      <c r="V1134" s="6" t="s">
        <v>72</v>
      </c>
      <c r="W1134" s="5" t="s">
        <v>72</v>
      </c>
      <c r="X1134" s="6" t="s">
        <v>72</v>
      </c>
      <c r="Y1134" s="6" t="s">
        <v>72</v>
      </c>
      <c r="Z1134" s="6" t="s">
        <v>72</v>
      </c>
      <c r="AA1134" s="6" t="s">
        <v>72</v>
      </c>
      <c r="AB1134" s="6" t="s">
        <v>72</v>
      </c>
      <c r="AC1134" s="6" t="s">
        <v>72</v>
      </c>
    </row>
    <row r="1135" spans="1:29" x14ac:dyDescent="0.25">
      <c r="A1135" s="145" t="str">
        <f>HYPERLINK("http://www.ofsted.gov.uk/inspection-reports/find-inspection-report/provider/ELS/1236920","Ofsted Webpage")</f>
        <v>Ofsted Webpage</v>
      </c>
      <c r="B1135" s="131">
        <v>1236920</v>
      </c>
      <c r="C1135" s="131">
        <v>10028120</v>
      </c>
      <c r="D1135" s="46" t="s">
        <v>2525</v>
      </c>
      <c r="E1135" s="26" t="s">
        <v>78</v>
      </c>
      <c r="F1135" s="26" t="s">
        <v>79</v>
      </c>
      <c r="G1135" s="26" t="s">
        <v>174</v>
      </c>
      <c r="H1135" s="26" t="s">
        <v>175</v>
      </c>
      <c r="I1135" s="26" t="s">
        <v>175</v>
      </c>
      <c r="J1135" s="2" t="s">
        <v>72</v>
      </c>
      <c r="K1135" s="26" t="s">
        <v>72</v>
      </c>
      <c r="L1135" s="26" t="s">
        <v>72</v>
      </c>
      <c r="M1135" s="26" t="s">
        <v>72</v>
      </c>
      <c r="N1135" s="2" t="s">
        <v>72</v>
      </c>
      <c r="O1135" s="2" t="s">
        <v>72</v>
      </c>
      <c r="P1135" s="2" t="s">
        <v>72</v>
      </c>
      <c r="Q1135" s="6" t="s">
        <v>72</v>
      </c>
      <c r="R1135" s="6" t="s">
        <v>72</v>
      </c>
      <c r="S1135" s="6" t="s">
        <v>72</v>
      </c>
      <c r="T1135" s="6" t="s">
        <v>72</v>
      </c>
      <c r="U1135" s="6" t="s">
        <v>72</v>
      </c>
      <c r="V1135" s="6" t="s">
        <v>72</v>
      </c>
      <c r="W1135" s="5" t="s">
        <v>72</v>
      </c>
      <c r="X1135" s="6" t="s">
        <v>72</v>
      </c>
      <c r="Y1135" s="6" t="s">
        <v>72</v>
      </c>
      <c r="Z1135" s="6" t="s">
        <v>72</v>
      </c>
      <c r="AA1135" s="6" t="s">
        <v>72</v>
      </c>
      <c r="AB1135" s="6" t="s">
        <v>72</v>
      </c>
      <c r="AC1135" s="6" t="s">
        <v>72</v>
      </c>
    </row>
    <row r="1136" spans="1:29" x14ac:dyDescent="0.25">
      <c r="A1136" s="145" t="str">
        <f>HYPERLINK("http://www.ofsted.gov.uk/inspection-reports/find-inspection-report/provider/ELS/1236922","Ofsted Webpage")</f>
        <v>Ofsted Webpage</v>
      </c>
      <c r="B1136" s="131">
        <v>1236922</v>
      </c>
      <c r="C1136" s="131">
        <v>10032683</v>
      </c>
      <c r="D1136" s="46" t="s">
        <v>2804</v>
      </c>
      <c r="E1136" s="26" t="s">
        <v>78</v>
      </c>
      <c r="F1136" s="26" t="s">
        <v>79</v>
      </c>
      <c r="G1136" s="26" t="s">
        <v>319</v>
      </c>
      <c r="H1136" s="26" t="s">
        <v>204</v>
      </c>
      <c r="I1136" s="26" t="s">
        <v>188</v>
      </c>
      <c r="J1136" s="2" t="s">
        <v>72</v>
      </c>
      <c r="K1136" s="26" t="s">
        <v>72</v>
      </c>
      <c r="L1136" s="26" t="s">
        <v>72</v>
      </c>
      <c r="M1136" s="26" t="s">
        <v>72</v>
      </c>
      <c r="N1136" s="2" t="s">
        <v>72</v>
      </c>
      <c r="O1136" s="2" t="s">
        <v>72</v>
      </c>
      <c r="P1136" s="2" t="s">
        <v>72</v>
      </c>
      <c r="Q1136" s="6" t="s">
        <v>72</v>
      </c>
      <c r="R1136" s="6" t="s">
        <v>72</v>
      </c>
      <c r="S1136" s="6" t="s">
        <v>72</v>
      </c>
      <c r="T1136" s="6" t="s">
        <v>72</v>
      </c>
      <c r="U1136" s="6" t="s">
        <v>72</v>
      </c>
      <c r="V1136" s="6" t="s">
        <v>72</v>
      </c>
      <c r="W1136" s="5" t="s">
        <v>72</v>
      </c>
      <c r="X1136" s="6" t="s">
        <v>72</v>
      </c>
      <c r="Y1136" s="6" t="s">
        <v>72</v>
      </c>
      <c r="Z1136" s="6" t="s">
        <v>72</v>
      </c>
      <c r="AA1136" s="6" t="s">
        <v>72</v>
      </c>
      <c r="AB1136" s="6" t="s">
        <v>72</v>
      </c>
      <c r="AC1136" s="6" t="s">
        <v>72</v>
      </c>
    </row>
    <row r="1137" spans="1:29" x14ac:dyDescent="0.25">
      <c r="A1137" s="145" t="str">
        <f>HYPERLINK("http://www.ofsted.gov.uk/inspection-reports/find-inspection-report/provider/ELS/1236924","Ofsted Webpage")</f>
        <v>Ofsted Webpage</v>
      </c>
      <c r="B1137" s="131">
        <v>1236924</v>
      </c>
      <c r="C1137" s="131">
        <v>10001298</v>
      </c>
      <c r="D1137" s="46" t="s">
        <v>2805</v>
      </c>
      <c r="E1137" s="26" t="s">
        <v>90</v>
      </c>
      <c r="F1137" s="26" t="s">
        <v>91</v>
      </c>
      <c r="G1137" s="26" t="s">
        <v>316</v>
      </c>
      <c r="H1137" s="26" t="s">
        <v>219</v>
      </c>
      <c r="I1137" s="26" t="s">
        <v>219</v>
      </c>
      <c r="J1137" s="2" t="s">
        <v>72</v>
      </c>
      <c r="K1137" s="26" t="s">
        <v>72</v>
      </c>
      <c r="L1137" s="144">
        <v>10022692</v>
      </c>
      <c r="M1137" s="26" t="s">
        <v>1089</v>
      </c>
      <c r="N1137" s="2">
        <v>42773</v>
      </c>
      <c r="O1137" s="2">
        <v>42776</v>
      </c>
      <c r="P1137" s="2">
        <v>42797</v>
      </c>
      <c r="Q1137" s="6">
        <v>1</v>
      </c>
      <c r="R1137" s="6">
        <v>1</v>
      </c>
      <c r="S1137" s="6">
        <v>2</v>
      </c>
      <c r="T1137" s="6">
        <v>1</v>
      </c>
      <c r="U1137" s="6">
        <v>1</v>
      </c>
      <c r="V1137" s="6" t="s">
        <v>72</v>
      </c>
      <c r="W1137" s="5" t="s">
        <v>72</v>
      </c>
      <c r="X1137" s="6" t="s">
        <v>72</v>
      </c>
      <c r="Y1137" s="6" t="s">
        <v>72</v>
      </c>
      <c r="Z1137" s="6" t="s">
        <v>72</v>
      </c>
      <c r="AA1137" s="6" t="s">
        <v>72</v>
      </c>
      <c r="AB1137" s="6" t="s">
        <v>72</v>
      </c>
      <c r="AC1137" s="6" t="s">
        <v>208</v>
      </c>
    </row>
    <row r="1138" spans="1:29" x14ac:dyDescent="0.25">
      <c r="A1138" s="145" t="str">
        <f>HYPERLINK("http://www.ofsted.gov.uk/inspection-reports/find-inspection-report/provider/ELS/1236925","Ofsted Webpage")</f>
        <v>Ofsted Webpage</v>
      </c>
      <c r="B1138" s="131">
        <v>1236925</v>
      </c>
      <c r="C1138" s="131">
        <v>10036802</v>
      </c>
      <c r="D1138" s="46" t="s">
        <v>2806</v>
      </c>
      <c r="E1138" s="26" t="s">
        <v>78</v>
      </c>
      <c r="F1138" s="26" t="s">
        <v>79</v>
      </c>
      <c r="G1138" s="26" t="s">
        <v>982</v>
      </c>
      <c r="H1138" s="26" t="s">
        <v>175</v>
      </c>
      <c r="I1138" s="26" t="s">
        <v>175</v>
      </c>
      <c r="J1138" s="2" t="s">
        <v>72</v>
      </c>
      <c r="K1138" s="26" t="s">
        <v>72</v>
      </c>
      <c r="L1138" s="26" t="s">
        <v>72</v>
      </c>
      <c r="M1138" s="26" t="s">
        <v>72</v>
      </c>
      <c r="N1138" s="2" t="s">
        <v>72</v>
      </c>
      <c r="O1138" s="2" t="s">
        <v>72</v>
      </c>
      <c r="P1138" s="2" t="s">
        <v>72</v>
      </c>
      <c r="Q1138" s="6" t="s">
        <v>72</v>
      </c>
      <c r="R1138" s="6" t="s">
        <v>72</v>
      </c>
      <c r="S1138" s="6" t="s">
        <v>72</v>
      </c>
      <c r="T1138" s="6" t="s">
        <v>72</v>
      </c>
      <c r="U1138" s="6" t="s">
        <v>72</v>
      </c>
      <c r="V1138" s="6" t="s">
        <v>72</v>
      </c>
      <c r="W1138" s="5" t="s">
        <v>72</v>
      </c>
      <c r="X1138" s="6" t="s">
        <v>72</v>
      </c>
      <c r="Y1138" s="6" t="s">
        <v>72</v>
      </c>
      <c r="Z1138" s="6" t="s">
        <v>72</v>
      </c>
      <c r="AA1138" s="6" t="s">
        <v>72</v>
      </c>
      <c r="AB1138" s="6" t="s">
        <v>72</v>
      </c>
      <c r="AC1138" s="6" t="s">
        <v>72</v>
      </c>
    </row>
    <row r="1139" spans="1:29" x14ac:dyDescent="0.25">
      <c r="A1139" s="145" t="str">
        <f>HYPERLINK("http://www.ofsted.gov.uk/inspection-reports/find-inspection-report/provider/ELS/1236930","Ofsted Webpage")</f>
        <v>Ofsted Webpage</v>
      </c>
      <c r="B1139" s="131">
        <v>1236930</v>
      </c>
      <c r="C1139" s="131">
        <v>10001298</v>
      </c>
      <c r="D1139" s="46" t="s">
        <v>2807</v>
      </c>
      <c r="E1139" s="26" t="s">
        <v>90</v>
      </c>
      <c r="F1139" s="26" t="s">
        <v>91</v>
      </c>
      <c r="G1139" s="26" t="s">
        <v>316</v>
      </c>
      <c r="H1139" s="26" t="s">
        <v>219</v>
      </c>
      <c r="I1139" s="26" t="s">
        <v>219</v>
      </c>
      <c r="J1139" s="2" t="s">
        <v>72</v>
      </c>
      <c r="K1139" s="26" t="s">
        <v>72</v>
      </c>
      <c r="L1139" s="144">
        <v>10022690</v>
      </c>
      <c r="M1139" s="26" t="s">
        <v>1089</v>
      </c>
      <c r="N1139" s="2">
        <v>42752</v>
      </c>
      <c r="O1139" s="2">
        <v>42755</v>
      </c>
      <c r="P1139" s="2">
        <v>42779</v>
      </c>
      <c r="Q1139" s="6">
        <v>2</v>
      </c>
      <c r="R1139" s="6">
        <v>2</v>
      </c>
      <c r="S1139" s="6">
        <v>2</v>
      </c>
      <c r="T1139" s="6">
        <v>2</v>
      </c>
      <c r="U1139" s="6">
        <v>2</v>
      </c>
      <c r="V1139" s="6" t="s">
        <v>72</v>
      </c>
      <c r="W1139" s="5" t="s">
        <v>72</v>
      </c>
      <c r="X1139" s="6" t="s">
        <v>72</v>
      </c>
      <c r="Y1139" s="6" t="s">
        <v>72</v>
      </c>
      <c r="Z1139" s="6" t="s">
        <v>72</v>
      </c>
      <c r="AA1139" s="6" t="s">
        <v>72</v>
      </c>
      <c r="AB1139" s="6" t="s">
        <v>72</v>
      </c>
      <c r="AC1139" s="6" t="s">
        <v>208</v>
      </c>
    </row>
    <row r="1140" spans="1:29" x14ac:dyDescent="0.25">
      <c r="A1140" s="145" t="str">
        <f>HYPERLINK("http://www.ofsted.gov.uk/inspection-reports/find-inspection-report/provider/ELS/1236932","Ofsted Webpage")</f>
        <v>Ofsted Webpage</v>
      </c>
      <c r="B1140" s="131">
        <v>1236932</v>
      </c>
      <c r="C1140" s="131">
        <v>10004177</v>
      </c>
      <c r="D1140" s="46" t="s">
        <v>2808</v>
      </c>
      <c r="E1140" s="26" t="s">
        <v>90</v>
      </c>
      <c r="F1140" s="26" t="s">
        <v>91</v>
      </c>
      <c r="G1140" s="26" t="s">
        <v>348</v>
      </c>
      <c r="H1140" s="26" t="s">
        <v>238</v>
      </c>
      <c r="I1140" s="26" t="s">
        <v>238</v>
      </c>
      <c r="J1140" s="2" t="s">
        <v>72</v>
      </c>
      <c r="K1140" s="26" t="s">
        <v>72</v>
      </c>
      <c r="L1140" s="144">
        <v>10022676</v>
      </c>
      <c r="M1140" s="26" t="s">
        <v>211</v>
      </c>
      <c r="N1140" s="2">
        <v>42682</v>
      </c>
      <c r="O1140" s="2">
        <v>42685</v>
      </c>
      <c r="P1140" s="2">
        <v>42710</v>
      </c>
      <c r="Q1140" s="6">
        <v>2</v>
      </c>
      <c r="R1140" s="6">
        <v>2</v>
      </c>
      <c r="S1140" s="6">
        <v>2</v>
      </c>
      <c r="T1140" s="6">
        <v>2</v>
      </c>
      <c r="U1140" s="6">
        <v>2</v>
      </c>
      <c r="V1140" s="6" t="s">
        <v>72</v>
      </c>
      <c r="W1140" s="5" t="s">
        <v>72</v>
      </c>
      <c r="X1140" s="6" t="s">
        <v>72</v>
      </c>
      <c r="Y1140" s="6" t="s">
        <v>72</v>
      </c>
      <c r="Z1140" s="6" t="s">
        <v>72</v>
      </c>
      <c r="AA1140" s="6" t="s">
        <v>72</v>
      </c>
      <c r="AB1140" s="6" t="s">
        <v>72</v>
      </c>
      <c r="AC1140" s="6" t="s">
        <v>208</v>
      </c>
    </row>
    <row r="1141" spans="1:29" x14ac:dyDescent="0.25">
      <c r="A1141" s="145" t="str">
        <f>HYPERLINK("http://www.ofsted.gov.uk/inspection-reports/find-inspection-report/provider/ELS/1236934","Ofsted Webpage")</f>
        <v>Ofsted Webpage</v>
      </c>
      <c r="B1141" s="131">
        <v>1236934</v>
      </c>
      <c r="C1141" s="131">
        <v>10027211</v>
      </c>
      <c r="D1141" s="46" t="s">
        <v>2809</v>
      </c>
      <c r="E1141" s="26" t="s">
        <v>78</v>
      </c>
      <c r="F1141" s="26" t="s">
        <v>79</v>
      </c>
      <c r="G1141" s="26" t="s">
        <v>296</v>
      </c>
      <c r="H1141" s="26" t="s">
        <v>287</v>
      </c>
      <c r="I1141" s="26" t="s">
        <v>287</v>
      </c>
      <c r="J1141" s="2" t="s">
        <v>72</v>
      </c>
      <c r="K1141" s="26" t="s">
        <v>72</v>
      </c>
      <c r="L1141" s="26" t="s">
        <v>72</v>
      </c>
      <c r="M1141" s="26" t="s">
        <v>72</v>
      </c>
      <c r="N1141" s="2" t="s">
        <v>72</v>
      </c>
      <c r="O1141" s="2" t="s">
        <v>72</v>
      </c>
      <c r="P1141" s="2" t="s">
        <v>72</v>
      </c>
      <c r="Q1141" s="6" t="s">
        <v>72</v>
      </c>
      <c r="R1141" s="6" t="s">
        <v>72</v>
      </c>
      <c r="S1141" s="6" t="s">
        <v>72</v>
      </c>
      <c r="T1141" s="6" t="s">
        <v>72</v>
      </c>
      <c r="U1141" s="6" t="s">
        <v>72</v>
      </c>
      <c r="V1141" s="6" t="s">
        <v>72</v>
      </c>
      <c r="W1141" s="5" t="s">
        <v>72</v>
      </c>
      <c r="X1141" s="6" t="s">
        <v>72</v>
      </c>
      <c r="Y1141" s="6" t="s">
        <v>72</v>
      </c>
      <c r="Z1141" s="6" t="s">
        <v>72</v>
      </c>
      <c r="AA1141" s="6" t="s">
        <v>72</v>
      </c>
      <c r="AB1141" s="6" t="s">
        <v>72</v>
      </c>
      <c r="AC1141" s="6" t="s">
        <v>72</v>
      </c>
    </row>
    <row r="1142" spans="1:29" x14ac:dyDescent="0.25">
      <c r="A1142" s="145" t="str">
        <f>HYPERLINK("http://www.ofsted.gov.uk/inspection-reports/find-inspection-report/provider/ELS/1236935","Ofsted Webpage")</f>
        <v>Ofsted Webpage</v>
      </c>
      <c r="B1142" s="131">
        <v>1236935</v>
      </c>
      <c r="C1142" s="131">
        <v>10004177</v>
      </c>
      <c r="D1142" s="46" t="s">
        <v>2810</v>
      </c>
      <c r="E1142" s="26" t="s">
        <v>90</v>
      </c>
      <c r="F1142" s="26" t="s">
        <v>91</v>
      </c>
      <c r="G1142" s="26" t="s">
        <v>348</v>
      </c>
      <c r="H1142" s="26" t="s">
        <v>238</v>
      </c>
      <c r="I1142" s="26" t="s">
        <v>238</v>
      </c>
      <c r="J1142" s="2" t="s">
        <v>72</v>
      </c>
      <c r="K1142" s="26" t="s">
        <v>72</v>
      </c>
      <c r="L1142" s="144">
        <v>10022691</v>
      </c>
      <c r="M1142" s="26" t="s">
        <v>1089</v>
      </c>
      <c r="N1142" s="2">
        <v>42766</v>
      </c>
      <c r="O1142" s="2">
        <v>42769</v>
      </c>
      <c r="P1142" s="2">
        <v>42790</v>
      </c>
      <c r="Q1142" s="6">
        <v>2</v>
      </c>
      <c r="R1142" s="6">
        <v>2</v>
      </c>
      <c r="S1142" s="6">
        <v>2</v>
      </c>
      <c r="T1142" s="6">
        <v>2</v>
      </c>
      <c r="U1142" s="6">
        <v>2</v>
      </c>
      <c r="V1142" s="6" t="s">
        <v>72</v>
      </c>
      <c r="W1142" s="5" t="s">
        <v>72</v>
      </c>
      <c r="X1142" s="6" t="s">
        <v>72</v>
      </c>
      <c r="Y1142" s="6" t="s">
        <v>72</v>
      </c>
      <c r="Z1142" s="6" t="s">
        <v>72</v>
      </c>
      <c r="AA1142" s="6" t="s">
        <v>72</v>
      </c>
      <c r="AB1142" s="6" t="s">
        <v>72</v>
      </c>
      <c r="AC1142" s="6" t="s">
        <v>208</v>
      </c>
    </row>
    <row r="1143" spans="1:29" x14ac:dyDescent="0.25">
      <c r="A1143" s="145" t="str">
        <f>HYPERLINK("http://www.ofsted.gov.uk/inspection-reports/find-inspection-report/provider/ELS/1236937","Ofsted Webpage")</f>
        <v>Ofsted Webpage</v>
      </c>
      <c r="B1143" s="131">
        <v>1236937</v>
      </c>
      <c r="C1143" s="131">
        <v>10001647</v>
      </c>
      <c r="D1143" s="46" t="s">
        <v>2774</v>
      </c>
      <c r="E1143" s="26" t="s">
        <v>90</v>
      </c>
      <c r="F1143" s="26" t="s">
        <v>91</v>
      </c>
      <c r="G1143" s="26" t="s">
        <v>437</v>
      </c>
      <c r="H1143" s="26" t="s">
        <v>214</v>
      </c>
      <c r="I1143" s="26" t="s">
        <v>214</v>
      </c>
      <c r="J1143" s="2" t="s">
        <v>72</v>
      </c>
      <c r="K1143" s="26" t="s">
        <v>72</v>
      </c>
      <c r="L1143" s="144">
        <v>10022686</v>
      </c>
      <c r="M1143" s="26" t="s">
        <v>1089</v>
      </c>
      <c r="N1143" s="2">
        <v>42745</v>
      </c>
      <c r="O1143" s="2">
        <v>42748</v>
      </c>
      <c r="P1143" s="2">
        <v>42780</v>
      </c>
      <c r="Q1143" s="6">
        <v>2</v>
      </c>
      <c r="R1143" s="6">
        <v>2</v>
      </c>
      <c r="S1143" s="6">
        <v>2</v>
      </c>
      <c r="T1143" s="6">
        <v>2</v>
      </c>
      <c r="U1143" s="6">
        <v>2</v>
      </c>
      <c r="V1143" s="6" t="s">
        <v>72</v>
      </c>
      <c r="W1143" s="5" t="s">
        <v>72</v>
      </c>
      <c r="X1143" s="6" t="s">
        <v>72</v>
      </c>
      <c r="Y1143" s="6" t="s">
        <v>72</v>
      </c>
      <c r="Z1143" s="6" t="s">
        <v>72</v>
      </c>
      <c r="AA1143" s="6" t="s">
        <v>72</v>
      </c>
      <c r="AB1143" s="6" t="s">
        <v>72</v>
      </c>
      <c r="AC1143" s="6" t="s">
        <v>208</v>
      </c>
    </row>
    <row r="1144" spans="1:29" x14ac:dyDescent="0.25">
      <c r="A1144" s="145" t="str">
        <f>HYPERLINK("http://www.ofsted.gov.uk/inspection-reports/find-inspection-report/provider/ELS/1236939","Ofsted Webpage")</f>
        <v>Ofsted Webpage</v>
      </c>
      <c r="B1144" s="131">
        <v>1236939</v>
      </c>
      <c r="C1144" s="131">
        <v>10034044</v>
      </c>
      <c r="D1144" s="46" t="s">
        <v>2775</v>
      </c>
      <c r="E1144" s="26" t="s">
        <v>78</v>
      </c>
      <c r="F1144" s="26" t="s">
        <v>79</v>
      </c>
      <c r="G1144" s="26" t="s">
        <v>379</v>
      </c>
      <c r="H1144" s="26" t="s">
        <v>175</v>
      </c>
      <c r="I1144" s="26" t="s">
        <v>175</v>
      </c>
      <c r="J1144" s="2" t="s">
        <v>72</v>
      </c>
      <c r="K1144" s="26" t="s">
        <v>72</v>
      </c>
      <c r="L1144" s="26" t="s">
        <v>72</v>
      </c>
      <c r="M1144" s="26" t="s">
        <v>72</v>
      </c>
      <c r="N1144" s="2" t="s">
        <v>72</v>
      </c>
      <c r="O1144" s="2" t="s">
        <v>72</v>
      </c>
      <c r="P1144" s="2" t="s">
        <v>72</v>
      </c>
      <c r="Q1144" s="6" t="s">
        <v>72</v>
      </c>
      <c r="R1144" s="6" t="s">
        <v>72</v>
      </c>
      <c r="S1144" s="6" t="s">
        <v>72</v>
      </c>
      <c r="T1144" s="6" t="s">
        <v>72</v>
      </c>
      <c r="U1144" s="6" t="s">
        <v>72</v>
      </c>
      <c r="V1144" s="6" t="s">
        <v>72</v>
      </c>
      <c r="W1144" s="5" t="s">
        <v>72</v>
      </c>
      <c r="X1144" s="6" t="s">
        <v>72</v>
      </c>
      <c r="Y1144" s="6" t="s">
        <v>72</v>
      </c>
      <c r="Z1144" s="6" t="s">
        <v>72</v>
      </c>
      <c r="AA1144" s="6" t="s">
        <v>72</v>
      </c>
      <c r="AB1144" s="6" t="s">
        <v>72</v>
      </c>
      <c r="AC1144" s="6" t="s">
        <v>72</v>
      </c>
    </row>
    <row r="1145" spans="1:29" x14ac:dyDescent="0.25">
      <c r="A1145" s="145" t="str">
        <f>HYPERLINK("http://www.ofsted.gov.uk/inspection-reports/find-inspection-report/provider/ELS/1236942","Ofsted Webpage")</f>
        <v>Ofsted Webpage</v>
      </c>
      <c r="B1145" s="131">
        <v>1236942</v>
      </c>
      <c r="C1145" s="131">
        <v>10001647</v>
      </c>
      <c r="D1145" s="46" t="s">
        <v>2776</v>
      </c>
      <c r="E1145" s="26" t="s">
        <v>90</v>
      </c>
      <c r="F1145" s="26" t="s">
        <v>91</v>
      </c>
      <c r="G1145" s="26" t="s">
        <v>437</v>
      </c>
      <c r="H1145" s="26" t="s">
        <v>214</v>
      </c>
      <c r="I1145" s="26" t="s">
        <v>214</v>
      </c>
      <c r="J1145" s="2" t="s">
        <v>72</v>
      </c>
      <c r="K1145" s="26" t="s">
        <v>72</v>
      </c>
      <c r="L1145" s="144">
        <v>10022689</v>
      </c>
      <c r="M1145" s="26" t="s">
        <v>1089</v>
      </c>
      <c r="N1145" s="2">
        <v>42759</v>
      </c>
      <c r="O1145" s="2">
        <v>42762</v>
      </c>
      <c r="P1145" s="2">
        <v>42787</v>
      </c>
      <c r="Q1145" s="6">
        <v>1</v>
      </c>
      <c r="R1145" s="6">
        <v>1</v>
      </c>
      <c r="S1145" s="6">
        <v>1</v>
      </c>
      <c r="T1145" s="6">
        <v>1</v>
      </c>
      <c r="U1145" s="6">
        <v>1</v>
      </c>
      <c r="V1145" s="6" t="s">
        <v>72</v>
      </c>
      <c r="W1145" s="5" t="s">
        <v>72</v>
      </c>
      <c r="X1145" s="6" t="s">
        <v>72</v>
      </c>
      <c r="Y1145" s="6" t="s">
        <v>72</v>
      </c>
      <c r="Z1145" s="6" t="s">
        <v>72</v>
      </c>
      <c r="AA1145" s="6" t="s">
        <v>72</v>
      </c>
      <c r="AB1145" s="6" t="s">
        <v>72</v>
      </c>
      <c r="AC1145" s="6" t="s">
        <v>208</v>
      </c>
    </row>
    <row r="1146" spans="1:29" x14ac:dyDescent="0.25">
      <c r="A1146" s="145" t="str">
        <f>HYPERLINK("http://www.ofsted.gov.uk/inspection-reports/find-inspection-report/provider/ELS/1236943","Ofsted Webpage")</f>
        <v>Ofsted Webpage</v>
      </c>
      <c r="B1146" s="131">
        <v>1236943</v>
      </c>
      <c r="C1146" s="131">
        <v>10008455</v>
      </c>
      <c r="D1146" s="46" t="s">
        <v>226</v>
      </c>
      <c r="E1146" s="26" t="s">
        <v>78</v>
      </c>
      <c r="F1146" s="26" t="s">
        <v>79</v>
      </c>
      <c r="G1146" s="26" t="s">
        <v>250</v>
      </c>
      <c r="H1146" s="26" t="s">
        <v>175</v>
      </c>
      <c r="I1146" s="26" t="s">
        <v>175</v>
      </c>
      <c r="J1146" s="2" t="s">
        <v>72</v>
      </c>
      <c r="K1146" s="26" t="s">
        <v>72</v>
      </c>
      <c r="L1146" s="26" t="s">
        <v>72</v>
      </c>
      <c r="M1146" s="26" t="s">
        <v>72</v>
      </c>
      <c r="N1146" s="2" t="s">
        <v>72</v>
      </c>
      <c r="O1146" s="2" t="s">
        <v>72</v>
      </c>
      <c r="P1146" s="2" t="s">
        <v>72</v>
      </c>
      <c r="Q1146" s="6" t="s">
        <v>72</v>
      </c>
      <c r="R1146" s="6" t="s">
        <v>72</v>
      </c>
      <c r="S1146" s="6" t="s">
        <v>72</v>
      </c>
      <c r="T1146" s="6" t="s">
        <v>72</v>
      </c>
      <c r="U1146" s="6" t="s">
        <v>72</v>
      </c>
      <c r="V1146" s="6" t="s">
        <v>72</v>
      </c>
      <c r="W1146" s="5" t="s">
        <v>72</v>
      </c>
      <c r="X1146" s="6" t="s">
        <v>72</v>
      </c>
      <c r="Y1146" s="6" t="s">
        <v>72</v>
      </c>
      <c r="Z1146" s="6" t="s">
        <v>72</v>
      </c>
      <c r="AA1146" s="6" t="s">
        <v>72</v>
      </c>
      <c r="AB1146" s="6" t="s">
        <v>72</v>
      </c>
      <c r="AC1146" s="6" t="s">
        <v>72</v>
      </c>
    </row>
    <row r="1147" spans="1:29" x14ac:dyDescent="0.25">
      <c r="A1147" s="145" t="str">
        <f>HYPERLINK("http://www.ofsted.gov.uk/inspection-reports/find-inspection-report/provider/ELS/1236946","Ofsted Webpage")</f>
        <v>Ofsted Webpage</v>
      </c>
      <c r="B1147" s="131">
        <v>1236946</v>
      </c>
      <c r="C1147" s="131">
        <v>10005262</v>
      </c>
      <c r="D1147" s="46" t="s">
        <v>2777</v>
      </c>
      <c r="E1147" s="26" t="s">
        <v>90</v>
      </c>
      <c r="F1147" s="26" t="s">
        <v>91</v>
      </c>
      <c r="G1147" s="26" t="s">
        <v>665</v>
      </c>
      <c r="H1147" s="26" t="s">
        <v>175</v>
      </c>
      <c r="I1147" s="26" t="s">
        <v>175</v>
      </c>
      <c r="J1147" s="2" t="s">
        <v>72</v>
      </c>
      <c r="K1147" s="26" t="s">
        <v>72</v>
      </c>
      <c r="L1147" s="144">
        <v>10022694</v>
      </c>
      <c r="M1147" s="26" t="s">
        <v>1089</v>
      </c>
      <c r="N1147" s="2">
        <v>42808</v>
      </c>
      <c r="O1147" s="2">
        <v>42811</v>
      </c>
      <c r="P1147" s="2">
        <v>42838</v>
      </c>
      <c r="Q1147" s="6">
        <v>2</v>
      </c>
      <c r="R1147" s="6">
        <v>2</v>
      </c>
      <c r="S1147" s="6">
        <v>2</v>
      </c>
      <c r="T1147" s="6">
        <v>2</v>
      </c>
      <c r="U1147" s="6">
        <v>2</v>
      </c>
      <c r="V1147" s="6" t="s">
        <v>72</v>
      </c>
      <c r="W1147" s="5" t="s">
        <v>72</v>
      </c>
      <c r="X1147" s="6" t="s">
        <v>72</v>
      </c>
      <c r="Y1147" s="6" t="s">
        <v>72</v>
      </c>
      <c r="Z1147" s="6" t="s">
        <v>72</v>
      </c>
      <c r="AA1147" s="6" t="s">
        <v>72</v>
      </c>
      <c r="AB1147" s="6" t="s">
        <v>72</v>
      </c>
      <c r="AC1147" s="6" t="s">
        <v>208</v>
      </c>
    </row>
    <row r="1148" spans="1:29" x14ac:dyDescent="0.25">
      <c r="A1148" s="145" t="str">
        <f>HYPERLINK("http://www.ofsted.gov.uk/inspection-reports/find-inspection-report/provider/ELS/1236949","Ofsted Webpage")</f>
        <v>Ofsted Webpage</v>
      </c>
      <c r="B1148" s="151">
        <v>1236949</v>
      </c>
      <c r="C1148" s="151">
        <v>10005262</v>
      </c>
      <c r="D1148" s="46" t="s">
        <v>2778</v>
      </c>
      <c r="E1148" s="26" t="s">
        <v>90</v>
      </c>
      <c r="F1148" s="26" t="s">
        <v>91</v>
      </c>
      <c r="G1148" s="26" t="s">
        <v>464</v>
      </c>
      <c r="H1148" s="26" t="s">
        <v>198</v>
      </c>
      <c r="I1148" s="26" t="s">
        <v>198</v>
      </c>
      <c r="J1148" s="2" t="s">
        <v>72</v>
      </c>
      <c r="K1148" s="141" t="s">
        <v>72</v>
      </c>
      <c r="L1148" s="141">
        <v>10022679</v>
      </c>
      <c r="M1148" s="26" t="s">
        <v>211</v>
      </c>
      <c r="N1148" s="2">
        <v>42703</v>
      </c>
      <c r="O1148" s="2">
        <v>42706</v>
      </c>
      <c r="P1148" s="133">
        <v>42732</v>
      </c>
      <c r="Q1148" s="6">
        <v>2</v>
      </c>
      <c r="R1148" s="6">
        <v>2</v>
      </c>
      <c r="S1148" s="6">
        <v>2</v>
      </c>
      <c r="T1148" s="6">
        <v>2</v>
      </c>
      <c r="U1148" s="6">
        <v>2</v>
      </c>
      <c r="V1148" s="6" t="s">
        <v>72</v>
      </c>
      <c r="W1148" s="5" t="s">
        <v>72</v>
      </c>
      <c r="X1148" s="6" t="s">
        <v>72</v>
      </c>
      <c r="Y1148" s="6" t="s">
        <v>72</v>
      </c>
      <c r="Z1148" s="6" t="s">
        <v>72</v>
      </c>
      <c r="AA1148" s="6" t="s">
        <v>72</v>
      </c>
      <c r="AB1148" s="6" t="s">
        <v>72</v>
      </c>
      <c r="AC1148" s="6" t="s">
        <v>208</v>
      </c>
    </row>
    <row r="1149" spans="1:29" x14ac:dyDescent="0.25">
      <c r="A1149" s="145" t="str">
        <f>HYPERLINK("http://www.ofsted.gov.uk/inspection-reports/find-inspection-report/provider/ELS/1236951","Ofsted Webpage")</f>
        <v>Ofsted Webpage</v>
      </c>
      <c r="B1149" s="151">
        <v>1236951</v>
      </c>
      <c r="C1149" s="151">
        <v>10035281</v>
      </c>
      <c r="D1149" s="46" t="s">
        <v>2779</v>
      </c>
      <c r="E1149" s="26" t="s">
        <v>78</v>
      </c>
      <c r="F1149" s="26" t="s">
        <v>79</v>
      </c>
      <c r="G1149" s="26" t="s">
        <v>421</v>
      </c>
      <c r="H1149" s="26" t="s">
        <v>219</v>
      </c>
      <c r="I1149" s="26" t="s">
        <v>219</v>
      </c>
      <c r="J1149" s="2" t="s">
        <v>72</v>
      </c>
      <c r="K1149" s="141" t="s">
        <v>72</v>
      </c>
      <c r="L1149" s="141" t="s">
        <v>72</v>
      </c>
      <c r="M1149" s="26" t="s">
        <v>72</v>
      </c>
      <c r="N1149" s="2" t="s">
        <v>72</v>
      </c>
      <c r="O1149" s="2" t="s">
        <v>72</v>
      </c>
      <c r="P1149" s="133" t="s">
        <v>72</v>
      </c>
      <c r="Q1149" s="6" t="s">
        <v>72</v>
      </c>
      <c r="R1149" s="6" t="s">
        <v>72</v>
      </c>
      <c r="S1149" s="6" t="s">
        <v>72</v>
      </c>
      <c r="T1149" s="6" t="s">
        <v>72</v>
      </c>
      <c r="U1149" s="6" t="s">
        <v>72</v>
      </c>
      <c r="V1149" s="6" t="s">
        <v>72</v>
      </c>
      <c r="W1149" s="5" t="s">
        <v>72</v>
      </c>
      <c r="X1149" s="6" t="s">
        <v>72</v>
      </c>
      <c r="Y1149" s="6" t="s">
        <v>72</v>
      </c>
      <c r="Z1149" s="6" t="s">
        <v>72</v>
      </c>
      <c r="AA1149" s="6" t="s">
        <v>72</v>
      </c>
      <c r="AB1149" s="6" t="s">
        <v>72</v>
      </c>
      <c r="AC1149" s="6" t="s">
        <v>72</v>
      </c>
    </row>
    <row r="1150" spans="1:29" x14ac:dyDescent="0.25">
      <c r="A1150" s="145" t="str">
        <f>HYPERLINK("http://www.ofsted.gov.uk/inspection-reports/find-inspection-report/provider/ELS/1236952","Ofsted Webpage")</f>
        <v>Ofsted Webpage</v>
      </c>
      <c r="B1150" s="151">
        <v>1236952</v>
      </c>
      <c r="C1150" s="151">
        <v>10005262</v>
      </c>
      <c r="D1150" s="46" t="s">
        <v>2780</v>
      </c>
      <c r="E1150" s="26" t="s">
        <v>90</v>
      </c>
      <c r="F1150" s="26" t="s">
        <v>91</v>
      </c>
      <c r="G1150" s="26" t="s">
        <v>223</v>
      </c>
      <c r="H1150" s="26" t="s">
        <v>193</v>
      </c>
      <c r="I1150" s="26" t="s">
        <v>193</v>
      </c>
      <c r="J1150" s="2" t="s">
        <v>72</v>
      </c>
      <c r="K1150" s="141" t="s">
        <v>72</v>
      </c>
      <c r="L1150" s="141">
        <v>10022687</v>
      </c>
      <c r="M1150" s="26" t="s">
        <v>1089</v>
      </c>
      <c r="N1150" s="2">
        <v>42794</v>
      </c>
      <c r="O1150" s="2">
        <v>42797</v>
      </c>
      <c r="P1150" s="133">
        <v>42831</v>
      </c>
      <c r="Q1150" s="6">
        <v>2</v>
      </c>
      <c r="R1150" s="6">
        <v>2</v>
      </c>
      <c r="S1150" s="6">
        <v>2</v>
      </c>
      <c r="T1150" s="6">
        <v>2</v>
      </c>
      <c r="U1150" s="6">
        <v>2</v>
      </c>
      <c r="V1150" s="6" t="s">
        <v>72</v>
      </c>
      <c r="W1150" s="5" t="s">
        <v>72</v>
      </c>
      <c r="X1150" s="6" t="s">
        <v>72</v>
      </c>
      <c r="Y1150" s="6" t="s">
        <v>72</v>
      </c>
      <c r="Z1150" s="6" t="s">
        <v>72</v>
      </c>
      <c r="AA1150" s="6" t="s">
        <v>72</v>
      </c>
      <c r="AB1150" s="6" t="s">
        <v>72</v>
      </c>
      <c r="AC1150" s="6" t="s">
        <v>208</v>
      </c>
    </row>
    <row r="1151" spans="1:29" x14ac:dyDescent="0.25">
      <c r="A1151" s="145" t="str">
        <f>HYPERLINK("http://www.ofsted.gov.uk/inspection-reports/find-inspection-report/provider/ELS/1237097","Ofsted Webpage")</f>
        <v>Ofsted Webpage</v>
      </c>
      <c r="B1151" s="151">
        <v>1237097</v>
      </c>
      <c r="C1151" s="151">
        <v>10037337</v>
      </c>
      <c r="D1151" s="46" t="s">
        <v>2781</v>
      </c>
      <c r="E1151" s="26" t="s">
        <v>78</v>
      </c>
      <c r="F1151" s="26" t="s">
        <v>79</v>
      </c>
      <c r="G1151" s="26" t="s">
        <v>1258</v>
      </c>
      <c r="H1151" s="26" t="s">
        <v>238</v>
      </c>
      <c r="I1151" s="26" t="s">
        <v>238</v>
      </c>
      <c r="J1151" s="2" t="s">
        <v>72</v>
      </c>
      <c r="K1151" s="141" t="s">
        <v>72</v>
      </c>
      <c r="L1151" s="141" t="s">
        <v>72</v>
      </c>
      <c r="M1151" s="26" t="s">
        <v>72</v>
      </c>
      <c r="N1151" s="2" t="s">
        <v>72</v>
      </c>
      <c r="O1151" s="2" t="s">
        <v>72</v>
      </c>
      <c r="P1151" s="133" t="s">
        <v>72</v>
      </c>
      <c r="Q1151" s="6" t="s">
        <v>72</v>
      </c>
      <c r="R1151" s="6" t="s">
        <v>72</v>
      </c>
      <c r="S1151" s="6" t="s">
        <v>72</v>
      </c>
      <c r="T1151" s="6" t="s">
        <v>72</v>
      </c>
      <c r="U1151" s="6" t="s">
        <v>72</v>
      </c>
      <c r="V1151" s="6" t="s">
        <v>72</v>
      </c>
      <c r="W1151" s="5" t="s">
        <v>72</v>
      </c>
      <c r="X1151" s="6" t="s">
        <v>72</v>
      </c>
      <c r="Y1151" s="6" t="s">
        <v>72</v>
      </c>
      <c r="Z1151" s="6" t="s">
        <v>72</v>
      </c>
      <c r="AA1151" s="6" t="s">
        <v>72</v>
      </c>
      <c r="AB1151" s="6" t="s">
        <v>72</v>
      </c>
      <c r="AC1151" s="6" t="s">
        <v>72</v>
      </c>
    </row>
    <row r="1152" spans="1:29" x14ac:dyDescent="0.25">
      <c r="A1152" s="145" t="str">
        <f>HYPERLINK("http://www.ofsted.gov.uk/inspection-reports/find-inspection-report/provider/ELS/1237099","Ofsted Webpage")</f>
        <v>Ofsted Webpage</v>
      </c>
      <c r="B1152" s="151">
        <v>1237099</v>
      </c>
      <c r="C1152" s="151">
        <v>10018436</v>
      </c>
      <c r="D1152" s="46" t="s">
        <v>2755</v>
      </c>
      <c r="E1152" s="26" t="s">
        <v>78</v>
      </c>
      <c r="F1152" s="26" t="s">
        <v>79</v>
      </c>
      <c r="G1152" s="26" t="s">
        <v>348</v>
      </c>
      <c r="H1152" s="26" t="s">
        <v>238</v>
      </c>
      <c r="I1152" s="26" t="s">
        <v>238</v>
      </c>
      <c r="J1152" s="2" t="s">
        <v>72</v>
      </c>
      <c r="K1152" s="141" t="s">
        <v>72</v>
      </c>
      <c r="L1152" s="141">
        <v>10022630</v>
      </c>
      <c r="M1152" s="26" t="s">
        <v>211</v>
      </c>
      <c r="N1152" s="2">
        <v>42809</v>
      </c>
      <c r="O1152" s="2">
        <v>42811</v>
      </c>
      <c r="P1152" s="133">
        <v>42851</v>
      </c>
      <c r="Q1152" s="6">
        <v>3</v>
      </c>
      <c r="R1152" s="6">
        <v>3</v>
      </c>
      <c r="S1152" s="6">
        <v>3</v>
      </c>
      <c r="T1152" s="6">
        <v>3</v>
      </c>
      <c r="U1152" s="6">
        <v>3</v>
      </c>
      <c r="V1152" s="6" t="s">
        <v>72</v>
      </c>
      <c r="W1152" s="5" t="s">
        <v>72</v>
      </c>
      <c r="X1152" s="6" t="s">
        <v>72</v>
      </c>
      <c r="Y1152" s="6" t="s">
        <v>72</v>
      </c>
      <c r="Z1152" s="6" t="s">
        <v>72</v>
      </c>
      <c r="AA1152" s="6" t="s">
        <v>72</v>
      </c>
      <c r="AB1152" s="6" t="s">
        <v>72</v>
      </c>
      <c r="AC1152" s="6" t="s">
        <v>208</v>
      </c>
    </row>
    <row r="1153" spans="1:29" x14ac:dyDescent="0.25">
      <c r="A1153" s="145" t="str">
        <f>HYPERLINK("http://www.ofsted.gov.uk/inspection-reports/find-inspection-report/provider/ELS/1237100","Ofsted Webpage")</f>
        <v>Ofsted Webpage</v>
      </c>
      <c r="B1153" s="151">
        <v>1237100</v>
      </c>
      <c r="C1153" s="151">
        <v>10037345</v>
      </c>
      <c r="D1153" s="46" t="s">
        <v>2879</v>
      </c>
      <c r="E1153" s="26" t="s">
        <v>78</v>
      </c>
      <c r="F1153" s="26" t="s">
        <v>79</v>
      </c>
      <c r="G1153" s="26" t="s">
        <v>367</v>
      </c>
      <c r="H1153" s="26" t="s">
        <v>175</v>
      </c>
      <c r="I1153" s="26" t="s">
        <v>175</v>
      </c>
      <c r="J1153" s="2" t="s">
        <v>72</v>
      </c>
      <c r="K1153" s="141" t="s">
        <v>72</v>
      </c>
      <c r="L1153" s="141" t="s">
        <v>72</v>
      </c>
      <c r="M1153" s="26" t="s">
        <v>72</v>
      </c>
      <c r="N1153" s="2" t="s">
        <v>72</v>
      </c>
      <c r="O1153" s="2" t="s">
        <v>72</v>
      </c>
      <c r="P1153" s="133" t="s">
        <v>72</v>
      </c>
      <c r="Q1153" s="6" t="s">
        <v>72</v>
      </c>
      <c r="R1153" s="6" t="s">
        <v>72</v>
      </c>
      <c r="S1153" s="6" t="s">
        <v>72</v>
      </c>
      <c r="T1153" s="6" t="s">
        <v>72</v>
      </c>
      <c r="U1153" s="6" t="s">
        <v>72</v>
      </c>
      <c r="V1153" s="6" t="s">
        <v>72</v>
      </c>
      <c r="W1153" s="5" t="s">
        <v>72</v>
      </c>
      <c r="X1153" s="6" t="s">
        <v>72</v>
      </c>
      <c r="Y1153" s="6" t="s">
        <v>72</v>
      </c>
      <c r="Z1153" s="6" t="s">
        <v>72</v>
      </c>
      <c r="AA1153" s="6" t="s">
        <v>72</v>
      </c>
      <c r="AB1153" s="6" t="s">
        <v>72</v>
      </c>
      <c r="AC1153" s="6" t="s">
        <v>72</v>
      </c>
    </row>
    <row r="1154" spans="1:29" x14ac:dyDescent="0.25">
      <c r="A1154" s="145" t="str">
        <f>HYPERLINK("http://www.ofsted.gov.uk/inspection-reports/find-inspection-report/provider/ELS/1237102","Ofsted Webpage")</f>
        <v>Ofsted Webpage</v>
      </c>
      <c r="B1154" s="151">
        <v>1237102</v>
      </c>
      <c r="C1154" s="151">
        <v>10025267</v>
      </c>
      <c r="D1154" s="46" t="s">
        <v>2756</v>
      </c>
      <c r="E1154" s="26" t="s">
        <v>78</v>
      </c>
      <c r="F1154" s="26" t="s">
        <v>79</v>
      </c>
      <c r="G1154" s="26" t="s">
        <v>234</v>
      </c>
      <c r="H1154" s="26" t="s">
        <v>175</v>
      </c>
      <c r="I1154" s="26" t="s">
        <v>175</v>
      </c>
      <c r="J1154" s="2" t="s">
        <v>72</v>
      </c>
      <c r="K1154" s="141" t="s">
        <v>72</v>
      </c>
      <c r="L1154" s="141" t="s">
        <v>72</v>
      </c>
      <c r="M1154" s="26" t="s">
        <v>72</v>
      </c>
      <c r="N1154" s="2" t="s">
        <v>72</v>
      </c>
      <c r="O1154" s="2" t="s">
        <v>72</v>
      </c>
      <c r="P1154" s="133" t="s">
        <v>72</v>
      </c>
      <c r="Q1154" s="6" t="s">
        <v>72</v>
      </c>
      <c r="R1154" s="6" t="s">
        <v>72</v>
      </c>
      <c r="S1154" s="6" t="s">
        <v>72</v>
      </c>
      <c r="T1154" s="6" t="s">
        <v>72</v>
      </c>
      <c r="U1154" s="6" t="s">
        <v>72</v>
      </c>
      <c r="V1154" s="6" t="s">
        <v>72</v>
      </c>
      <c r="W1154" s="5" t="s">
        <v>72</v>
      </c>
      <c r="X1154" s="6" t="s">
        <v>72</v>
      </c>
      <c r="Y1154" s="6" t="s">
        <v>72</v>
      </c>
      <c r="Z1154" s="6" t="s">
        <v>72</v>
      </c>
      <c r="AA1154" s="6" t="s">
        <v>72</v>
      </c>
      <c r="AB1154" s="6" t="s">
        <v>72</v>
      </c>
      <c r="AC1154" s="6" t="s">
        <v>72</v>
      </c>
    </row>
    <row r="1155" spans="1:29" x14ac:dyDescent="0.25">
      <c r="A1155" s="145" t="str">
        <f>HYPERLINK("http://www.ofsted.gov.uk/inspection-reports/find-inspection-report/provider/ELS/1237103","Ofsted Webpage")</f>
        <v>Ofsted Webpage</v>
      </c>
      <c r="B1155" s="151">
        <v>1237103</v>
      </c>
      <c r="C1155" s="151">
        <v>10023871</v>
      </c>
      <c r="D1155" s="46" t="s">
        <v>2757</v>
      </c>
      <c r="E1155" s="26" t="s">
        <v>78</v>
      </c>
      <c r="F1155" s="26" t="s">
        <v>79</v>
      </c>
      <c r="G1155" s="26" t="s">
        <v>477</v>
      </c>
      <c r="H1155" s="26" t="s">
        <v>287</v>
      </c>
      <c r="I1155" s="26" t="s">
        <v>287</v>
      </c>
      <c r="J1155" s="2" t="s">
        <v>72</v>
      </c>
      <c r="K1155" s="141" t="s">
        <v>72</v>
      </c>
      <c r="L1155" s="141" t="s">
        <v>72</v>
      </c>
      <c r="M1155" s="26" t="s">
        <v>72</v>
      </c>
      <c r="N1155" s="2" t="s">
        <v>72</v>
      </c>
      <c r="O1155" s="2" t="s">
        <v>72</v>
      </c>
      <c r="P1155" s="133" t="s">
        <v>72</v>
      </c>
      <c r="Q1155" s="6" t="s">
        <v>72</v>
      </c>
      <c r="R1155" s="6" t="s">
        <v>72</v>
      </c>
      <c r="S1155" s="6" t="s">
        <v>72</v>
      </c>
      <c r="T1155" s="6" t="s">
        <v>72</v>
      </c>
      <c r="U1155" s="6" t="s">
        <v>72</v>
      </c>
      <c r="V1155" s="6" t="s">
        <v>72</v>
      </c>
      <c r="W1155" s="5" t="s">
        <v>72</v>
      </c>
      <c r="X1155" s="6" t="s">
        <v>72</v>
      </c>
      <c r="Y1155" s="6" t="s">
        <v>72</v>
      </c>
      <c r="Z1155" s="6" t="s">
        <v>72</v>
      </c>
      <c r="AA1155" s="6" t="s">
        <v>72</v>
      </c>
      <c r="AB1155" s="6" t="s">
        <v>72</v>
      </c>
      <c r="AC1155" s="6" t="s">
        <v>72</v>
      </c>
    </row>
    <row r="1156" spans="1:29" x14ac:dyDescent="0.25">
      <c r="A1156" s="145" t="str">
        <f>HYPERLINK("http://www.ofsted.gov.uk/inspection-reports/find-inspection-report/provider/ELS/1237106","Ofsted Webpage")</f>
        <v>Ofsted Webpage</v>
      </c>
      <c r="B1156" s="151">
        <v>1237106</v>
      </c>
      <c r="C1156" s="151">
        <v>10018361</v>
      </c>
      <c r="D1156" s="46" t="s">
        <v>2758</v>
      </c>
      <c r="E1156" s="26" t="s">
        <v>78</v>
      </c>
      <c r="F1156" s="26" t="s">
        <v>79</v>
      </c>
      <c r="G1156" s="26" t="s">
        <v>336</v>
      </c>
      <c r="H1156" s="26" t="s">
        <v>175</v>
      </c>
      <c r="I1156" s="26" t="s">
        <v>175</v>
      </c>
      <c r="J1156" s="2" t="s">
        <v>72</v>
      </c>
      <c r="K1156" s="141" t="s">
        <v>72</v>
      </c>
      <c r="L1156" s="141" t="s">
        <v>72</v>
      </c>
      <c r="M1156" s="26" t="s">
        <v>72</v>
      </c>
      <c r="N1156" s="2" t="s">
        <v>72</v>
      </c>
      <c r="O1156" s="2" t="s">
        <v>72</v>
      </c>
      <c r="P1156" s="133" t="s">
        <v>72</v>
      </c>
      <c r="Q1156" s="6" t="s">
        <v>72</v>
      </c>
      <c r="R1156" s="6" t="s">
        <v>72</v>
      </c>
      <c r="S1156" s="6" t="s">
        <v>72</v>
      </c>
      <c r="T1156" s="6" t="s">
        <v>72</v>
      </c>
      <c r="U1156" s="6" t="s">
        <v>72</v>
      </c>
      <c r="V1156" s="6" t="s">
        <v>72</v>
      </c>
      <c r="W1156" s="5" t="s">
        <v>72</v>
      </c>
      <c r="X1156" s="6" t="s">
        <v>72</v>
      </c>
      <c r="Y1156" s="6" t="s">
        <v>72</v>
      </c>
      <c r="Z1156" s="6" t="s">
        <v>72</v>
      </c>
      <c r="AA1156" s="6" t="s">
        <v>72</v>
      </c>
      <c r="AB1156" s="6" t="s">
        <v>72</v>
      </c>
      <c r="AC1156" s="6" t="s">
        <v>72</v>
      </c>
    </row>
    <row r="1157" spans="1:29" x14ac:dyDescent="0.25">
      <c r="A1157" s="145" t="str">
        <f>HYPERLINK("http://www.ofsted.gov.uk/inspection-reports/find-inspection-report/provider/ELS/1237111","Ofsted Webpage")</f>
        <v>Ofsted Webpage</v>
      </c>
      <c r="B1157" s="151">
        <v>1237111</v>
      </c>
      <c r="C1157" s="151">
        <v>10031745</v>
      </c>
      <c r="D1157" s="46" t="s">
        <v>2956</v>
      </c>
      <c r="E1157" s="26" t="s">
        <v>78</v>
      </c>
      <c r="F1157" s="26" t="s">
        <v>79</v>
      </c>
      <c r="G1157" s="26" t="s">
        <v>250</v>
      </c>
      <c r="H1157" s="26" t="s">
        <v>175</v>
      </c>
      <c r="I1157" s="26" t="s">
        <v>175</v>
      </c>
      <c r="J1157" s="2" t="s">
        <v>72</v>
      </c>
      <c r="K1157" s="141" t="s">
        <v>72</v>
      </c>
      <c r="L1157" s="141" t="s">
        <v>72</v>
      </c>
      <c r="M1157" s="26" t="s">
        <v>72</v>
      </c>
      <c r="N1157" s="2" t="s">
        <v>72</v>
      </c>
      <c r="O1157" s="2" t="s">
        <v>72</v>
      </c>
      <c r="P1157" s="133" t="s">
        <v>72</v>
      </c>
      <c r="Q1157" s="6" t="s">
        <v>72</v>
      </c>
      <c r="R1157" s="6" t="s">
        <v>72</v>
      </c>
      <c r="S1157" s="6" t="s">
        <v>72</v>
      </c>
      <c r="T1157" s="6" t="s">
        <v>72</v>
      </c>
      <c r="U1157" s="6" t="s">
        <v>72</v>
      </c>
      <c r="V1157" s="6" t="s">
        <v>72</v>
      </c>
      <c r="W1157" s="5" t="s">
        <v>72</v>
      </c>
      <c r="X1157" s="6" t="s">
        <v>72</v>
      </c>
      <c r="Y1157" s="6" t="s">
        <v>72</v>
      </c>
      <c r="Z1157" s="6" t="s">
        <v>72</v>
      </c>
      <c r="AA1157" s="6" t="s">
        <v>72</v>
      </c>
      <c r="AB1157" s="6" t="s">
        <v>72</v>
      </c>
      <c r="AC1157" s="6" t="s">
        <v>72</v>
      </c>
    </row>
    <row r="1158" spans="1:29" x14ac:dyDescent="0.25">
      <c r="A1158" s="145" t="str">
        <f>HYPERLINK("http://www.ofsted.gov.uk/inspection-reports/find-inspection-report/provider/ELS/1237113","Ofsted Webpage")</f>
        <v>Ofsted Webpage</v>
      </c>
      <c r="B1158" s="151">
        <v>1237113</v>
      </c>
      <c r="C1158" s="151">
        <v>10032396</v>
      </c>
      <c r="D1158" s="46" t="s">
        <v>2759</v>
      </c>
      <c r="E1158" s="26" t="s">
        <v>78</v>
      </c>
      <c r="F1158" s="26" t="s">
        <v>79</v>
      </c>
      <c r="G1158" s="26" t="s">
        <v>469</v>
      </c>
      <c r="H1158" s="26" t="s">
        <v>187</v>
      </c>
      <c r="I1158" s="26" t="s">
        <v>188</v>
      </c>
      <c r="J1158" s="2" t="s">
        <v>72</v>
      </c>
      <c r="K1158" s="141" t="s">
        <v>72</v>
      </c>
      <c r="L1158" s="141" t="s">
        <v>72</v>
      </c>
      <c r="M1158" s="26" t="s">
        <v>72</v>
      </c>
      <c r="N1158" s="2" t="s">
        <v>72</v>
      </c>
      <c r="O1158" s="2" t="s">
        <v>72</v>
      </c>
      <c r="P1158" s="133" t="s">
        <v>72</v>
      </c>
      <c r="Q1158" s="6" t="s">
        <v>72</v>
      </c>
      <c r="R1158" s="6" t="s">
        <v>72</v>
      </c>
      <c r="S1158" s="6" t="s">
        <v>72</v>
      </c>
      <c r="T1158" s="6" t="s">
        <v>72</v>
      </c>
      <c r="U1158" s="6" t="s">
        <v>72</v>
      </c>
      <c r="V1158" s="6" t="s">
        <v>72</v>
      </c>
      <c r="W1158" s="5" t="s">
        <v>72</v>
      </c>
      <c r="X1158" s="6" t="s">
        <v>72</v>
      </c>
      <c r="Y1158" s="6" t="s">
        <v>72</v>
      </c>
      <c r="Z1158" s="6" t="s">
        <v>72</v>
      </c>
      <c r="AA1158" s="6" t="s">
        <v>72</v>
      </c>
      <c r="AB1158" s="6" t="s">
        <v>72</v>
      </c>
      <c r="AC1158" s="6" t="s">
        <v>72</v>
      </c>
    </row>
    <row r="1159" spans="1:29" x14ac:dyDescent="0.25">
      <c r="A1159" s="145" t="str">
        <f>HYPERLINK("http://www.ofsted.gov.uk/inspection-reports/find-inspection-report/provider/ELS/1237116","Ofsted Webpage")</f>
        <v>Ofsted Webpage</v>
      </c>
      <c r="B1159" s="151">
        <v>1237116</v>
      </c>
      <c r="C1159" s="151">
        <v>10035301</v>
      </c>
      <c r="D1159" s="46" t="s">
        <v>2760</v>
      </c>
      <c r="E1159" s="26" t="s">
        <v>78</v>
      </c>
      <c r="F1159" s="26" t="s">
        <v>79</v>
      </c>
      <c r="G1159" s="26" t="s">
        <v>477</v>
      </c>
      <c r="H1159" s="26" t="s">
        <v>287</v>
      </c>
      <c r="I1159" s="26" t="s">
        <v>287</v>
      </c>
      <c r="J1159" s="2" t="s">
        <v>72</v>
      </c>
      <c r="K1159" s="141" t="s">
        <v>72</v>
      </c>
      <c r="L1159" s="141" t="s">
        <v>72</v>
      </c>
      <c r="M1159" s="26" t="s">
        <v>72</v>
      </c>
      <c r="N1159" s="2" t="s">
        <v>72</v>
      </c>
      <c r="O1159" s="2" t="s">
        <v>72</v>
      </c>
      <c r="P1159" s="133" t="s">
        <v>72</v>
      </c>
      <c r="Q1159" s="6" t="s">
        <v>72</v>
      </c>
      <c r="R1159" s="6" t="s">
        <v>72</v>
      </c>
      <c r="S1159" s="6" t="s">
        <v>72</v>
      </c>
      <c r="T1159" s="6" t="s">
        <v>72</v>
      </c>
      <c r="U1159" s="6" t="s">
        <v>72</v>
      </c>
      <c r="V1159" s="6" t="s">
        <v>72</v>
      </c>
      <c r="W1159" s="5" t="s">
        <v>72</v>
      </c>
      <c r="X1159" s="6" t="s">
        <v>72</v>
      </c>
      <c r="Y1159" s="6" t="s">
        <v>72</v>
      </c>
      <c r="Z1159" s="6" t="s">
        <v>72</v>
      </c>
      <c r="AA1159" s="6" t="s">
        <v>72</v>
      </c>
      <c r="AB1159" s="6" t="s">
        <v>72</v>
      </c>
      <c r="AC1159" s="6" t="s">
        <v>72</v>
      </c>
    </row>
    <row r="1160" spans="1:29" x14ac:dyDescent="0.25">
      <c r="A1160" s="145" t="str">
        <f>HYPERLINK("http://www.ofsted.gov.uk/inspection-reports/find-inspection-report/provider/ELS/1237118","Ofsted Webpage")</f>
        <v>Ofsted Webpage</v>
      </c>
      <c r="B1160" s="151">
        <v>1237118</v>
      </c>
      <c r="C1160" s="151">
        <v>10022133</v>
      </c>
      <c r="D1160" s="46" t="s">
        <v>2761</v>
      </c>
      <c r="E1160" s="26" t="s">
        <v>78</v>
      </c>
      <c r="F1160" s="26" t="s">
        <v>79</v>
      </c>
      <c r="G1160" s="26" t="s">
        <v>851</v>
      </c>
      <c r="H1160" s="26" t="s">
        <v>238</v>
      </c>
      <c r="I1160" s="26" t="s">
        <v>238</v>
      </c>
      <c r="J1160" s="2" t="s">
        <v>72</v>
      </c>
      <c r="K1160" s="141" t="s">
        <v>72</v>
      </c>
      <c r="L1160" s="141">
        <v>10030762</v>
      </c>
      <c r="M1160" s="26" t="s">
        <v>211</v>
      </c>
      <c r="N1160" s="2">
        <v>42878</v>
      </c>
      <c r="O1160" s="2">
        <v>42879</v>
      </c>
      <c r="P1160" s="133">
        <v>42913</v>
      </c>
      <c r="Q1160" s="6">
        <v>4</v>
      </c>
      <c r="R1160" s="6">
        <v>4</v>
      </c>
      <c r="S1160" s="6">
        <v>4</v>
      </c>
      <c r="T1160" s="6">
        <v>4</v>
      </c>
      <c r="U1160" s="6">
        <v>4</v>
      </c>
      <c r="V1160" s="6" t="s">
        <v>72</v>
      </c>
      <c r="W1160" s="5" t="s">
        <v>72</v>
      </c>
      <c r="X1160" s="6" t="s">
        <v>72</v>
      </c>
      <c r="Y1160" s="6" t="s">
        <v>72</v>
      </c>
      <c r="Z1160" s="6" t="s">
        <v>72</v>
      </c>
      <c r="AA1160" s="6" t="s">
        <v>72</v>
      </c>
      <c r="AB1160" s="6" t="s">
        <v>72</v>
      </c>
      <c r="AC1160" s="6" t="s">
        <v>208</v>
      </c>
    </row>
    <row r="1161" spans="1:29" x14ac:dyDescent="0.25">
      <c r="A1161" s="145" t="str">
        <f>HYPERLINK("http://www.ofsted.gov.uk/inspection-reports/find-inspection-report/provider/ELS/1237120","Ofsted Webpage")</f>
        <v>Ofsted Webpage</v>
      </c>
      <c r="B1161" s="151">
        <v>1237120</v>
      </c>
      <c r="C1161" s="151">
        <v>10021303</v>
      </c>
      <c r="D1161" s="46" t="s">
        <v>2957</v>
      </c>
      <c r="E1161" s="26" t="s">
        <v>78</v>
      </c>
      <c r="F1161" s="26" t="s">
        <v>79</v>
      </c>
      <c r="G1161" s="26" t="s">
        <v>203</v>
      </c>
      <c r="H1161" s="26" t="s">
        <v>204</v>
      </c>
      <c r="I1161" s="26" t="s">
        <v>188</v>
      </c>
      <c r="J1161" s="2" t="s">
        <v>72</v>
      </c>
      <c r="K1161" s="141" t="s">
        <v>72</v>
      </c>
      <c r="L1161" s="141" t="s">
        <v>72</v>
      </c>
      <c r="M1161" s="26" t="s">
        <v>72</v>
      </c>
      <c r="N1161" s="2" t="s">
        <v>72</v>
      </c>
      <c r="O1161" s="2" t="s">
        <v>72</v>
      </c>
      <c r="P1161" s="133" t="s">
        <v>72</v>
      </c>
      <c r="Q1161" s="6" t="s">
        <v>72</v>
      </c>
      <c r="R1161" s="6" t="s">
        <v>72</v>
      </c>
      <c r="S1161" s="6" t="s">
        <v>72</v>
      </c>
      <c r="T1161" s="6" t="s">
        <v>72</v>
      </c>
      <c r="U1161" s="6" t="s">
        <v>72</v>
      </c>
      <c r="V1161" s="6" t="s">
        <v>72</v>
      </c>
      <c r="W1161" s="5" t="s">
        <v>72</v>
      </c>
      <c r="X1161" s="6" t="s">
        <v>72</v>
      </c>
      <c r="Y1161" s="6" t="s">
        <v>72</v>
      </c>
      <c r="Z1161" s="6" t="s">
        <v>72</v>
      </c>
      <c r="AA1161" s="6" t="s">
        <v>72</v>
      </c>
      <c r="AB1161" s="6" t="s">
        <v>72</v>
      </c>
      <c r="AC1161" s="6" t="s">
        <v>72</v>
      </c>
    </row>
    <row r="1162" spans="1:29" x14ac:dyDescent="0.25">
      <c r="A1162" s="145" t="str">
        <f>HYPERLINK("http://www.ofsted.gov.uk/inspection-reports/find-inspection-report/provider/ELS/1237124","Ofsted Webpage")</f>
        <v>Ofsted Webpage</v>
      </c>
      <c r="B1162" s="151">
        <v>1237124</v>
      </c>
      <c r="C1162" s="151">
        <v>10027803</v>
      </c>
      <c r="D1162" s="46" t="s">
        <v>2762</v>
      </c>
      <c r="E1162" s="26" t="s">
        <v>78</v>
      </c>
      <c r="F1162" s="26" t="s">
        <v>79</v>
      </c>
      <c r="G1162" s="26" t="s">
        <v>250</v>
      </c>
      <c r="H1162" s="26" t="s">
        <v>175</v>
      </c>
      <c r="I1162" s="26" t="s">
        <v>175</v>
      </c>
      <c r="J1162" s="2" t="s">
        <v>72</v>
      </c>
      <c r="K1162" s="141" t="s">
        <v>72</v>
      </c>
      <c r="L1162" s="141" t="s">
        <v>72</v>
      </c>
      <c r="M1162" s="26" t="s">
        <v>72</v>
      </c>
      <c r="N1162" s="2" t="s">
        <v>72</v>
      </c>
      <c r="O1162" s="2" t="s">
        <v>72</v>
      </c>
      <c r="P1162" s="133" t="s">
        <v>72</v>
      </c>
      <c r="Q1162" s="6" t="s">
        <v>72</v>
      </c>
      <c r="R1162" s="6" t="s">
        <v>72</v>
      </c>
      <c r="S1162" s="6" t="s">
        <v>72</v>
      </c>
      <c r="T1162" s="6" t="s">
        <v>72</v>
      </c>
      <c r="U1162" s="6" t="s">
        <v>72</v>
      </c>
      <c r="V1162" s="6" t="s">
        <v>72</v>
      </c>
      <c r="W1162" s="5" t="s">
        <v>72</v>
      </c>
      <c r="X1162" s="6" t="s">
        <v>72</v>
      </c>
      <c r="Y1162" s="6" t="s">
        <v>72</v>
      </c>
      <c r="Z1162" s="6" t="s">
        <v>72</v>
      </c>
      <c r="AA1162" s="6" t="s">
        <v>72</v>
      </c>
      <c r="AB1162" s="6" t="s">
        <v>72</v>
      </c>
      <c r="AC1162" s="6" t="s">
        <v>72</v>
      </c>
    </row>
    <row r="1163" spans="1:29" x14ac:dyDescent="0.25">
      <c r="A1163" s="145" t="str">
        <f>HYPERLINK("http://www.ofsted.gov.uk/inspection-reports/find-inspection-report/provider/ELS/1237126","Ofsted Webpage")</f>
        <v>Ofsted Webpage</v>
      </c>
      <c r="B1163" s="151">
        <v>1237126</v>
      </c>
      <c r="C1163" s="151">
        <v>10027935</v>
      </c>
      <c r="D1163" s="46" t="s">
        <v>2958</v>
      </c>
      <c r="E1163" s="26" t="s">
        <v>78</v>
      </c>
      <c r="F1163" s="26" t="s">
        <v>79</v>
      </c>
      <c r="G1163" s="26" t="s">
        <v>2959</v>
      </c>
      <c r="H1163" s="26" t="s">
        <v>2441</v>
      </c>
      <c r="I1163" s="26" t="s">
        <v>214</v>
      </c>
      <c r="J1163" s="2" t="s">
        <v>72</v>
      </c>
      <c r="K1163" s="141" t="s">
        <v>72</v>
      </c>
      <c r="L1163" s="141" t="s">
        <v>72</v>
      </c>
      <c r="M1163" s="26" t="s">
        <v>72</v>
      </c>
      <c r="N1163" s="2" t="s">
        <v>72</v>
      </c>
      <c r="O1163" s="2" t="s">
        <v>72</v>
      </c>
      <c r="P1163" s="133" t="s">
        <v>72</v>
      </c>
      <c r="Q1163" s="6" t="s">
        <v>72</v>
      </c>
      <c r="R1163" s="6" t="s">
        <v>72</v>
      </c>
      <c r="S1163" s="6" t="s">
        <v>72</v>
      </c>
      <c r="T1163" s="6" t="s">
        <v>72</v>
      </c>
      <c r="U1163" s="6" t="s">
        <v>72</v>
      </c>
      <c r="V1163" s="6" t="s">
        <v>72</v>
      </c>
      <c r="W1163" s="5" t="s">
        <v>72</v>
      </c>
      <c r="X1163" s="6" t="s">
        <v>72</v>
      </c>
      <c r="Y1163" s="6" t="s">
        <v>72</v>
      </c>
      <c r="Z1163" s="6" t="s">
        <v>72</v>
      </c>
      <c r="AA1163" s="6" t="s">
        <v>72</v>
      </c>
      <c r="AB1163" s="6" t="s">
        <v>72</v>
      </c>
      <c r="AC1163" s="6" t="s">
        <v>72</v>
      </c>
    </row>
    <row r="1164" spans="1:29" x14ac:dyDescent="0.25">
      <c r="A1164" s="145" t="str">
        <f>HYPERLINK("http://www.ofsted.gov.uk/inspection-reports/find-inspection-report/provider/ELS/1237128","Ofsted Webpage")</f>
        <v>Ofsted Webpage</v>
      </c>
      <c r="B1164" s="151">
        <v>1237128</v>
      </c>
      <c r="C1164" s="151">
        <v>10028094</v>
      </c>
      <c r="D1164" s="46" t="s">
        <v>2763</v>
      </c>
      <c r="E1164" s="26" t="s">
        <v>78</v>
      </c>
      <c r="F1164" s="26" t="s">
        <v>79</v>
      </c>
      <c r="G1164" s="26" t="s">
        <v>723</v>
      </c>
      <c r="H1164" s="26" t="s">
        <v>204</v>
      </c>
      <c r="I1164" s="26" t="s">
        <v>188</v>
      </c>
      <c r="J1164" s="2" t="s">
        <v>72</v>
      </c>
      <c r="K1164" s="141" t="s">
        <v>72</v>
      </c>
      <c r="L1164" s="141">
        <v>10037428</v>
      </c>
      <c r="M1164" s="26" t="s">
        <v>211</v>
      </c>
      <c r="N1164" s="2">
        <v>43040</v>
      </c>
      <c r="O1164" s="2">
        <v>43042</v>
      </c>
      <c r="P1164" s="133">
        <v>43077</v>
      </c>
      <c r="Q1164" s="6">
        <v>3</v>
      </c>
      <c r="R1164" s="6">
        <v>3</v>
      </c>
      <c r="S1164" s="6">
        <v>3</v>
      </c>
      <c r="T1164" s="6">
        <v>3</v>
      </c>
      <c r="U1164" s="6">
        <v>3</v>
      </c>
      <c r="V1164" s="6" t="s">
        <v>72</v>
      </c>
      <c r="W1164" s="5" t="s">
        <v>72</v>
      </c>
      <c r="X1164" s="6" t="s">
        <v>72</v>
      </c>
      <c r="Y1164" s="6" t="s">
        <v>72</v>
      </c>
      <c r="Z1164" s="6" t="s">
        <v>72</v>
      </c>
      <c r="AA1164" s="6" t="s">
        <v>72</v>
      </c>
      <c r="AB1164" s="6" t="s">
        <v>72</v>
      </c>
      <c r="AC1164" s="6" t="s">
        <v>208</v>
      </c>
    </row>
    <row r="1165" spans="1:29" x14ac:dyDescent="0.25">
      <c r="A1165" s="145" t="str">
        <f>HYPERLINK("http://www.ofsted.gov.uk/inspection-reports/find-inspection-report/provider/ELS/1237130","Ofsted Webpage")</f>
        <v>Ofsted Webpage</v>
      </c>
      <c r="B1165" s="151">
        <v>1237130</v>
      </c>
      <c r="C1165" s="151">
        <v>10032147</v>
      </c>
      <c r="D1165" s="46" t="s">
        <v>2409</v>
      </c>
      <c r="E1165" s="26" t="s">
        <v>78</v>
      </c>
      <c r="F1165" s="26" t="s">
        <v>79</v>
      </c>
      <c r="G1165" s="26" t="s">
        <v>367</v>
      </c>
      <c r="H1165" s="26" t="s">
        <v>175</v>
      </c>
      <c r="I1165" s="26" t="s">
        <v>175</v>
      </c>
      <c r="J1165" s="2" t="s">
        <v>72</v>
      </c>
      <c r="K1165" s="141" t="s">
        <v>72</v>
      </c>
      <c r="L1165" s="141" t="s">
        <v>72</v>
      </c>
      <c r="M1165" s="26" t="s">
        <v>72</v>
      </c>
      <c r="N1165" s="2" t="s">
        <v>72</v>
      </c>
      <c r="O1165" s="2" t="s">
        <v>72</v>
      </c>
      <c r="P1165" s="133" t="s">
        <v>72</v>
      </c>
      <c r="Q1165" s="6" t="s">
        <v>72</v>
      </c>
      <c r="R1165" s="6" t="s">
        <v>72</v>
      </c>
      <c r="S1165" s="6" t="s">
        <v>72</v>
      </c>
      <c r="T1165" s="6" t="s">
        <v>72</v>
      </c>
      <c r="U1165" s="6" t="s">
        <v>72</v>
      </c>
      <c r="V1165" s="6" t="s">
        <v>72</v>
      </c>
      <c r="W1165" s="5" t="s">
        <v>72</v>
      </c>
      <c r="X1165" s="6" t="s">
        <v>72</v>
      </c>
      <c r="Y1165" s="6" t="s">
        <v>72</v>
      </c>
      <c r="Z1165" s="6" t="s">
        <v>72</v>
      </c>
      <c r="AA1165" s="6" t="s">
        <v>72</v>
      </c>
      <c r="AB1165" s="6" t="s">
        <v>72</v>
      </c>
      <c r="AC1165" s="6" t="s">
        <v>72</v>
      </c>
    </row>
    <row r="1166" spans="1:29" x14ac:dyDescent="0.25">
      <c r="A1166" s="145" t="str">
        <f>HYPERLINK("http://www.ofsted.gov.uk/inspection-reports/find-inspection-report/provider/ELS/1237132","Ofsted Webpage")</f>
        <v>Ofsted Webpage</v>
      </c>
      <c r="B1166" s="151">
        <v>1237132</v>
      </c>
      <c r="C1166" s="151">
        <v>10023492</v>
      </c>
      <c r="D1166" s="46" t="s">
        <v>2410</v>
      </c>
      <c r="E1166" s="26" t="s">
        <v>78</v>
      </c>
      <c r="F1166" s="26" t="s">
        <v>79</v>
      </c>
      <c r="G1166" s="26" t="s">
        <v>361</v>
      </c>
      <c r="H1166" s="26" t="s">
        <v>198</v>
      </c>
      <c r="I1166" s="26" t="s">
        <v>198</v>
      </c>
      <c r="J1166" s="2" t="s">
        <v>72</v>
      </c>
      <c r="K1166" s="141" t="s">
        <v>72</v>
      </c>
      <c r="L1166" s="141" t="s">
        <v>72</v>
      </c>
      <c r="M1166" s="26" t="s">
        <v>72</v>
      </c>
      <c r="N1166" s="2" t="s">
        <v>72</v>
      </c>
      <c r="O1166" s="2" t="s">
        <v>72</v>
      </c>
      <c r="P1166" s="133" t="s">
        <v>72</v>
      </c>
      <c r="Q1166" s="6" t="s">
        <v>72</v>
      </c>
      <c r="R1166" s="6" t="s">
        <v>72</v>
      </c>
      <c r="S1166" s="6" t="s">
        <v>72</v>
      </c>
      <c r="T1166" s="6" t="s">
        <v>72</v>
      </c>
      <c r="U1166" s="6" t="s">
        <v>72</v>
      </c>
      <c r="V1166" s="6" t="s">
        <v>72</v>
      </c>
      <c r="W1166" s="5" t="s">
        <v>72</v>
      </c>
      <c r="X1166" s="6" t="s">
        <v>72</v>
      </c>
      <c r="Y1166" s="6" t="s">
        <v>72</v>
      </c>
      <c r="Z1166" s="6" t="s">
        <v>72</v>
      </c>
      <c r="AA1166" s="6" t="s">
        <v>72</v>
      </c>
      <c r="AB1166" s="6" t="s">
        <v>72</v>
      </c>
      <c r="AC1166" s="6" t="s">
        <v>72</v>
      </c>
    </row>
    <row r="1167" spans="1:29" x14ac:dyDescent="0.25">
      <c r="A1167" s="145" t="str">
        <f>HYPERLINK("http://www.ofsted.gov.uk/inspection-reports/find-inspection-report/provider/ELS/1237135","Ofsted Webpage")</f>
        <v>Ofsted Webpage</v>
      </c>
      <c r="B1167" s="151">
        <v>1237135</v>
      </c>
      <c r="C1167" s="151">
        <v>10032250</v>
      </c>
      <c r="D1167" s="46" t="s">
        <v>2411</v>
      </c>
      <c r="E1167" s="26" t="s">
        <v>78</v>
      </c>
      <c r="F1167" s="26" t="s">
        <v>79</v>
      </c>
      <c r="G1167" s="26" t="s">
        <v>234</v>
      </c>
      <c r="H1167" s="26" t="s">
        <v>175</v>
      </c>
      <c r="I1167" s="26" t="s">
        <v>175</v>
      </c>
      <c r="J1167" s="2" t="s">
        <v>72</v>
      </c>
      <c r="K1167" s="141" t="s">
        <v>72</v>
      </c>
      <c r="L1167" s="141" t="s">
        <v>72</v>
      </c>
      <c r="M1167" s="26" t="s">
        <v>72</v>
      </c>
      <c r="N1167" s="2" t="s">
        <v>72</v>
      </c>
      <c r="O1167" s="2" t="s">
        <v>72</v>
      </c>
      <c r="P1167" s="133" t="s">
        <v>72</v>
      </c>
      <c r="Q1167" s="6" t="s">
        <v>72</v>
      </c>
      <c r="R1167" s="6" t="s">
        <v>72</v>
      </c>
      <c r="S1167" s="6" t="s">
        <v>72</v>
      </c>
      <c r="T1167" s="6" t="s">
        <v>72</v>
      </c>
      <c r="U1167" s="6" t="s">
        <v>72</v>
      </c>
      <c r="V1167" s="6" t="s">
        <v>72</v>
      </c>
      <c r="W1167" s="5" t="s">
        <v>72</v>
      </c>
      <c r="X1167" s="6" t="s">
        <v>72</v>
      </c>
      <c r="Y1167" s="6" t="s">
        <v>72</v>
      </c>
      <c r="Z1167" s="6" t="s">
        <v>72</v>
      </c>
      <c r="AA1167" s="6" t="s">
        <v>72</v>
      </c>
      <c r="AB1167" s="6" t="s">
        <v>72</v>
      </c>
      <c r="AC1167" s="6" t="s">
        <v>72</v>
      </c>
    </row>
    <row r="1168" spans="1:29" x14ac:dyDescent="0.25">
      <c r="A1168" s="145" t="str">
        <f>HYPERLINK("http://www.ofsted.gov.uk/inspection-reports/find-inspection-report/provider/ELS/1237137","Ofsted Webpage")</f>
        <v>Ofsted Webpage</v>
      </c>
      <c r="B1168" s="151">
        <v>1237137</v>
      </c>
      <c r="C1168" s="151">
        <v>10028909</v>
      </c>
      <c r="D1168" s="46" t="s">
        <v>2412</v>
      </c>
      <c r="E1168" s="26" t="s">
        <v>78</v>
      </c>
      <c r="F1168" s="26" t="s">
        <v>79</v>
      </c>
      <c r="G1168" s="26" t="s">
        <v>291</v>
      </c>
      <c r="H1168" s="26" t="s">
        <v>175</v>
      </c>
      <c r="I1168" s="26" t="s">
        <v>175</v>
      </c>
      <c r="J1168" s="2" t="s">
        <v>72</v>
      </c>
      <c r="K1168" s="141" t="s">
        <v>72</v>
      </c>
      <c r="L1168" s="141" t="s">
        <v>72</v>
      </c>
      <c r="M1168" s="26" t="s">
        <v>72</v>
      </c>
      <c r="N1168" s="2" t="s">
        <v>72</v>
      </c>
      <c r="O1168" s="2" t="s">
        <v>72</v>
      </c>
      <c r="P1168" s="133" t="s">
        <v>72</v>
      </c>
      <c r="Q1168" s="6" t="s">
        <v>72</v>
      </c>
      <c r="R1168" s="6" t="s">
        <v>72</v>
      </c>
      <c r="S1168" s="6" t="s">
        <v>72</v>
      </c>
      <c r="T1168" s="6" t="s">
        <v>72</v>
      </c>
      <c r="U1168" s="6" t="s">
        <v>72</v>
      </c>
      <c r="V1168" s="6" t="s">
        <v>72</v>
      </c>
      <c r="W1168" s="5" t="s">
        <v>72</v>
      </c>
      <c r="X1168" s="6" t="s">
        <v>72</v>
      </c>
      <c r="Y1168" s="6" t="s">
        <v>72</v>
      </c>
      <c r="Z1168" s="6" t="s">
        <v>72</v>
      </c>
      <c r="AA1168" s="6" t="s">
        <v>72</v>
      </c>
      <c r="AB1168" s="6" t="s">
        <v>72</v>
      </c>
      <c r="AC1168" s="6" t="s">
        <v>72</v>
      </c>
    </row>
    <row r="1169" spans="1:29" x14ac:dyDescent="0.25">
      <c r="A1169" s="145" t="str">
        <f>HYPERLINK("http://www.ofsted.gov.uk/inspection-reports/find-inspection-report/provider/ELS/1237139","Ofsted Webpage")</f>
        <v>Ofsted Webpage</v>
      </c>
      <c r="B1169" s="151">
        <v>1237139</v>
      </c>
      <c r="C1169" s="151">
        <v>10027518</v>
      </c>
      <c r="D1169" s="46" t="s">
        <v>2413</v>
      </c>
      <c r="E1169" s="26" t="s">
        <v>78</v>
      </c>
      <c r="F1169" s="26" t="s">
        <v>79</v>
      </c>
      <c r="G1169" s="26" t="s">
        <v>1137</v>
      </c>
      <c r="H1169" s="26" t="s">
        <v>175</v>
      </c>
      <c r="I1169" s="26" t="s">
        <v>175</v>
      </c>
      <c r="J1169" s="2" t="s">
        <v>72</v>
      </c>
      <c r="K1169" s="141" t="s">
        <v>72</v>
      </c>
      <c r="L1169" s="141" t="s">
        <v>72</v>
      </c>
      <c r="M1169" s="26" t="s">
        <v>72</v>
      </c>
      <c r="N1169" s="2" t="s">
        <v>72</v>
      </c>
      <c r="O1169" s="2" t="s">
        <v>72</v>
      </c>
      <c r="P1169" s="133" t="s">
        <v>72</v>
      </c>
      <c r="Q1169" s="6" t="s">
        <v>72</v>
      </c>
      <c r="R1169" s="6" t="s">
        <v>72</v>
      </c>
      <c r="S1169" s="6" t="s">
        <v>72</v>
      </c>
      <c r="T1169" s="6" t="s">
        <v>72</v>
      </c>
      <c r="U1169" s="6" t="s">
        <v>72</v>
      </c>
      <c r="V1169" s="6" t="s">
        <v>72</v>
      </c>
      <c r="W1169" s="5" t="s">
        <v>72</v>
      </c>
      <c r="X1169" s="6" t="s">
        <v>72</v>
      </c>
      <c r="Y1169" s="6" t="s">
        <v>72</v>
      </c>
      <c r="Z1169" s="6" t="s">
        <v>72</v>
      </c>
      <c r="AA1169" s="6" t="s">
        <v>72</v>
      </c>
      <c r="AB1169" s="6" t="s">
        <v>72</v>
      </c>
      <c r="AC1169" s="6" t="s">
        <v>72</v>
      </c>
    </row>
    <row r="1170" spans="1:29" x14ac:dyDescent="0.25">
      <c r="A1170" s="145" t="str">
        <f>HYPERLINK("http://www.ofsted.gov.uk/inspection-reports/find-inspection-report/provider/ELS/1237195","Ofsted Webpage")</f>
        <v>Ofsted Webpage</v>
      </c>
      <c r="B1170" s="151">
        <v>1237195</v>
      </c>
      <c r="C1170" s="151">
        <v>10028965</v>
      </c>
      <c r="D1170" s="46" t="s">
        <v>2414</v>
      </c>
      <c r="E1170" s="26" t="s">
        <v>78</v>
      </c>
      <c r="F1170" s="26" t="s">
        <v>79</v>
      </c>
      <c r="G1170" s="26" t="s">
        <v>345</v>
      </c>
      <c r="H1170" s="26" t="s">
        <v>175</v>
      </c>
      <c r="I1170" s="26" t="s">
        <v>175</v>
      </c>
      <c r="J1170" s="2" t="s">
        <v>72</v>
      </c>
      <c r="K1170" s="141" t="s">
        <v>72</v>
      </c>
      <c r="L1170" s="141" t="s">
        <v>72</v>
      </c>
      <c r="M1170" s="26" t="s">
        <v>72</v>
      </c>
      <c r="N1170" s="2" t="s">
        <v>72</v>
      </c>
      <c r="O1170" s="2" t="s">
        <v>72</v>
      </c>
      <c r="P1170" s="133" t="s">
        <v>72</v>
      </c>
      <c r="Q1170" s="6" t="s">
        <v>72</v>
      </c>
      <c r="R1170" s="6" t="s">
        <v>72</v>
      </c>
      <c r="S1170" s="6" t="s">
        <v>72</v>
      </c>
      <c r="T1170" s="6" t="s">
        <v>72</v>
      </c>
      <c r="U1170" s="6" t="s">
        <v>72</v>
      </c>
      <c r="V1170" s="6" t="s">
        <v>72</v>
      </c>
      <c r="W1170" s="5" t="s">
        <v>72</v>
      </c>
      <c r="X1170" s="6" t="s">
        <v>72</v>
      </c>
      <c r="Y1170" s="6" t="s">
        <v>72</v>
      </c>
      <c r="Z1170" s="6" t="s">
        <v>72</v>
      </c>
      <c r="AA1170" s="6" t="s">
        <v>72</v>
      </c>
      <c r="AB1170" s="6" t="s">
        <v>72</v>
      </c>
      <c r="AC1170" s="6" t="s">
        <v>72</v>
      </c>
    </row>
    <row r="1171" spans="1:29" x14ac:dyDescent="0.25">
      <c r="A1171" s="145" t="str">
        <f>HYPERLINK("http://www.ofsted.gov.uk/inspection-reports/find-inspection-report/provider/ELS/1237197","Ofsted Webpage")</f>
        <v>Ofsted Webpage</v>
      </c>
      <c r="B1171" s="151">
        <v>1237197</v>
      </c>
      <c r="C1171" s="151">
        <v>10038077</v>
      </c>
      <c r="D1171" s="46" t="s">
        <v>2415</v>
      </c>
      <c r="E1171" s="26" t="s">
        <v>78</v>
      </c>
      <c r="F1171" s="26" t="s">
        <v>79</v>
      </c>
      <c r="G1171" s="26" t="s">
        <v>302</v>
      </c>
      <c r="H1171" s="26" t="s">
        <v>219</v>
      </c>
      <c r="I1171" s="26" t="s">
        <v>219</v>
      </c>
      <c r="J1171" s="2" t="s">
        <v>72</v>
      </c>
      <c r="K1171" s="141" t="s">
        <v>72</v>
      </c>
      <c r="L1171" s="141">
        <v>10022534</v>
      </c>
      <c r="M1171" s="26" t="s">
        <v>211</v>
      </c>
      <c r="N1171" s="2">
        <v>42815</v>
      </c>
      <c r="O1171" s="2">
        <v>42817</v>
      </c>
      <c r="P1171" s="133">
        <v>42837</v>
      </c>
      <c r="Q1171" s="6">
        <v>2</v>
      </c>
      <c r="R1171" s="6">
        <v>2</v>
      </c>
      <c r="S1171" s="6">
        <v>2</v>
      </c>
      <c r="T1171" s="6">
        <v>2</v>
      </c>
      <c r="U1171" s="6">
        <v>2</v>
      </c>
      <c r="V1171" s="6" t="s">
        <v>72</v>
      </c>
      <c r="W1171" s="5" t="s">
        <v>72</v>
      </c>
      <c r="X1171" s="6" t="s">
        <v>72</v>
      </c>
      <c r="Y1171" s="6" t="s">
        <v>72</v>
      </c>
      <c r="Z1171" s="6" t="s">
        <v>72</v>
      </c>
      <c r="AA1171" s="6" t="s">
        <v>72</v>
      </c>
      <c r="AB1171" s="6" t="s">
        <v>72</v>
      </c>
      <c r="AC1171" s="6" t="s">
        <v>208</v>
      </c>
    </row>
    <row r="1172" spans="1:29" x14ac:dyDescent="0.25">
      <c r="A1172" s="145" t="str">
        <f>HYPERLINK("http://www.ofsted.gov.uk/inspection-reports/find-inspection-report/provider/ELS/1237200","Ofsted Webpage")</f>
        <v>Ofsted Webpage</v>
      </c>
      <c r="B1172" s="151">
        <v>1237200</v>
      </c>
      <c r="C1172" s="151">
        <v>10042149</v>
      </c>
      <c r="D1172" s="46" t="s">
        <v>2416</v>
      </c>
      <c r="E1172" s="26" t="s">
        <v>78</v>
      </c>
      <c r="F1172" s="26" t="s">
        <v>79</v>
      </c>
      <c r="G1172" s="26" t="s">
        <v>604</v>
      </c>
      <c r="H1172" s="26" t="s">
        <v>287</v>
      </c>
      <c r="I1172" s="26" t="s">
        <v>287</v>
      </c>
      <c r="J1172" s="2" t="s">
        <v>72</v>
      </c>
      <c r="K1172" s="141" t="s">
        <v>72</v>
      </c>
      <c r="L1172" s="141">
        <v>10022604</v>
      </c>
      <c r="M1172" s="26" t="s">
        <v>211</v>
      </c>
      <c r="N1172" s="2">
        <v>42793</v>
      </c>
      <c r="O1172" s="2">
        <v>42796</v>
      </c>
      <c r="P1172" s="133">
        <v>42824</v>
      </c>
      <c r="Q1172" s="6">
        <v>4</v>
      </c>
      <c r="R1172" s="6">
        <v>4</v>
      </c>
      <c r="S1172" s="6">
        <v>3</v>
      </c>
      <c r="T1172" s="6">
        <v>3</v>
      </c>
      <c r="U1172" s="6">
        <v>4</v>
      </c>
      <c r="V1172" s="6" t="s">
        <v>72</v>
      </c>
      <c r="W1172" s="5" t="s">
        <v>72</v>
      </c>
      <c r="X1172" s="6" t="s">
        <v>72</v>
      </c>
      <c r="Y1172" s="6" t="s">
        <v>72</v>
      </c>
      <c r="Z1172" s="6" t="s">
        <v>72</v>
      </c>
      <c r="AA1172" s="6" t="s">
        <v>72</v>
      </c>
      <c r="AB1172" s="6" t="s">
        <v>72</v>
      </c>
      <c r="AC1172" s="6" t="s">
        <v>208</v>
      </c>
    </row>
    <row r="1173" spans="1:29" x14ac:dyDescent="0.25">
      <c r="A1173" s="145" t="str">
        <f>HYPERLINK("http://www.ofsted.gov.uk/inspection-reports/find-inspection-report/provider/ELS/1237204","Ofsted Webpage")</f>
        <v>Ofsted Webpage</v>
      </c>
      <c r="B1173" s="151">
        <v>1237204</v>
      </c>
      <c r="C1173" s="151">
        <v>10007706</v>
      </c>
      <c r="D1173" s="46" t="s">
        <v>209</v>
      </c>
      <c r="E1173" s="26" t="s">
        <v>78</v>
      </c>
      <c r="F1173" s="26" t="s">
        <v>79</v>
      </c>
      <c r="G1173" s="26" t="s">
        <v>210</v>
      </c>
      <c r="H1173" s="26" t="s">
        <v>187</v>
      </c>
      <c r="I1173" s="26" t="s">
        <v>188</v>
      </c>
      <c r="J1173" s="2" t="s">
        <v>72</v>
      </c>
      <c r="K1173" s="141" t="s">
        <v>72</v>
      </c>
      <c r="L1173" s="141">
        <v>10037429</v>
      </c>
      <c r="M1173" s="26" t="s">
        <v>211</v>
      </c>
      <c r="N1173" s="2">
        <v>42998</v>
      </c>
      <c r="O1173" s="2">
        <v>43000</v>
      </c>
      <c r="P1173" s="133">
        <v>43068</v>
      </c>
      <c r="Q1173" s="6">
        <v>4</v>
      </c>
      <c r="R1173" s="6">
        <v>4</v>
      </c>
      <c r="S1173" s="6">
        <v>4</v>
      </c>
      <c r="T1173" s="6">
        <v>4</v>
      </c>
      <c r="U1173" s="6">
        <v>4</v>
      </c>
      <c r="V1173" s="6" t="s">
        <v>72</v>
      </c>
      <c r="W1173" s="5" t="s">
        <v>72</v>
      </c>
      <c r="X1173" s="6" t="s">
        <v>72</v>
      </c>
      <c r="Y1173" s="6" t="s">
        <v>72</v>
      </c>
      <c r="Z1173" s="6" t="s">
        <v>72</v>
      </c>
      <c r="AA1173" s="6" t="s">
        <v>72</v>
      </c>
      <c r="AB1173" s="6" t="s">
        <v>72</v>
      </c>
      <c r="AC1173" s="6" t="s">
        <v>208</v>
      </c>
    </row>
    <row r="1174" spans="1:29" x14ac:dyDescent="0.25">
      <c r="A1174" s="145" t="str">
        <f>HYPERLINK("http://www.ofsted.gov.uk/inspection-reports/find-inspection-report/provider/ELS/1237207","Ofsted Webpage")</f>
        <v>Ofsted Webpage</v>
      </c>
      <c r="B1174" s="151">
        <v>1237207</v>
      </c>
      <c r="C1174" s="151">
        <v>10024244</v>
      </c>
      <c r="D1174" s="46" t="s">
        <v>2971</v>
      </c>
      <c r="E1174" s="26" t="s">
        <v>78</v>
      </c>
      <c r="F1174" s="26" t="s">
        <v>79</v>
      </c>
      <c r="G1174" s="26" t="s">
        <v>794</v>
      </c>
      <c r="H1174" s="26" t="s">
        <v>175</v>
      </c>
      <c r="I1174" s="26" t="s">
        <v>175</v>
      </c>
      <c r="J1174" s="2" t="s">
        <v>72</v>
      </c>
      <c r="K1174" s="141" t="s">
        <v>72</v>
      </c>
      <c r="L1174" s="141" t="s">
        <v>72</v>
      </c>
      <c r="M1174" s="26" t="s">
        <v>72</v>
      </c>
      <c r="N1174" s="2" t="s">
        <v>72</v>
      </c>
      <c r="O1174" s="2" t="s">
        <v>72</v>
      </c>
      <c r="P1174" s="133" t="s">
        <v>72</v>
      </c>
      <c r="Q1174" s="6" t="s">
        <v>72</v>
      </c>
      <c r="R1174" s="6" t="s">
        <v>72</v>
      </c>
      <c r="S1174" s="6" t="s">
        <v>72</v>
      </c>
      <c r="T1174" s="6" t="s">
        <v>72</v>
      </c>
      <c r="U1174" s="6" t="s">
        <v>72</v>
      </c>
      <c r="V1174" s="6" t="s">
        <v>72</v>
      </c>
      <c r="W1174" s="5" t="s">
        <v>72</v>
      </c>
      <c r="X1174" s="6" t="s">
        <v>72</v>
      </c>
      <c r="Y1174" s="6" t="s">
        <v>72</v>
      </c>
      <c r="Z1174" s="6" t="s">
        <v>72</v>
      </c>
      <c r="AA1174" s="6" t="s">
        <v>72</v>
      </c>
      <c r="AB1174" s="6" t="s">
        <v>72</v>
      </c>
      <c r="AC1174" s="6" t="s">
        <v>72</v>
      </c>
    </row>
    <row r="1175" spans="1:29" x14ac:dyDescent="0.25">
      <c r="A1175" s="145" t="str">
        <f>HYPERLINK("http://www.ofsted.gov.uk/inspection-reports/find-inspection-report/provider/ELS/1237209","Ofsted Webpage")</f>
        <v>Ofsted Webpage</v>
      </c>
      <c r="B1175" s="131">
        <v>1237209</v>
      </c>
      <c r="C1175" s="131">
        <v>10036255</v>
      </c>
      <c r="D1175" s="46" t="s">
        <v>500</v>
      </c>
      <c r="E1175" s="26" t="s">
        <v>78</v>
      </c>
      <c r="F1175" s="26" t="s">
        <v>79</v>
      </c>
      <c r="G1175" s="26" t="s">
        <v>174</v>
      </c>
      <c r="H1175" s="26" t="s">
        <v>175</v>
      </c>
      <c r="I1175" s="26" t="s">
        <v>175</v>
      </c>
      <c r="J1175" s="2" t="s">
        <v>72</v>
      </c>
      <c r="K1175" s="26" t="s">
        <v>72</v>
      </c>
      <c r="L1175" s="26" t="s">
        <v>72</v>
      </c>
      <c r="M1175" s="26" t="s">
        <v>72</v>
      </c>
      <c r="N1175" s="2" t="s">
        <v>72</v>
      </c>
      <c r="O1175" s="2" t="s">
        <v>72</v>
      </c>
      <c r="P1175" s="2" t="s">
        <v>72</v>
      </c>
      <c r="Q1175" s="6" t="s">
        <v>72</v>
      </c>
      <c r="R1175" s="6" t="s">
        <v>72</v>
      </c>
      <c r="S1175" s="6" t="s">
        <v>72</v>
      </c>
      <c r="T1175" s="6" t="s">
        <v>72</v>
      </c>
      <c r="U1175" s="6" t="s">
        <v>72</v>
      </c>
      <c r="V1175" s="6" t="s">
        <v>72</v>
      </c>
      <c r="W1175" s="5" t="s">
        <v>72</v>
      </c>
      <c r="X1175" s="6" t="s">
        <v>72</v>
      </c>
      <c r="Y1175" s="6" t="s">
        <v>72</v>
      </c>
      <c r="Z1175" s="6" t="s">
        <v>72</v>
      </c>
      <c r="AA1175" s="6" t="s">
        <v>72</v>
      </c>
      <c r="AB1175" s="6" t="s">
        <v>72</v>
      </c>
      <c r="AC1175" s="6" t="s">
        <v>72</v>
      </c>
    </row>
    <row r="1176" spans="1:29" x14ac:dyDescent="0.25">
      <c r="A1176" s="145" t="str">
        <f>HYPERLINK("http://www.ofsted.gov.uk/inspection-reports/find-inspection-report/provider/ELS/1237211","Ofsted Webpage")</f>
        <v>Ofsted Webpage</v>
      </c>
      <c r="B1176" s="131">
        <v>1237211</v>
      </c>
      <c r="C1176" s="131">
        <v>10032052</v>
      </c>
      <c r="D1176" s="46" t="s">
        <v>501</v>
      </c>
      <c r="E1176" s="26" t="s">
        <v>78</v>
      </c>
      <c r="F1176" s="26" t="s">
        <v>79</v>
      </c>
      <c r="G1176" s="26" t="s">
        <v>227</v>
      </c>
      <c r="H1176" s="26" t="s">
        <v>214</v>
      </c>
      <c r="I1176" s="26" t="s">
        <v>214</v>
      </c>
      <c r="J1176" s="2" t="s">
        <v>72</v>
      </c>
      <c r="K1176" s="26" t="s">
        <v>72</v>
      </c>
      <c r="L1176" s="26" t="s">
        <v>72</v>
      </c>
      <c r="M1176" s="26" t="s">
        <v>72</v>
      </c>
      <c r="N1176" s="2" t="s">
        <v>72</v>
      </c>
      <c r="O1176" s="2" t="s">
        <v>72</v>
      </c>
      <c r="P1176" s="2" t="s">
        <v>72</v>
      </c>
      <c r="Q1176" s="6" t="s">
        <v>72</v>
      </c>
      <c r="R1176" s="6" t="s">
        <v>72</v>
      </c>
      <c r="S1176" s="6" t="s">
        <v>72</v>
      </c>
      <c r="T1176" s="6" t="s">
        <v>72</v>
      </c>
      <c r="U1176" s="6" t="s">
        <v>72</v>
      </c>
      <c r="V1176" s="6" t="s">
        <v>72</v>
      </c>
      <c r="W1176" s="5" t="s">
        <v>72</v>
      </c>
      <c r="X1176" s="6" t="s">
        <v>72</v>
      </c>
      <c r="Y1176" s="6" t="s">
        <v>72</v>
      </c>
      <c r="Z1176" s="6" t="s">
        <v>72</v>
      </c>
      <c r="AA1176" s="6" t="s">
        <v>72</v>
      </c>
      <c r="AB1176" s="6" t="s">
        <v>72</v>
      </c>
      <c r="AC1176" s="6" t="s">
        <v>72</v>
      </c>
    </row>
    <row r="1177" spans="1:29" x14ac:dyDescent="0.25">
      <c r="A1177" s="145" t="str">
        <f>HYPERLINK("http://www.ofsted.gov.uk/inspection-reports/find-inspection-report/provider/ELS/1237213","Ofsted Webpage")</f>
        <v>Ofsted Webpage</v>
      </c>
      <c r="B1177" s="131">
        <v>1237213</v>
      </c>
      <c r="C1177" s="131">
        <v>10025964</v>
      </c>
      <c r="D1177" s="46" t="s">
        <v>502</v>
      </c>
      <c r="E1177" s="26" t="s">
        <v>78</v>
      </c>
      <c r="F1177" s="26" t="s">
        <v>79</v>
      </c>
      <c r="G1177" s="26" t="s">
        <v>237</v>
      </c>
      <c r="H1177" s="26" t="s">
        <v>238</v>
      </c>
      <c r="I1177" s="26" t="s">
        <v>238</v>
      </c>
      <c r="J1177" s="2" t="s">
        <v>72</v>
      </c>
      <c r="K1177" s="26" t="s">
        <v>72</v>
      </c>
      <c r="L1177" s="26" t="s">
        <v>72</v>
      </c>
      <c r="M1177" s="26" t="s">
        <v>72</v>
      </c>
      <c r="N1177" s="2" t="s">
        <v>72</v>
      </c>
      <c r="O1177" s="2" t="s">
        <v>72</v>
      </c>
      <c r="P1177" s="2" t="s">
        <v>72</v>
      </c>
      <c r="Q1177" s="6" t="s">
        <v>72</v>
      </c>
      <c r="R1177" s="6" t="s">
        <v>72</v>
      </c>
      <c r="S1177" s="6" t="s">
        <v>72</v>
      </c>
      <c r="T1177" s="6" t="s">
        <v>72</v>
      </c>
      <c r="U1177" s="6" t="s">
        <v>72</v>
      </c>
      <c r="V1177" s="6" t="s">
        <v>72</v>
      </c>
      <c r="W1177" s="5" t="s">
        <v>72</v>
      </c>
      <c r="X1177" s="6" t="s">
        <v>72</v>
      </c>
      <c r="Y1177" s="6" t="s">
        <v>72</v>
      </c>
      <c r="Z1177" s="6" t="s">
        <v>72</v>
      </c>
      <c r="AA1177" s="6" t="s">
        <v>72</v>
      </c>
      <c r="AB1177" s="6" t="s">
        <v>72</v>
      </c>
      <c r="AC1177" s="6" t="s">
        <v>72</v>
      </c>
    </row>
    <row r="1178" spans="1:29" x14ac:dyDescent="0.25">
      <c r="A1178" s="145" t="str">
        <f>HYPERLINK("http://www.ofsted.gov.uk/inspection-reports/find-inspection-report/provider/ELS/1237215","Ofsted Webpage")</f>
        <v>Ofsted Webpage</v>
      </c>
      <c r="B1178" s="131">
        <v>1237215</v>
      </c>
      <c r="C1178" s="131">
        <v>10031093</v>
      </c>
      <c r="D1178" s="46" t="s">
        <v>503</v>
      </c>
      <c r="E1178" s="26" t="s">
        <v>78</v>
      </c>
      <c r="F1178" s="26" t="s">
        <v>79</v>
      </c>
      <c r="G1178" s="26" t="s">
        <v>504</v>
      </c>
      <c r="H1178" s="26" t="s">
        <v>214</v>
      </c>
      <c r="I1178" s="26" t="s">
        <v>214</v>
      </c>
      <c r="J1178" s="2" t="s">
        <v>72</v>
      </c>
      <c r="K1178" s="26" t="s">
        <v>72</v>
      </c>
      <c r="L1178" s="144">
        <v>10022577</v>
      </c>
      <c r="M1178" s="26" t="s">
        <v>211</v>
      </c>
      <c r="N1178" s="2">
        <v>42767</v>
      </c>
      <c r="O1178" s="2">
        <v>42769</v>
      </c>
      <c r="P1178" s="2">
        <v>42796</v>
      </c>
      <c r="Q1178" s="6">
        <v>2</v>
      </c>
      <c r="R1178" s="6">
        <v>2</v>
      </c>
      <c r="S1178" s="6">
        <v>2</v>
      </c>
      <c r="T1178" s="6">
        <v>2</v>
      </c>
      <c r="U1178" s="6">
        <v>2</v>
      </c>
      <c r="V1178" s="6" t="s">
        <v>72</v>
      </c>
      <c r="W1178" s="5" t="s">
        <v>72</v>
      </c>
      <c r="X1178" s="6" t="s">
        <v>72</v>
      </c>
      <c r="Y1178" s="6" t="s">
        <v>72</v>
      </c>
      <c r="Z1178" s="6" t="s">
        <v>72</v>
      </c>
      <c r="AA1178" s="6" t="s">
        <v>72</v>
      </c>
      <c r="AB1178" s="6" t="s">
        <v>72</v>
      </c>
      <c r="AC1178" s="6" t="s">
        <v>208</v>
      </c>
    </row>
    <row r="1179" spans="1:29" x14ac:dyDescent="0.25">
      <c r="A1179" s="145" t="str">
        <f>HYPERLINK("http://www.ofsted.gov.uk/inspection-reports/find-inspection-report/provider/ELS/1237217","Ofsted Webpage")</f>
        <v>Ofsted Webpage</v>
      </c>
      <c r="B1179" s="131">
        <v>1237217</v>
      </c>
      <c r="C1179" s="131">
        <v>10023290</v>
      </c>
      <c r="D1179" s="46" t="s">
        <v>505</v>
      </c>
      <c r="E1179" s="26" t="s">
        <v>78</v>
      </c>
      <c r="F1179" s="26" t="s">
        <v>79</v>
      </c>
      <c r="G1179" s="26" t="s">
        <v>379</v>
      </c>
      <c r="H1179" s="26" t="s">
        <v>175</v>
      </c>
      <c r="I1179" s="26" t="s">
        <v>175</v>
      </c>
      <c r="J1179" s="2" t="s">
        <v>72</v>
      </c>
      <c r="K1179" s="26" t="s">
        <v>72</v>
      </c>
      <c r="L1179" s="26" t="s">
        <v>72</v>
      </c>
      <c r="M1179" s="26" t="s">
        <v>72</v>
      </c>
      <c r="N1179" s="2" t="s">
        <v>72</v>
      </c>
      <c r="O1179" s="2" t="s">
        <v>72</v>
      </c>
      <c r="P1179" s="2" t="s">
        <v>72</v>
      </c>
      <c r="Q1179" s="6" t="s">
        <v>72</v>
      </c>
      <c r="R1179" s="6" t="s">
        <v>72</v>
      </c>
      <c r="S1179" s="6" t="s">
        <v>72</v>
      </c>
      <c r="T1179" s="6" t="s">
        <v>72</v>
      </c>
      <c r="U1179" s="6" t="s">
        <v>72</v>
      </c>
      <c r="V1179" s="6" t="s">
        <v>72</v>
      </c>
      <c r="W1179" s="5" t="s">
        <v>72</v>
      </c>
      <c r="X1179" s="6" t="s">
        <v>72</v>
      </c>
      <c r="Y1179" s="6" t="s">
        <v>72</v>
      </c>
      <c r="Z1179" s="6" t="s">
        <v>72</v>
      </c>
      <c r="AA1179" s="6" t="s">
        <v>72</v>
      </c>
      <c r="AB1179" s="6" t="s">
        <v>72</v>
      </c>
      <c r="AC1179" s="6" t="s">
        <v>72</v>
      </c>
    </row>
    <row r="1180" spans="1:29" x14ac:dyDescent="0.25">
      <c r="A1180" s="145" t="str">
        <f>HYPERLINK("http://www.ofsted.gov.uk/inspection-reports/find-inspection-report/provider/ELS/1237219","Ofsted Webpage")</f>
        <v>Ofsted Webpage</v>
      </c>
      <c r="B1180" s="131">
        <v>1237219</v>
      </c>
      <c r="C1180" s="131">
        <v>10027317</v>
      </c>
      <c r="D1180" s="46" t="s">
        <v>506</v>
      </c>
      <c r="E1180" s="26" t="s">
        <v>78</v>
      </c>
      <c r="F1180" s="26" t="s">
        <v>79</v>
      </c>
      <c r="G1180" s="26" t="s">
        <v>336</v>
      </c>
      <c r="H1180" s="26" t="s">
        <v>175</v>
      </c>
      <c r="I1180" s="26" t="s">
        <v>175</v>
      </c>
      <c r="J1180" s="2" t="s">
        <v>72</v>
      </c>
      <c r="K1180" s="26" t="s">
        <v>72</v>
      </c>
      <c r="L1180" s="26" t="s">
        <v>72</v>
      </c>
      <c r="M1180" s="26" t="s">
        <v>72</v>
      </c>
      <c r="N1180" s="2" t="s">
        <v>72</v>
      </c>
      <c r="O1180" s="2" t="s">
        <v>72</v>
      </c>
      <c r="P1180" s="2" t="s">
        <v>72</v>
      </c>
      <c r="Q1180" s="6" t="s">
        <v>72</v>
      </c>
      <c r="R1180" s="6" t="s">
        <v>72</v>
      </c>
      <c r="S1180" s="6" t="s">
        <v>72</v>
      </c>
      <c r="T1180" s="6" t="s">
        <v>72</v>
      </c>
      <c r="U1180" s="6" t="s">
        <v>72</v>
      </c>
      <c r="V1180" s="6" t="s">
        <v>72</v>
      </c>
      <c r="W1180" s="5" t="s">
        <v>72</v>
      </c>
      <c r="X1180" s="6" t="s">
        <v>72</v>
      </c>
      <c r="Y1180" s="6" t="s">
        <v>72</v>
      </c>
      <c r="Z1180" s="6" t="s">
        <v>72</v>
      </c>
      <c r="AA1180" s="6" t="s">
        <v>72</v>
      </c>
      <c r="AB1180" s="6" t="s">
        <v>72</v>
      </c>
      <c r="AC1180" s="6" t="s">
        <v>72</v>
      </c>
    </row>
    <row r="1181" spans="1:29" x14ac:dyDescent="0.25">
      <c r="A1181" s="145" t="str">
        <f>HYPERLINK("http://www.ofsted.gov.uk/inspection-reports/find-inspection-report/provider/ELS/1237221","Ofsted Webpage")</f>
        <v>Ofsted Webpage</v>
      </c>
      <c r="B1181" s="131">
        <v>1237221</v>
      </c>
      <c r="C1181" s="131">
        <v>10040263</v>
      </c>
      <c r="D1181" s="46" t="s">
        <v>507</v>
      </c>
      <c r="E1181" s="26" t="s">
        <v>78</v>
      </c>
      <c r="F1181" s="26" t="s">
        <v>79</v>
      </c>
      <c r="G1181" s="26" t="s">
        <v>210</v>
      </c>
      <c r="H1181" s="26" t="s">
        <v>187</v>
      </c>
      <c r="I1181" s="26" t="s">
        <v>188</v>
      </c>
      <c r="J1181" s="2" t="s">
        <v>72</v>
      </c>
      <c r="K1181" s="26" t="s">
        <v>72</v>
      </c>
      <c r="L1181" s="26" t="s">
        <v>72</v>
      </c>
      <c r="M1181" s="26" t="s">
        <v>72</v>
      </c>
      <c r="N1181" s="2" t="s">
        <v>72</v>
      </c>
      <c r="O1181" s="2" t="s">
        <v>72</v>
      </c>
      <c r="P1181" s="2" t="s">
        <v>72</v>
      </c>
      <c r="Q1181" s="6" t="s">
        <v>72</v>
      </c>
      <c r="R1181" s="6" t="s">
        <v>72</v>
      </c>
      <c r="S1181" s="6" t="s">
        <v>72</v>
      </c>
      <c r="T1181" s="6" t="s">
        <v>72</v>
      </c>
      <c r="U1181" s="6" t="s">
        <v>72</v>
      </c>
      <c r="V1181" s="6" t="s">
        <v>72</v>
      </c>
      <c r="W1181" s="5" t="s">
        <v>72</v>
      </c>
      <c r="X1181" s="6" t="s">
        <v>72</v>
      </c>
      <c r="Y1181" s="6" t="s">
        <v>72</v>
      </c>
      <c r="Z1181" s="6" t="s">
        <v>72</v>
      </c>
      <c r="AA1181" s="6" t="s">
        <v>72</v>
      </c>
      <c r="AB1181" s="6" t="s">
        <v>72</v>
      </c>
      <c r="AC1181" s="6" t="s">
        <v>72</v>
      </c>
    </row>
    <row r="1182" spans="1:29" x14ac:dyDescent="0.25">
      <c r="A1182" s="145" t="str">
        <f>HYPERLINK("http://www.ofsted.gov.uk/inspection-reports/find-inspection-report/provider/ELS/1237222","Ofsted Webpage")</f>
        <v>Ofsted Webpage</v>
      </c>
      <c r="B1182" s="131">
        <v>1237222</v>
      </c>
      <c r="C1182" s="131">
        <v>10036807</v>
      </c>
      <c r="D1182" s="46" t="s">
        <v>508</v>
      </c>
      <c r="E1182" s="26" t="s">
        <v>78</v>
      </c>
      <c r="F1182" s="26" t="s">
        <v>79</v>
      </c>
      <c r="G1182" s="26" t="s">
        <v>324</v>
      </c>
      <c r="H1182" s="26" t="s">
        <v>214</v>
      </c>
      <c r="I1182" s="26" t="s">
        <v>214</v>
      </c>
      <c r="J1182" s="2" t="s">
        <v>72</v>
      </c>
      <c r="K1182" s="26" t="s">
        <v>72</v>
      </c>
      <c r="L1182" s="26" t="s">
        <v>72</v>
      </c>
      <c r="M1182" s="26" t="s">
        <v>72</v>
      </c>
      <c r="N1182" s="2" t="s">
        <v>72</v>
      </c>
      <c r="O1182" s="2" t="s">
        <v>72</v>
      </c>
      <c r="P1182" s="2" t="s">
        <v>72</v>
      </c>
      <c r="Q1182" s="6" t="s">
        <v>72</v>
      </c>
      <c r="R1182" s="6" t="s">
        <v>72</v>
      </c>
      <c r="S1182" s="6" t="s">
        <v>72</v>
      </c>
      <c r="T1182" s="6" t="s">
        <v>72</v>
      </c>
      <c r="U1182" s="6" t="s">
        <v>72</v>
      </c>
      <c r="V1182" s="6" t="s">
        <v>72</v>
      </c>
      <c r="W1182" s="5" t="s">
        <v>72</v>
      </c>
      <c r="X1182" s="6" t="s">
        <v>72</v>
      </c>
      <c r="Y1182" s="6" t="s">
        <v>72</v>
      </c>
      <c r="Z1182" s="6" t="s">
        <v>72</v>
      </c>
      <c r="AA1182" s="6" t="s">
        <v>72</v>
      </c>
      <c r="AB1182" s="6" t="s">
        <v>72</v>
      </c>
      <c r="AC1182" s="6" t="s">
        <v>72</v>
      </c>
    </row>
    <row r="1183" spans="1:29" x14ac:dyDescent="0.25">
      <c r="A1183" s="145" t="str">
        <f>HYPERLINK("http://www.ofsted.gov.uk/inspection-reports/find-inspection-report/provider/ELS/1237223","Ofsted Webpage")</f>
        <v>Ofsted Webpage</v>
      </c>
      <c r="B1183" s="131">
        <v>1237223</v>
      </c>
      <c r="C1183" s="131">
        <v>10028365</v>
      </c>
      <c r="D1183" s="46" t="s">
        <v>2845</v>
      </c>
      <c r="E1183" s="26" t="s">
        <v>78</v>
      </c>
      <c r="F1183" s="26" t="s">
        <v>79</v>
      </c>
      <c r="G1183" s="26" t="s">
        <v>213</v>
      </c>
      <c r="H1183" s="26" t="s">
        <v>214</v>
      </c>
      <c r="I1183" s="26" t="s">
        <v>214</v>
      </c>
      <c r="J1183" s="2" t="s">
        <v>72</v>
      </c>
      <c r="K1183" s="26" t="s">
        <v>72</v>
      </c>
      <c r="L1183" s="26" t="s">
        <v>72</v>
      </c>
      <c r="M1183" s="26" t="s">
        <v>72</v>
      </c>
      <c r="N1183" s="2" t="s">
        <v>72</v>
      </c>
      <c r="O1183" s="2" t="s">
        <v>72</v>
      </c>
      <c r="P1183" s="2" t="s">
        <v>72</v>
      </c>
      <c r="Q1183" s="6" t="s">
        <v>72</v>
      </c>
      <c r="R1183" s="6" t="s">
        <v>72</v>
      </c>
      <c r="S1183" s="6" t="s">
        <v>72</v>
      </c>
      <c r="T1183" s="6" t="s">
        <v>72</v>
      </c>
      <c r="U1183" s="6" t="s">
        <v>72</v>
      </c>
      <c r="V1183" s="6" t="s">
        <v>72</v>
      </c>
      <c r="W1183" s="5" t="s">
        <v>72</v>
      </c>
      <c r="X1183" s="6" t="s">
        <v>72</v>
      </c>
      <c r="Y1183" s="6" t="s">
        <v>72</v>
      </c>
      <c r="Z1183" s="6" t="s">
        <v>72</v>
      </c>
      <c r="AA1183" s="6" t="s">
        <v>72</v>
      </c>
      <c r="AB1183" s="6" t="s">
        <v>72</v>
      </c>
      <c r="AC1183" s="6" t="s">
        <v>72</v>
      </c>
    </row>
    <row r="1184" spans="1:29" x14ac:dyDescent="0.25">
      <c r="A1184" s="145" t="str">
        <f>HYPERLINK("http://www.ofsted.gov.uk/inspection-reports/find-inspection-report/provider/ELS/1237224","Ofsted Webpage")</f>
        <v>Ofsted Webpage</v>
      </c>
      <c r="B1184" s="131">
        <v>1237224</v>
      </c>
      <c r="C1184" s="131">
        <v>10031912</v>
      </c>
      <c r="D1184" s="46" t="s">
        <v>2846</v>
      </c>
      <c r="E1184" s="26" t="s">
        <v>78</v>
      </c>
      <c r="F1184" s="26" t="s">
        <v>79</v>
      </c>
      <c r="G1184" s="26" t="s">
        <v>477</v>
      </c>
      <c r="H1184" s="26" t="s">
        <v>287</v>
      </c>
      <c r="I1184" s="26" t="s">
        <v>287</v>
      </c>
      <c r="J1184" s="2" t="s">
        <v>72</v>
      </c>
      <c r="K1184" s="26" t="s">
        <v>72</v>
      </c>
      <c r="L1184" s="26" t="s">
        <v>72</v>
      </c>
      <c r="M1184" s="26" t="s">
        <v>72</v>
      </c>
      <c r="N1184" s="2" t="s">
        <v>72</v>
      </c>
      <c r="O1184" s="2" t="s">
        <v>72</v>
      </c>
      <c r="P1184" s="2" t="s">
        <v>72</v>
      </c>
      <c r="Q1184" s="6" t="s">
        <v>72</v>
      </c>
      <c r="R1184" s="6" t="s">
        <v>72</v>
      </c>
      <c r="S1184" s="6" t="s">
        <v>72</v>
      </c>
      <c r="T1184" s="6" t="s">
        <v>72</v>
      </c>
      <c r="U1184" s="6" t="s">
        <v>72</v>
      </c>
      <c r="V1184" s="6" t="s">
        <v>72</v>
      </c>
      <c r="W1184" s="5" t="s">
        <v>72</v>
      </c>
      <c r="X1184" s="6" t="s">
        <v>72</v>
      </c>
      <c r="Y1184" s="6" t="s">
        <v>72</v>
      </c>
      <c r="Z1184" s="6" t="s">
        <v>72</v>
      </c>
      <c r="AA1184" s="6" t="s">
        <v>72</v>
      </c>
      <c r="AB1184" s="6" t="s">
        <v>72</v>
      </c>
      <c r="AC1184" s="6" t="s">
        <v>72</v>
      </c>
    </row>
    <row r="1185" spans="1:29" x14ac:dyDescent="0.25">
      <c r="A1185" s="145" t="str">
        <f>HYPERLINK("http://www.ofsted.gov.uk/inspection-reports/find-inspection-report/provider/ELS/1237225","Ofsted Webpage")</f>
        <v>Ofsted Webpage</v>
      </c>
      <c r="B1185" s="131">
        <v>1237225</v>
      </c>
      <c r="C1185" s="131">
        <v>10036006</v>
      </c>
      <c r="D1185" s="46" t="s">
        <v>2847</v>
      </c>
      <c r="E1185" s="26" t="s">
        <v>78</v>
      </c>
      <c r="F1185" s="26" t="s">
        <v>79</v>
      </c>
      <c r="G1185" s="26" t="s">
        <v>324</v>
      </c>
      <c r="H1185" s="26" t="s">
        <v>214</v>
      </c>
      <c r="I1185" s="26" t="s">
        <v>214</v>
      </c>
      <c r="J1185" s="2" t="s">
        <v>72</v>
      </c>
      <c r="K1185" s="26" t="s">
        <v>72</v>
      </c>
      <c r="L1185" s="26" t="s">
        <v>72</v>
      </c>
      <c r="M1185" s="26" t="s">
        <v>72</v>
      </c>
      <c r="N1185" s="2" t="s">
        <v>72</v>
      </c>
      <c r="O1185" s="2" t="s">
        <v>72</v>
      </c>
      <c r="P1185" s="2" t="s">
        <v>72</v>
      </c>
      <c r="Q1185" s="6" t="s">
        <v>72</v>
      </c>
      <c r="R1185" s="6" t="s">
        <v>72</v>
      </c>
      <c r="S1185" s="6" t="s">
        <v>72</v>
      </c>
      <c r="T1185" s="6" t="s">
        <v>72</v>
      </c>
      <c r="U1185" s="6" t="s">
        <v>72</v>
      </c>
      <c r="V1185" s="6" t="s">
        <v>72</v>
      </c>
      <c r="W1185" s="5" t="s">
        <v>72</v>
      </c>
      <c r="X1185" s="6" t="s">
        <v>72</v>
      </c>
      <c r="Y1185" s="6" t="s">
        <v>72</v>
      </c>
      <c r="Z1185" s="6" t="s">
        <v>72</v>
      </c>
      <c r="AA1185" s="6" t="s">
        <v>72</v>
      </c>
      <c r="AB1185" s="6" t="s">
        <v>72</v>
      </c>
      <c r="AC1185" s="6" t="s">
        <v>72</v>
      </c>
    </row>
    <row r="1186" spans="1:29" x14ac:dyDescent="0.25">
      <c r="A1186" s="145" t="str">
        <f>HYPERLINK("http://www.ofsted.gov.uk/inspection-reports/find-inspection-report/provider/ELS/1240210","Ofsted Webpage")</f>
        <v>Ofsted Webpage</v>
      </c>
      <c r="B1186" s="131">
        <v>1240210</v>
      </c>
      <c r="C1186" s="131">
        <v>10005752</v>
      </c>
      <c r="D1186" s="46" t="s">
        <v>2612</v>
      </c>
      <c r="E1186" s="26" t="s">
        <v>90</v>
      </c>
      <c r="F1186" s="26" t="s">
        <v>91</v>
      </c>
      <c r="G1186" s="26" t="s">
        <v>319</v>
      </c>
      <c r="H1186" s="26" t="s">
        <v>204</v>
      </c>
      <c r="I1186" s="26" t="s">
        <v>188</v>
      </c>
      <c r="J1186" s="2" t="s">
        <v>72</v>
      </c>
      <c r="K1186" s="26" t="s">
        <v>72</v>
      </c>
      <c r="L1186" s="144">
        <v>10022678</v>
      </c>
      <c r="M1186" s="26" t="s">
        <v>211</v>
      </c>
      <c r="N1186" s="2">
        <v>42689</v>
      </c>
      <c r="O1186" s="2">
        <v>42692</v>
      </c>
      <c r="P1186" s="2">
        <v>42727</v>
      </c>
      <c r="Q1186" s="6">
        <v>2</v>
      </c>
      <c r="R1186" s="6">
        <v>2</v>
      </c>
      <c r="S1186" s="6">
        <v>2</v>
      </c>
      <c r="T1186" s="6">
        <v>2</v>
      </c>
      <c r="U1186" s="6">
        <v>2</v>
      </c>
      <c r="V1186" s="6" t="s">
        <v>72</v>
      </c>
      <c r="W1186" s="5" t="s">
        <v>72</v>
      </c>
      <c r="X1186" s="6" t="s">
        <v>72</v>
      </c>
      <c r="Y1186" s="6" t="s">
        <v>72</v>
      </c>
      <c r="Z1186" s="6" t="s">
        <v>72</v>
      </c>
      <c r="AA1186" s="6" t="s">
        <v>72</v>
      </c>
      <c r="AB1186" s="6" t="s">
        <v>72</v>
      </c>
      <c r="AC1186" s="6" t="s">
        <v>208</v>
      </c>
    </row>
    <row r="1187" spans="1:29" x14ac:dyDescent="0.25">
      <c r="A1187" s="145" t="str">
        <f>HYPERLINK("http://www.ofsted.gov.uk/inspection-reports/find-inspection-report/provider/ELS/1240993","Ofsted Webpage")</f>
        <v>Ofsted Webpage</v>
      </c>
      <c r="B1187" s="131">
        <v>1240993</v>
      </c>
      <c r="C1187" s="131">
        <v>10054558</v>
      </c>
      <c r="D1187" s="46" t="s">
        <v>2850</v>
      </c>
      <c r="E1187" s="26" t="s">
        <v>80</v>
      </c>
      <c r="F1187" s="26" t="s">
        <v>79</v>
      </c>
      <c r="G1187" s="26" t="s">
        <v>258</v>
      </c>
      <c r="H1187" s="26" t="s">
        <v>193</v>
      </c>
      <c r="I1187" s="26" t="s">
        <v>193</v>
      </c>
      <c r="J1187" s="2" t="s">
        <v>72</v>
      </c>
      <c r="K1187" s="26" t="s">
        <v>72</v>
      </c>
      <c r="L1187" s="26" t="s">
        <v>72</v>
      </c>
      <c r="M1187" s="26" t="s">
        <v>72</v>
      </c>
      <c r="N1187" s="2" t="s">
        <v>72</v>
      </c>
      <c r="O1187" s="2" t="s">
        <v>72</v>
      </c>
      <c r="P1187" s="2" t="s">
        <v>72</v>
      </c>
      <c r="Q1187" s="6" t="s">
        <v>72</v>
      </c>
      <c r="R1187" s="6" t="s">
        <v>72</v>
      </c>
      <c r="S1187" s="6" t="s">
        <v>72</v>
      </c>
      <c r="T1187" s="6" t="s">
        <v>72</v>
      </c>
      <c r="U1187" s="6" t="s">
        <v>72</v>
      </c>
      <c r="V1187" s="6" t="s">
        <v>72</v>
      </c>
      <c r="W1187" s="5" t="s">
        <v>72</v>
      </c>
      <c r="X1187" s="6" t="s">
        <v>72</v>
      </c>
      <c r="Y1187" s="6" t="s">
        <v>72</v>
      </c>
      <c r="Z1187" s="6" t="s">
        <v>72</v>
      </c>
      <c r="AA1187" s="6" t="s">
        <v>72</v>
      </c>
      <c r="AB1187" s="6" t="s">
        <v>72</v>
      </c>
      <c r="AC1187" s="6" t="s">
        <v>72</v>
      </c>
    </row>
    <row r="1188" spans="1:29" x14ac:dyDescent="0.25">
      <c r="A1188" s="145" t="str">
        <f>HYPERLINK("http://www.ofsted.gov.uk/inspection-reports/find-inspection-report/provider/ELS/1241504","Ofsted Webpage")</f>
        <v>Ofsted Webpage</v>
      </c>
      <c r="B1188" s="131">
        <v>1241504</v>
      </c>
      <c r="C1188" s="131">
        <v>10052994</v>
      </c>
      <c r="D1188" s="46" t="s">
        <v>2851</v>
      </c>
      <c r="E1188" s="26" t="s">
        <v>80</v>
      </c>
      <c r="F1188" s="26" t="s">
        <v>79</v>
      </c>
      <c r="G1188" s="26" t="s">
        <v>477</v>
      </c>
      <c r="H1188" s="26" t="s">
        <v>287</v>
      </c>
      <c r="I1188" s="26" t="s">
        <v>287</v>
      </c>
      <c r="J1188" s="2" t="s">
        <v>72</v>
      </c>
      <c r="K1188" s="26" t="s">
        <v>72</v>
      </c>
      <c r="L1188" s="26" t="s">
        <v>72</v>
      </c>
      <c r="M1188" s="26" t="s">
        <v>72</v>
      </c>
      <c r="N1188" s="2" t="s">
        <v>72</v>
      </c>
      <c r="O1188" s="2" t="s">
        <v>72</v>
      </c>
      <c r="P1188" s="2" t="s">
        <v>72</v>
      </c>
      <c r="Q1188" s="6" t="s">
        <v>72</v>
      </c>
      <c r="R1188" s="6" t="s">
        <v>72</v>
      </c>
      <c r="S1188" s="6" t="s">
        <v>72</v>
      </c>
      <c r="T1188" s="6" t="s">
        <v>72</v>
      </c>
      <c r="U1188" s="6" t="s">
        <v>72</v>
      </c>
      <c r="V1188" s="6" t="s">
        <v>72</v>
      </c>
      <c r="W1188" s="5" t="s">
        <v>72</v>
      </c>
      <c r="X1188" s="6" t="s">
        <v>72</v>
      </c>
      <c r="Y1188" s="6" t="s">
        <v>72</v>
      </c>
      <c r="Z1188" s="6" t="s">
        <v>72</v>
      </c>
      <c r="AA1188" s="6" t="s">
        <v>72</v>
      </c>
      <c r="AB1188" s="6" t="s">
        <v>72</v>
      </c>
      <c r="AC1188" s="6" t="s">
        <v>72</v>
      </c>
    </row>
    <row r="1189" spans="1:29" x14ac:dyDescent="0.25">
      <c r="A1189" s="145" t="str">
        <f>HYPERLINK("http://www.ofsted.gov.uk/inspection-reports/find-inspection-report/provider/ELS/1244872","Ofsted Webpage")</f>
        <v>Ofsted Webpage</v>
      </c>
      <c r="B1189" s="131">
        <v>1244872</v>
      </c>
      <c r="C1189" s="131">
        <v>10048290</v>
      </c>
      <c r="D1189" s="46" t="s">
        <v>2836</v>
      </c>
      <c r="E1189" s="26" t="s">
        <v>80</v>
      </c>
      <c r="F1189" s="26" t="s">
        <v>79</v>
      </c>
      <c r="G1189" s="26" t="s">
        <v>939</v>
      </c>
      <c r="H1189" s="26" t="s">
        <v>287</v>
      </c>
      <c r="I1189" s="26" t="s">
        <v>287</v>
      </c>
      <c r="J1189" s="2" t="s">
        <v>72</v>
      </c>
      <c r="K1189" s="26" t="s">
        <v>72</v>
      </c>
      <c r="L1189" s="26" t="s">
        <v>72</v>
      </c>
      <c r="M1189" s="26" t="s">
        <v>72</v>
      </c>
      <c r="N1189" s="2" t="s">
        <v>72</v>
      </c>
      <c r="O1189" s="2" t="s">
        <v>72</v>
      </c>
      <c r="P1189" s="2" t="s">
        <v>72</v>
      </c>
      <c r="Q1189" s="6" t="s">
        <v>72</v>
      </c>
      <c r="R1189" s="6" t="s">
        <v>72</v>
      </c>
      <c r="S1189" s="6" t="s">
        <v>72</v>
      </c>
      <c r="T1189" s="6" t="s">
        <v>72</v>
      </c>
      <c r="U1189" s="6" t="s">
        <v>72</v>
      </c>
      <c r="V1189" s="6" t="s">
        <v>72</v>
      </c>
      <c r="W1189" s="5" t="s">
        <v>72</v>
      </c>
      <c r="X1189" s="6" t="s">
        <v>72</v>
      </c>
      <c r="Y1189" s="6" t="s">
        <v>72</v>
      </c>
      <c r="Z1189" s="6" t="s">
        <v>72</v>
      </c>
      <c r="AA1189" s="6" t="s">
        <v>72</v>
      </c>
      <c r="AB1189" s="6" t="s">
        <v>72</v>
      </c>
      <c r="AC1189" s="6" t="s">
        <v>72</v>
      </c>
    </row>
    <row r="1190" spans="1:29" x14ac:dyDescent="0.25">
      <c r="A1190" s="145" t="str">
        <f>HYPERLINK("http://www.ofsted.gov.uk/inspection-reports/find-inspection-report/provider/ELS/1244875","Ofsted Webpage")</f>
        <v>Ofsted Webpage</v>
      </c>
      <c r="B1190" s="131">
        <v>1244875</v>
      </c>
      <c r="C1190" s="131">
        <v>10040525</v>
      </c>
      <c r="D1190" s="46" t="s">
        <v>2837</v>
      </c>
      <c r="E1190" s="26" t="s">
        <v>80</v>
      </c>
      <c r="F1190" s="26" t="s">
        <v>79</v>
      </c>
      <c r="G1190" s="26" t="s">
        <v>640</v>
      </c>
      <c r="H1190" s="26" t="s">
        <v>238</v>
      </c>
      <c r="I1190" s="26" t="s">
        <v>238</v>
      </c>
      <c r="J1190" s="2" t="s">
        <v>72</v>
      </c>
      <c r="K1190" s="26" t="s">
        <v>72</v>
      </c>
      <c r="L1190" s="26" t="s">
        <v>72</v>
      </c>
      <c r="M1190" s="26" t="s">
        <v>72</v>
      </c>
      <c r="N1190" s="2" t="s">
        <v>72</v>
      </c>
      <c r="O1190" s="2" t="s">
        <v>72</v>
      </c>
      <c r="P1190" s="2" t="s">
        <v>72</v>
      </c>
      <c r="Q1190" s="6" t="s">
        <v>72</v>
      </c>
      <c r="R1190" s="6" t="s">
        <v>72</v>
      </c>
      <c r="S1190" s="6" t="s">
        <v>72</v>
      </c>
      <c r="T1190" s="6" t="s">
        <v>72</v>
      </c>
      <c r="U1190" s="6" t="s">
        <v>72</v>
      </c>
      <c r="V1190" s="6" t="s">
        <v>72</v>
      </c>
      <c r="W1190" s="5" t="s">
        <v>72</v>
      </c>
      <c r="X1190" s="6" t="s">
        <v>72</v>
      </c>
      <c r="Y1190" s="6" t="s">
        <v>72</v>
      </c>
      <c r="Z1190" s="6" t="s">
        <v>72</v>
      </c>
      <c r="AA1190" s="6" t="s">
        <v>72</v>
      </c>
      <c r="AB1190" s="6" t="s">
        <v>72</v>
      </c>
      <c r="AC1190" s="6" t="s">
        <v>72</v>
      </c>
    </row>
    <row r="1191" spans="1:29" x14ac:dyDescent="0.25">
      <c r="A1191" s="145" t="str">
        <f>HYPERLINK("http://www.ofsted.gov.uk/inspection-reports/find-inspection-report/provider/ELS/1244878","Ofsted Webpage")</f>
        <v>Ofsted Webpage</v>
      </c>
      <c r="B1191" s="131">
        <v>1244878</v>
      </c>
      <c r="C1191" s="131">
        <v>10001263</v>
      </c>
      <c r="D1191" s="46" t="s">
        <v>2838</v>
      </c>
      <c r="E1191" s="26" t="s">
        <v>80</v>
      </c>
      <c r="F1191" s="26" t="s">
        <v>79</v>
      </c>
      <c r="G1191" s="26" t="s">
        <v>348</v>
      </c>
      <c r="H1191" s="26" t="s">
        <v>238</v>
      </c>
      <c r="I1191" s="26" t="s">
        <v>238</v>
      </c>
      <c r="J1191" s="2" t="s">
        <v>72</v>
      </c>
      <c r="K1191" s="26" t="s">
        <v>72</v>
      </c>
      <c r="L1191" s="26" t="s">
        <v>72</v>
      </c>
      <c r="M1191" s="26" t="s">
        <v>72</v>
      </c>
      <c r="N1191" s="2" t="s">
        <v>72</v>
      </c>
      <c r="O1191" s="2" t="s">
        <v>72</v>
      </c>
      <c r="P1191" s="2" t="s">
        <v>72</v>
      </c>
      <c r="Q1191" s="6" t="s">
        <v>72</v>
      </c>
      <c r="R1191" s="6" t="s">
        <v>72</v>
      </c>
      <c r="S1191" s="6" t="s">
        <v>72</v>
      </c>
      <c r="T1191" s="6" t="s">
        <v>72</v>
      </c>
      <c r="U1191" s="6" t="s">
        <v>72</v>
      </c>
      <c r="V1191" s="6" t="s">
        <v>72</v>
      </c>
      <c r="W1191" s="5" t="s">
        <v>72</v>
      </c>
      <c r="X1191" s="6" t="s">
        <v>72</v>
      </c>
      <c r="Y1191" s="6" t="s">
        <v>72</v>
      </c>
      <c r="Z1191" s="6" t="s">
        <v>72</v>
      </c>
      <c r="AA1191" s="6" t="s">
        <v>72</v>
      </c>
      <c r="AB1191" s="6" t="s">
        <v>72</v>
      </c>
      <c r="AC1191" s="6" t="s">
        <v>72</v>
      </c>
    </row>
    <row r="1192" spans="1:29" x14ac:dyDescent="0.25">
      <c r="A1192" s="145" t="str">
        <f>HYPERLINK("http://www.ofsted.gov.uk/inspection-reports/find-inspection-report/provider/ELS/1244882","Ofsted Webpage")</f>
        <v>Ofsted Webpage</v>
      </c>
      <c r="B1192" s="131">
        <v>1244882</v>
      </c>
      <c r="C1192" s="131">
        <v>10024921</v>
      </c>
      <c r="D1192" s="46" t="s">
        <v>2811</v>
      </c>
      <c r="E1192" s="26" t="s">
        <v>80</v>
      </c>
      <c r="F1192" s="26" t="s">
        <v>79</v>
      </c>
      <c r="G1192" s="26" t="s">
        <v>348</v>
      </c>
      <c r="H1192" s="26" t="s">
        <v>238</v>
      </c>
      <c r="I1192" s="26" t="s">
        <v>238</v>
      </c>
      <c r="J1192" s="2" t="s">
        <v>72</v>
      </c>
      <c r="K1192" s="26" t="s">
        <v>72</v>
      </c>
      <c r="L1192" s="26" t="s">
        <v>72</v>
      </c>
      <c r="M1192" s="26" t="s">
        <v>72</v>
      </c>
      <c r="N1192" s="2" t="s">
        <v>72</v>
      </c>
      <c r="O1192" s="2" t="s">
        <v>72</v>
      </c>
      <c r="P1192" s="2" t="s">
        <v>72</v>
      </c>
      <c r="Q1192" s="6" t="s">
        <v>72</v>
      </c>
      <c r="R1192" s="6" t="s">
        <v>72</v>
      </c>
      <c r="S1192" s="6" t="s">
        <v>72</v>
      </c>
      <c r="T1192" s="6" t="s">
        <v>72</v>
      </c>
      <c r="U1192" s="6" t="s">
        <v>72</v>
      </c>
      <c r="V1192" s="6" t="s">
        <v>72</v>
      </c>
      <c r="W1192" s="5" t="s">
        <v>72</v>
      </c>
      <c r="X1192" s="6" t="s">
        <v>72</v>
      </c>
      <c r="Y1192" s="6" t="s">
        <v>72</v>
      </c>
      <c r="Z1192" s="6" t="s">
        <v>72</v>
      </c>
      <c r="AA1192" s="6" t="s">
        <v>72</v>
      </c>
      <c r="AB1192" s="6" t="s">
        <v>72</v>
      </c>
      <c r="AC1192" s="6" t="s">
        <v>72</v>
      </c>
    </row>
    <row r="1193" spans="1:29" x14ac:dyDescent="0.25">
      <c r="A1193" s="145" t="str">
        <f>HYPERLINK("http://www.ofsted.gov.uk/inspection-reports/find-inspection-report/provider/ELS/1244885","Ofsted Webpage")</f>
        <v>Ofsted Webpage</v>
      </c>
      <c r="B1193" s="131">
        <v>1244885</v>
      </c>
      <c r="C1193" s="131">
        <v>10041422</v>
      </c>
      <c r="D1193" s="46" t="s">
        <v>2812</v>
      </c>
      <c r="E1193" s="26" t="s">
        <v>80</v>
      </c>
      <c r="F1193" s="26" t="s">
        <v>79</v>
      </c>
      <c r="G1193" s="26" t="s">
        <v>174</v>
      </c>
      <c r="H1193" s="26" t="s">
        <v>175</v>
      </c>
      <c r="I1193" s="26" t="s">
        <v>175</v>
      </c>
      <c r="J1193" s="2" t="s">
        <v>72</v>
      </c>
      <c r="K1193" s="26" t="s">
        <v>72</v>
      </c>
      <c r="L1193" s="26" t="s">
        <v>72</v>
      </c>
      <c r="M1193" s="26" t="s">
        <v>72</v>
      </c>
      <c r="N1193" s="2" t="s">
        <v>72</v>
      </c>
      <c r="O1193" s="2" t="s">
        <v>72</v>
      </c>
      <c r="P1193" s="2" t="s">
        <v>72</v>
      </c>
      <c r="Q1193" s="6" t="s">
        <v>72</v>
      </c>
      <c r="R1193" s="6" t="s">
        <v>72</v>
      </c>
      <c r="S1193" s="6" t="s">
        <v>72</v>
      </c>
      <c r="T1193" s="6" t="s">
        <v>72</v>
      </c>
      <c r="U1193" s="6" t="s">
        <v>72</v>
      </c>
      <c r="V1193" s="6" t="s">
        <v>72</v>
      </c>
      <c r="W1193" s="5" t="s">
        <v>72</v>
      </c>
      <c r="X1193" s="6" t="s">
        <v>72</v>
      </c>
      <c r="Y1193" s="6" t="s">
        <v>72</v>
      </c>
      <c r="Z1193" s="6" t="s">
        <v>72</v>
      </c>
      <c r="AA1193" s="6" t="s">
        <v>72</v>
      </c>
      <c r="AB1193" s="6" t="s">
        <v>72</v>
      </c>
      <c r="AC1193" s="6" t="s">
        <v>72</v>
      </c>
    </row>
    <row r="1194" spans="1:29" x14ac:dyDescent="0.25">
      <c r="A1194" s="145" t="str">
        <f>HYPERLINK("http://www.ofsted.gov.uk/inspection-reports/find-inspection-report/provider/ELS/1244909","Ofsted Webpage")</f>
        <v>Ofsted Webpage</v>
      </c>
      <c r="B1194" s="131">
        <v>1244909</v>
      </c>
      <c r="C1194" s="131">
        <v>10055995</v>
      </c>
      <c r="D1194" s="46" t="s">
        <v>2813</v>
      </c>
      <c r="E1194" s="26" t="s">
        <v>80</v>
      </c>
      <c r="F1194" s="26" t="s">
        <v>79</v>
      </c>
      <c r="G1194" s="26" t="s">
        <v>223</v>
      </c>
      <c r="H1194" s="26" t="s">
        <v>193</v>
      </c>
      <c r="I1194" s="26" t="s">
        <v>193</v>
      </c>
      <c r="J1194" s="2" t="s">
        <v>72</v>
      </c>
      <c r="K1194" s="26" t="s">
        <v>72</v>
      </c>
      <c r="L1194" s="26" t="s">
        <v>72</v>
      </c>
      <c r="M1194" s="26" t="s">
        <v>72</v>
      </c>
      <c r="N1194" s="2" t="s">
        <v>72</v>
      </c>
      <c r="O1194" s="2" t="s">
        <v>72</v>
      </c>
      <c r="P1194" s="2" t="s">
        <v>72</v>
      </c>
      <c r="Q1194" s="6" t="s">
        <v>72</v>
      </c>
      <c r="R1194" s="6" t="s">
        <v>72</v>
      </c>
      <c r="S1194" s="6" t="s">
        <v>72</v>
      </c>
      <c r="T1194" s="6" t="s">
        <v>72</v>
      </c>
      <c r="U1194" s="6" t="s">
        <v>72</v>
      </c>
      <c r="V1194" s="6" t="s">
        <v>72</v>
      </c>
      <c r="W1194" s="5" t="s">
        <v>72</v>
      </c>
      <c r="X1194" s="6" t="s">
        <v>72</v>
      </c>
      <c r="Y1194" s="6" t="s">
        <v>72</v>
      </c>
      <c r="Z1194" s="6" t="s">
        <v>72</v>
      </c>
      <c r="AA1194" s="6" t="s">
        <v>72</v>
      </c>
      <c r="AB1194" s="6" t="s">
        <v>72</v>
      </c>
      <c r="AC1194" s="6" t="s">
        <v>72</v>
      </c>
    </row>
    <row r="1195" spans="1:29" x14ac:dyDescent="0.25">
      <c r="A1195" s="145" t="str">
        <f>HYPERLINK("http://www.ofsted.gov.uk/inspection-reports/find-inspection-report/provider/ELS/1244913","Ofsted Webpage")</f>
        <v>Ofsted Webpage</v>
      </c>
      <c r="B1195" s="151">
        <v>1244913</v>
      </c>
      <c r="C1195" s="151">
        <v>10041501</v>
      </c>
      <c r="D1195" s="46" t="s">
        <v>2814</v>
      </c>
      <c r="E1195" s="26" t="s">
        <v>80</v>
      </c>
      <c r="F1195" s="26" t="s">
        <v>79</v>
      </c>
      <c r="G1195" s="26" t="s">
        <v>254</v>
      </c>
      <c r="H1195" s="26" t="s">
        <v>193</v>
      </c>
      <c r="I1195" s="26" t="s">
        <v>193</v>
      </c>
      <c r="J1195" s="2" t="s">
        <v>72</v>
      </c>
      <c r="K1195" s="141" t="s">
        <v>72</v>
      </c>
      <c r="L1195" s="141" t="s">
        <v>72</v>
      </c>
      <c r="M1195" s="26" t="s">
        <v>72</v>
      </c>
      <c r="N1195" s="2" t="s">
        <v>72</v>
      </c>
      <c r="O1195" s="2" t="s">
        <v>72</v>
      </c>
      <c r="P1195" s="119" t="s">
        <v>72</v>
      </c>
      <c r="Q1195" s="6" t="s">
        <v>72</v>
      </c>
      <c r="R1195" s="6" t="s">
        <v>72</v>
      </c>
      <c r="S1195" s="6" t="s">
        <v>72</v>
      </c>
      <c r="T1195" s="6" t="s">
        <v>72</v>
      </c>
      <c r="U1195" s="6" t="s">
        <v>72</v>
      </c>
      <c r="V1195" s="6" t="s">
        <v>72</v>
      </c>
      <c r="W1195" s="5" t="s">
        <v>72</v>
      </c>
      <c r="X1195" s="6" t="s">
        <v>72</v>
      </c>
      <c r="Y1195" s="6" t="s">
        <v>72</v>
      </c>
      <c r="Z1195" s="6" t="s">
        <v>72</v>
      </c>
      <c r="AA1195" s="6" t="s">
        <v>72</v>
      </c>
      <c r="AB1195" s="6" t="s">
        <v>72</v>
      </c>
      <c r="AC1195" s="6" t="s">
        <v>72</v>
      </c>
    </row>
    <row r="1196" spans="1:29" x14ac:dyDescent="0.25">
      <c r="A1196" s="145" t="str">
        <f>HYPERLINK("http://www.ofsted.gov.uk/inspection-reports/find-inspection-report/provider/ELS/1247981","Ofsted Webpage")</f>
        <v>Ofsted Webpage</v>
      </c>
      <c r="B1196" s="151">
        <v>1247981</v>
      </c>
      <c r="C1196" s="151">
        <v>10046498</v>
      </c>
      <c r="D1196" s="46" t="s">
        <v>2817</v>
      </c>
      <c r="E1196" s="26" t="s">
        <v>78</v>
      </c>
      <c r="F1196" s="26" t="s">
        <v>79</v>
      </c>
      <c r="G1196" s="26" t="s">
        <v>296</v>
      </c>
      <c r="H1196" s="26" t="s">
        <v>287</v>
      </c>
      <c r="I1196" s="26" t="s">
        <v>287</v>
      </c>
      <c r="J1196" s="2" t="s">
        <v>72</v>
      </c>
      <c r="K1196" s="141" t="s">
        <v>72</v>
      </c>
      <c r="L1196" s="141" t="s">
        <v>72</v>
      </c>
      <c r="M1196" s="26" t="s">
        <v>72</v>
      </c>
      <c r="N1196" s="2" t="s">
        <v>72</v>
      </c>
      <c r="O1196" s="2" t="s">
        <v>72</v>
      </c>
      <c r="P1196" s="119" t="s">
        <v>72</v>
      </c>
      <c r="Q1196" s="6" t="s">
        <v>72</v>
      </c>
      <c r="R1196" s="6" t="s">
        <v>72</v>
      </c>
      <c r="S1196" s="6" t="s">
        <v>72</v>
      </c>
      <c r="T1196" s="6" t="s">
        <v>72</v>
      </c>
      <c r="U1196" s="6" t="s">
        <v>72</v>
      </c>
      <c r="V1196" s="6" t="s">
        <v>72</v>
      </c>
      <c r="W1196" s="5" t="s">
        <v>72</v>
      </c>
      <c r="X1196" s="6" t="s">
        <v>72</v>
      </c>
      <c r="Y1196" s="6" t="s">
        <v>72</v>
      </c>
      <c r="Z1196" s="6" t="s">
        <v>72</v>
      </c>
      <c r="AA1196" s="6" t="s">
        <v>72</v>
      </c>
      <c r="AB1196" s="6" t="s">
        <v>72</v>
      </c>
      <c r="AC1196" s="6" t="s">
        <v>72</v>
      </c>
    </row>
    <row r="1197" spans="1:29" x14ac:dyDescent="0.25">
      <c r="A1197" s="145" t="str">
        <f>HYPERLINK("http://www.ofsted.gov.uk/inspection-reports/find-inspection-report/provider/ELS/1247982","Ofsted Webpage")</f>
        <v>Ofsted Webpage</v>
      </c>
      <c r="B1197" s="151">
        <v>1247982</v>
      </c>
      <c r="C1197" s="151">
        <v>10043612</v>
      </c>
      <c r="D1197" s="46" t="s">
        <v>2999</v>
      </c>
      <c r="E1197" s="26" t="s">
        <v>78</v>
      </c>
      <c r="F1197" s="26" t="s">
        <v>79</v>
      </c>
      <c r="G1197" s="26" t="s">
        <v>546</v>
      </c>
      <c r="H1197" s="26" t="s">
        <v>175</v>
      </c>
      <c r="I1197" s="26" t="s">
        <v>175</v>
      </c>
      <c r="J1197" s="2" t="s">
        <v>72</v>
      </c>
      <c r="K1197" s="141" t="s">
        <v>72</v>
      </c>
      <c r="L1197" s="141" t="s">
        <v>72</v>
      </c>
      <c r="M1197" s="26" t="s">
        <v>72</v>
      </c>
      <c r="N1197" s="2" t="s">
        <v>72</v>
      </c>
      <c r="O1197" s="2" t="s">
        <v>72</v>
      </c>
      <c r="P1197" s="119" t="s">
        <v>72</v>
      </c>
      <c r="Q1197" s="6" t="s">
        <v>72</v>
      </c>
      <c r="R1197" s="6" t="s">
        <v>72</v>
      </c>
      <c r="S1197" s="6" t="s">
        <v>72</v>
      </c>
      <c r="T1197" s="6" t="s">
        <v>72</v>
      </c>
      <c r="U1197" s="6" t="s">
        <v>72</v>
      </c>
      <c r="V1197" s="6" t="s">
        <v>72</v>
      </c>
      <c r="W1197" s="5" t="s">
        <v>72</v>
      </c>
      <c r="X1197" s="6" t="s">
        <v>72</v>
      </c>
      <c r="Y1197" s="6" t="s">
        <v>72</v>
      </c>
      <c r="Z1197" s="6" t="s">
        <v>72</v>
      </c>
      <c r="AA1197" s="6" t="s">
        <v>72</v>
      </c>
      <c r="AB1197" s="6" t="s">
        <v>72</v>
      </c>
      <c r="AC1197" s="6" t="s">
        <v>72</v>
      </c>
    </row>
    <row r="1198" spans="1:29" x14ac:dyDescent="0.25">
      <c r="A1198" s="145" t="str">
        <f>HYPERLINK("http://www.ofsted.gov.uk/inspection-reports/find-inspection-report/provider/ELS/1247985","Ofsted Webpage")</f>
        <v>Ofsted Webpage</v>
      </c>
      <c r="B1198" s="151">
        <v>1247985</v>
      </c>
      <c r="C1198" s="151">
        <v>10035183</v>
      </c>
      <c r="D1198" s="46" t="s">
        <v>2818</v>
      </c>
      <c r="E1198" s="26" t="s">
        <v>78</v>
      </c>
      <c r="F1198" s="26" t="s">
        <v>79</v>
      </c>
      <c r="G1198" s="26" t="s">
        <v>331</v>
      </c>
      <c r="H1198" s="26" t="s">
        <v>214</v>
      </c>
      <c r="I1198" s="26" t="s">
        <v>214</v>
      </c>
      <c r="J1198" s="2" t="s">
        <v>72</v>
      </c>
      <c r="K1198" s="141" t="s">
        <v>72</v>
      </c>
      <c r="L1198" s="141" t="s">
        <v>72</v>
      </c>
      <c r="M1198" s="26" t="s">
        <v>72</v>
      </c>
      <c r="N1198" s="2" t="s">
        <v>72</v>
      </c>
      <c r="O1198" s="2" t="s">
        <v>72</v>
      </c>
      <c r="P1198" s="119" t="s">
        <v>72</v>
      </c>
      <c r="Q1198" s="6" t="s">
        <v>72</v>
      </c>
      <c r="R1198" s="6" t="s">
        <v>72</v>
      </c>
      <c r="S1198" s="6" t="s">
        <v>72</v>
      </c>
      <c r="T1198" s="6" t="s">
        <v>72</v>
      </c>
      <c r="U1198" s="6" t="s">
        <v>72</v>
      </c>
      <c r="V1198" s="6" t="s">
        <v>72</v>
      </c>
      <c r="W1198" s="5" t="s">
        <v>72</v>
      </c>
      <c r="X1198" s="6" t="s">
        <v>72</v>
      </c>
      <c r="Y1198" s="6" t="s">
        <v>72</v>
      </c>
      <c r="Z1198" s="6" t="s">
        <v>72</v>
      </c>
      <c r="AA1198" s="6" t="s">
        <v>72</v>
      </c>
      <c r="AB1198" s="6" t="s">
        <v>72</v>
      </c>
      <c r="AC1198" s="6" t="s">
        <v>72</v>
      </c>
    </row>
    <row r="1199" spans="1:29" x14ac:dyDescent="0.25">
      <c r="A1199" s="145" t="str">
        <f>HYPERLINK("http://www.ofsted.gov.uk/inspection-reports/find-inspection-report/provider/ELS/1247987","Ofsted Webpage")</f>
        <v>Ofsted Webpage</v>
      </c>
      <c r="B1199" s="151">
        <v>1247987</v>
      </c>
      <c r="C1199" s="151">
        <v>10030935</v>
      </c>
      <c r="D1199" s="46" t="s">
        <v>3000</v>
      </c>
      <c r="E1199" s="26" t="s">
        <v>78</v>
      </c>
      <c r="F1199" s="26" t="s">
        <v>79</v>
      </c>
      <c r="G1199" s="26" t="s">
        <v>329</v>
      </c>
      <c r="H1199" s="26" t="s">
        <v>175</v>
      </c>
      <c r="I1199" s="26" t="s">
        <v>175</v>
      </c>
      <c r="J1199" s="2" t="s">
        <v>72</v>
      </c>
      <c r="K1199" s="141" t="s">
        <v>72</v>
      </c>
      <c r="L1199" s="141" t="s">
        <v>72</v>
      </c>
      <c r="M1199" s="26" t="s">
        <v>72</v>
      </c>
      <c r="N1199" s="2" t="s">
        <v>72</v>
      </c>
      <c r="O1199" s="2" t="s">
        <v>72</v>
      </c>
      <c r="P1199" s="119" t="s">
        <v>72</v>
      </c>
      <c r="Q1199" s="6" t="s">
        <v>72</v>
      </c>
      <c r="R1199" s="6" t="s">
        <v>72</v>
      </c>
      <c r="S1199" s="6" t="s">
        <v>72</v>
      </c>
      <c r="T1199" s="6" t="s">
        <v>72</v>
      </c>
      <c r="U1199" s="6" t="s">
        <v>72</v>
      </c>
      <c r="V1199" s="6" t="s">
        <v>72</v>
      </c>
      <c r="W1199" s="5" t="s">
        <v>72</v>
      </c>
      <c r="X1199" s="6" t="s">
        <v>72</v>
      </c>
      <c r="Y1199" s="6" t="s">
        <v>72</v>
      </c>
      <c r="Z1199" s="6" t="s">
        <v>72</v>
      </c>
      <c r="AA1199" s="6" t="s">
        <v>72</v>
      </c>
      <c r="AB1199" s="6" t="s">
        <v>72</v>
      </c>
      <c r="AC1199" s="6" t="s">
        <v>72</v>
      </c>
    </row>
    <row r="1200" spans="1:29" x14ac:dyDescent="0.25">
      <c r="A1200" s="145" t="str">
        <f>HYPERLINK("http://www.ofsted.gov.uk/inspection-reports/find-inspection-report/provider/ELS/1247989","Ofsted Webpage")</f>
        <v>Ofsted Webpage</v>
      </c>
      <c r="B1200" s="131">
        <v>1247989</v>
      </c>
      <c r="C1200" s="131">
        <v>10031544</v>
      </c>
      <c r="D1200" s="46" t="s">
        <v>2819</v>
      </c>
      <c r="E1200" s="26" t="s">
        <v>78</v>
      </c>
      <c r="F1200" s="26" t="s">
        <v>79</v>
      </c>
      <c r="G1200" s="26" t="s">
        <v>1320</v>
      </c>
      <c r="H1200" s="26" t="s">
        <v>497</v>
      </c>
      <c r="I1200" s="26" t="s">
        <v>198</v>
      </c>
      <c r="J1200" s="2" t="s">
        <v>72</v>
      </c>
      <c r="K1200" s="26" t="s">
        <v>72</v>
      </c>
      <c r="L1200" s="26" t="s">
        <v>72</v>
      </c>
      <c r="M1200" s="26" t="s">
        <v>72</v>
      </c>
      <c r="N1200" s="2" t="s">
        <v>72</v>
      </c>
      <c r="O1200" s="2" t="s">
        <v>72</v>
      </c>
      <c r="P1200" s="2" t="s">
        <v>72</v>
      </c>
      <c r="Q1200" s="6" t="s">
        <v>72</v>
      </c>
      <c r="R1200" s="6" t="s">
        <v>72</v>
      </c>
      <c r="S1200" s="6" t="s">
        <v>72</v>
      </c>
      <c r="T1200" s="6" t="s">
        <v>72</v>
      </c>
      <c r="U1200" s="6" t="s">
        <v>72</v>
      </c>
      <c r="V1200" s="6" t="s">
        <v>72</v>
      </c>
      <c r="W1200" s="5" t="s">
        <v>72</v>
      </c>
      <c r="X1200" s="6" t="s">
        <v>72</v>
      </c>
      <c r="Y1200" s="6" t="s">
        <v>72</v>
      </c>
      <c r="Z1200" s="6" t="s">
        <v>72</v>
      </c>
      <c r="AA1200" s="6" t="s">
        <v>72</v>
      </c>
      <c r="AB1200" s="6" t="s">
        <v>72</v>
      </c>
      <c r="AC1200" s="6" t="s">
        <v>72</v>
      </c>
    </row>
    <row r="1201" spans="1:29" x14ac:dyDescent="0.25">
      <c r="A1201" s="145" t="str">
        <f>HYPERLINK("http://www.ofsted.gov.uk/inspection-reports/find-inspection-report/provider/ELS/1247990","Ofsted Webpage")</f>
        <v>Ofsted Webpage</v>
      </c>
      <c r="B1201" s="131">
        <v>1247990</v>
      </c>
      <c r="C1201" s="131">
        <v>10024751</v>
      </c>
      <c r="D1201" s="46" t="s">
        <v>2820</v>
      </c>
      <c r="E1201" s="26" t="s">
        <v>78</v>
      </c>
      <c r="F1201" s="26" t="s">
        <v>79</v>
      </c>
      <c r="G1201" s="26" t="s">
        <v>705</v>
      </c>
      <c r="H1201" s="26" t="s">
        <v>187</v>
      </c>
      <c r="I1201" s="26" t="s">
        <v>188</v>
      </c>
      <c r="J1201" s="2" t="s">
        <v>72</v>
      </c>
      <c r="K1201" s="26" t="s">
        <v>72</v>
      </c>
      <c r="L1201" s="26" t="s">
        <v>72</v>
      </c>
      <c r="M1201" s="26" t="s">
        <v>72</v>
      </c>
      <c r="N1201" s="2" t="s">
        <v>72</v>
      </c>
      <c r="O1201" s="2" t="s">
        <v>72</v>
      </c>
      <c r="P1201" s="2" t="s">
        <v>72</v>
      </c>
      <c r="Q1201" s="6" t="s">
        <v>72</v>
      </c>
      <c r="R1201" s="6" t="s">
        <v>72</v>
      </c>
      <c r="S1201" s="6" t="s">
        <v>72</v>
      </c>
      <c r="T1201" s="6" t="s">
        <v>72</v>
      </c>
      <c r="U1201" s="6" t="s">
        <v>72</v>
      </c>
      <c r="V1201" s="6" t="s">
        <v>72</v>
      </c>
      <c r="W1201" s="5" t="s">
        <v>72</v>
      </c>
      <c r="X1201" s="6" t="s">
        <v>72</v>
      </c>
      <c r="Y1201" s="6" t="s">
        <v>72</v>
      </c>
      <c r="Z1201" s="6" t="s">
        <v>72</v>
      </c>
      <c r="AA1201" s="6" t="s">
        <v>72</v>
      </c>
      <c r="AB1201" s="6" t="s">
        <v>72</v>
      </c>
      <c r="AC1201" s="6" t="s">
        <v>72</v>
      </c>
    </row>
    <row r="1202" spans="1:29" x14ac:dyDescent="0.25">
      <c r="A1202" s="145" t="str">
        <f>HYPERLINK("http://www.ofsted.gov.uk/inspection-reports/find-inspection-report/provider/ELS/1247993","Ofsted Webpage")</f>
        <v>Ofsted Webpage</v>
      </c>
      <c r="B1202" s="131">
        <v>1247993</v>
      </c>
      <c r="C1202" s="131">
        <v>10038201</v>
      </c>
      <c r="D1202" s="46" t="s">
        <v>3059</v>
      </c>
      <c r="E1202" s="26" t="s">
        <v>78</v>
      </c>
      <c r="F1202" s="26" t="s">
        <v>79</v>
      </c>
      <c r="G1202" s="26" t="s">
        <v>361</v>
      </c>
      <c r="H1202" s="26" t="s">
        <v>198</v>
      </c>
      <c r="I1202" s="26" t="s">
        <v>198</v>
      </c>
      <c r="J1202" s="2" t="s">
        <v>72</v>
      </c>
      <c r="K1202" s="26" t="s">
        <v>72</v>
      </c>
      <c r="L1202" s="26" t="s">
        <v>72</v>
      </c>
      <c r="M1202" s="26" t="s">
        <v>72</v>
      </c>
      <c r="N1202" s="2" t="s">
        <v>72</v>
      </c>
      <c r="O1202" s="2" t="s">
        <v>72</v>
      </c>
      <c r="P1202" s="2" t="s">
        <v>72</v>
      </c>
      <c r="Q1202" s="6" t="s">
        <v>72</v>
      </c>
      <c r="R1202" s="6" t="s">
        <v>72</v>
      </c>
      <c r="S1202" s="6" t="s">
        <v>72</v>
      </c>
      <c r="T1202" s="6" t="s">
        <v>72</v>
      </c>
      <c r="U1202" s="6" t="s">
        <v>72</v>
      </c>
      <c r="V1202" s="6" t="s">
        <v>72</v>
      </c>
      <c r="W1202" s="5" t="s">
        <v>72</v>
      </c>
      <c r="X1202" s="6" t="s">
        <v>72</v>
      </c>
      <c r="Y1202" s="6" t="s">
        <v>72</v>
      </c>
      <c r="Z1202" s="6" t="s">
        <v>72</v>
      </c>
      <c r="AA1202" s="6" t="s">
        <v>72</v>
      </c>
      <c r="AB1202" s="6" t="s">
        <v>72</v>
      </c>
      <c r="AC1202" s="6" t="s">
        <v>72</v>
      </c>
    </row>
    <row r="1203" spans="1:29" x14ac:dyDescent="0.25">
      <c r="A1203" s="145" t="str">
        <f>HYPERLINK("http://www.ofsted.gov.uk/inspection-reports/find-inspection-report/provider/ELS/1247994","Ofsted Webpage")</f>
        <v>Ofsted Webpage</v>
      </c>
      <c r="B1203" s="131">
        <v>1247994</v>
      </c>
      <c r="C1203" s="131">
        <v>10027453</v>
      </c>
      <c r="D1203" s="46" t="s">
        <v>2782</v>
      </c>
      <c r="E1203" s="26" t="s">
        <v>78</v>
      </c>
      <c r="F1203" s="26" t="s">
        <v>79</v>
      </c>
      <c r="G1203" s="26" t="s">
        <v>1406</v>
      </c>
      <c r="H1203" s="26" t="s">
        <v>287</v>
      </c>
      <c r="I1203" s="26" t="s">
        <v>287</v>
      </c>
      <c r="J1203" s="2" t="s">
        <v>72</v>
      </c>
      <c r="K1203" s="26" t="s">
        <v>72</v>
      </c>
      <c r="L1203" s="26" t="s">
        <v>72</v>
      </c>
      <c r="M1203" s="26" t="s">
        <v>72</v>
      </c>
      <c r="N1203" s="2" t="s">
        <v>72</v>
      </c>
      <c r="O1203" s="2" t="s">
        <v>72</v>
      </c>
      <c r="P1203" s="2" t="s">
        <v>72</v>
      </c>
      <c r="Q1203" s="6" t="s">
        <v>72</v>
      </c>
      <c r="R1203" s="6" t="s">
        <v>72</v>
      </c>
      <c r="S1203" s="6" t="s">
        <v>72</v>
      </c>
      <c r="T1203" s="6" t="s">
        <v>72</v>
      </c>
      <c r="U1203" s="6" t="s">
        <v>72</v>
      </c>
      <c r="V1203" s="6" t="s">
        <v>72</v>
      </c>
      <c r="W1203" s="5" t="s">
        <v>72</v>
      </c>
      <c r="X1203" s="6" t="s">
        <v>72</v>
      </c>
      <c r="Y1203" s="6" t="s">
        <v>72</v>
      </c>
      <c r="Z1203" s="6" t="s">
        <v>72</v>
      </c>
      <c r="AA1203" s="6" t="s">
        <v>72</v>
      </c>
      <c r="AB1203" s="6" t="s">
        <v>72</v>
      </c>
      <c r="AC1203" s="6" t="s">
        <v>72</v>
      </c>
    </row>
    <row r="1204" spans="1:29" x14ac:dyDescent="0.25">
      <c r="A1204" s="145" t="str">
        <f>HYPERLINK("http://www.ofsted.gov.uk/inspection-reports/find-inspection-report/provider/ELS/1247997","Ofsted Webpage")</f>
        <v>Ofsted Webpage</v>
      </c>
      <c r="B1204" s="131">
        <v>1247997</v>
      </c>
      <c r="C1204" s="131">
        <v>10037715</v>
      </c>
      <c r="D1204" s="46" t="s">
        <v>2783</v>
      </c>
      <c r="E1204" s="26" t="s">
        <v>78</v>
      </c>
      <c r="F1204" s="26" t="s">
        <v>79</v>
      </c>
      <c r="G1204" s="26" t="s">
        <v>1199</v>
      </c>
      <c r="H1204" s="26" t="s">
        <v>287</v>
      </c>
      <c r="I1204" s="26" t="s">
        <v>287</v>
      </c>
      <c r="J1204" s="2" t="s">
        <v>72</v>
      </c>
      <c r="K1204" s="26" t="s">
        <v>72</v>
      </c>
      <c r="L1204" s="26" t="s">
        <v>72</v>
      </c>
      <c r="M1204" s="26" t="s">
        <v>72</v>
      </c>
      <c r="N1204" s="2" t="s">
        <v>72</v>
      </c>
      <c r="O1204" s="2" t="s">
        <v>72</v>
      </c>
      <c r="P1204" s="2" t="s">
        <v>72</v>
      </c>
      <c r="Q1204" s="6" t="s">
        <v>72</v>
      </c>
      <c r="R1204" s="6" t="s">
        <v>72</v>
      </c>
      <c r="S1204" s="6" t="s">
        <v>72</v>
      </c>
      <c r="T1204" s="6" t="s">
        <v>72</v>
      </c>
      <c r="U1204" s="6" t="s">
        <v>72</v>
      </c>
      <c r="V1204" s="6" t="s">
        <v>72</v>
      </c>
      <c r="W1204" s="5" t="s">
        <v>72</v>
      </c>
      <c r="X1204" s="6" t="s">
        <v>72</v>
      </c>
      <c r="Y1204" s="6" t="s">
        <v>72</v>
      </c>
      <c r="Z1204" s="6" t="s">
        <v>72</v>
      </c>
      <c r="AA1204" s="6" t="s">
        <v>72</v>
      </c>
      <c r="AB1204" s="6" t="s">
        <v>72</v>
      </c>
      <c r="AC1204" s="6" t="s">
        <v>72</v>
      </c>
    </row>
    <row r="1205" spans="1:29" x14ac:dyDescent="0.25">
      <c r="A1205" s="145" t="str">
        <f>HYPERLINK("http://www.ofsted.gov.uk/inspection-reports/find-inspection-report/provider/ELS/1247998","Ofsted Webpage")</f>
        <v>Ofsted Webpage</v>
      </c>
      <c r="B1205" s="131">
        <v>1247998</v>
      </c>
      <c r="C1205" s="131">
        <v>10038501</v>
      </c>
      <c r="D1205" s="46" t="s">
        <v>2784</v>
      </c>
      <c r="E1205" s="26" t="s">
        <v>78</v>
      </c>
      <c r="F1205" s="26" t="s">
        <v>79</v>
      </c>
      <c r="G1205" s="26" t="s">
        <v>197</v>
      </c>
      <c r="H1205" s="26" t="s">
        <v>198</v>
      </c>
      <c r="I1205" s="26" t="s">
        <v>198</v>
      </c>
      <c r="J1205" s="2" t="s">
        <v>72</v>
      </c>
      <c r="K1205" s="26" t="s">
        <v>72</v>
      </c>
      <c r="L1205" s="26" t="s">
        <v>72</v>
      </c>
      <c r="M1205" s="26" t="s">
        <v>72</v>
      </c>
      <c r="N1205" s="2" t="s">
        <v>72</v>
      </c>
      <c r="O1205" s="2" t="s">
        <v>72</v>
      </c>
      <c r="P1205" s="2" t="s">
        <v>72</v>
      </c>
      <c r="Q1205" s="6" t="s">
        <v>72</v>
      </c>
      <c r="R1205" s="6" t="s">
        <v>72</v>
      </c>
      <c r="S1205" s="6" t="s">
        <v>72</v>
      </c>
      <c r="T1205" s="6" t="s">
        <v>72</v>
      </c>
      <c r="U1205" s="6" t="s">
        <v>72</v>
      </c>
      <c r="V1205" s="6" t="s">
        <v>72</v>
      </c>
      <c r="W1205" s="5" t="s">
        <v>72</v>
      </c>
      <c r="X1205" s="6" t="s">
        <v>72</v>
      </c>
      <c r="Y1205" s="6" t="s">
        <v>72</v>
      </c>
      <c r="Z1205" s="6" t="s">
        <v>72</v>
      </c>
      <c r="AA1205" s="6" t="s">
        <v>72</v>
      </c>
      <c r="AB1205" s="6" t="s">
        <v>72</v>
      </c>
      <c r="AC1205" s="6" t="s">
        <v>72</v>
      </c>
    </row>
    <row r="1206" spans="1:29" x14ac:dyDescent="0.25">
      <c r="A1206" s="145" t="str">
        <f>HYPERLINK("http://www.ofsted.gov.uk/inspection-reports/find-inspection-report/provider/ELS/1248000","Ofsted Webpage")</f>
        <v>Ofsted Webpage</v>
      </c>
      <c r="B1206" s="131">
        <v>1248000</v>
      </c>
      <c r="C1206" s="131">
        <v>10023705</v>
      </c>
      <c r="D1206" s="46" t="s">
        <v>3060</v>
      </c>
      <c r="E1206" s="26" t="s">
        <v>78</v>
      </c>
      <c r="F1206" s="26" t="s">
        <v>79</v>
      </c>
      <c r="G1206" s="26" t="s">
        <v>1199</v>
      </c>
      <c r="H1206" s="26" t="s">
        <v>287</v>
      </c>
      <c r="I1206" s="26" t="s">
        <v>287</v>
      </c>
      <c r="J1206" s="2" t="s">
        <v>72</v>
      </c>
      <c r="K1206" s="26" t="s">
        <v>72</v>
      </c>
      <c r="L1206" s="26" t="s">
        <v>72</v>
      </c>
      <c r="M1206" s="26" t="s">
        <v>72</v>
      </c>
      <c r="N1206" s="2" t="s">
        <v>72</v>
      </c>
      <c r="O1206" s="2" t="s">
        <v>72</v>
      </c>
      <c r="P1206" s="2" t="s">
        <v>72</v>
      </c>
      <c r="Q1206" s="6" t="s">
        <v>72</v>
      </c>
      <c r="R1206" s="6" t="s">
        <v>72</v>
      </c>
      <c r="S1206" s="6" t="s">
        <v>72</v>
      </c>
      <c r="T1206" s="6" t="s">
        <v>72</v>
      </c>
      <c r="U1206" s="6" t="s">
        <v>72</v>
      </c>
      <c r="V1206" s="6" t="s">
        <v>72</v>
      </c>
      <c r="W1206" s="5" t="s">
        <v>72</v>
      </c>
      <c r="X1206" s="6" t="s">
        <v>72</v>
      </c>
      <c r="Y1206" s="6" t="s">
        <v>72</v>
      </c>
      <c r="Z1206" s="6" t="s">
        <v>72</v>
      </c>
      <c r="AA1206" s="6" t="s">
        <v>72</v>
      </c>
      <c r="AB1206" s="6" t="s">
        <v>72</v>
      </c>
      <c r="AC1206" s="6" t="s">
        <v>72</v>
      </c>
    </row>
    <row r="1207" spans="1:29" x14ac:dyDescent="0.25">
      <c r="A1207" s="145" t="str">
        <f>HYPERLINK("http://www.ofsted.gov.uk/inspection-reports/find-inspection-report/provider/ELS/1248003","Ofsted Webpage")</f>
        <v>Ofsted Webpage</v>
      </c>
      <c r="B1207" s="131">
        <v>1248003</v>
      </c>
      <c r="C1207" s="131">
        <v>10042437</v>
      </c>
      <c r="D1207" s="46" t="s">
        <v>2785</v>
      </c>
      <c r="E1207" s="26" t="s">
        <v>78</v>
      </c>
      <c r="F1207" s="26" t="s">
        <v>79</v>
      </c>
      <c r="G1207" s="26" t="s">
        <v>851</v>
      </c>
      <c r="H1207" s="26" t="s">
        <v>238</v>
      </c>
      <c r="I1207" s="26" t="s">
        <v>238</v>
      </c>
      <c r="J1207" s="2" t="s">
        <v>72</v>
      </c>
      <c r="K1207" s="26" t="s">
        <v>72</v>
      </c>
      <c r="L1207" s="26" t="s">
        <v>72</v>
      </c>
      <c r="M1207" s="26" t="s">
        <v>72</v>
      </c>
      <c r="N1207" s="2" t="s">
        <v>72</v>
      </c>
      <c r="O1207" s="2" t="s">
        <v>72</v>
      </c>
      <c r="P1207" s="2" t="s">
        <v>72</v>
      </c>
      <c r="Q1207" s="6" t="s">
        <v>72</v>
      </c>
      <c r="R1207" s="6" t="s">
        <v>72</v>
      </c>
      <c r="S1207" s="6" t="s">
        <v>72</v>
      </c>
      <c r="T1207" s="6" t="s">
        <v>72</v>
      </c>
      <c r="U1207" s="6" t="s">
        <v>72</v>
      </c>
      <c r="V1207" s="6" t="s">
        <v>72</v>
      </c>
      <c r="W1207" s="5" t="s">
        <v>72</v>
      </c>
      <c r="X1207" s="6" t="s">
        <v>72</v>
      </c>
      <c r="Y1207" s="6" t="s">
        <v>72</v>
      </c>
      <c r="Z1207" s="6" t="s">
        <v>72</v>
      </c>
      <c r="AA1207" s="6" t="s">
        <v>72</v>
      </c>
      <c r="AB1207" s="6" t="s">
        <v>72</v>
      </c>
      <c r="AC1207" s="6" t="s">
        <v>72</v>
      </c>
    </row>
    <row r="1208" spans="1:29" x14ac:dyDescent="0.25">
      <c r="A1208" s="145" t="str">
        <f>HYPERLINK("http://www.ofsted.gov.uk/inspection-reports/find-inspection-report/provider/ELS/1248004","Ofsted Webpage")</f>
        <v>Ofsted Webpage</v>
      </c>
      <c r="B1208" s="131">
        <v>1248004</v>
      </c>
      <c r="C1208" s="131">
        <v>10041311</v>
      </c>
      <c r="D1208" s="46" t="s">
        <v>2786</v>
      </c>
      <c r="E1208" s="26" t="s">
        <v>78</v>
      </c>
      <c r="F1208" s="26" t="s">
        <v>79</v>
      </c>
      <c r="G1208" s="26" t="s">
        <v>310</v>
      </c>
      <c r="H1208" s="26" t="s">
        <v>204</v>
      </c>
      <c r="I1208" s="26" t="s">
        <v>188</v>
      </c>
      <c r="J1208" s="2" t="s">
        <v>72</v>
      </c>
      <c r="K1208" s="26" t="s">
        <v>72</v>
      </c>
      <c r="L1208" s="26" t="s">
        <v>72</v>
      </c>
      <c r="M1208" s="26" t="s">
        <v>72</v>
      </c>
      <c r="N1208" s="2" t="s">
        <v>72</v>
      </c>
      <c r="O1208" s="2" t="s">
        <v>72</v>
      </c>
      <c r="P1208" s="2" t="s">
        <v>72</v>
      </c>
      <c r="Q1208" s="6" t="s">
        <v>72</v>
      </c>
      <c r="R1208" s="6" t="s">
        <v>72</v>
      </c>
      <c r="S1208" s="6" t="s">
        <v>72</v>
      </c>
      <c r="T1208" s="6" t="s">
        <v>72</v>
      </c>
      <c r="U1208" s="6" t="s">
        <v>72</v>
      </c>
      <c r="V1208" s="6" t="s">
        <v>72</v>
      </c>
      <c r="W1208" s="5" t="s">
        <v>72</v>
      </c>
      <c r="X1208" s="6" t="s">
        <v>72</v>
      </c>
      <c r="Y1208" s="6" t="s">
        <v>72</v>
      </c>
      <c r="Z1208" s="6" t="s">
        <v>72</v>
      </c>
      <c r="AA1208" s="6" t="s">
        <v>72</v>
      </c>
      <c r="AB1208" s="6" t="s">
        <v>72</v>
      </c>
      <c r="AC1208" s="6" t="s">
        <v>72</v>
      </c>
    </row>
    <row r="1209" spans="1:29" x14ac:dyDescent="0.25">
      <c r="A1209" s="145" t="str">
        <f>HYPERLINK("http://www.ofsted.gov.uk/inspection-reports/find-inspection-report/provider/ELS/1248007","Ofsted Webpage")</f>
        <v>Ofsted Webpage</v>
      </c>
      <c r="B1209" s="131">
        <v>1248007</v>
      </c>
      <c r="C1209" s="131">
        <v>10005094</v>
      </c>
      <c r="D1209" s="46" t="s">
        <v>2787</v>
      </c>
      <c r="E1209" s="26" t="s">
        <v>78</v>
      </c>
      <c r="F1209" s="26" t="s">
        <v>79</v>
      </c>
      <c r="G1209" s="26" t="s">
        <v>223</v>
      </c>
      <c r="H1209" s="26" t="s">
        <v>193</v>
      </c>
      <c r="I1209" s="26" t="s">
        <v>193</v>
      </c>
      <c r="J1209" s="2" t="s">
        <v>72</v>
      </c>
      <c r="K1209" s="26" t="s">
        <v>72</v>
      </c>
      <c r="L1209" s="26" t="s">
        <v>72</v>
      </c>
      <c r="M1209" s="26" t="s">
        <v>72</v>
      </c>
      <c r="N1209" s="2" t="s">
        <v>72</v>
      </c>
      <c r="O1209" s="2" t="s">
        <v>72</v>
      </c>
      <c r="P1209" s="2" t="s">
        <v>72</v>
      </c>
      <c r="Q1209" s="6" t="s">
        <v>72</v>
      </c>
      <c r="R1209" s="6" t="s">
        <v>72</v>
      </c>
      <c r="S1209" s="6" t="s">
        <v>72</v>
      </c>
      <c r="T1209" s="6" t="s">
        <v>72</v>
      </c>
      <c r="U1209" s="6" t="s">
        <v>72</v>
      </c>
      <c r="V1209" s="6" t="s">
        <v>72</v>
      </c>
      <c r="W1209" s="5" t="s">
        <v>72</v>
      </c>
      <c r="X1209" s="6" t="s">
        <v>72</v>
      </c>
      <c r="Y1209" s="6" t="s">
        <v>72</v>
      </c>
      <c r="Z1209" s="6" t="s">
        <v>72</v>
      </c>
      <c r="AA1209" s="6" t="s">
        <v>72</v>
      </c>
      <c r="AB1209" s="6" t="s">
        <v>72</v>
      </c>
      <c r="AC1209" s="6" t="s">
        <v>72</v>
      </c>
    </row>
    <row r="1210" spans="1:29" x14ac:dyDescent="0.25">
      <c r="A1210" s="145" t="str">
        <f>HYPERLINK("http://www.ofsted.gov.uk/inspection-reports/find-inspection-report/provider/ELS/1248008","Ofsted Webpage")</f>
        <v>Ofsted Webpage</v>
      </c>
      <c r="B1210" s="151">
        <v>1248008</v>
      </c>
      <c r="C1210" s="151">
        <v>10036585</v>
      </c>
      <c r="D1210" s="46" t="s">
        <v>2788</v>
      </c>
      <c r="E1210" s="26" t="s">
        <v>78</v>
      </c>
      <c r="F1210" s="26" t="s">
        <v>79</v>
      </c>
      <c r="G1210" s="26" t="s">
        <v>504</v>
      </c>
      <c r="H1210" s="26" t="s">
        <v>214</v>
      </c>
      <c r="I1210" s="26" t="s">
        <v>214</v>
      </c>
      <c r="J1210" s="2" t="s">
        <v>72</v>
      </c>
      <c r="K1210" s="141" t="s">
        <v>72</v>
      </c>
      <c r="L1210" s="141" t="s">
        <v>72</v>
      </c>
      <c r="M1210" s="26" t="s">
        <v>72</v>
      </c>
      <c r="N1210" s="2" t="s">
        <v>72</v>
      </c>
      <c r="O1210" s="2" t="s">
        <v>72</v>
      </c>
      <c r="P1210" s="133" t="s">
        <v>72</v>
      </c>
      <c r="Q1210" s="6" t="s">
        <v>72</v>
      </c>
      <c r="R1210" s="6" t="s">
        <v>72</v>
      </c>
      <c r="S1210" s="6" t="s">
        <v>72</v>
      </c>
      <c r="T1210" s="6" t="s">
        <v>72</v>
      </c>
      <c r="U1210" s="6" t="s">
        <v>72</v>
      </c>
      <c r="V1210" s="6" t="s">
        <v>72</v>
      </c>
      <c r="W1210" s="5" t="s">
        <v>72</v>
      </c>
      <c r="X1210" s="6" t="s">
        <v>72</v>
      </c>
      <c r="Y1210" s="6" t="s">
        <v>72</v>
      </c>
      <c r="Z1210" s="6" t="s">
        <v>72</v>
      </c>
      <c r="AA1210" s="6" t="s">
        <v>72</v>
      </c>
      <c r="AB1210" s="6" t="s">
        <v>72</v>
      </c>
      <c r="AC1210" s="6" t="s">
        <v>72</v>
      </c>
    </row>
    <row r="1211" spans="1:29" x14ac:dyDescent="0.25">
      <c r="A1211" s="145" t="str">
        <f>HYPERLINK("http://www.ofsted.gov.uk/inspection-reports/find-inspection-report/provider/ELS/1248012","Ofsted Webpage")</f>
        <v>Ofsted Webpage</v>
      </c>
      <c r="B1211" s="151">
        <v>1248012</v>
      </c>
      <c r="C1211" s="151">
        <v>10028938</v>
      </c>
      <c r="D1211" s="46" t="s">
        <v>2789</v>
      </c>
      <c r="E1211" s="26" t="s">
        <v>78</v>
      </c>
      <c r="F1211" s="26" t="s">
        <v>79</v>
      </c>
      <c r="G1211" s="26" t="s">
        <v>218</v>
      </c>
      <c r="H1211" s="26" t="s">
        <v>219</v>
      </c>
      <c r="I1211" s="26" t="s">
        <v>219</v>
      </c>
      <c r="J1211" s="2" t="s">
        <v>72</v>
      </c>
      <c r="K1211" s="141" t="s">
        <v>72</v>
      </c>
      <c r="L1211" s="141" t="s">
        <v>72</v>
      </c>
      <c r="M1211" s="26" t="s">
        <v>72</v>
      </c>
      <c r="N1211" s="2" t="s">
        <v>72</v>
      </c>
      <c r="O1211" s="2" t="s">
        <v>72</v>
      </c>
      <c r="P1211" s="133" t="s">
        <v>72</v>
      </c>
      <c r="Q1211" s="6" t="s">
        <v>72</v>
      </c>
      <c r="R1211" s="6" t="s">
        <v>72</v>
      </c>
      <c r="S1211" s="6" t="s">
        <v>72</v>
      </c>
      <c r="T1211" s="6" t="s">
        <v>72</v>
      </c>
      <c r="U1211" s="6" t="s">
        <v>72</v>
      </c>
      <c r="V1211" s="6" t="s">
        <v>72</v>
      </c>
      <c r="W1211" s="5" t="s">
        <v>72</v>
      </c>
      <c r="X1211" s="6" t="s">
        <v>72</v>
      </c>
      <c r="Y1211" s="6" t="s">
        <v>72</v>
      </c>
      <c r="Z1211" s="6" t="s">
        <v>72</v>
      </c>
      <c r="AA1211" s="6" t="s">
        <v>72</v>
      </c>
      <c r="AB1211" s="6" t="s">
        <v>72</v>
      </c>
      <c r="AC1211" s="6" t="s">
        <v>72</v>
      </c>
    </row>
    <row r="1212" spans="1:29" x14ac:dyDescent="0.25">
      <c r="A1212" s="145" t="str">
        <f>HYPERLINK("http://www.ofsted.gov.uk/inspection-reports/find-inspection-report/provider/ELS/1248014","Ofsted Webpage")</f>
        <v>Ofsted Webpage</v>
      </c>
      <c r="B1212" s="151">
        <v>1248014</v>
      </c>
      <c r="C1212" s="151">
        <v>10020068</v>
      </c>
      <c r="D1212" s="46" t="s">
        <v>2790</v>
      </c>
      <c r="E1212" s="26" t="s">
        <v>78</v>
      </c>
      <c r="F1212" s="26" t="s">
        <v>79</v>
      </c>
      <c r="G1212" s="26" t="s">
        <v>939</v>
      </c>
      <c r="H1212" s="26" t="s">
        <v>287</v>
      </c>
      <c r="I1212" s="26" t="s">
        <v>287</v>
      </c>
      <c r="J1212" s="2" t="s">
        <v>72</v>
      </c>
      <c r="K1212" s="141" t="s">
        <v>72</v>
      </c>
      <c r="L1212" s="141" t="s">
        <v>72</v>
      </c>
      <c r="M1212" s="26" t="s">
        <v>72</v>
      </c>
      <c r="N1212" s="2" t="s">
        <v>72</v>
      </c>
      <c r="O1212" s="2" t="s">
        <v>72</v>
      </c>
      <c r="P1212" s="133" t="s">
        <v>72</v>
      </c>
      <c r="Q1212" s="6" t="s">
        <v>72</v>
      </c>
      <c r="R1212" s="6" t="s">
        <v>72</v>
      </c>
      <c r="S1212" s="6" t="s">
        <v>72</v>
      </c>
      <c r="T1212" s="6" t="s">
        <v>72</v>
      </c>
      <c r="U1212" s="6" t="s">
        <v>72</v>
      </c>
      <c r="V1212" s="6" t="s">
        <v>72</v>
      </c>
      <c r="W1212" s="5" t="s">
        <v>72</v>
      </c>
      <c r="X1212" s="6" t="s">
        <v>72</v>
      </c>
      <c r="Y1212" s="6" t="s">
        <v>72</v>
      </c>
      <c r="Z1212" s="6" t="s">
        <v>72</v>
      </c>
      <c r="AA1212" s="6" t="s">
        <v>72</v>
      </c>
      <c r="AB1212" s="6" t="s">
        <v>72</v>
      </c>
      <c r="AC1212" s="6" t="s">
        <v>72</v>
      </c>
    </row>
    <row r="1213" spans="1:29" x14ac:dyDescent="0.25">
      <c r="A1213" s="145" t="str">
        <f>HYPERLINK("http://www.ofsted.gov.uk/inspection-reports/find-inspection-report/provider/ELS/1248015","Ofsted Webpage")</f>
        <v>Ofsted Webpage</v>
      </c>
      <c r="B1213" s="151">
        <v>1248015</v>
      </c>
      <c r="C1213" s="151">
        <v>10036134</v>
      </c>
      <c r="D1213" s="46" t="s">
        <v>2791</v>
      </c>
      <c r="E1213" s="26" t="s">
        <v>78</v>
      </c>
      <c r="F1213" s="26" t="s">
        <v>79</v>
      </c>
      <c r="G1213" s="26" t="s">
        <v>705</v>
      </c>
      <c r="H1213" s="26" t="s">
        <v>187</v>
      </c>
      <c r="I1213" s="26" t="s">
        <v>188</v>
      </c>
      <c r="J1213" s="2" t="s">
        <v>72</v>
      </c>
      <c r="K1213" s="141" t="s">
        <v>72</v>
      </c>
      <c r="L1213" s="141" t="s">
        <v>72</v>
      </c>
      <c r="M1213" s="26" t="s">
        <v>72</v>
      </c>
      <c r="N1213" s="2" t="s">
        <v>72</v>
      </c>
      <c r="O1213" s="2" t="s">
        <v>72</v>
      </c>
      <c r="P1213" s="133" t="s">
        <v>72</v>
      </c>
      <c r="Q1213" s="6" t="s">
        <v>72</v>
      </c>
      <c r="R1213" s="6" t="s">
        <v>72</v>
      </c>
      <c r="S1213" s="6" t="s">
        <v>72</v>
      </c>
      <c r="T1213" s="6" t="s">
        <v>72</v>
      </c>
      <c r="U1213" s="6" t="s">
        <v>72</v>
      </c>
      <c r="V1213" s="6" t="s">
        <v>72</v>
      </c>
      <c r="W1213" s="5" t="s">
        <v>72</v>
      </c>
      <c r="X1213" s="6" t="s">
        <v>72</v>
      </c>
      <c r="Y1213" s="6" t="s">
        <v>72</v>
      </c>
      <c r="Z1213" s="6" t="s">
        <v>72</v>
      </c>
      <c r="AA1213" s="6" t="s">
        <v>72</v>
      </c>
      <c r="AB1213" s="6" t="s">
        <v>72</v>
      </c>
      <c r="AC1213" s="6" t="s">
        <v>72</v>
      </c>
    </row>
    <row r="1214" spans="1:29" x14ac:dyDescent="0.25">
      <c r="A1214" s="145" t="str">
        <f>HYPERLINK("http://www.ofsted.gov.uk/inspection-reports/find-inspection-report/provider/ELS/1248018","Ofsted Webpage")</f>
        <v>Ofsted Webpage</v>
      </c>
      <c r="B1214" s="151">
        <v>1248018</v>
      </c>
      <c r="C1214" s="151">
        <v>10031424</v>
      </c>
      <c r="D1214" s="46" t="s">
        <v>2764</v>
      </c>
      <c r="E1214" s="26" t="s">
        <v>78</v>
      </c>
      <c r="F1214" s="26" t="s">
        <v>79</v>
      </c>
      <c r="G1214" s="26" t="s">
        <v>324</v>
      </c>
      <c r="H1214" s="26" t="s">
        <v>214</v>
      </c>
      <c r="I1214" s="26" t="s">
        <v>214</v>
      </c>
      <c r="J1214" s="2" t="s">
        <v>72</v>
      </c>
      <c r="K1214" s="141" t="s">
        <v>72</v>
      </c>
      <c r="L1214" s="141" t="s">
        <v>72</v>
      </c>
      <c r="M1214" s="26" t="s">
        <v>72</v>
      </c>
      <c r="N1214" s="2" t="s">
        <v>72</v>
      </c>
      <c r="O1214" s="2" t="s">
        <v>72</v>
      </c>
      <c r="P1214" s="133" t="s">
        <v>72</v>
      </c>
      <c r="Q1214" s="6" t="s">
        <v>72</v>
      </c>
      <c r="R1214" s="6" t="s">
        <v>72</v>
      </c>
      <c r="S1214" s="6" t="s">
        <v>72</v>
      </c>
      <c r="T1214" s="6" t="s">
        <v>72</v>
      </c>
      <c r="U1214" s="6" t="s">
        <v>72</v>
      </c>
      <c r="V1214" s="6" t="s">
        <v>72</v>
      </c>
      <c r="W1214" s="5" t="s">
        <v>72</v>
      </c>
      <c r="X1214" s="6" t="s">
        <v>72</v>
      </c>
      <c r="Y1214" s="6" t="s">
        <v>72</v>
      </c>
      <c r="Z1214" s="6" t="s">
        <v>72</v>
      </c>
      <c r="AA1214" s="6" t="s">
        <v>72</v>
      </c>
      <c r="AB1214" s="6" t="s">
        <v>72</v>
      </c>
      <c r="AC1214" s="6" t="s">
        <v>72</v>
      </c>
    </row>
    <row r="1215" spans="1:29" x14ac:dyDescent="0.25">
      <c r="A1215" s="145" t="str">
        <f>HYPERLINK("http://www.ofsted.gov.uk/inspection-reports/find-inspection-report/provider/ELS/1248021","Ofsted Webpage")</f>
        <v>Ofsted Webpage</v>
      </c>
      <c r="B1215" s="151">
        <v>1248021</v>
      </c>
      <c r="C1215" s="151">
        <v>10035171</v>
      </c>
      <c r="D1215" s="46" t="s">
        <v>2765</v>
      </c>
      <c r="E1215" s="26" t="s">
        <v>78</v>
      </c>
      <c r="F1215" s="26" t="s">
        <v>79</v>
      </c>
      <c r="G1215" s="26" t="s">
        <v>1199</v>
      </c>
      <c r="H1215" s="26" t="s">
        <v>287</v>
      </c>
      <c r="I1215" s="26" t="s">
        <v>287</v>
      </c>
      <c r="J1215" s="2" t="s">
        <v>72</v>
      </c>
      <c r="K1215" s="141" t="s">
        <v>72</v>
      </c>
      <c r="L1215" s="141" t="s">
        <v>72</v>
      </c>
      <c r="M1215" s="26" t="s">
        <v>72</v>
      </c>
      <c r="N1215" s="2" t="s">
        <v>72</v>
      </c>
      <c r="O1215" s="2" t="s">
        <v>72</v>
      </c>
      <c r="P1215" s="133" t="s">
        <v>72</v>
      </c>
      <c r="Q1215" s="6" t="s">
        <v>72</v>
      </c>
      <c r="R1215" s="6" t="s">
        <v>72</v>
      </c>
      <c r="S1215" s="6" t="s">
        <v>72</v>
      </c>
      <c r="T1215" s="6" t="s">
        <v>72</v>
      </c>
      <c r="U1215" s="6" t="s">
        <v>72</v>
      </c>
      <c r="V1215" s="6" t="s">
        <v>72</v>
      </c>
      <c r="W1215" s="5" t="s">
        <v>72</v>
      </c>
      <c r="X1215" s="6" t="s">
        <v>72</v>
      </c>
      <c r="Y1215" s="6" t="s">
        <v>72</v>
      </c>
      <c r="Z1215" s="6" t="s">
        <v>72</v>
      </c>
      <c r="AA1215" s="6" t="s">
        <v>72</v>
      </c>
      <c r="AB1215" s="6" t="s">
        <v>72</v>
      </c>
      <c r="AC1215" s="6" t="s">
        <v>72</v>
      </c>
    </row>
    <row r="1216" spans="1:29" x14ac:dyDescent="0.25">
      <c r="A1216" s="145" t="str">
        <f>HYPERLINK("http://www.ofsted.gov.uk/inspection-reports/find-inspection-report/provider/ELS/1248024","Ofsted Webpage")</f>
        <v>Ofsted Webpage</v>
      </c>
      <c r="B1216" s="151">
        <v>1248024</v>
      </c>
      <c r="C1216" s="151">
        <v>10007484</v>
      </c>
      <c r="D1216" s="46" t="s">
        <v>2766</v>
      </c>
      <c r="E1216" s="26" t="s">
        <v>78</v>
      </c>
      <c r="F1216" s="26" t="s">
        <v>79</v>
      </c>
      <c r="G1216" s="26" t="s">
        <v>464</v>
      </c>
      <c r="H1216" s="26" t="s">
        <v>198</v>
      </c>
      <c r="I1216" s="26" t="s">
        <v>198</v>
      </c>
      <c r="J1216" s="2" t="s">
        <v>72</v>
      </c>
      <c r="K1216" s="141" t="s">
        <v>72</v>
      </c>
      <c r="L1216" s="141" t="s">
        <v>72</v>
      </c>
      <c r="M1216" s="26" t="s">
        <v>72</v>
      </c>
      <c r="N1216" s="2" t="s">
        <v>72</v>
      </c>
      <c r="O1216" s="2" t="s">
        <v>72</v>
      </c>
      <c r="P1216" s="133" t="s">
        <v>72</v>
      </c>
      <c r="Q1216" s="6" t="s">
        <v>72</v>
      </c>
      <c r="R1216" s="6" t="s">
        <v>72</v>
      </c>
      <c r="S1216" s="6" t="s">
        <v>72</v>
      </c>
      <c r="T1216" s="6" t="s">
        <v>72</v>
      </c>
      <c r="U1216" s="6" t="s">
        <v>72</v>
      </c>
      <c r="V1216" s="6" t="s">
        <v>72</v>
      </c>
      <c r="W1216" s="5" t="s">
        <v>72</v>
      </c>
      <c r="X1216" s="6" t="s">
        <v>72</v>
      </c>
      <c r="Y1216" s="6" t="s">
        <v>72</v>
      </c>
      <c r="Z1216" s="6" t="s">
        <v>72</v>
      </c>
      <c r="AA1216" s="6" t="s">
        <v>72</v>
      </c>
      <c r="AB1216" s="6" t="s">
        <v>72</v>
      </c>
      <c r="AC1216" s="6" t="s">
        <v>72</v>
      </c>
    </row>
    <row r="1217" spans="1:29" x14ac:dyDescent="0.25">
      <c r="A1217" s="145" t="str">
        <f>HYPERLINK("http://www.ofsted.gov.uk/inspection-reports/find-inspection-report/provider/ELS/1248026","Ofsted Webpage")</f>
        <v>Ofsted Webpage</v>
      </c>
      <c r="B1217" s="151">
        <v>1248026</v>
      </c>
      <c r="C1217" s="151">
        <v>10029985</v>
      </c>
      <c r="D1217" s="46" t="s">
        <v>2767</v>
      </c>
      <c r="E1217" s="26" t="s">
        <v>78</v>
      </c>
      <c r="F1217" s="26" t="s">
        <v>79</v>
      </c>
      <c r="G1217" s="26" t="s">
        <v>939</v>
      </c>
      <c r="H1217" s="26" t="s">
        <v>287</v>
      </c>
      <c r="I1217" s="26" t="s">
        <v>287</v>
      </c>
      <c r="J1217" s="2" t="s">
        <v>72</v>
      </c>
      <c r="K1217" s="141" t="s">
        <v>72</v>
      </c>
      <c r="L1217" s="141" t="s">
        <v>72</v>
      </c>
      <c r="M1217" s="26" t="s">
        <v>72</v>
      </c>
      <c r="N1217" s="2" t="s">
        <v>72</v>
      </c>
      <c r="O1217" s="2" t="s">
        <v>72</v>
      </c>
      <c r="P1217" s="133" t="s">
        <v>72</v>
      </c>
      <c r="Q1217" s="6" t="s">
        <v>72</v>
      </c>
      <c r="R1217" s="6" t="s">
        <v>72</v>
      </c>
      <c r="S1217" s="6" t="s">
        <v>72</v>
      </c>
      <c r="T1217" s="6" t="s">
        <v>72</v>
      </c>
      <c r="U1217" s="6" t="s">
        <v>72</v>
      </c>
      <c r="V1217" s="6" t="s">
        <v>72</v>
      </c>
      <c r="W1217" s="5" t="s">
        <v>72</v>
      </c>
      <c r="X1217" s="6" t="s">
        <v>72</v>
      </c>
      <c r="Y1217" s="6" t="s">
        <v>72</v>
      </c>
      <c r="Z1217" s="6" t="s">
        <v>72</v>
      </c>
      <c r="AA1217" s="6" t="s">
        <v>72</v>
      </c>
      <c r="AB1217" s="6" t="s">
        <v>72</v>
      </c>
      <c r="AC1217" s="6" t="s">
        <v>72</v>
      </c>
    </row>
    <row r="1218" spans="1:29" x14ac:dyDescent="0.25">
      <c r="A1218" s="145" t="str">
        <f>HYPERLINK("http://www.ofsted.gov.uk/inspection-reports/find-inspection-report/provider/ELS/1248028","Ofsted Webpage")</f>
        <v>Ofsted Webpage</v>
      </c>
      <c r="B1218" s="151">
        <v>1248028</v>
      </c>
      <c r="C1218" s="151">
        <v>10032936</v>
      </c>
      <c r="D1218" s="46" t="s">
        <v>2768</v>
      </c>
      <c r="E1218" s="26" t="s">
        <v>78</v>
      </c>
      <c r="F1218" s="26" t="s">
        <v>79</v>
      </c>
      <c r="G1218" s="26" t="s">
        <v>474</v>
      </c>
      <c r="H1218" s="26" t="s">
        <v>187</v>
      </c>
      <c r="I1218" s="26" t="s">
        <v>188</v>
      </c>
      <c r="J1218" s="2" t="s">
        <v>72</v>
      </c>
      <c r="K1218" s="141" t="s">
        <v>72</v>
      </c>
      <c r="L1218" s="141" t="s">
        <v>72</v>
      </c>
      <c r="M1218" s="26" t="s">
        <v>72</v>
      </c>
      <c r="N1218" s="2" t="s">
        <v>72</v>
      </c>
      <c r="O1218" s="2" t="s">
        <v>72</v>
      </c>
      <c r="P1218" s="133" t="s">
        <v>72</v>
      </c>
      <c r="Q1218" s="6" t="s">
        <v>72</v>
      </c>
      <c r="R1218" s="6" t="s">
        <v>72</v>
      </c>
      <c r="S1218" s="6" t="s">
        <v>72</v>
      </c>
      <c r="T1218" s="6" t="s">
        <v>72</v>
      </c>
      <c r="U1218" s="6" t="s">
        <v>72</v>
      </c>
      <c r="V1218" s="6" t="s">
        <v>72</v>
      </c>
      <c r="W1218" s="5" t="s">
        <v>72</v>
      </c>
      <c r="X1218" s="6" t="s">
        <v>72</v>
      </c>
      <c r="Y1218" s="6" t="s">
        <v>72</v>
      </c>
      <c r="Z1218" s="6" t="s">
        <v>72</v>
      </c>
      <c r="AA1218" s="6" t="s">
        <v>72</v>
      </c>
      <c r="AB1218" s="6" t="s">
        <v>72</v>
      </c>
      <c r="AC1218" s="6" t="s">
        <v>72</v>
      </c>
    </row>
    <row r="1219" spans="1:29" x14ac:dyDescent="0.25">
      <c r="A1219" s="145" t="str">
        <f>HYPERLINK("http://www.ofsted.gov.uk/inspection-reports/find-inspection-report/provider/ELS/1248029","Ofsted Webpage")</f>
        <v>Ofsted Webpage</v>
      </c>
      <c r="B1219" s="151">
        <v>1248029</v>
      </c>
      <c r="C1219" s="151">
        <v>10039668</v>
      </c>
      <c r="D1219" s="46" t="s">
        <v>2769</v>
      </c>
      <c r="E1219" s="26" t="s">
        <v>78</v>
      </c>
      <c r="F1219" s="26" t="s">
        <v>79</v>
      </c>
      <c r="G1219" s="26" t="s">
        <v>302</v>
      </c>
      <c r="H1219" s="26" t="s">
        <v>219</v>
      </c>
      <c r="I1219" s="26" t="s">
        <v>219</v>
      </c>
      <c r="J1219" s="2" t="s">
        <v>72</v>
      </c>
      <c r="K1219" s="141" t="s">
        <v>72</v>
      </c>
      <c r="L1219" s="141" t="s">
        <v>72</v>
      </c>
      <c r="M1219" s="26" t="s">
        <v>72</v>
      </c>
      <c r="N1219" s="2" t="s">
        <v>72</v>
      </c>
      <c r="O1219" s="2" t="s">
        <v>72</v>
      </c>
      <c r="P1219" s="133" t="s">
        <v>72</v>
      </c>
      <c r="Q1219" s="6" t="s">
        <v>72</v>
      </c>
      <c r="R1219" s="6" t="s">
        <v>72</v>
      </c>
      <c r="S1219" s="6" t="s">
        <v>72</v>
      </c>
      <c r="T1219" s="6" t="s">
        <v>72</v>
      </c>
      <c r="U1219" s="6" t="s">
        <v>72</v>
      </c>
      <c r="V1219" s="6" t="s">
        <v>72</v>
      </c>
      <c r="W1219" s="5" t="s">
        <v>72</v>
      </c>
      <c r="X1219" s="6" t="s">
        <v>72</v>
      </c>
      <c r="Y1219" s="6" t="s">
        <v>72</v>
      </c>
      <c r="Z1219" s="6" t="s">
        <v>72</v>
      </c>
      <c r="AA1219" s="6" t="s">
        <v>72</v>
      </c>
      <c r="AB1219" s="6" t="s">
        <v>72</v>
      </c>
      <c r="AC1219" s="6" t="s">
        <v>72</v>
      </c>
    </row>
    <row r="1220" spans="1:29" x14ac:dyDescent="0.25">
      <c r="A1220" s="145" t="str">
        <f>HYPERLINK("http://www.ofsted.gov.uk/inspection-reports/find-inspection-report/provider/ELS/1248048","Ofsted Webpage")</f>
        <v>Ofsted Webpage</v>
      </c>
      <c r="B1220" s="131">
        <v>1248048</v>
      </c>
      <c r="C1220" s="131">
        <v>10019276</v>
      </c>
      <c r="D1220" s="46" t="s">
        <v>2770</v>
      </c>
      <c r="E1220" s="26" t="s">
        <v>78</v>
      </c>
      <c r="F1220" s="26" t="s">
        <v>79</v>
      </c>
      <c r="G1220" s="26" t="s">
        <v>247</v>
      </c>
      <c r="H1220" s="26" t="s">
        <v>238</v>
      </c>
      <c r="I1220" s="26" t="s">
        <v>238</v>
      </c>
      <c r="J1220" s="2" t="s">
        <v>72</v>
      </c>
      <c r="K1220" s="26" t="s">
        <v>72</v>
      </c>
      <c r="L1220" s="26" t="s">
        <v>72</v>
      </c>
      <c r="M1220" s="26" t="s">
        <v>72</v>
      </c>
      <c r="N1220" s="2" t="s">
        <v>72</v>
      </c>
      <c r="O1220" s="2" t="s">
        <v>72</v>
      </c>
      <c r="P1220" s="2" t="s">
        <v>72</v>
      </c>
      <c r="Q1220" s="6" t="s">
        <v>72</v>
      </c>
      <c r="R1220" s="6" t="s">
        <v>72</v>
      </c>
      <c r="S1220" s="6" t="s">
        <v>72</v>
      </c>
      <c r="T1220" s="6" t="s">
        <v>72</v>
      </c>
      <c r="U1220" s="6" t="s">
        <v>72</v>
      </c>
      <c r="V1220" s="6" t="s">
        <v>72</v>
      </c>
      <c r="W1220" s="5" t="s">
        <v>72</v>
      </c>
      <c r="X1220" s="6" t="s">
        <v>72</v>
      </c>
      <c r="Y1220" s="6" t="s">
        <v>72</v>
      </c>
      <c r="Z1220" s="6" t="s">
        <v>72</v>
      </c>
      <c r="AA1220" s="6" t="s">
        <v>72</v>
      </c>
      <c r="AB1220" s="6" t="s">
        <v>72</v>
      </c>
      <c r="AC1220" s="6" t="s">
        <v>72</v>
      </c>
    </row>
    <row r="1221" spans="1:29" x14ac:dyDescent="0.25">
      <c r="A1221" s="145" t="str">
        <f>HYPERLINK("http://www.ofsted.gov.uk/inspection-reports/find-inspection-report/provider/ELS/1248054","Ofsted Webpage")</f>
        <v>Ofsted Webpage</v>
      </c>
      <c r="B1221" s="131">
        <v>1248054</v>
      </c>
      <c r="C1221" s="131">
        <v>10024806</v>
      </c>
      <c r="D1221" s="46" t="s">
        <v>2771</v>
      </c>
      <c r="E1221" s="26" t="s">
        <v>78</v>
      </c>
      <c r="F1221" s="26" t="s">
        <v>79</v>
      </c>
      <c r="G1221" s="26" t="s">
        <v>223</v>
      </c>
      <c r="H1221" s="26" t="s">
        <v>193</v>
      </c>
      <c r="I1221" s="26" t="s">
        <v>193</v>
      </c>
      <c r="J1221" s="2" t="s">
        <v>72</v>
      </c>
      <c r="K1221" s="26" t="s">
        <v>72</v>
      </c>
      <c r="L1221" s="26" t="s">
        <v>72</v>
      </c>
      <c r="M1221" s="26" t="s">
        <v>72</v>
      </c>
      <c r="N1221" s="2" t="s">
        <v>72</v>
      </c>
      <c r="O1221" s="2" t="s">
        <v>72</v>
      </c>
      <c r="P1221" s="2" t="s">
        <v>72</v>
      </c>
      <c r="Q1221" s="6" t="s">
        <v>72</v>
      </c>
      <c r="R1221" s="6" t="s">
        <v>72</v>
      </c>
      <c r="S1221" s="6" t="s">
        <v>72</v>
      </c>
      <c r="T1221" s="6" t="s">
        <v>72</v>
      </c>
      <c r="U1221" s="6" t="s">
        <v>72</v>
      </c>
      <c r="V1221" s="6" t="s">
        <v>72</v>
      </c>
      <c r="W1221" s="5" t="s">
        <v>72</v>
      </c>
      <c r="X1221" s="6" t="s">
        <v>72</v>
      </c>
      <c r="Y1221" s="6" t="s">
        <v>72</v>
      </c>
      <c r="Z1221" s="6" t="s">
        <v>72</v>
      </c>
      <c r="AA1221" s="6" t="s">
        <v>72</v>
      </c>
      <c r="AB1221" s="6" t="s">
        <v>72</v>
      </c>
      <c r="AC1221" s="6" t="s">
        <v>72</v>
      </c>
    </row>
    <row r="1222" spans="1:29" x14ac:dyDescent="0.25">
      <c r="A1222" s="145" t="str">
        <f>HYPERLINK("http://www.ofsted.gov.uk/inspection-reports/find-inspection-report/provider/ELS/1248058","Ofsted Webpage")</f>
        <v>Ofsted Webpage</v>
      </c>
      <c r="B1222" s="131">
        <v>1248058</v>
      </c>
      <c r="C1222" s="131">
        <v>10048409</v>
      </c>
      <c r="D1222" s="46" t="s">
        <v>2772</v>
      </c>
      <c r="E1222" s="26" t="s">
        <v>78</v>
      </c>
      <c r="F1222" s="26" t="s">
        <v>79</v>
      </c>
      <c r="G1222" s="26" t="s">
        <v>604</v>
      </c>
      <c r="H1222" s="26" t="s">
        <v>287</v>
      </c>
      <c r="I1222" s="26" t="s">
        <v>287</v>
      </c>
      <c r="J1222" s="2" t="s">
        <v>72</v>
      </c>
      <c r="K1222" s="26" t="s">
        <v>72</v>
      </c>
      <c r="L1222" s="26" t="s">
        <v>72</v>
      </c>
      <c r="M1222" s="26" t="s">
        <v>72</v>
      </c>
      <c r="N1222" s="2" t="s">
        <v>72</v>
      </c>
      <c r="O1222" s="2" t="s">
        <v>72</v>
      </c>
      <c r="P1222" s="2" t="s">
        <v>72</v>
      </c>
      <c r="Q1222" s="6" t="s">
        <v>72</v>
      </c>
      <c r="R1222" s="6" t="s">
        <v>72</v>
      </c>
      <c r="S1222" s="6" t="s">
        <v>72</v>
      </c>
      <c r="T1222" s="6" t="s">
        <v>72</v>
      </c>
      <c r="U1222" s="6" t="s">
        <v>72</v>
      </c>
      <c r="V1222" s="6" t="s">
        <v>72</v>
      </c>
      <c r="W1222" s="5" t="s">
        <v>72</v>
      </c>
      <c r="X1222" s="6" t="s">
        <v>72</v>
      </c>
      <c r="Y1222" s="6" t="s">
        <v>72</v>
      </c>
      <c r="Z1222" s="6" t="s">
        <v>72</v>
      </c>
      <c r="AA1222" s="6" t="s">
        <v>72</v>
      </c>
      <c r="AB1222" s="6" t="s">
        <v>72</v>
      </c>
      <c r="AC1222" s="6" t="s">
        <v>72</v>
      </c>
    </row>
    <row r="1223" spans="1:29" x14ac:dyDescent="0.25">
      <c r="A1223" s="145" t="str">
        <f>HYPERLINK("http://www.ofsted.gov.uk/inspection-reports/find-inspection-report/provider/ELS/1248225","Ofsted Webpage")</f>
        <v>Ofsted Webpage</v>
      </c>
      <c r="B1223" s="131">
        <v>1248225</v>
      </c>
      <c r="C1223" s="131">
        <v>10014226</v>
      </c>
      <c r="D1223" s="46" t="s">
        <v>2773</v>
      </c>
      <c r="E1223" s="26" t="s">
        <v>77</v>
      </c>
      <c r="F1223" s="26" t="s">
        <v>76</v>
      </c>
      <c r="G1223" s="26" t="s">
        <v>421</v>
      </c>
      <c r="H1223" s="26" t="s">
        <v>219</v>
      </c>
      <c r="I1223" s="26" t="s">
        <v>219</v>
      </c>
      <c r="J1223" s="2" t="s">
        <v>72</v>
      </c>
      <c r="K1223" s="26" t="s">
        <v>72</v>
      </c>
      <c r="L1223" s="144">
        <v>10026082</v>
      </c>
      <c r="M1223" s="26" t="s">
        <v>189</v>
      </c>
      <c r="N1223" s="2">
        <v>42863</v>
      </c>
      <c r="O1223" s="2">
        <v>42866</v>
      </c>
      <c r="P1223" s="2">
        <v>42895</v>
      </c>
      <c r="Q1223" s="6">
        <v>3</v>
      </c>
      <c r="R1223" s="6">
        <v>3</v>
      </c>
      <c r="S1223" s="6">
        <v>3</v>
      </c>
      <c r="T1223" s="6">
        <v>3</v>
      </c>
      <c r="U1223" s="6">
        <v>3</v>
      </c>
      <c r="V1223" s="6" t="s">
        <v>72</v>
      </c>
      <c r="W1223" s="5" t="s">
        <v>72</v>
      </c>
      <c r="X1223" s="6" t="s">
        <v>72</v>
      </c>
      <c r="Y1223" s="6" t="s">
        <v>72</v>
      </c>
      <c r="Z1223" s="6" t="s">
        <v>72</v>
      </c>
      <c r="AA1223" s="6" t="s">
        <v>72</v>
      </c>
      <c r="AB1223" s="6" t="s">
        <v>72</v>
      </c>
      <c r="AC1223" s="6" t="s">
        <v>208</v>
      </c>
    </row>
    <row r="1224" spans="1:29" x14ac:dyDescent="0.25">
      <c r="A1224" s="145" t="str">
        <f>HYPERLINK("http://www.ofsted.gov.uk/inspection-reports/find-inspection-report/provider/ELS/1248860","Ofsted Webpage")</f>
        <v>Ofsted Webpage</v>
      </c>
      <c r="B1224" s="131">
        <v>1248860</v>
      </c>
      <c r="C1224" s="131">
        <v>10036264</v>
      </c>
      <c r="D1224" s="46" t="s">
        <v>2417</v>
      </c>
      <c r="E1224" s="26" t="s">
        <v>78</v>
      </c>
      <c r="F1224" s="26" t="s">
        <v>79</v>
      </c>
      <c r="G1224" s="26" t="s">
        <v>884</v>
      </c>
      <c r="H1224" s="26" t="s">
        <v>175</v>
      </c>
      <c r="I1224" s="26" t="s">
        <v>175</v>
      </c>
      <c r="J1224" s="2" t="s">
        <v>72</v>
      </c>
      <c r="K1224" s="26" t="s">
        <v>72</v>
      </c>
      <c r="L1224" s="26" t="s">
        <v>72</v>
      </c>
      <c r="M1224" s="26" t="s">
        <v>72</v>
      </c>
      <c r="N1224" s="2" t="s">
        <v>72</v>
      </c>
      <c r="O1224" s="2" t="s">
        <v>72</v>
      </c>
      <c r="P1224" s="2" t="s">
        <v>72</v>
      </c>
      <c r="Q1224" s="6" t="s">
        <v>72</v>
      </c>
      <c r="R1224" s="6" t="s">
        <v>72</v>
      </c>
      <c r="S1224" s="6" t="s">
        <v>72</v>
      </c>
      <c r="T1224" s="6" t="s">
        <v>72</v>
      </c>
      <c r="U1224" s="6" t="s">
        <v>72</v>
      </c>
      <c r="V1224" s="6" t="s">
        <v>72</v>
      </c>
      <c r="W1224" s="5" t="s">
        <v>72</v>
      </c>
      <c r="X1224" s="6" t="s">
        <v>72</v>
      </c>
      <c r="Y1224" s="6" t="s">
        <v>72</v>
      </c>
      <c r="Z1224" s="6" t="s">
        <v>72</v>
      </c>
      <c r="AA1224" s="6" t="s">
        <v>72</v>
      </c>
      <c r="AB1224" s="6" t="s">
        <v>72</v>
      </c>
      <c r="AC1224" s="6" t="s">
        <v>72</v>
      </c>
    </row>
    <row r="1225" spans="1:29" x14ac:dyDescent="0.25">
      <c r="A1225" s="145" t="str">
        <f>HYPERLINK("http://www.ofsted.gov.uk/inspection-reports/find-inspection-report/provider/ELS/1248861","Ofsted Webpage")</f>
        <v>Ofsted Webpage</v>
      </c>
      <c r="B1225" s="131">
        <v>1248861</v>
      </c>
      <c r="C1225" s="131">
        <v>10041548</v>
      </c>
      <c r="D1225" s="46" t="s">
        <v>2792</v>
      </c>
      <c r="E1225" s="26" t="s">
        <v>78</v>
      </c>
      <c r="F1225" s="26" t="s">
        <v>79</v>
      </c>
      <c r="G1225" s="26" t="s">
        <v>261</v>
      </c>
      <c r="H1225" s="26" t="s">
        <v>219</v>
      </c>
      <c r="I1225" s="26" t="s">
        <v>219</v>
      </c>
      <c r="J1225" s="2" t="s">
        <v>72</v>
      </c>
      <c r="K1225" s="26" t="s">
        <v>72</v>
      </c>
      <c r="L1225" s="26" t="s">
        <v>72</v>
      </c>
      <c r="M1225" s="26" t="s">
        <v>72</v>
      </c>
      <c r="N1225" s="2" t="s">
        <v>72</v>
      </c>
      <c r="O1225" s="2" t="s">
        <v>72</v>
      </c>
      <c r="P1225" s="2" t="s">
        <v>72</v>
      </c>
      <c r="Q1225" s="6" t="s">
        <v>72</v>
      </c>
      <c r="R1225" s="6" t="s">
        <v>72</v>
      </c>
      <c r="S1225" s="6" t="s">
        <v>72</v>
      </c>
      <c r="T1225" s="6" t="s">
        <v>72</v>
      </c>
      <c r="U1225" s="6" t="s">
        <v>72</v>
      </c>
      <c r="V1225" s="6" t="s">
        <v>72</v>
      </c>
      <c r="W1225" s="5" t="s">
        <v>72</v>
      </c>
      <c r="X1225" s="6" t="s">
        <v>72</v>
      </c>
      <c r="Y1225" s="6" t="s">
        <v>72</v>
      </c>
      <c r="Z1225" s="6" t="s">
        <v>72</v>
      </c>
      <c r="AA1225" s="6" t="s">
        <v>72</v>
      </c>
      <c r="AB1225" s="6" t="s">
        <v>72</v>
      </c>
      <c r="AC1225" s="6" t="s">
        <v>72</v>
      </c>
    </row>
    <row r="1226" spans="1:29" x14ac:dyDescent="0.25">
      <c r="A1226" s="145" t="str">
        <f>HYPERLINK("http://www.ofsted.gov.uk/inspection-reports/find-inspection-report/provider/ELS/1270740","Ofsted Webpage")</f>
        <v>Ofsted Webpage</v>
      </c>
      <c r="B1226" s="131">
        <v>1270740</v>
      </c>
      <c r="C1226" s="131">
        <v>10000147</v>
      </c>
      <c r="D1226" s="46" t="s">
        <v>3061</v>
      </c>
      <c r="E1226" s="26" t="s">
        <v>78</v>
      </c>
      <c r="F1226" s="26" t="s">
        <v>79</v>
      </c>
      <c r="G1226" s="26" t="s">
        <v>884</v>
      </c>
      <c r="H1226" s="26" t="s">
        <v>175</v>
      </c>
      <c r="I1226" s="26" t="s">
        <v>175</v>
      </c>
      <c r="J1226" s="2" t="s">
        <v>72</v>
      </c>
      <c r="K1226" s="26" t="s">
        <v>72</v>
      </c>
      <c r="L1226" s="26" t="s">
        <v>72</v>
      </c>
      <c r="M1226" s="26" t="s">
        <v>72</v>
      </c>
      <c r="N1226" s="2" t="s">
        <v>72</v>
      </c>
      <c r="O1226" s="2" t="s">
        <v>72</v>
      </c>
      <c r="P1226" s="2" t="s">
        <v>72</v>
      </c>
      <c r="Q1226" s="6" t="s">
        <v>72</v>
      </c>
      <c r="R1226" s="6" t="s">
        <v>72</v>
      </c>
      <c r="S1226" s="6" t="s">
        <v>72</v>
      </c>
      <c r="T1226" s="6" t="s">
        <v>72</v>
      </c>
      <c r="U1226" s="6" t="s">
        <v>72</v>
      </c>
      <c r="V1226" s="6" t="s">
        <v>72</v>
      </c>
      <c r="W1226" s="5" t="s">
        <v>72</v>
      </c>
      <c r="X1226" s="6" t="s">
        <v>72</v>
      </c>
      <c r="Y1226" s="6" t="s">
        <v>72</v>
      </c>
      <c r="Z1226" s="6" t="s">
        <v>72</v>
      </c>
      <c r="AA1226" s="6" t="s">
        <v>72</v>
      </c>
      <c r="AB1226" s="6" t="s">
        <v>72</v>
      </c>
      <c r="AC1226" s="6" t="s">
        <v>72</v>
      </c>
    </row>
    <row r="1227" spans="1:29" x14ac:dyDescent="0.25">
      <c r="A1227" s="145" t="str">
        <f>HYPERLINK("http://www.ofsted.gov.uk/inspection-reports/find-inspection-report/provider/ELS/1270745","Ofsted Webpage")</f>
        <v>Ofsted Webpage</v>
      </c>
      <c r="B1227" s="131">
        <v>1270745</v>
      </c>
      <c r="C1227" s="131">
        <v>10001013</v>
      </c>
      <c r="D1227" s="46" t="s">
        <v>3062</v>
      </c>
      <c r="E1227" s="26" t="s">
        <v>78</v>
      </c>
      <c r="F1227" s="26" t="s">
        <v>79</v>
      </c>
      <c r="G1227" s="26" t="s">
        <v>391</v>
      </c>
      <c r="H1227" s="26" t="s">
        <v>187</v>
      </c>
      <c r="I1227" s="26" t="s">
        <v>188</v>
      </c>
      <c r="J1227" s="2" t="s">
        <v>72</v>
      </c>
      <c r="K1227" s="26" t="s">
        <v>72</v>
      </c>
      <c r="L1227" s="26" t="s">
        <v>72</v>
      </c>
      <c r="M1227" s="26" t="s">
        <v>72</v>
      </c>
      <c r="N1227" s="2" t="s">
        <v>72</v>
      </c>
      <c r="O1227" s="2" t="s">
        <v>72</v>
      </c>
      <c r="P1227" s="2" t="s">
        <v>72</v>
      </c>
      <c r="Q1227" s="6" t="s">
        <v>72</v>
      </c>
      <c r="R1227" s="6" t="s">
        <v>72</v>
      </c>
      <c r="S1227" s="6" t="s">
        <v>72</v>
      </c>
      <c r="T1227" s="6" t="s">
        <v>72</v>
      </c>
      <c r="U1227" s="6" t="s">
        <v>72</v>
      </c>
      <c r="V1227" s="6" t="s">
        <v>72</v>
      </c>
      <c r="W1227" s="5" t="s">
        <v>72</v>
      </c>
      <c r="X1227" s="6" t="s">
        <v>72</v>
      </c>
      <c r="Y1227" s="6" t="s">
        <v>72</v>
      </c>
      <c r="Z1227" s="6" t="s">
        <v>72</v>
      </c>
      <c r="AA1227" s="6" t="s">
        <v>72</v>
      </c>
      <c r="AB1227" s="6" t="s">
        <v>72</v>
      </c>
      <c r="AC1227" s="6" t="s">
        <v>72</v>
      </c>
    </row>
    <row r="1228" spans="1:29" x14ac:dyDescent="0.25">
      <c r="A1228" s="145" t="str">
        <f>HYPERLINK("http://www.ofsted.gov.uk/inspection-reports/find-inspection-report/provider/ELS/1270746","Ofsted Webpage")</f>
        <v>Ofsted Webpage</v>
      </c>
      <c r="B1228" s="131">
        <v>1270746</v>
      </c>
      <c r="C1228" s="131">
        <v>10002836</v>
      </c>
      <c r="D1228" s="46" t="s">
        <v>3063</v>
      </c>
      <c r="E1228" s="26" t="s">
        <v>78</v>
      </c>
      <c r="F1228" s="26" t="s">
        <v>79</v>
      </c>
      <c r="G1228" s="26" t="s">
        <v>600</v>
      </c>
      <c r="H1228" s="26" t="s">
        <v>175</v>
      </c>
      <c r="I1228" s="26" t="s">
        <v>175</v>
      </c>
      <c r="J1228" s="2" t="s">
        <v>72</v>
      </c>
      <c r="K1228" s="26" t="s">
        <v>72</v>
      </c>
      <c r="L1228" s="26" t="s">
        <v>72</v>
      </c>
      <c r="M1228" s="26" t="s">
        <v>72</v>
      </c>
      <c r="N1228" s="2" t="s">
        <v>72</v>
      </c>
      <c r="O1228" s="2" t="s">
        <v>72</v>
      </c>
      <c r="P1228" s="2" t="s">
        <v>72</v>
      </c>
      <c r="Q1228" s="6" t="s">
        <v>72</v>
      </c>
      <c r="R1228" s="6" t="s">
        <v>72</v>
      </c>
      <c r="S1228" s="6" t="s">
        <v>72</v>
      </c>
      <c r="T1228" s="6" t="s">
        <v>72</v>
      </c>
      <c r="U1228" s="6" t="s">
        <v>72</v>
      </c>
      <c r="V1228" s="6" t="s">
        <v>72</v>
      </c>
      <c r="W1228" s="5" t="s">
        <v>72</v>
      </c>
      <c r="X1228" s="6" t="s">
        <v>72</v>
      </c>
      <c r="Y1228" s="6" t="s">
        <v>72</v>
      </c>
      <c r="Z1228" s="6" t="s">
        <v>72</v>
      </c>
      <c r="AA1228" s="6" t="s">
        <v>72</v>
      </c>
      <c r="AB1228" s="6" t="s">
        <v>72</v>
      </c>
      <c r="AC1228" s="6" t="s">
        <v>72</v>
      </c>
    </row>
    <row r="1229" spans="1:29" x14ac:dyDescent="0.25">
      <c r="A1229" s="145" t="str">
        <f>HYPERLINK("http://www.ofsted.gov.uk/inspection-reports/find-inspection-report/provider/ELS/1270747","Ofsted Webpage")</f>
        <v>Ofsted Webpage</v>
      </c>
      <c r="B1229" s="131">
        <v>1270747</v>
      </c>
      <c r="C1229" s="131">
        <v>10005192</v>
      </c>
      <c r="D1229" s="46" t="s">
        <v>3064</v>
      </c>
      <c r="E1229" s="26" t="s">
        <v>78</v>
      </c>
      <c r="F1229" s="26" t="s">
        <v>79</v>
      </c>
      <c r="G1229" s="26" t="s">
        <v>604</v>
      </c>
      <c r="H1229" s="26" t="s">
        <v>287</v>
      </c>
      <c r="I1229" s="26" t="s">
        <v>287</v>
      </c>
      <c r="J1229" s="2" t="s">
        <v>72</v>
      </c>
      <c r="K1229" s="26" t="s">
        <v>72</v>
      </c>
      <c r="L1229" s="26" t="s">
        <v>72</v>
      </c>
      <c r="M1229" s="26" t="s">
        <v>72</v>
      </c>
      <c r="N1229" s="2" t="s">
        <v>72</v>
      </c>
      <c r="O1229" s="2" t="s">
        <v>72</v>
      </c>
      <c r="P1229" s="2" t="s">
        <v>72</v>
      </c>
      <c r="Q1229" s="6" t="s">
        <v>72</v>
      </c>
      <c r="R1229" s="6" t="s">
        <v>72</v>
      </c>
      <c r="S1229" s="6" t="s">
        <v>72</v>
      </c>
      <c r="T1229" s="6" t="s">
        <v>72</v>
      </c>
      <c r="U1229" s="6" t="s">
        <v>72</v>
      </c>
      <c r="V1229" s="6" t="s">
        <v>72</v>
      </c>
      <c r="W1229" s="5" t="s">
        <v>72</v>
      </c>
      <c r="X1229" s="6" t="s">
        <v>72</v>
      </c>
      <c r="Y1229" s="6" t="s">
        <v>72</v>
      </c>
      <c r="Z1229" s="6" t="s">
        <v>72</v>
      </c>
      <c r="AA1229" s="6" t="s">
        <v>72</v>
      </c>
      <c r="AB1229" s="6" t="s">
        <v>72</v>
      </c>
      <c r="AC1229" s="6" t="s">
        <v>72</v>
      </c>
    </row>
    <row r="1230" spans="1:29" x14ac:dyDescent="0.25">
      <c r="A1230" s="145" t="str">
        <f>HYPERLINK("http://www.ofsted.gov.uk/inspection-reports/find-inspection-report/provider/ELS/1270749","Ofsted Webpage")</f>
        <v>Ofsted Webpage</v>
      </c>
      <c r="B1230" s="131">
        <v>1270749</v>
      </c>
      <c r="C1230" s="131">
        <v>10005769</v>
      </c>
      <c r="D1230" s="46" t="s">
        <v>3065</v>
      </c>
      <c r="E1230" s="26" t="s">
        <v>78</v>
      </c>
      <c r="F1230" s="26" t="s">
        <v>79</v>
      </c>
      <c r="G1230" s="26" t="s">
        <v>604</v>
      </c>
      <c r="H1230" s="26" t="s">
        <v>287</v>
      </c>
      <c r="I1230" s="26" t="s">
        <v>287</v>
      </c>
      <c r="J1230" s="2" t="s">
        <v>72</v>
      </c>
      <c r="K1230" s="26" t="s">
        <v>72</v>
      </c>
      <c r="L1230" s="26" t="s">
        <v>72</v>
      </c>
      <c r="M1230" s="26" t="s">
        <v>72</v>
      </c>
      <c r="N1230" s="2" t="s">
        <v>72</v>
      </c>
      <c r="O1230" s="2" t="s">
        <v>72</v>
      </c>
      <c r="P1230" s="2" t="s">
        <v>72</v>
      </c>
      <c r="Q1230" s="6" t="s">
        <v>72</v>
      </c>
      <c r="R1230" s="6" t="s">
        <v>72</v>
      </c>
      <c r="S1230" s="6" t="s">
        <v>72</v>
      </c>
      <c r="T1230" s="6" t="s">
        <v>72</v>
      </c>
      <c r="U1230" s="6" t="s">
        <v>72</v>
      </c>
      <c r="V1230" s="6" t="s">
        <v>72</v>
      </c>
      <c r="W1230" s="5" t="s">
        <v>72</v>
      </c>
      <c r="X1230" s="6" t="s">
        <v>72</v>
      </c>
      <c r="Y1230" s="6" t="s">
        <v>72</v>
      </c>
      <c r="Z1230" s="6" t="s">
        <v>72</v>
      </c>
      <c r="AA1230" s="6" t="s">
        <v>72</v>
      </c>
      <c r="AB1230" s="6" t="s">
        <v>72</v>
      </c>
      <c r="AC1230" s="6" t="s">
        <v>72</v>
      </c>
    </row>
    <row r="1231" spans="1:29" x14ac:dyDescent="0.25">
      <c r="A1231" s="145" t="str">
        <f>HYPERLINK("http://www.ofsted.gov.uk/inspection-reports/find-inspection-report/provider/ELS/1270752","Ofsted Webpage")</f>
        <v>Ofsted Webpage</v>
      </c>
      <c r="B1231" s="131">
        <v>1270752</v>
      </c>
      <c r="C1231" s="131">
        <v>10008229</v>
      </c>
      <c r="D1231" s="46" t="s">
        <v>3066</v>
      </c>
      <c r="E1231" s="26" t="s">
        <v>78</v>
      </c>
      <c r="F1231" s="26" t="s">
        <v>79</v>
      </c>
      <c r="G1231" s="26" t="s">
        <v>982</v>
      </c>
      <c r="H1231" s="26" t="s">
        <v>175</v>
      </c>
      <c r="I1231" s="26" t="s">
        <v>175</v>
      </c>
      <c r="J1231" s="2" t="s">
        <v>72</v>
      </c>
      <c r="K1231" s="26" t="s">
        <v>72</v>
      </c>
      <c r="L1231" s="26" t="s">
        <v>72</v>
      </c>
      <c r="M1231" s="26" t="s">
        <v>72</v>
      </c>
      <c r="N1231" s="2" t="s">
        <v>72</v>
      </c>
      <c r="O1231" s="2" t="s">
        <v>72</v>
      </c>
      <c r="P1231" s="2" t="s">
        <v>72</v>
      </c>
      <c r="Q1231" s="6" t="s">
        <v>72</v>
      </c>
      <c r="R1231" s="6" t="s">
        <v>72</v>
      </c>
      <c r="S1231" s="6" t="s">
        <v>72</v>
      </c>
      <c r="T1231" s="6" t="s">
        <v>72</v>
      </c>
      <c r="U1231" s="6" t="s">
        <v>72</v>
      </c>
      <c r="V1231" s="6" t="s">
        <v>72</v>
      </c>
      <c r="W1231" s="5" t="s">
        <v>72</v>
      </c>
      <c r="X1231" s="6" t="s">
        <v>72</v>
      </c>
      <c r="Y1231" s="6" t="s">
        <v>72</v>
      </c>
      <c r="Z1231" s="6" t="s">
        <v>72</v>
      </c>
      <c r="AA1231" s="6" t="s">
        <v>72</v>
      </c>
      <c r="AB1231" s="6" t="s">
        <v>72</v>
      </c>
      <c r="AC1231" s="6" t="s">
        <v>72</v>
      </c>
    </row>
    <row r="1232" spans="1:29" x14ac:dyDescent="0.25">
      <c r="A1232" s="145" t="str">
        <f>HYPERLINK("http://www.ofsted.gov.uk/inspection-reports/find-inspection-report/provider/ELS/1270753","Ofsted Webpage")</f>
        <v>Ofsted Webpage</v>
      </c>
      <c r="B1232" s="151">
        <v>1270753</v>
      </c>
      <c r="C1232" s="151">
        <v>10008893</v>
      </c>
      <c r="D1232" s="46" t="s">
        <v>2880</v>
      </c>
      <c r="E1232" s="26" t="s">
        <v>78</v>
      </c>
      <c r="F1232" s="26" t="s">
        <v>79</v>
      </c>
      <c r="G1232" s="26" t="s">
        <v>336</v>
      </c>
      <c r="H1232" s="26" t="s">
        <v>175</v>
      </c>
      <c r="I1232" s="26" t="s">
        <v>175</v>
      </c>
      <c r="J1232" s="2" t="s">
        <v>72</v>
      </c>
      <c r="K1232" s="141" t="s">
        <v>72</v>
      </c>
      <c r="L1232" s="141" t="s">
        <v>72</v>
      </c>
      <c r="M1232" s="26" t="s">
        <v>72</v>
      </c>
      <c r="N1232" s="2" t="s">
        <v>72</v>
      </c>
      <c r="O1232" s="2" t="s">
        <v>72</v>
      </c>
      <c r="P1232" s="133" t="s">
        <v>72</v>
      </c>
      <c r="Q1232" s="6" t="s">
        <v>72</v>
      </c>
      <c r="R1232" s="6" t="s">
        <v>72</v>
      </c>
      <c r="S1232" s="6" t="s">
        <v>72</v>
      </c>
      <c r="T1232" s="6" t="s">
        <v>72</v>
      </c>
      <c r="U1232" s="6" t="s">
        <v>72</v>
      </c>
      <c r="V1232" s="6" t="s">
        <v>72</v>
      </c>
      <c r="W1232" s="5" t="s">
        <v>72</v>
      </c>
      <c r="X1232" s="6" t="s">
        <v>72</v>
      </c>
      <c r="Y1232" s="6" t="s">
        <v>72</v>
      </c>
      <c r="Z1232" s="6" t="s">
        <v>72</v>
      </c>
      <c r="AA1232" s="6" t="s">
        <v>72</v>
      </c>
      <c r="AB1232" s="6" t="s">
        <v>72</v>
      </c>
      <c r="AC1232" s="6" t="s">
        <v>72</v>
      </c>
    </row>
    <row r="1233" spans="1:29" x14ac:dyDescent="0.25">
      <c r="A1233" s="145" t="str">
        <f>HYPERLINK("http://www.ofsted.gov.uk/inspection-reports/find-inspection-report/provider/ELS/1270754","Ofsted Webpage")</f>
        <v>Ofsted Webpage</v>
      </c>
      <c r="B1233" s="151">
        <v>1270754</v>
      </c>
      <c r="C1233" s="151">
        <v>10010025</v>
      </c>
      <c r="D1233" s="46" t="s">
        <v>2881</v>
      </c>
      <c r="E1233" s="26" t="s">
        <v>70</v>
      </c>
      <c r="F1233" s="26" t="s">
        <v>71</v>
      </c>
      <c r="G1233" s="26" t="s">
        <v>307</v>
      </c>
      <c r="H1233" s="26" t="s">
        <v>175</v>
      </c>
      <c r="I1233" s="26" t="s">
        <v>175</v>
      </c>
      <c r="J1233" s="2" t="s">
        <v>72</v>
      </c>
      <c r="K1233" s="141" t="s">
        <v>72</v>
      </c>
      <c r="L1233" s="141" t="s">
        <v>72</v>
      </c>
      <c r="M1233" s="26" t="s">
        <v>72</v>
      </c>
      <c r="N1233" s="2" t="s">
        <v>72</v>
      </c>
      <c r="O1233" s="2" t="s">
        <v>72</v>
      </c>
      <c r="P1233" s="133" t="s">
        <v>72</v>
      </c>
      <c r="Q1233" s="6" t="s">
        <v>72</v>
      </c>
      <c r="R1233" s="6" t="s">
        <v>72</v>
      </c>
      <c r="S1233" s="6" t="s">
        <v>72</v>
      </c>
      <c r="T1233" s="6" t="s">
        <v>72</v>
      </c>
      <c r="U1233" s="6" t="s">
        <v>72</v>
      </c>
      <c r="V1233" s="6" t="s">
        <v>72</v>
      </c>
      <c r="W1233" s="5" t="s">
        <v>72</v>
      </c>
      <c r="X1233" s="6" t="s">
        <v>72</v>
      </c>
      <c r="Y1233" s="6" t="s">
        <v>72</v>
      </c>
      <c r="Z1233" s="6" t="s">
        <v>72</v>
      </c>
      <c r="AA1233" s="6" t="s">
        <v>72</v>
      </c>
      <c r="AB1233" s="6" t="s">
        <v>72</v>
      </c>
      <c r="AC1233" s="6" t="s">
        <v>72</v>
      </c>
    </row>
    <row r="1234" spans="1:29" x14ac:dyDescent="0.25">
      <c r="A1234" s="145" t="str">
        <f>HYPERLINK("http://www.ofsted.gov.uk/inspection-reports/find-inspection-report/provider/ELS/1270755","Ofsted Webpage")</f>
        <v>Ofsted Webpage</v>
      </c>
      <c r="B1234" s="151">
        <v>1270755</v>
      </c>
      <c r="C1234" s="151">
        <v>10012179</v>
      </c>
      <c r="D1234" s="46" t="s">
        <v>2882</v>
      </c>
      <c r="E1234" s="26" t="s">
        <v>78</v>
      </c>
      <c r="F1234" s="26" t="s">
        <v>79</v>
      </c>
      <c r="G1234" s="26" t="s">
        <v>687</v>
      </c>
      <c r="H1234" s="26" t="s">
        <v>238</v>
      </c>
      <c r="I1234" s="26" t="s">
        <v>238</v>
      </c>
      <c r="J1234" s="2" t="s">
        <v>72</v>
      </c>
      <c r="K1234" s="141" t="s">
        <v>72</v>
      </c>
      <c r="L1234" s="141" t="s">
        <v>72</v>
      </c>
      <c r="M1234" s="26" t="s">
        <v>72</v>
      </c>
      <c r="N1234" s="2" t="s">
        <v>72</v>
      </c>
      <c r="O1234" s="2" t="s">
        <v>72</v>
      </c>
      <c r="P1234" s="133" t="s">
        <v>72</v>
      </c>
      <c r="Q1234" s="6" t="s">
        <v>72</v>
      </c>
      <c r="R1234" s="6" t="s">
        <v>72</v>
      </c>
      <c r="S1234" s="6" t="s">
        <v>72</v>
      </c>
      <c r="T1234" s="6" t="s">
        <v>72</v>
      </c>
      <c r="U1234" s="6" t="s">
        <v>72</v>
      </c>
      <c r="V1234" s="6" t="s">
        <v>72</v>
      </c>
      <c r="W1234" s="5" t="s">
        <v>72</v>
      </c>
      <c r="X1234" s="6" t="s">
        <v>72</v>
      </c>
      <c r="Y1234" s="6" t="s">
        <v>72</v>
      </c>
      <c r="Z1234" s="6" t="s">
        <v>72</v>
      </c>
      <c r="AA1234" s="6" t="s">
        <v>72</v>
      </c>
      <c r="AB1234" s="6" t="s">
        <v>72</v>
      </c>
      <c r="AC1234" s="6" t="s">
        <v>72</v>
      </c>
    </row>
    <row r="1235" spans="1:29" x14ac:dyDescent="0.25">
      <c r="A1235" s="145" t="str">
        <f>HYPERLINK("http://www.ofsted.gov.uk/inspection-reports/find-inspection-report/provider/ELS/1270756","Ofsted Webpage")</f>
        <v>Ofsted Webpage</v>
      </c>
      <c r="B1235" s="151">
        <v>1270756</v>
      </c>
      <c r="C1235" s="151">
        <v>10013486</v>
      </c>
      <c r="D1235" s="46" t="s">
        <v>2883</v>
      </c>
      <c r="E1235" s="26" t="s">
        <v>78</v>
      </c>
      <c r="F1235" s="26" t="s">
        <v>79</v>
      </c>
      <c r="G1235" s="26" t="s">
        <v>276</v>
      </c>
      <c r="H1235" s="26" t="s">
        <v>193</v>
      </c>
      <c r="I1235" s="26" t="s">
        <v>193</v>
      </c>
      <c r="J1235" s="2" t="s">
        <v>72</v>
      </c>
      <c r="K1235" s="141" t="s">
        <v>72</v>
      </c>
      <c r="L1235" s="141" t="s">
        <v>72</v>
      </c>
      <c r="M1235" s="26" t="s">
        <v>72</v>
      </c>
      <c r="N1235" s="2" t="s">
        <v>72</v>
      </c>
      <c r="O1235" s="2" t="s">
        <v>72</v>
      </c>
      <c r="P1235" s="133" t="s">
        <v>72</v>
      </c>
      <c r="Q1235" s="6" t="s">
        <v>72</v>
      </c>
      <c r="R1235" s="6" t="s">
        <v>72</v>
      </c>
      <c r="S1235" s="6" t="s">
        <v>72</v>
      </c>
      <c r="T1235" s="6" t="s">
        <v>72</v>
      </c>
      <c r="U1235" s="6" t="s">
        <v>72</v>
      </c>
      <c r="V1235" s="6" t="s">
        <v>72</v>
      </c>
      <c r="W1235" s="5" t="s">
        <v>72</v>
      </c>
      <c r="X1235" s="6" t="s">
        <v>72</v>
      </c>
      <c r="Y1235" s="6" t="s">
        <v>72</v>
      </c>
      <c r="Z1235" s="6" t="s">
        <v>72</v>
      </c>
      <c r="AA1235" s="6" t="s">
        <v>72</v>
      </c>
      <c r="AB1235" s="6" t="s">
        <v>72</v>
      </c>
      <c r="AC1235" s="6" t="s">
        <v>72</v>
      </c>
    </row>
    <row r="1236" spans="1:29" x14ac:dyDescent="0.25">
      <c r="A1236" s="145" t="str">
        <f>HYPERLINK("http://www.ofsted.gov.uk/inspection-reports/find-inspection-report/provider/ELS/1270757","Ofsted Webpage")</f>
        <v>Ofsted Webpage</v>
      </c>
      <c r="B1236" s="151">
        <v>1270757</v>
      </c>
      <c r="C1236" s="151">
        <v>10015932</v>
      </c>
      <c r="D1236" s="46" t="s">
        <v>2884</v>
      </c>
      <c r="E1236" s="26" t="s">
        <v>78</v>
      </c>
      <c r="F1236" s="26" t="s">
        <v>79</v>
      </c>
      <c r="G1236" s="26" t="s">
        <v>1128</v>
      </c>
      <c r="H1236" s="26" t="s">
        <v>187</v>
      </c>
      <c r="I1236" s="26" t="s">
        <v>188</v>
      </c>
      <c r="J1236" s="2" t="s">
        <v>72</v>
      </c>
      <c r="K1236" s="141" t="s">
        <v>72</v>
      </c>
      <c r="L1236" s="141" t="s">
        <v>72</v>
      </c>
      <c r="M1236" s="26" t="s">
        <v>72</v>
      </c>
      <c r="N1236" s="2" t="s">
        <v>72</v>
      </c>
      <c r="O1236" s="2" t="s">
        <v>72</v>
      </c>
      <c r="P1236" s="133" t="s">
        <v>72</v>
      </c>
      <c r="Q1236" s="6" t="s">
        <v>72</v>
      </c>
      <c r="R1236" s="6" t="s">
        <v>72</v>
      </c>
      <c r="S1236" s="6" t="s">
        <v>72</v>
      </c>
      <c r="T1236" s="6" t="s">
        <v>72</v>
      </c>
      <c r="U1236" s="6" t="s">
        <v>72</v>
      </c>
      <c r="V1236" s="6" t="s">
        <v>72</v>
      </c>
      <c r="W1236" s="5" t="s">
        <v>72</v>
      </c>
      <c r="X1236" s="6" t="s">
        <v>72</v>
      </c>
      <c r="Y1236" s="6" t="s">
        <v>72</v>
      </c>
      <c r="Z1236" s="6" t="s">
        <v>72</v>
      </c>
      <c r="AA1236" s="6" t="s">
        <v>72</v>
      </c>
      <c r="AB1236" s="6" t="s">
        <v>72</v>
      </c>
      <c r="AC1236" s="6" t="s">
        <v>72</v>
      </c>
    </row>
    <row r="1237" spans="1:29" x14ac:dyDescent="0.25">
      <c r="A1237" s="145" t="str">
        <f>HYPERLINK("http://www.ofsted.gov.uk/inspection-reports/find-inspection-report/provider/ELS/1270851","Ofsted Webpage")</f>
        <v>Ofsted Webpage</v>
      </c>
      <c r="B1237" s="151">
        <v>1270851</v>
      </c>
      <c r="C1237" s="151">
        <v>10019217</v>
      </c>
      <c r="D1237" s="46" t="s">
        <v>2885</v>
      </c>
      <c r="E1237" s="26" t="s">
        <v>78</v>
      </c>
      <c r="F1237" s="26" t="s">
        <v>79</v>
      </c>
      <c r="G1237" s="26" t="s">
        <v>1199</v>
      </c>
      <c r="H1237" s="26" t="s">
        <v>287</v>
      </c>
      <c r="I1237" s="26" t="s">
        <v>287</v>
      </c>
      <c r="J1237" s="2" t="s">
        <v>72</v>
      </c>
      <c r="K1237" s="141" t="s">
        <v>72</v>
      </c>
      <c r="L1237" s="141" t="s">
        <v>72</v>
      </c>
      <c r="M1237" s="26" t="s">
        <v>72</v>
      </c>
      <c r="N1237" s="2" t="s">
        <v>72</v>
      </c>
      <c r="O1237" s="2" t="s">
        <v>72</v>
      </c>
      <c r="P1237" s="133" t="s">
        <v>72</v>
      </c>
      <c r="Q1237" s="6" t="s">
        <v>72</v>
      </c>
      <c r="R1237" s="6" t="s">
        <v>72</v>
      </c>
      <c r="S1237" s="6" t="s">
        <v>72</v>
      </c>
      <c r="T1237" s="6" t="s">
        <v>72</v>
      </c>
      <c r="U1237" s="6" t="s">
        <v>72</v>
      </c>
      <c r="V1237" s="6" t="s">
        <v>72</v>
      </c>
      <c r="W1237" s="5" t="s">
        <v>72</v>
      </c>
      <c r="X1237" s="6" t="s">
        <v>72</v>
      </c>
      <c r="Y1237" s="6" t="s">
        <v>72</v>
      </c>
      <c r="Z1237" s="6" t="s">
        <v>72</v>
      </c>
      <c r="AA1237" s="6" t="s">
        <v>72</v>
      </c>
      <c r="AB1237" s="6" t="s">
        <v>72</v>
      </c>
      <c r="AC1237" s="6" t="s">
        <v>72</v>
      </c>
    </row>
    <row r="1238" spans="1:29" x14ac:dyDescent="0.25">
      <c r="A1238" s="145" t="str">
        <f>HYPERLINK("http://www.ofsted.gov.uk/inspection-reports/find-inspection-report/provider/ELS/1270852","Ofsted Webpage")</f>
        <v>Ofsted Webpage</v>
      </c>
      <c r="B1238" s="151">
        <v>1270852</v>
      </c>
      <c r="C1238" s="151">
        <v>10019304</v>
      </c>
      <c r="D1238" s="46" t="s">
        <v>2886</v>
      </c>
      <c r="E1238" s="26" t="s">
        <v>78</v>
      </c>
      <c r="F1238" s="26" t="s">
        <v>79</v>
      </c>
      <c r="G1238" s="26" t="s">
        <v>546</v>
      </c>
      <c r="H1238" s="26" t="s">
        <v>175</v>
      </c>
      <c r="I1238" s="26" t="s">
        <v>175</v>
      </c>
      <c r="J1238" s="2" t="s">
        <v>72</v>
      </c>
      <c r="K1238" s="141" t="s">
        <v>72</v>
      </c>
      <c r="L1238" s="141" t="s">
        <v>72</v>
      </c>
      <c r="M1238" s="26" t="s">
        <v>72</v>
      </c>
      <c r="N1238" s="2" t="s">
        <v>72</v>
      </c>
      <c r="O1238" s="2" t="s">
        <v>72</v>
      </c>
      <c r="P1238" s="133" t="s">
        <v>72</v>
      </c>
      <c r="Q1238" s="6" t="s">
        <v>72</v>
      </c>
      <c r="R1238" s="6" t="s">
        <v>72</v>
      </c>
      <c r="S1238" s="6" t="s">
        <v>72</v>
      </c>
      <c r="T1238" s="6" t="s">
        <v>72</v>
      </c>
      <c r="U1238" s="6" t="s">
        <v>72</v>
      </c>
      <c r="V1238" s="6" t="s">
        <v>72</v>
      </c>
      <c r="W1238" s="5" t="s">
        <v>72</v>
      </c>
      <c r="X1238" s="6" t="s">
        <v>72</v>
      </c>
      <c r="Y1238" s="6" t="s">
        <v>72</v>
      </c>
      <c r="Z1238" s="6" t="s">
        <v>72</v>
      </c>
      <c r="AA1238" s="6" t="s">
        <v>72</v>
      </c>
      <c r="AB1238" s="6" t="s">
        <v>72</v>
      </c>
      <c r="AC1238" s="6" t="s">
        <v>72</v>
      </c>
    </row>
    <row r="1239" spans="1:29" x14ac:dyDescent="0.25">
      <c r="A1239" s="145" t="str">
        <f>HYPERLINK("http://www.ofsted.gov.uk/inspection-reports/find-inspection-report/provider/ELS/1270853","Ofsted Webpage")</f>
        <v>Ofsted Webpage</v>
      </c>
      <c r="B1239" s="151">
        <v>1270853</v>
      </c>
      <c r="C1239" s="151">
        <v>10020884</v>
      </c>
      <c r="D1239" s="46" t="s">
        <v>2887</v>
      </c>
      <c r="E1239" s="26" t="s">
        <v>78</v>
      </c>
      <c r="F1239" s="26" t="s">
        <v>79</v>
      </c>
      <c r="G1239" s="26" t="s">
        <v>327</v>
      </c>
      <c r="H1239" s="26" t="s">
        <v>193</v>
      </c>
      <c r="I1239" s="26" t="s">
        <v>193</v>
      </c>
      <c r="J1239" s="2" t="s">
        <v>72</v>
      </c>
      <c r="K1239" s="141" t="s">
        <v>72</v>
      </c>
      <c r="L1239" s="141" t="s">
        <v>72</v>
      </c>
      <c r="M1239" s="26" t="s">
        <v>72</v>
      </c>
      <c r="N1239" s="2" t="s">
        <v>72</v>
      </c>
      <c r="O1239" s="2" t="s">
        <v>72</v>
      </c>
      <c r="P1239" s="133" t="s">
        <v>72</v>
      </c>
      <c r="Q1239" s="6" t="s">
        <v>72</v>
      </c>
      <c r="R1239" s="6" t="s">
        <v>72</v>
      </c>
      <c r="S1239" s="6" t="s">
        <v>72</v>
      </c>
      <c r="T1239" s="6" t="s">
        <v>72</v>
      </c>
      <c r="U1239" s="6" t="s">
        <v>72</v>
      </c>
      <c r="V1239" s="6" t="s">
        <v>72</v>
      </c>
      <c r="W1239" s="5" t="s">
        <v>72</v>
      </c>
      <c r="X1239" s="6" t="s">
        <v>72</v>
      </c>
      <c r="Y1239" s="6" t="s">
        <v>72</v>
      </c>
      <c r="Z1239" s="6" t="s">
        <v>72</v>
      </c>
      <c r="AA1239" s="6" t="s">
        <v>72</v>
      </c>
      <c r="AB1239" s="6" t="s">
        <v>72</v>
      </c>
      <c r="AC1239" s="6" t="s">
        <v>72</v>
      </c>
    </row>
    <row r="1240" spans="1:29" x14ac:dyDescent="0.25">
      <c r="A1240" s="145" t="str">
        <f>HYPERLINK("http://www.ofsted.gov.uk/inspection-reports/find-inspection-report/provider/ELS/1270854","Ofsted Webpage")</f>
        <v>Ofsted Webpage</v>
      </c>
      <c r="B1240" s="151">
        <v>1270854</v>
      </c>
      <c r="C1240" s="151">
        <v>10021278</v>
      </c>
      <c r="D1240" s="46" t="s">
        <v>2888</v>
      </c>
      <c r="E1240" s="26" t="s">
        <v>78</v>
      </c>
      <c r="F1240" s="26" t="s">
        <v>79</v>
      </c>
      <c r="G1240" s="26" t="s">
        <v>227</v>
      </c>
      <c r="H1240" s="26" t="s">
        <v>214</v>
      </c>
      <c r="I1240" s="26" t="s">
        <v>214</v>
      </c>
      <c r="J1240" s="2" t="s">
        <v>72</v>
      </c>
      <c r="K1240" s="141" t="s">
        <v>72</v>
      </c>
      <c r="L1240" s="141" t="s">
        <v>72</v>
      </c>
      <c r="M1240" s="26" t="s">
        <v>72</v>
      </c>
      <c r="N1240" s="2" t="s">
        <v>72</v>
      </c>
      <c r="O1240" s="2" t="s">
        <v>72</v>
      </c>
      <c r="P1240" s="133" t="s">
        <v>72</v>
      </c>
      <c r="Q1240" s="6" t="s">
        <v>72</v>
      </c>
      <c r="R1240" s="6" t="s">
        <v>72</v>
      </c>
      <c r="S1240" s="6" t="s">
        <v>72</v>
      </c>
      <c r="T1240" s="6" t="s">
        <v>72</v>
      </c>
      <c r="U1240" s="6" t="s">
        <v>72</v>
      </c>
      <c r="V1240" s="6" t="s">
        <v>72</v>
      </c>
      <c r="W1240" s="5" t="s">
        <v>72</v>
      </c>
      <c r="X1240" s="6" t="s">
        <v>72</v>
      </c>
      <c r="Y1240" s="6" t="s">
        <v>72</v>
      </c>
      <c r="Z1240" s="6" t="s">
        <v>72</v>
      </c>
      <c r="AA1240" s="6" t="s">
        <v>72</v>
      </c>
      <c r="AB1240" s="6" t="s">
        <v>72</v>
      </c>
      <c r="AC1240" s="6" t="s">
        <v>72</v>
      </c>
    </row>
    <row r="1241" spans="1:29" x14ac:dyDescent="0.25">
      <c r="A1241" s="145" t="str">
        <f>HYPERLINK("http://www.ofsted.gov.uk/inspection-reports/find-inspection-report/provider/ELS/1270855","Ofsted Webpage")</f>
        <v>Ofsted Webpage</v>
      </c>
      <c r="B1241" s="151">
        <v>1270855</v>
      </c>
      <c r="C1241" s="151">
        <v>10021314</v>
      </c>
      <c r="D1241" s="46" t="s">
        <v>2889</v>
      </c>
      <c r="E1241" s="26" t="s">
        <v>78</v>
      </c>
      <c r="F1241" s="26" t="s">
        <v>79</v>
      </c>
      <c r="G1241" s="26" t="s">
        <v>223</v>
      </c>
      <c r="H1241" s="26" t="s">
        <v>193</v>
      </c>
      <c r="I1241" s="26" t="s">
        <v>193</v>
      </c>
      <c r="J1241" s="2" t="s">
        <v>72</v>
      </c>
      <c r="K1241" s="141" t="s">
        <v>72</v>
      </c>
      <c r="L1241" s="141" t="s">
        <v>72</v>
      </c>
      <c r="M1241" s="26" t="s">
        <v>72</v>
      </c>
      <c r="N1241" s="2" t="s">
        <v>72</v>
      </c>
      <c r="O1241" s="2" t="s">
        <v>72</v>
      </c>
      <c r="P1241" s="133" t="s">
        <v>72</v>
      </c>
      <c r="Q1241" s="6" t="s">
        <v>72</v>
      </c>
      <c r="R1241" s="6" t="s">
        <v>72</v>
      </c>
      <c r="S1241" s="6" t="s">
        <v>72</v>
      </c>
      <c r="T1241" s="6" t="s">
        <v>72</v>
      </c>
      <c r="U1241" s="6" t="s">
        <v>72</v>
      </c>
      <c r="V1241" s="6" t="s">
        <v>72</v>
      </c>
      <c r="W1241" s="5" t="s">
        <v>72</v>
      </c>
      <c r="X1241" s="6" t="s">
        <v>72</v>
      </c>
      <c r="Y1241" s="6" t="s">
        <v>72</v>
      </c>
      <c r="Z1241" s="6" t="s">
        <v>72</v>
      </c>
      <c r="AA1241" s="6" t="s">
        <v>72</v>
      </c>
      <c r="AB1241" s="6" t="s">
        <v>72</v>
      </c>
      <c r="AC1241" s="6" t="s">
        <v>72</v>
      </c>
    </row>
    <row r="1242" spans="1:29" x14ac:dyDescent="0.25">
      <c r="A1242" s="145" t="str">
        <f>HYPERLINK("http://www.ofsted.gov.uk/inspection-reports/find-inspection-report/provider/ELS/1270856","Ofsted Webpage")</f>
        <v>Ofsted Webpage</v>
      </c>
      <c r="B1242" s="151">
        <v>1270856</v>
      </c>
      <c r="C1242" s="151">
        <v>10021539</v>
      </c>
      <c r="D1242" s="46" t="s">
        <v>2960</v>
      </c>
      <c r="E1242" s="26" t="s">
        <v>78</v>
      </c>
      <c r="F1242" s="26" t="s">
        <v>79</v>
      </c>
      <c r="G1242" s="26" t="s">
        <v>276</v>
      </c>
      <c r="H1242" s="26" t="s">
        <v>193</v>
      </c>
      <c r="I1242" s="26" t="s">
        <v>193</v>
      </c>
      <c r="J1242" s="2" t="s">
        <v>72</v>
      </c>
      <c r="K1242" s="141" t="s">
        <v>72</v>
      </c>
      <c r="L1242" s="141" t="s">
        <v>72</v>
      </c>
      <c r="M1242" s="26" t="s">
        <v>72</v>
      </c>
      <c r="N1242" s="2" t="s">
        <v>72</v>
      </c>
      <c r="O1242" s="2" t="s">
        <v>72</v>
      </c>
      <c r="P1242" s="133" t="s">
        <v>72</v>
      </c>
      <c r="Q1242" s="6" t="s">
        <v>72</v>
      </c>
      <c r="R1242" s="6" t="s">
        <v>72</v>
      </c>
      <c r="S1242" s="6" t="s">
        <v>72</v>
      </c>
      <c r="T1242" s="6" t="s">
        <v>72</v>
      </c>
      <c r="U1242" s="6" t="s">
        <v>72</v>
      </c>
      <c r="V1242" s="6" t="s">
        <v>72</v>
      </c>
      <c r="W1242" s="5" t="s">
        <v>72</v>
      </c>
      <c r="X1242" s="6" t="s">
        <v>72</v>
      </c>
      <c r="Y1242" s="6" t="s">
        <v>72</v>
      </c>
      <c r="Z1242" s="6" t="s">
        <v>72</v>
      </c>
      <c r="AA1242" s="6" t="s">
        <v>72</v>
      </c>
      <c r="AB1242" s="6" t="s">
        <v>72</v>
      </c>
      <c r="AC1242" s="6" t="s">
        <v>72</v>
      </c>
    </row>
    <row r="1243" spans="1:29" x14ac:dyDescent="0.25">
      <c r="A1243" s="145" t="str">
        <f>HYPERLINK("http://www.ofsted.gov.uk/inspection-reports/find-inspection-report/provider/ELS/1270858","Ofsted Webpage")</f>
        <v>Ofsted Webpage</v>
      </c>
      <c r="B1243" s="151">
        <v>1270858</v>
      </c>
      <c r="C1243" s="151">
        <v>10021563</v>
      </c>
      <c r="D1243" s="46" t="s">
        <v>2961</v>
      </c>
      <c r="E1243" s="26" t="s">
        <v>78</v>
      </c>
      <c r="F1243" s="26" t="s">
        <v>79</v>
      </c>
      <c r="G1243" s="26" t="s">
        <v>336</v>
      </c>
      <c r="H1243" s="26" t="s">
        <v>175</v>
      </c>
      <c r="I1243" s="26" t="s">
        <v>175</v>
      </c>
      <c r="J1243" s="2" t="s">
        <v>72</v>
      </c>
      <c r="K1243" s="141" t="s">
        <v>72</v>
      </c>
      <c r="L1243" s="141" t="s">
        <v>72</v>
      </c>
      <c r="M1243" s="26" t="s">
        <v>72</v>
      </c>
      <c r="N1243" s="2" t="s">
        <v>72</v>
      </c>
      <c r="O1243" s="2" t="s">
        <v>72</v>
      </c>
      <c r="P1243" s="133" t="s">
        <v>72</v>
      </c>
      <c r="Q1243" s="6" t="s">
        <v>72</v>
      </c>
      <c r="R1243" s="6" t="s">
        <v>72</v>
      </c>
      <c r="S1243" s="6" t="s">
        <v>72</v>
      </c>
      <c r="T1243" s="6" t="s">
        <v>72</v>
      </c>
      <c r="U1243" s="6" t="s">
        <v>72</v>
      </c>
      <c r="V1243" s="6" t="s">
        <v>72</v>
      </c>
      <c r="W1243" s="5" t="s">
        <v>72</v>
      </c>
      <c r="X1243" s="6" t="s">
        <v>72</v>
      </c>
      <c r="Y1243" s="6" t="s">
        <v>72</v>
      </c>
      <c r="Z1243" s="6" t="s">
        <v>72</v>
      </c>
      <c r="AA1243" s="6" t="s">
        <v>72</v>
      </c>
      <c r="AB1243" s="6" t="s">
        <v>72</v>
      </c>
      <c r="AC1243" s="6" t="s">
        <v>72</v>
      </c>
    </row>
    <row r="1244" spans="1:29" x14ac:dyDescent="0.25">
      <c r="A1244" s="145" t="str">
        <f>HYPERLINK("http://www.ofsted.gov.uk/inspection-reports/find-inspection-report/provider/ELS/1270859","Ofsted Webpage")</f>
        <v>Ofsted Webpage</v>
      </c>
      <c r="B1244" s="151">
        <v>1270859</v>
      </c>
      <c r="C1244" s="151">
        <v>10022410</v>
      </c>
      <c r="D1244" s="46" t="s">
        <v>2962</v>
      </c>
      <c r="E1244" s="26" t="s">
        <v>78</v>
      </c>
      <c r="F1244" s="26" t="s">
        <v>79</v>
      </c>
      <c r="G1244" s="26" t="s">
        <v>441</v>
      </c>
      <c r="H1244" s="26" t="s">
        <v>175</v>
      </c>
      <c r="I1244" s="26" t="s">
        <v>175</v>
      </c>
      <c r="J1244" s="2" t="s">
        <v>72</v>
      </c>
      <c r="K1244" s="141" t="s">
        <v>72</v>
      </c>
      <c r="L1244" s="141" t="s">
        <v>72</v>
      </c>
      <c r="M1244" s="26" t="s">
        <v>72</v>
      </c>
      <c r="N1244" s="2" t="s">
        <v>72</v>
      </c>
      <c r="O1244" s="2" t="s">
        <v>72</v>
      </c>
      <c r="P1244" s="133" t="s">
        <v>72</v>
      </c>
      <c r="Q1244" s="6" t="s">
        <v>72</v>
      </c>
      <c r="R1244" s="6" t="s">
        <v>72</v>
      </c>
      <c r="S1244" s="6" t="s">
        <v>72</v>
      </c>
      <c r="T1244" s="6" t="s">
        <v>72</v>
      </c>
      <c r="U1244" s="6" t="s">
        <v>72</v>
      </c>
      <c r="V1244" s="6" t="s">
        <v>72</v>
      </c>
      <c r="W1244" s="5" t="s">
        <v>72</v>
      </c>
      <c r="X1244" s="6" t="s">
        <v>72</v>
      </c>
      <c r="Y1244" s="6" t="s">
        <v>72</v>
      </c>
      <c r="Z1244" s="6" t="s">
        <v>72</v>
      </c>
      <c r="AA1244" s="6" t="s">
        <v>72</v>
      </c>
      <c r="AB1244" s="6" t="s">
        <v>72</v>
      </c>
      <c r="AC1244" s="6" t="s">
        <v>72</v>
      </c>
    </row>
    <row r="1245" spans="1:29" x14ac:dyDescent="0.25">
      <c r="A1245" s="145" t="str">
        <f>HYPERLINK("http://www.ofsted.gov.uk/inspection-reports/find-inspection-report/provider/ELS/1270860","Ofsted Webpage")</f>
        <v>Ofsted Webpage</v>
      </c>
      <c r="B1245" s="151">
        <v>1270860</v>
      </c>
      <c r="C1245" s="151">
        <v>10022489</v>
      </c>
      <c r="D1245" s="46" t="s">
        <v>2963</v>
      </c>
      <c r="E1245" s="26" t="s">
        <v>78</v>
      </c>
      <c r="F1245" s="26" t="s">
        <v>79</v>
      </c>
      <c r="G1245" s="26" t="s">
        <v>348</v>
      </c>
      <c r="H1245" s="26" t="s">
        <v>238</v>
      </c>
      <c r="I1245" s="26" t="s">
        <v>238</v>
      </c>
      <c r="J1245" s="2" t="s">
        <v>72</v>
      </c>
      <c r="K1245" s="141" t="s">
        <v>72</v>
      </c>
      <c r="L1245" s="141" t="s">
        <v>72</v>
      </c>
      <c r="M1245" s="26" t="s">
        <v>72</v>
      </c>
      <c r="N1245" s="2" t="s">
        <v>72</v>
      </c>
      <c r="O1245" s="2" t="s">
        <v>72</v>
      </c>
      <c r="P1245" s="133" t="s">
        <v>72</v>
      </c>
      <c r="Q1245" s="6" t="s">
        <v>72</v>
      </c>
      <c r="R1245" s="6" t="s">
        <v>72</v>
      </c>
      <c r="S1245" s="6" t="s">
        <v>72</v>
      </c>
      <c r="T1245" s="6" t="s">
        <v>72</v>
      </c>
      <c r="U1245" s="6" t="s">
        <v>72</v>
      </c>
      <c r="V1245" s="6" t="s">
        <v>72</v>
      </c>
      <c r="W1245" s="5" t="s">
        <v>72</v>
      </c>
      <c r="X1245" s="6" t="s">
        <v>72</v>
      </c>
      <c r="Y1245" s="6" t="s">
        <v>72</v>
      </c>
      <c r="Z1245" s="6" t="s">
        <v>72</v>
      </c>
      <c r="AA1245" s="6" t="s">
        <v>72</v>
      </c>
      <c r="AB1245" s="6" t="s">
        <v>72</v>
      </c>
      <c r="AC1245" s="6" t="s">
        <v>72</v>
      </c>
    </row>
    <row r="1246" spans="1:29" x14ac:dyDescent="0.25">
      <c r="A1246" s="145" t="str">
        <f>HYPERLINK("http://www.ofsted.gov.uk/inspection-reports/find-inspection-report/provider/ELS/1270861","Ofsted Webpage")</f>
        <v>Ofsted Webpage</v>
      </c>
      <c r="B1246" s="151">
        <v>1270861</v>
      </c>
      <c r="C1246" s="151">
        <v>10023196</v>
      </c>
      <c r="D1246" s="46" t="s">
        <v>2964</v>
      </c>
      <c r="E1246" s="26" t="s">
        <v>78</v>
      </c>
      <c r="F1246" s="26" t="s">
        <v>79</v>
      </c>
      <c r="G1246" s="26" t="s">
        <v>218</v>
      </c>
      <c r="H1246" s="26" t="s">
        <v>219</v>
      </c>
      <c r="I1246" s="26" t="s">
        <v>219</v>
      </c>
      <c r="J1246" s="2" t="s">
        <v>72</v>
      </c>
      <c r="K1246" s="141" t="s">
        <v>72</v>
      </c>
      <c r="L1246" s="141" t="s">
        <v>72</v>
      </c>
      <c r="M1246" s="26" t="s">
        <v>72</v>
      </c>
      <c r="N1246" s="2" t="s">
        <v>72</v>
      </c>
      <c r="O1246" s="2" t="s">
        <v>72</v>
      </c>
      <c r="P1246" s="133" t="s">
        <v>72</v>
      </c>
      <c r="Q1246" s="6" t="s">
        <v>72</v>
      </c>
      <c r="R1246" s="6" t="s">
        <v>72</v>
      </c>
      <c r="S1246" s="6" t="s">
        <v>72</v>
      </c>
      <c r="T1246" s="6" t="s">
        <v>72</v>
      </c>
      <c r="U1246" s="6" t="s">
        <v>72</v>
      </c>
      <c r="V1246" s="6" t="s">
        <v>72</v>
      </c>
      <c r="W1246" s="5" t="s">
        <v>72</v>
      </c>
      <c r="X1246" s="6" t="s">
        <v>72</v>
      </c>
      <c r="Y1246" s="6" t="s">
        <v>72</v>
      </c>
      <c r="Z1246" s="6" t="s">
        <v>72</v>
      </c>
      <c r="AA1246" s="6" t="s">
        <v>72</v>
      </c>
      <c r="AB1246" s="6" t="s">
        <v>72</v>
      </c>
      <c r="AC1246" s="6" t="s">
        <v>72</v>
      </c>
    </row>
    <row r="1247" spans="1:29" x14ac:dyDescent="0.25">
      <c r="A1247" s="145" t="str">
        <f>HYPERLINK("http://www.ofsted.gov.uk/inspection-reports/find-inspection-report/provider/ELS/1270862","Ofsted Webpage")</f>
        <v>Ofsted Webpage</v>
      </c>
      <c r="B1247" s="151">
        <v>1270862</v>
      </c>
      <c r="C1247" s="151">
        <v>10023434</v>
      </c>
      <c r="D1247" s="46" t="s">
        <v>2965</v>
      </c>
      <c r="E1247" s="26" t="s">
        <v>78</v>
      </c>
      <c r="F1247" s="26" t="s">
        <v>79</v>
      </c>
      <c r="G1247" s="26" t="s">
        <v>336</v>
      </c>
      <c r="H1247" s="26" t="s">
        <v>175</v>
      </c>
      <c r="I1247" s="26" t="s">
        <v>175</v>
      </c>
      <c r="J1247" s="2" t="s">
        <v>72</v>
      </c>
      <c r="K1247" s="141" t="s">
        <v>72</v>
      </c>
      <c r="L1247" s="141" t="s">
        <v>72</v>
      </c>
      <c r="M1247" s="26" t="s">
        <v>72</v>
      </c>
      <c r="N1247" s="2" t="s">
        <v>72</v>
      </c>
      <c r="O1247" s="2" t="s">
        <v>72</v>
      </c>
      <c r="P1247" s="133" t="s">
        <v>72</v>
      </c>
      <c r="Q1247" s="6" t="s">
        <v>72</v>
      </c>
      <c r="R1247" s="6" t="s">
        <v>72</v>
      </c>
      <c r="S1247" s="6" t="s">
        <v>72</v>
      </c>
      <c r="T1247" s="6" t="s">
        <v>72</v>
      </c>
      <c r="U1247" s="6" t="s">
        <v>72</v>
      </c>
      <c r="V1247" s="6" t="s">
        <v>72</v>
      </c>
      <c r="W1247" s="5" t="s">
        <v>72</v>
      </c>
      <c r="X1247" s="6" t="s">
        <v>72</v>
      </c>
      <c r="Y1247" s="6" t="s">
        <v>72</v>
      </c>
      <c r="Z1247" s="6" t="s">
        <v>72</v>
      </c>
      <c r="AA1247" s="6" t="s">
        <v>72</v>
      </c>
      <c r="AB1247" s="6" t="s">
        <v>72</v>
      </c>
      <c r="AC1247" s="6" t="s">
        <v>72</v>
      </c>
    </row>
    <row r="1248" spans="1:29" x14ac:dyDescent="0.25">
      <c r="A1248" s="145" t="str">
        <f>HYPERLINK("http://www.ofsted.gov.uk/inspection-reports/find-inspection-report/provider/ELS/1270863","Ofsted Webpage")</f>
        <v>Ofsted Webpage</v>
      </c>
      <c r="B1248" s="151">
        <v>1270863</v>
      </c>
      <c r="C1248" s="151">
        <v>10024833</v>
      </c>
      <c r="D1248" s="46" t="s">
        <v>2966</v>
      </c>
      <c r="E1248" s="26" t="s">
        <v>78</v>
      </c>
      <c r="F1248" s="26" t="s">
        <v>79</v>
      </c>
      <c r="G1248" s="26" t="s">
        <v>906</v>
      </c>
      <c r="H1248" s="26" t="s">
        <v>238</v>
      </c>
      <c r="I1248" s="26" t="s">
        <v>238</v>
      </c>
      <c r="J1248" s="2" t="s">
        <v>72</v>
      </c>
      <c r="K1248" s="141" t="s">
        <v>72</v>
      </c>
      <c r="L1248" s="141" t="s">
        <v>72</v>
      </c>
      <c r="M1248" s="26" t="s">
        <v>72</v>
      </c>
      <c r="N1248" s="2" t="s">
        <v>72</v>
      </c>
      <c r="O1248" s="2" t="s">
        <v>72</v>
      </c>
      <c r="P1248" s="133" t="s">
        <v>72</v>
      </c>
      <c r="Q1248" s="6" t="s">
        <v>72</v>
      </c>
      <c r="R1248" s="6" t="s">
        <v>72</v>
      </c>
      <c r="S1248" s="6" t="s">
        <v>72</v>
      </c>
      <c r="T1248" s="6" t="s">
        <v>72</v>
      </c>
      <c r="U1248" s="6" t="s">
        <v>72</v>
      </c>
      <c r="V1248" s="6" t="s">
        <v>72</v>
      </c>
      <c r="W1248" s="5" t="s">
        <v>72</v>
      </c>
      <c r="X1248" s="6" t="s">
        <v>72</v>
      </c>
      <c r="Y1248" s="6" t="s">
        <v>72</v>
      </c>
      <c r="Z1248" s="6" t="s">
        <v>72</v>
      </c>
      <c r="AA1248" s="6" t="s">
        <v>72</v>
      </c>
      <c r="AB1248" s="6" t="s">
        <v>72</v>
      </c>
      <c r="AC1248" s="6" t="s">
        <v>72</v>
      </c>
    </row>
    <row r="1249" spans="1:29" x14ac:dyDescent="0.25">
      <c r="A1249" s="145" t="str">
        <f>HYPERLINK("http://www.ofsted.gov.uk/inspection-reports/find-inspection-report/provider/ELS/1270864","Ofsted Webpage")</f>
        <v>Ofsted Webpage</v>
      </c>
      <c r="B1249" s="151">
        <v>1270864</v>
      </c>
      <c r="C1249" s="151">
        <v>10024836</v>
      </c>
      <c r="D1249" s="46" t="s">
        <v>2967</v>
      </c>
      <c r="E1249" s="26" t="s">
        <v>78</v>
      </c>
      <c r="F1249" s="26" t="s">
        <v>79</v>
      </c>
      <c r="G1249" s="26" t="s">
        <v>2968</v>
      </c>
      <c r="H1249" s="26" t="s">
        <v>2441</v>
      </c>
      <c r="I1249" s="26" t="s">
        <v>2441</v>
      </c>
      <c r="J1249" s="2" t="s">
        <v>72</v>
      </c>
      <c r="K1249" s="141" t="s">
        <v>72</v>
      </c>
      <c r="L1249" s="141" t="s">
        <v>72</v>
      </c>
      <c r="M1249" s="26" t="s">
        <v>72</v>
      </c>
      <c r="N1249" s="2" t="s">
        <v>72</v>
      </c>
      <c r="O1249" s="2" t="s">
        <v>72</v>
      </c>
      <c r="P1249" s="133" t="s">
        <v>72</v>
      </c>
      <c r="Q1249" s="6" t="s">
        <v>72</v>
      </c>
      <c r="R1249" s="6" t="s">
        <v>72</v>
      </c>
      <c r="S1249" s="6" t="s">
        <v>72</v>
      </c>
      <c r="T1249" s="6" t="s">
        <v>72</v>
      </c>
      <c r="U1249" s="6" t="s">
        <v>72</v>
      </c>
      <c r="V1249" s="6" t="s">
        <v>72</v>
      </c>
      <c r="W1249" s="5" t="s">
        <v>72</v>
      </c>
      <c r="X1249" s="6" t="s">
        <v>72</v>
      </c>
      <c r="Y1249" s="6" t="s">
        <v>72</v>
      </c>
      <c r="Z1249" s="6" t="s">
        <v>72</v>
      </c>
      <c r="AA1249" s="6" t="s">
        <v>72</v>
      </c>
      <c r="AB1249" s="6" t="s">
        <v>72</v>
      </c>
      <c r="AC1249" s="6" t="s">
        <v>72</v>
      </c>
    </row>
    <row r="1250" spans="1:29" x14ac:dyDescent="0.25">
      <c r="A1250" s="145" t="str">
        <f>HYPERLINK("http://www.ofsted.gov.uk/inspection-reports/find-inspection-report/provider/ELS/1270865","Ofsted Webpage")</f>
        <v>Ofsted Webpage</v>
      </c>
      <c r="B1250" s="151">
        <v>1270865</v>
      </c>
      <c r="C1250" s="151">
        <v>10025197</v>
      </c>
      <c r="D1250" s="46" t="s">
        <v>2969</v>
      </c>
      <c r="E1250" s="26" t="s">
        <v>78</v>
      </c>
      <c r="F1250" s="26" t="s">
        <v>79</v>
      </c>
      <c r="G1250" s="26" t="s">
        <v>319</v>
      </c>
      <c r="H1250" s="26" t="s">
        <v>204</v>
      </c>
      <c r="I1250" s="26" t="s">
        <v>188</v>
      </c>
      <c r="J1250" s="2" t="s">
        <v>72</v>
      </c>
      <c r="K1250" s="141" t="s">
        <v>72</v>
      </c>
      <c r="L1250" s="141" t="s">
        <v>72</v>
      </c>
      <c r="M1250" s="26" t="s">
        <v>72</v>
      </c>
      <c r="N1250" s="2" t="s">
        <v>72</v>
      </c>
      <c r="O1250" s="2" t="s">
        <v>72</v>
      </c>
      <c r="P1250" s="133" t="s">
        <v>72</v>
      </c>
      <c r="Q1250" s="6" t="s">
        <v>72</v>
      </c>
      <c r="R1250" s="6" t="s">
        <v>72</v>
      </c>
      <c r="S1250" s="6" t="s">
        <v>72</v>
      </c>
      <c r="T1250" s="6" t="s">
        <v>72</v>
      </c>
      <c r="U1250" s="6" t="s">
        <v>72</v>
      </c>
      <c r="V1250" s="6" t="s">
        <v>72</v>
      </c>
      <c r="W1250" s="5" t="s">
        <v>72</v>
      </c>
      <c r="X1250" s="6" t="s">
        <v>72</v>
      </c>
      <c r="Y1250" s="6" t="s">
        <v>72</v>
      </c>
      <c r="Z1250" s="6" t="s">
        <v>72</v>
      </c>
      <c r="AA1250" s="6" t="s">
        <v>72</v>
      </c>
      <c r="AB1250" s="6" t="s">
        <v>72</v>
      </c>
      <c r="AC1250" s="6" t="s">
        <v>72</v>
      </c>
    </row>
    <row r="1251" spans="1:29" x14ac:dyDescent="0.25">
      <c r="A1251" s="145" t="str">
        <f>HYPERLINK("http://www.ofsted.gov.uk/inspection-reports/find-inspection-report/provider/ELS/1270866","Ofsted Webpage")</f>
        <v>Ofsted Webpage</v>
      </c>
      <c r="B1251" s="151">
        <v>1270866</v>
      </c>
      <c r="C1251" s="151">
        <v>10026650</v>
      </c>
      <c r="D1251" s="46" t="s">
        <v>2970</v>
      </c>
      <c r="E1251" s="26" t="s">
        <v>78</v>
      </c>
      <c r="F1251" s="26" t="s">
        <v>79</v>
      </c>
      <c r="G1251" s="26" t="s">
        <v>361</v>
      </c>
      <c r="H1251" s="26" t="s">
        <v>198</v>
      </c>
      <c r="I1251" s="26" t="s">
        <v>198</v>
      </c>
      <c r="J1251" s="2" t="s">
        <v>72</v>
      </c>
      <c r="K1251" s="141" t="s">
        <v>72</v>
      </c>
      <c r="L1251" s="141" t="s">
        <v>72</v>
      </c>
      <c r="M1251" s="26" t="s">
        <v>72</v>
      </c>
      <c r="N1251" s="2" t="s">
        <v>72</v>
      </c>
      <c r="O1251" s="2" t="s">
        <v>72</v>
      </c>
      <c r="P1251" s="133" t="s">
        <v>72</v>
      </c>
      <c r="Q1251" s="6" t="s">
        <v>72</v>
      </c>
      <c r="R1251" s="6" t="s">
        <v>72</v>
      </c>
      <c r="S1251" s="6" t="s">
        <v>72</v>
      </c>
      <c r="T1251" s="6" t="s">
        <v>72</v>
      </c>
      <c r="U1251" s="6" t="s">
        <v>72</v>
      </c>
      <c r="V1251" s="6" t="s">
        <v>72</v>
      </c>
      <c r="W1251" s="5" t="s">
        <v>72</v>
      </c>
      <c r="X1251" s="6" t="s">
        <v>72</v>
      </c>
      <c r="Y1251" s="6" t="s">
        <v>72</v>
      </c>
      <c r="Z1251" s="6" t="s">
        <v>72</v>
      </c>
      <c r="AA1251" s="6" t="s">
        <v>72</v>
      </c>
      <c r="AB1251" s="6" t="s">
        <v>72</v>
      </c>
      <c r="AC1251" s="6" t="s">
        <v>72</v>
      </c>
    </row>
    <row r="1252" spans="1:29" x14ac:dyDescent="0.25">
      <c r="A1252" s="145" t="str">
        <f>HYPERLINK("http://www.ofsted.gov.uk/inspection-reports/find-inspection-report/provider/ELS/1270867","Ofsted Webpage")</f>
        <v>Ofsted Webpage</v>
      </c>
      <c r="B1252" s="151">
        <v>1270867</v>
      </c>
      <c r="C1252" s="151">
        <v>10027769</v>
      </c>
      <c r="D1252" s="46" t="s">
        <v>2972</v>
      </c>
      <c r="E1252" s="26" t="s">
        <v>78</v>
      </c>
      <c r="F1252" s="26" t="s">
        <v>79</v>
      </c>
      <c r="G1252" s="26" t="s">
        <v>546</v>
      </c>
      <c r="H1252" s="26" t="s">
        <v>175</v>
      </c>
      <c r="I1252" s="26" t="s">
        <v>175</v>
      </c>
      <c r="J1252" s="2" t="s">
        <v>72</v>
      </c>
      <c r="K1252" s="141" t="s">
        <v>72</v>
      </c>
      <c r="L1252" s="141" t="s">
        <v>72</v>
      </c>
      <c r="M1252" s="26" t="s">
        <v>72</v>
      </c>
      <c r="N1252" s="2" t="s">
        <v>72</v>
      </c>
      <c r="O1252" s="2" t="s">
        <v>72</v>
      </c>
      <c r="P1252" s="133" t="s">
        <v>72</v>
      </c>
      <c r="Q1252" s="6" t="s">
        <v>72</v>
      </c>
      <c r="R1252" s="6" t="s">
        <v>72</v>
      </c>
      <c r="S1252" s="6" t="s">
        <v>72</v>
      </c>
      <c r="T1252" s="6" t="s">
        <v>72</v>
      </c>
      <c r="U1252" s="6" t="s">
        <v>72</v>
      </c>
      <c r="V1252" s="6" t="s">
        <v>72</v>
      </c>
      <c r="W1252" s="5" t="s">
        <v>72</v>
      </c>
      <c r="X1252" s="6" t="s">
        <v>72</v>
      </c>
      <c r="Y1252" s="6" t="s">
        <v>72</v>
      </c>
      <c r="Z1252" s="6" t="s">
        <v>72</v>
      </c>
      <c r="AA1252" s="6" t="s">
        <v>72</v>
      </c>
      <c r="AB1252" s="6" t="s">
        <v>72</v>
      </c>
      <c r="AC1252" s="6" t="s">
        <v>72</v>
      </c>
    </row>
    <row r="1253" spans="1:29" x14ac:dyDescent="0.25">
      <c r="A1253" s="145" t="str">
        <f>HYPERLINK("http://www.ofsted.gov.uk/inspection-reports/find-inspection-report/provider/ELS/1270868","Ofsted Webpage")</f>
        <v>Ofsted Webpage</v>
      </c>
      <c r="B1253" s="151">
        <v>1270868</v>
      </c>
      <c r="C1253" s="151">
        <v>10028342</v>
      </c>
      <c r="D1253" s="46" t="s">
        <v>2973</v>
      </c>
      <c r="E1253" s="26" t="s">
        <v>78</v>
      </c>
      <c r="F1253" s="26" t="s">
        <v>79</v>
      </c>
      <c r="G1253" s="26" t="s">
        <v>223</v>
      </c>
      <c r="H1253" s="26" t="s">
        <v>193</v>
      </c>
      <c r="I1253" s="26" t="s">
        <v>193</v>
      </c>
      <c r="J1253" s="2" t="s">
        <v>72</v>
      </c>
      <c r="K1253" s="141" t="s">
        <v>72</v>
      </c>
      <c r="L1253" s="141" t="s">
        <v>72</v>
      </c>
      <c r="M1253" s="26" t="s">
        <v>72</v>
      </c>
      <c r="N1253" s="2" t="s">
        <v>72</v>
      </c>
      <c r="O1253" s="2" t="s">
        <v>72</v>
      </c>
      <c r="P1253" s="133" t="s">
        <v>72</v>
      </c>
      <c r="Q1253" s="6" t="s">
        <v>72</v>
      </c>
      <c r="R1253" s="6" t="s">
        <v>72</v>
      </c>
      <c r="S1253" s="6" t="s">
        <v>72</v>
      </c>
      <c r="T1253" s="6" t="s">
        <v>72</v>
      </c>
      <c r="U1253" s="6" t="s">
        <v>72</v>
      </c>
      <c r="V1253" s="6" t="s">
        <v>72</v>
      </c>
      <c r="W1253" s="5" t="s">
        <v>72</v>
      </c>
      <c r="X1253" s="6" t="s">
        <v>72</v>
      </c>
      <c r="Y1253" s="6" t="s">
        <v>72</v>
      </c>
      <c r="Z1253" s="6" t="s">
        <v>72</v>
      </c>
      <c r="AA1253" s="6" t="s">
        <v>72</v>
      </c>
      <c r="AB1253" s="6" t="s">
        <v>72</v>
      </c>
      <c r="AC1253" s="6" t="s">
        <v>72</v>
      </c>
    </row>
    <row r="1254" spans="1:29" x14ac:dyDescent="0.25">
      <c r="A1254" s="145" t="str">
        <f>HYPERLINK("http://www.ofsted.gov.uk/inspection-reports/find-inspection-report/provider/ELS/1270869","Ofsted Webpage")</f>
        <v>Ofsted Webpage</v>
      </c>
      <c r="B1254" s="151">
        <v>1270869</v>
      </c>
      <c r="C1254" s="151">
        <v>10029234</v>
      </c>
      <c r="D1254" s="46" t="s">
        <v>2974</v>
      </c>
      <c r="E1254" s="26" t="s">
        <v>78</v>
      </c>
      <c r="F1254" s="26" t="s">
        <v>79</v>
      </c>
      <c r="G1254" s="26" t="s">
        <v>265</v>
      </c>
      <c r="H1254" s="26" t="s">
        <v>204</v>
      </c>
      <c r="I1254" s="26" t="s">
        <v>188</v>
      </c>
      <c r="J1254" s="2" t="s">
        <v>72</v>
      </c>
      <c r="K1254" s="141" t="s">
        <v>72</v>
      </c>
      <c r="L1254" s="141" t="s">
        <v>72</v>
      </c>
      <c r="M1254" s="26" t="s">
        <v>72</v>
      </c>
      <c r="N1254" s="2" t="s">
        <v>72</v>
      </c>
      <c r="O1254" s="2" t="s">
        <v>72</v>
      </c>
      <c r="P1254" s="133" t="s">
        <v>72</v>
      </c>
      <c r="Q1254" s="6" t="s">
        <v>72</v>
      </c>
      <c r="R1254" s="6" t="s">
        <v>72</v>
      </c>
      <c r="S1254" s="6" t="s">
        <v>72</v>
      </c>
      <c r="T1254" s="6" t="s">
        <v>72</v>
      </c>
      <c r="U1254" s="6" t="s">
        <v>72</v>
      </c>
      <c r="V1254" s="6" t="s">
        <v>72</v>
      </c>
      <c r="W1254" s="5" t="s">
        <v>72</v>
      </c>
      <c r="X1254" s="6" t="s">
        <v>72</v>
      </c>
      <c r="Y1254" s="6" t="s">
        <v>72</v>
      </c>
      <c r="Z1254" s="6" t="s">
        <v>72</v>
      </c>
      <c r="AA1254" s="6" t="s">
        <v>72</v>
      </c>
      <c r="AB1254" s="6" t="s">
        <v>72</v>
      </c>
      <c r="AC1254" s="6" t="s">
        <v>72</v>
      </c>
    </row>
    <row r="1255" spans="1:29" x14ac:dyDescent="0.25">
      <c r="A1255" s="145" t="str">
        <f>HYPERLINK("http://www.ofsted.gov.uk/inspection-reports/find-inspection-report/provider/ELS/1270870","Ofsted Webpage")</f>
        <v>Ofsted Webpage</v>
      </c>
      <c r="B1255" s="151">
        <v>1270870</v>
      </c>
      <c r="C1255" s="151">
        <v>10029699</v>
      </c>
      <c r="D1255" s="46" t="s">
        <v>2975</v>
      </c>
      <c r="E1255" s="26" t="s">
        <v>78</v>
      </c>
      <c r="F1255" s="26" t="s">
        <v>79</v>
      </c>
      <c r="G1255" s="26" t="s">
        <v>291</v>
      </c>
      <c r="H1255" s="26" t="s">
        <v>175</v>
      </c>
      <c r="I1255" s="26" t="s">
        <v>175</v>
      </c>
      <c r="J1255" s="2" t="s">
        <v>72</v>
      </c>
      <c r="K1255" s="141" t="s">
        <v>72</v>
      </c>
      <c r="L1255" s="141" t="s">
        <v>72</v>
      </c>
      <c r="M1255" s="26" t="s">
        <v>72</v>
      </c>
      <c r="N1255" s="2" t="s">
        <v>72</v>
      </c>
      <c r="O1255" s="2" t="s">
        <v>72</v>
      </c>
      <c r="P1255" s="133" t="s">
        <v>72</v>
      </c>
      <c r="Q1255" s="6" t="s">
        <v>72</v>
      </c>
      <c r="R1255" s="6" t="s">
        <v>72</v>
      </c>
      <c r="S1255" s="6" t="s">
        <v>72</v>
      </c>
      <c r="T1255" s="6" t="s">
        <v>72</v>
      </c>
      <c r="U1255" s="6" t="s">
        <v>72</v>
      </c>
      <c r="V1255" s="6" t="s">
        <v>72</v>
      </c>
      <c r="W1255" s="5" t="s">
        <v>72</v>
      </c>
      <c r="X1255" s="6" t="s">
        <v>72</v>
      </c>
      <c r="Y1255" s="6" t="s">
        <v>72</v>
      </c>
      <c r="Z1255" s="6" t="s">
        <v>72</v>
      </c>
      <c r="AA1255" s="6" t="s">
        <v>72</v>
      </c>
      <c r="AB1255" s="6" t="s">
        <v>72</v>
      </c>
      <c r="AC1255" s="6" t="s">
        <v>72</v>
      </c>
    </row>
    <row r="1256" spans="1:29" x14ac:dyDescent="0.25">
      <c r="A1256" s="145" t="str">
        <f>HYPERLINK("http://www.ofsted.gov.uk/inspection-reports/find-inspection-report/provider/ELS/1270871","Ofsted Webpage")</f>
        <v>Ofsted Webpage</v>
      </c>
      <c r="B1256" s="151">
        <v>1270871</v>
      </c>
      <c r="C1256" s="151">
        <v>10029843</v>
      </c>
      <c r="D1256" s="46" t="s">
        <v>2976</v>
      </c>
      <c r="E1256" s="26" t="s">
        <v>78</v>
      </c>
      <c r="F1256" s="26" t="s">
        <v>79</v>
      </c>
      <c r="G1256" s="26" t="s">
        <v>1137</v>
      </c>
      <c r="H1256" s="26" t="s">
        <v>175</v>
      </c>
      <c r="I1256" s="26" t="s">
        <v>175</v>
      </c>
      <c r="J1256" s="2" t="s">
        <v>72</v>
      </c>
      <c r="K1256" s="141" t="s">
        <v>72</v>
      </c>
      <c r="L1256" s="141" t="s">
        <v>72</v>
      </c>
      <c r="M1256" s="26" t="s">
        <v>72</v>
      </c>
      <c r="N1256" s="2" t="s">
        <v>72</v>
      </c>
      <c r="O1256" s="2" t="s">
        <v>72</v>
      </c>
      <c r="P1256" s="133" t="s">
        <v>72</v>
      </c>
      <c r="Q1256" s="6" t="s">
        <v>72</v>
      </c>
      <c r="R1256" s="6" t="s">
        <v>72</v>
      </c>
      <c r="S1256" s="6" t="s">
        <v>72</v>
      </c>
      <c r="T1256" s="6" t="s">
        <v>72</v>
      </c>
      <c r="U1256" s="6" t="s">
        <v>72</v>
      </c>
      <c r="V1256" s="6" t="s">
        <v>72</v>
      </c>
      <c r="W1256" s="5" t="s">
        <v>72</v>
      </c>
      <c r="X1256" s="6" t="s">
        <v>72</v>
      </c>
      <c r="Y1256" s="6" t="s">
        <v>72</v>
      </c>
      <c r="Z1256" s="6" t="s">
        <v>72</v>
      </c>
      <c r="AA1256" s="6" t="s">
        <v>72</v>
      </c>
      <c r="AB1256" s="6" t="s">
        <v>72</v>
      </c>
      <c r="AC1256" s="6" t="s">
        <v>72</v>
      </c>
    </row>
    <row r="1257" spans="1:29" x14ac:dyDescent="0.25">
      <c r="A1257" s="145" t="str">
        <f>HYPERLINK("http://www.ofsted.gov.uk/inspection-reports/find-inspection-report/provider/ELS/1270872","Ofsted Webpage")</f>
        <v>Ofsted Webpage</v>
      </c>
      <c r="B1257" s="151">
        <v>1270872</v>
      </c>
      <c r="C1257" s="151">
        <v>10029887</v>
      </c>
      <c r="D1257" s="46" t="s">
        <v>2977</v>
      </c>
      <c r="E1257" s="26" t="s">
        <v>78</v>
      </c>
      <c r="F1257" s="26" t="s">
        <v>79</v>
      </c>
      <c r="G1257" s="26" t="s">
        <v>565</v>
      </c>
      <c r="H1257" s="26" t="s">
        <v>193</v>
      </c>
      <c r="I1257" s="26" t="s">
        <v>193</v>
      </c>
      <c r="J1257" s="2" t="s">
        <v>72</v>
      </c>
      <c r="K1257" s="141" t="s">
        <v>72</v>
      </c>
      <c r="L1257" s="141" t="s">
        <v>72</v>
      </c>
      <c r="M1257" s="26" t="s">
        <v>72</v>
      </c>
      <c r="N1257" s="2" t="s">
        <v>72</v>
      </c>
      <c r="O1257" s="2" t="s">
        <v>72</v>
      </c>
      <c r="P1257" s="119" t="s">
        <v>72</v>
      </c>
      <c r="Q1257" s="6" t="s">
        <v>72</v>
      </c>
      <c r="R1257" s="6" t="s">
        <v>72</v>
      </c>
      <c r="S1257" s="6" t="s">
        <v>72</v>
      </c>
      <c r="T1257" s="6" t="s">
        <v>72</v>
      </c>
      <c r="U1257" s="6" t="s">
        <v>72</v>
      </c>
      <c r="V1257" s="6" t="s">
        <v>72</v>
      </c>
      <c r="W1257" s="5" t="s">
        <v>72</v>
      </c>
      <c r="X1257" s="6" t="s">
        <v>72</v>
      </c>
      <c r="Y1257" s="6" t="s">
        <v>72</v>
      </c>
      <c r="Z1257" s="6" t="s">
        <v>72</v>
      </c>
      <c r="AA1257" s="6" t="s">
        <v>72</v>
      </c>
      <c r="AB1257" s="6" t="s">
        <v>72</v>
      </c>
      <c r="AC1257" s="6" t="s">
        <v>72</v>
      </c>
    </row>
    <row r="1258" spans="1:29" x14ac:dyDescent="0.25">
      <c r="A1258" s="145" t="str">
        <f>HYPERLINK("http://www.ofsted.gov.uk/inspection-reports/find-inspection-report/provider/ELS/1270873","Ofsted Webpage")</f>
        <v>Ofsted Webpage</v>
      </c>
      <c r="B1258" s="151">
        <v>1270873</v>
      </c>
      <c r="C1258" s="151">
        <v>10029907</v>
      </c>
      <c r="D1258" s="46" t="s">
        <v>2978</v>
      </c>
      <c r="E1258" s="26" t="s">
        <v>78</v>
      </c>
      <c r="F1258" s="26" t="s">
        <v>79</v>
      </c>
      <c r="G1258" s="26" t="s">
        <v>1137</v>
      </c>
      <c r="H1258" s="26" t="s">
        <v>175</v>
      </c>
      <c r="I1258" s="26" t="s">
        <v>175</v>
      </c>
      <c r="J1258" s="2" t="s">
        <v>72</v>
      </c>
      <c r="K1258" s="141" t="s">
        <v>72</v>
      </c>
      <c r="L1258" s="141" t="s">
        <v>72</v>
      </c>
      <c r="M1258" s="26" t="s">
        <v>72</v>
      </c>
      <c r="N1258" s="2" t="s">
        <v>72</v>
      </c>
      <c r="O1258" s="2" t="s">
        <v>72</v>
      </c>
      <c r="P1258" s="133" t="s">
        <v>72</v>
      </c>
      <c r="Q1258" s="6" t="s">
        <v>72</v>
      </c>
      <c r="R1258" s="6" t="s">
        <v>72</v>
      </c>
      <c r="S1258" s="6" t="s">
        <v>72</v>
      </c>
      <c r="T1258" s="6" t="s">
        <v>72</v>
      </c>
      <c r="U1258" s="6" t="s">
        <v>72</v>
      </c>
      <c r="V1258" s="6" t="s">
        <v>72</v>
      </c>
      <c r="W1258" s="5" t="s">
        <v>72</v>
      </c>
      <c r="X1258" s="6" t="s">
        <v>72</v>
      </c>
      <c r="Y1258" s="6" t="s">
        <v>72</v>
      </c>
      <c r="Z1258" s="6" t="s">
        <v>72</v>
      </c>
      <c r="AA1258" s="6" t="s">
        <v>72</v>
      </c>
      <c r="AB1258" s="6" t="s">
        <v>72</v>
      </c>
      <c r="AC1258" s="6" t="s">
        <v>72</v>
      </c>
    </row>
    <row r="1259" spans="1:29" x14ac:dyDescent="0.25">
      <c r="A1259" s="145" t="str">
        <f>HYPERLINK("http://www.ofsted.gov.uk/inspection-reports/find-inspection-report/provider/ELS/1270874","Ofsted Webpage")</f>
        <v>Ofsted Webpage</v>
      </c>
      <c r="B1259" s="151">
        <v>1270874</v>
      </c>
      <c r="C1259" s="151">
        <v>10030502</v>
      </c>
      <c r="D1259" s="46" t="s">
        <v>2979</v>
      </c>
      <c r="E1259" s="26" t="s">
        <v>78</v>
      </c>
      <c r="F1259" s="26" t="s">
        <v>79</v>
      </c>
      <c r="G1259" s="26" t="s">
        <v>1269</v>
      </c>
      <c r="H1259" s="26" t="s">
        <v>204</v>
      </c>
      <c r="I1259" s="26" t="s">
        <v>188</v>
      </c>
      <c r="J1259" s="2" t="s">
        <v>72</v>
      </c>
      <c r="K1259" s="141" t="s">
        <v>72</v>
      </c>
      <c r="L1259" s="141" t="s">
        <v>72</v>
      </c>
      <c r="M1259" s="26" t="s">
        <v>72</v>
      </c>
      <c r="N1259" s="2" t="s">
        <v>72</v>
      </c>
      <c r="O1259" s="2" t="s">
        <v>72</v>
      </c>
      <c r="P1259" s="133" t="s">
        <v>72</v>
      </c>
      <c r="Q1259" s="6" t="s">
        <v>72</v>
      </c>
      <c r="R1259" s="6" t="s">
        <v>72</v>
      </c>
      <c r="S1259" s="6" t="s">
        <v>72</v>
      </c>
      <c r="T1259" s="6" t="s">
        <v>72</v>
      </c>
      <c r="U1259" s="6" t="s">
        <v>72</v>
      </c>
      <c r="V1259" s="6" t="s">
        <v>72</v>
      </c>
      <c r="W1259" s="5" t="s">
        <v>72</v>
      </c>
      <c r="X1259" s="6" t="s">
        <v>72</v>
      </c>
      <c r="Y1259" s="6" t="s">
        <v>72</v>
      </c>
      <c r="Z1259" s="6" t="s">
        <v>72</v>
      </c>
      <c r="AA1259" s="6" t="s">
        <v>72</v>
      </c>
      <c r="AB1259" s="6" t="s">
        <v>72</v>
      </c>
      <c r="AC1259" s="6" t="s">
        <v>72</v>
      </c>
    </row>
    <row r="1260" spans="1:29" x14ac:dyDescent="0.25">
      <c r="A1260" s="145" t="str">
        <f>HYPERLINK("http://www.ofsted.gov.uk/inspection-reports/find-inspection-report/provider/ELS/1270875","Ofsted Webpage")</f>
        <v>Ofsted Webpage</v>
      </c>
      <c r="B1260" s="151">
        <v>1270875</v>
      </c>
      <c r="C1260" s="151">
        <v>10031151</v>
      </c>
      <c r="D1260" s="46" t="s">
        <v>2980</v>
      </c>
      <c r="E1260" s="26" t="s">
        <v>78</v>
      </c>
      <c r="F1260" s="26" t="s">
        <v>79</v>
      </c>
      <c r="G1260" s="26" t="s">
        <v>174</v>
      </c>
      <c r="H1260" s="26" t="s">
        <v>175</v>
      </c>
      <c r="I1260" s="26" t="s">
        <v>175</v>
      </c>
      <c r="J1260" s="2" t="s">
        <v>72</v>
      </c>
      <c r="K1260" s="141" t="s">
        <v>72</v>
      </c>
      <c r="L1260" s="141" t="s">
        <v>72</v>
      </c>
      <c r="M1260" s="26" t="s">
        <v>72</v>
      </c>
      <c r="N1260" s="2" t="s">
        <v>72</v>
      </c>
      <c r="O1260" s="2" t="s">
        <v>72</v>
      </c>
      <c r="P1260" s="133" t="s">
        <v>72</v>
      </c>
      <c r="Q1260" s="6" t="s">
        <v>72</v>
      </c>
      <c r="R1260" s="6" t="s">
        <v>72</v>
      </c>
      <c r="S1260" s="6" t="s">
        <v>72</v>
      </c>
      <c r="T1260" s="6" t="s">
        <v>72</v>
      </c>
      <c r="U1260" s="6" t="s">
        <v>72</v>
      </c>
      <c r="V1260" s="6" t="s">
        <v>72</v>
      </c>
      <c r="W1260" s="5" t="s">
        <v>72</v>
      </c>
      <c r="X1260" s="6" t="s">
        <v>72</v>
      </c>
      <c r="Y1260" s="6" t="s">
        <v>72</v>
      </c>
      <c r="Z1260" s="6" t="s">
        <v>72</v>
      </c>
      <c r="AA1260" s="6" t="s">
        <v>72</v>
      </c>
      <c r="AB1260" s="6" t="s">
        <v>72</v>
      </c>
      <c r="AC1260" s="6" t="s">
        <v>72</v>
      </c>
    </row>
    <row r="1261" spans="1:29" x14ac:dyDescent="0.25">
      <c r="A1261" s="145" t="str">
        <f>HYPERLINK("http://www.ofsted.gov.uk/inspection-reports/find-inspection-report/provider/ELS/1270876","Ofsted Webpage")</f>
        <v>Ofsted Webpage</v>
      </c>
      <c r="B1261" s="151">
        <v>1270876</v>
      </c>
      <c r="C1261" s="151">
        <v>10031326</v>
      </c>
      <c r="D1261" s="46" t="s">
        <v>2981</v>
      </c>
      <c r="E1261" s="26" t="s">
        <v>78</v>
      </c>
      <c r="F1261" s="26" t="s">
        <v>79</v>
      </c>
      <c r="G1261" s="26" t="s">
        <v>1181</v>
      </c>
      <c r="H1261" s="26" t="s">
        <v>193</v>
      </c>
      <c r="I1261" s="26" t="s">
        <v>193</v>
      </c>
      <c r="J1261" s="2" t="s">
        <v>72</v>
      </c>
      <c r="K1261" s="141" t="s">
        <v>72</v>
      </c>
      <c r="L1261" s="141" t="s">
        <v>72</v>
      </c>
      <c r="M1261" s="26" t="s">
        <v>72</v>
      </c>
      <c r="N1261" s="2" t="s">
        <v>72</v>
      </c>
      <c r="O1261" s="2" t="s">
        <v>72</v>
      </c>
      <c r="P1261" s="133" t="s">
        <v>72</v>
      </c>
      <c r="Q1261" s="6" t="s">
        <v>72</v>
      </c>
      <c r="R1261" s="6" t="s">
        <v>72</v>
      </c>
      <c r="S1261" s="6" t="s">
        <v>72</v>
      </c>
      <c r="T1261" s="6" t="s">
        <v>72</v>
      </c>
      <c r="U1261" s="6" t="s">
        <v>72</v>
      </c>
      <c r="V1261" s="6" t="s">
        <v>72</v>
      </c>
      <c r="W1261" s="5" t="s">
        <v>72</v>
      </c>
      <c r="X1261" s="6" t="s">
        <v>72</v>
      </c>
      <c r="Y1261" s="6" t="s">
        <v>72</v>
      </c>
      <c r="Z1261" s="6" t="s">
        <v>72</v>
      </c>
      <c r="AA1261" s="6" t="s">
        <v>72</v>
      </c>
      <c r="AB1261" s="6" t="s">
        <v>72</v>
      </c>
      <c r="AC1261" s="6" t="s">
        <v>72</v>
      </c>
    </row>
    <row r="1262" spans="1:29" x14ac:dyDescent="0.25">
      <c r="A1262" s="145" t="str">
        <f>HYPERLINK("http://www.ofsted.gov.uk/inspection-reports/find-inspection-report/provider/ELS/1270877","Ofsted Webpage")</f>
        <v>Ofsted Webpage</v>
      </c>
      <c r="B1262" s="131">
        <v>1270877</v>
      </c>
      <c r="C1262" s="131">
        <v>10031399</v>
      </c>
      <c r="D1262" s="46" t="s">
        <v>3018</v>
      </c>
      <c r="E1262" s="26" t="s">
        <v>78</v>
      </c>
      <c r="F1262" s="26" t="s">
        <v>79</v>
      </c>
      <c r="G1262" s="26" t="s">
        <v>324</v>
      </c>
      <c r="H1262" s="26" t="s">
        <v>214</v>
      </c>
      <c r="I1262" s="26" t="s">
        <v>214</v>
      </c>
      <c r="J1262" s="2" t="s">
        <v>72</v>
      </c>
      <c r="K1262" s="26" t="s">
        <v>72</v>
      </c>
      <c r="L1262" s="26" t="s">
        <v>72</v>
      </c>
      <c r="M1262" s="26" t="s">
        <v>72</v>
      </c>
      <c r="N1262" s="2" t="s">
        <v>72</v>
      </c>
      <c r="O1262" s="2" t="s">
        <v>72</v>
      </c>
      <c r="P1262" s="2" t="s">
        <v>72</v>
      </c>
      <c r="Q1262" s="6" t="s">
        <v>72</v>
      </c>
      <c r="R1262" s="6" t="s">
        <v>72</v>
      </c>
      <c r="S1262" s="6" t="s">
        <v>72</v>
      </c>
      <c r="T1262" s="6" t="s">
        <v>72</v>
      </c>
      <c r="U1262" s="6" t="s">
        <v>72</v>
      </c>
      <c r="V1262" s="6" t="s">
        <v>72</v>
      </c>
      <c r="W1262" s="5" t="s">
        <v>72</v>
      </c>
      <c r="X1262" s="6" t="s">
        <v>72</v>
      </c>
      <c r="Y1262" s="6" t="s">
        <v>72</v>
      </c>
      <c r="Z1262" s="6" t="s">
        <v>72</v>
      </c>
      <c r="AA1262" s="6" t="s">
        <v>72</v>
      </c>
      <c r="AB1262" s="6" t="s">
        <v>72</v>
      </c>
      <c r="AC1262" s="6" t="s">
        <v>72</v>
      </c>
    </row>
    <row r="1263" spans="1:29" x14ac:dyDescent="0.25">
      <c r="A1263" s="145" t="str">
        <f>HYPERLINK("http://www.ofsted.gov.uk/inspection-reports/find-inspection-report/provider/ELS/1270878","Ofsted Webpage")</f>
        <v>Ofsted Webpage</v>
      </c>
      <c r="B1263" s="131">
        <v>1270878</v>
      </c>
      <c r="C1263" s="131">
        <v>10033156</v>
      </c>
      <c r="D1263" s="46" t="s">
        <v>3019</v>
      </c>
      <c r="E1263" s="26" t="s">
        <v>78</v>
      </c>
      <c r="F1263" s="26" t="s">
        <v>79</v>
      </c>
      <c r="G1263" s="26" t="s">
        <v>348</v>
      </c>
      <c r="H1263" s="26" t="s">
        <v>238</v>
      </c>
      <c r="I1263" s="26" t="s">
        <v>238</v>
      </c>
      <c r="J1263" s="2" t="s">
        <v>72</v>
      </c>
      <c r="K1263" s="26" t="s">
        <v>72</v>
      </c>
      <c r="L1263" s="26" t="s">
        <v>72</v>
      </c>
      <c r="M1263" s="26" t="s">
        <v>72</v>
      </c>
      <c r="N1263" s="2" t="s">
        <v>72</v>
      </c>
      <c r="O1263" s="2" t="s">
        <v>72</v>
      </c>
      <c r="P1263" s="2" t="s">
        <v>72</v>
      </c>
      <c r="Q1263" s="6" t="s">
        <v>72</v>
      </c>
      <c r="R1263" s="6" t="s">
        <v>72</v>
      </c>
      <c r="S1263" s="6" t="s">
        <v>72</v>
      </c>
      <c r="T1263" s="6" t="s">
        <v>72</v>
      </c>
      <c r="U1263" s="6" t="s">
        <v>72</v>
      </c>
      <c r="V1263" s="6" t="s">
        <v>72</v>
      </c>
      <c r="W1263" s="5" t="s">
        <v>72</v>
      </c>
      <c r="X1263" s="6" t="s">
        <v>72</v>
      </c>
      <c r="Y1263" s="6" t="s">
        <v>72</v>
      </c>
      <c r="Z1263" s="6" t="s">
        <v>72</v>
      </c>
      <c r="AA1263" s="6" t="s">
        <v>72</v>
      </c>
      <c r="AB1263" s="6" t="s">
        <v>72</v>
      </c>
      <c r="AC1263" s="6" t="s">
        <v>72</v>
      </c>
    </row>
    <row r="1264" spans="1:29" x14ac:dyDescent="0.25">
      <c r="A1264" s="145" t="str">
        <f>HYPERLINK("http://www.ofsted.gov.uk/inspection-reports/find-inspection-report/provider/ELS/1270879","Ofsted Webpage")</f>
        <v>Ofsted Webpage</v>
      </c>
      <c r="B1264" s="131">
        <v>1270879</v>
      </c>
      <c r="C1264" s="131">
        <v>10033193</v>
      </c>
      <c r="D1264" s="46" t="s">
        <v>3020</v>
      </c>
      <c r="E1264" s="26" t="s">
        <v>78</v>
      </c>
      <c r="F1264" s="26" t="s">
        <v>79</v>
      </c>
      <c r="G1264" s="26" t="s">
        <v>213</v>
      </c>
      <c r="H1264" s="26" t="s">
        <v>214</v>
      </c>
      <c r="I1264" s="26" t="s">
        <v>214</v>
      </c>
      <c r="J1264" s="2" t="s">
        <v>72</v>
      </c>
      <c r="K1264" s="26" t="s">
        <v>72</v>
      </c>
      <c r="L1264" s="26" t="s">
        <v>72</v>
      </c>
      <c r="M1264" s="26" t="s">
        <v>72</v>
      </c>
      <c r="N1264" s="2" t="s">
        <v>72</v>
      </c>
      <c r="O1264" s="2" t="s">
        <v>72</v>
      </c>
      <c r="P1264" s="2" t="s">
        <v>72</v>
      </c>
      <c r="Q1264" s="6" t="s">
        <v>72</v>
      </c>
      <c r="R1264" s="6" t="s">
        <v>72</v>
      </c>
      <c r="S1264" s="6" t="s">
        <v>72</v>
      </c>
      <c r="T1264" s="6" t="s">
        <v>72</v>
      </c>
      <c r="U1264" s="6" t="s">
        <v>72</v>
      </c>
      <c r="V1264" s="6" t="s">
        <v>72</v>
      </c>
      <c r="W1264" s="5" t="s">
        <v>72</v>
      </c>
      <c r="X1264" s="6" t="s">
        <v>72</v>
      </c>
      <c r="Y1264" s="6" t="s">
        <v>72</v>
      </c>
      <c r="Z1264" s="6" t="s">
        <v>72</v>
      </c>
      <c r="AA1264" s="6" t="s">
        <v>72</v>
      </c>
      <c r="AB1264" s="6" t="s">
        <v>72</v>
      </c>
      <c r="AC1264" s="6" t="s">
        <v>72</v>
      </c>
    </row>
    <row r="1265" spans="1:29" x14ac:dyDescent="0.25">
      <c r="A1265" s="145" t="str">
        <f>HYPERLINK("http://www.ofsted.gov.uk/inspection-reports/find-inspection-report/provider/ELS/1270880","Ofsted Webpage")</f>
        <v>Ofsted Webpage</v>
      </c>
      <c r="B1265" s="131">
        <v>1270880</v>
      </c>
      <c r="C1265" s="131">
        <v>10034517</v>
      </c>
      <c r="D1265" s="46" t="s">
        <v>3021</v>
      </c>
      <c r="E1265" s="26" t="s">
        <v>78</v>
      </c>
      <c r="F1265" s="26" t="s">
        <v>79</v>
      </c>
      <c r="G1265" s="26" t="s">
        <v>437</v>
      </c>
      <c r="H1265" s="26" t="s">
        <v>214</v>
      </c>
      <c r="I1265" s="26" t="s">
        <v>214</v>
      </c>
      <c r="J1265" s="2" t="s">
        <v>72</v>
      </c>
      <c r="K1265" s="26" t="s">
        <v>72</v>
      </c>
      <c r="L1265" s="26" t="s">
        <v>72</v>
      </c>
      <c r="M1265" s="26" t="s">
        <v>72</v>
      </c>
      <c r="N1265" s="2" t="s">
        <v>72</v>
      </c>
      <c r="O1265" s="2" t="s">
        <v>72</v>
      </c>
      <c r="P1265" s="2" t="s">
        <v>72</v>
      </c>
      <c r="Q1265" s="6" t="s">
        <v>72</v>
      </c>
      <c r="R1265" s="6" t="s">
        <v>72</v>
      </c>
      <c r="S1265" s="6" t="s">
        <v>72</v>
      </c>
      <c r="T1265" s="6" t="s">
        <v>72</v>
      </c>
      <c r="U1265" s="6" t="s">
        <v>72</v>
      </c>
      <c r="V1265" s="6" t="s">
        <v>72</v>
      </c>
      <c r="W1265" s="5" t="s">
        <v>72</v>
      </c>
      <c r="X1265" s="6" t="s">
        <v>72</v>
      </c>
      <c r="Y1265" s="6" t="s">
        <v>72</v>
      </c>
      <c r="Z1265" s="6" t="s">
        <v>72</v>
      </c>
      <c r="AA1265" s="6" t="s">
        <v>72</v>
      </c>
      <c r="AB1265" s="6" t="s">
        <v>72</v>
      </c>
      <c r="AC1265" s="6" t="s">
        <v>72</v>
      </c>
    </row>
    <row r="1266" spans="1:29" x14ac:dyDescent="0.25">
      <c r="A1266" s="145" t="str">
        <f>HYPERLINK("http://www.ofsted.gov.uk/inspection-reports/find-inspection-report/provider/ELS/1270881","Ofsted Webpage")</f>
        <v>Ofsted Webpage</v>
      </c>
      <c r="B1266" s="131">
        <v>1270881</v>
      </c>
      <c r="C1266" s="131">
        <v>10034940</v>
      </c>
      <c r="D1266" s="46" t="s">
        <v>3022</v>
      </c>
      <c r="E1266" s="26" t="s">
        <v>78</v>
      </c>
      <c r="F1266" s="26" t="s">
        <v>79</v>
      </c>
      <c r="G1266" s="26" t="s">
        <v>336</v>
      </c>
      <c r="H1266" s="26" t="s">
        <v>175</v>
      </c>
      <c r="I1266" s="26" t="s">
        <v>175</v>
      </c>
      <c r="J1266" s="2" t="s">
        <v>72</v>
      </c>
      <c r="K1266" s="26" t="s">
        <v>72</v>
      </c>
      <c r="L1266" s="26" t="s">
        <v>72</v>
      </c>
      <c r="M1266" s="26" t="s">
        <v>72</v>
      </c>
      <c r="N1266" s="2" t="s">
        <v>72</v>
      </c>
      <c r="O1266" s="2" t="s">
        <v>72</v>
      </c>
      <c r="P1266" s="2" t="s">
        <v>72</v>
      </c>
      <c r="Q1266" s="6" t="s">
        <v>72</v>
      </c>
      <c r="R1266" s="6" t="s">
        <v>72</v>
      </c>
      <c r="S1266" s="6" t="s">
        <v>72</v>
      </c>
      <c r="T1266" s="6" t="s">
        <v>72</v>
      </c>
      <c r="U1266" s="6" t="s">
        <v>72</v>
      </c>
      <c r="V1266" s="6" t="s">
        <v>72</v>
      </c>
      <c r="W1266" s="5" t="s">
        <v>72</v>
      </c>
      <c r="X1266" s="6" t="s">
        <v>72</v>
      </c>
      <c r="Y1266" s="6" t="s">
        <v>72</v>
      </c>
      <c r="Z1266" s="6" t="s">
        <v>72</v>
      </c>
      <c r="AA1266" s="6" t="s">
        <v>72</v>
      </c>
      <c r="AB1266" s="6" t="s">
        <v>72</v>
      </c>
      <c r="AC1266" s="6" t="s">
        <v>72</v>
      </c>
    </row>
    <row r="1267" spans="1:29" x14ac:dyDescent="0.25">
      <c r="A1267" s="145" t="str">
        <f>HYPERLINK("http://www.ofsted.gov.uk/inspection-reports/find-inspection-report/provider/ELS/1270882","Ofsted Webpage")</f>
        <v>Ofsted Webpage</v>
      </c>
      <c r="B1267" s="131">
        <v>1270882</v>
      </c>
      <c r="C1267" s="131">
        <v>10036106</v>
      </c>
      <c r="D1267" s="46" t="s">
        <v>3023</v>
      </c>
      <c r="E1267" s="26" t="s">
        <v>78</v>
      </c>
      <c r="F1267" s="26" t="s">
        <v>79</v>
      </c>
      <c r="G1267" s="26" t="s">
        <v>240</v>
      </c>
      <c r="H1267" s="26" t="s">
        <v>238</v>
      </c>
      <c r="I1267" s="26" t="s">
        <v>238</v>
      </c>
      <c r="J1267" s="2" t="s">
        <v>72</v>
      </c>
      <c r="K1267" s="26" t="s">
        <v>72</v>
      </c>
      <c r="L1267" s="26" t="s">
        <v>72</v>
      </c>
      <c r="M1267" s="26" t="s">
        <v>72</v>
      </c>
      <c r="N1267" s="2" t="s">
        <v>72</v>
      </c>
      <c r="O1267" s="2" t="s">
        <v>72</v>
      </c>
      <c r="P1267" s="2" t="s">
        <v>72</v>
      </c>
      <c r="Q1267" s="6" t="s">
        <v>72</v>
      </c>
      <c r="R1267" s="6" t="s">
        <v>72</v>
      </c>
      <c r="S1267" s="6" t="s">
        <v>72</v>
      </c>
      <c r="T1267" s="6" t="s">
        <v>72</v>
      </c>
      <c r="U1267" s="6" t="s">
        <v>72</v>
      </c>
      <c r="V1267" s="6" t="s">
        <v>72</v>
      </c>
      <c r="W1267" s="5" t="s">
        <v>72</v>
      </c>
      <c r="X1267" s="6" t="s">
        <v>72</v>
      </c>
      <c r="Y1267" s="6" t="s">
        <v>72</v>
      </c>
      <c r="Z1267" s="6" t="s">
        <v>72</v>
      </c>
      <c r="AA1267" s="6" t="s">
        <v>72</v>
      </c>
      <c r="AB1267" s="6" t="s">
        <v>72</v>
      </c>
      <c r="AC1267" s="6" t="s">
        <v>72</v>
      </c>
    </row>
    <row r="1268" spans="1:29" x14ac:dyDescent="0.25">
      <c r="A1268" s="145" t="str">
        <f>HYPERLINK("http://www.ofsted.gov.uk/inspection-reports/find-inspection-report/provider/ELS/1270883","Ofsted Webpage")</f>
        <v>Ofsted Webpage</v>
      </c>
      <c r="B1268" s="131">
        <v>1270883</v>
      </c>
      <c r="C1268" s="131">
        <v>10036202</v>
      </c>
      <c r="D1268" s="46" t="s">
        <v>3024</v>
      </c>
      <c r="E1268" s="26" t="s">
        <v>78</v>
      </c>
      <c r="F1268" s="26" t="s">
        <v>79</v>
      </c>
      <c r="G1268" s="26" t="s">
        <v>247</v>
      </c>
      <c r="H1268" s="26" t="s">
        <v>238</v>
      </c>
      <c r="I1268" s="26" t="s">
        <v>238</v>
      </c>
      <c r="J1268" s="2" t="s">
        <v>72</v>
      </c>
      <c r="K1268" s="26" t="s">
        <v>72</v>
      </c>
      <c r="L1268" s="26" t="s">
        <v>72</v>
      </c>
      <c r="M1268" s="26" t="s">
        <v>72</v>
      </c>
      <c r="N1268" s="2" t="s">
        <v>72</v>
      </c>
      <c r="O1268" s="2" t="s">
        <v>72</v>
      </c>
      <c r="P1268" s="2" t="s">
        <v>72</v>
      </c>
      <c r="Q1268" s="6" t="s">
        <v>72</v>
      </c>
      <c r="R1268" s="6" t="s">
        <v>72</v>
      </c>
      <c r="S1268" s="6" t="s">
        <v>72</v>
      </c>
      <c r="T1268" s="6" t="s">
        <v>72</v>
      </c>
      <c r="U1268" s="6" t="s">
        <v>72</v>
      </c>
      <c r="V1268" s="6" t="s">
        <v>72</v>
      </c>
      <c r="W1268" s="5" t="s">
        <v>72</v>
      </c>
      <c r="X1268" s="6" t="s">
        <v>72</v>
      </c>
      <c r="Y1268" s="6" t="s">
        <v>72</v>
      </c>
      <c r="Z1268" s="6" t="s">
        <v>72</v>
      </c>
      <c r="AA1268" s="6" t="s">
        <v>72</v>
      </c>
      <c r="AB1268" s="6" t="s">
        <v>72</v>
      </c>
      <c r="AC1268" s="6" t="s">
        <v>72</v>
      </c>
    </row>
    <row r="1269" spans="1:29" x14ac:dyDescent="0.25">
      <c r="A1269" s="145" t="str">
        <f>HYPERLINK("http://www.ofsted.gov.uk/inspection-reports/find-inspection-report/provider/ELS/1270884","Ofsted Webpage")</f>
        <v>Ofsted Webpage</v>
      </c>
      <c r="B1269" s="131">
        <v>1270884</v>
      </c>
      <c r="C1269" s="131">
        <v>10036227</v>
      </c>
      <c r="D1269" s="46" t="s">
        <v>3025</v>
      </c>
      <c r="E1269" s="26" t="s">
        <v>78</v>
      </c>
      <c r="F1269" s="26" t="s">
        <v>79</v>
      </c>
      <c r="G1269" s="26" t="s">
        <v>628</v>
      </c>
      <c r="H1269" s="26" t="s">
        <v>204</v>
      </c>
      <c r="I1269" s="26" t="s">
        <v>188</v>
      </c>
      <c r="J1269" s="2" t="s">
        <v>72</v>
      </c>
      <c r="K1269" s="26" t="s">
        <v>72</v>
      </c>
      <c r="L1269" s="26" t="s">
        <v>72</v>
      </c>
      <c r="M1269" s="26" t="s">
        <v>72</v>
      </c>
      <c r="N1269" s="2" t="s">
        <v>72</v>
      </c>
      <c r="O1269" s="2" t="s">
        <v>72</v>
      </c>
      <c r="P1269" s="2" t="s">
        <v>72</v>
      </c>
      <c r="Q1269" s="6" t="s">
        <v>72</v>
      </c>
      <c r="R1269" s="6" t="s">
        <v>72</v>
      </c>
      <c r="S1269" s="6" t="s">
        <v>72</v>
      </c>
      <c r="T1269" s="6" t="s">
        <v>72</v>
      </c>
      <c r="U1269" s="6" t="s">
        <v>72</v>
      </c>
      <c r="V1269" s="6" t="s">
        <v>72</v>
      </c>
      <c r="W1269" s="5" t="s">
        <v>72</v>
      </c>
      <c r="X1269" s="6" t="s">
        <v>72</v>
      </c>
      <c r="Y1269" s="6" t="s">
        <v>72</v>
      </c>
      <c r="Z1269" s="6" t="s">
        <v>72</v>
      </c>
      <c r="AA1269" s="6" t="s">
        <v>72</v>
      </c>
      <c r="AB1269" s="6" t="s">
        <v>72</v>
      </c>
      <c r="AC1269" s="6" t="s">
        <v>72</v>
      </c>
    </row>
    <row r="1270" spans="1:29" x14ac:dyDescent="0.25">
      <c r="A1270" s="145" t="str">
        <f>HYPERLINK("http://www.ofsted.gov.uk/inspection-reports/find-inspection-report/provider/ELS/1270885","Ofsted Webpage")</f>
        <v>Ofsted Webpage</v>
      </c>
      <c r="B1270" s="131">
        <v>1270885</v>
      </c>
      <c r="C1270" s="131">
        <v>10036516</v>
      </c>
      <c r="D1270" s="46" t="s">
        <v>3026</v>
      </c>
      <c r="E1270" s="26" t="s">
        <v>78</v>
      </c>
      <c r="F1270" s="26" t="s">
        <v>79</v>
      </c>
      <c r="G1270" s="26" t="s">
        <v>218</v>
      </c>
      <c r="H1270" s="26" t="s">
        <v>219</v>
      </c>
      <c r="I1270" s="26" t="s">
        <v>219</v>
      </c>
      <c r="J1270" s="2" t="s">
        <v>72</v>
      </c>
      <c r="K1270" s="26" t="s">
        <v>72</v>
      </c>
      <c r="L1270" s="26" t="s">
        <v>72</v>
      </c>
      <c r="M1270" s="26" t="s">
        <v>72</v>
      </c>
      <c r="N1270" s="2" t="s">
        <v>72</v>
      </c>
      <c r="O1270" s="2" t="s">
        <v>72</v>
      </c>
      <c r="P1270" s="2" t="s">
        <v>72</v>
      </c>
      <c r="Q1270" s="6" t="s">
        <v>72</v>
      </c>
      <c r="R1270" s="6" t="s">
        <v>72</v>
      </c>
      <c r="S1270" s="6" t="s">
        <v>72</v>
      </c>
      <c r="T1270" s="6" t="s">
        <v>72</v>
      </c>
      <c r="U1270" s="6" t="s">
        <v>72</v>
      </c>
      <c r="V1270" s="6" t="s">
        <v>72</v>
      </c>
      <c r="W1270" s="5" t="s">
        <v>72</v>
      </c>
      <c r="X1270" s="6" t="s">
        <v>72</v>
      </c>
      <c r="Y1270" s="6" t="s">
        <v>72</v>
      </c>
      <c r="Z1270" s="6" t="s">
        <v>72</v>
      </c>
      <c r="AA1270" s="6" t="s">
        <v>72</v>
      </c>
      <c r="AB1270" s="6" t="s">
        <v>72</v>
      </c>
      <c r="AC1270" s="6" t="s">
        <v>72</v>
      </c>
    </row>
    <row r="1271" spans="1:29" x14ac:dyDescent="0.25">
      <c r="A1271" s="145" t="str">
        <f>HYPERLINK("http://www.ofsted.gov.uk/inspection-reports/find-inspection-report/provider/ELS/1270886","Ofsted Webpage")</f>
        <v>Ofsted Webpage</v>
      </c>
      <c r="B1271" s="131">
        <v>1270886</v>
      </c>
      <c r="C1271" s="131">
        <v>10036794</v>
      </c>
      <c r="D1271" s="46" t="s">
        <v>3027</v>
      </c>
      <c r="E1271" s="26" t="s">
        <v>78</v>
      </c>
      <c r="F1271" s="26" t="s">
        <v>79</v>
      </c>
      <c r="G1271" s="26" t="s">
        <v>276</v>
      </c>
      <c r="H1271" s="26" t="s">
        <v>193</v>
      </c>
      <c r="I1271" s="26" t="s">
        <v>193</v>
      </c>
      <c r="J1271" s="2" t="s">
        <v>72</v>
      </c>
      <c r="K1271" s="26" t="s">
        <v>72</v>
      </c>
      <c r="L1271" s="26" t="s">
        <v>72</v>
      </c>
      <c r="M1271" s="26" t="s">
        <v>72</v>
      </c>
      <c r="N1271" s="2" t="s">
        <v>72</v>
      </c>
      <c r="O1271" s="2" t="s">
        <v>72</v>
      </c>
      <c r="P1271" s="2" t="s">
        <v>72</v>
      </c>
      <c r="Q1271" s="6" t="s">
        <v>72</v>
      </c>
      <c r="R1271" s="6" t="s">
        <v>72</v>
      </c>
      <c r="S1271" s="6" t="s">
        <v>72</v>
      </c>
      <c r="T1271" s="6" t="s">
        <v>72</v>
      </c>
      <c r="U1271" s="6" t="s">
        <v>72</v>
      </c>
      <c r="V1271" s="6" t="s">
        <v>72</v>
      </c>
      <c r="W1271" s="5" t="s">
        <v>72</v>
      </c>
      <c r="X1271" s="6" t="s">
        <v>72</v>
      </c>
      <c r="Y1271" s="6" t="s">
        <v>72</v>
      </c>
      <c r="Z1271" s="6" t="s">
        <v>72</v>
      </c>
      <c r="AA1271" s="6" t="s">
        <v>72</v>
      </c>
      <c r="AB1271" s="6" t="s">
        <v>72</v>
      </c>
      <c r="AC1271" s="6" t="s">
        <v>72</v>
      </c>
    </row>
    <row r="1272" spans="1:29" x14ac:dyDescent="0.25">
      <c r="A1272" s="145" t="str">
        <f>HYPERLINK("http://www.ofsted.gov.uk/inspection-reports/find-inspection-report/provider/ELS/1270887","Ofsted Webpage")</f>
        <v>Ofsted Webpage</v>
      </c>
      <c r="B1272" s="131">
        <v>1270887</v>
      </c>
      <c r="C1272" s="131">
        <v>10037126</v>
      </c>
      <c r="D1272" s="46" t="s">
        <v>3031</v>
      </c>
      <c r="E1272" s="26" t="s">
        <v>78</v>
      </c>
      <c r="F1272" s="26" t="s">
        <v>79</v>
      </c>
      <c r="G1272" s="26" t="s">
        <v>461</v>
      </c>
      <c r="H1272" s="26" t="s">
        <v>187</v>
      </c>
      <c r="I1272" s="26" t="s">
        <v>188</v>
      </c>
      <c r="J1272" s="2" t="s">
        <v>72</v>
      </c>
      <c r="K1272" s="26" t="s">
        <v>72</v>
      </c>
      <c r="L1272" s="26" t="s">
        <v>72</v>
      </c>
      <c r="M1272" s="26" t="s">
        <v>72</v>
      </c>
      <c r="N1272" s="2" t="s">
        <v>72</v>
      </c>
      <c r="O1272" s="2" t="s">
        <v>72</v>
      </c>
      <c r="P1272" s="2" t="s">
        <v>72</v>
      </c>
      <c r="Q1272" s="6" t="s">
        <v>72</v>
      </c>
      <c r="R1272" s="6" t="s">
        <v>72</v>
      </c>
      <c r="S1272" s="6" t="s">
        <v>72</v>
      </c>
      <c r="T1272" s="6" t="s">
        <v>72</v>
      </c>
      <c r="U1272" s="6" t="s">
        <v>72</v>
      </c>
      <c r="V1272" s="6" t="s">
        <v>72</v>
      </c>
      <c r="W1272" s="5" t="s">
        <v>72</v>
      </c>
      <c r="X1272" s="6" t="s">
        <v>72</v>
      </c>
      <c r="Y1272" s="6" t="s">
        <v>72</v>
      </c>
      <c r="Z1272" s="6" t="s">
        <v>72</v>
      </c>
      <c r="AA1272" s="6" t="s">
        <v>72</v>
      </c>
      <c r="AB1272" s="6" t="s">
        <v>72</v>
      </c>
      <c r="AC1272" s="6" t="s">
        <v>72</v>
      </c>
    </row>
    <row r="1273" spans="1:29" x14ac:dyDescent="0.25">
      <c r="A1273" s="145" t="str">
        <f>HYPERLINK("http://www.ofsted.gov.uk/inspection-reports/find-inspection-report/provider/ELS/1270891","Ofsted Webpage")</f>
        <v>Ofsted Webpage</v>
      </c>
      <c r="B1273" s="131">
        <v>1270891</v>
      </c>
      <c r="C1273" s="131">
        <v>10037289</v>
      </c>
      <c r="D1273" s="46" t="s">
        <v>3032</v>
      </c>
      <c r="E1273" s="26" t="s">
        <v>78</v>
      </c>
      <c r="F1273" s="26" t="s">
        <v>79</v>
      </c>
      <c r="G1273" s="26" t="s">
        <v>331</v>
      </c>
      <c r="H1273" s="26" t="s">
        <v>214</v>
      </c>
      <c r="I1273" s="26" t="s">
        <v>214</v>
      </c>
      <c r="J1273" s="2" t="s">
        <v>72</v>
      </c>
      <c r="K1273" s="26" t="s">
        <v>72</v>
      </c>
      <c r="L1273" s="26" t="s">
        <v>72</v>
      </c>
      <c r="M1273" s="26" t="s">
        <v>72</v>
      </c>
      <c r="N1273" s="2" t="s">
        <v>72</v>
      </c>
      <c r="O1273" s="2" t="s">
        <v>72</v>
      </c>
      <c r="P1273" s="2" t="s">
        <v>72</v>
      </c>
      <c r="Q1273" s="6" t="s">
        <v>72</v>
      </c>
      <c r="R1273" s="6" t="s">
        <v>72</v>
      </c>
      <c r="S1273" s="6" t="s">
        <v>72</v>
      </c>
      <c r="T1273" s="6" t="s">
        <v>72</v>
      </c>
      <c r="U1273" s="6" t="s">
        <v>72</v>
      </c>
      <c r="V1273" s="6" t="s">
        <v>72</v>
      </c>
      <c r="W1273" s="5" t="s">
        <v>72</v>
      </c>
      <c r="X1273" s="6" t="s">
        <v>72</v>
      </c>
      <c r="Y1273" s="6" t="s">
        <v>72</v>
      </c>
      <c r="Z1273" s="6" t="s">
        <v>72</v>
      </c>
      <c r="AA1273" s="6" t="s">
        <v>72</v>
      </c>
      <c r="AB1273" s="6" t="s">
        <v>72</v>
      </c>
      <c r="AC1273" s="6" t="s">
        <v>72</v>
      </c>
    </row>
    <row r="1274" spans="1:29" x14ac:dyDescent="0.25">
      <c r="A1274" s="145" t="str">
        <f>HYPERLINK("http://www.ofsted.gov.uk/inspection-reports/find-inspection-report/provider/ELS/1270892","Ofsted Webpage")</f>
        <v>Ofsted Webpage</v>
      </c>
      <c r="B1274" s="131">
        <v>1270892</v>
      </c>
      <c r="C1274" s="131">
        <v>10038368</v>
      </c>
      <c r="D1274" s="46" t="s">
        <v>3033</v>
      </c>
      <c r="E1274" s="26" t="s">
        <v>78</v>
      </c>
      <c r="F1274" s="26" t="s">
        <v>79</v>
      </c>
      <c r="G1274" s="26" t="s">
        <v>213</v>
      </c>
      <c r="H1274" s="26" t="s">
        <v>214</v>
      </c>
      <c r="I1274" s="26" t="s">
        <v>214</v>
      </c>
      <c r="J1274" s="2" t="s">
        <v>72</v>
      </c>
      <c r="K1274" s="26" t="s">
        <v>72</v>
      </c>
      <c r="L1274" s="26" t="s">
        <v>72</v>
      </c>
      <c r="M1274" s="26" t="s">
        <v>72</v>
      </c>
      <c r="N1274" s="2" t="s">
        <v>72</v>
      </c>
      <c r="O1274" s="2" t="s">
        <v>72</v>
      </c>
      <c r="P1274" s="2" t="s">
        <v>72</v>
      </c>
      <c r="Q1274" s="6" t="s">
        <v>72</v>
      </c>
      <c r="R1274" s="6" t="s">
        <v>72</v>
      </c>
      <c r="S1274" s="6" t="s">
        <v>72</v>
      </c>
      <c r="T1274" s="6" t="s">
        <v>72</v>
      </c>
      <c r="U1274" s="6" t="s">
        <v>72</v>
      </c>
      <c r="V1274" s="6" t="s">
        <v>72</v>
      </c>
      <c r="W1274" s="5" t="s">
        <v>72</v>
      </c>
      <c r="X1274" s="6" t="s">
        <v>72</v>
      </c>
      <c r="Y1274" s="6" t="s">
        <v>72</v>
      </c>
      <c r="Z1274" s="6" t="s">
        <v>72</v>
      </c>
      <c r="AA1274" s="6" t="s">
        <v>72</v>
      </c>
      <c r="AB1274" s="6" t="s">
        <v>72</v>
      </c>
      <c r="AC1274" s="6" t="s">
        <v>72</v>
      </c>
    </row>
    <row r="1275" spans="1:29" x14ac:dyDescent="0.25">
      <c r="A1275" s="145" t="str">
        <f>HYPERLINK("http://www.ofsted.gov.uk/inspection-reports/find-inspection-report/provider/ELS/1270893","Ofsted Webpage")</f>
        <v>Ofsted Webpage</v>
      </c>
      <c r="B1275" s="131">
        <v>1270893</v>
      </c>
      <c r="C1275" s="131">
        <v>10038387</v>
      </c>
      <c r="D1275" s="46" t="s">
        <v>3034</v>
      </c>
      <c r="E1275" s="26" t="s">
        <v>78</v>
      </c>
      <c r="F1275" s="26" t="s">
        <v>79</v>
      </c>
      <c r="G1275" s="26" t="s">
        <v>1269</v>
      </c>
      <c r="H1275" s="26" t="s">
        <v>204</v>
      </c>
      <c r="I1275" s="26" t="s">
        <v>188</v>
      </c>
      <c r="J1275" s="2" t="s">
        <v>72</v>
      </c>
      <c r="K1275" s="26" t="s">
        <v>72</v>
      </c>
      <c r="L1275" s="26" t="s">
        <v>72</v>
      </c>
      <c r="M1275" s="26" t="s">
        <v>72</v>
      </c>
      <c r="N1275" s="2" t="s">
        <v>72</v>
      </c>
      <c r="O1275" s="2" t="s">
        <v>72</v>
      </c>
      <c r="P1275" s="2" t="s">
        <v>72</v>
      </c>
      <c r="Q1275" s="6" t="s">
        <v>72</v>
      </c>
      <c r="R1275" s="6" t="s">
        <v>72</v>
      </c>
      <c r="S1275" s="6" t="s">
        <v>72</v>
      </c>
      <c r="T1275" s="6" t="s">
        <v>72</v>
      </c>
      <c r="U1275" s="6" t="s">
        <v>72</v>
      </c>
      <c r="V1275" s="6" t="s">
        <v>72</v>
      </c>
      <c r="W1275" s="5" t="s">
        <v>72</v>
      </c>
      <c r="X1275" s="6" t="s">
        <v>72</v>
      </c>
      <c r="Y1275" s="6" t="s">
        <v>72</v>
      </c>
      <c r="Z1275" s="6" t="s">
        <v>72</v>
      </c>
      <c r="AA1275" s="6" t="s">
        <v>72</v>
      </c>
      <c r="AB1275" s="6" t="s">
        <v>72</v>
      </c>
      <c r="AC1275" s="6" t="s">
        <v>72</v>
      </c>
    </row>
    <row r="1276" spans="1:29" x14ac:dyDescent="0.25">
      <c r="A1276" s="145" t="str">
        <f>HYPERLINK("http://www.ofsted.gov.uk/inspection-reports/find-inspection-report/provider/ELS/1270894","Ofsted Webpage")</f>
        <v>Ofsted Webpage</v>
      </c>
      <c r="B1276" s="131">
        <v>1270894</v>
      </c>
      <c r="C1276" s="131">
        <v>10038823</v>
      </c>
      <c r="D1276" s="46" t="s">
        <v>3035</v>
      </c>
      <c r="E1276" s="26" t="s">
        <v>78</v>
      </c>
      <c r="F1276" s="26" t="s">
        <v>79</v>
      </c>
      <c r="G1276" s="26" t="s">
        <v>1204</v>
      </c>
      <c r="H1276" s="26" t="s">
        <v>175</v>
      </c>
      <c r="I1276" s="26" t="s">
        <v>175</v>
      </c>
      <c r="J1276" s="2" t="s">
        <v>72</v>
      </c>
      <c r="K1276" s="26" t="s">
        <v>72</v>
      </c>
      <c r="L1276" s="26" t="s">
        <v>72</v>
      </c>
      <c r="M1276" s="26" t="s">
        <v>72</v>
      </c>
      <c r="N1276" s="2" t="s">
        <v>72</v>
      </c>
      <c r="O1276" s="2" t="s">
        <v>72</v>
      </c>
      <c r="P1276" s="2" t="s">
        <v>72</v>
      </c>
      <c r="Q1276" s="6" t="s">
        <v>72</v>
      </c>
      <c r="R1276" s="6" t="s">
        <v>72</v>
      </c>
      <c r="S1276" s="6" t="s">
        <v>72</v>
      </c>
      <c r="T1276" s="6" t="s">
        <v>72</v>
      </c>
      <c r="U1276" s="6" t="s">
        <v>72</v>
      </c>
      <c r="V1276" s="6" t="s">
        <v>72</v>
      </c>
      <c r="W1276" s="5" t="s">
        <v>72</v>
      </c>
      <c r="X1276" s="6" t="s">
        <v>72</v>
      </c>
      <c r="Y1276" s="6" t="s">
        <v>72</v>
      </c>
      <c r="Z1276" s="6" t="s">
        <v>72</v>
      </c>
      <c r="AA1276" s="6" t="s">
        <v>72</v>
      </c>
      <c r="AB1276" s="6" t="s">
        <v>72</v>
      </c>
      <c r="AC1276" s="6" t="s">
        <v>72</v>
      </c>
    </row>
    <row r="1277" spans="1:29" x14ac:dyDescent="0.25">
      <c r="A1277" s="145" t="str">
        <f>HYPERLINK("http://www.ofsted.gov.uk/inspection-reports/find-inspection-report/provider/ELS/1270895","Ofsted Webpage")</f>
        <v>Ofsted Webpage</v>
      </c>
      <c r="B1277" s="131">
        <v>1270895</v>
      </c>
      <c r="C1277" s="131">
        <v>10038939</v>
      </c>
      <c r="D1277" s="46" t="s">
        <v>3036</v>
      </c>
      <c r="E1277" s="26" t="s">
        <v>78</v>
      </c>
      <c r="F1277" s="26" t="s">
        <v>79</v>
      </c>
      <c r="G1277" s="26" t="s">
        <v>851</v>
      </c>
      <c r="H1277" s="26" t="s">
        <v>238</v>
      </c>
      <c r="I1277" s="26" t="s">
        <v>238</v>
      </c>
      <c r="J1277" s="2" t="s">
        <v>72</v>
      </c>
      <c r="K1277" s="26" t="s">
        <v>72</v>
      </c>
      <c r="L1277" s="26" t="s">
        <v>72</v>
      </c>
      <c r="M1277" s="26" t="s">
        <v>72</v>
      </c>
      <c r="N1277" s="2" t="s">
        <v>72</v>
      </c>
      <c r="O1277" s="2" t="s">
        <v>72</v>
      </c>
      <c r="P1277" s="2" t="s">
        <v>72</v>
      </c>
      <c r="Q1277" s="6" t="s">
        <v>72</v>
      </c>
      <c r="R1277" s="6" t="s">
        <v>72</v>
      </c>
      <c r="S1277" s="6" t="s">
        <v>72</v>
      </c>
      <c r="T1277" s="6" t="s">
        <v>72</v>
      </c>
      <c r="U1277" s="6" t="s">
        <v>72</v>
      </c>
      <c r="V1277" s="6" t="s">
        <v>72</v>
      </c>
      <c r="W1277" s="5" t="s">
        <v>72</v>
      </c>
      <c r="X1277" s="6" t="s">
        <v>72</v>
      </c>
      <c r="Y1277" s="6" t="s">
        <v>72</v>
      </c>
      <c r="Z1277" s="6" t="s">
        <v>72</v>
      </c>
      <c r="AA1277" s="6" t="s">
        <v>72</v>
      </c>
      <c r="AB1277" s="6" t="s">
        <v>72</v>
      </c>
      <c r="AC1277" s="6" t="s">
        <v>72</v>
      </c>
    </row>
    <row r="1278" spans="1:29" x14ac:dyDescent="0.25">
      <c r="A1278" s="145" t="str">
        <f>HYPERLINK("http://www.ofsted.gov.uk/inspection-reports/find-inspection-report/provider/ELS/1270896","Ofsted Webpage")</f>
        <v>Ofsted Webpage</v>
      </c>
      <c r="B1278" s="131">
        <v>1270896</v>
      </c>
      <c r="C1278" s="131">
        <v>10039793</v>
      </c>
      <c r="D1278" s="46" t="s">
        <v>3037</v>
      </c>
      <c r="E1278" s="26" t="s">
        <v>78</v>
      </c>
      <c r="F1278" s="26" t="s">
        <v>79</v>
      </c>
      <c r="G1278" s="26" t="s">
        <v>348</v>
      </c>
      <c r="H1278" s="26" t="s">
        <v>238</v>
      </c>
      <c r="I1278" s="26" t="s">
        <v>238</v>
      </c>
      <c r="J1278" s="2" t="s">
        <v>72</v>
      </c>
      <c r="K1278" s="26" t="s">
        <v>72</v>
      </c>
      <c r="L1278" s="26" t="s">
        <v>72</v>
      </c>
      <c r="M1278" s="26" t="s">
        <v>72</v>
      </c>
      <c r="N1278" s="2" t="s">
        <v>72</v>
      </c>
      <c r="O1278" s="2" t="s">
        <v>72</v>
      </c>
      <c r="P1278" s="2" t="s">
        <v>72</v>
      </c>
      <c r="Q1278" s="6" t="s">
        <v>72</v>
      </c>
      <c r="R1278" s="6" t="s">
        <v>72</v>
      </c>
      <c r="S1278" s="6" t="s">
        <v>72</v>
      </c>
      <c r="T1278" s="6" t="s">
        <v>72</v>
      </c>
      <c r="U1278" s="6" t="s">
        <v>72</v>
      </c>
      <c r="V1278" s="6" t="s">
        <v>72</v>
      </c>
      <c r="W1278" s="5" t="s">
        <v>72</v>
      </c>
      <c r="X1278" s="6" t="s">
        <v>72</v>
      </c>
      <c r="Y1278" s="6" t="s">
        <v>72</v>
      </c>
      <c r="Z1278" s="6" t="s">
        <v>72</v>
      </c>
      <c r="AA1278" s="6" t="s">
        <v>72</v>
      </c>
      <c r="AB1278" s="6" t="s">
        <v>72</v>
      </c>
      <c r="AC1278" s="6" t="s">
        <v>72</v>
      </c>
    </row>
    <row r="1279" spans="1:29" x14ac:dyDescent="0.25">
      <c r="A1279" s="145" t="str">
        <f>HYPERLINK("http://www.ofsted.gov.uk/inspection-reports/find-inspection-report/provider/ELS/1270897","Ofsted Webpage")</f>
        <v>Ofsted Webpage</v>
      </c>
      <c r="B1279" s="131">
        <v>1270897</v>
      </c>
      <c r="C1279" s="131">
        <v>10040368</v>
      </c>
      <c r="D1279" s="46" t="s">
        <v>3038</v>
      </c>
      <c r="E1279" s="26" t="s">
        <v>78</v>
      </c>
      <c r="F1279" s="26" t="s">
        <v>79</v>
      </c>
      <c r="G1279" s="26" t="s">
        <v>1310</v>
      </c>
      <c r="H1279" s="26" t="s">
        <v>238</v>
      </c>
      <c r="I1279" s="26" t="s">
        <v>238</v>
      </c>
      <c r="J1279" s="2" t="s">
        <v>72</v>
      </c>
      <c r="K1279" s="26" t="s">
        <v>72</v>
      </c>
      <c r="L1279" s="26" t="s">
        <v>72</v>
      </c>
      <c r="M1279" s="26" t="s">
        <v>72</v>
      </c>
      <c r="N1279" s="2" t="s">
        <v>72</v>
      </c>
      <c r="O1279" s="2" t="s">
        <v>72</v>
      </c>
      <c r="P1279" s="2" t="s">
        <v>72</v>
      </c>
      <c r="Q1279" s="6" t="s">
        <v>72</v>
      </c>
      <c r="R1279" s="6" t="s">
        <v>72</v>
      </c>
      <c r="S1279" s="6" t="s">
        <v>72</v>
      </c>
      <c r="T1279" s="6" t="s">
        <v>72</v>
      </c>
      <c r="U1279" s="6" t="s">
        <v>72</v>
      </c>
      <c r="V1279" s="6" t="s">
        <v>72</v>
      </c>
      <c r="W1279" s="5" t="s">
        <v>72</v>
      </c>
      <c r="X1279" s="6" t="s">
        <v>72</v>
      </c>
      <c r="Y1279" s="6" t="s">
        <v>72</v>
      </c>
      <c r="Z1279" s="6" t="s">
        <v>72</v>
      </c>
      <c r="AA1279" s="6" t="s">
        <v>72</v>
      </c>
      <c r="AB1279" s="6" t="s">
        <v>72</v>
      </c>
      <c r="AC1279" s="6" t="s">
        <v>72</v>
      </c>
    </row>
    <row r="1280" spans="1:29" x14ac:dyDescent="0.25">
      <c r="A1280" s="145" t="str">
        <f>HYPERLINK("http://www.ofsted.gov.uk/inspection-reports/find-inspection-report/provider/ELS/1270898","Ofsted Webpage")</f>
        <v>Ofsted Webpage</v>
      </c>
      <c r="B1280" s="131">
        <v>1270898</v>
      </c>
      <c r="C1280" s="131">
        <v>10041149</v>
      </c>
      <c r="D1280" s="46" t="s">
        <v>3039</v>
      </c>
      <c r="E1280" s="26" t="s">
        <v>78</v>
      </c>
      <c r="F1280" s="26" t="s">
        <v>79</v>
      </c>
      <c r="G1280" s="26" t="s">
        <v>186</v>
      </c>
      <c r="H1280" s="26" t="s">
        <v>187</v>
      </c>
      <c r="I1280" s="26" t="s">
        <v>188</v>
      </c>
      <c r="J1280" s="2" t="s">
        <v>72</v>
      </c>
      <c r="K1280" s="26" t="s">
        <v>72</v>
      </c>
      <c r="L1280" s="26" t="s">
        <v>72</v>
      </c>
      <c r="M1280" s="26" t="s">
        <v>72</v>
      </c>
      <c r="N1280" s="2" t="s">
        <v>72</v>
      </c>
      <c r="O1280" s="2" t="s">
        <v>72</v>
      </c>
      <c r="P1280" s="2" t="s">
        <v>72</v>
      </c>
      <c r="Q1280" s="6" t="s">
        <v>72</v>
      </c>
      <c r="R1280" s="6" t="s">
        <v>72</v>
      </c>
      <c r="S1280" s="6" t="s">
        <v>72</v>
      </c>
      <c r="T1280" s="6" t="s">
        <v>72</v>
      </c>
      <c r="U1280" s="6" t="s">
        <v>72</v>
      </c>
      <c r="V1280" s="6" t="s">
        <v>72</v>
      </c>
      <c r="W1280" s="5" t="s">
        <v>72</v>
      </c>
      <c r="X1280" s="6" t="s">
        <v>72</v>
      </c>
      <c r="Y1280" s="6" t="s">
        <v>72</v>
      </c>
      <c r="Z1280" s="6" t="s">
        <v>72</v>
      </c>
      <c r="AA1280" s="6" t="s">
        <v>72</v>
      </c>
      <c r="AB1280" s="6" t="s">
        <v>72</v>
      </c>
      <c r="AC1280" s="6" t="s">
        <v>72</v>
      </c>
    </row>
    <row r="1281" spans="1:29" x14ac:dyDescent="0.25">
      <c r="A1281" s="145" t="str">
        <f>HYPERLINK("http://www.ofsted.gov.uk/inspection-reports/find-inspection-report/provider/ELS/1270900","Ofsted Webpage")</f>
        <v>Ofsted Webpage</v>
      </c>
      <c r="B1281" s="131">
        <v>1270900</v>
      </c>
      <c r="C1281" s="131">
        <v>10041319</v>
      </c>
      <c r="D1281" s="46" t="s">
        <v>3040</v>
      </c>
      <c r="E1281" s="26" t="s">
        <v>78</v>
      </c>
      <c r="F1281" s="26" t="s">
        <v>79</v>
      </c>
      <c r="G1281" s="26" t="s">
        <v>367</v>
      </c>
      <c r="H1281" s="26" t="s">
        <v>175</v>
      </c>
      <c r="I1281" s="26" t="s">
        <v>175</v>
      </c>
      <c r="J1281" s="2" t="s">
        <v>72</v>
      </c>
      <c r="K1281" s="26" t="s">
        <v>72</v>
      </c>
      <c r="L1281" s="26" t="s">
        <v>72</v>
      </c>
      <c r="M1281" s="26" t="s">
        <v>72</v>
      </c>
      <c r="N1281" s="2" t="s">
        <v>72</v>
      </c>
      <c r="O1281" s="2" t="s">
        <v>72</v>
      </c>
      <c r="P1281" s="2" t="s">
        <v>72</v>
      </c>
      <c r="Q1281" s="6" t="s">
        <v>72</v>
      </c>
      <c r="R1281" s="6" t="s">
        <v>72</v>
      </c>
      <c r="S1281" s="6" t="s">
        <v>72</v>
      </c>
      <c r="T1281" s="6" t="s">
        <v>72</v>
      </c>
      <c r="U1281" s="6" t="s">
        <v>72</v>
      </c>
      <c r="V1281" s="6" t="s">
        <v>72</v>
      </c>
      <c r="W1281" s="5" t="s">
        <v>72</v>
      </c>
      <c r="X1281" s="6" t="s">
        <v>72</v>
      </c>
      <c r="Y1281" s="6" t="s">
        <v>72</v>
      </c>
      <c r="Z1281" s="6" t="s">
        <v>72</v>
      </c>
      <c r="AA1281" s="6" t="s">
        <v>72</v>
      </c>
      <c r="AB1281" s="6" t="s">
        <v>72</v>
      </c>
      <c r="AC1281" s="6" t="s">
        <v>72</v>
      </c>
    </row>
    <row r="1282" spans="1:29" x14ac:dyDescent="0.25">
      <c r="A1282" s="145" t="str">
        <f>HYPERLINK("http://www.ofsted.gov.uk/inspection-reports/find-inspection-report/provider/ELS/1270901","Ofsted Webpage")</f>
        <v>Ofsted Webpage</v>
      </c>
      <c r="B1282" s="131">
        <v>1270901</v>
      </c>
      <c r="C1282" s="131">
        <v>10041486</v>
      </c>
      <c r="D1282" s="46" t="s">
        <v>3048</v>
      </c>
      <c r="E1282" s="26" t="s">
        <v>78</v>
      </c>
      <c r="F1282" s="26" t="s">
        <v>79</v>
      </c>
      <c r="G1282" s="26" t="s">
        <v>237</v>
      </c>
      <c r="H1282" s="26" t="s">
        <v>238</v>
      </c>
      <c r="I1282" s="26" t="s">
        <v>238</v>
      </c>
      <c r="J1282" s="2" t="s">
        <v>72</v>
      </c>
      <c r="K1282" s="26" t="s">
        <v>72</v>
      </c>
      <c r="L1282" s="26" t="s">
        <v>72</v>
      </c>
      <c r="M1282" s="26" t="s">
        <v>72</v>
      </c>
      <c r="N1282" s="2" t="s">
        <v>72</v>
      </c>
      <c r="O1282" s="2" t="s">
        <v>72</v>
      </c>
      <c r="P1282" s="2" t="s">
        <v>72</v>
      </c>
      <c r="Q1282" s="6" t="s">
        <v>72</v>
      </c>
      <c r="R1282" s="6" t="s">
        <v>72</v>
      </c>
      <c r="S1282" s="6" t="s">
        <v>72</v>
      </c>
      <c r="T1282" s="6" t="s">
        <v>72</v>
      </c>
      <c r="U1282" s="6" t="s">
        <v>72</v>
      </c>
      <c r="V1282" s="6" t="s">
        <v>72</v>
      </c>
      <c r="W1282" s="5" t="s">
        <v>72</v>
      </c>
      <c r="X1282" s="6" t="s">
        <v>72</v>
      </c>
      <c r="Y1282" s="6" t="s">
        <v>72</v>
      </c>
      <c r="Z1282" s="6" t="s">
        <v>72</v>
      </c>
      <c r="AA1282" s="6" t="s">
        <v>72</v>
      </c>
      <c r="AB1282" s="6" t="s">
        <v>72</v>
      </c>
      <c r="AC1282" s="6" t="s">
        <v>72</v>
      </c>
    </row>
    <row r="1283" spans="1:29" x14ac:dyDescent="0.25">
      <c r="A1283" s="145" t="str">
        <f>HYPERLINK("http://www.ofsted.gov.uk/inspection-reports/find-inspection-report/provider/ELS/1270902","Ofsted Webpage")</f>
        <v>Ofsted Webpage</v>
      </c>
      <c r="B1283" s="131">
        <v>1270902</v>
      </c>
      <c r="C1283" s="131">
        <v>10042119</v>
      </c>
      <c r="D1283" s="46" t="s">
        <v>3049</v>
      </c>
      <c r="E1283" s="26" t="s">
        <v>78</v>
      </c>
      <c r="F1283" s="26" t="s">
        <v>79</v>
      </c>
      <c r="G1283" s="26" t="s">
        <v>474</v>
      </c>
      <c r="H1283" s="26" t="s">
        <v>187</v>
      </c>
      <c r="I1283" s="26" t="s">
        <v>188</v>
      </c>
      <c r="J1283" s="2" t="s">
        <v>72</v>
      </c>
      <c r="K1283" s="26" t="s">
        <v>72</v>
      </c>
      <c r="L1283" s="26" t="s">
        <v>72</v>
      </c>
      <c r="M1283" s="26" t="s">
        <v>72</v>
      </c>
      <c r="N1283" s="2" t="s">
        <v>72</v>
      </c>
      <c r="O1283" s="2" t="s">
        <v>72</v>
      </c>
      <c r="P1283" s="2" t="s">
        <v>72</v>
      </c>
      <c r="Q1283" s="6" t="s">
        <v>72</v>
      </c>
      <c r="R1283" s="6" t="s">
        <v>72</v>
      </c>
      <c r="S1283" s="6" t="s">
        <v>72</v>
      </c>
      <c r="T1283" s="6" t="s">
        <v>72</v>
      </c>
      <c r="U1283" s="6" t="s">
        <v>72</v>
      </c>
      <c r="V1283" s="6" t="s">
        <v>72</v>
      </c>
      <c r="W1283" s="5" t="s">
        <v>72</v>
      </c>
      <c r="X1283" s="6" t="s">
        <v>72</v>
      </c>
      <c r="Y1283" s="6" t="s">
        <v>72</v>
      </c>
      <c r="Z1283" s="6" t="s">
        <v>72</v>
      </c>
      <c r="AA1283" s="6" t="s">
        <v>72</v>
      </c>
      <c r="AB1283" s="6" t="s">
        <v>72</v>
      </c>
      <c r="AC1283" s="6" t="s">
        <v>72</v>
      </c>
    </row>
    <row r="1284" spans="1:29" x14ac:dyDescent="0.25">
      <c r="A1284" s="145" t="str">
        <f>HYPERLINK("http://www.ofsted.gov.uk/inspection-reports/find-inspection-report/provider/ELS/1270903","Ofsted Webpage")</f>
        <v>Ofsted Webpage</v>
      </c>
      <c r="B1284" s="131">
        <v>1270903</v>
      </c>
      <c r="C1284" s="131">
        <v>10042570</v>
      </c>
      <c r="D1284" s="46" t="s">
        <v>3050</v>
      </c>
      <c r="E1284" s="26" t="s">
        <v>78</v>
      </c>
      <c r="F1284" s="26" t="s">
        <v>79</v>
      </c>
      <c r="G1284" s="26" t="s">
        <v>283</v>
      </c>
      <c r="H1284" s="26" t="s">
        <v>175</v>
      </c>
      <c r="I1284" s="26" t="s">
        <v>175</v>
      </c>
      <c r="J1284" s="2" t="s">
        <v>72</v>
      </c>
      <c r="K1284" s="26" t="s">
        <v>72</v>
      </c>
      <c r="L1284" s="26" t="s">
        <v>72</v>
      </c>
      <c r="M1284" s="26" t="s">
        <v>72</v>
      </c>
      <c r="N1284" s="2" t="s">
        <v>72</v>
      </c>
      <c r="O1284" s="2" t="s">
        <v>72</v>
      </c>
      <c r="P1284" s="2" t="s">
        <v>72</v>
      </c>
      <c r="Q1284" s="6" t="s">
        <v>72</v>
      </c>
      <c r="R1284" s="6" t="s">
        <v>72</v>
      </c>
      <c r="S1284" s="6" t="s">
        <v>72</v>
      </c>
      <c r="T1284" s="6" t="s">
        <v>72</v>
      </c>
      <c r="U1284" s="6" t="s">
        <v>72</v>
      </c>
      <c r="V1284" s="6" t="s">
        <v>72</v>
      </c>
      <c r="W1284" s="5" t="s">
        <v>72</v>
      </c>
      <c r="X1284" s="6" t="s">
        <v>72</v>
      </c>
      <c r="Y1284" s="6" t="s">
        <v>72</v>
      </c>
      <c r="Z1284" s="6" t="s">
        <v>72</v>
      </c>
      <c r="AA1284" s="6" t="s">
        <v>72</v>
      </c>
      <c r="AB1284" s="6" t="s">
        <v>72</v>
      </c>
      <c r="AC1284" s="6" t="s">
        <v>72</v>
      </c>
    </row>
    <row r="1285" spans="1:29" x14ac:dyDescent="0.25">
      <c r="A1285" s="145" t="str">
        <f>HYPERLINK("http://www.ofsted.gov.uk/inspection-reports/find-inspection-report/provider/ELS/1270904","Ofsted Webpage")</f>
        <v>Ofsted Webpage</v>
      </c>
      <c r="B1285" s="131">
        <v>1270904</v>
      </c>
      <c r="C1285" s="131">
        <v>10042819</v>
      </c>
      <c r="D1285" s="46" t="s">
        <v>3051</v>
      </c>
      <c r="E1285" s="26" t="s">
        <v>78</v>
      </c>
      <c r="F1285" s="26" t="s">
        <v>79</v>
      </c>
      <c r="G1285" s="26" t="s">
        <v>806</v>
      </c>
      <c r="H1285" s="26" t="s">
        <v>238</v>
      </c>
      <c r="I1285" s="26" t="s">
        <v>238</v>
      </c>
      <c r="J1285" s="2" t="s">
        <v>72</v>
      </c>
      <c r="K1285" s="26" t="s">
        <v>72</v>
      </c>
      <c r="L1285" s="26" t="s">
        <v>72</v>
      </c>
      <c r="M1285" s="26" t="s">
        <v>72</v>
      </c>
      <c r="N1285" s="2" t="s">
        <v>72</v>
      </c>
      <c r="O1285" s="2" t="s">
        <v>72</v>
      </c>
      <c r="P1285" s="2" t="s">
        <v>72</v>
      </c>
      <c r="Q1285" s="6" t="s">
        <v>72</v>
      </c>
      <c r="R1285" s="6" t="s">
        <v>72</v>
      </c>
      <c r="S1285" s="6" t="s">
        <v>72</v>
      </c>
      <c r="T1285" s="6" t="s">
        <v>72</v>
      </c>
      <c r="U1285" s="6" t="s">
        <v>72</v>
      </c>
      <c r="V1285" s="6" t="s">
        <v>72</v>
      </c>
      <c r="W1285" s="5" t="s">
        <v>72</v>
      </c>
      <c r="X1285" s="6" t="s">
        <v>72</v>
      </c>
      <c r="Y1285" s="6" t="s">
        <v>72</v>
      </c>
      <c r="Z1285" s="6" t="s">
        <v>72</v>
      </c>
      <c r="AA1285" s="6" t="s">
        <v>72</v>
      </c>
      <c r="AB1285" s="6" t="s">
        <v>72</v>
      </c>
      <c r="AC1285" s="6" t="s">
        <v>72</v>
      </c>
    </row>
    <row r="1286" spans="1:29" x14ac:dyDescent="0.25">
      <c r="A1286" s="145" t="str">
        <f>HYPERLINK("http://www.ofsted.gov.uk/inspection-reports/find-inspection-report/provider/ELS/1270905","Ofsted Webpage")</f>
        <v>Ofsted Webpage</v>
      </c>
      <c r="B1286" s="131">
        <v>1270905</v>
      </c>
      <c r="C1286" s="131">
        <v>10043112</v>
      </c>
      <c r="D1286" s="46" t="s">
        <v>3052</v>
      </c>
      <c r="E1286" s="26" t="s">
        <v>78</v>
      </c>
      <c r="F1286" s="26" t="s">
        <v>79</v>
      </c>
      <c r="G1286" s="26" t="s">
        <v>437</v>
      </c>
      <c r="H1286" s="26" t="s">
        <v>214</v>
      </c>
      <c r="I1286" s="26" t="s">
        <v>214</v>
      </c>
      <c r="J1286" s="2" t="s">
        <v>72</v>
      </c>
      <c r="K1286" s="26" t="s">
        <v>72</v>
      </c>
      <c r="L1286" s="26" t="s">
        <v>72</v>
      </c>
      <c r="M1286" s="26" t="s">
        <v>72</v>
      </c>
      <c r="N1286" s="2" t="s">
        <v>72</v>
      </c>
      <c r="O1286" s="2" t="s">
        <v>72</v>
      </c>
      <c r="P1286" s="2" t="s">
        <v>72</v>
      </c>
      <c r="Q1286" s="6" t="s">
        <v>72</v>
      </c>
      <c r="R1286" s="6" t="s">
        <v>72</v>
      </c>
      <c r="S1286" s="6" t="s">
        <v>72</v>
      </c>
      <c r="T1286" s="6" t="s">
        <v>72</v>
      </c>
      <c r="U1286" s="6" t="s">
        <v>72</v>
      </c>
      <c r="V1286" s="6" t="s">
        <v>72</v>
      </c>
      <c r="W1286" s="5" t="s">
        <v>72</v>
      </c>
      <c r="X1286" s="6" t="s">
        <v>72</v>
      </c>
      <c r="Y1286" s="6" t="s">
        <v>72</v>
      </c>
      <c r="Z1286" s="6" t="s">
        <v>72</v>
      </c>
      <c r="AA1286" s="6" t="s">
        <v>72</v>
      </c>
      <c r="AB1286" s="6" t="s">
        <v>72</v>
      </c>
      <c r="AC1286" s="6" t="s">
        <v>72</v>
      </c>
    </row>
    <row r="1287" spans="1:29" x14ac:dyDescent="0.25">
      <c r="A1287" s="145" t="str">
        <f>HYPERLINK("http://www.ofsted.gov.uk/inspection-reports/find-inspection-report/provider/ELS/1270906","Ofsted Webpage")</f>
        <v>Ofsted Webpage</v>
      </c>
      <c r="B1287" s="131">
        <v>1270906</v>
      </c>
      <c r="C1287" s="131">
        <v>10043208</v>
      </c>
      <c r="D1287" s="46" t="s">
        <v>3053</v>
      </c>
      <c r="E1287" s="26" t="s">
        <v>78</v>
      </c>
      <c r="F1287" s="26" t="s">
        <v>79</v>
      </c>
      <c r="G1287" s="26" t="s">
        <v>1088</v>
      </c>
      <c r="H1287" s="26" t="s">
        <v>219</v>
      </c>
      <c r="I1287" s="26" t="s">
        <v>219</v>
      </c>
      <c r="J1287" s="2" t="s">
        <v>72</v>
      </c>
      <c r="K1287" s="26" t="s">
        <v>72</v>
      </c>
      <c r="L1287" s="26" t="s">
        <v>72</v>
      </c>
      <c r="M1287" s="26" t="s">
        <v>72</v>
      </c>
      <c r="N1287" s="2" t="s">
        <v>72</v>
      </c>
      <c r="O1287" s="2" t="s">
        <v>72</v>
      </c>
      <c r="P1287" s="2" t="s">
        <v>72</v>
      </c>
      <c r="Q1287" s="6" t="s">
        <v>72</v>
      </c>
      <c r="R1287" s="6" t="s">
        <v>72</v>
      </c>
      <c r="S1287" s="6" t="s">
        <v>72</v>
      </c>
      <c r="T1287" s="6" t="s">
        <v>72</v>
      </c>
      <c r="U1287" s="6" t="s">
        <v>72</v>
      </c>
      <c r="V1287" s="6" t="s">
        <v>72</v>
      </c>
      <c r="W1287" s="5" t="s">
        <v>72</v>
      </c>
      <c r="X1287" s="6" t="s">
        <v>72</v>
      </c>
      <c r="Y1287" s="6" t="s">
        <v>72</v>
      </c>
      <c r="Z1287" s="6" t="s">
        <v>72</v>
      </c>
      <c r="AA1287" s="6" t="s">
        <v>72</v>
      </c>
      <c r="AB1287" s="6" t="s">
        <v>72</v>
      </c>
      <c r="AC1287" s="6" t="s">
        <v>72</v>
      </c>
    </row>
    <row r="1288" spans="1:29" x14ac:dyDescent="0.25">
      <c r="A1288" s="145" t="str">
        <f>HYPERLINK("http://www.ofsted.gov.uk/inspection-reports/find-inspection-report/provider/ELS/1270907","Ofsted Webpage")</f>
        <v>Ofsted Webpage</v>
      </c>
      <c r="B1288" s="131">
        <v>1270907</v>
      </c>
      <c r="C1288" s="131">
        <v>10043333</v>
      </c>
      <c r="D1288" s="46" t="s">
        <v>3054</v>
      </c>
      <c r="E1288" s="26" t="s">
        <v>78</v>
      </c>
      <c r="F1288" s="26" t="s">
        <v>79</v>
      </c>
      <c r="G1288" s="26" t="s">
        <v>237</v>
      </c>
      <c r="H1288" s="26" t="s">
        <v>238</v>
      </c>
      <c r="I1288" s="26" t="s">
        <v>238</v>
      </c>
      <c r="J1288" s="2" t="s">
        <v>72</v>
      </c>
      <c r="K1288" s="26" t="s">
        <v>72</v>
      </c>
      <c r="L1288" s="26" t="s">
        <v>72</v>
      </c>
      <c r="M1288" s="26" t="s">
        <v>72</v>
      </c>
      <c r="N1288" s="2" t="s">
        <v>72</v>
      </c>
      <c r="O1288" s="2" t="s">
        <v>72</v>
      </c>
      <c r="P1288" s="2" t="s">
        <v>72</v>
      </c>
      <c r="Q1288" s="6" t="s">
        <v>72</v>
      </c>
      <c r="R1288" s="6" t="s">
        <v>72</v>
      </c>
      <c r="S1288" s="6" t="s">
        <v>72</v>
      </c>
      <c r="T1288" s="6" t="s">
        <v>72</v>
      </c>
      <c r="U1288" s="6" t="s">
        <v>72</v>
      </c>
      <c r="V1288" s="6" t="s">
        <v>72</v>
      </c>
      <c r="W1288" s="5" t="s">
        <v>72</v>
      </c>
      <c r="X1288" s="6" t="s">
        <v>72</v>
      </c>
      <c r="Y1288" s="6" t="s">
        <v>72</v>
      </c>
      <c r="Z1288" s="6" t="s">
        <v>72</v>
      </c>
      <c r="AA1288" s="6" t="s">
        <v>72</v>
      </c>
      <c r="AB1288" s="6" t="s">
        <v>72</v>
      </c>
      <c r="AC1288" s="6" t="s">
        <v>72</v>
      </c>
    </row>
    <row r="1289" spans="1:29" x14ac:dyDescent="0.25">
      <c r="A1289" s="145" t="str">
        <f>HYPERLINK("http://www.ofsted.gov.uk/inspection-reports/find-inspection-report/provider/ELS/1270908","Ofsted Webpage")</f>
        <v>Ofsted Webpage</v>
      </c>
      <c r="B1289" s="131">
        <v>1270908</v>
      </c>
      <c r="C1289" s="131">
        <v>10043389</v>
      </c>
      <c r="D1289" s="46" t="s">
        <v>3055</v>
      </c>
      <c r="E1289" s="26" t="s">
        <v>78</v>
      </c>
      <c r="F1289" s="26" t="s">
        <v>79</v>
      </c>
      <c r="G1289" s="26" t="s">
        <v>794</v>
      </c>
      <c r="H1289" s="26" t="s">
        <v>175</v>
      </c>
      <c r="I1289" s="26" t="s">
        <v>175</v>
      </c>
      <c r="J1289" s="2" t="s">
        <v>72</v>
      </c>
      <c r="K1289" s="26" t="s">
        <v>72</v>
      </c>
      <c r="L1289" s="26" t="s">
        <v>72</v>
      </c>
      <c r="M1289" s="26" t="s">
        <v>72</v>
      </c>
      <c r="N1289" s="2" t="s">
        <v>72</v>
      </c>
      <c r="O1289" s="2" t="s">
        <v>72</v>
      </c>
      <c r="P1289" s="2" t="s">
        <v>72</v>
      </c>
      <c r="Q1289" s="6" t="s">
        <v>72</v>
      </c>
      <c r="R1289" s="6" t="s">
        <v>72</v>
      </c>
      <c r="S1289" s="6" t="s">
        <v>72</v>
      </c>
      <c r="T1289" s="6" t="s">
        <v>72</v>
      </c>
      <c r="U1289" s="6" t="s">
        <v>72</v>
      </c>
      <c r="V1289" s="6" t="s">
        <v>72</v>
      </c>
      <c r="W1289" s="5" t="s">
        <v>72</v>
      </c>
      <c r="X1289" s="6" t="s">
        <v>72</v>
      </c>
      <c r="Y1289" s="6" t="s">
        <v>72</v>
      </c>
      <c r="Z1289" s="6" t="s">
        <v>72</v>
      </c>
      <c r="AA1289" s="6" t="s">
        <v>72</v>
      </c>
      <c r="AB1289" s="6" t="s">
        <v>72</v>
      </c>
      <c r="AC1289" s="6" t="s">
        <v>72</v>
      </c>
    </row>
    <row r="1290" spans="1:29" x14ac:dyDescent="0.25">
      <c r="A1290" s="145" t="str">
        <f>HYPERLINK("http://www.ofsted.gov.uk/inspection-reports/find-inspection-report/provider/ELS/1270909","Ofsted Webpage")</f>
        <v>Ofsted Webpage</v>
      </c>
      <c r="B1290" s="131">
        <v>1270909</v>
      </c>
      <c r="C1290" s="131">
        <v>10043482</v>
      </c>
      <c r="D1290" s="46" t="s">
        <v>3056</v>
      </c>
      <c r="E1290" s="26" t="s">
        <v>78</v>
      </c>
      <c r="F1290" s="26" t="s">
        <v>79</v>
      </c>
      <c r="G1290" s="26" t="s">
        <v>496</v>
      </c>
      <c r="H1290" s="26" t="s">
        <v>497</v>
      </c>
      <c r="I1290" s="26" t="s">
        <v>497</v>
      </c>
      <c r="J1290" s="2" t="s">
        <v>72</v>
      </c>
      <c r="K1290" s="26" t="s">
        <v>72</v>
      </c>
      <c r="L1290" s="26" t="s">
        <v>72</v>
      </c>
      <c r="M1290" s="26" t="s">
        <v>72</v>
      </c>
      <c r="N1290" s="2" t="s">
        <v>72</v>
      </c>
      <c r="O1290" s="2" t="s">
        <v>72</v>
      </c>
      <c r="P1290" s="2" t="s">
        <v>72</v>
      </c>
      <c r="Q1290" s="6" t="s">
        <v>72</v>
      </c>
      <c r="R1290" s="6" t="s">
        <v>72</v>
      </c>
      <c r="S1290" s="6" t="s">
        <v>72</v>
      </c>
      <c r="T1290" s="6" t="s">
        <v>72</v>
      </c>
      <c r="U1290" s="6" t="s">
        <v>72</v>
      </c>
      <c r="V1290" s="6" t="s">
        <v>72</v>
      </c>
      <c r="W1290" s="5" t="s">
        <v>72</v>
      </c>
      <c r="X1290" s="6" t="s">
        <v>72</v>
      </c>
      <c r="Y1290" s="6" t="s">
        <v>72</v>
      </c>
      <c r="Z1290" s="6" t="s">
        <v>72</v>
      </c>
      <c r="AA1290" s="6" t="s">
        <v>72</v>
      </c>
      <c r="AB1290" s="6" t="s">
        <v>72</v>
      </c>
      <c r="AC1290" s="6" t="s">
        <v>72</v>
      </c>
    </row>
    <row r="1291" spans="1:29" x14ac:dyDescent="0.25">
      <c r="A1291" s="145" t="str">
        <f>HYPERLINK("http://www.ofsted.gov.uk/inspection-reports/find-inspection-report/provider/ELS/1270910","Ofsted Webpage")</f>
        <v>Ofsted Webpage</v>
      </c>
      <c r="B1291" s="131">
        <v>1270910</v>
      </c>
      <c r="C1291" s="131">
        <v>10043661</v>
      </c>
      <c r="D1291" s="46" t="s">
        <v>3057</v>
      </c>
      <c r="E1291" s="26" t="s">
        <v>78</v>
      </c>
      <c r="F1291" s="26" t="s">
        <v>79</v>
      </c>
      <c r="G1291" s="26" t="s">
        <v>586</v>
      </c>
      <c r="H1291" s="26" t="s">
        <v>204</v>
      </c>
      <c r="I1291" s="26" t="s">
        <v>188</v>
      </c>
      <c r="J1291" s="2" t="s">
        <v>72</v>
      </c>
      <c r="K1291" s="26" t="s">
        <v>72</v>
      </c>
      <c r="L1291" s="26" t="s">
        <v>72</v>
      </c>
      <c r="M1291" s="26" t="s">
        <v>72</v>
      </c>
      <c r="N1291" s="2" t="s">
        <v>72</v>
      </c>
      <c r="O1291" s="2" t="s">
        <v>72</v>
      </c>
      <c r="P1291" s="2" t="s">
        <v>72</v>
      </c>
      <c r="Q1291" s="6" t="s">
        <v>72</v>
      </c>
      <c r="R1291" s="6" t="s">
        <v>72</v>
      </c>
      <c r="S1291" s="6" t="s">
        <v>72</v>
      </c>
      <c r="T1291" s="6" t="s">
        <v>72</v>
      </c>
      <c r="U1291" s="6" t="s">
        <v>72</v>
      </c>
      <c r="V1291" s="6" t="s">
        <v>72</v>
      </c>
      <c r="W1291" s="5" t="s">
        <v>72</v>
      </c>
      <c r="X1291" s="6" t="s">
        <v>72</v>
      </c>
      <c r="Y1291" s="6" t="s">
        <v>72</v>
      </c>
      <c r="Z1291" s="6" t="s">
        <v>72</v>
      </c>
      <c r="AA1291" s="6" t="s">
        <v>72</v>
      </c>
      <c r="AB1291" s="6" t="s">
        <v>72</v>
      </c>
      <c r="AC1291" s="6" t="s">
        <v>72</v>
      </c>
    </row>
    <row r="1292" spans="1:29" x14ac:dyDescent="0.25">
      <c r="A1292" s="145" t="str">
        <f>HYPERLINK("http://www.ofsted.gov.uk/inspection-reports/find-inspection-report/provider/ELS/1270911","Ofsted Webpage")</f>
        <v>Ofsted Webpage</v>
      </c>
      <c r="B1292" s="131">
        <v>1270911</v>
      </c>
      <c r="C1292" s="131">
        <v>10043793</v>
      </c>
      <c r="D1292" s="46" t="s">
        <v>3058</v>
      </c>
      <c r="E1292" s="26" t="s">
        <v>78</v>
      </c>
      <c r="F1292" s="26" t="s">
        <v>79</v>
      </c>
      <c r="G1292" s="26" t="s">
        <v>324</v>
      </c>
      <c r="H1292" s="26" t="s">
        <v>214</v>
      </c>
      <c r="I1292" s="26" t="s">
        <v>214</v>
      </c>
      <c r="J1292" s="2" t="s">
        <v>72</v>
      </c>
      <c r="K1292" s="26" t="s">
        <v>72</v>
      </c>
      <c r="L1292" s="26" t="s">
        <v>72</v>
      </c>
      <c r="M1292" s="26" t="s">
        <v>72</v>
      </c>
      <c r="N1292" s="2" t="s">
        <v>72</v>
      </c>
      <c r="O1292" s="2" t="s">
        <v>72</v>
      </c>
      <c r="P1292" s="2" t="s">
        <v>72</v>
      </c>
      <c r="Q1292" s="6" t="s">
        <v>72</v>
      </c>
      <c r="R1292" s="6" t="s">
        <v>72</v>
      </c>
      <c r="S1292" s="6" t="s">
        <v>72</v>
      </c>
      <c r="T1292" s="6" t="s">
        <v>72</v>
      </c>
      <c r="U1292" s="6" t="s">
        <v>72</v>
      </c>
      <c r="V1292" s="6" t="s">
        <v>72</v>
      </c>
      <c r="W1292" s="5" t="s">
        <v>72</v>
      </c>
      <c r="X1292" s="6" t="s">
        <v>72</v>
      </c>
      <c r="Y1292" s="6" t="s">
        <v>72</v>
      </c>
      <c r="Z1292" s="6" t="s">
        <v>72</v>
      </c>
      <c r="AA1292" s="6" t="s">
        <v>72</v>
      </c>
      <c r="AB1292" s="6" t="s">
        <v>72</v>
      </c>
      <c r="AC1292" s="6" t="s">
        <v>72</v>
      </c>
    </row>
    <row r="1293" spans="1:29" x14ac:dyDescent="0.25">
      <c r="A1293" s="145" t="str">
        <f>HYPERLINK("http://www.ofsted.gov.uk/inspection-reports/find-inspection-report/provider/ELS/1270912","Ofsted Webpage")</f>
        <v>Ofsted Webpage</v>
      </c>
      <c r="B1293" s="151">
        <v>1270912</v>
      </c>
      <c r="C1293" s="151">
        <v>10043980</v>
      </c>
      <c r="D1293" s="46" t="s">
        <v>3008</v>
      </c>
      <c r="E1293" s="26" t="s">
        <v>78</v>
      </c>
      <c r="F1293" s="26" t="s">
        <v>79</v>
      </c>
      <c r="G1293" s="26" t="s">
        <v>237</v>
      </c>
      <c r="H1293" s="26" t="s">
        <v>238</v>
      </c>
      <c r="I1293" s="26" t="s">
        <v>238</v>
      </c>
      <c r="J1293" s="2" t="s">
        <v>72</v>
      </c>
      <c r="K1293" s="141" t="s">
        <v>72</v>
      </c>
      <c r="L1293" s="141" t="s">
        <v>72</v>
      </c>
      <c r="M1293" s="26" t="s">
        <v>72</v>
      </c>
      <c r="N1293" s="2" t="s">
        <v>72</v>
      </c>
      <c r="O1293" s="2" t="s">
        <v>72</v>
      </c>
      <c r="P1293" s="119" t="s">
        <v>72</v>
      </c>
      <c r="Q1293" s="6" t="s">
        <v>72</v>
      </c>
      <c r="R1293" s="6" t="s">
        <v>72</v>
      </c>
      <c r="S1293" s="6" t="s">
        <v>72</v>
      </c>
      <c r="T1293" s="6" t="s">
        <v>72</v>
      </c>
      <c r="U1293" s="6" t="s">
        <v>72</v>
      </c>
      <c r="V1293" s="6" t="s">
        <v>72</v>
      </c>
      <c r="W1293" s="5" t="s">
        <v>72</v>
      </c>
      <c r="X1293" s="6" t="s">
        <v>72</v>
      </c>
      <c r="Y1293" s="6" t="s">
        <v>72</v>
      </c>
      <c r="Z1293" s="6" t="s">
        <v>72</v>
      </c>
      <c r="AA1293" s="6" t="s">
        <v>72</v>
      </c>
      <c r="AB1293" s="6" t="s">
        <v>72</v>
      </c>
      <c r="AC1293" s="6" t="s">
        <v>72</v>
      </c>
    </row>
    <row r="1294" spans="1:29" x14ac:dyDescent="0.25">
      <c r="A1294" s="145" t="str">
        <f>HYPERLINK("http://www.ofsted.gov.uk/inspection-reports/find-inspection-report/provider/ELS/1270913","Ofsted Webpage")</f>
        <v>Ofsted Webpage</v>
      </c>
      <c r="B1294" s="151">
        <v>1270913</v>
      </c>
      <c r="C1294" s="151">
        <v>10044197</v>
      </c>
      <c r="D1294" s="46" t="s">
        <v>3009</v>
      </c>
      <c r="E1294" s="26" t="s">
        <v>78</v>
      </c>
      <c r="F1294" s="26" t="s">
        <v>79</v>
      </c>
      <c r="G1294" s="26" t="s">
        <v>504</v>
      </c>
      <c r="H1294" s="26" t="s">
        <v>214</v>
      </c>
      <c r="I1294" s="26" t="s">
        <v>214</v>
      </c>
      <c r="J1294" s="2" t="s">
        <v>72</v>
      </c>
      <c r="K1294" s="141" t="s">
        <v>72</v>
      </c>
      <c r="L1294" s="141" t="s">
        <v>72</v>
      </c>
      <c r="M1294" s="26" t="s">
        <v>72</v>
      </c>
      <c r="N1294" s="2" t="s">
        <v>72</v>
      </c>
      <c r="O1294" s="2" t="s">
        <v>72</v>
      </c>
      <c r="P1294" s="119" t="s">
        <v>72</v>
      </c>
      <c r="Q1294" s="6" t="s">
        <v>72</v>
      </c>
      <c r="R1294" s="6" t="s">
        <v>72</v>
      </c>
      <c r="S1294" s="6" t="s">
        <v>72</v>
      </c>
      <c r="T1294" s="6" t="s">
        <v>72</v>
      </c>
      <c r="U1294" s="6" t="s">
        <v>72</v>
      </c>
      <c r="V1294" s="6" t="s">
        <v>72</v>
      </c>
      <c r="W1294" s="5" t="s">
        <v>72</v>
      </c>
      <c r="X1294" s="6" t="s">
        <v>72</v>
      </c>
      <c r="Y1294" s="6" t="s">
        <v>72</v>
      </c>
      <c r="Z1294" s="6" t="s">
        <v>72</v>
      </c>
      <c r="AA1294" s="6" t="s">
        <v>72</v>
      </c>
      <c r="AB1294" s="6" t="s">
        <v>72</v>
      </c>
      <c r="AC1294" s="6" t="s">
        <v>72</v>
      </c>
    </row>
    <row r="1295" spans="1:29" x14ac:dyDescent="0.25">
      <c r="A1295" s="145" t="str">
        <f>HYPERLINK("http://www.ofsted.gov.uk/inspection-reports/find-inspection-report/provider/ELS/1270914","Ofsted Webpage")</f>
        <v>Ofsted Webpage</v>
      </c>
      <c r="B1295" s="151">
        <v>1270914</v>
      </c>
      <c r="C1295" s="151">
        <v>10044331</v>
      </c>
      <c r="D1295" s="46" t="s">
        <v>3010</v>
      </c>
      <c r="E1295" s="26" t="s">
        <v>78</v>
      </c>
      <c r="F1295" s="26" t="s">
        <v>79</v>
      </c>
      <c r="G1295" s="26" t="s">
        <v>329</v>
      </c>
      <c r="H1295" s="26" t="s">
        <v>175</v>
      </c>
      <c r="I1295" s="26" t="s">
        <v>175</v>
      </c>
      <c r="J1295" s="2" t="s">
        <v>72</v>
      </c>
      <c r="K1295" s="141" t="s">
        <v>72</v>
      </c>
      <c r="L1295" s="141" t="s">
        <v>72</v>
      </c>
      <c r="M1295" s="26" t="s">
        <v>72</v>
      </c>
      <c r="N1295" s="2" t="s">
        <v>72</v>
      </c>
      <c r="O1295" s="2" t="s">
        <v>72</v>
      </c>
      <c r="P1295" s="119" t="s">
        <v>72</v>
      </c>
      <c r="Q1295" s="6" t="s">
        <v>72</v>
      </c>
      <c r="R1295" s="6" t="s">
        <v>72</v>
      </c>
      <c r="S1295" s="6" t="s">
        <v>72</v>
      </c>
      <c r="T1295" s="6" t="s">
        <v>72</v>
      </c>
      <c r="U1295" s="6" t="s">
        <v>72</v>
      </c>
      <c r="V1295" s="6" t="s">
        <v>72</v>
      </c>
      <c r="W1295" s="5" t="s">
        <v>72</v>
      </c>
      <c r="X1295" s="6" t="s">
        <v>72</v>
      </c>
      <c r="Y1295" s="6" t="s">
        <v>72</v>
      </c>
      <c r="Z1295" s="6" t="s">
        <v>72</v>
      </c>
      <c r="AA1295" s="6" t="s">
        <v>72</v>
      </c>
      <c r="AB1295" s="6" t="s">
        <v>72</v>
      </c>
      <c r="AC1295" s="6" t="s">
        <v>72</v>
      </c>
    </row>
    <row r="1296" spans="1:29" x14ac:dyDescent="0.25">
      <c r="A1296" s="145" t="str">
        <f>HYPERLINK("http://www.ofsted.gov.uk/inspection-reports/find-inspection-report/provider/ELS/1270915","Ofsted Webpage")</f>
        <v>Ofsted Webpage</v>
      </c>
      <c r="B1296" s="151">
        <v>1270915</v>
      </c>
      <c r="C1296" s="151">
        <v>10044879</v>
      </c>
      <c r="D1296" s="46" t="s">
        <v>3011</v>
      </c>
      <c r="E1296" s="26" t="s">
        <v>78</v>
      </c>
      <c r="F1296" s="26" t="s">
        <v>79</v>
      </c>
      <c r="G1296" s="26" t="s">
        <v>182</v>
      </c>
      <c r="H1296" s="26" t="s">
        <v>175</v>
      </c>
      <c r="I1296" s="26" t="s">
        <v>175</v>
      </c>
      <c r="J1296" s="2" t="s">
        <v>72</v>
      </c>
      <c r="K1296" s="141" t="s">
        <v>72</v>
      </c>
      <c r="L1296" s="141" t="s">
        <v>72</v>
      </c>
      <c r="M1296" s="26" t="s">
        <v>72</v>
      </c>
      <c r="N1296" s="2" t="s">
        <v>72</v>
      </c>
      <c r="O1296" s="2" t="s">
        <v>72</v>
      </c>
      <c r="P1296" s="119" t="s">
        <v>72</v>
      </c>
      <c r="Q1296" s="6" t="s">
        <v>72</v>
      </c>
      <c r="R1296" s="6" t="s">
        <v>72</v>
      </c>
      <c r="S1296" s="6" t="s">
        <v>72</v>
      </c>
      <c r="T1296" s="6" t="s">
        <v>72</v>
      </c>
      <c r="U1296" s="6" t="s">
        <v>72</v>
      </c>
      <c r="V1296" s="6" t="s">
        <v>72</v>
      </c>
      <c r="W1296" s="5" t="s">
        <v>72</v>
      </c>
      <c r="X1296" s="6" t="s">
        <v>72</v>
      </c>
      <c r="Y1296" s="6" t="s">
        <v>72</v>
      </c>
      <c r="Z1296" s="6" t="s">
        <v>72</v>
      </c>
      <c r="AA1296" s="6" t="s">
        <v>72</v>
      </c>
      <c r="AB1296" s="6" t="s">
        <v>72</v>
      </c>
      <c r="AC1296" s="6" t="s">
        <v>72</v>
      </c>
    </row>
    <row r="1297" spans="1:29" x14ac:dyDescent="0.25">
      <c r="A1297" s="145" t="str">
        <f>HYPERLINK("http://www.ofsted.gov.uk/inspection-reports/find-inspection-report/provider/ELS/1270916","Ofsted Webpage")</f>
        <v>Ofsted Webpage</v>
      </c>
      <c r="B1297" s="151">
        <v>1270916</v>
      </c>
      <c r="C1297" s="151">
        <v>10045062</v>
      </c>
      <c r="D1297" s="46" t="s">
        <v>3012</v>
      </c>
      <c r="E1297" s="26" t="s">
        <v>78</v>
      </c>
      <c r="F1297" s="26" t="s">
        <v>79</v>
      </c>
      <c r="G1297" s="26" t="s">
        <v>186</v>
      </c>
      <c r="H1297" s="26" t="s">
        <v>187</v>
      </c>
      <c r="I1297" s="26" t="s">
        <v>188</v>
      </c>
      <c r="J1297" s="2" t="s">
        <v>72</v>
      </c>
      <c r="K1297" s="141" t="s">
        <v>72</v>
      </c>
      <c r="L1297" s="141" t="s">
        <v>72</v>
      </c>
      <c r="M1297" s="26" t="s">
        <v>72</v>
      </c>
      <c r="N1297" s="2" t="s">
        <v>72</v>
      </c>
      <c r="O1297" s="2" t="s">
        <v>72</v>
      </c>
      <c r="P1297" s="119" t="s">
        <v>72</v>
      </c>
      <c r="Q1297" s="6" t="s">
        <v>72</v>
      </c>
      <c r="R1297" s="6" t="s">
        <v>72</v>
      </c>
      <c r="S1297" s="6" t="s">
        <v>72</v>
      </c>
      <c r="T1297" s="6" t="s">
        <v>72</v>
      </c>
      <c r="U1297" s="6" t="s">
        <v>72</v>
      </c>
      <c r="V1297" s="6" t="s">
        <v>72</v>
      </c>
      <c r="W1297" s="5" t="s">
        <v>72</v>
      </c>
      <c r="X1297" s="6" t="s">
        <v>72</v>
      </c>
      <c r="Y1297" s="6" t="s">
        <v>72</v>
      </c>
      <c r="Z1297" s="6" t="s">
        <v>72</v>
      </c>
      <c r="AA1297" s="6" t="s">
        <v>72</v>
      </c>
      <c r="AB1297" s="6" t="s">
        <v>72</v>
      </c>
      <c r="AC1297" s="6" t="s">
        <v>72</v>
      </c>
    </row>
    <row r="1298" spans="1:29" x14ac:dyDescent="0.25">
      <c r="A1298" s="145" t="str">
        <f>HYPERLINK("http://www.ofsted.gov.uk/inspection-reports/find-inspection-report/provider/ELS/1270917","Ofsted Webpage")</f>
        <v>Ofsted Webpage</v>
      </c>
      <c r="B1298" s="151">
        <v>1270917</v>
      </c>
      <c r="C1298" s="151">
        <v>10045119</v>
      </c>
      <c r="D1298" s="46" t="s">
        <v>3013</v>
      </c>
      <c r="E1298" s="26" t="s">
        <v>78</v>
      </c>
      <c r="F1298" s="26" t="s">
        <v>79</v>
      </c>
      <c r="G1298" s="26" t="s">
        <v>806</v>
      </c>
      <c r="H1298" s="26" t="s">
        <v>238</v>
      </c>
      <c r="I1298" s="26" t="s">
        <v>238</v>
      </c>
      <c r="J1298" s="2" t="s">
        <v>72</v>
      </c>
      <c r="K1298" s="141" t="s">
        <v>72</v>
      </c>
      <c r="L1298" s="141" t="s">
        <v>72</v>
      </c>
      <c r="M1298" s="26" t="s">
        <v>72</v>
      </c>
      <c r="N1298" s="2" t="s">
        <v>72</v>
      </c>
      <c r="O1298" s="2" t="s">
        <v>72</v>
      </c>
      <c r="P1298" s="119" t="s">
        <v>72</v>
      </c>
      <c r="Q1298" s="6" t="s">
        <v>72</v>
      </c>
      <c r="R1298" s="6" t="s">
        <v>72</v>
      </c>
      <c r="S1298" s="6" t="s">
        <v>72</v>
      </c>
      <c r="T1298" s="6" t="s">
        <v>72</v>
      </c>
      <c r="U1298" s="6" t="s">
        <v>72</v>
      </c>
      <c r="V1298" s="6" t="s">
        <v>72</v>
      </c>
      <c r="W1298" s="5" t="s">
        <v>72</v>
      </c>
      <c r="X1298" s="6" t="s">
        <v>72</v>
      </c>
      <c r="Y1298" s="6" t="s">
        <v>72</v>
      </c>
      <c r="Z1298" s="6" t="s">
        <v>72</v>
      </c>
      <c r="AA1298" s="6" t="s">
        <v>72</v>
      </c>
      <c r="AB1298" s="6" t="s">
        <v>72</v>
      </c>
      <c r="AC1298" s="6" t="s">
        <v>72</v>
      </c>
    </row>
    <row r="1299" spans="1:29" x14ac:dyDescent="0.25">
      <c r="A1299" s="145" t="str">
        <f>HYPERLINK("http://www.ofsted.gov.uk/inspection-reports/find-inspection-report/provider/ELS/1270918","Ofsted Webpage")</f>
        <v>Ofsted Webpage</v>
      </c>
      <c r="B1299" s="151">
        <v>1270918</v>
      </c>
      <c r="C1299" s="151">
        <v>10045166</v>
      </c>
      <c r="D1299" s="46" t="s">
        <v>3014</v>
      </c>
      <c r="E1299" s="26" t="s">
        <v>78</v>
      </c>
      <c r="F1299" s="26" t="s">
        <v>79</v>
      </c>
      <c r="G1299" s="26" t="s">
        <v>283</v>
      </c>
      <c r="H1299" s="26" t="s">
        <v>175</v>
      </c>
      <c r="I1299" s="26" t="s">
        <v>175</v>
      </c>
      <c r="J1299" s="2" t="s">
        <v>72</v>
      </c>
      <c r="K1299" s="141" t="s">
        <v>72</v>
      </c>
      <c r="L1299" s="141" t="s">
        <v>72</v>
      </c>
      <c r="M1299" s="26" t="s">
        <v>72</v>
      </c>
      <c r="N1299" s="2" t="s">
        <v>72</v>
      </c>
      <c r="O1299" s="2" t="s">
        <v>72</v>
      </c>
      <c r="P1299" s="133" t="s">
        <v>72</v>
      </c>
      <c r="Q1299" s="6" t="s">
        <v>72</v>
      </c>
      <c r="R1299" s="6" t="s">
        <v>72</v>
      </c>
      <c r="S1299" s="6" t="s">
        <v>72</v>
      </c>
      <c r="T1299" s="6" t="s">
        <v>72</v>
      </c>
      <c r="U1299" s="6" t="s">
        <v>72</v>
      </c>
      <c r="V1299" s="6" t="s">
        <v>72</v>
      </c>
      <c r="W1299" s="5" t="s">
        <v>72</v>
      </c>
      <c r="X1299" s="6" t="s">
        <v>72</v>
      </c>
      <c r="Y1299" s="6" t="s">
        <v>72</v>
      </c>
      <c r="Z1299" s="6" t="s">
        <v>72</v>
      </c>
      <c r="AA1299" s="6" t="s">
        <v>72</v>
      </c>
      <c r="AB1299" s="6" t="s">
        <v>72</v>
      </c>
      <c r="AC1299" s="6" t="s">
        <v>72</v>
      </c>
    </row>
    <row r="1300" spans="1:29" x14ac:dyDescent="0.25">
      <c r="A1300" s="145" t="str">
        <f>HYPERLINK("http://www.ofsted.gov.uk/inspection-reports/find-inspection-report/provider/ELS/1270919","Ofsted Webpage")</f>
        <v>Ofsted Webpage</v>
      </c>
      <c r="B1300" s="131">
        <v>1270919</v>
      </c>
      <c r="C1300" s="131">
        <v>10045231</v>
      </c>
      <c r="D1300" s="46" t="s">
        <v>3015</v>
      </c>
      <c r="E1300" s="26" t="s">
        <v>78</v>
      </c>
      <c r="F1300" s="26" t="s">
        <v>79</v>
      </c>
      <c r="G1300" s="26" t="s">
        <v>223</v>
      </c>
      <c r="H1300" s="26" t="s">
        <v>193</v>
      </c>
      <c r="I1300" s="26" t="s">
        <v>193</v>
      </c>
      <c r="J1300" s="2" t="s">
        <v>72</v>
      </c>
      <c r="K1300" s="26" t="s">
        <v>72</v>
      </c>
      <c r="L1300" s="26" t="s">
        <v>72</v>
      </c>
      <c r="M1300" s="26" t="s">
        <v>72</v>
      </c>
      <c r="N1300" s="2" t="s">
        <v>72</v>
      </c>
      <c r="O1300" s="2" t="s">
        <v>72</v>
      </c>
      <c r="P1300" s="2" t="s">
        <v>72</v>
      </c>
      <c r="Q1300" s="6" t="s">
        <v>72</v>
      </c>
      <c r="R1300" s="6" t="s">
        <v>72</v>
      </c>
      <c r="S1300" s="6" t="s">
        <v>72</v>
      </c>
      <c r="T1300" s="6" t="s">
        <v>72</v>
      </c>
      <c r="U1300" s="6" t="s">
        <v>72</v>
      </c>
      <c r="V1300" s="6" t="s">
        <v>72</v>
      </c>
      <c r="W1300" s="5" t="s">
        <v>72</v>
      </c>
      <c r="X1300" s="6" t="s">
        <v>72</v>
      </c>
      <c r="Y1300" s="6" t="s">
        <v>72</v>
      </c>
      <c r="Z1300" s="6" t="s">
        <v>72</v>
      </c>
      <c r="AA1300" s="6" t="s">
        <v>72</v>
      </c>
      <c r="AB1300" s="6" t="s">
        <v>72</v>
      </c>
      <c r="AC1300" s="6" t="s">
        <v>72</v>
      </c>
    </row>
    <row r="1301" spans="1:29" x14ac:dyDescent="0.25">
      <c r="A1301" s="145" t="str">
        <f>HYPERLINK("http://www.ofsted.gov.uk/inspection-reports/find-inspection-report/provider/ELS/1270920","Ofsted Webpage")</f>
        <v>Ofsted Webpage</v>
      </c>
      <c r="B1301" s="131">
        <v>1270920</v>
      </c>
      <c r="C1301" s="131">
        <v>10045305</v>
      </c>
      <c r="D1301" s="46" t="s">
        <v>3016</v>
      </c>
      <c r="E1301" s="26" t="s">
        <v>78</v>
      </c>
      <c r="F1301" s="26" t="s">
        <v>79</v>
      </c>
      <c r="G1301" s="26" t="s">
        <v>223</v>
      </c>
      <c r="H1301" s="26" t="s">
        <v>193</v>
      </c>
      <c r="I1301" s="26" t="s">
        <v>193</v>
      </c>
      <c r="J1301" s="2" t="s">
        <v>72</v>
      </c>
      <c r="K1301" s="26" t="s">
        <v>72</v>
      </c>
      <c r="L1301" s="26" t="s">
        <v>72</v>
      </c>
      <c r="M1301" s="26" t="s">
        <v>72</v>
      </c>
      <c r="N1301" s="2" t="s">
        <v>72</v>
      </c>
      <c r="O1301" s="2" t="s">
        <v>72</v>
      </c>
      <c r="P1301" s="2" t="s">
        <v>72</v>
      </c>
      <c r="Q1301" s="6" t="s">
        <v>72</v>
      </c>
      <c r="R1301" s="6" t="s">
        <v>72</v>
      </c>
      <c r="S1301" s="6" t="s">
        <v>72</v>
      </c>
      <c r="T1301" s="6" t="s">
        <v>72</v>
      </c>
      <c r="U1301" s="6" t="s">
        <v>72</v>
      </c>
      <c r="V1301" s="6" t="s">
        <v>72</v>
      </c>
      <c r="W1301" s="5" t="s">
        <v>72</v>
      </c>
      <c r="X1301" s="6" t="s">
        <v>72</v>
      </c>
      <c r="Y1301" s="6" t="s">
        <v>72</v>
      </c>
      <c r="Z1301" s="6" t="s">
        <v>72</v>
      </c>
      <c r="AA1301" s="6" t="s">
        <v>72</v>
      </c>
      <c r="AB1301" s="6" t="s">
        <v>72</v>
      </c>
      <c r="AC1301" s="6" t="s">
        <v>72</v>
      </c>
    </row>
    <row r="1302" spans="1:29" x14ac:dyDescent="0.25">
      <c r="A1302" s="145" t="str">
        <f>HYPERLINK("http://www.ofsted.gov.uk/inspection-reports/find-inspection-report/provider/ELS/1270921","Ofsted Webpage")</f>
        <v>Ofsted Webpage</v>
      </c>
      <c r="B1302" s="131">
        <v>1270921</v>
      </c>
      <c r="C1302" s="131">
        <v>10045306</v>
      </c>
      <c r="D1302" s="46" t="s">
        <v>3017</v>
      </c>
      <c r="E1302" s="26" t="s">
        <v>78</v>
      </c>
      <c r="F1302" s="26" t="s">
        <v>79</v>
      </c>
      <c r="G1302" s="26" t="s">
        <v>283</v>
      </c>
      <c r="H1302" s="26" t="s">
        <v>175</v>
      </c>
      <c r="I1302" s="26" t="s">
        <v>175</v>
      </c>
      <c r="J1302" s="2" t="s">
        <v>72</v>
      </c>
      <c r="K1302" s="26" t="s">
        <v>72</v>
      </c>
      <c r="L1302" s="26" t="s">
        <v>72</v>
      </c>
      <c r="M1302" s="26" t="s">
        <v>72</v>
      </c>
      <c r="N1302" s="2" t="s">
        <v>72</v>
      </c>
      <c r="O1302" s="2" t="s">
        <v>72</v>
      </c>
      <c r="P1302" s="2" t="s">
        <v>72</v>
      </c>
      <c r="Q1302" s="6" t="s">
        <v>72</v>
      </c>
      <c r="R1302" s="6" t="s">
        <v>72</v>
      </c>
      <c r="S1302" s="6" t="s">
        <v>72</v>
      </c>
      <c r="T1302" s="6" t="s">
        <v>72</v>
      </c>
      <c r="U1302" s="6" t="s">
        <v>72</v>
      </c>
      <c r="V1302" s="6" t="s">
        <v>72</v>
      </c>
      <c r="W1302" s="5" t="s">
        <v>72</v>
      </c>
      <c r="X1302" s="6" t="s">
        <v>72</v>
      </c>
      <c r="Y1302" s="6" t="s">
        <v>72</v>
      </c>
      <c r="Z1302" s="6" t="s">
        <v>72</v>
      </c>
      <c r="AA1302" s="6" t="s">
        <v>72</v>
      </c>
      <c r="AB1302" s="6" t="s">
        <v>72</v>
      </c>
      <c r="AC1302" s="6" t="s">
        <v>72</v>
      </c>
    </row>
    <row r="1303" spans="1:29" x14ac:dyDescent="0.25">
      <c r="A1303" s="145" t="str">
        <f>HYPERLINK("http://www.ofsted.gov.uk/inspection-reports/find-inspection-report/provider/ELS/1270922","Ofsted Webpage")</f>
        <v>Ofsted Webpage</v>
      </c>
      <c r="B1303" s="131">
        <v>1270922</v>
      </c>
      <c r="C1303" s="131">
        <v>10045505</v>
      </c>
      <c r="D1303" s="46" t="s">
        <v>3067</v>
      </c>
      <c r="E1303" s="26" t="s">
        <v>78</v>
      </c>
      <c r="F1303" s="26" t="s">
        <v>79</v>
      </c>
      <c r="G1303" s="26" t="s">
        <v>1274</v>
      </c>
      <c r="H1303" s="26" t="s">
        <v>238</v>
      </c>
      <c r="I1303" s="26" t="s">
        <v>238</v>
      </c>
      <c r="J1303" s="2" t="s">
        <v>72</v>
      </c>
      <c r="K1303" s="26" t="s">
        <v>72</v>
      </c>
      <c r="L1303" s="26" t="s">
        <v>72</v>
      </c>
      <c r="M1303" s="26" t="s">
        <v>72</v>
      </c>
      <c r="N1303" s="2" t="s">
        <v>72</v>
      </c>
      <c r="O1303" s="2" t="s">
        <v>72</v>
      </c>
      <c r="P1303" s="2" t="s">
        <v>72</v>
      </c>
      <c r="Q1303" s="6" t="s">
        <v>72</v>
      </c>
      <c r="R1303" s="6" t="s">
        <v>72</v>
      </c>
      <c r="S1303" s="6" t="s">
        <v>72</v>
      </c>
      <c r="T1303" s="6" t="s">
        <v>72</v>
      </c>
      <c r="U1303" s="6" t="s">
        <v>72</v>
      </c>
      <c r="V1303" s="6" t="s">
        <v>72</v>
      </c>
      <c r="W1303" s="5" t="s">
        <v>72</v>
      </c>
      <c r="X1303" s="6" t="s">
        <v>72</v>
      </c>
      <c r="Y1303" s="6" t="s">
        <v>72</v>
      </c>
      <c r="Z1303" s="6" t="s">
        <v>72</v>
      </c>
      <c r="AA1303" s="6" t="s">
        <v>72</v>
      </c>
      <c r="AB1303" s="6" t="s">
        <v>72</v>
      </c>
      <c r="AC1303" s="6" t="s">
        <v>72</v>
      </c>
    </row>
    <row r="1304" spans="1:29" x14ac:dyDescent="0.25">
      <c r="A1304" s="145" t="str">
        <f>HYPERLINK("http://www.ofsted.gov.uk/inspection-reports/find-inspection-report/provider/ELS/1270923","Ofsted Webpage")</f>
        <v>Ofsted Webpage</v>
      </c>
      <c r="B1304" s="131">
        <v>1270923</v>
      </c>
      <c r="C1304" s="131">
        <v>10046705</v>
      </c>
      <c r="D1304" s="46" t="s">
        <v>3068</v>
      </c>
      <c r="E1304" s="26" t="s">
        <v>78</v>
      </c>
      <c r="F1304" s="26" t="s">
        <v>79</v>
      </c>
      <c r="G1304" s="26" t="s">
        <v>3069</v>
      </c>
      <c r="H1304" s="26" t="s">
        <v>497</v>
      </c>
      <c r="I1304" s="26" t="s">
        <v>497</v>
      </c>
      <c r="J1304" s="2" t="s">
        <v>72</v>
      </c>
      <c r="K1304" s="26" t="s">
        <v>72</v>
      </c>
      <c r="L1304" s="26" t="s">
        <v>72</v>
      </c>
      <c r="M1304" s="26" t="s">
        <v>72</v>
      </c>
      <c r="N1304" s="2" t="s">
        <v>72</v>
      </c>
      <c r="O1304" s="2" t="s">
        <v>72</v>
      </c>
      <c r="P1304" s="2" t="s">
        <v>72</v>
      </c>
      <c r="Q1304" s="6" t="s">
        <v>72</v>
      </c>
      <c r="R1304" s="6" t="s">
        <v>72</v>
      </c>
      <c r="S1304" s="6" t="s">
        <v>72</v>
      </c>
      <c r="T1304" s="6" t="s">
        <v>72</v>
      </c>
      <c r="U1304" s="6" t="s">
        <v>72</v>
      </c>
      <c r="V1304" s="6" t="s">
        <v>72</v>
      </c>
      <c r="W1304" s="5" t="s">
        <v>72</v>
      </c>
      <c r="X1304" s="6" t="s">
        <v>72</v>
      </c>
      <c r="Y1304" s="6" t="s">
        <v>72</v>
      </c>
      <c r="Z1304" s="6" t="s">
        <v>72</v>
      </c>
      <c r="AA1304" s="6" t="s">
        <v>72</v>
      </c>
      <c r="AB1304" s="6" t="s">
        <v>72</v>
      </c>
      <c r="AC1304" s="6" t="s">
        <v>72</v>
      </c>
    </row>
    <row r="1305" spans="1:29" x14ac:dyDescent="0.25">
      <c r="A1305" s="145" t="str">
        <f>HYPERLINK("http://www.ofsted.gov.uk/inspection-reports/find-inspection-report/provider/ELS/1270924","Ofsted Webpage")</f>
        <v>Ofsted Webpage</v>
      </c>
      <c r="B1305" s="131">
        <v>1270924</v>
      </c>
      <c r="C1305" s="131">
        <v>10046979</v>
      </c>
      <c r="D1305" s="46" t="s">
        <v>3070</v>
      </c>
      <c r="E1305" s="26" t="s">
        <v>78</v>
      </c>
      <c r="F1305" s="26" t="s">
        <v>79</v>
      </c>
      <c r="G1305" s="26" t="s">
        <v>230</v>
      </c>
      <c r="H1305" s="26" t="s">
        <v>187</v>
      </c>
      <c r="I1305" s="26" t="s">
        <v>188</v>
      </c>
      <c r="J1305" s="2" t="s">
        <v>72</v>
      </c>
      <c r="K1305" s="26" t="s">
        <v>72</v>
      </c>
      <c r="L1305" s="26" t="s">
        <v>72</v>
      </c>
      <c r="M1305" s="26" t="s">
        <v>72</v>
      </c>
      <c r="N1305" s="2" t="s">
        <v>72</v>
      </c>
      <c r="O1305" s="2" t="s">
        <v>72</v>
      </c>
      <c r="P1305" s="2" t="s">
        <v>72</v>
      </c>
      <c r="Q1305" s="6" t="s">
        <v>72</v>
      </c>
      <c r="R1305" s="6" t="s">
        <v>72</v>
      </c>
      <c r="S1305" s="6" t="s">
        <v>72</v>
      </c>
      <c r="T1305" s="6" t="s">
        <v>72</v>
      </c>
      <c r="U1305" s="6" t="s">
        <v>72</v>
      </c>
      <c r="V1305" s="6" t="s">
        <v>72</v>
      </c>
      <c r="W1305" s="5" t="s">
        <v>72</v>
      </c>
      <c r="X1305" s="6" t="s">
        <v>72</v>
      </c>
      <c r="Y1305" s="6" t="s">
        <v>72</v>
      </c>
      <c r="Z1305" s="6" t="s">
        <v>72</v>
      </c>
      <c r="AA1305" s="6" t="s">
        <v>72</v>
      </c>
      <c r="AB1305" s="6" t="s">
        <v>72</v>
      </c>
      <c r="AC1305" s="6" t="s">
        <v>72</v>
      </c>
    </row>
    <row r="1306" spans="1:29" x14ac:dyDescent="0.25">
      <c r="A1306" s="145" t="str">
        <f>HYPERLINK("http://www.ofsted.gov.uk/inspection-reports/find-inspection-report/provider/ELS/1270925","Ofsted Webpage")</f>
        <v>Ofsted Webpage</v>
      </c>
      <c r="B1306" s="131">
        <v>1270925</v>
      </c>
      <c r="C1306" s="131">
        <v>10047357</v>
      </c>
      <c r="D1306" s="46" t="s">
        <v>3071</v>
      </c>
      <c r="E1306" s="26" t="s">
        <v>78</v>
      </c>
      <c r="F1306" s="26" t="s">
        <v>79</v>
      </c>
      <c r="G1306" s="26" t="s">
        <v>967</v>
      </c>
      <c r="H1306" s="26" t="s">
        <v>193</v>
      </c>
      <c r="I1306" s="26" t="s">
        <v>193</v>
      </c>
      <c r="J1306" s="2" t="s">
        <v>72</v>
      </c>
      <c r="K1306" s="26" t="s">
        <v>72</v>
      </c>
      <c r="L1306" s="26" t="s">
        <v>72</v>
      </c>
      <c r="M1306" s="26" t="s">
        <v>72</v>
      </c>
      <c r="N1306" s="2" t="s">
        <v>72</v>
      </c>
      <c r="O1306" s="2" t="s">
        <v>72</v>
      </c>
      <c r="P1306" s="2" t="s">
        <v>72</v>
      </c>
      <c r="Q1306" s="6" t="s">
        <v>72</v>
      </c>
      <c r="R1306" s="6" t="s">
        <v>72</v>
      </c>
      <c r="S1306" s="6" t="s">
        <v>72</v>
      </c>
      <c r="T1306" s="6" t="s">
        <v>72</v>
      </c>
      <c r="U1306" s="6" t="s">
        <v>72</v>
      </c>
      <c r="V1306" s="6" t="s">
        <v>72</v>
      </c>
      <c r="W1306" s="5" t="s">
        <v>72</v>
      </c>
      <c r="X1306" s="6" t="s">
        <v>72</v>
      </c>
      <c r="Y1306" s="6" t="s">
        <v>72</v>
      </c>
      <c r="Z1306" s="6" t="s">
        <v>72</v>
      </c>
      <c r="AA1306" s="6" t="s">
        <v>72</v>
      </c>
      <c r="AB1306" s="6" t="s">
        <v>72</v>
      </c>
      <c r="AC1306" s="6" t="s">
        <v>72</v>
      </c>
    </row>
    <row r="1307" spans="1:29" x14ac:dyDescent="0.25">
      <c r="A1307" s="145" t="str">
        <f>HYPERLINK("http://www.ofsted.gov.uk/inspection-reports/find-inspection-report/provider/ELS/1270926","Ofsted Webpage")</f>
        <v>Ofsted Webpage</v>
      </c>
      <c r="B1307" s="131">
        <v>1270926</v>
      </c>
      <c r="C1307" s="131">
        <v>10048284</v>
      </c>
      <c r="D1307" s="46" t="s">
        <v>3072</v>
      </c>
      <c r="E1307" s="26" t="s">
        <v>78</v>
      </c>
      <c r="F1307" s="26" t="s">
        <v>79</v>
      </c>
      <c r="G1307" s="26" t="s">
        <v>186</v>
      </c>
      <c r="H1307" s="26" t="s">
        <v>187</v>
      </c>
      <c r="I1307" s="26" t="s">
        <v>188</v>
      </c>
      <c r="J1307" s="2" t="s">
        <v>72</v>
      </c>
      <c r="K1307" s="26" t="s">
        <v>72</v>
      </c>
      <c r="L1307" s="26" t="s">
        <v>72</v>
      </c>
      <c r="M1307" s="26" t="s">
        <v>72</v>
      </c>
      <c r="N1307" s="2" t="s">
        <v>72</v>
      </c>
      <c r="O1307" s="2" t="s">
        <v>72</v>
      </c>
      <c r="P1307" s="2" t="s">
        <v>72</v>
      </c>
      <c r="Q1307" s="6" t="s">
        <v>72</v>
      </c>
      <c r="R1307" s="6" t="s">
        <v>72</v>
      </c>
      <c r="S1307" s="6" t="s">
        <v>72</v>
      </c>
      <c r="T1307" s="6" t="s">
        <v>72</v>
      </c>
      <c r="U1307" s="6" t="s">
        <v>72</v>
      </c>
      <c r="V1307" s="6" t="s">
        <v>72</v>
      </c>
      <c r="W1307" s="5" t="s">
        <v>72</v>
      </c>
      <c r="X1307" s="6" t="s">
        <v>72</v>
      </c>
      <c r="Y1307" s="6" t="s">
        <v>72</v>
      </c>
      <c r="Z1307" s="6" t="s">
        <v>72</v>
      </c>
      <c r="AA1307" s="6" t="s">
        <v>72</v>
      </c>
      <c r="AB1307" s="6" t="s">
        <v>72</v>
      </c>
      <c r="AC1307" s="6" t="s">
        <v>72</v>
      </c>
    </row>
    <row r="1308" spans="1:29" x14ac:dyDescent="0.25">
      <c r="A1308" s="145" t="str">
        <f>HYPERLINK("http://www.ofsted.gov.uk/inspection-reports/find-inspection-report/provider/ELS/1270927","Ofsted Webpage")</f>
        <v>Ofsted Webpage</v>
      </c>
      <c r="B1308" s="131">
        <v>1270927</v>
      </c>
      <c r="C1308" s="131">
        <v>10048326</v>
      </c>
      <c r="D1308" s="46" t="s">
        <v>3073</v>
      </c>
      <c r="E1308" s="26" t="s">
        <v>78</v>
      </c>
      <c r="F1308" s="26" t="s">
        <v>79</v>
      </c>
      <c r="G1308" s="26" t="s">
        <v>982</v>
      </c>
      <c r="H1308" s="26" t="s">
        <v>175</v>
      </c>
      <c r="I1308" s="26" t="s">
        <v>175</v>
      </c>
      <c r="J1308" s="2" t="s">
        <v>72</v>
      </c>
      <c r="K1308" s="26" t="s">
        <v>72</v>
      </c>
      <c r="L1308" s="26" t="s">
        <v>72</v>
      </c>
      <c r="M1308" s="26" t="s">
        <v>72</v>
      </c>
      <c r="N1308" s="2" t="s">
        <v>72</v>
      </c>
      <c r="O1308" s="2" t="s">
        <v>72</v>
      </c>
      <c r="P1308" s="2" t="s">
        <v>72</v>
      </c>
      <c r="Q1308" s="6" t="s">
        <v>72</v>
      </c>
      <c r="R1308" s="6" t="s">
        <v>72</v>
      </c>
      <c r="S1308" s="6" t="s">
        <v>72</v>
      </c>
      <c r="T1308" s="6" t="s">
        <v>72</v>
      </c>
      <c r="U1308" s="6" t="s">
        <v>72</v>
      </c>
      <c r="V1308" s="6" t="s">
        <v>72</v>
      </c>
      <c r="W1308" s="5" t="s">
        <v>72</v>
      </c>
      <c r="X1308" s="6" t="s">
        <v>72</v>
      </c>
      <c r="Y1308" s="6" t="s">
        <v>72</v>
      </c>
      <c r="Z1308" s="6" t="s">
        <v>72</v>
      </c>
      <c r="AA1308" s="6" t="s">
        <v>72</v>
      </c>
      <c r="AB1308" s="6" t="s">
        <v>72</v>
      </c>
      <c r="AC1308" s="6" t="s">
        <v>72</v>
      </c>
    </row>
    <row r="1309" spans="1:29" x14ac:dyDescent="0.25">
      <c r="A1309" s="145" t="str">
        <f>HYPERLINK("http://www.ofsted.gov.uk/inspection-reports/find-inspection-report/provider/ELS/1270928","Ofsted Webpage")</f>
        <v>Ofsted Webpage</v>
      </c>
      <c r="B1309" s="131">
        <v>1270928</v>
      </c>
      <c r="C1309" s="131">
        <v>10049461</v>
      </c>
      <c r="D1309" s="46" t="s">
        <v>3074</v>
      </c>
      <c r="E1309" s="26" t="s">
        <v>78</v>
      </c>
      <c r="F1309" s="26" t="s">
        <v>79</v>
      </c>
      <c r="G1309" s="26" t="s">
        <v>474</v>
      </c>
      <c r="H1309" s="26" t="s">
        <v>187</v>
      </c>
      <c r="I1309" s="26" t="s">
        <v>188</v>
      </c>
      <c r="J1309" s="2" t="s">
        <v>72</v>
      </c>
      <c r="K1309" s="26" t="s">
        <v>72</v>
      </c>
      <c r="L1309" s="26" t="s">
        <v>72</v>
      </c>
      <c r="M1309" s="26" t="s">
        <v>72</v>
      </c>
      <c r="N1309" s="2" t="s">
        <v>72</v>
      </c>
      <c r="O1309" s="2" t="s">
        <v>72</v>
      </c>
      <c r="P1309" s="2" t="s">
        <v>72</v>
      </c>
      <c r="Q1309" s="6" t="s">
        <v>72</v>
      </c>
      <c r="R1309" s="6" t="s">
        <v>72</v>
      </c>
      <c r="S1309" s="6" t="s">
        <v>72</v>
      </c>
      <c r="T1309" s="6" t="s">
        <v>72</v>
      </c>
      <c r="U1309" s="6" t="s">
        <v>72</v>
      </c>
      <c r="V1309" s="6" t="s">
        <v>72</v>
      </c>
      <c r="W1309" s="5" t="s">
        <v>72</v>
      </c>
      <c r="X1309" s="6" t="s">
        <v>72</v>
      </c>
      <c r="Y1309" s="6" t="s">
        <v>72</v>
      </c>
      <c r="Z1309" s="6" t="s">
        <v>72</v>
      </c>
      <c r="AA1309" s="6" t="s">
        <v>72</v>
      </c>
      <c r="AB1309" s="6" t="s">
        <v>72</v>
      </c>
      <c r="AC1309" s="6" t="s">
        <v>72</v>
      </c>
    </row>
    <row r="1310" spans="1:29" x14ac:dyDescent="0.25">
      <c r="A1310" s="145" t="str">
        <f>HYPERLINK("http://www.ofsted.gov.uk/inspection-reports/find-inspection-report/provider/ELS/1270929","Ofsted Webpage")</f>
        <v>Ofsted Webpage</v>
      </c>
      <c r="B1310" s="131">
        <v>1270929</v>
      </c>
      <c r="C1310" s="131">
        <v>10052437</v>
      </c>
      <c r="D1310" s="46" t="s">
        <v>3075</v>
      </c>
      <c r="E1310" s="26" t="s">
        <v>78</v>
      </c>
      <c r="F1310" s="26" t="s">
        <v>79</v>
      </c>
      <c r="G1310" s="26" t="s">
        <v>600</v>
      </c>
      <c r="H1310" s="26" t="s">
        <v>175</v>
      </c>
      <c r="I1310" s="26" t="s">
        <v>175</v>
      </c>
      <c r="J1310" s="2" t="s">
        <v>72</v>
      </c>
      <c r="K1310" s="26" t="s">
        <v>72</v>
      </c>
      <c r="L1310" s="26" t="s">
        <v>72</v>
      </c>
      <c r="M1310" s="26" t="s">
        <v>72</v>
      </c>
      <c r="N1310" s="2" t="s">
        <v>72</v>
      </c>
      <c r="O1310" s="2" t="s">
        <v>72</v>
      </c>
      <c r="P1310" s="2" t="s">
        <v>72</v>
      </c>
      <c r="Q1310" s="6" t="s">
        <v>72</v>
      </c>
      <c r="R1310" s="6" t="s">
        <v>72</v>
      </c>
      <c r="S1310" s="6" t="s">
        <v>72</v>
      </c>
      <c r="T1310" s="6" t="s">
        <v>72</v>
      </c>
      <c r="U1310" s="6" t="s">
        <v>72</v>
      </c>
      <c r="V1310" s="6" t="s">
        <v>72</v>
      </c>
      <c r="W1310" s="5" t="s">
        <v>72</v>
      </c>
      <c r="X1310" s="6" t="s">
        <v>72</v>
      </c>
      <c r="Y1310" s="6" t="s">
        <v>72</v>
      </c>
      <c r="Z1310" s="6" t="s">
        <v>72</v>
      </c>
      <c r="AA1310" s="6" t="s">
        <v>72</v>
      </c>
      <c r="AB1310" s="6" t="s">
        <v>72</v>
      </c>
      <c r="AC1310" s="6" t="s">
        <v>72</v>
      </c>
    </row>
    <row r="1311" spans="1:29" x14ac:dyDescent="0.25">
      <c r="A1311" s="145" t="str">
        <f>HYPERLINK("http://www.ofsted.gov.uk/inspection-reports/find-inspection-report/provider/ELS/1270930","Ofsted Webpage")</f>
        <v>Ofsted Webpage</v>
      </c>
      <c r="B1311" s="131">
        <v>1270930</v>
      </c>
      <c r="C1311" s="131">
        <v>10052815</v>
      </c>
      <c r="D1311" s="46" t="s">
        <v>3076</v>
      </c>
      <c r="E1311" s="26" t="s">
        <v>78</v>
      </c>
      <c r="F1311" s="26" t="s">
        <v>79</v>
      </c>
      <c r="G1311" s="26" t="s">
        <v>283</v>
      </c>
      <c r="H1311" s="26" t="s">
        <v>175</v>
      </c>
      <c r="I1311" s="26" t="s">
        <v>175</v>
      </c>
      <c r="J1311" s="2" t="s">
        <v>72</v>
      </c>
      <c r="K1311" s="26" t="s">
        <v>72</v>
      </c>
      <c r="L1311" s="26" t="s">
        <v>72</v>
      </c>
      <c r="M1311" s="26" t="s">
        <v>72</v>
      </c>
      <c r="N1311" s="2" t="s">
        <v>72</v>
      </c>
      <c r="O1311" s="2" t="s">
        <v>72</v>
      </c>
      <c r="P1311" s="2" t="s">
        <v>72</v>
      </c>
      <c r="Q1311" s="6" t="s">
        <v>72</v>
      </c>
      <c r="R1311" s="6" t="s">
        <v>72</v>
      </c>
      <c r="S1311" s="6" t="s">
        <v>72</v>
      </c>
      <c r="T1311" s="6" t="s">
        <v>72</v>
      </c>
      <c r="U1311" s="6" t="s">
        <v>72</v>
      </c>
      <c r="V1311" s="6" t="s">
        <v>72</v>
      </c>
      <c r="W1311" s="5" t="s">
        <v>72</v>
      </c>
      <c r="X1311" s="6" t="s">
        <v>72</v>
      </c>
      <c r="Y1311" s="6" t="s">
        <v>72</v>
      </c>
      <c r="Z1311" s="6" t="s">
        <v>72</v>
      </c>
      <c r="AA1311" s="6" t="s">
        <v>72</v>
      </c>
      <c r="AB1311" s="6" t="s">
        <v>72</v>
      </c>
      <c r="AC1311" s="6" t="s">
        <v>72</v>
      </c>
    </row>
    <row r="1312" spans="1:29" x14ac:dyDescent="0.25">
      <c r="A1312" s="145" t="str">
        <f>HYPERLINK("http://www.ofsted.gov.uk/inspection-reports/find-inspection-report/provider/ELS/1270931","Ofsted Webpage")</f>
        <v>Ofsted Webpage</v>
      </c>
      <c r="B1312" s="131">
        <v>1270931</v>
      </c>
      <c r="C1312" s="131">
        <v>10052892</v>
      </c>
      <c r="D1312" s="46" t="s">
        <v>3077</v>
      </c>
      <c r="E1312" s="26" t="s">
        <v>78</v>
      </c>
      <c r="F1312" s="26" t="s">
        <v>79</v>
      </c>
      <c r="G1312" s="26" t="s">
        <v>437</v>
      </c>
      <c r="H1312" s="26" t="s">
        <v>214</v>
      </c>
      <c r="I1312" s="26" t="s">
        <v>214</v>
      </c>
      <c r="J1312" s="2" t="s">
        <v>72</v>
      </c>
      <c r="K1312" s="26" t="s">
        <v>72</v>
      </c>
      <c r="L1312" s="26" t="s">
        <v>72</v>
      </c>
      <c r="M1312" s="26" t="s">
        <v>72</v>
      </c>
      <c r="N1312" s="2" t="s">
        <v>72</v>
      </c>
      <c r="O1312" s="2" t="s">
        <v>72</v>
      </c>
      <c r="P1312" s="2" t="s">
        <v>72</v>
      </c>
      <c r="Q1312" s="6" t="s">
        <v>72</v>
      </c>
      <c r="R1312" s="6" t="s">
        <v>72</v>
      </c>
      <c r="S1312" s="6" t="s">
        <v>72</v>
      </c>
      <c r="T1312" s="6" t="s">
        <v>72</v>
      </c>
      <c r="U1312" s="6" t="s">
        <v>72</v>
      </c>
      <c r="V1312" s="6" t="s">
        <v>72</v>
      </c>
      <c r="W1312" s="5" t="s">
        <v>72</v>
      </c>
      <c r="X1312" s="6" t="s">
        <v>72</v>
      </c>
      <c r="Y1312" s="6" t="s">
        <v>72</v>
      </c>
      <c r="Z1312" s="6" t="s">
        <v>72</v>
      </c>
      <c r="AA1312" s="6" t="s">
        <v>72</v>
      </c>
      <c r="AB1312" s="6" t="s">
        <v>72</v>
      </c>
      <c r="AC1312" s="6" t="s">
        <v>72</v>
      </c>
    </row>
    <row r="1313" spans="1:29" x14ac:dyDescent="0.25">
      <c r="A1313" s="145" t="str">
        <f>HYPERLINK("http://www.ofsted.gov.uk/inspection-reports/find-inspection-report/provider/ELS/1270932","Ofsted Webpage")</f>
        <v>Ofsted Webpage</v>
      </c>
      <c r="B1313" s="151">
        <v>1270932</v>
      </c>
      <c r="C1313" s="151">
        <v>10053055</v>
      </c>
      <c r="D1313" s="46" t="s">
        <v>2890</v>
      </c>
      <c r="E1313" s="26" t="s">
        <v>78</v>
      </c>
      <c r="F1313" s="26" t="s">
        <v>79</v>
      </c>
      <c r="G1313" s="26" t="s">
        <v>203</v>
      </c>
      <c r="H1313" s="26" t="s">
        <v>204</v>
      </c>
      <c r="I1313" s="26" t="s">
        <v>188</v>
      </c>
      <c r="J1313" s="2" t="s">
        <v>72</v>
      </c>
      <c r="K1313" s="141" t="s">
        <v>72</v>
      </c>
      <c r="L1313" s="141" t="s">
        <v>72</v>
      </c>
      <c r="M1313" s="26" t="s">
        <v>72</v>
      </c>
      <c r="N1313" s="2" t="s">
        <v>72</v>
      </c>
      <c r="O1313" s="2" t="s">
        <v>72</v>
      </c>
      <c r="P1313" s="133" t="s">
        <v>72</v>
      </c>
      <c r="Q1313" s="6" t="s">
        <v>72</v>
      </c>
      <c r="R1313" s="6" t="s">
        <v>72</v>
      </c>
      <c r="S1313" s="6" t="s">
        <v>72</v>
      </c>
      <c r="T1313" s="6" t="s">
        <v>72</v>
      </c>
      <c r="U1313" s="6" t="s">
        <v>72</v>
      </c>
      <c r="V1313" s="6" t="s">
        <v>72</v>
      </c>
      <c r="W1313" s="5" t="s">
        <v>72</v>
      </c>
      <c r="X1313" s="6" t="s">
        <v>72</v>
      </c>
      <c r="Y1313" s="6" t="s">
        <v>72</v>
      </c>
      <c r="Z1313" s="6" t="s">
        <v>72</v>
      </c>
      <c r="AA1313" s="6" t="s">
        <v>72</v>
      </c>
      <c r="AB1313" s="6" t="s">
        <v>72</v>
      </c>
      <c r="AC1313" s="6" t="s">
        <v>72</v>
      </c>
    </row>
    <row r="1314" spans="1:29" x14ac:dyDescent="0.25">
      <c r="A1314" s="145" t="str">
        <f>HYPERLINK("http://www.ofsted.gov.uk/inspection-reports/find-inspection-report/provider/ELS/1270933","Ofsted Webpage")</f>
        <v>Ofsted Webpage</v>
      </c>
      <c r="B1314" s="151">
        <v>1270933</v>
      </c>
      <c r="C1314" s="151">
        <v>10054216</v>
      </c>
      <c r="D1314" s="46" t="s">
        <v>2891</v>
      </c>
      <c r="E1314" s="26" t="s">
        <v>78</v>
      </c>
      <c r="F1314" s="26" t="s">
        <v>79</v>
      </c>
      <c r="G1314" s="26" t="s">
        <v>565</v>
      </c>
      <c r="H1314" s="26" t="s">
        <v>193</v>
      </c>
      <c r="I1314" s="26" t="s">
        <v>193</v>
      </c>
      <c r="J1314" s="2" t="s">
        <v>72</v>
      </c>
      <c r="K1314" s="141" t="s">
        <v>72</v>
      </c>
      <c r="L1314" s="141" t="s">
        <v>72</v>
      </c>
      <c r="M1314" s="26" t="s">
        <v>72</v>
      </c>
      <c r="N1314" s="2" t="s">
        <v>72</v>
      </c>
      <c r="O1314" s="2" t="s">
        <v>72</v>
      </c>
      <c r="P1314" s="133" t="s">
        <v>72</v>
      </c>
      <c r="Q1314" s="6" t="s">
        <v>72</v>
      </c>
      <c r="R1314" s="6" t="s">
        <v>72</v>
      </c>
      <c r="S1314" s="6" t="s">
        <v>72</v>
      </c>
      <c r="T1314" s="6" t="s">
        <v>72</v>
      </c>
      <c r="U1314" s="6" t="s">
        <v>72</v>
      </c>
      <c r="V1314" s="6" t="s">
        <v>72</v>
      </c>
      <c r="W1314" s="5" t="s">
        <v>72</v>
      </c>
      <c r="X1314" s="6" t="s">
        <v>72</v>
      </c>
      <c r="Y1314" s="6" t="s">
        <v>72</v>
      </c>
      <c r="Z1314" s="6" t="s">
        <v>72</v>
      </c>
      <c r="AA1314" s="6" t="s">
        <v>72</v>
      </c>
      <c r="AB1314" s="6" t="s">
        <v>72</v>
      </c>
      <c r="AC1314" s="6" t="s">
        <v>72</v>
      </c>
    </row>
    <row r="1315" spans="1:29" x14ac:dyDescent="0.25">
      <c r="A1315" s="145" t="str">
        <f>HYPERLINK("http://www.ofsted.gov.uk/inspection-reports/find-inspection-report/provider/ELS/1270934","Ofsted Webpage")</f>
        <v>Ofsted Webpage</v>
      </c>
      <c r="B1315" s="151">
        <v>1270934</v>
      </c>
      <c r="C1315" s="151">
        <v>10054692</v>
      </c>
      <c r="D1315" s="46" t="s">
        <v>2892</v>
      </c>
      <c r="E1315" s="26" t="s">
        <v>78</v>
      </c>
      <c r="F1315" s="26" t="s">
        <v>79</v>
      </c>
      <c r="G1315" s="26" t="s">
        <v>336</v>
      </c>
      <c r="H1315" s="26" t="s">
        <v>175</v>
      </c>
      <c r="I1315" s="26" t="s">
        <v>175</v>
      </c>
      <c r="J1315" s="2" t="s">
        <v>72</v>
      </c>
      <c r="K1315" s="141" t="s">
        <v>72</v>
      </c>
      <c r="L1315" s="141" t="s">
        <v>72</v>
      </c>
      <c r="M1315" s="26" t="s">
        <v>72</v>
      </c>
      <c r="N1315" s="2" t="s">
        <v>72</v>
      </c>
      <c r="O1315" s="2" t="s">
        <v>72</v>
      </c>
      <c r="P1315" s="133" t="s">
        <v>72</v>
      </c>
      <c r="Q1315" s="6" t="s">
        <v>72</v>
      </c>
      <c r="R1315" s="6" t="s">
        <v>72</v>
      </c>
      <c r="S1315" s="6" t="s">
        <v>72</v>
      </c>
      <c r="T1315" s="6" t="s">
        <v>72</v>
      </c>
      <c r="U1315" s="6" t="s">
        <v>72</v>
      </c>
      <c r="V1315" s="6" t="s">
        <v>72</v>
      </c>
      <c r="W1315" s="5" t="s">
        <v>72</v>
      </c>
      <c r="X1315" s="6" t="s">
        <v>72</v>
      </c>
      <c r="Y1315" s="6" t="s">
        <v>72</v>
      </c>
      <c r="Z1315" s="6" t="s">
        <v>72</v>
      </c>
      <c r="AA1315" s="6" t="s">
        <v>72</v>
      </c>
      <c r="AB1315" s="6" t="s">
        <v>72</v>
      </c>
      <c r="AC1315" s="6" t="s">
        <v>72</v>
      </c>
    </row>
    <row r="1316" spans="1:29" x14ac:dyDescent="0.25">
      <c r="A1316" s="145" t="str">
        <f>HYPERLINK("http://www.ofsted.gov.uk/inspection-reports/find-inspection-report/provider/ELS/1270935","Ofsted Webpage")</f>
        <v>Ofsted Webpage</v>
      </c>
      <c r="B1316" s="151">
        <v>1270935</v>
      </c>
      <c r="C1316" s="151">
        <v>10054898</v>
      </c>
      <c r="D1316" s="46" t="s">
        <v>2893</v>
      </c>
      <c r="E1316" s="26" t="s">
        <v>78</v>
      </c>
      <c r="F1316" s="26" t="s">
        <v>79</v>
      </c>
      <c r="G1316" s="26" t="s">
        <v>254</v>
      </c>
      <c r="H1316" s="26" t="s">
        <v>193</v>
      </c>
      <c r="I1316" s="26" t="s">
        <v>193</v>
      </c>
      <c r="J1316" s="2" t="s">
        <v>72</v>
      </c>
      <c r="K1316" s="141" t="s">
        <v>72</v>
      </c>
      <c r="L1316" s="141" t="s">
        <v>72</v>
      </c>
      <c r="M1316" s="26" t="s">
        <v>72</v>
      </c>
      <c r="N1316" s="2" t="s">
        <v>72</v>
      </c>
      <c r="O1316" s="2" t="s">
        <v>72</v>
      </c>
      <c r="P1316" s="133" t="s">
        <v>72</v>
      </c>
      <c r="Q1316" s="6" t="s">
        <v>72</v>
      </c>
      <c r="R1316" s="6" t="s">
        <v>72</v>
      </c>
      <c r="S1316" s="6" t="s">
        <v>72</v>
      </c>
      <c r="T1316" s="6" t="s">
        <v>72</v>
      </c>
      <c r="U1316" s="6" t="s">
        <v>72</v>
      </c>
      <c r="V1316" s="6" t="s">
        <v>72</v>
      </c>
      <c r="W1316" s="5" t="s">
        <v>72</v>
      </c>
      <c r="X1316" s="6" t="s">
        <v>72</v>
      </c>
      <c r="Y1316" s="6" t="s">
        <v>72</v>
      </c>
      <c r="Z1316" s="6" t="s">
        <v>72</v>
      </c>
      <c r="AA1316" s="6" t="s">
        <v>72</v>
      </c>
      <c r="AB1316" s="6" t="s">
        <v>72</v>
      </c>
      <c r="AC1316" s="6" t="s">
        <v>72</v>
      </c>
    </row>
    <row r="1317" spans="1:29" x14ac:dyDescent="0.25">
      <c r="A1317" s="145" t="str">
        <f>HYPERLINK("http://www.ofsted.gov.uk/inspection-reports/find-inspection-report/provider/ELS/1270936","Ofsted Webpage")</f>
        <v>Ofsted Webpage</v>
      </c>
      <c r="B1317" s="151">
        <v>1270936</v>
      </c>
      <c r="C1317" s="151">
        <v>10056694</v>
      </c>
      <c r="D1317" s="46" t="s">
        <v>2894</v>
      </c>
      <c r="E1317" s="26" t="s">
        <v>78</v>
      </c>
      <c r="F1317" s="26" t="s">
        <v>79</v>
      </c>
      <c r="G1317" s="26" t="s">
        <v>331</v>
      </c>
      <c r="H1317" s="26" t="s">
        <v>214</v>
      </c>
      <c r="I1317" s="26" t="s">
        <v>214</v>
      </c>
      <c r="J1317" s="2" t="s">
        <v>72</v>
      </c>
      <c r="K1317" s="141" t="s">
        <v>72</v>
      </c>
      <c r="L1317" s="141" t="s">
        <v>72</v>
      </c>
      <c r="M1317" s="26" t="s">
        <v>72</v>
      </c>
      <c r="N1317" s="2" t="s">
        <v>72</v>
      </c>
      <c r="O1317" s="2" t="s">
        <v>72</v>
      </c>
      <c r="P1317" s="133" t="s">
        <v>72</v>
      </c>
      <c r="Q1317" s="6" t="s">
        <v>72</v>
      </c>
      <c r="R1317" s="6" t="s">
        <v>72</v>
      </c>
      <c r="S1317" s="6" t="s">
        <v>72</v>
      </c>
      <c r="T1317" s="6" t="s">
        <v>72</v>
      </c>
      <c r="U1317" s="6" t="s">
        <v>72</v>
      </c>
      <c r="V1317" s="6" t="s">
        <v>72</v>
      </c>
      <c r="W1317" s="5" t="s">
        <v>72</v>
      </c>
      <c r="X1317" s="6" t="s">
        <v>72</v>
      </c>
      <c r="Y1317" s="6" t="s">
        <v>72</v>
      </c>
      <c r="Z1317" s="6" t="s">
        <v>72</v>
      </c>
      <c r="AA1317" s="6" t="s">
        <v>72</v>
      </c>
      <c r="AB1317" s="6" t="s">
        <v>72</v>
      </c>
      <c r="AC1317" s="6" t="s">
        <v>72</v>
      </c>
    </row>
    <row r="1318" spans="1:29" x14ac:dyDescent="0.25">
      <c r="A1318" s="145" t="str">
        <f>HYPERLINK("http://www.ofsted.gov.uk/inspection-reports/find-inspection-report/provider/ELS/1272201","Ofsted Webpage")</f>
        <v>Ofsted Webpage</v>
      </c>
      <c r="B1318" s="151">
        <v>1272201</v>
      </c>
      <c r="C1318" s="151">
        <v>10001640</v>
      </c>
      <c r="D1318" s="46" t="s">
        <v>2895</v>
      </c>
      <c r="E1318" s="26" t="s">
        <v>78</v>
      </c>
      <c r="F1318" s="26" t="s">
        <v>79</v>
      </c>
      <c r="G1318" s="26" t="s">
        <v>687</v>
      </c>
      <c r="H1318" s="26" t="s">
        <v>238</v>
      </c>
      <c r="I1318" s="26" t="s">
        <v>238</v>
      </c>
      <c r="J1318" s="2" t="s">
        <v>72</v>
      </c>
      <c r="K1318" s="141" t="s">
        <v>72</v>
      </c>
      <c r="L1318" s="141" t="s">
        <v>72</v>
      </c>
      <c r="M1318" s="26" t="s">
        <v>72</v>
      </c>
      <c r="N1318" s="2" t="s">
        <v>72</v>
      </c>
      <c r="O1318" s="2" t="s">
        <v>72</v>
      </c>
      <c r="P1318" s="133" t="s">
        <v>72</v>
      </c>
      <c r="Q1318" s="6" t="s">
        <v>72</v>
      </c>
      <c r="R1318" s="6" t="s">
        <v>72</v>
      </c>
      <c r="S1318" s="6" t="s">
        <v>72</v>
      </c>
      <c r="T1318" s="6" t="s">
        <v>72</v>
      </c>
      <c r="U1318" s="6" t="s">
        <v>72</v>
      </c>
      <c r="V1318" s="6" t="s">
        <v>72</v>
      </c>
      <c r="W1318" s="5" t="s">
        <v>72</v>
      </c>
      <c r="X1318" s="6" t="s">
        <v>72</v>
      </c>
      <c r="Y1318" s="6" t="s">
        <v>72</v>
      </c>
      <c r="Z1318" s="6" t="s">
        <v>72</v>
      </c>
      <c r="AA1318" s="6" t="s">
        <v>72</v>
      </c>
      <c r="AB1318" s="6" t="s">
        <v>72</v>
      </c>
      <c r="AC1318" s="6" t="s">
        <v>72</v>
      </c>
    </row>
  </sheetData>
  <autoFilter ref="A4:AD1318"/>
  <pageMargins left="0.7" right="0.7" top="0.75" bottom="0.75" header="0.3" footer="0.3"/>
  <pageSetup paperSize="8" scale="38"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54251445734F44486F58D3CFEA0EEC3" ma:contentTypeVersion="0" ma:contentTypeDescription="Create a new document." ma:contentTypeScope="" ma:versionID="ccb66c3e1606a1fa646636101b968720">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AB5FBECB-8F3A-4180-B3D2-3792625B75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9041BC74-8AB3-4639-80EB-604F07E69D2F}">
  <ds:schemaRefs>
    <ds:schemaRef ds:uri="http://schemas.microsoft.com/sharepoint/v3/contenttype/forms"/>
  </ds:schemaRefs>
</ds:datastoreItem>
</file>

<file path=customXml/itemProps3.xml><?xml version="1.0" encoding="utf-8"?>
<ds:datastoreItem xmlns:ds="http://schemas.openxmlformats.org/officeDocument/2006/customXml" ds:itemID="{7A2C1D6C-1BC1-4FDF-BCAC-0D0CA92E56A9}">
  <ds:schemaRefs>
    <ds:schemaRef ds:uri="http://purl.org/dc/term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Cover</vt:lpstr>
      <vt:lpstr>Notes</vt:lpstr>
      <vt:lpstr>T1 All in-year inspections</vt:lpstr>
      <vt:lpstr>in-year pivots (full and short)</vt:lpstr>
      <vt:lpstr>T2 In-year full inspections</vt:lpstr>
      <vt:lpstr>T3 In-year short and converted</vt:lpstr>
      <vt:lpstr>T4 Most recent outcomes</vt:lpstr>
      <vt:lpstr>D1 In-year inspection data</vt:lpstr>
      <vt:lpstr>D2 Most recent inspection data</vt:lpstr>
      <vt:lpstr>in-year pivots</vt:lpstr>
      <vt:lpstr>in-year pivots (short)</vt:lpstr>
      <vt:lpstr>most recent pivots</vt:lpstr>
    </vt:vector>
  </TitlesOfParts>
  <Company>Ofsted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Angeliki Patiri</dc:creator>
  <cp:lastModifiedBy>Stuart Lloyd</cp:lastModifiedBy>
  <cp:lastPrinted>2015-10-21T11:17:13Z</cp:lastPrinted>
  <dcterms:created xsi:type="dcterms:W3CDTF">2012-11-07T14:02:05Z</dcterms:created>
  <dcterms:modified xsi:type="dcterms:W3CDTF">2018-01-09T15:12:17Z</dcterms:modified>
</cp:coreProperties>
</file>